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Димитрина\Общи събрания АВиК\2026\05.08.2026 г\За публикация\"/>
    </mc:Choice>
  </mc:AlternateContent>
  <workbookProtection workbookPassword="EF75" lockStructure="1"/>
  <bookViews>
    <workbookView xWindow="0" yWindow="0" windowWidth="28800" windowHeight="11715" tabRatio="875"/>
  </bookViews>
  <sheets>
    <sheet name="Приложение " sheetId="35" r:id="rId1"/>
    <sheet name="1. Обща информация" sheetId="5" r:id="rId2"/>
    <sheet name="2. Променливи" sheetId="1" r:id="rId3"/>
    <sheet name="3. Показатели за качество" sheetId="2" r:id="rId4"/>
    <sheet name="4. Отчет и прогн. потребление" sheetId="65" r:id="rId5"/>
    <sheet name="4.1. Фактурирани количества" sheetId="74" r:id="rId6"/>
    <sheet name="4.2. Продад. и закупени кол-ва" sheetId="76" r:id="rId7"/>
    <sheet name="5. Персонал" sheetId="60" r:id="rId8"/>
    <sheet name="6. Ел.Енергия" sheetId="39" r:id="rId9"/>
    <sheet name="7. Утайки от ПСОВ" sheetId="58" r:id="rId10"/>
    <sheet name="8. Ремонтна програма" sheetId="46" r:id="rId11"/>
    <sheet name="9.Инвестиционна програма" sheetId="41" r:id="rId12"/>
    <sheet name="10. Финансиране на ИП" sheetId="7" r:id="rId13"/>
    <sheet name="11. Амортиз. план" sheetId="50" r:id="rId14"/>
    <sheet name="11.1.Амортиз.нови активи" sheetId="51" r:id="rId15"/>
    <sheet name="11.2. ДА за периода" sheetId="62" r:id="rId16"/>
    <sheet name="11.3. ДА Базова година" sheetId="82" r:id="rId17"/>
    <sheet name="12. Разходи" sheetId="53" r:id="rId18"/>
    <sheet name="12.1. Разходи изменение" sheetId="73" r:id="rId19"/>
    <sheet name="12.2.Нови дейности или обекти" sheetId="77" r:id="rId20"/>
    <sheet name="13. Соц. поносимост" sheetId="16" r:id="rId21"/>
    <sheet name="14. ОПР" sheetId="47" r:id="rId22"/>
    <sheet name="15. ОПП" sheetId="48" r:id="rId23"/>
    <sheet name="16. Необходими приходи" sheetId="17" r:id="rId24"/>
    <sheet name="17. РБА" sheetId="49" r:id="rId25"/>
    <sheet name="18. OK" sheetId="20" r:id="rId26"/>
    <sheet name="19. HB" sheetId="21" r:id="rId27"/>
    <sheet name="20.Цени " sheetId="22" r:id="rId28"/>
    <sheet name="Анализ (ТЧ)" sheetId="78" state="hidden" r:id="rId29"/>
    <sheet name="Анализ (ТЧ€)" sheetId="83" state="hidden" r:id="rId30"/>
    <sheet name="Анализ (ОЧ)" sheetId="79" state="hidden" r:id="rId31"/>
    <sheet name="Анализ (ОЧ€)" sheetId="84" state="hidden" r:id="rId32"/>
    <sheet name="Анализ (ИЧ)" sheetId="67" state="hidden" r:id="rId33"/>
    <sheet name="Анализ (ИЧ€)" sheetId="85" state="hidden" r:id="rId34"/>
    <sheet name="Лист1" sheetId="68" r:id="rId35"/>
    <sheet name="Лист2" sheetId="80" r:id="rId36"/>
    <sheet name="Лист3" sheetId="81" r:id="rId37"/>
  </sheets>
  <externalReferences>
    <externalReference r:id="rId38"/>
    <externalReference r:id="rId39"/>
  </externalReferences>
  <definedNames>
    <definedName name="_xlnm._FilterDatabase" localSheetId="13" hidden="1">'11. Амортиз. план'!$B$1:$B$299</definedName>
    <definedName name="_xlnm._FilterDatabase" localSheetId="15" hidden="1">'11.2. ДА за периода'!$B$1:$CP$192</definedName>
    <definedName name="_xlnm._FilterDatabase" localSheetId="11" hidden="1">'9.Инвестиционна програма'!$B$1:$B$167</definedName>
    <definedName name="Year" localSheetId="16">#REF!</definedName>
    <definedName name="Year" localSheetId="5">#REF!</definedName>
    <definedName name="Year" localSheetId="33">#REF!</definedName>
    <definedName name="Year" localSheetId="30">#REF!</definedName>
    <definedName name="Year" localSheetId="31">#REF!</definedName>
    <definedName name="Year" localSheetId="29">#REF!</definedName>
    <definedName name="Year">#REF!</definedName>
    <definedName name="Z_0B349829_3F54_4163_960D_ECAFCC24CFC8_.wvu.PrintArea" localSheetId="20" hidden="1">'13. Соц. поносимост'!$A$1:$J$33</definedName>
    <definedName name="Z_0B349829_3F54_4163_960D_ECAFCC24CFC8_.wvu.PrintArea" localSheetId="2" hidden="1">'2. Променливи'!$B$1:$E$8</definedName>
    <definedName name="Z_0B349829_3F54_4163_960D_ECAFCC24CFC8_.wvu.PrintArea" localSheetId="3" hidden="1">'3. Показатели за качество'!$A$1:$J$7</definedName>
    <definedName name="Z_0B349829_3F54_4163_960D_ECAFCC24CFC8_.wvu.PrintArea" localSheetId="9" hidden="1">'7. Утайки от ПСОВ'!$A$1:$K$49</definedName>
    <definedName name="Z_40B752E9_F1B2_49B8_8062_4CC854FDABFB_.wvu.PrintArea" localSheetId="20" hidden="1">'13. Соц. поносимост'!$A$1:$J$33</definedName>
    <definedName name="Z_40B752E9_F1B2_49B8_8062_4CC854FDABFB_.wvu.PrintArea" localSheetId="2" hidden="1">'2. Променливи'!$B$1:$E$8</definedName>
    <definedName name="Z_40B752E9_F1B2_49B8_8062_4CC854FDABFB_.wvu.PrintArea" localSheetId="3" hidden="1">'3. Показатели за качество'!$A$1:$J$7</definedName>
    <definedName name="Z_40B752E9_F1B2_49B8_8062_4CC854FDABFB_.wvu.PrintArea" localSheetId="9" hidden="1">'7. Утайки от ПСОВ'!$A$1:$K$49</definedName>
    <definedName name="Z_E23DBFBB_7C2B_43B5_8169_5032323B5185_.wvu.PrintArea" localSheetId="20" hidden="1">'13. Соц. поносимост'!$A$1:$J$33</definedName>
    <definedName name="Z_E23DBFBB_7C2B_43B5_8169_5032323B5185_.wvu.PrintArea" localSheetId="2" hidden="1">'2. Променливи'!$B$1:$E$8</definedName>
    <definedName name="Z_E23DBFBB_7C2B_43B5_8169_5032323B5185_.wvu.PrintArea" localSheetId="3" hidden="1">'3. Показатели за качество'!$A$1:$J$7</definedName>
    <definedName name="Z_E23DBFBB_7C2B_43B5_8169_5032323B5185_.wvu.PrintArea" localSheetId="9" hidden="1">'7. Утайки от ПСОВ'!$A$1:$K$49</definedName>
    <definedName name="Амортизации" localSheetId="16" hidden="1">[1]Инвестиции!$A$43:$IV$43</definedName>
    <definedName name="Амортизации" localSheetId="9" hidden="1">[1]Инвестиции!$43:$43</definedName>
    <definedName name="Амортизации" hidden="1">[1]Инвестиции!$A$43:$IV$43</definedName>
    <definedName name="Амортизации_първа_год" localSheetId="16" hidden="1">[1]Инвестиции!$E$40</definedName>
    <definedName name="Амортизации_първа_год" localSheetId="9" hidden="1">[1]Инвестиции!$E$40</definedName>
    <definedName name="Амортизации_първа_год" hidden="1">[1]Инвестиции!$E$40</definedName>
    <definedName name="Брутна_печалба" localSheetId="1">#REF!</definedName>
    <definedName name="Брутна_печалба" localSheetId="12">#REF!</definedName>
    <definedName name="Брутна_печалба" localSheetId="16">#REF!</definedName>
    <definedName name="Брутна_печалба" localSheetId="20">#REF!</definedName>
    <definedName name="Брутна_печалба" localSheetId="21">#REF!</definedName>
    <definedName name="Брутна_печалба" localSheetId="22">#REF!</definedName>
    <definedName name="Брутна_печалба" localSheetId="24">#REF!</definedName>
    <definedName name="Брутна_печалба" localSheetId="4">#REF!</definedName>
    <definedName name="Брутна_печалба" localSheetId="8">#REF!</definedName>
    <definedName name="Брутна_печалба" localSheetId="9">#REF!</definedName>
    <definedName name="Брутна_печалба" localSheetId="10">#REF!</definedName>
    <definedName name="Брутна_печалба" localSheetId="11">#REF!</definedName>
    <definedName name="Брутна_печалба" localSheetId="33">#REF!</definedName>
    <definedName name="Брутна_печалба" localSheetId="30">#REF!</definedName>
    <definedName name="Брутна_печалба" localSheetId="31">#REF!</definedName>
    <definedName name="Брутна_печалба" localSheetId="29">#REF!</definedName>
    <definedName name="Брутна_печалба" localSheetId="0">#REF!</definedName>
    <definedName name="Брутна_печалба">#REF!</definedName>
    <definedName name="Вземания_по_ДДС" localSheetId="1">#REF!</definedName>
    <definedName name="Вземания_по_ДДС" localSheetId="12">#REF!</definedName>
    <definedName name="Вземания_по_ДДС" localSheetId="16">#REF!</definedName>
    <definedName name="Вземания_по_ДДС" localSheetId="20">#REF!</definedName>
    <definedName name="Вземания_по_ДДС" localSheetId="21">#REF!</definedName>
    <definedName name="Вземания_по_ДДС" localSheetId="22">#REF!</definedName>
    <definedName name="Вземания_по_ДДС" localSheetId="24">#REF!</definedName>
    <definedName name="Вземания_по_ДДС" localSheetId="4">#REF!</definedName>
    <definedName name="Вземания_по_ДДС" localSheetId="8">#REF!</definedName>
    <definedName name="Вземания_по_ДДС" localSheetId="9">#REF!</definedName>
    <definedName name="Вземания_по_ДДС" localSheetId="10">#REF!</definedName>
    <definedName name="Вземания_по_ДДС" localSheetId="11">#REF!</definedName>
    <definedName name="Вземания_по_ДДС" localSheetId="33">#REF!</definedName>
    <definedName name="Вземания_по_ДДС" localSheetId="30">#REF!</definedName>
    <definedName name="Вземания_по_ДДС" localSheetId="31">#REF!</definedName>
    <definedName name="Вземания_по_ДДС" localSheetId="29">#REF!</definedName>
    <definedName name="Вземания_по_ДДС" localSheetId="0">#REF!</definedName>
    <definedName name="Вземания_по_ДДС">#REF!</definedName>
    <definedName name="Вземания_по_получени_през_периода_съучастия" localSheetId="16" hidden="1">'[1]Собствен капитал'!$A$7:$IV$7</definedName>
    <definedName name="Вземания_по_получени_през_периода_съучастия" localSheetId="9" hidden="1">'[1]Собствен капитал'!$7:$7</definedName>
    <definedName name="Вземания_по_получени_през_периода_съучастия" hidden="1">'[1]Собствен капитал'!$A$7:$IV$7</definedName>
    <definedName name="Внесен_ДДС" localSheetId="1">#REF!</definedName>
    <definedName name="Внесен_ДДС" localSheetId="12">#REF!</definedName>
    <definedName name="Внесен_ДДС" localSheetId="16">#REF!</definedName>
    <definedName name="Внесен_ДДС" localSheetId="20">#REF!</definedName>
    <definedName name="Внесен_ДДС" localSheetId="21">#REF!</definedName>
    <definedName name="Внесен_ДДС" localSheetId="22">#REF!</definedName>
    <definedName name="Внесен_ДДС" localSheetId="24">#REF!</definedName>
    <definedName name="Внесен_ДДС" localSheetId="4">#REF!</definedName>
    <definedName name="Внесен_ДДС" localSheetId="8">#REF!</definedName>
    <definedName name="Внесен_ДДС" localSheetId="9">#REF!</definedName>
    <definedName name="Внесен_ДДС" localSheetId="10">#REF!</definedName>
    <definedName name="Внесен_ДДС" localSheetId="11">#REF!</definedName>
    <definedName name="Внесен_ДДС" localSheetId="33">#REF!</definedName>
    <definedName name="Внесен_ДДС" localSheetId="30">#REF!</definedName>
    <definedName name="Внесен_ДДС" localSheetId="31">#REF!</definedName>
    <definedName name="Внесен_ДДС" localSheetId="29">#REF!</definedName>
    <definedName name="Внесен_ДДС" localSheetId="0">#REF!</definedName>
    <definedName name="Внесен_ДДС">#REF!</definedName>
    <definedName name="ВС_1" localSheetId="1">#REF!</definedName>
    <definedName name="ВС_1" localSheetId="12">#REF!</definedName>
    <definedName name="ВС_1" localSheetId="16">#REF!</definedName>
    <definedName name="ВС_1" localSheetId="20">#REF!</definedName>
    <definedName name="ВС_1" localSheetId="21">#REF!</definedName>
    <definedName name="ВС_1" localSheetId="22">#REF!</definedName>
    <definedName name="ВС_1" localSheetId="24">#REF!</definedName>
    <definedName name="ВС_1" localSheetId="4">#REF!</definedName>
    <definedName name="ВС_1" localSheetId="8">#REF!</definedName>
    <definedName name="ВС_1" localSheetId="9">#REF!</definedName>
    <definedName name="ВС_1" localSheetId="10">#REF!</definedName>
    <definedName name="ВС_1" localSheetId="11">#REF!</definedName>
    <definedName name="ВС_1" localSheetId="33">#REF!</definedName>
    <definedName name="ВС_1" localSheetId="30">#REF!</definedName>
    <definedName name="ВС_1" localSheetId="31">#REF!</definedName>
    <definedName name="ВС_1" localSheetId="29">#REF!</definedName>
    <definedName name="ВС_1" localSheetId="0">#REF!</definedName>
    <definedName name="ВС_1">#REF!</definedName>
    <definedName name="ВС_2" localSheetId="1">#REF!</definedName>
    <definedName name="ВС_2" localSheetId="12">#REF!</definedName>
    <definedName name="ВС_2" localSheetId="16">#REF!</definedName>
    <definedName name="ВС_2" localSheetId="20">#REF!</definedName>
    <definedName name="ВС_2" localSheetId="21">#REF!</definedName>
    <definedName name="ВС_2" localSheetId="22">#REF!</definedName>
    <definedName name="ВС_2" localSheetId="24">#REF!</definedName>
    <definedName name="ВС_2" localSheetId="4">#REF!</definedName>
    <definedName name="ВС_2" localSheetId="8">#REF!</definedName>
    <definedName name="ВС_2" localSheetId="9">#REF!</definedName>
    <definedName name="ВС_2" localSheetId="10">#REF!</definedName>
    <definedName name="ВС_2" localSheetId="11">#REF!</definedName>
    <definedName name="ВС_2" localSheetId="33">#REF!</definedName>
    <definedName name="ВС_2" localSheetId="30">#REF!</definedName>
    <definedName name="ВС_2" localSheetId="31">#REF!</definedName>
    <definedName name="ВС_2" localSheetId="29">#REF!</definedName>
    <definedName name="ВС_2" localSheetId="0">#REF!</definedName>
    <definedName name="ВС_2">#REF!</definedName>
    <definedName name="ВС_3" localSheetId="1">#REF!</definedName>
    <definedName name="ВС_3" localSheetId="12">#REF!</definedName>
    <definedName name="ВС_3" localSheetId="16">#REF!</definedName>
    <definedName name="ВС_3" localSheetId="20">#REF!</definedName>
    <definedName name="ВС_3" localSheetId="21">#REF!</definedName>
    <definedName name="ВС_3" localSheetId="22">#REF!</definedName>
    <definedName name="ВС_3" localSheetId="24">#REF!</definedName>
    <definedName name="ВС_3" localSheetId="4">#REF!</definedName>
    <definedName name="ВС_3" localSheetId="8">#REF!</definedName>
    <definedName name="ВС_3" localSheetId="9">#REF!</definedName>
    <definedName name="ВС_3" localSheetId="10">#REF!</definedName>
    <definedName name="ВС_3" localSheetId="11">#REF!</definedName>
    <definedName name="ВС_3" localSheetId="33">#REF!</definedName>
    <definedName name="ВС_3" localSheetId="30">#REF!</definedName>
    <definedName name="ВС_3" localSheetId="31">#REF!</definedName>
    <definedName name="ВС_3" localSheetId="29">#REF!</definedName>
    <definedName name="ВС_3" localSheetId="0">#REF!</definedName>
    <definedName name="ВС_3">#REF!</definedName>
    <definedName name="ВС_4" localSheetId="1">#REF!</definedName>
    <definedName name="ВС_4" localSheetId="12">#REF!</definedName>
    <definedName name="ВС_4" localSheetId="16">#REF!</definedName>
    <definedName name="ВС_4" localSheetId="20">#REF!</definedName>
    <definedName name="ВС_4" localSheetId="21">#REF!</definedName>
    <definedName name="ВС_4" localSheetId="22">#REF!</definedName>
    <definedName name="ВС_4" localSheetId="24">#REF!</definedName>
    <definedName name="ВС_4" localSheetId="4">#REF!</definedName>
    <definedName name="ВС_4" localSheetId="8">#REF!</definedName>
    <definedName name="ВС_4" localSheetId="9">#REF!</definedName>
    <definedName name="ВС_4" localSheetId="10">#REF!</definedName>
    <definedName name="ВС_4" localSheetId="11">#REF!</definedName>
    <definedName name="ВС_4" localSheetId="33">#REF!</definedName>
    <definedName name="ВС_4" localSheetId="30">#REF!</definedName>
    <definedName name="ВС_4" localSheetId="31">#REF!</definedName>
    <definedName name="ВС_4" localSheetId="29">#REF!</definedName>
    <definedName name="ВС_4" localSheetId="0">#REF!</definedName>
    <definedName name="ВС_4">#REF!</definedName>
    <definedName name="ВС_5" localSheetId="1">#REF!</definedName>
    <definedName name="ВС_5" localSheetId="12">#REF!</definedName>
    <definedName name="ВС_5" localSheetId="16">#REF!</definedName>
    <definedName name="ВС_5" localSheetId="20">#REF!</definedName>
    <definedName name="ВС_5" localSheetId="21">#REF!</definedName>
    <definedName name="ВС_5" localSheetId="22">#REF!</definedName>
    <definedName name="ВС_5" localSheetId="24">#REF!</definedName>
    <definedName name="ВС_5" localSheetId="4">#REF!</definedName>
    <definedName name="ВС_5" localSheetId="8">#REF!</definedName>
    <definedName name="ВС_5" localSheetId="9">#REF!</definedName>
    <definedName name="ВС_5" localSheetId="10">#REF!</definedName>
    <definedName name="ВС_5" localSheetId="11">#REF!</definedName>
    <definedName name="ВС_5" localSheetId="33">#REF!</definedName>
    <definedName name="ВС_5" localSheetId="30">#REF!</definedName>
    <definedName name="ВС_5" localSheetId="31">#REF!</definedName>
    <definedName name="ВС_5" localSheetId="29">#REF!</definedName>
    <definedName name="ВС_5" localSheetId="0">#REF!</definedName>
    <definedName name="ВС_5">#REF!</definedName>
    <definedName name="Всичко_инвестиции" localSheetId="1">#REF!</definedName>
    <definedName name="Всичко_инвестиции" localSheetId="12">'10. Финансиране на ИП'!#REF!</definedName>
    <definedName name="Всичко_инвестиции" localSheetId="16">#REF!</definedName>
    <definedName name="Всичко_инвестиции" localSheetId="20">#REF!</definedName>
    <definedName name="Всичко_инвестиции" localSheetId="21">#REF!</definedName>
    <definedName name="Всичко_инвестиции" localSheetId="22">#REF!</definedName>
    <definedName name="Всичко_инвестиции" localSheetId="24">#REF!</definedName>
    <definedName name="Всичко_инвестиции" localSheetId="4">#REF!</definedName>
    <definedName name="Всичко_инвестиции" localSheetId="8">#REF!</definedName>
    <definedName name="Всичко_инвестиции" localSheetId="9">'[2]6. Инвестиции'!#REF!</definedName>
    <definedName name="Всичко_инвестиции" localSheetId="10">#REF!</definedName>
    <definedName name="Всичко_инвестиции" localSheetId="11">#REF!</definedName>
    <definedName name="Всичко_инвестиции" localSheetId="33">#REF!</definedName>
    <definedName name="Всичко_инвестиции" localSheetId="30">#REF!</definedName>
    <definedName name="Всичко_инвестиции" localSheetId="31">#REF!</definedName>
    <definedName name="Всичко_инвестиции" localSheetId="29">#REF!</definedName>
    <definedName name="Всичко_инвестиции" localSheetId="0">#REF!</definedName>
    <definedName name="Всичко_инвестиции">#REF!</definedName>
    <definedName name="Външни_услуги" localSheetId="1">#REF!</definedName>
    <definedName name="Външни_услуги" localSheetId="12">#REF!</definedName>
    <definedName name="Външни_услуги" localSheetId="16">#REF!</definedName>
    <definedName name="Външни_услуги" localSheetId="20">#REF!</definedName>
    <definedName name="Външни_услуги" localSheetId="21">#REF!</definedName>
    <definedName name="Външни_услуги" localSheetId="22">#REF!</definedName>
    <definedName name="Външни_услуги" localSheetId="24">#REF!</definedName>
    <definedName name="Външни_услуги" localSheetId="4">#REF!</definedName>
    <definedName name="Външни_услуги" localSheetId="8">#REF!</definedName>
    <definedName name="Външни_услуги" localSheetId="9">#REF!</definedName>
    <definedName name="Външни_услуги" localSheetId="10">#REF!</definedName>
    <definedName name="Външни_услуги" localSheetId="11">#REF!</definedName>
    <definedName name="Външни_услуги" localSheetId="33">#REF!</definedName>
    <definedName name="Външни_услуги" localSheetId="30">#REF!</definedName>
    <definedName name="Външни_услуги" localSheetId="31">#REF!</definedName>
    <definedName name="Външни_услуги" localSheetId="29">#REF!</definedName>
    <definedName name="Външни_услуги" localSheetId="0">#REF!</definedName>
    <definedName name="Външни_услуги">#REF!</definedName>
    <definedName name="Данъци" localSheetId="1">#REF!</definedName>
    <definedName name="Данъци" localSheetId="12">#REF!</definedName>
    <definedName name="Данъци" localSheetId="16">#REF!</definedName>
    <definedName name="Данъци" localSheetId="20">#REF!</definedName>
    <definedName name="Данъци" localSheetId="21">#REF!</definedName>
    <definedName name="Данъци" localSheetId="22">#REF!</definedName>
    <definedName name="Данъци" localSheetId="24">#REF!</definedName>
    <definedName name="Данъци" localSheetId="4">#REF!</definedName>
    <definedName name="Данъци" localSheetId="8">#REF!</definedName>
    <definedName name="Данъци" localSheetId="9">#REF!</definedName>
    <definedName name="Данъци" localSheetId="10">#REF!</definedName>
    <definedName name="Данъци" localSheetId="11">#REF!</definedName>
    <definedName name="Данъци" localSheetId="33">#REF!</definedName>
    <definedName name="Данъци" localSheetId="30">#REF!</definedName>
    <definedName name="Данъци" localSheetId="31">#REF!</definedName>
    <definedName name="Данъци" localSheetId="29">#REF!</definedName>
    <definedName name="Данъци" localSheetId="0">#REF!</definedName>
    <definedName name="Данъци">#REF!</definedName>
    <definedName name="Данъчен_период" localSheetId="1">#REF!</definedName>
    <definedName name="Данъчен_период" localSheetId="12">#REF!</definedName>
    <definedName name="Данъчен_период" localSheetId="16">#REF!</definedName>
    <definedName name="Данъчен_период" localSheetId="20">#REF!</definedName>
    <definedName name="Данъчен_период" localSheetId="21">#REF!</definedName>
    <definedName name="Данъчен_период" localSheetId="22">#REF!</definedName>
    <definedName name="Данъчен_период" localSheetId="24">#REF!</definedName>
    <definedName name="Данъчен_период" localSheetId="4">#REF!</definedName>
    <definedName name="Данъчен_период" localSheetId="8">#REF!</definedName>
    <definedName name="Данъчен_период" localSheetId="9">#REF!</definedName>
    <definedName name="Данъчен_период" localSheetId="10">#REF!</definedName>
    <definedName name="Данъчен_период" localSheetId="11">#REF!</definedName>
    <definedName name="Данъчен_период" localSheetId="33">#REF!</definedName>
    <definedName name="Данъчен_период" localSheetId="30">#REF!</definedName>
    <definedName name="Данъчен_период" localSheetId="31">#REF!</definedName>
    <definedName name="Данъчен_период" localSheetId="29">#REF!</definedName>
    <definedName name="Данъчен_период" localSheetId="0">#REF!</definedName>
    <definedName name="Данъчен_период">#REF!</definedName>
    <definedName name="Дни_на_оборот_на_запасите" localSheetId="1">#REF!</definedName>
    <definedName name="Дни_на_оборот_на_запасите" localSheetId="12">#REF!</definedName>
    <definedName name="Дни_на_оборот_на_запасите" localSheetId="16">#REF!</definedName>
    <definedName name="Дни_на_оборот_на_запасите" localSheetId="20">#REF!</definedName>
    <definedName name="Дни_на_оборот_на_запасите" localSheetId="21">#REF!</definedName>
    <definedName name="Дни_на_оборот_на_запасите" localSheetId="22">#REF!</definedName>
    <definedName name="Дни_на_оборот_на_запасите" localSheetId="24">#REF!</definedName>
    <definedName name="Дни_на_оборот_на_запасите" localSheetId="4">#REF!</definedName>
    <definedName name="Дни_на_оборот_на_запасите" localSheetId="8">#REF!</definedName>
    <definedName name="Дни_на_оборот_на_запасите" localSheetId="9">#REF!</definedName>
    <definedName name="Дни_на_оборот_на_запасите" localSheetId="10">#REF!</definedName>
    <definedName name="Дни_на_оборот_на_запасите" localSheetId="11">#REF!</definedName>
    <definedName name="Дни_на_оборот_на_запасите" localSheetId="33">#REF!</definedName>
    <definedName name="Дни_на_оборот_на_запасите" localSheetId="30">#REF!</definedName>
    <definedName name="Дни_на_оборот_на_запасите" localSheetId="31">#REF!</definedName>
    <definedName name="Дни_на_оборот_на_запасите" localSheetId="29">#REF!</definedName>
    <definedName name="Дни_на_оборот_на_запасите" localSheetId="0">#REF!</definedName>
    <definedName name="Дни_на_оборот_на_запасите">#REF!</definedName>
    <definedName name="Дял_на_продажбите_на_кредит" localSheetId="1">#REF!</definedName>
    <definedName name="Дял_на_продажбите_на_кредит" localSheetId="12">#REF!</definedName>
    <definedName name="Дял_на_продажбите_на_кредит" localSheetId="16">#REF!</definedName>
    <definedName name="Дял_на_продажбите_на_кредит" localSheetId="20">#REF!</definedName>
    <definedName name="Дял_на_продажбите_на_кредит" localSheetId="21">#REF!</definedName>
    <definedName name="Дял_на_продажбите_на_кредит" localSheetId="22">#REF!</definedName>
    <definedName name="Дял_на_продажбите_на_кредит" localSheetId="24">#REF!</definedName>
    <definedName name="Дял_на_продажбите_на_кредит" localSheetId="4">#REF!</definedName>
    <definedName name="Дял_на_продажбите_на_кредит" localSheetId="8">#REF!</definedName>
    <definedName name="Дял_на_продажбите_на_кредит" localSheetId="9">#REF!</definedName>
    <definedName name="Дял_на_продажбите_на_кредит" localSheetId="10">#REF!</definedName>
    <definedName name="Дял_на_продажбите_на_кредит" localSheetId="11">#REF!</definedName>
    <definedName name="Дял_на_продажбите_на_кредит" localSheetId="33">#REF!</definedName>
    <definedName name="Дял_на_продажбите_на_кредит" localSheetId="30">#REF!</definedName>
    <definedName name="Дял_на_продажбите_на_кредит" localSheetId="31">#REF!</definedName>
    <definedName name="Дял_на_продажбите_на_кредит" localSheetId="29">#REF!</definedName>
    <definedName name="Дял_на_продажбите_на_кредит" localSheetId="0">#REF!</definedName>
    <definedName name="Дял_на_продажбите_на_кредит">#REF!</definedName>
    <definedName name="Електроенергия" localSheetId="16" hidden="1">[1]Себестойност!$A$124:$IV$124</definedName>
    <definedName name="Електроенергия" localSheetId="9" hidden="1">[1]Себестойност!$124:$124</definedName>
    <definedName name="Електроенергия" hidden="1">[1]Себестойност!$A$124:$IV$124</definedName>
    <definedName name="Задължения_по_ДДС" localSheetId="1">#REF!</definedName>
    <definedName name="Задължения_по_ДДС" localSheetId="12">#REF!</definedName>
    <definedName name="Задължения_по_ДДС" localSheetId="16">#REF!</definedName>
    <definedName name="Задължения_по_ДДС" localSheetId="20">#REF!</definedName>
    <definedName name="Задължения_по_ДДС" localSheetId="21">#REF!</definedName>
    <definedName name="Задължения_по_ДДС" localSheetId="22">#REF!</definedName>
    <definedName name="Задължения_по_ДДС" localSheetId="24">#REF!</definedName>
    <definedName name="Задължения_по_ДДС" localSheetId="4">#REF!</definedName>
    <definedName name="Задължения_по_ДДС" localSheetId="8">#REF!</definedName>
    <definedName name="Задължения_по_ДДС" localSheetId="9">#REF!</definedName>
    <definedName name="Задължения_по_ДДС" localSheetId="10">#REF!</definedName>
    <definedName name="Задължения_по_ДДС" localSheetId="11">#REF!</definedName>
    <definedName name="Задължения_по_ДДС" localSheetId="33">#REF!</definedName>
    <definedName name="Задължения_по_ДДС" localSheetId="30">#REF!</definedName>
    <definedName name="Задължения_по_ДДС" localSheetId="31">#REF!</definedName>
    <definedName name="Задължения_по_ДДС" localSheetId="29">#REF!</definedName>
    <definedName name="Задължения_по_ДДС" localSheetId="0">#REF!</definedName>
    <definedName name="Задължения_по_ДДС">#REF!</definedName>
    <definedName name="Зона_1" localSheetId="1">#REF!</definedName>
    <definedName name="Зона_1" localSheetId="12">#REF!</definedName>
    <definedName name="Зона_1" localSheetId="16">#REF!</definedName>
    <definedName name="Зона_1" localSheetId="20">#REF!</definedName>
    <definedName name="Зона_1" localSheetId="21">#REF!</definedName>
    <definedName name="Зона_1" localSheetId="22">#REF!</definedName>
    <definedName name="Зона_1" localSheetId="24">#REF!</definedName>
    <definedName name="Зона_1" localSheetId="4">#REF!</definedName>
    <definedName name="Зона_1" localSheetId="8">#REF!</definedName>
    <definedName name="Зона_1" localSheetId="9">#REF!</definedName>
    <definedName name="Зона_1" localSheetId="10">#REF!</definedName>
    <definedName name="Зона_1" localSheetId="11">#REF!</definedName>
    <definedName name="Зона_1" localSheetId="33">#REF!</definedName>
    <definedName name="Зона_1" localSheetId="30">#REF!</definedName>
    <definedName name="Зона_1" localSheetId="31">#REF!</definedName>
    <definedName name="Зона_1" localSheetId="29">#REF!</definedName>
    <definedName name="Зона_1" localSheetId="0">#REF!</definedName>
    <definedName name="Зона_1">#REF!</definedName>
    <definedName name="Зона_2" localSheetId="1">#REF!</definedName>
    <definedName name="Зона_2" localSheetId="12">#REF!</definedName>
    <definedName name="Зона_2" localSheetId="16">#REF!</definedName>
    <definedName name="Зона_2" localSheetId="20">#REF!</definedName>
    <definedName name="Зона_2" localSheetId="21">#REF!</definedName>
    <definedName name="Зона_2" localSheetId="22">#REF!</definedName>
    <definedName name="Зона_2" localSheetId="24">#REF!</definedName>
    <definedName name="Зона_2" localSheetId="4">#REF!</definedName>
    <definedName name="Зона_2" localSheetId="8">#REF!</definedName>
    <definedName name="Зона_2" localSheetId="9">#REF!</definedName>
    <definedName name="Зона_2" localSheetId="10">#REF!</definedName>
    <definedName name="Зона_2" localSheetId="11">#REF!</definedName>
    <definedName name="Зона_2" localSheetId="33">#REF!</definedName>
    <definedName name="Зона_2" localSheetId="30">#REF!</definedName>
    <definedName name="Зона_2" localSheetId="31">#REF!</definedName>
    <definedName name="Зона_2" localSheetId="29">#REF!</definedName>
    <definedName name="Зона_2" localSheetId="0">#REF!</definedName>
    <definedName name="Зона_2">#REF!</definedName>
    <definedName name="Зона_3" localSheetId="1">#REF!</definedName>
    <definedName name="Зона_3" localSheetId="12">#REF!</definedName>
    <definedName name="Зона_3" localSheetId="16">#REF!</definedName>
    <definedName name="Зона_3" localSheetId="20">#REF!</definedName>
    <definedName name="Зона_3" localSheetId="21">#REF!</definedName>
    <definedName name="Зона_3" localSheetId="22">#REF!</definedName>
    <definedName name="Зона_3" localSheetId="24">#REF!</definedName>
    <definedName name="Зона_3" localSheetId="4">#REF!</definedName>
    <definedName name="Зона_3" localSheetId="8">#REF!</definedName>
    <definedName name="Зона_3" localSheetId="9">#REF!</definedName>
    <definedName name="Зона_3" localSheetId="10">#REF!</definedName>
    <definedName name="Зона_3" localSheetId="11">#REF!</definedName>
    <definedName name="Зона_3" localSheetId="33">#REF!</definedName>
    <definedName name="Зона_3" localSheetId="30">#REF!</definedName>
    <definedName name="Зона_3" localSheetId="31">#REF!</definedName>
    <definedName name="Зона_3" localSheetId="29">#REF!</definedName>
    <definedName name="Зона_3" localSheetId="0">#REF!</definedName>
    <definedName name="Зона_3">#REF!</definedName>
    <definedName name="Зона_4" localSheetId="1">#REF!</definedName>
    <definedName name="Зона_4" localSheetId="12">#REF!</definedName>
    <definedName name="Зона_4" localSheetId="16">#REF!</definedName>
    <definedName name="Зона_4" localSheetId="20">#REF!</definedName>
    <definedName name="Зона_4" localSheetId="21">#REF!</definedName>
    <definedName name="Зона_4" localSheetId="22">#REF!</definedName>
    <definedName name="Зона_4" localSheetId="24">#REF!</definedName>
    <definedName name="Зона_4" localSheetId="4">#REF!</definedName>
    <definedName name="Зона_4" localSheetId="8">#REF!</definedName>
    <definedName name="Зона_4" localSheetId="9">#REF!</definedName>
    <definedName name="Зона_4" localSheetId="10">#REF!</definedName>
    <definedName name="Зона_4" localSheetId="11">#REF!</definedName>
    <definedName name="Зона_4" localSheetId="33">#REF!</definedName>
    <definedName name="Зона_4" localSheetId="30">#REF!</definedName>
    <definedName name="Зона_4" localSheetId="31">#REF!</definedName>
    <definedName name="Зона_4" localSheetId="29">#REF!</definedName>
    <definedName name="Зона_4" localSheetId="0">#REF!</definedName>
    <definedName name="Зона_4">#REF!</definedName>
    <definedName name="Зона_5" localSheetId="1">#REF!</definedName>
    <definedName name="Зона_5" localSheetId="12">#REF!</definedName>
    <definedName name="Зона_5" localSheetId="16">#REF!</definedName>
    <definedName name="Зона_5" localSheetId="20">#REF!</definedName>
    <definedName name="Зона_5" localSheetId="21">#REF!</definedName>
    <definedName name="Зона_5" localSheetId="22">#REF!</definedName>
    <definedName name="Зона_5" localSheetId="24">#REF!</definedName>
    <definedName name="Зона_5" localSheetId="4">#REF!</definedName>
    <definedName name="Зона_5" localSheetId="8">#REF!</definedName>
    <definedName name="Зона_5" localSheetId="9">#REF!</definedName>
    <definedName name="Зона_5" localSheetId="10">#REF!</definedName>
    <definedName name="Зона_5" localSheetId="11">#REF!</definedName>
    <definedName name="Зона_5" localSheetId="33">#REF!</definedName>
    <definedName name="Зона_5" localSheetId="30">#REF!</definedName>
    <definedName name="Зона_5" localSheetId="31">#REF!</definedName>
    <definedName name="Зона_5" localSheetId="29">#REF!</definedName>
    <definedName name="Зона_5" localSheetId="0">#REF!</definedName>
    <definedName name="Зона_5">#REF!</definedName>
    <definedName name="Лихви" localSheetId="1">#REF!</definedName>
    <definedName name="Лихви" localSheetId="12">#REF!</definedName>
    <definedName name="Лихви" localSheetId="16">#REF!</definedName>
    <definedName name="Лихви" localSheetId="20">#REF!</definedName>
    <definedName name="Лихви" localSheetId="21">#REF!</definedName>
    <definedName name="Лихви" localSheetId="22">#REF!</definedName>
    <definedName name="Лихви" localSheetId="24">#REF!</definedName>
    <definedName name="Лихви" localSheetId="4">#REF!</definedName>
    <definedName name="Лихви" localSheetId="8">#REF!</definedName>
    <definedName name="Лихви" localSheetId="9">#REF!</definedName>
    <definedName name="Лихви" localSheetId="10">#REF!</definedName>
    <definedName name="Лихви" localSheetId="11">#REF!</definedName>
    <definedName name="Лихви" localSheetId="33">#REF!</definedName>
    <definedName name="Лихви" localSheetId="30">#REF!</definedName>
    <definedName name="Лихви" localSheetId="31">#REF!</definedName>
    <definedName name="Лихви" localSheetId="29">#REF!</definedName>
    <definedName name="Лихви" localSheetId="0">#REF!</definedName>
    <definedName name="Лихви">#REF!</definedName>
    <definedName name="Материали" localSheetId="1">#REF!</definedName>
    <definedName name="Материали" localSheetId="12">#REF!</definedName>
    <definedName name="Материали" localSheetId="16">#REF!</definedName>
    <definedName name="Материали" localSheetId="20">#REF!</definedName>
    <definedName name="Материали" localSheetId="21">#REF!</definedName>
    <definedName name="Материали" localSheetId="22">#REF!</definedName>
    <definedName name="Материали" localSheetId="24">#REF!</definedName>
    <definedName name="Материали" localSheetId="4">#REF!</definedName>
    <definedName name="Материали" localSheetId="8">#REF!</definedName>
    <definedName name="Материали" localSheetId="9">#REF!</definedName>
    <definedName name="Материали" localSheetId="10">#REF!</definedName>
    <definedName name="Материали" localSheetId="11">#REF!</definedName>
    <definedName name="Материали" localSheetId="33">#REF!</definedName>
    <definedName name="Материали" localSheetId="30">#REF!</definedName>
    <definedName name="Материали" localSheetId="31">#REF!</definedName>
    <definedName name="Материали" localSheetId="29">#REF!</definedName>
    <definedName name="Материали" localSheetId="0">#REF!</definedName>
    <definedName name="Материали">#REF!</definedName>
    <definedName name="Намаление_на_собствения_капитал" localSheetId="16" hidden="1">'[1]Собствен капитал'!$A$6:$IV$6</definedName>
    <definedName name="Намаление_на_собствения_капитал" localSheetId="9" hidden="1">'[1]Собствен капитал'!$6:$6</definedName>
    <definedName name="Намаление_на_собствения_капитал" hidden="1">'[1]Собствен капитал'!$A$6:$IV$6</definedName>
    <definedName name="Намаление_на_финансиранията" localSheetId="1">#REF!</definedName>
    <definedName name="Намаление_на_финансиранията" localSheetId="12">#REF!</definedName>
    <definedName name="Намаление_на_финансиранията" localSheetId="16">#REF!</definedName>
    <definedName name="Намаление_на_финансиранията" localSheetId="20">#REF!</definedName>
    <definedName name="Намаление_на_финансиранията" localSheetId="21">#REF!</definedName>
    <definedName name="Намаление_на_финансиранията" localSheetId="22">#REF!</definedName>
    <definedName name="Намаление_на_финансиранията" localSheetId="24">#REF!</definedName>
    <definedName name="Намаление_на_финансиранията" localSheetId="4">#REF!</definedName>
    <definedName name="Намаление_на_финансиранията" localSheetId="8">#REF!</definedName>
    <definedName name="Намаление_на_финансиранията" localSheetId="9">#REF!</definedName>
    <definedName name="Намаление_на_финансиранията" localSheetId="10">#REF!</definedName>
    <definedName name="Намаление_на_финансиранията" localSheetId="11">#REF!</definedName>
    <definedName name="Намаление_на_финансиранията" localSheetId="33">#REF!</definedName>
    <definedName name="Намаление_на_финансиранията" localSheetId="30">#REF!</definedName>
    <definedName name="Намаление_на_финансиранията" localSheetId="31">#REF!</definedName>
    <definedName name="Намаление_на_финансиранията" localSheetId="29">#REF!</definedName>
    <definedName name="Намаление_на_финансиранията" localSheetId="0">#REF!</definedName>
    <definedName name="Намаление_на_финансиранията">#REF!</definedName>
    <definedName name="Начална_година" localSheetId="1">#REF!</definedName>
    <definedName name="Начална_година" localSheetId="12">#REF!</definedName>
    <definedName name="Начална_година" localSheetId="16">#REF!</definedName>
    <definedName name="Начална_година" localSheetId="20">#REF!</definedName>
    <definedName name="Начална_година" localSheetId="21">#REF!</definedName>
    <definedName name="Начална_година" localSheetId="22">#REF!</definedName>
    <definedName name="Начална_година" localSheetId="24">#REF!</definedName>
    <definedName name="Начална_година" localSheetId="4">#REF!</definedName>
    <definedName name="Начална_година" localSheetId="8">#REF!</definedName>
    <definedName name="Начална_година" localSheetId="9">#REF!</definedName>
    <definedName name="Начална_година" localSheetId="10">#REF!</definedName>
    <definedName name="Начална_година" localSheetId="11">#REF!</definedName>
    <definedName name="Начална_година" localSheetId="33">#REF!</definedName>
    <definedName name="Начална_година" localSheetId="30">#REF!</definedName>
    <definedName name="Начална_година" localSheetId="31">#REF!</definedName>
    <definedName name="Начална_година" localSheetId="29">#REF!</definedName>
    <definedName name="Начална_година" localSheetId="0">#REF!</definedName>
    <definedName name="Начална_година">#REF!</definedName>
    <definedName name="_xlnm.Print_Area" localSheetId="1">'1. Обща информация'!$A$1:$D$50</definedName>
    <definedName name="_xlnm.Print_Area" localSheetId="12">'10. Финансиране на ИП'!$A$1:$AX$87</definedName>
    <definedName name="_xlnm.Print_Area" localSheetId="13">'11. Амортиз. план'!$A$1:$AO$294</definedName>
    <definedName name="_xlnm.Print_Area" localSheetId="14">'11.1.Амортиз.нови активи'!$A$1:$AT$122</definedName>
    <definedName name="_xlnm.Print_Area" localSheetId="15">'11.2. ДА за периода'!$A$1:$AT$191</definedName>
    <definedName name="_xlnm.Print_Area" localSheetId="16">'11.3. ДА Базова година'!$A$1:$X$241</definedName>
    <definedName name="_xlnm.Print_Area" localSheetId="17">'12. Разходи'!$A$1:$BH$95,'12. Разходи'!$A$96:$Z$122</definedName>
    <definedName name="_xlnm.Print_Area" localSheetId="18">'12.1. Разходи изменение'!$A$1:$BE$95,'12.1. Разходи изменение'!$A$97:$AT$112</definedName>
    <definedName name="_xlnm.Print_Area" localSheetId="19">'12.2.Нови дейности или обекти'!$A$1:$AA$155</definedName>
    <definedName name="_xlnm.Print_Area" localSheetId="20">'13. Соц. поносимост'!$A$1:$I$27</definedName>
    <definedName name="_xlnm.Print_Area" localSheetId="21">'14. ОПР'!$A$1:$G$51</definedName>
    <definedName name="_xlnm.Print_Area" localSheetId="22">'15. ОПП'!$A$1:$G$55</definedName>
    <definedName name="_xlnm.Print_Area" localSheetId="23">'16. Необходими приходи'!$A$1:$H$70</definedName>
    <definedName name="_xlnm.Print_Area" localSheetId="24">'17. РБА'!$A$1:$G$86</definedName>
    <definedName name="_xlnm.Print_Area" localSheetId="25">'18. OK'!$A$1:$H$38</definedName>
    <definedName name="_xlnm.Print_Area" localSheetId="26">'19. HB'!$A$1:$H$37</definedName>
    <definedName name="_xlnm.Print_Area" localSheetId="27">'20.Цени '!$A$2:$N$30</definedName>
    <definedName name="_xlnm.Print_Area" localSheetId="3">'3. Показатели за качество'!$A$1:$V$56</definedName>
    <definedName name="_xlnm.Print_Area" localSheetId="4">'4. Отчет и прогн. потребление'!$A$1:$I$123</definedName>
    <definedName name="_xlnm.Print_Area" localSheetId="5">'4.1. Фактурирани количества'!$A$1:$M$139</definedName>
    <definedName name="_xlnm.Print_Area" localSheetId="7">'5. Персонал'!$A$1:$CQ$79</definedName>
    <definedName name="_xlnm.Print_Area" localSheetId="8">'6. Ел.Енергия'!$A$1:$AG$119</definedName>
    <definedName name="_xlnm.Print_Area" localSheetId="9">'7. Утайки от ПСОВ'!$A$1:$U$50</definedName>
    <definedName name="_xlnm.Print_Area" localSheetId="10">'8. Ремонтна програма'!$A$1:$AI$165</definedName>
    <definedName name="_xlnm.Print_Area" localSheetId="11">'9.Инвестиционна програма'!$A$1:$AX$157</definedName>
    <definedName name="Общо_разходи_за_заплати" localSheetId="1">#REF!</definedName>
    <definedName name="Общо_разходи_за_заплати" localSheetId="12">#REF!</definedName>
    <definedName name="Общо_разходи_за_заплати" localSheetId="16">#REF!</definedName>
    <definedName name="Общо_разходи_за_заплати" localSheetId="20">#REF!</definedName>
    <definedName name="Общо_разходи_за_заплати" localSheetId="21">#REF!</definedName>
    <definedName name="Общо_разходи_за_заплати" localSheetId="22">#REF!</definedName>
    <definedName name="Общо_разходи_за_заплати" localSheetId="24">#REF!</definedName>
    <definedName name="Общо_разходи_за_заплати" localSheetId="4">#REF!</definedName>
    <definedName name="Общо_разходи_за_заплати" localSheetId="8">#REF!</definedName>
    <definedName name="Общо_разходи_за_заплати" localSheetId="9">#REF!</definedName>
    <definedName name="Общо_разходи_за_заплати" localSheetId="10">#REF!</definedName>
    <definedName name="Общо_разходи_за_заплати" localSheetId="11">#REF!</definedName>
    <definedName name="Общо_разходи_за_заплати" localSheetId="33">#REF!</definedName>
    <definedName name="Общо_разходи_за_заплати" localSheetId="30">#REF!</definedName>
    <definedName name="Общо_разходи_за_заплати" localSheetId="31">#REF!</definedName>
    <definedName name="Общо_разходи_за_заплати" localSheetId="29">#REF!</definedName>
    <definedName name="Общо_разходи_за_заплати" localSheetId="0">#REF!</definedName>
    <definedName name="Общо_разходи_за_заплати">#REF!</definedName>
    <definedName name="Отчетна_стойност_на_продадените_стоки" localSheetId="16" hidden="1">[1]Себестойност!$A$125:$IV$125</definedName>
    <definedName name="Отчетна_стойност_на_продадените_стоки" localSheetId="9" hidden="1">[1]Себестойност!$125:$125</definedName>
    <definedName name="Отчетна_стойност_на_продадените_стоки" hidden="1">[1]Себестойност!$A$125:$IV$125</definedName>
    <definedName name="Печалба_загуба" localSheetId="1">#REF!</definedName>
    <definedName name="Печалба_загуба" localSheetId="12">#REF!</definedName>
    <definedName name="Печалба_загуба" localSheetId="16">#REF!</definedName>
    <definedName name="Печалба_загуба" localSheetId="20">#REF!</definedName>
    <definedName name="Печалба_загуба" localSheetId="21">#REF!</definedName>
    <definedName name="Печалба_загуба" localSheetId="22">#REF!</definedName>
    <definedName name="Печалба_загуба" localSheetId="24">#REF!</definedName>
    <definedName name="Печалба_загуба" localSheetId="4">#REF!</definedName>
    <definedName name="Печалба_загуба" localSheetId="8">#REF!</definedName>
    <definedName name="Печалба_загуба" localSheetId="9">#REF!</definedName>
    <definedName name="Печалба_загуба" localSheetId="10">#REF!</definedName>
    <definedName name="Печалба_загуба" localSheetId="11">#REF!</definedName>
    <definedName name="Печалба_загуба" localSheetId="33">#REF!</definedName>
    <definedName name="Печалба_загуба" localSheetId="30">#REF!</definedName>
    <definedName name="Печалба_загуба" localSheetId="31">#REF!</definedName>
    <definedName name="Печалба_загуба" localSheetId="29">#REF!</definedName>
    <definedName name="Печалба_загуба" localSheetId="0">#REF!</definedName>
    <definedName name="Печалба_загуба">#REF!</definedName>
    <definedName name="_xlnm.Print_Titles" localSheetId="12">'10. Финансиране на ИП'!$A:$B</definedName>
    <definedName name="_xlnm.Print_Titles" localSheetId="13">'11. Амортиз. план'!$A:$D,'11. Амортиз. план'!$7:$8</definedName>
    <definedName name="_xlnm.Print_Titles" localSheetId="14">'11.1.Амортиз.нови активи'!$A:$D,'11.1.Амортиз.нови активи'!$9:$10</definedName>
    <definedName name="_xlnm.Print_Titles" localSheetId="15">'11.2. ДА за периода'!$A:$D,'11.2. ДА за периода'!$8:$9</definedName>
    <definedName name="_xlnm.Print_Titles" localSheetId="16">'11.3. ДА Базова година'!$7:$9</definedName>
    <definedName name="_xlnm.Print_Titles" localSheetId="17">'12. Разходи'!$A:$B,'12. Разходи'!$8:$10</definedName>
    <definedName name="_xlnm.Print_Titles" localSheetId="18">'12.1. Разходи изменение'!$A:$B,'12.1. Разходи изменение'!$7:$10</definedName>
    <definedName name="_xlnm.Print_Titles" localSheetId="19">'12.2.Нови дейности или обекти'!$A:$B</definedName>
    <definedName name="_xlnm.Print_Titles" localSheetId="2">'2. Променливи'!$7:$8</definedName>
    <definedName name="_xlnm.Print_Titles" localSheetId="4">'4. Отчет и прогн. потребление'!$7:$7</definedName>
    <definedName name="_xlnm.Print_Titles" localSheetId="5">'4.1. Фактурирани количества'!$7:$8</definedName>
    <definedName name="_xlnm.Print_Titles" localSheetId="6">'4.2. Продад. и закупени кол-ва'!$7:$7</definedName>
    <definedName name="_xlnm.Print_Titles" localSheetId="7">'5. Персонал'!$A:$B,'5. Персонал'!$7:$9</definedName>
    <definedName name="_xlnm.Print_Titles" localSheetId="10">'8. Ремонтна програма'!$7:$8</definedName>
    <definedName name="_xlnm.Print_Titles" localSheetId="11">'9.Инвестиционна програма'!$A:$E,'9.Инвестиционна програма'!$8:$9</definedName>
    <definedName name="Платен_ДДС" localSheetId="1">#REF!</definedName>
    <definedName name="Платен_ДДС" localSheetId="12">#REF!</definedName>
    <definedName name="Платен_ДДС" localSheetId="16">#REF!</definedName>
    <definedName name="Платен_ДДС" localSheetId="20">#REF!</definedName>
    <definedName name="Платен_ДДС" localSheetId="21">#REF!</definedName>
    <definedName name="Платен_ДДС" localSheetId="22">#REF!</definedName>
    <definedName name="Платен_ДДС" localSheetId="24">#REF!</definedName>
    <definedName name="Платен_ДДС" localSheetId="4">#REF!</definedName>
    <definedName name="Платен_ДДС" localSheetId="8">#REF!</definedName>
    <definedName name="Платен_ДДС" localSheetId="9">#REF!</definedName>
    <definedName name="Платен_ДДС" localSheetId="10">#REF!</definedName>
    <definedName name="Платен_ДДС" localSheetId="11">#REF!</definedName>
    <definedName name="Платен_ДДС" localSheetId="33">#REF!</definedName>
    <definedName name="Платен_ДДС" localSheetId="30">#REF!</definedName>
    <definedName name="Платен_ДДС" localSheetId="31">#REF!</definedName>
    <definedName name="Платен_ДДС" localSheetId="29">#REF!</definedName>
    <definedName name="Платен_ДДС" localSheetId="0">#REF!</definedName>
    <definedName name="Платен_ДДС">#REF!</definedName>
    <definedName name="Погасяване_главници_ДЗ" localSheetId="1">#REF!</definedName>
    <definedName name="Погасяване_главници_ДЗ" localSheetId="12">#REF!</definedName>
    <definedName name="Погасяване_главници_ДЗ" localSheetId="16">#REF!</definedName>
    <definedName name="Погасяване_главници_ДЗ" localSheetId="20">#REF!</definedName>
    <definedName name="Погасяване_главници_ДЗ" localSheetId="21">#REF!</definedName>
    <definedName name="Погасяване_главници_ДЗ" localSheetId="22">#REF!</definedName>
    <definedName name="Погасяване_главници_ДЗ" localSheetId="24">#REF!</definedName>
    <definedName name="Погасяване_главници_ДЗ" localSheetId="4">#REF!</definedName>
    <definedName name="Погасяване_главници_ДЗ" localSheetId="8">#REF!</definedName>
    <definedName name="Погасяване_главници_ДЗ" localSheetId="9">#REF!</definedName>
    <definedName name="Погасяване_главници_ДЗ" localSheetId="10">#REF!</definedName>
    <definedName name="Погасяване_главници_ДЗ" localSheetId="11">#REF!</definedName>
    <definedName name="Погасяване_главници_ДЗ" localSheetId="33">#REF!</definedName>
    <definedName name="Погасяване_главници_ДЗ" localSheetId="30">#REF!</definedName>
    <definedName name="Погасяване_главници_ДЗ" localSheetId="31">#REF!</definedName>
    <definedName name="Погасяване_главници_ДЗ" localSheetId="29">#REF!</definedName>
    <definedName name="Погасяване_главници_ДЗ" localSheetId="0">#REF!</definedName>
    <definedName name="Погасяване_главници_ДЗ">#REF!</definedName>
    <definedName name="Погасяване_главници_КЗ" localSheetId="1">#REF!</definedName>
    <definedName name="Погасяване_главници_КЗ" localSheetId="12">#REF!</definedName>
    <definedName name="Погасяване_главници_КЗ" localSheetId="16">#REF!</definedName>
    <definedName name="Погасяване_главници_КЗ" localSheetId="20">#REF!</definedName>
    <definedName name="Погасяване_главници_КЗ" localSheetId="21">#REF!</definedName>
    <definedName name="Погасяване_главници_КЗ" localSheetId="22">#REF!</definedName>
    <definedName name="Погасяване_главници_КЗ" localSheetId="24">#REF!</definedName>
    <definedName name="Погасяване_главници_КЗ" localSheetId="4">#REF!</definedName>
    <definedName name="Погасяване_главници_КЗ" localSheetId="8">#REF!</definedName>
    <definedName name="Погасяване_главници_КЗ" localSheetId="9">#REF!</definedName>
    <definedName name="Погасяване_главници_КЗ" localSheetId="10">#REF!</definedName>
    <definedName name="Погасяване_главници_КЗ" localSheetId="11">#REF!</definedName>
    <definedName name="Погасяване_главници_КЗ" localSheetId="33">#REF!</definedName>
    <definedName name="Погасяване_главници_КЗ" localSheetId="30">#REF!</definedName>
    <definedName name="Погасяване_главници_КЗ" localSheetId="31">#REF!</definedName>
    <definedName name="Погасяване_главници_КЗ" localSheetId="29">#REF!</definedName>
    <definedName name="Погасяване_главници_КЗ" localSheetId="0">#REF!</definedName>
    <definedName name="Погасяване_главници_КЗ">#REF!</definedName>
    <definedName name="Погасяване_главници_ОЗ" localSheetId="1">#REF!</definedName>
    <definedName name="Погасяване_главници_ОЗ" localSheetId="12">#REF!</definedName>
    <definedName name="Погасяване_главници_ОЗ" localSheetId="16">#REF!</definedName>
    <definedName name="Погасяване_главници_ОЗ" localSheetId="20">#REF!</definedName>
    <definedName name="Погасяване_главници_ОЗ" localSheetId="21">#REF!</definedName>
    <definedName name="Погасяване_главници_ОЗ" localSheetId="22">#REF!</definedName>
    <definedName name="Погасяване_главници_ОЗ" localSheetId="24">#REF!</definedName>
    <definedName name="Погасяване_главници_ОЗ" localSheetId="4">#REF!</definedName>
    <definedName name="Погасяване_главници_ОЗ" localSheetId="8">#REF!</definedName>
    <definedName name="Погасяване_главници_ОЗ" localSheetId="9">#REF!</definedName>
    <definedName name="Погасяване_главници_ОЗ" localSheetId="10">#REF!</definedName>
    <definedName name="Погасяване_главници_ОЗ" localSheetId="11">#REF!</definedName>
    <definedName name="Погасяване_главници_ОЗ" localSheetId="33">#REF!</definedName>
    <definedName name="Погасяване_главници_ОЗ" localSheetId="30">#REF!</definedName>
    <definedName name="Погасяване_главници_ОЗ" localSheetId="31">#REF!</definedName>
    <definedName name="Погасяване_главници_ОЗ" localSheetId="29">#REF!</definedName>
    <definedName name="Погасяване_главници_ОЗ" localSheetId="0">#REF!</definedName>
    <definedName name="Погасяване_главници_ОЗ">#REF!</definedName>
    <definedName name="Получен_ДДС_от_бюджета_през_периода" localSheetId="1">#REF!</definedName>
    <definedName name="Получен_ДДС_от_бюджета_през_периода" localSheetId="12">#REF!</definedName>
    <definedName name="Получен_ДДС_от_бюджета_през_периода" localSheetId="16">#REF!</definedName>
    <definedName name="Получен_ДДС_от_бюджета_през_периода" localSheetId="20">#REF!</definedName>
    <definedName name="Получен_ДДС_от_бюджета_през_периода" localSheetId="21">#REF!</definedName>
    <definedName name="Получен_ДДС_от_бюджета_през_периода" localSheetId="22">#REF!</definedName>
    <definedName name="Получен_ДДС_от_бюджета_през_периода" localSheetId="24">#REF!</definedName>
    <definedName name="Получен_ДДС_от_бюджета_през_периода" localSheetId="4">#REF!</definedName>
    <definedName name="Получен_ДДС_от_бюджета_през_периода" localSheetId="8">#REF!</definedName>
    <definedName name="Получен_ДДС_от_бюджета_през_периода" localSheetId="9">#REF!</definedName>
    <definedName name="Получен_ДДС_от_бюджета_през_периода" localSheetId="10">#REF!</definedName>
    <definedName name="Получен_ДДС_от_бюджета_през_периода" localSheetId="11">#REF!</definedName>
    <definedName name="Получен_ДДС_от_бюджета_през_периода" localSheetId="33">#REF!</definedName>
    <definedName name="Получен_ДДС_от_бюджета_през_периода" localSheetId="30">#REF!</definedName>
    <definedName name="Получен_ДДС_от_бюджета_през_периода" localSheetId="31">#REF!</definedName>
    <definedName name="Получен_ДДС_от_бюджета_през_периода" localSheetId="29">#REF!</definedName>
    <definedName name="Получен_ДДС_от_бюджета_през_периода" localSheetId="0">#REF!</definedName>
    <definedName name="Получен_ДДС_от_бюджета_през_периода">#REF!</definedName>
    <definedName name="Получени_вземания_по_ЗДВ" localSheetId="16" hidden="1">'[1]Собствен капитал'!$A$5:$IV$5</definedName>
    <definedName name="Получени_вземания_по_ЗДВ" localSheetId="9" hidden="1">'[1]Собствен капитал'!$5:$5</definedName>
    <definedName name="Получени_вземания_по_ЗДВ" hidden="1">'[1]Собствен капитал'!$A$5:$IV$5</definedName>
    <definedName name="Получени_ДЗ" localSheetId="1">#REF!</definedName>
    <definedName name="Получени_ДЗ" localSheetId="12">#REF!</definedName>
    <definedName name="Получени_ДЗ" localSheetId="16">#REF!</definedName>
    <definedName name="Получени_ДЗ" localSheetId="20">#REF!</definedName>
    <definedName name="Получени_ДЗ" localSheetId="21">#REF!</definedName>
    <definedName name="Получени_ДЗ" localSheetId="22">#REF!</definedName>
    <definedName name="Получени_ДЗ" localSheetId="24">#REF!</definedName>
    <definedName name="Получени_ДЗ" localSheetId="4">#REF!</definedName>
    <definedName name="Получени_ДЗ" localSheetId="8">#REF!</definedName>
    <definedName name="Получени_ДЗ" localSheetId="9">#REF!</definedName>
    <definedName name="Получени_ДЗ" localSheetId="10">#REF!</definedName>
    <definedName name="Получени_ДЗ" localSheetId="11">#REF!</definedName>
    <definedName name="Получени_ДЗ" localSheetId="33">#REF!</definedName>
    <definedName name="Получени_ДЗ" localSheetId="30">#REF!</definedName>
    <definedName name="Получени_ДЗ" localSheetId="31">#REF!</definedName>
    <definedName name="Получени_ДЗ" localSheetId="29">#REF!</definedName>
    <definedName name="Получени_ДЗ" localSheetId="0">#REF!</definedName>
    <definedName name="Получени_ДЗ">#REF!</definedName>
    <definedName name="Получени_КЗ" localSheetId="1">#REF!</definedName>
    <definedName name="Получени_КЗ" localSheetId="12">#REF!</definedName>
    <definedName name="Получени_КЗ" localSheetId="16">#REF!</definedName>
    <definedName name="Получени_КЗ" localSheetId="20">#REF!</definedName>
    <definedName name="Получени_КЗ" localSheetId="21">#REF!</definedName>
    <definedName name="Получени_КЗ" localSheetId="22">#REF!</definedName>
    <definedName name="Получени_КЗ" localSheetId="24">#REF!</definedName>
    <definedName name="Получени_КЗ" localSheetId="4">#REF!</definedName>
    <definedName name="Получени_КЗ" localSheetId="8">#REF!</definedName>
    <definedName name="Получени_КЗ" localSheetId="9">#REF!</definedName>
    <definedName name="Получени_КЗ" localSheetId="10">#REF!</definedName>
    <definedName name="Получени_КЗ" localSheetId="11">#REF!</definedName>
    <definedName name="Получени_КЗ" localSheetId="33">#REF!</definedName>
    <definedName name="Получени_КЗ" localSheetId="30">#REF!</definedName>
    <definedName name="Получени_КЗ" localSheetId="31">#REF!</definedName>
    <definedName name="Получени_КЗ" localSheetId="29">#REF!</definedName>
    <definedName name="Получени_КЗ" localSheetId="0">#REF!</definedName>
    <definedName name="Получени_КЗ">#REF!</definedName>
    <definedName name="Получени_ОЗ" localSheetId="1">#REF!</definedName>
    <definedName name="Получени_ОЗ" localSheetId="12">#REF!</definedName>
    <definedName name="Получени_ОЗ" localSheetId="16">#REF!</definedName>
    <definedName name="Получени_ОЗ" localSheetId="20">#REF!</definedName>
    <definedName name="Получени_ОЗ" localSheetId="21">#REF!</definedName>
    <definedName name="Получени_ОЗ" localSheetId="22">#REF!</definedName>
    <definedName name="Получени_ОЗ" localSheetId="24">#REF!</definedName>
    <definedName name="Получени_ОЗ" localSheetId="4">#REF!</definedName>
    <definedName name="Получени_ОЗ" localSheetId="8">#REF!</definedName>
    <definedName name="Получени_ОЗ" localSheetId="9">#REF!</definedName>
    <definedName name="Получени_ОЗ" localSheetId="10">#REF!</definedName>
    <definedName name="Получени_ОЗ" localSheetId="11">#REF!</definedName>
    <definedName name="Получени_ОЗ" localSheetId="33">#REF!</definedName>
    <definedName name="Получени_ОЗ" localSheetId="30">#REF!</definedName>
    <definedName name="Получени_ОЗ" localSheetId="31">#REF!</definedName>
    <definedName name="Получени_ОЗ" localSheetId="29">#REF!</definedName>
    <definedName name="Получени_ОЗ" localSheetId="0">#REF!</definedName>
    <definedName name="Получени_ОЗ">#REF!</definedName>
    <definedName name="Получени_съучастия" localSheetId="16" hidden="1">'[1]Собствен капитал'!$A$4:$IV$4</definedName>
    <definedName name="Получени_съучастия" localSheetId="9" hidden="1">'[1]Собствен капитал'!$4:$4</definedName>
    <definedName name="Получени_съучастия" hidden="1">'[1]Собствен капитал'!$A$4:$IV$4</definedName>
    <definedName name="Получени_финансирания" localSheetId="1">#REF!</definedName>
    <definedName name="Получени_финансирания" localSheetId="12">#REF!</definedName>
    <definedName name="Получени_финансирания" localSheetId="16">#REF!</definedName>
    <definedName name="Получени_финансирания" localSheetId="20">#REF!</definedName>
    <definedName name="Получени_финансирания" localSheetId="21">#REF!</definedName>
    <definedName name="Получени_финансирания" localSheetId="22">#REF!</definedName>
    <definedName name="Получени_финансирания" localSheetId="24">#REF!</definedName>
    <definedName name="Получени_финансирания" localSheetId="4">#REF!</definedName>
    <definedName name="Получени_финансирания" localSheetId="8">#REF!</definedName>
    <definedName name="Получени_финансирания" localSheetId="9">#REF!</definedName>
    <definedName name="Получени_финансирания" localSheetId="10">#REF!</definedName>
    <definedName name="Получени_финансирания" localSheetId="11">#REF!</definedName>
    <definedName name="Получени_финансирания" localSheetId="33">#REF!</definedName>
    <definedName name="Получени_финансирания" localSheetId="30">#REF!</definedName>
    <definedName name="Получени_финансирания" localSheetId="31">#REF!</definedName>
    <definedName name="Получени_финансирания" localSheetId="29">#REF!</definedName>
    <definedName name="Получени_финансирания" localSheetId="0">#REF!</definedName>
    <definedName name="Получени_финансирания">#REF!</definedName>
    <definedName name="Продажби" localSheetId="1">#REF!</definedName>
    <definedName name="Продажби" localSheetId="12">#REF!</definedName>
    <definedName name="Продажби" localSheetId="16">#REF!</definedName>
    <definedName name="Продажби" localSheetId="20">#REF!</definedName>
    <definedName name="Продажби" localSheetId="21">#REF!</definedName>
    <definedName name="Продажби" localSheetId="22">#REF!</definedName>
    <definedName name="Продажби" localSheetId="24">#REF!</definedName>
    <definedName name="Продажби" localSheetId="4">#REF!</definedName>
    <definedName name="Продажби" localSheetId="8">#REF!</definedName>
    <definedName name="Продажби" localSheetId="9">#REF!</definedName>
    <definedName name="Продажби" localSheetId="10">#REF!</definedName>
    <definedName name="Продажби" localSheetId="11">#REF!</definedName>
    <definedName name="Продажби" localSheetId="33">#REF!</definedName>
    <definedName name="Продажби" localSheetId="30">#REF!</definedName>
    <definedName name="Продажби" localSheetId="31">#REF!</definedName>
    <definedName name="Продажби" localSheetId="29">#REF!</definedName>
    <definedName name="Продажби" localSheetId="0">#REF!</definedName>
    <definedName name="Продажби">#REF!</definedName>
    <definedName name="Разходи_за_външни_услуги" localSheetId="1">#REF!</definedName>
    <definedName name="Разходи_за_външни_услуги" localSheetId="12">#REF!</definedName>
    <definedName name="Разходи_за_външни_услуги" localSheetId="16">#REF!</definedName>
    <definedName name="Разходи_за_външни_услуги" localSheetId="20">#REF!</definedName>
    <definedName name="Разходи_за_външни_услуги" localSheetId="21">#REF!</definedName>
    <definedName name="Разходи_за_външни_услуги" localSheetId="22">#REF!</definedName>
    <definedName name="Разходи_за_външни_услуги" localSheetId="24">#REF!</definedName>
    <definedName name="Разходи_за_външни_услуги" localSheetId="4">#REF!</definedName>
    <definedName name="Разходи_за_външни_услуги" localSheetId="8">#REF!</definedName>
    <definedName name="Разходи_за_външни_услуги" localSheetId="9">#REF!</definedName>
    <definedName name="Разходи_за_външни_услуги" localSheetId="10">#REF!</definedName>
    <definedName name="Разходи_за_външни_услуги" localSheetId="11">#REF!</definedName>
    <definedName name="Разходи_за_външни_услуги" localSheetId="33">#REF!</definedName>
    <definedName name="Разходи_за_външни_услуги" localSheetId="30">#REF!</definedName>
    <definedName name="Разходи_за_външни_услуги" localSheetId="31">#REF!</definedName>
    <definedName name="Разходи_за_външни_услуги" localSheetId="29">#REF!</definedName>
    <definedName name="Разходи_за_външни_услуги" localSheetId="0">#REF!</definedName>
    <definedName name="Разходи_за_външни_услуги">#REF!</definedName>
    <definedName name="Разходи_за_материали" localSheetId="1">#REF!</definedName>
    <definedName name="Разходи_за_материали" localSheetId="12">#REF!</definedName>
    <definedName name="Разходи_за_материали" localSheetId="16">#REF!</definedName>
    <definedName name="Разходи_за_материали" localSheetId="20">#REF!</definedName>
    <definedName name="Разходи_за_материали" localSheetId="21">#REF!</definedName>
    <definedName name="Разходи_за_материали" localSheetId="22">#REF!</definedName>
    <definedName name="Разходи_за_материали" localSheetId="24">#REF!</definedName>
    <definedName name="Разходи_за_материали" localSheetId="4">#REF!</definedName>
    <definedName name="Разходи_за_материали" localSheetId="8">#REF!</definedName>
    <definedName name="Разходи_за_материали" localSheetId="9">#REF!</definedName>
    <definedName name="Разходи_за_материали" localSheetId="10">#REF!</definedName>
    <definedName name="Разходи_за_материали" localSheetId="11">#REF!</definedName>
    <definedName name="Разходи_за_материали" localSheetId="33">#REF!</definedName>
    <definedName name="Разходи_за_материали" localSheetId="30">#REF!</definedName>
    <definedName name="Разходи_за_материали" localSheetId="31">#REF!</definedName>
    <definedName name="Разходи_за_материали" localSheetId="29">#REF!</definedName>
    <definedName name="Разходи_за_материали" localSheetId="0">#REF!</definedName>
    <definedName name="Разходи_за_материали">#REF!</definedName>
    <definedName name="Разходи_за_осигуровки" localSheetId="1">#REF!</definedName>
    <definedName name="Разходи_за_осигуровки" localSheetId="12">#REF!</definedName>
    <definedName name="Разходи_за_осигуровки" localSheetId="16">#REF!</definedName>
    <definedName name="Разходи_за_осигуровки" localSheetId="20">#REF!</definedName>
    <definedName name="Разходи_за_осигуровки" localSheetId="21">#REF!</definedName>
    <definedName name="Разходи_за_осигуровки" localSheetId="22">#REF!</definedName>
    <definedName name="Разходи_за_осигуровки" localSheetId="24">#REF!</definedName>
    <definedName name="Разходи_за_осигуровки" localSheetId="4">#REF!</definedName>
    <definedName name="Разходи_за_осигуровки" localSheetId="8">#REF!</definedName>
    <definedName name="Разходи_за_осигуровки" localSheetId="9">#REF!</definedName>
    <definedName name="Разходи_за_осигуровки" localSheetId="10">#REF!</definedName>
    <definedName name="Разходи_за_осигуровки" localSheetId="11">#REF!</definedName>
    <definedName name="Разходи_за_осигуровки" localSheetId="33">#REF!</definedName>
    <definedName name="Разходи_за_осигуровки" localSheetId="30">#REF!</definedName>
    <definedName name="Разходи_за_осигуровки" localSheetId="31">#REF!</definedName>
    <definedName name="Разходи_за_осигуровки" localSheetId="29">#REF!</definedName>
    <definedName name="Разходи_за_осигуровки" localSheetId="0">#REF!</definedName>
    <definedName name="Разходи_за_осигуровки">#REF!</definedName>
    <definedName name="Срок_на_плащане" localSheetId="1">#REF!</definedName>
    <definedName name="Срок_на_плащане" localSheetId="12">#REF!</definedName>
    <definedName name="Срок_на_плащане" localSheetId="16">#REF!</definedName>
    <definedName name="Срок_на_плащане" localSheetId="20">#REF!</definedName>
    <definedName name="Срок_на_плащане" localSheetId="21">#REF!</definedName>
    <definedName name="Срок_на_плащане" localSheetId="22">#REF!</definedName>
    <definedName name="Срок_на_плащане" localSheetId="24">#REF!</definedName>
    <definedName name="Срок_на_плащане" localSheetId="4">#REF!</definedName>
    <definedName name="Срок_на_плащане" localSheetId="8">#REF!</definedName>
    <definedName name="Срок_на_плащане" localSheetId="9">#REF!</definedName>
    <definedName name="Срок_на_плащане" localSheetId="10">#REF!</definedName>
    <definedName name="Срок_на_плащане" localSheetId="11">#REF!</definedName>
    <definedName name="Срок_на_плащане" localSheetId="33">#REF!</definedName>
    <definedName name="Срок_на_плащане" localSheetId="30">#REF!</definedName>
    <definedName name="Срок_на_плащане" localSheetId="31">#REF!</definedName>
    <definedName name="Срок_на_плащане" localSheetId="29">#REF!</definedName>
    <definedName name="Срок_на_плащане" localSheetId="0">#REF!</definedName>
    <definedName name="Срок_на_плащане">#REF!</definedName>
    <definedName name="Срок_на_събиране_на_вземанията" localSheetId="1">#REF!</definedName>
    <definedName name="Срок_на_събиране_на_вземанията" localSheetId="12">#REF!</definedName>
    <definedName name="Срок_на_събиране_на_вземанията" localSheetId="16">#REF!</definedName>
    <definedName name="Срок_на_събиране_на_вземанията" localSheetId="20">#REF!</definedName>
    <definedName name="Срок_на_събиране_на_вземанията" localSheetId="21">#REF!</definedName>
    <definedName name="Срок_на_събиране_на_вземанията" localSheetId="22">#REF!</definedName>
    <definedName name="Срок_на_събиране_на_вземанията" localSheetId="24">#REF!</definedName>
    <definedName name="Срок_на_събиране_на_вземанията" localSheetId="4">#REF!</definedName>
    <definedName name="Срок_на_събиране_на_вземанията" localSheetId="8">#REF!</definedName>
    <definedName name="Срок_на_събиране_на_вземанията" localSheetId="9">#REF!</definedName>
    <definedName name="Срок_на_събиране_на_вземанията" localSheetId="10">#REF!</definedName>
    <definedName name="Срок_на_събиране_на_вземанията" localSheetId="11">#REF!</definedName>
    <definedName name="Срок_на_събиране_на_вземанията" localSheetId="33">#REF!</definedName>
    <definedName name="Срок_на_събиране_на_вземанията" localSheetId="30">#REF!</definedName>
    <definedName name="Срок_на_събиране_на_вземанията" localSheetId="31">#REF!</definedName>
    <definedName name="Срок_на_събиране_на_вземанията" localSheetId="29">#REF!</definedName>
    <definedName name="Срок_на_събиране_на_вземанията" localSheetId="0">#REF!</definedName>
    <definedName name="Срок_на_събиране_на_вземанията">#REF!</definedName>
    <definedName name="Ставка_ДДС" localSheetId="1">#REF!</definedName>
    <definedName name="Ставка_ДДС" localSheetId="12">#REF!</definedName>
    <definedName name="Ставка_ДДС" localSheetId="16">#REF!</definedName>
    <definedName name="Ставка_ДДС" localSheetId="20">#REF!</definedName>
    <definedName name="Ставка_ДДС" localSheetId="21">#REF!</definedName>
    <definedName name="Ставка_ДДС" localSheetId="22">#REF!</definedName>
    <definedName name="Ставка_ДДС" localSheetId="24">#REF!</definedName>
    <definedName name="Ставка_ДДС" localSheetId="4">#REF!</definedName>
    <definedName name="Ставка_ДДС" localSheetId="8">#REF!</definedName>
    <definedName name="Ставка_ДДС" localSheetId="9">#REF!</definedName>
    <definedName name="Ставка_ДДС" localSheetId="10">#REF!</definedName>
    <definedName name="Ставка_ДДС" localSheetId="11">#REF!</definedName>
    <definedName name="Ставка_ДДС" localSheetId="33">#REF!</definedName>
    <definedName name="Ставка_ДДС" localSheetId="30">#REF!</definedName>
    <definedName name="Ставка_ДДС" localSheetId="31">#REF!</definedName>
    <definedName name="Ставка_ДДС" localSheetId="29">#REF!</definedName>
    <definedName name="Ставка_ДДС" localSheetId="0">#REF!</definedName>
    <definedName name="Ставка_ДДС">#REF!</definedName>
    <definedName name="Събран_ДДС" localSheetId="1">#REF!</definedName>
    <definedName name="Събран_ДДС" localSheetId="12">#REF!</definedName>
    <definedName name="Събран_ДДС" localSheetId="16">#REF!</definedName>
    <definedName name="Събран_ДДС" localSheetId="20">#REF!</definedName>
    <definedName name="Събран_ДДС" localSheetId="21">#REF!</definedName>
    <definedName name="Събран_ДДС" localSheetId="22">#REF!</definedName>
    <definedName name="Събран_ДДС" localSheetId="24">#REF!</definedName>
    <definedName name="Събран_ДДС" localSheetId="4">#REF!</definedName>
    <definedName name="Събран_ДДС" localSheetId="8">#REF!</definedName>
    <definedName name="Събран_ДДС" localSheetId="9">#REF!</definedName>
    <definedName name="Събран_ДДС" localSheetId="10">#REF!</definedName>
    <definedName name="Събран_ДДС" localSheetId="11">#REF!</definedName>
    <definedName name="Събран_ДДС" localSheetId="33">#REF!</definedName>
    <definedName name="Събран_ДДС" localSheetId="30">#REF!</definedName>
    <definedName name="Събран_ДДС" localSheetId="31">#REF!</definedName>
    <definedName name="Събран_ДДС" localSheetId="29">#REF!</definedName>
    <definedName name="Събран_ДДС" localSheetId="0">#REF!</definedName>
    <definedName name="Събран_ДДС">#REF!</definedName>
    <definedName name="Услуга_1" localSheetId="1">#REF!</definedName>
    <definedName name="Услуга_1" localSheetId="12">#REF!</definedName>
    <definedName name="Услуга_1" localSheetId="16">#REF!</definedName>
    <definedName name="Услуга_1" localSheetId="20">#REF!</definedName>
    <definedName name="Услуга_1" localSheetId="21">#REF!</definedName>
    <definedName name="Услуга_1" localSheetId="22">#REF!</definedName>
    <definedName name="Услуга_1" localSheetId="24">#REF!</definedName>
    <definedName name="Услуга_1" localSheetId="4">#REF!</definedName>
    <definedName name="Услуга_1" localSheetId="8">#REF!</definedName>
    <definedName name="Услуга_1" localSheetId="9">#REF!</definedName>
    <definedName name="Услуга_1" localSheetId="10">#REF!</definedName>
    <definedName name="Услуга_1" localSheetId="11">#REF!</definedName>
    <definedName name="Услуга_1" localSheetId="33">#REF!</definedName>
    <definedName name="Услуга_1" localSheetId="30">#REF!</definedName>
    <definedName name="Услуга_1" localSheetId="31">#REF!</definedName>
    <definedName name="Услуга_1" localSheetId="29">#REF!</definedName>
    <definedName name="Услуга_1" localSheetId="0">#REF!</definedName>
    <definedName name="Услуга_1">#REF!</definedName>
    <definedName name="Услуга_2" localSheetId="1">#REF!</definedName>
    <definedName name="Услуга_2" localSheetId="12">#REF!</definedName>
    <definedName name="Услуга_2" localSheetId="16">#REF!</definedName>
    <definedName name="Услуга_2" localSheetId="20">#REF!</definedName>
    <definedName name="Услуга_2" localSheetId="21">#REF!</definedName>
    <definedName name="Услуга_2" localSheetId="22">#REF!</definedName>
    <definedName name="Услуга_2" localSheetId="24">#REF!</definedName>
    <definedName name="Услуга_2" localSheetId="4">#REF!</definedName>
    <definedName name="Услуга_2" localSheetId="8">#REF!</definedName>
    <definedName name="Услуга_2" localSheetId="9">#REF!</definedName>
    <definedName name="Услуга_2" localSheetId="10">#REF!</definedName>
    <definedName name="Услуга_2" localSheetId="11">#REF!</definedName>
    <definedName name="Услуга_2" localSheetId="33">#REF!</definedName>
    <definedName name="Услуга_2" localSheetId="30">#REF!</definedName>
    <definedName name="Услуга_2" localSheetId="31">#REF!</definedName>
    <definedName name="Услуга_2" localSheetId="29">#REF!</definedName>
    <definedName name="Услуга_2" localSheetId="0">#REF!</definedName>
    <definedName name="Услуга_2">#REF!</definedName>
    <definedName name="Услуга_3" localSheetId="1">#REF!</definedName>
    <definedName name="Услуга_3" localSheetId="12">#REF!</definedName>
    <definedName name="Услуга_3" localSheetId="16">#REF!</definedName>
    <definedName name="Услуга_3" localSheetId="20">#REF!</definedName>
    <definedName name="Услуга_3" localSheetId="21">#REF!</definedName>
    <definedName name="Услуга_3" localSheetId="22">#REF!</definedName>
    <definedName name="Услуга_3" localSheetId="24">#REF!</definedName>
    <definedName name="Услуга_3" localSheetId="4">#REF!</definedName>
    <definedName name="Услуга_3" localSheetId="8">#REF!</definedName>
    <definedName name="Услуга_3" localSheetId="9">#REF!</definedName>
    <definedName name="Услуга_3" localSheetId="10">#REF!</definedName>
    <definedName name="Услуга_3" localSheetId="11">#REF!</definedName>
    <definedName name="Услуга_3" localSheetId="33">#REF!</definedName>
    <definedName name="Услуга_3" localSheetId="30">#REF!</definedName>
    <definedName name="Услуга_3" localSheetId="31">#REF!</definedName>
    <definedName name="Услуга_3" localSheetId="29">#REF!</definedName>
    <definedName name="Услуга_3" localSheetId="0">#REF!</definedName>
    <definedName name="Услуга_3">#REF!</definedName>
    <definedName name="Услуга_4" localSheetId="1">#REF!</definedName>
    <definedName name="Услуга_4" localSheetId="12">#REF!</definedName>
    <definedName name="Услуга_4" localSheetId="16">#REF!</definedName>
    <definedName name="Услуга_4" localSheetId="20">#REF!</definedName>
    <definedName name="Услуга_4" localSheetId="21">#REF!</definedName>
    <definedName name="Услуга_4" localSheetId="22">#REF!</definedName>
    <definedName name="Услуга_4" localSheetId="24">#REF!</definedName>
    <definedName name="Услуга_4" localSheetId="4">#REF!</definedName>
    <definedName name="Услуга_4" localSheetId="8">#REF!</definedName>
    <definedName name="Услуга_4" localSheetId="9">#REF!</definedName>
    <definedName name="Услуга_4" localSheetId="10">#REF!</definedName>
    <definedName name="Услуга_4" localSheetId="11">#REF!</definedName>
    <definedName name="Услуга_4" localSheetId="33">#REF!</definedName>
    <definedName name="Услуга_4" localSheetId="30">#REF!</definedName>
    <definedName name="Услуга_4" localSheetId="31">#REF!</definedName>
    <definedName name="Услуга_4" localSheetId="29">#REF!</definedName>
    <definedName name="Услуга_4" localSheetId="0">#REF!</definedName>
    <definedName name="Услуга_4">#REF!</definedName>
    <definedName name="Услуга_5" localSheetId="1">#REF!</definedName>
    <definedName name="Услуга_5" localSheetId="12">#REF!</definedName>
    <definedName name="Услуга_5" localSheetId="16">#REF!</definedName>
    <definedName name="Услуга_5" localSheetId="20">#REF!</definedName>
    <definedName name="Услуга_5" localSheetId="21">#REF!</definedName>
    <definedName name="Услуга_5" localSheetId="22">#REF!</definedName>
    <definedName name="Услуга_5" localSheetId="24">#REF!</definedName>
    <definedName name="Услуга_5" localSheetId="4">#REF!</definedName>
    <definedName name="Услуга_5" localSheetId="8">#REF!</definedName>
    <definedName name="Услуга_5" localSheetId="9">#REF!</definedName>
    <definedName name="Услуга_5" localSheetId="10">#REF!</definedName>
    <definedName name="Услуга_5" localSheetId="11">#REF!</definedName>
    <definedName name="Услуга_5" localSheetId="33">#REF!</definedName>
    <definedName name="Услуга_5" localSheetId="30">#REF!</definedName>
    <definedName name="Услуга_5" localSheetId="31">#REF!</definedName>
    <definedName name="Услуга_5" localSheetId="29">#REF!</definedName>
    <definedName name="Услуга_5" localSheetId="0">#REF!</definedName>
    <definedName name="Услуга_5">#REF!</definedName>
    <definedName name="Услуги_и_др." localSheetId="16" hidden="1">[1]Себестойност!$A$126:$IV$126</definedName>
    <definedName name="Услуги_и_др." localSheetId="9" hidden="1">[1]Себестойност!$126:$126</definedName>
    <definedName name="Услуги_и_др." hidden="1">[1]Себестойност!$A$126:$IV$126</definedName>
    <definedName name="ЧПП" localSheetId="1">#REF!</definedName>
    <definedName name="ЧПП" localSheetId="12">#REF!</definedName>
    <definedName name="ЧПП" localSheetId="16">#REF!</definedName>
    <definedName name="ЧПП" localSheetId="20">#REF!</definedName>
    <definedName name="ЧПП" localSheetId="21">#REF!</definedName>
    <definedName name="ЧПП" localSheetId="22">#REF!</definedName>
    <definedName name="ЧПП" localSheetId="24">#REF!</definedName>
    <definedName name="ЧПП" localSheetId="4">#REF!</definedName>
    <definedName name="ЧПП" localSheetId="8">#REF!</definedName>
    <definedName name="ЧПП" localSheetId="9">#REF!</definedName>
    <definedName name="ЧПП" localSheetId="10">#REF!</definedName>
    <definedName name="ЧПП" localSheetId="11">#REF!</definedName>
    <definedName name="ЧПП" localSheetId="33">#REF!</definedName>
    <definedName name="ЧПП" localSheetId="30">#REF!</definedName>
    <definedName name="ЧПП" localSheetId="31">#REF!</definedName>
    <definedName name="ЧПП" localSheetId="29">#REF!</definedName>
    <definedName name="ЧПП" localSheetId="0">#REF!</definedName>
    <definedName name="ЧПП">#REF!</definedName>
  </definedNames>
  <calcPr calcId="162913"/>
</workbook>
</file>

<file path=xl/calcChain.xml><?xml version="1.0" encoding="utf-8"?>
<calcChain xmlns="http://schemas.openxmlformats.org/spreadsheetml/2006/main">
  <c r="D51" i="17" l="1"/>
  <c r="D50" i="17"/>
  <c r="D49" i="17"/>
  <c r="I39" i="65" l="1"/>
  <c r="F59" i="1" l="1"/>
  <c r="F58" i="1"/>
  <c r="K54" i="74"/>
  <c r="J54" i="74"/>
  <c r="I54" i="74"/>
  <c r="H54" i="74"/>
  <c r="G54" i="74"/>
  <c r="Q42" i="60"/>
  <c r="K42" i="60"/>
  <c r="E42" i="60"/>
  <c r="Q38" i="60"/>
  <c r="Q37" i="60"/>
  <c r="Q36" i="60"/>
  <c r="Q35" i="60"/>
  <c r="Q34" i="60"/>
  <c r="Q33" i="60"/>
  <c r="Q32" i="60"/>
  <c r="Q31" i="60"/>
  <c r="Q30" i="60"/>
  <c r="K38" i="60"/>
  <c r="K37" i="60"/>
  <c r="K36" i="60"/>
  <c r="K35" i="60"/>
  <c r="K34" i="60"/>
  <c r="K33" i="60"/>
  <c r="K32" i="60"/>
  <c r="K31" i="60"/>
  <c r="K30" i="60"/>
  <c r="E31" i="60"/>
  <c r="E32" i="60"/>
  <c r="E33" i="60"/>
  <c r="E34" i="60"/>
  <c r="E35" i="60"/>
  <c r="E36" i="60"/>
  <c r="E37" i="60"/>
  <c r="E38" i="60"/>
  <c r="E30" i="60"/>
  <c r="H32" i="53"/>
  <c r="F53" i="62"/>
  <c r="K48" i="62"/>
  <c r="J52" i="62"/>
  <c r="I26" i="62"/>
  <c r="G59" i="1" l="1"/>
  <c r="G58" i="1"/>
  <c r="F30" i="60"/>
  <c r="G30" i="60" s="1"/>
  <c r="H30" i="60" s="1"/>
  <c r="F31" i="60"/>
  <c r="G31" i="60" s="1"/>
  <c r="H31" i="60" s="1"/>
  <c r="F32" i="60"/>
  <c r="G32" i="60" s="1"/>
  <c r="H32" i="60" s="1"/>
  <c r="F33" i="60"/>
  <c r="G33" i="60" s="1"/>
  <c r="H33" i="60" s="1"/>
  <c r="F34" i="60"/>
  <c r="G34" i="60" s="1"/>
  <c r="H34" i="60" s="1"/>
  <c r="F35" i="60"/>
  <c r="G35" i="60" s="1"/>
  <c r="H35" i="60" s="1"/>
  <c r="F36" i="60"/>
  <c r="G36" i="60" s="1"/>
  <c r="H36" i="60" s="1"/>
  <c r="F37" i="60"/>
  <c r="G37" i="60" s="1"/>
  <c r="H37" i="60" s="1"/>
  <c r="F38" i="60"/>
  <c r="G38" i="60" s="1"/>
  <c r="H38" i="60" s="1"/>
  <c r="H59" i="1"/>
  <c r="I59" i="1" s="1"/>
  <c r="J59" i="1" s="1"/>
  <c r="H58" i="1"/>
  <c r="I58" i="1" s="1"/>
  <c r="J58" i="1" s="1"/>
  <c r="R42" i="60"/>
  <c r="S42" i="60" s="1"/>
  <c r="T42" i="60" s="1"/>
  <c r="L42" i="60"/>
  <c r="M42" i="60" s="1"/>
  <c r="N42" i="60" s="1"/>
  <c r="F42" i="60"/>
  <c r="G42" i="60" s="1"/>
  <c r="H42" i="60" s="1"/>
  <c r="R31" i="60"/>
  <c r="S31" i="60" s="1"/>
  <c r="T31" i="60" s="1"/>
  <c r="R30" i="60"/>
  <c r="S30" i="60" s="1"/>
  <c r="T30" i="60" s="1"/>
  <c r="R38" i="60"/>
  <c r="S38" i="60" s="1"/>
  <c r="T38" i="60" s="1"/>
  <c r="R37" i="60"/>
  <c r="S37" i="60" s="1"/>
  <c r="T37" i="60" s="1"/>
  <c r="R36" i="60"/>
  <c r="S36" i="60" s="1"/>
  <c r="T36" i="60" s="1"/>
  <c r="R35" i="60"/>
  <c r="S35" i="60" s="1"/>
  <c r="T35" i="60" s="1"/>
  <c r="R34" i="60"/>
  <c r="S34" i="60" s="1"/>
  <c r="T34" i="60" s="1"/>
  <c r="R33" i="60"/>
  <c r="S33" i="60" s="1"/>
  <c r="T33" i="60" s="1"/>
  <c r="R32" i="60"/>
  <c r="S32" i="60" s="1"/>
  <c r="T32" i="60" s="1"/>
  <c r="L31" i="60"/>
  <c r="M31" i="60" s="1"/>
  <c r="L30" i="60"/>
  <c r="M30" i="60" s="1"/>
  <c r="N30" i="60" s="1"/>
  <c r="L38" i="60"/>
  <c r="M38" i="60" s="1"/>
  <c r="N38" i="60" s="1"/>
  <c r="L37" i="60"/>
  <c r="M37" i="60" s="1"/>
  <c r="N37" i="60" s="1"/>
  <c r="L36" i="60"/>
  <c r="M36" i="60" s="1"/>
  <c r="N36" i="60" s="1"/>
  <c r="L35" i="60"/>
  <c r="M35" i="60" s="1"/>
  <c r="N35" i="60" s="1"/>
  <c r="L34" i="60"/>
  <c r="M34" i="60" s="1"/>
  <c r="N34" i="60" s="1"/>
  <c r="L33" i="60"/>
  <c r="M33" i="60" s="1"/>
  <c r="N33" i="60" s="1"/>
  <c r="L32" i="60"/>
  <c r="M32" i="60" s="1"/>
  <c r="N32" i="60" s="1"/>
  <c r="N31" i="60"/>
  <c r="H13" i="53"/>
  <c r="AJ49" i="41"/>
  <c r="AI49" i="41"/>
  <c r="AH49" i="41"/>
  <c r="AJ38" i="41"/>
  <c r="AI38" i="41"/>
  <c r="AH38" i="41"/>
  <c r="AJ17" i="41"/>
  <c r="AH17" i="41"/>
  <c r="AJ22" i="41"/>
  <c r="AI22" i="41"/>
  <c r="AH22" i="41"/>
  <c r="AI17" i="41"/>
  <c r="AJ16" i="41"/>
  <c r="AI16" i="41"/>
  <c r="AH16" i="41"/>
  <c r="L78" i="53" l="1"/>
  <c r="L79" i="53"/>
  <c r="L80" i="53"/>
  <c r="L81" i="53"/>
  <c r="L82" i="53"/>
  <c r="L77" i="53"/>
  <c r="D78" i="53"/>
  <c r="E78" i="53"/>
  <c r="F78" i="53"/>
  <c r="G78" i="53" s="1"/>
  <c r="H78" i="53" s="1"/>
  <c r="D79" i="53"/>
  <c r="E79" i="53"/>
  <c r="F79" i="53"/>
  <c r="G79" i="53" s="1"/>
  <c r="H79" i="53" s="1"/>
  <c r="D80" i="53"/>
  <c r="E80" i="53"/>
  <c r="F80" i="53"/>
  <c r="G80" i="53" s="1"/>
  <c r="H80" i="53" s="1"/>
  <c r="D81" i="53"/>
  <c r="E81" i="53"/>
  <c r="F81" i="53"/>
  <c r="G81" i="53" s="1"/>
  <c r="H81" i="53" s="1"/>
  <c r="D82" i="53"/>
  <c r="E82" i="53"/>
  <c r="F82" i="53"/>
  <c r="G82" i="53" s="1"/>
  <c r="H82" i="53" s="1"/>
  <c r="D77" i="53"/>
  <c r="L75" i="53"/>
  <c r="L74" i="53"/>
  <c r="D75" i="53"/>
  <c r="L72" i="53"/>
  <c r="L71" i="53"/>
  <c r="D72" i="53"/>
  <c r="E72" i="53"/>
  <c r="D71" i="53"/>
  <c r="L52" i="53"/>
  <c r="D52" i="53"/>
  <c r="L47" i="53"/>
  <c r="L46" i="53"/>
  <c r="L45" i="53"/>
  <c r="L44" i="53"/>
  <c r="L43" i="53"/>
  <c r="L42" i="53"/>
  <c r="L41" i="53"/>
  <c r="L40" i="53"/>
  <c r="L39" i="53"/>
  <c r="D40" i="53"/>
  <c r="D41" i="53"/>
  <c r="E41" i="53"/>
  <c r="D42" i="53"/>
  <c r="E42" i="53"/>
  <c r="D43" i="53"/>
  <c r="D44" i="53"/>
  <c r="E44" i="53"/>
  <c r="D45" i="53"/>
  <c r="D46" i="53"/>
  <c r="E46" i="53"/>
  <c r="D47" i="53"/>
  <c r="D39" i="53"/>
  <c r="L33" i="53"/>
  <c r="L34" i="53"/>
  <c r="M34" i="53"/>
  <c r="L35" i="53"/>
  <c r="M35" i="53"/>
  <c r="L36" i="53"/>
  <c r="M36" i="53"/>
  <c r="L37" i="53"/>
  <c r="M37" i="53"/>
  <c r="L32" i="53"/>
  <c r="L30" i="53"/>
  <c r="D33" i="53"/>
  <c r="D34" i="53"/>
  <c r="D35" i="53"/>
  <c r="D36" i="53"/>
  <c r="E36" i="53"/>
  <c r="D37" i="53"/>
  <c r="E37" i="53"/>
  <c r="D32" i="53"/>
  <c r="D31" i="53"/>
  <c r="D30" i="53"/>
  <c r="L28" i="53"/>
  <c r="L27" i="53"/>
  <c r="L26" i="53"/>
  <c r="D27" i="53"/>
  <c r="D28" i="53"/>
  <c r="D26" i="53"/>
  <c r="L23" i="53"/>
  <c r="L22" i="53"/>
  <c r="D23" i="53"/>
  <c r="D22" i="53"/>
  <c r="L20" i="53"/>
  <c r="D20" i="53"/>
  <c r="L19" i="53"/>
  <c r="D19" i="53"/>
  <c r="L14" i="53"/>
  <c r="L15" i="53"/>
  <c r="L16" i="53"/>
  <c r="L13" i="53"/>
  <c r="D14" i="53"/>
  <c r="D15" i="53"/>
  <c r="D16" i="53"/>
  <c r="E16" i="53"/>
  <c r="D13" i="53"/>
  <c r="T78" i="53"/>
  <c r="U78" i="53"/>
  <c r="T79" i="53"/>
  <c r="U79" i="53"/>
  <c r="V79" i="53"/>
  <c r="W79" i="53"/>
  <c r="X79" i="53"/>
  <c r="T80" i="53"/>
  <c r="T81" i="53"/>
  <c r="U81" i="53"/>
  <c r="T82" i="53"/>
  <c r="U82" i="53"/>
  <c r="T77" i="53"/>
  <c r="T26" i="53"/>
  <c r="T75" i="53"/>
  <c r="T72" i="53"/>
  <c r="T71" i="53"/>
  <c r="T52" i="53"/>
  <c r="T40" i="53"/>
  <c r="T41" i="53"/>
  <c r="T42" i="53"/>
  <c r="U42" i="53"/>
  <c r="T43" i="53"/>
  <c r="T44" i="53"/>
  <c r="T45" i="53"/>
  <c r="T46" i="53"/>
  <c r="U46" i="53"/>
  <c r="T47" i="53"/>
  <c r="U47" i="53"/>
  <c r="T39" i="53"/>
  <c r="T33" i="53"/>
  <c r="T34" i="53"/>
  <c r="U34" i="53"/>
  <c r="T35" i="53"/>
  <c r="T36" i="53"/>
  <c r="T37" i="53"/>
  <c r="T32" i="53"/>
  <c r="T30" i="53"/>
  <c r="T23" i="53"/>
  <c r="T22" i="53"/>
  <c r="T20" i="53"/>
  <c r="T19" i="53"/>
  <c r="T14" i="53"/>
  <c r="T15" i="53"/>
  <c r="T16" i="53"/>
  <c r="U16" i="53"/>
  <c r="V16" i="53"/>
  <c r="T13" i="53"/>
  <c r="G31" i="58"/>
  <c r="K90" i="46"/>
  <c r="K82" i="46"/>
  <c r="K64" i="46"/>
  <c r="K62" i="46"/>
  <c r="K56" i="46"/>
  <c r="K33" i="46"/>
  <c r="K27" i="46"/>
  <c r="E77" i="46"/>
  <c r="E76" i="46"/>
  <c r="E75" i="46"/>
  <c r="E74" i="46"/>
  <c r="E73" i="46"/>
  <c r="E72" i="46"/>
  <c r="E71" i="46"/>
  <c r="E70" i="46"/>
  <c r="K78" i="46"/>
  <c r="K77" i="46"/>
  <c r="K76" i="46"/>
  <c r="K75" i="46"/>
  <c r="K74" i="46"/>
  <c r="K73" i="46"/>
  <c r="K72" i="46"/>
  <c r="K71" i="46"/>
  <c r="K70" i="46"/>
  <c r="K52" i="46"/>
  <c r="K51" i="46"/>
  <c r="K50" i="46"/>
  <c r="K49" i="46"/>
  <c r="K48" i="46"/>
  <c r="K47" i="46"/>
  <c r="K46" i="46"/>
  <c r="K45" i="46"/>
  <c r="K44" i="46"/>
  <c r="K43" i="46"/>
  <c r="K42" i="46"/>
  <c r="K41" i="46"/>
  <c r="E51" i="46"/>
  <c r="E50" i="46"/>
  <c r="E49" i="46"/>
  <c r="E48" i="46"/>
  <c r="E47" i="46"/>
  <c r="E46" i="46"/>
  <c r="E45" i="46"/>
  <c r="E44" i="46"/>
  <c r="E43" i="46"/>
  <c r="E42" i="46"/>
  <c r="E41" i="46"/>
  <c r="E22" i="46"/>
  <c r="K10" i="46"/>
  <c r="E21" i="46"/>
  <c r="E20" i="46"/>
  <c r="E19" i="46"/>
  <c r="E18" i="46"/>
  <c r="E17" i="46"/>
  <c r="E16" i="46"/>
  <c r="E15" i="46"/>
  <c r="E14" i="46"/>
  <c r="E13" i="46"/>
  <c r="E12" i="46"/>
  <c r="E11" i="46"/>
  <c r="G75" i="1"/>
  <c r="K18" i="74"/>
  <c r="J18" i="74"/>
  <c r="I18" i="74"/>
  <c r="H18" i="74"/>
  <c r="I30" i="1"/>
  <c r="F29" i="1"/>
  <c r="F28" i="1"/>
  <c r="E40" i="65"/>
  <c r="E39" i="65"/>
  <c r="E41" i="65"/>
  <c r="E42" i="65"/>
  <c r="F42" i="65"/>
  <c r="G42" i="65" s="1"/>
  <c r="H42" i="65" s="1"/>
  <c r="I42" i="65" s="1"/>
  <c r="I28" i="65"/>
  <c r="F99" i="74"/>
  <c r="E99" i="74"/>
  <c r="D99" i="74"/>
  <c r="F95" i="74"/>
  <c r="E95" i="74"/>
  <c r="D95" i="74"/>
  <c r="P49" i="41"/>
  <c r="E27" i="53" l="1"/>
  <c r="E28" i="53"/>
  <c r="V81" i="53"/>
  <c r="W81" i="53" s="1"/>
  <c r="X81" i="53" s="1"/>
  <c r="V82" i="53"/>
  <c r="U44" i="53"/>
  <c r="V44" i="53" s="1"/>
  <c r="W44" i="53" s="1"/>
  <c r="U14" i="53"/>
  <c r="V14" i="53" s="1"/>
  <c r="W14" i="53"/>
  <c r="X14" i="53" s="1"/>
  <c r="U15" i="53"/>
  <c r="V15" i="53" s="1"/>
  <c r="W15" i="53" s="1"/>
  <c r="X15" i="53"/>
  <c r="V78" i="53"/>
  <c r="U40" i="53"/>
  <c r="U41" i="53"/>
  <c r="V41" i="53" s="1"/>
  <c r="W41" i="53" s="1"/>
  <c r="U13" i="53"/>
  <c r="V13" i="53" s="1"/>
  <c r="H31" i="58"/>
  <c r="F11" i="46"/>
  <c r="H75" i="1"/>
  <c r="I75" i="1" s="1"/>
  <c r="J75" i="1" s="1"/>
  <c r="F40" i="65"/>
  <c r="G40" i="65" s="1"/>
  <c r="H40" i="65" s="1"/>
  <c r="J30" i="1"/>
  <c r="G29" i="1"/>
  <c r="H29" i="1" s="1"/>
  <c r="I29" i="1" s="1"/>
  <c r="G28" i="1"/>
  <c r="H28" i="1" s="1"/>
  <c r="F41" i="65"/>
  <c r="G41" i="65" s="1"/>
  <c r="H41" i="65" s="1"/>
  <c r="I41" i="65" s="1"/>
  <c r="M79" i="53"/>
  <c r="N79" i="53" s="1"/>
  <c r="O79" i="53" s="1"/>
  <c r="P79" i="53" s="1"/>
  <c r="M82" i="53"/>
  <c r="N82" i="53" s="1"/>
  <c r="O82" i="53" s="1"/>
  <c r="P82" i="53" s="1"/>
  <c r="M78" i="53"/>
  <c r="N78" i="53" s="1"/>
  <c r="O78" i="53" s="1"/>
  <c r="P78" i="53" s="1"/>
  <c r="M80" i="53"/>
  <c r="N80" i="53" s="1"/>
  <c r="O80" i="53" s="1"/>
  <c r="P80" i="53" s="1"/>
  <c r="M81" i="53"/>
  <c r="N81" i="53" s="1"/>
  <c r="O81" i="53" s="1"/>
  <c r="P81" i="53" s="1"/>
  <c r="M77" i="53"/>
  <c r="N77" i="53" s="1"/>
  <c r="E77" i="53"/>
  <c r="F77" i="53" s="1"/>
  <c r="G77" i="53" s="1"/>
  <c r="H77" i="53" s="1"/>
  <c r="M75" i="53"/>
  <c r="N75" i="53" s="1"/>
  <c r="O75" i="53" s="1"/>
  <c r="P75" i="53" s="1"/>
  <c r="M74" i="53"/>
  <c r="N74" i="53" s="1"/>
  <c r="O74" i="53" s="1"/>
  <c r="P74" i="53" s="1"/>
  <c r="E75" i="53"/>
  <c r="F75" i="53" s="1"/>
  <c r="G75" i="53" s="1"/>
  <c r="H75" i="53" s="1"/>
  <c r="M72" i="53"/>
  <c r="N72" i="53" s="1"/>
  <c r="O72" i="53" s="1"/>
  <c r="P72" i="53" s="1"/>
  <c r="M71" i="53"/>
  <c r="N71" i="53" s="1"/>
  <c r="O71" i="53" s="1"/>
  <c r="P71" i="53" s="1"/>
  <c r="F72" i="53"/>
  <c r="G72" i="53" s="1"/>
  <c r="H72" i="53" s="1"/>
  <c r="E71" i="53"/>
  <c r="F71" i="53" s="1"/>
  <c r="G71" i="53" s="1"/>
  <c r="H71" i="53" s="1"/>
  <c r="M52" i="53"/>
  <c r="N52" i="53" s="1"/>
  <c r="O52" i="53" s="1"/>
  <c r="P52" i="53" s="1"/>
  <c r="E52" i="53"/>
  <c r="F52" i="53" s="1"/>
  <c r="G52" i="53" s="1"/>
  <c r="H52" i="53" s="1"/>
  <c r="M47" i="53"/>
  <c r="N47" i="53" s="1"/>
  <c r="O47" i="53" s="1"/>
  <c r="P47" i="53" s="1"/>
  <c r="M45" i="53"/>
  <c r="N45" i="53" s="1"/>
  <c r="O45" i="53" s="1"/>
  <c r="P45" i="53" s="1"/>
  <c r="M43" i="53"/>
  <c r="N43" i="53" s="1"/>
  <c r="O43" i="53" s="1"/>
  <c r="P43" i="53" s="1"/>
  <c r="M41" i="53"/>
  <c r="N41" i="53" s="1"/>
  <c r="O41" i="53" s="1"/>
  <c r="P41" i="53" s="1"/>
  <c r="M39" i="53"/>
  <c r="N39" i="53" s="1"/>
  <c r="O39" i="53" s="1"/>
  <c r="P39" i="53" s="1"/>
  <c r="M46" i="53"/>
  <c r="N46" i="53" s="1"/>
  <c r="O46" i="53" s="1"/>
  <c r="P46" i="53" s="1"/>
  <c r="M44" i="53"/>
  <c r="N44" i="53" s="1"/>
  <c r="O44" i="53" s="1"/>
  <c r="P44" i="53" s="1"/>
  <c r="M42" i="53"/>
  <c r="N42" i="53" s="1"/>
  <c r="O42" i="53" s="1"/>
  <c r="P42" i="53" s="1"/>
  <c r="M40" i="53"/>
  <c r="N40" i="53" s="1"/>
  <c r="O40" i="53" s="1"/>
  <c r="P40" i="53" s="1"/>
  <c r="F44" i="53"/>
  <c r="G44" i="53" s="1"/>
  <c r="H44" i="53" s="1"/>
  <c r="F41" i="53"/>
  <c r="G41" i="53" s="1"/>
  <c r="H41" i="53" s="1"/>
  <c r="F42" i="53"/>
  <c r="G42" i="53" s="1"/>
  <c r="H42" i="53" s="1"/>
  <c r="E45" i="53"/>
  <c r="F45" i="53" s="1"/>
  <c r="G45" i="53" s="1"/>
  <c r="H45" i="53" s="1"/>
  <c r="E47" i="53"/>
  <c r="F47" i="53" s="1"/>
  <c r="G47" i="53" s="1"/>
  <c r="H47" i="53" s="1"/>
  <c r="E40" i="53"/>
  <c r="F40" i="53" s="1"/>
  <c r="G40" i="53" s="1"/>
  <c r="H40" i="53" s="1"/>
  <c r="E43" i="53"/>
  <c r="F43" i="53" s="1"/>
  <c r="G43" i="53" s="1"/>
  <c r="H43" i="53" s="1"/>
  <c r="F46" i="53"/>
  <c r="G46" i="53" s="1"/>
  <c r="H46" i="53" s="1"/>
  <c r="E39" i="53"/>
  <c r="F39" i="53" s="1"/>
  <c r="G39" i="53" s="1"/>
  <c r="H39" i="53" s="1"/>
  <c r="M33" i="53"/>
  <c r="N33" i="53" s="1"/>
  <c r="O33" i="53" s="1"/>
  <c r="P33" i="53" s="1"/>
  <c r="N35" i="53"/>
  <c r="O35" i="53" s="1"/>
  <c r="N34" i="53"/>
  <c r="O34" i="53" s="1"/>
  <c r="P34" i="53" s="1"/>
  <c r="N36" i="53"/>
  <c r="O36" i="53" s="1"/>
  <c r="P36" i="53" s="1"/>
  <c r="N37" i="53"/>
  <c r="O37" i="53" s="1"/>
  <c r="P37" i="53" s="1"/>
  <c r="M32" i="53"/>
  <c r="N32" i="53" s="1"/>
  <c r="O32" i="53" s="1"/>
  <c r="P32" i="53" s="1"/>
  <c r="M30" i="53"/>
  <c r="N30" i="53" s="1"/>
  <c r="O30" i="53" s="1"/>
  <c r="P30" i="53" s="1"/>
  <c r="E34" i="53"/>
  <c r="F34" i="53" s="1"/>
  <c r="G34" i="53" s="1"/>
  <c r="H34" i="53" s="1"/>
  <c r="F37" i="53"/>
  <c r="G37" i="53" s="1"/>
  <c r="H37" i="53" s="1"/>
  <c r="E35" i="53"/>
  <c r="F35" i="53" s="1"/>
  <c r="G35" i="53" s="1"/>
  <c r="H35" i="53" s="1"/>
  <c r="F36" i="53"/>
  <c r="G36" i="53" s="1"/>
  <c r="H36" i="53" s="1"/>
  <c r="E33" i="53"/>
  <c r="F33" i="53" s="1"/>
  <c r="G33" i="53" s="1"/>
  <c r="H33" i="53" s="1"/>
  <c r="E32" i="53"/>
  <c r="F32" i="53" s="1"/>
  <c r="E31" i="53"/>
  <c r="F31" i="53" s="1"/>
  <c r="G31" i="53" s="1"/>
  <c r="H31" i="53" s="1"/>
  <c r="E30" i="53"/>
  <c r="F30" i="53" s="1"/>
  <c r="G30" i="53" s="1"/>
  <c r="H30" i="53" s="1"/>
  <c r="M28" i="53"/>
  <c r="N28" i="53" s="1"/>
  <c r="M27" i="53"/>
  <c r="N27" i="53" s="1"/>
  <c r="O27" i="53" s="1"/>
  <c r="P27" i="53" s="1"/>
  <c r="M26" i="53"/>
  <c r="N26" i="53" s="1"/>
  <c r="O26" i="53" s="1"/>
  <c r="P26" i="53" s="1"/>
  <c r="E26" i="53"/>
  <c r="F26" i="53" s="1"/>
  <c r="G26" i="53" s="1"/>
  <c r="H26" i="53" s="1"/>
  <c r="M22" i="53"/>
  <c r="N22" i="53" s="1"/>
  <c r="O22" i="53" s="1"/>
  <c r="P22" i="53" s="1"/>
  <c r="M23" i="53"/>
  <c r="N23" i="53" s="1"/>
  <c r="O23" i="53" s="1"/>
  <c r="P23" i="53" s="1"/>
  <c r="E23" i="53"/>
  <c r="F23" i="53" s="1"/>
  <c r="G23" i="53" s="1"/>
  <c r="H23" i="53" s="1"/>
  <c r="E22" i="53"/>
  <c r="F22" i="53" s="1"/>
  <c r="G22" i="53" s="1"/>
  <c r="H22" i="53" s="1"/>
  <c r="M20" i="53"/>
  <c r="N20" i="53" s="1"/>
  <c r="O20" i="53"/>
  <c r="P20" i="53" s="1"/>
  <c r="E20" i="53"/>
  <c r="F20" i="53" s="1"/>
  <c r="G20" i="53" s="1"/>
  <c r="H20" i="53" s="1"/>
  <c r="M19" i="53"/>
  <c r="N19" i="53" s="1"/>
  <c r="O19" i="53" s="1"/>
  <c r="P19" i="53" s="1"/>
  <c r="E19" i="53"/>
  <c r="F19" i="53" s="1"/>
  <c r="G19" i="53" s="1"/>
  <c r="H19" i="53" s="1"/>
  <c r="M15" i="53"/>
  <c r="N15" i="53" s="1"/>
  <c r="O15" i="53"/>
  <c r="P15" i="53" s="1"/>
  <c r="M14" i="53"/>
  <c r="N14" i="53" s="1"/>
  <c r="O14" i="53" s="1"/>
  <c r="P14" i="53"/>
  <c r="M16" i="53"/>
  <c r="N16" i="53" s="1"/>
  <c r="O16" i="53"/>
  <c r="P16" i="53" s="1"/>
  <c r="M13" i="53"/>
  <c r="N13" i="53" s="1"/>
  <c r="O13" i="53" s="1"/>
  <c r="P13" i="53" s="1"/>
  <c r="E14" i="53"/>
  <c r="F14" i="53" s="1"/>
  <c r="G14" i="53" s="1"/>
  <c r="H14" i="53" s="1"/>
  <c r="F16" i="53"/>
  <c r="G16" i="53" s="1"/>
  <c r="H16" i="53" s="1"/>
  <c r="E15" i="53"/>
  <c r="F15" i="53" s="1"/>
  <c r="G15" i="53" s="1"/>
  <c r="H15" i="53" s="1"/>
  <c r="E13" i="53"/>
  <c r="F13" i="53" s="1"/>
  <c r="U80" i="53"/>
  <c r="V80" i="53" s="1"/>
  <c r="W80" i="53" s="1"/>
  <c r="X80" i="53" s="1"/>
  <c r="U77" i="53"/>
  <c r="V77" i="53" s="1"/>
  <c r="W77" i="53"/>
  <c r="X77" i="53" s="1"/>
  <c r="U26" i="53"/>
  <c r="V26" i="53" s="1"/>
  <c r="W26" i="53" s="1"/>
  <c r="X26" i="53" s="1"/>
  <c r="U75" i="53"/>
  <c r="V75" i="53" s="1"/>
  <c r="W75" i="53" s="1"/>
  <c r="X75" i="53" s="1"/>
  <c r="U72" i="53"/>
  <c r="V72" i="53" s="1"/>
  <c r="W72" i="53" s="1"/>
  <c r="X72" i="53" s="1"/>
  <c r="U71" i="53"/>
  <c r="V71" i="53" s="1"/>
  <c r="W71" i="53" s="1"/>
  <c r="X71" i="53" s="1"/>
  <c r="U52" i="53"/>
  <c r="V52" i="53" s="1"/>
  <c r="W52" i="53"/>
  <c r="X52" i="53" s="1"/>
  <c r="V46" i="53"/>
  <c r="W46" i="53" s="1"/>
  <c r="X46" i="53"/>
  <c r="V42" i="53"/>
  <c r="W42" i="53" s="1"/>
  <c r="X42" i="53" s="1"/>
  <c r="U43" i="53"/>
  <c r="V43" i="53" s="1"/>
  <c r="W43" i="53" s="1"/>
  <c r="X43" i="53" s="1"/>
  <c r="U45" i="53"/>
  <c r="V45" i="53" s="1"/>
  <c r="W45" i="53" s="1"/>
  <c r="X45" i="53" s="1"/>
  <c r="V47" i="53"/>
  <c r="W47" i="53" s="1"/>
  <c r="X47" i="53" s="1"/>
  <c r="U39" i="53"/>
  <c r="V39" i="53" s="1"/>
  <c r="W39" i="53" s="1"/>
  <c r="X39" i="53" s="1"/>
  <c r="U33" i="53"/>
  <c r="V33" i="53" s="1"/>
  <c r="W33" i="53" s="1"/>
  <c r="X33" i="53" s="1"/>
  <c r="U35" i="53"/>
  <c r="V35" i="53" s="1"/>
  <c r="W35" i="53" s="1"/>
  <c r="X35" i="53" s="1"/>
  <c r="V34" i="53"/>
  <c r="W34" i="53" s="1"/>
  <c r="X34" i="53" s="1"/>
  <c r="U36" i="53"/>
  <c r="V36" i="53" s="1"/>
  <c r="W36" i="53" s="1"/>
  <c r="X36" i="53" s="1"/>
  <c r="U37" i="53"/>
  <c r="V37" i="53" s="1"/>
  <c r="W37" i="53" s="1"/>
  <c r="X37" i="53" s="1"/>
  <c r="U32" i="53"/>
  <c r="V32" i="53" s="1"/>
  <c r="W32" i="53" s="1"/>
  <c r="X32" i="53" s="1"/>
  <c r="U30" i="53"/>
  <c r="V30" i="53" s="1"/>
  <c r="W30" i="53" s="1"/>
  <c r="X30" i="53" s="1"/>
  <c r="U23" i="53"/>
  <c r="V23" i="53" s="1"/>
  <c r="W23" i="53" s="1"/>
  <c r="X23" i="53" s="1"/>
  <c r="U22" i="53"/>
  <c r="V22" i="53" s="1"/>
  <c r="W22" i="53" s="1"/>
  <c r="X22" i="53" s="1"/>
  <c r="U20" i="53"/>
  <c r="V20" i="53" s="1"/>
  <c r="W20" i="53" s="1"/>
  <c r="X20" i="53" s="1"/>
  <c r="U19" i="53"/>
  <c r="V19" i="53" s="1"/>
  <c r="W19" i="53" s="1"/>
  <c r="X19" i="53" s="1"/>
  <c r="W16" i="53"/>
  <c r="X16" i="53" s="1"/>
  <c r="W13" i="53"/>
  <c r="X13" i="53" s="1"/>
  <c r="L90" i="46"/>
  <c r="M90" i="46" s="1"/>
  <c r="N90" i="46" s="1"/>
  <c r="O90" i="46" s="1"/>
  <c r="L82" i="46"/>
  <c r="M82" i="46" s="1"/>
  <c r="N82" i="46" s="1"/>
  <c r="O82" i="46" s="1"/>
  <c r="L64" i="46"/>
  <c r="M64" i="46" s="1"/>
  <c r="N64" i="46" s="1"/>
  <c r="O64" i="46" s="1"/>
  <c r="L62" i="46"/>
  <c r="M62" i="46" s="1"/>
  <c r="N62" i="46" s="1"/>
  <c r="O62" i="46" s="1"/>
  <c r="L56" i="46"/>
  <c r="M56" i="46" s="1"/>
  <c r="N56" i="46" s="1"/>
  <c r="O56" i="46" s="1"/>
  <c r="L33" i="46"/>
  <c r="M33" i="46" s="1"/>
  <c r="N33" i="46" s="1"/>
  <c r="O33" i="46" s="1"/>
  <c r="L27" i="46"/>
  <c r="M27" i="46" s="1"/>
  <c r="N27" i="46" s="1"/>
  <c r="O27" i="46" s="1"/>
  <c r="F74" i="46"/>
  <c r="G74" i="46" s="1"/>
  <c r="F73" i="46"/>
  <c r="G73" i="46" s="1"/>
  <c r="H73" i="46" s="1"/>
  <c r="I73" i="46" s="1"/>
  <c r="F70" i="46"/>
  <c r="G70" i="46" s="1"/>
  <c r="H70" i="46" s="1"/>
  <c r="I70" i="46" s="1"/>
  <c r="F77" i="46"/>
  <c r="G77" i="46" s="1"/>
  <c r="H77" i="46" s="1"/>
  <c r="I77" i="46" s="1"/>
  <c r="F76" i="46"/>
  <c r="G76" i="46" s="1"/>
  <c r="H76" i="46" s="1"/>
  <c r="I76" i="46" s="1"/>
  <c r="F75" i="46"/>
  <c r="G75" i="46" s="1"/>
  <c r="H75" i="46" s="1"/>
  <c r="I75" i="46" s="1"/>
  <c r="H74" i="46"/>
  <c r="I74" i="46" s="1"/>
  <c r="F72" i="46"/>
  <c r="G72" i="46" s="1"/>
  <c r="H72" i="46" s="1"/>
  <c r="I72" i="46" s="1"/>
  <c r="F71" i="46"/>
  <c r="G71" i="46" s="1"/>
  <c r="H71" i="46" s="1"/>
  <c r="I71" i="46" s="1"/>
  <c r="L77" i="46"/>
  <c r="M77" i="46" s="1"/>
  <c r="N77" i="46" s="1"/>
  <c r="O77" i="46" s="1"/>
  <c r="L74" i="46"/>
  <c r="M74" i="46" s="1"/>
  <c r="N74" i="46" s="1"/>
  <c r="O74" i="46" s="1"/>
  <c r="L72" i="46"/>
  <c r="M72" i="46" s="1"/>
  <c r="N72" i="46" s="1"/>
  <c r="L71" i="46"/>
  <c r="M71" i="46" s="1"/>
  <c r="L78" i="46"/>
  <c r="M78" i="46" s="1"/>
  <c r="N78" i="46" s="1"/>
  <c r="O78" i="46" s="1"/>
  <c r="L76" i="46"/>
  <c r="M76" i="46" s="1"/>
  <c r="N76" i="46" s="1"/>
  <c r="O76" i="46" s="1"/>
  <c r="L75" i="46"/>
  <c r="M75" i="46" s="1"/>
  <c r="N75" i="46" s="1"/>
  <c r="O75" i="46" s="1"/>
  <c r="L73" i="46"/>
  <c r="M73" i="46" s="1"/>
  <c r="N73" i="46" s="1"/>
  <c r="O73" i="46" s="1"/>
  <c r="O72" i="46"/>
  <c r="N71" i="46"/>
  <c r="O71" i="46" s="1"/>
  <c r="L70" i="46"/>
  <c r="M70" i="46" s="1"/>
  <c r="N70" i="46" s="1"/>
  <c r="O70" i="46" s="1"/>
  <c r="L52" i="46"/>
  <c r="M52" i="46" s="1"/>
  <c r="N52" i="46" s="1"/>
  <c r="O52" i="46" s="1"/>
  <c r="L50" i="46"/>
  <c r="M50" i="46" s="1"/>
  <c r="N50" i="46" s="1"/>
  <c r="O50" i="46" s="1"/>
  <c r="L49" i="46"/>
  <c r="M49" i="46" s="1"/>
  <c r="L48" i="46"/>
  <c r="M48" i="46" s="1"/>
  <c r="N48" i="46" s="1"/>
  <c r="O48" i="46" s="1"/>
  <c r="L47" i="46"/>
  <c r="M47" i="46" s="1"/>
  <c r="L45" i="46"/>
  <c r="M45" i="46" s="1"/>
  <c r="L44" i="46"/>
  <c r="M44" i="46" s="1"/>
  <c r="N44" i="46" s="1"/>
  <c r="O44" i="46" s="1"/>
  <c r="L43" i="46"/>
  <c r="M43" i="46" s="1"/>
  <c r="N43" i="46" s="1"/>
  <c r="O43" i="46" s="1"/>
  <c r="L51" i="46"/>
  <c r="M51" i="46" s="1"/>
  <c r="N51" i="46" s="1"/>
  <c r="O51" i="46" s="1"/>
  <c r="N49" i="46"/>
  <c r="O49" i="46" s="1"/>
  <c r="N47" i="46"/>
  <c r="O47" i="46" s="1"/>
  <c r="L46" i="46"/>
  <c r="M46" i="46" s="1"/>
  <c r="N46" i="46" s="1"/>
  <c r="O46" i="46" s="1"/>
  <c r="N45" i="46"/>
  <c r="O45" i="46" s="1"/>
  <c r="L42" i="46"/>
  <c r="M42" i="46" s="1"/>
  <c r="N42" i="46" s="1"/>
  <c r="O42" i="46" s="1"/>
  <c r="L41" i="46"/>
  <c r="M41" i="46" s="1"/>
  <c r="N41" i="46"/>
  <c r="O41" i="46" s="1"/>
  <c r="F51" i="46"/>
  <c r="G51" i="46" s="1"/>
  <c r="H51" i="46" s="1"/>
  <c r="I51" i="46" s="1"/>
  <c r="F50" i="46"/>
  <c r="G50" i="46" s="1"/>
  <c r="H50" i="46" s="1"/>
  <c r="I50" i="46" s="1"/>
  <c r="F49" i="46"/>
  <c r="G49" i="46" s="1"/>
  <c r="H49" i="46" s="1"/>
  <c r="I49" i="46" s="1"/>
  <c r="F48" i="46"/>
  <c r="G48" i="46" s="1"/>
  <c r="H48" i="46" s="1"/>
  <c r="I48" i="46" s="1"/>
  <c r="F47" i="46"/>
  <c r="G47" i="46" s="1"/>
  <c r="H47" i="46" s="1"/>
  <c r="I47" i="46" s="1"/>
  <c r="F46" i="46"/>
  <c r="G46" i="46" s="1"/>
  <c r="H46" i="46" s="1"/>
  <c r="I46" i="46" s="1"/>
  <c r="F45" i="46"/>
  <c r="G45" i="46" s="1"/>
  <c r="H45" i="46" s="1"/>
  <c r="I45" i="46" s="1"/>
  <c r="F44" i="46"/>
  <c r="G44" i="46" s="1"/>
  <c r="H44" i="46" s="1"/>
  <c r="I44" i="46" s="1"/>
  <c r="F43" i="46"/>
  <c r="G43" i="46" s="1"/>
  <c r="H43" i="46" s="1"/>
  <c r="I43" i="46" s="1"/>
  <c r="F42" i="46"/>
  <c r="G42" i="46" s="1"/>
  <c r="H42" i="46" s="1"/>
  <c r="I42" i="46" s="1"/>
  <c r="F41" i="46"/>
  <c r="G41" i="46" s="1"/>
  <c r="H41" i="46" s="1"/>
  <c r="I41" i="46" s="1"/>
  <c r="F22" i="46"/>
  <c r="G22" i="46" s="1"/>
  <c r="H22" i="46" s="1"/>
  <c r="I22" i="46" s="1"/>
  <c r="L10" i="46"/>
  <c r="M10" i="46" s="1"/>
  <c r="N10" i="46" s="1"/>
  <c r="O10" i="46" s="1"/>
  <c r="F12" i="46"/>
  <c r="G12" i="46" s="1"/>
  <c r="H12" i="46" s="1"/>
  <c r="I12" i="46" s="1"/>
  <c r="F21" i="46"/>
  <c r="G21" i="46" s="1"/>
  <c r="H21" i="46" s="1"/>
  <c r="I21" i="46" s="1"/>
  <c r="F20" i="46"/>
  <c r="G20" i="46" s="1"/>
  <c r="H20" i="46" s="1"/>
  <c r="I20" i="46" s="1"/>
  <c r="F19" i="46"/>
  <c r="G19" i="46" s="1"/>
  <c r="H19" i="46" s="1"/>
  <c r="I19" i="46" s="1"/>
  <c r="F18" i="46"/>
  <c r="G18" i="46" s="1"/>
  <c r="H18" i="46" s="1"/>
  <c r="I18" i="46" s="1"/>
  <c r="F17" i="46"/>
  <c r="G17" i="46" s="1"/>
  <c r="H17" i="46" s="1"/>
  <c r="I17" i="46" s="1"/>
  <c r="F16" i="46"/>
  <c r="G16" i="46" s="1"/>
  <c r="H16" i="46" s="1"/>
  <c r="I16" i="46" s="1"/>
  <c r="F15" i="46"/>
  <c r="G15" i="46" s="1"/>
  <c r="H15" i="46" s="1"/>
  <c r="I15" i="46" s="1"/>
  <c r="F14" i="46"/>
  <c r="G14" i="46" s="1"/>
  <c r="H14" i="46" s="1"/>
  <c r="I14" i="46" s="1"/>
  <c r="F13" i="46"/>
  <c r="G13" i="46" s="1"/>
  <c r="H13" i="46" s="1"/>
  <c r="I13" i="46" s="1"/>
  <c r="F39" i="65"/>
  <c r="G39" i="65" s="1"/>
  <c r="J86" i="46"/>
  <c r="K86" i="46" s="1"/>
  <c r="L86" i="46" s="1"/>
  <c r="M86" i="46" s="1"/>
  <c r="N86" i="46" s="1"/>
  <c r="O86" i="46" s="1"/>
  <c r="J84" i="46"/>
  <c r="K84" i="46" s="1"/>
  <c r="L84" i="46" s="1"/>
  <c r="M84" i="46" s="1"/>
  <c r="N84" i="46" s="1"/>
  <c r="O84" i="46" s="1"/>
  <c r="J60" i="46"/>
  <c r="K60" i="46" s="1"/>
  <c r="L60" i="46" s="1"/>
  <c r="M60" i="46" s="1"/>
  <c r="N60" i="46" s="1"/>
  <c r="O60" i="46" s="1"/>
  <c r="J58" i="46"/>
  <c r="K58" i="46" s="1"/>
  <c r="L58" i="46" s="1"/>
  <c r="M58" i="46" s="1"/>
  <c r="N58" i="46" s="1"/>
  <c r="O58" i="46" s="1"/>
  <c r="J35" i="46"/>
  <c r="K35" i="46" s="1"/>
  <c r="L35" i="46" s="1"/>
  <c r="M35" i="46" s="1"/>
  <c r="N35" i="46" s="1"/>
  <c r="O35" i="46" s="1"/>
  <c r="J31" i="46"/>
  <c r="K31" i="46" s="1"/>
  <c r="L31" i="46" s="1"/>
  <c r="M31" i="46" s="1"/>
  <c r="N31" i="46" s="1"/>
  <c r="O31" i="46" s="1"/>
  <c r="J29" i="46"/>
  <c r="K29" i="46" s="1"/>
  <c r="L29" i="46" s="1"/>
  <c r="M29" i="46" s="1"/>
  <c r="N29" i="46" s="1"/>
  <c r="O29" i="46" s="1"/>
  <c r="J23" i="46"/>
  <c r="K23" i="46" s="1"/>
  <c r="L23" i="46" s="1"/>
  <c r="M23" i="46" s="1"/>
  <c r="N23" i="46" s="1"/>
  <c r="J22" i="46"/>
  <c r="K22" i="46" s="1"/>
  <c r="L22" i="46" s="1"/>
  <c r="M22" i="46" s="1"/>
  <c r="N22" i="46" s="1"/>
  <c r="J21" i="46"/>
  <c r="K21" i="46" s="1"/>
  <c r="L21" i="46" s="1"/>
  <c r="M21" i="46" s="1"/>
  <c r="N21" i="46" s="1"/>
  <c r="O21" i="46" s="1"/>
  <c r="J20" i="46"/>
  <c r="K20" i="46" s="1"/>
  <c r="L20" i="46" s="1"/>
  <c r="M20" i="46" s="1"/>
  <c r="N20" i="46" s="1"/>
  <c r="O20" i="46" s="1"/>
  <c r="J19" i="46"/>
  <c r="K19" i="46" s="1"/>
  <c r="L19" i="46" s="1"/>
  <c r="M19" i="46" s="1"/>
  <c r="N19" i="46" s="1"/>
  <c r="O19" i="46" s="1"/>
  <c r="J18" i="46"/>
  <c r="K18" i="46" s="1"/>
  <c r="L18" i="46" s="1"/>
  <c r="M18" i="46" s="1"/>
  <c r="N18" i="46" s="1"/>
  <c r="O18" i="46" s="1"/>
  <c r="J17" i="46"/>
  <c r="K17" i="46" s="1"/>
  <c r="L17" i="46" s="1"/>
  <c r="M17" i="46" s="1"/>
  <c r="N17" i="46" s="1"/>
  <c r="O17" i="46" s="1"/>
  <c r="J16" i="46"/>
  <c r="K16" i="46" s="1"/>
  <c r="L16" i="46" s="1"/>
  <c r="M16" i="46" s="1"/>
  <c r="N16" i="46" s="1"/>
  <c r="O16" i="46" s="1"/>
  <c r="J15" i="46"/>
  <c r="K15" i="46" s="1"/>
  <c r="L15" i="46" s="1"/>
  <c r="M15" i="46" s="1"/>
  <c r="N15" i="46" s="1"/>
  <c r="O15" i="46" s="1"/>
  <c r="J14" i="46"/>
  <c r="K14" i="46" s="1"/>
  <c r="L14" i="46" s="1"/>
  <c r="M14" i="46" s="1"/>
  <c r="N14" i="46" s="1"/>
  <c r="O14" i="46" s="1"/>
  <c r="J13" i="46"/>
  <c r="K13" i="46" s="1"/>
  <c r="L13" i="46" s="1"/>
  <c r="M13" i="46" s="1"/>
  <c r="N13" i="46" s="1"/>
  <c r="O13" i="46" s="1"/>
  <c r="J12" i="46"/>
  <c r="K12" i="46" s="1"/>
  <c r="L12" i="46" s="1"/>
  <c r="M12" i="46" s="1"/>
  <c r="N12" i="46" s="1"/>
  <c r="O12" i="46" s="1"/>
  <c r="J11" i="46"/>
  <c r="K11" i="46" s="1"/>
  <c r="L11" i="46" s="1"/>
  <c r="M11" i="46" s="1"/>
  <c r="N11" i="46" s="1"/>
  <c r="O11" i="46" s="1"/>
  <c r="D10" i="46"/>
  <c r="E10" i="46" s="1"/>
  <c r="F10" i="46" s="1"/>
  <c r="G10" i="46" s="1"/>
  <c r="H10" i="46" s="1"/>
  <c r="I10" i="46" s="1"/>
  <c r="F27" i="53" l="1"/>
  <c r="G27" i="53" s="1"/>
  <c r="H27" i="53" s="1"/>
  <c r="F28" i="53"/>
  <c r="G28" i="53" s="1"/>
  <c r="H28" i="53" s="1"/>
  <c r="W78" i="53"/>
  <c r="X78" i="53" s="1"/>
  <c r="W82" i="53"/>
  <c r="X82" i="53" s="1"/>
  <c r="X44" i="53"/>
  <c r="V40" i="53"/>
  <c r="W40" i="53" s="1"/>
  <c r="X40" i="53" s="1"/>
  <c r="X41" i="53"/>
  <c r="I31" i="58"/>
  <c r="J31" i="58" s="1"/>
  <c r="K31" i="58" s="1"/>
  <c r="G11" i="46"/>
  <c r="J29" i="1"/>
  <c r="I28" i="1"/>
  <c r="J28" i="1" s="1"/>
  <c r="P35" i="53"/>
  <c r="O28" i="53"/>
  <c r="P28" i="53" s="1"/>
  <c r="O77" i="53"/>
  <c r="P77" i="53" s="1"/>
  <c r="O23" i="46"/>
  <c r="O22" i="46"/>
  <c r="E36" i="65"/>
  <c r="E35" i="65"/>
  <c r="F46" i="1"/>
  <c r="F47" i="1"/>
  <c r="F48" i="1"/>
  <c r="F45" i="1"/>
  <c r="F36" i="1"/>
  <c r="F37" i="1"/>
  <c r="F38" i="1"/>
  <c r="F35" i="1"/>
  <c r="H11" i="46" l="1"/>
  <c r="I11" i="46"/>
  <c r="G46" i="1"/>
  <c r="H46" i="1" s="1"/>
  <c r="I46" i="1" s="1"/>
  <c r="J46" i="1" s="1"/>
  <c r="G45" i="1"/>
  <c r="H45" i="1" s="1"/>
  <c r="I45" i="1" s="1"/>
  <c r="J45" i="1" s="1"/>
  <c r="F36" i="65"/>
  <c r="G36" i="65" s="1"/>
  <c r="H36" i="65" s="1"/>
  <c r="I36" i="65" s="1"/>
  <c r="F35" i="65"/>
  <c r="G35" i="65" s="1"/>
  <c r="H35" i="65" s="1"/>
  <c r="I35" i="65" s="1"/>
  <c r="G47" i="1"/>
  <c r="H47" i="1" s="1"/>
  <c r="I47" i="1" s="1"/>
  <c r="J47" i="1" s="1"/>
  <c r="G48" i="1"/>
  <c r="H48" i="1" s="1"/>
  <c r="I48" i="1" s="1"/>
  <c r="J48" i="1" s="1"/>
  <c r="G35" i="1"/>
  <c r="H35" i="1" s="1"/>
  <c r="I35" i="1" s="1"/>
  <c r="J35" i="1" s="1"/>
  <c r="G36" i="1"/>
  <c r="H36" i="1" s="1"/>
  <c r="I36" i="1" s="1"/>
  <c r="J36" i="1" s="1"/>
  <c r="G37" i="1"/>
  <c r="H37" i="1" s="1"/>
  <c r="I37" i="1" s="1"/>
  <c r="J37" i="1" s="1"/>
  <c r="G38" i="1"/>
  <c r="H38" i="1" s="1"/>
  <c r="I38" i="1" s="1"/>
  <c r="J38" i="1" s="1"/>
  <c r="A3" i="82"/>
  <c r="I15" i="16" l="1"/>
  <c r="H15" i="16"/>
  <c r="G15" i="16"/>
  <c r="F15" i="16"/>
  <c r="M142" i="85" l="1"/>
  <c r="N117" i="85"/>
  <c r="S178" i="85"/>
  <c r="S177" i="85"/>
  <c r="S176" i="85"/>
  <c r="S175" i="85"/>
  <c r="S174" i="85"/>
  <c r="S173" i="85"/>
  <c r="S172" i="85"/>
  <c r="S171" i="85"/>
  <c r="S170" i="85"/>
  <c r="S169" i="85"/>
  <c r="S165" i="85"/>
  <c r="S164" i="85"/>
  <c r="S163" i="85"/>
  <c r="S162" i="85"/>
  <c r="S161" i="85"/>
  <c r="S160" i="85"/>
  <c r="S159" i="85"/>
  <c r="S158" i="85"/>
  <c r="S157" i="85"/>
  <c r="S156" i="85"/>
  <c r="S152" i="85"/>
  <c r="S151" i="85"/>
  <c r="S150" i="85"/>
  <c r="S149" i="85"/>
  <c r="S148" i="85"/>
  <c r="S147" i="85"/>
  <c r="S146" i="85"/>
  <c r="S145" i="85"/>
  <c r="S144" i="85"/>
  <c r="S143" i="85"/>
  <c r="T100" i="85"/>
  <c r="AM51" i="85"/>
  <c r="AM50" i="85"/>
  <c r="AQ47" i="85"/>
  <c r="AP47" i="85"/>
  <c r="AO47" i="85"/>
  <c r="AN47" i="85"/>
  <c r="AM47" i="85"/>
  <c r="AL35" i="85"/>
  <c r="AS27" i="85" s="1"/>
  <c r="AL27" i="85"/>
  <c r="AS21" i="85" s="1"/>
  <c r="AL19" i="85"/>
  <c r="AL11" i="85"/>
  <c r="N7" i="85"/>
  <c r="M7" i="85"/>
  <c r="L7" i="85"/>
  <c r="K7" i="85"/>
  <c r="J7" i="85"/>
  <c r="O6" i="85"/>
  <c r="O5" i="85"/>
  <c r="O4" i="85"/>
  <c r="AL3" i="85"/>
  <c r="O7" i="85" l="1"/>
  <c r="S54" i="84"/>
  <c r="S53" i="84"/>
  <c r="S52" i="84"/>
  <c r="S51" i="84"/>
  <c r="S50" i="84"/>
  <c r="S49" i="84"/>
  <c r="S48" i="84"/>
  <c r="S47" i="84"/>
  <c r="S45" i="84"/>
  <c r="S44" i="84"/>
  <c r="S43" i="84"/>
  <c r="S42" i="84"/>
  <c r="S41" i="84"/>
  <c r="S40" i="84"/>
  <c r="S39" i="84"/>
  <c r="S38" i="84"/>
  <c r="S37" i="84"/>
  <c r="S36" i="84"/>
  <c r="AG35" i="84"/>
  <c r="AF35" i="84"/>
  <c r="AE35" i="84"/>
  <c r="AD35" i="84"/>
  <c r="AC35" i="84"/>
  <c r="S35" i="84"/>
  <c r="AG34" i="84"/>
  <c r="AF34" i="84"/>
  <c r="AE34" i="84"/>
  <c r="AD34" i="84"/>
  <c r="AC34" i="84"/>
  <c r="S34" i="84"/>
  <c r="AG33" i="84"/>
  <c r="AF33" i="84"/>
  <c r="AE33" i="84"/>
  <c r="AD33" i="84"/>
  <c r="AC33" i="84"/>
  <c r="AS24" i="84"/>
  <c r="AR24" i="84"/>
  <c r="AQ24" i="84"/>
  <c r="AP24" i="84"/>
  <c r="AO24" i="84"/>
  <c r="AN24" i="84"/>
  <c r="AS21" i="84"/>
  <c r="AR21" i="84"/>
  <c r="AQ21" i="84"/>
  <c r="AP21" i="84"/>
  <c r="AO21" i="84"/>
  <c r="AN21" i="84"/>
  <c r="AM21" i="84"/>
  <c r="AC21" i="84"/>
  <c r="AG20" i="84"/>
  <c r="AF20" i="84"/>
  <c r="AE20" i="84"/>
  <c r="AD20" i="84"/>
  <c r="AC20" i="84"/>
  <c r="AC18" i="84"/>
  <c r="AK14" i="84" s="1"/>
  <c r="AG17" i="84"/>
  <c r="AG16" i="84"/>
  <c r="AG15" i="84"/>
  <c r="H64" i="83"/>
  <c r="G64" i="83"/>
  <c r="F64" i="83"/>
  <c r="E64" i="83"/>
  <c r="D64" i="83"/>
  <c r="C64" i="83"/>
  <c r="H61" i="83"/>
  <c r="H60" i="83"/>
  <c r="H59" i="83"/>
  <c r="AH33" i="83"/>
  <c r="AH32" i="83"/>
  <c r="AH31" i="83"/>
  <c r="AH30" i="83"/>
  <c r="AH29" i="83"/>
  <c r="AH28" i="83"/>
  <c r="AH27" i="83"/>
  <c r="AH26" i="83"/>
  <c r="H26" i="83"/>
  <c r="G26" i="83"/>
  <c r="F26" i="83"/>
  <c r="E26" i="83"/>
  <c r="D26" i="83"/>
  <c r="C26" i="83"/>
  <c r="AH25" i="83"/>
  <c r="H25" i="83"/>
  <c r="G25" i="83"/>
  <c r="F25" i="83"/>
  <c r="E25" i="83"/>
  <c r="D25" i="83"/>
  <c r="C25" i="83"/>
  <c r="AH24" i="83"/>
  <c r="H24" i="83"/>
  <c r="G24" i="83"/>
  <c r="F24" i="83"/>
  <c r="E24" i="83"/>
  <c r="D24" i="83"/>
  <c r="C24" i="83"/>
  <c r="AH23" i="83"/>
  <c r="H23" i="83"/>
  <c r="G23" i="83"/>
  <c r="F23" i="83"/>
  <c r="E23" i="83"/>
  <c r="D23" i="83"/>
  <c r="C23" i="83"/>
  <c r="AH22" i="83"/>
  <c r="H22" i="83"/>
  <c r="G22" i="83"/>
  <c r="F22" i="83"/>
  <c r="E22" i="83"/>
  <c r="D22" i="83"/>
  <c r="C22" i="83"/>
  <c r="AH21" i="83"/>
  <c r="Q21" i="83"/>
  <c r="P21" i="83"/>
  <c r="O21" i="83"/>
  <c r="N21" i="83"/>
  <c r="M21" i="83"/>
  <c r="L21" i="83"/>
  <c r="H21" i="83"/>
  <c r="G21" i="83"/>
  <c r="F21" i="83"/>
  <c r="E21" i="83"/>
  <c r="D21" i="83"/>
  <c r="C21" i="83"/>
  <c r="AH20" i="83"/>
  <c r="H20" i="83"/>
  <c r="G20" i="83"/>
  <c r="F20" i="83"/>
  <c r="E20" i="83"/>
  <c r="D20" i="83"/>
  <c r="C20" i="83"/>
  <c r="AH19" i="83"/>
  <c r="H19" i="83"/>
  <c r="G19" i="83"/>
  <c r="F19" i="83"/>
  <c r="E19" i="83"/>
  <c r="D19" i="83"/>
  <c r="C19" i="83"/>
  <c r="AH18" i="83"/>
  <c r="H18" i="83"/>
  <c r="G18" i="83"/>
  <c r="F18" i="83"/>
  <c r="E18" i="83"/>
  <c r="D18" i="83"/>
  <c r="C18" i="83"/>
  <c r="AH17" i="83"/>
  <c r="Q17" i="83"/>
  <c r="P17" i="83"/>
  <c r="O17" i="83"/>
  <c r="N17" i="83"/>
  <c r="M17" i="83"/>
  <c r="L17" i="83"/>
  <c r="H17" i="83"/>
  <c r="G17" i="83"/>
  <c r="F17" i="83"/>
  <c r="E17" i="83"/>
  <c r="D17" i="83"/>
  <c r="C17" i="83"/>
  <c r="AH16" i="83"/>
  <c r="H16" i="83"/>
  <c r="G16" i="83"/>
  <c r="F16" i="83"/>
  <c r="E16" i="83"/>
  <c r="D16" i="83"/>
  <c r="C16" i="83"/>
  <c r="AH15" i="83"/>
  <c r="H15" i="83"/>
  <c r="G15" i="83"/>
  <c r="F15" i="83"/>
  <c r="E15" i="83"/>
  <c r="D15" i="83"/>
  <c r="C15" i="83"/>
  <c r="AH14" i="83"/>
  <c r="AH13" i="83"/>
  <c r="AH12" i="83"/>
  <c r="AH11" i="83"/>
  <c r="H11" i="83"/>
  <c r="G11" i="83"/>
  <c r="F11" i="83"/>
  <c r="E11" i="83"/>
  <c r="D11" i="83"/>
  <c r="C11" i="83"/>
  <c r="AH10" i="83"/>
  <c r="H10" i="83"/>
  <c r="G10" i="83"/>
  <c r="F10" i="83"/>
  <c r="E10" i="83"/>
  <c r="D10" i="83"/>
  <c r="C10" i="83"/>
  <c r="AH9" i="83"/>
  <c r="H9" i="83"/>
  <c r="G9" i="83"/>
  <c r="F9" i="83"/>
  <c r="E9" i="83"/>
  <c r="D9" i="83"/>
  <c r="C9" i="83"/>
  <c r="AH8" i="83"/>
  <c r="H8" i="83"/>
  <c r="G8" i="83"/>
  <c r="F8" i="83"/>
  <c r="E8" i="83"/>
  <c r="D8" i="83"/>
  <c r="C8" i="83"/>
  <c r="AH7" i="83"/>
  <c r="H7" i="83"/>
  <c r="G7" i="83"/>
  <c r="F7" i="83"/>
  <c r="E7" i="83"/>
  <c r="D7" i="83"/>
  <c r="C7" i="83"/>
  <c r="AH6" i="83"/>
  <c r="AH5" i="83"/>
  <c r="AH4" i="83"/>
  <c r="AK16" i="84" l="1"/>
  <c r="AG14" i="84"/>
  <c r="AE36" i="84"/>
  <c r="AG36" i="84"/>
  <c r="AC36" i="84"/>
  <c r="AF36" i="84"/>
  <c r="AD36" i="84"/>
  <c r="P114" i="82"/>
  <c r="H114" i="82"/>
  <c r="L119" i="82"/>
  <c r="L120" i="82"/>
  <c r="AO69" i="60" l="1"/>
  <c r="AN69" i="60"/>
  <c r="AL69" i="60"/>
  <c r="O10" i="21" l="1"/>
  <c r="N10" i="21"/>
  <c r="M10" i="21"/>
  <c r="L10" i="21"/>
  <c r="K10" i="21"/>
  <c r="C1" i="21"/>
  <c r="A1" i="21"/>
  <c r="O7" i="20"/>
  <c r="N7" i="20"/>
  <c r="M7" i="20"/>
  <c r="L7" i="20"/>
  <c r="K7" i="20"/>
  <c r="C1" i="20"/>
  <c r="A1" i="20"/>
  <c r="M9" i="49"/>
  <c r="M23" i="49" s="1"/>
  <c r="M37" i="49" s="1"/>
  <c r="M51" i="49" s="1"/>
  <c r="M65" i="49" s="1"/>
  <c r="L9" i="49"/>
  <c r="L23" i="49" s="1"/>
  <c r="L37" i="49" s="1"/>
  <c r="L51" i="49" s="1"/>
  <c r="L65" i="49" s="1"/>
  <c r="K9" i="49"/>
  <c r="K23" i="49" s="1"/>
  <c r="K37" i="49" s="1"/>
  <c r="K51" i="49" s="1"/>
  <c r="K65" i="49" s="1"/>
  <c r="J9" i="49"/>
  <c r="J23" i="49" s="1"/>
  <c r="J37" i="49" s="1"/>
  <c r="J51" i="49" s="1"/>
  <c r="J65" i="49" s="1"/>
  <c r="I9" i="49"/>
  <c r="I23" i="49" s="1"/>
  <c r="I37" i="49" s="1"/>
  <c r="I51" i="49" s="1"/>
  <c r="I65" i="49" s="1"/>
  <c r="C1" i="49"/>
  <c r="O8" i="17"/>
  <c r="O14" i="17" s="1"/>
  <c r="O22" i="17" s="1"/>
  <c r="O33" i="17" s="1"/>
  <c r="O39" i="17" s="1"/>
  <c r="N8" i="17"/>
  <c r="N14" i="17" s="1"/>
  <c r="N22" i="17" s="1"/>
  <c r="N33" i="17" s="1"/>
  <c r="N39" i="17" s="1"/>
  <c r="M8" i="17"/>
  <c r="M14" i="17" s="1"/>
  <c r="M22" i="17" s="1"/>
  <c r="M33" i="17" s="1"/>
  <c r="M39" i="17" s="1"/>
  <c r="L8" i="17"/>
  <c r="L14" i="17" s="1"/>
  <c r="L22" i="17" s="1"/>
  <c r="L33" i="17" s="1"/>
  <c r="L39" i="17" s="1"/>
  <c r="K8" i="17"/>
  <c r="K14" i="17" s="1"/>
  <c r="K22" i="17" s="1"/>
  <c r="K33" i="17" s="1"/>
  <c r="K39" i="17" s="1"/>
  <c r="C1" i="17"/>
  <c r="A1" i="17"/>
  <c r="N7" i="48"/>
  <c r="M7" i="48"/>
  <c r="L7" i="48"/>
  <c r="K7" i="48"/>
  <c r="J7" i="48"/>
  <c r="I7" i="48"/>
  <c r="B1" i="48"/>
  <c r="N12" i="48" s="1"/>
  <c r="A1" i="48"/>
  <c r="N7" i="47"/>
  <c r="M7" i="47"/>
  <c r="L7" i="47"/>
  <c r="K7" i="47"/>
  <c r="J7" i="47"/>
  <c r="I7" i="47"/>
  <c r="B1" i="47"/>
  <c r="J11" i="47" s="1"/>
  <c r="A1" i="47"/>
  <c r="A1" i="16"/>
  <c r="B1" i="16"/>
  <c r="M9" i="16" s="1"/>
  <c r="BA133" i="77"/>
  <c r="AZ133" i="77"/>
  <c r="AY133" i="77"/>
  <c r="AX133" i="77"/>
  <c r="AW133" i="77"/>
  <c r="AV133" i="77"/>
  <c r="AU133" i="77"/>
  <c r="AT133" i="77"/>
  <c r="AS133" i="77"/>
  <c r="AR133" i="77"/>
  <c r="AQ133" i="77"/>
  <c r="AP133" i="77"/>
  <c r="AO133" i="77"/>
  <c r="AN133" i="77"/>
  <c r="AM133" i="77"/>
  <c r="AL133" i="77"/>
  <c r="AK133" i="77"/>
  <c r="AJ133" i="77"/>
  <c r="AI133" i="77"/>
  <c r="AH133" i="77"/>
  <c r="AG133" i="77"/>
  <c r="AF133" i="77"/>
  <c r="AE133" i="77"/>
  <c r="AD133" i="77"/>
  <c r="AC133" i="77"/>
  <c r="AW132" i="77"/>
  <c r="AR132" i="77"/>
  <c r="AM132" i="77"/>
  <c r="AH132" i="77"/>
  <c r="AC132" i="77"/>
  <c r="AW131" i="77"/>
  <c r="AR131" i="77"/>
  <c r="AM131" i="77"/>
  <c r="AH131" i="77"/>
  <c r="AC131" i="77"/>
  <c r="AW130" i="77"/>
  <c r="AR130" i="77"/>
  <c r="AM130" i="77"/>
  <c r="AH130" i="77"/>
  <c r="AC130" i="77"/>
  <c r="AW129" i="77"/>
  <c r="AR129" i="77"/>
  <c r="AM129" i="77"/>
  <c r="AH129" i="77"/>
  <c r="AC129" i="77"/>
  <c r="AW128" i="77"/>
  <c r="AR128" i="77"/>
  <c r="AM128" i="77"/>
  <c r="AH128" i="77"/>
  <c r="AC128" i="77"/>
  <c r="AW127" i="77"/>
  <c r="AR127" i="77"/>
  <c r="AM127" i="77"/>
  <c r="AH127" i="77"/>
  <c r="AC127" i="77"/>
  <c r="AC126" i="77"/>
  <c r="BA110" i="77"/>
  <c r="AZ110" i="77"/>
  <c r="AY110" i="77"/>
  <c r="AX110" i="77"/>
  <c r="AW110" i="77"/>
  <c r="AV110" i="77"/>
  <c r="AU110" i="77"/>
  <c r="AT110" i="77"/>
  <c r="AS110" i="77"/>
  <c r="AR110" i="77"/>
  <c r="AQ110" i="77"/>
  <c r="AP110" i="77"/>
  <c r="AO110" i="77"/>
  <c r="AN110" i="77"/>
  <c r="AM110" i="77"/>
  <c r="AL110" i="77"/>
  <c r="AK110" i="77"/>
  <c r="AJ110" i="77"/>
  <c r="AI110" i="77"/>
  <c r="AH110" i="77"/>
  <c r="AG110" i="77"/>
  <c r="AF110" i="77"/>
  <c r="AE110" i="77"/>
  <c r="AD110" i="77"/>
  <c r="AC110" i="77"/>
  <c r="AW109" i="77"/>
  <c r="AR109" i="77"/>
  <c r="AM109" i="77"/>
  <c r="AH109" i="77"/>
  <c r="AC109" i="77"/>
  <c r="AW108" i="77"/>
  <c r="AR108" i="77"/>
  <c r="AM108" i="77"/>
  <c r="AH108" i="77"/>
  <c r="AC108" i="77"/>
  <c r="AW107" i="77"/>
  <c r="AR107" i="77"/>
  <c r="AM107" i="77"/>
  <c r="AH107" i="77"/>
  <c r="AC107" i="77"/>
  <c r="AW106" i="77"/>
  <c r="AR106" i="77"/>
  <c r="AM106" i="77"/>
  <c r="AH106" i="77"/>
  <c r="AC106" i="77"/>
  <c r="AW105" i="77"/>
  <c r="AR105" i="77"/>
  <c r="AM105" i="77"/>
  <c r="AH105" i="77"/>
  <c r="AC105" i="77"/>
  <c r="AW104" i="77"/>
  <c r="AR104" i="77"/>
  <c r="AM104" i="77"/>
  <c r="AH104" i="77"/>
  <c r="AC104" i="77"/>
  <c r="AC103" i="77"/>
  <c r="AC102" i="77"/>
  <c r="BA86" i="77"/>
  <c r="AZ86" i="77"/>
  <c r="AY86" i="77"/>
  <c r="AX86" i="77"/>
  <c r="AW86" i="77"/>
  <c r="AV86" i="77"/>
  <c r="AU86" i="77"/>
  <c r="AT86" i="77"/>
  <c r="AS86" i="77"/>
  <c r="AR86" i="77"/>
  <c r="AQ86" i="77"/>
  <c r="AP86" i="77"/>
  <c r="AO86" i="77"/>
  <c r="AN86" i="77"/>
  <c r="AM86" i="77"/>
  <c r="AL86" i="77"/>
  <c r="AK86" i="77"/>
  <c r="AJ86" i="77"/>
  <c r="AI86" i="77"/>
  <c r="AH86" i="77"/>
  <c r="AG86" i="77"/>
  <c r="AF86" i="77"/>
  <c r="AE86" i="77"/>
  <c r="AD86" i="77"/>
  <c r="AC86" i="77"/>
  <c r="AW85" i="77"/>
  <c r="AR85" i="77"/>
  <c r="AM85" i="77"/>
  <c r="AH85" i="77"/>
  <c r="AC85" i="77"/>
  <c r="AW84" i="77"/>
  <c r="AR84" i="77"/>
  <c r="AM84" i="77"/>
  <c r="AH84" i="77"/>
  <c r="AC84" i="77"/>
  <c r="AW83" i="77"/>
  <c r="AR83" i="77"/>
  <c r="AM83" i="77"/>
  <c r="AH83" i="77"/>
  <c r="AC83" i="77"/>
  <c r="AW82" i="77"/>
  <c r="AR82" i="77"/>
  <c r="AM82" i="77"/>
  <c r="AH82" i="77"/>
  <c r="AC82" i="77"/>
  <c r="AW81" i="77"/>
  <c r="AR81" i="77"/>
  <c r="AM81" i="77"/>
  <c r="AH81" i="77"/>
  <c r="AC81" i="77"/>
  <c r="AW80" i="77"/>
  <c r="AR80" i="77"/>
  <c r="AM80" i="77"/>
  <c r="AH80" i="77"/>
  <c r="AC80" i="77"/>
  <c r="AC79" i="77"/>
  <c r="BA63" i="77"/>
  <c r="AZ63" i="77"/>
  <c r="AY63" i="77"/>
  <c r="AX63" i="77"/>
  <c r="AW63" i="77"/>
  <c r="AV63" i="77"/>
  <c r="AU63" i="77"/>
  <c r="AT63" i="77"/>
  <c r="AS63" i="77"/>
  <c r="AR63" i="77"/>
  <c r="AQ63" i="77"/>
  <c r="AP63" i="77"/>
  <c r="AO63" i="77"/>
  <c r="AN63" i="77"/>
  <c r="AM63" i="77"/>
  <c r="AL63" i="77"/>
  <c r="AK63" i="77"/>
  <c r="AJ63" i="77"/>
  <c r="AI63" i="77"/>
  <c r="AH63" i="77"/>
  <c r="AG63" i="77"/>
  <c r="AF63" i="77"/>
  <c r="AE63" i="77"/>
  <c r="AD63" i="77"/>
  <c r="AC63" i="77"/>
  <c r="AW62" i="77"/>
  <c r="AR62" i="77"/>
  <c r="AM62" i="77"/>
  <c r="AH62" i="77"/>
  <c r="AC62" i="77"/>
  <c r="AW61" i="77"/>
  <c r="AR61" i="77"/>
  <c r="AM61" i="77"/>
  <c r="AH61" i="77"/>
  <c r="AC61" i="77"/>
  <c r="AW60" i="77"/>
  <c r="AR60" i="77"/>
  <c r="AM60" i="77"/>
  <c r="AH60" i="77"/>
  <c r="AC60" i="77"/>
  <c r="AW59" i="77"/>
  <c r="AR59" i="77"/>
  <c r="AM59" i="77"/>
  <c r="AH59" i="77"/>
  <c r="AC59" i="77"/>
  <c r="AW58" i="77"/>
  <c r="AR58" i="77"/>
  <c r="AM58" i="77"/>
  <c r="AH58" i="77"/>
  <c r="AC58" i="77"/>
  <c r="AW57" i="77"/>
  <c r="AR57" i="77"/>
  <c r="AM57" i="77"/>
  <c r="AH57" i="77"/>
  <c r="AC57" i="77"/>
  <c r="AC56" i="77"/>
  <c r="AC55" i="77"/>
  <c r="BA39" i="77"/>
  <c r="AZ39" i="77"/>
  <c r="AY39" i="77"/>
  <c r="AX39" i="77"/>
  <c r="AW39" i="77"/>
  <c r="AV39" i="77"/>
  <c r="AU39" i="77"/>
  <c r="AT39" i="77"/>
  <c r="AS39" i="77"/>
  <c r="AR39" i="77"/>
  <c r="AQ39" i="77"/>
  <c r="AP39" i="77"/>
  <c r="AO39" i="77"/>
  <c r="AN39" i="77"/>
  <c r="AM39" i="77"/>
  <c r="AL39" i="77"/>
  <c r="AK39" i="77"/>
  <c r="AJ39" i="77"/>
  <c r="AI39" i="77"/>
  <c r="AH39" i="77"/>
  <c r="AG39" i="77"/>
  <c r="AF39" i="77"/>
  <c r="AE39" i="77"/>
  <c r="AD39" i="77"/>
  <c r="AC39" i="77"/>
  <c r="AW38" i="77"/>
  <c r="AR38" i="77"/>
  <c r="AM38" i="77"/>
  <c r="AH38" i="77"/>
  <c r="AC38" i="77"/>
  <c r="AW37" i="77"/>
  <c r="AR37" i="77"/>
  <c r="AM37" i="77"/>
  <c r="AH37" i="77"/>
  <c r="AC37" i="77"/>
  <c r="AW36" i="77"/>
  <c r="AR36" i="77"/>
  <c r="AM36" i="77"/>
  <c r="AH36" i="77"/>
  <c r="AC36" i="77"/>
  <c r="AW35" i="77"/>
  <c r="AR35" i="77"/>
  <c r="AM35" i="77"/>
  <c r="AH35" i="77"/>
  <c r="AC35" i="77"/>
  <c r="AW34" i="77"/>
  <c r="AR34" i="77"/>
  <c r="AM34" i="77"/>
  <c r="AH34" i="77"/>
  <c r="AC34" i="77"/>
  <c r="AW33" i="77"/>
  <c r="AR33" i="77"/>
  <c r="AM33" i="77"/>
  <c r="AH33" i="77"/>
  <c r="AC33" i="77"/>
  <c r="AC32" i="77"/>
  <c r="AC9" i="77"/>
  <c r="AW15" i="77"/>
  <c r="AW14" i="77"/>
  <c r="AW13" i="77"/>
  <c r="AW12" i="77"/>
  <c r="AW11" i="77"/>
  <c r="AW10" i="77"/>
  <c r="AR15" i="77"/>
  <c r="AR14" i="77"/>
  <c r="AR13" i="77"/>
  <c r="AR12" i="77"/>
  <c r="AR11" i="77"/>
  <c r="AR10" i="77"/>
  <c r="AM15" i="77"/>
  <c r="AM14" i="77"/>
  <c r="AM13" i="77"/>
  <c r="AM12" i="77"/>
  <c r="AM11" i="77"/>
  <c r="AM10" i="77"/>
  <c r="AH15" i="77"/>
  <c r="AH14" i="77"/>
  <c r="AH13" i="77"/>
  <c r="AH12" i="77"/>
  <c r="AH11" i="77"/>
  <c r="AH10" i="77"/>
  <c r="AC15" i="77"/>
  <c r="AC14" i="77"/>
  <c r="AC13" i="77"/>
  <c r="AC12" i="77"/>
  <c r="AC11" i="77"/>
  <c r="AC10" i="77"/>
  <c r="AC8" i="77"/>
  <c r="BA16" i="77"/>
  <c r="AZ16" i="77"/>
  <c r="AY16" i="77"/>
  <c r="AX16" i="77"/>
  <c r="AW16" i="77"/>
  <c r="AV16" i="77"/>
  <c r="AU16" i="77"/>
  <c r="AT16" i="77"/>
  <c r="AS16" i="77"/>
  <c r="AR16" i="77"/>
  <c r="AQ16" i="77"/>
  <c r="AP16" i="77"/>
  <c r="AO16" i="77"/>
  <c r="AN16" i="77"/>
  <c r="AM16" i="77"/>
  <c r="AL16" i="77"/>
  <c r="AK16" i="77"/>
  <c r="AJ16" i="77"/>
  <c r="AI16" i="77"/>
  <c r="AH16" i="77"/>
  <c r="AG16" i="77"/>
  <c r="AF16" i="77"/>
  <c r="AE16" i="77"/>
  <c r="AD16" i="77"/>
  <c r="AC16" i="77"/>
  <c r="D1" i="77"/>
  <c r="AW145" i="77" s="1"/>
  <c r="A1" i="77"/>
  <c r="BY10" i="73"/>
  <c r="CE10" i="73" s="1"/>
  <c r="BS10" i="73"/>
  <c r="BM10" i="73"/>
  <c r="CJ9" i="73"/>
  <c r="CI9" i="73"/>
  <c r="CH9" i="73"/>
  <c r="CG9" i="73"/>
  <c r="CF9" i="73"/>
  <c r="CE9" i="73"/>
  <c r="CD9" i="73"/>
  <c r="CC9" i="73"/>
  <c r="CB9" i="73"/>
  <c r="CA9" i="73"/>
  <c r="BZ9" i="73"/>
  <c r="BY9" i="73"/>
  <c r="BX9" i="73"/>
  <c r="BW9" i="73"/>
  <c r="BV9" i="73"/>
  <c r="BU9" i="73"/>
  <c r="BT9" i="73"/>
  <c r="BS9" i="73"/>
  <c r="BR9" i="73"/>
  <c r="BQ9" i="73"/>
  <c r="BP9" i="73"/>
  <c r="BO9" i="73"/>
  <c r="BN9" i="73"/>
  <c r="BM9" i="73"/>
  <c r="D1" i="73"/>
  <c r="BI49" i="73" s="1"/>
  <c r="A1" i="73"/>
  <c r="AD54" i="77" l="1"/>
  <c r="AX26" i="77"/>
  <c r="M12" i="47"/>
  <c r="AU22" i="77"/>
  <c r="BA30" i="77"/>
  <c r="AU48" i="77"/>
  <c r="AR77" i="77"/>
  <c r="AK27" i="77"/>
  <c r="AE48" i="77"/>
  <c r="AJ23" i="77"/>
  <c r="AN31" i="77"/>
  <c r="AH53" i="77"/>
  <c r="AQ93" i="77"/>
  <c r="N42" i="47"/>
  <c r="AV23" i="77"/>
  <c r="AX27" i="77"/>
  <c r="BA31" i="77"/>
  <c r="AL49" i="77"/>
  <c r="AU97" i="77"/>
  <c r="I36" i="47"/>
  <c r="J45" i="48"/>
  <c r="AE17" i="85" s="1"/>
  <c r="K37" i="47"/>
  <c r="AJ24" i="77"/>
  <c r="AM28" i="77"/>
  <c r="AC50" i="77"/>
  <c r="AC69" i="77"/>
  <c r="M28" i="47"/>
  <c r="K30" i="48"/>
  <c r="AV24" i="77"/>
  <c r="AY28" i="77"/>
  <c r="AP45" i="77"/>
  <c r="AS50" i="77"/>
  <c r="AX70" i="77"/>
  <c r="AH117" i="77"/>
  <c r="M20" i="47"/>
  <c r="K17" i="48"/>
  <c r="AJ25" i="77"/>
  <c r="AM29" i="77"/>
  <c r="AG46" i="77"/>
  <c r="AJ51" i="77"/>
  <c r="AO72" i="77"/>
  <c r="BA123" i="77"/>
  <c r="K20" i="47"/>
  <c r="I12" i="47"/>
  <c r="AX25" i="77"/>
  <c r="AY29" i="77"/>
  <c r="AW46" i="77"/>
  <c r="AZ51" i="77"/>
  <c r="AF74" i="77"/>
  <c r="M17" i="47"/>
  <c r="AH22" i="77"/>
  <c r="AK26" i="77"/>
  <c r="AM30" i="77"/>
  <c r="AN47" i="77"/>
  <c r="AQ52" i="77"/>
  <c r="BA75" i="77"/>
  <c r="K15" i="47"/>
  <c r="AK22" i="77"/>
  <c r="AX46" i="77"/>
  <c r="AT50" i="77"/>
  <c r="AV72" i="77"/>
  <c r="AD76" i="77"/>
  <c r="AR93" i="77"/>
  <c r="AX117" i="77"/>
  <c r="AO22" i="77"/>
  <c r="AO23" i="77"/>
  <c r="AQ24" i="77"/>
  <c r="AQ25" i="77"/>
  <c r="AQ26" i="77"/>
  <c r="AR27" i="77"/>
  <c r="AR28" i="77"/>
  <c r="AT29" i="77"/>
  <c r="AT30" i="77"/>
  <c r="AT31" i="77"/>
  <c r="AX45" i="77"/>
  <c r="AF47" i="77"/>
  <c r="AM48" i="77"/>
  <c r="AT49" i="77"/>
  <c r="BA50" i="77"/>
  <c r="AI52" i="77"/>
  <c r="AP53" i="77"/>
  <c r="AZ69" i="77"/>
  <c r="AM73" i="77"/>
  <c r="AT76" i="77"/>
  <c r="AS94" i="77"/>
  <c r="AV119" i="77"/>
  <c r="M38" i="47"/>
  <c r="K19" i="47"/>
  <c r="J41" i="48"/>
  <c r="AK23" i="77"/>
  <c r="AK24" i="77"/>
  <c r="AL25" i="77"/>
  <c r="AL26" i="77"/>
  <c r="AN27" i="77"/>
  <c r="AN28" i="77"/>
  <c r="AN29" i="77"/>
  <c r="AO30" i="77"/>
  <c r="AO31" i="77"/>
  <c r="AQ45" i="77"/>
  <c r="AF48" i="77"/>
  <c r="AM49" i="77"/>
  <c r="BA51" i="77"/>
  <c r="AI53" i="77"/>
  <c r="AJ69" i="77"/>
  <c r="AT22" i="77"/>
  <c r="AT23" i="77"/>
  <c r="AU24" i="77"/>
  <c r="AU25" i="77"/>
  <c r="AW26" i="77"/>
  <c r="AW27" i="77"/>
  <c r="AW28" i="77"/>
  <c r="AX29" i="77"/>
  <c r="AX30" i="77"/>
  <c r="AZ31" i="77"/>
  <c r="AF46" i="77"/>
  <c r="AM47" i="77"/>
  <c r="AT48" i="77"/>
  <c r="BA49" i="77"/>
  <c r="AI51" i="77"/>
  <c r="AP52" i="77"/>
  <c r="BA53" i="77"/>
  <c r="AR70" i="77"/>
  <c r="AE74" i="77"/>
  <c r="AQ77" i="77"/>
  <c r="AE96" i="77"/>
  <c r="AZ123" i="77"/>
  <c r="I38" i="47"/>
  <c r="I18" i="47"/>
  <c r="L36" i="48"/>
  <c r="AW23" i="77"/>
  <c r="AY25" i="77"/>
  <c r="AZ27" i="77"/>
  <c r="AC30" i="77"/>
  <c r="AZ70" i="77"/>
  <c r="AI78" i="77"/>
  <c r="AL98" i="77"/>
  <c r="AO143" i="77"/>
  <c r="AC22" i="77"/>
  <c r="AC23" i="77"/>
  <c r="AC24" i="77"/>
  <c r="AD25" i="77"/>
  <c r="AD26" i="77"/>
  <c r="AF27" i="77"/>
  <c r="AF28" i="77"/>
  <c r="AF29" i="77"/>
  <c r="AG30" i="77"/>
  <c r="AG31" i="77"/>
  <c r="AH45" i="77"/>
  <c r="AO46" i="77"/>
  <c r="AV47" i="77"/>
  <c r="AD49" i="77"/>
  <c r="AK50" i="77"/>
  <c r="AR51" i="77"/>
  <c r="AY52" i="77"/>
  <c r="AT54" i="77"/>
  <c r="AQ71" i="77"/>
  <c r="AD75" i="77"/>
  <c r="AR92" i="77"/>
  <c r="AJ100" i="77"/>
  <c r="AR148" i="77"/>
  <c r="M33" i="47"/>
  <c r="I14" i="47"/>
  <c r="AW22" i="77"/>
  <c r="AY24" i="77"/>
  <c r="AY26" i="77"/>
  <c r="AZ28" i="77"/>
  <c r="AC31" i="77"/>
  <c r="AH46" i="77"/>
  <c r="AO47" i="77"/>
  <c r="AV48" i="77"/>
  <c r="AD50" i="77"/>
  <c r="AK51" i="77"/>
  <c r="AR52" i="77"/>
  <c r="AH54" i="77"/>
  <c r="AM74" i="77"/>
  <c r="AG22" i="77"/>
  <c r="AG23" i="77"/>
  <c r="AI24" i="77"/>
  <c r="AI25" i="77"/>
  <c r="AI26" i="77"/>
  <c r="AJ27" i="77"/>
  <c r="AJ28" i="77"/>
  <c r="AL29" i="77"/>
  <c r="AL30" i="77"/>
  <c r="AL31" i="77"/>
  <c r="AO45" i="77"/>
  <c r="AV46" i="77"/>
  <c r="AD48" i="77"/>
  <c r="AK49" i="77"/>
  <c r="AR50" i="77"/>
  <c r="AY51" i="77"/>
  <c r="AG53" i="77"/>
  <c r="AN72" i="77"/>
  <c r="AU75" i="77"/>
  <c r="AK93" i="77"/>
  <c r="I45" i="48"/>
  <c r="AD17" i="85" s="1"/>
  <c r="I15" i="48"/>
  <c r="AL22" i="77"/>
  <c r="AX22" i="77"/>
  <c r="AL23" i="77"/>
  <c r="AZ23" i="77"/>
  <c r="AM24" i="77"/>
  <c r="AZ24" i="77"/>
  <c r="AM25" i="77"/>
  <c r="AZ25" i="77"/>
  <c r="AO26" i="77"/>
  <c r="BA26" i="77"/>
  <c r="AO27" i="77"/>
  <c r="BA27" i="77"/>
  <c r="AO28" i="77"/>
  <c r="AD29" i="77"/>
  <c r="AP29" i="77"/>
  <c r="AD30" i="77"/>
  <c r="AP30" i="77"/>
  <c r="AD31" i="77"/>
  <c r="AR31" i="77"/>
  <c r="AC45" i="77"/>
  <c r="AS45" i="77"/>
  <c r="AJ46" i="77"/>
  <c r="AZ46" i="77"/>
  <c r="AQ47" i="77"/>
  <c r="AH48" i="77"/>
  <c r="AX48" i="77"/>
  <c r="AO49" i="77"/>
  <c r="AF50" i="77"/>
  <c r="AV50" i="77"/>
  <c r="AM51" i="77"/>
  <c r="AD52" i="77"/>
  <c r="AT52" i="77"/>
  <c r="AK53" i="77"/>
  <c r="AJ54" i="77"/>
  <c r="AS69" i="77"/>
  <c r="AO71" i="77"/>
  <c r="AF73" i="77"/>
  <c r="AV74" i="77"/>
  <c r="AR76" i="77"/>
  <c r="AJ78" i="77"/>
  <c r="AJ94" i="77"/>
  <c r="AM98" i="77"/>
  <c r="AO119" i="77"/>
  <c r="AR124" i="77"/>
  <c r="M37" i="47"/>
  <c r="L33" i="47"/>
  <c r="J20" i="47"/>
  <c r="L17" i="47"/>
  <c r="K12" i="47"/>
  <c r="M41" i="48"/>
  <c r="M33" i="48"/>
  <c r="N13" i="48"/>
  <c r="J36" i="48"/>
  <c r="AM22" i="77"/>
  <c r="BA22" i="77"/>
  <c r="AN23" i="77"/>
  <c r="BA23" i="77"/>
  <c r="AN24" i="77"/>
  <c r="BA24" i="77"/>
  <c r="AP25" i="77"/>
  <c r="AC26" i="77"/>
  <c r="AP26" i="77"/>
  <c r="AC27" i="77"/>
  <c r="AP27" i="77"/>
  <c r="AE28" i="77"/>
  <c r="AQ28" i="77"/>
  <c r="AE29" i="77"/>
  <c r="AQ29" i="77"/>
  <c r="AE30" i="77"/>
  <c r="AS30" i="77"/>
  <c r="AF31" i="77"/>
  <c r="AS31" i="77"/>
  <c r="AG45" i="77"/>
  <c r="AW45" i="77"/>
  <c r="AN46" i="77"/>
  <c r="AE47" i="77"/>
  <c r="AU47" i="77"/>
  <c r="AL48" i="77"/>
  <c r="AC49" i="77"/>
  <c r="AS49" i="77"/>
  <c r="AJ50" i="77"/>
  <c r="AZ50" i="77"/>
  <c r="AQ51" i="77"/>
  <c r="AH52" i="77"/>
  <c r="AX52" i="77"/>
  <c r="AO53" i="77"/>
  <c r="AR54" i="77"/>
  <c r="AY69" i="77"/>
  <c r="AP71" i="77"/>
  <c r="AG73" i="77"/>
  <c r="AC75" i="77"/>
  <c r="AS76" i="77"/>
  <c r="AP78" i="77"/>
  <c r="AK94" i="77"/>
  <c r="AI100" i="77"/>
  <c r="AP119" i="77"/>
  <c r="AH142" i="77"/>
  <c r="L37" i="47"/>
  <c r="K33" i="47"/>
  <c r="I20" i="47"/>
  <c r="K17" i="47"/>
  <c r="J12" i="47"/>
  <c r="L41" i="48"/>
  <c r="I33" i="48"/>
  <c r="J13" i="48"/>
  <c r="AD22" i="77"/>
  <c r="AP22" i="77"/>
  <c r="AD23" i="77"/>
  <c r="AR23" i="77"/>
  <c r="AE24" i="77"/>
  <c r="AR24" i="77"/>
  <c r="AE25" i="77"/>
  <c r="AR25" i="77"/>
  <c r="AG26" i="77"/>
  <c r="AS26" i="77"/>
  <c r="AG27" i="77"/>
  <c r="AS27" i="77"/>
  <c r="AG28" i="77"/>
  <c r="AU28" i="77"/>
  <c r="AH29" i="77"/>
  <c r="AU29" i="77"/>
  <c r="AH30" i="77"/>
  <c r="AU30" i="77"/>
  <c r="AJ31" i="77"/>
  <c r="AV31" i="77"/>
  <c r="AI45" i="77"/>
  <c r="AY45" i="77"/>
  <c r="AP46" i="77"/>
  <c r="AG47" i="77"/>
  <c r="AW47" i="77"/>
  <c r="AN48" i="77"/>
  <c r="AE49" i="77"/>
  <c r="AU49" i="77"/>
  <c r="AL50" i="77"/>
  <c r="AC51" i="77"/>
  <c r="AS51" i="77"/>
  <c r="AJ52" i="77"/>
  <c r="AZ52" i="77"/>
  <c r="AQ53" i="77"/>
  <c r="AX54" i="77"/>
  <c r="AH70" i="77"/>
  <c r="AX71" i="77"/>
  <c r="AO73" i="77"/>
  <c r="AK75" i="77"/>
  <c r="BA76" i="77"/>
  <c r="AS92" i="77"/>
  <c r="AW95" i="77"/>
  <c r="AZ100" i="77"/>
  <c r="AM121" i="77"/>
  <c r="AY143" i="77"/>
  <c r="J42" i="47"/>
  <c r="M36" i="47"/>
  <c r="K28" i="47"/>
  <c r="I19" i="47"/>
  <c r="I15" i="47"/>
  <c r="K11" i="47"/>
  <c r="I41" i="48"/>
  <c r="I30" i="48"/>
  <c r="L11" i="48"/>
  <c r="AE22" i="77"/>
  <c r="AS22" i="77"/>
  <c r="AF23" i="77"/>
  <c r="AS23" i="77"/>
  <c r="AF24" i="77"/>
  <c r="AS24" i="77"/>
  <c r="AH25" i="77"/>
  <c r="AT25" i="77"/>
  <c r="AH26" i="77"/>
  <c r="AT26" i="77"/>
  <c r="AH27" i="77"/>
  <c r="AV27" i="77"/>
  <c r="AI28" i="77"/>
  <c r="AV28" i="77"/>
  <c r="AI29" i="77"/>
  <c r="AV29" i="77"/>
  <c r="AK30" i="77"/>
  <c r="AW30" i="77"/>
  <c r="AK31" i="77"/>
  <c r="AW31" i="77"/>
  <c r="AK45" i="77"/>
  <c r="BA45" i="77"/>
  <c r="AR46" i="77"/>
  <c r="AI47" i="77"/>
  <c r="AY47" i="77"/>
  <c r="AP48" i="77"/>
  <c r="AG49" i="77"/>
  <c r="AW49" i="77"/>
  <c r="AN50" i="77"/>
  <c r="AE51" i="77"/>
  <c r="AU51" i="77"/>
  <c r="AL52" i="77"/>
  <c r="AC53" i="77"/>
  <c r="AS53" i="77"/>
  <c r="AZ54" i="77"/>
  <c r="AQ70" i="77"/>
  <c r="AH72" i="77"/>
  <c r="AD74" i="77"/>
  <c r="AT75" i="77"/>
  <c r="AK77" i="77"/>
  <c r="AT92" i="77"/>
  <c r="AX95" i="77"/>
  <c r="AD122" i="77"/>
  <c r="AI147" i="77"/>
  <c r="I41" i="47"/>
  <c r="K36" i="47"/>
  <c r="J28" i="47"/>
  <c r="N18" i="47"/>
  <c r="N14" i="47"/>
  <c r="I11" i="47"/>
  <c r="N37" i="48"/>
  <c r="I18" i="48"/>
  <c r="BA116" i="77"/>
  <c r="AE122" i="77"/>
  <c r="AK147" i="77"/>
  <c r="N38" i="47"/>
  <c r="J36" i="47"/>
  <c r="I28" i="47"/>
  <c r="M18" i="47"/>
  <c r="M14" i="47"/>
  <c r="I10" i="47"/>
  <c r="L37" i="48"/>
  <c r="M17" i="48"/>
  <c r="AF22" i="77"/>
  <c r="AN22" i="77"/>
  <c r="AV22" i="77"/>
  <c r="AE23" i="77"/>
  <c r="AM23" i="77"/>
  <c r="AU23" i="77"/>
  <c r="AD24" i="77"/>
  <c r="AL24" i="77"/>
  <c r="AT24" i="77"/>
  <c r="AC25" i="77"/>
  <c r="AK25" i="77"/>
  <c r="AS25" i="77"/>
  <c r="BA25" i="77"/>
  <c r="AJ26" i="77"/>
  <c r="AR26" i="77"/>
  <c r="AZ26" i="77"/>
  <c r="AI27" i="77"/>
  <c r="AQ27" i="77"/>
  <c r="AY27" i="77"/>
  <c r="AH28" i="77"/>
  <c r="AP28" i="77"/>
  <c r="AX28" i="77"/>
  <c r="AG29" i="77"/>
  <c r="AO29" i="77"/>
  <c r="AW29" i="77"/>
  <c r="AF30" i="77"/>
  <c r="AN30" i="77"/>
  <c r="AV30" i="77"/>
  <c r="AE31" i="77"/>
  <c r="AM31" i="77"/>
  <c r="AU31" i="77"/>
  <c r="AJ45" i="77"/>
  <c r="AR45" i="77"/>
  <c r="AZ45" i="77"/>
  <c r="AI46" i="77"/>
  <c r="AQ46" i="77"/>
  <c r="AY46" i="77"/>
  <c r="AH47" i="77"/>
  <c r="AP47" i="77"/>
  <c r="AX47" i="77"/>
  <c r="AG48" i="77"/>
  <c r="AO48" i="77"/>
  <c r="AW48" i="77"/>
  <c r="AF49" i="77"/>
  <c r="AN49" i="77"/>
  <c r="AV49" i="77"/>
  <c r="AE50" i="77"/>
  <c r="AM50" i="77"/>
  <c r="AU50" i="77"/>
  <c r="AD51" i="77"/>
  <c r="AL51" i="77"/>
  <c r="AT51" i="77"/>
  <c r="AC52" i="77"/>
  <c r="AK52" i="77"/>
  <c r="AS52" i="77"/>
  <c r="BA52" i="77"/>
  <c r="AJ53" i="77"/>
  <c r="AR53" i="77"/>
  <c r="AI54" i="77"/>
  <c r="AY54" i="77"/>
  <c r="AI69" i="77"/>
  <c r="BA69" i="77"/>
  <c r="AY70" i="77"/>
  <c r="AW71" i="77"/>
  <c r="AP72" i="77"/>
  <c r="AN73" i="77"/>
  <c r="AL74" i="77"/>
  <c r="AE75" i="77"/>
  <c r="AC76" i="77"/>
  <c r="AZ76" i="77"/>
  <c r="AS77" i="77"/>
  <c r="AQ78" i="77"/>
  <c r="AC92" i="77"/>
  <c r="AZ92" i="77"/>
  <c r="AS93" i="77"/>
  <c r="AT94" i="77"/>
  <c r="AU96" i="77"/>
  <c r="AS98" i="77"/>
  <c r="BA100" i="77"/>
  <c r="AY117" i="77"/>
  <c r="AM120" i="77"/>
  <c r="AK122" i="77"/>
  <c r="AS124" i="77"/>
  <c r="AH140" i="77"/>
  <c r="AD144" i="77"/>
  <c r="AY77" i="77"/>
  <c r="AR78" i="77"/>
  <c r="AD92" i="77"/>
  <c r="BA92" i="77"/>
  <c r="AY93" i="77"/>
  <c r="AW94" i="77"/>
  <c r="AV96" i="77"/>
  <c r="AJ99" i="77"/>
  <c r="AH101" i="77"/>
  <c r="AC116" i="77"/>
  <c r="AZ117" i="77"/>
  <c r="AN120" i="77"/>
  <c r="BA122" i="77"/>
  <c r="AY124" i="77"/>
  <c r="AJ140" i="77"/>
  <c r="AK145" i="77"/>
  <c r="AD45" i="77"/>
  <c r="AL45" i="77"/>
  <c r="AT45" i="77"/>
  <c r="AC46" i="77"/>
  <c r="AK46" i="77"/>
  <c r="AS46" i="77"/>
  <c r="BA46" i="77"/>
  <c r="AJ47" i="77"/>
  <c r="AR47" i="77"/>
  <c r="AZ47" i="77"/>
  <c r="AI48" i="77"/>
  <c r="AQ48" i="77"/>
  <c r="AY48" i="77"/>
  <c r="AH49" i="77"/>
  <c r="AP49" i="77"/>
  <c r="AX49" i="77"/>
  <c r="AG50" i="77"/>
  <c r="AO50" i="77"/>
  <c r="AW50" i="77"/>
  <c r="AF51" i="77"/>
  <c r="AN51" i="77"/>
  <c r="AV51" i="77"/>
  <c r="AE52" i="77"/>
  <c r="AM52" i="77"/>
  <c r="AU52" i="77"/>
  <c r="AD53" i="77"/>
  <c r="AL53" i="77"/>
  <c r="AU53" i="77"/>
  <c r="AL54" i="77"/>
  <c r="AK69" i="77"/>
  <c r="AI70" i="77"/>
  <c r="AG71" i="77"/>
  <c r="AY71" i="77"/>
  <c r="AW72" i="77"/>
  <c r="AU73" i="77"/>
  <c r="AN74" i="77"/>
  <c r="AL75" i="77"/>
  <c r="AJ76" i="77"/>
  <c r="AC77" i="77"/>
  <c r="AZ77" i="77"/>
  <c r="AX78" i="77"/>
  <c r="AJ92" i="77"/>
  <c r="AC93" i="77"/>
  <c r="AZ93" i="77"/>
  <c r="AG95" i="77"/>
  <c r="AW96" i="77"/>
  <c r="AK99" i="77"/>
  <c r="AX101" i="77"/>
  <c r="AI116" i="77"/>
  <c r="AQ118" i="77"/>
  <c r="AO120" i="77"/>
  <c r="AC123" i="77"/>
  <c r="AP125" i="77"/>
  <c r="AT140" i="77"/>
  <c r="AM145" i="77"/>
  <c r="AI22" i="77"/>
  <c r="AQ22" i="77"/>
  <c r="AY22" i="77"/>
  <c r="AH23" i="77"/>
  <c r="AP23" i="77"/>
  <c r="AX23" i="77"/>
  <c r="AG24" i="77"/>
  <c r="AO24" i="77"/>
  <c r="AW24" i="77"/>
  <c r="AF25" i="77"/>
  <c r="AN25" i="77"/>
  <c r="AV25" i="77"/>
  <c r="AE26" i="77"/>
  <c r="AM26" i="77"/>
  <c r="AU26" i="77"/>
  <c r="AD27" i="77"/>
  <c r="AL27" i="77"/>
  <c r="AT27" i="77"/>
  <c r="AC28" i="77"/>
  <c r="AK28" i="77"/>
  <c r="AS28" i="77"/>
  <c r="BA28" i="77"/>
  <c r="AJ29" i="77"/>
  <c r="AR29" i="77"/>
  <c r="AZ29" i="77"/>
  <c r="AI30" i="77"/>
  <c r="AQ30" i="77"/>
  <c r="AY30" i="77"/>
  <c r="AH31" i="77"/>
  <c r="AP31" i="77"/>
  <c r="AX31" i="77"/>
  <c r="AE45" i="77"/>
  <c r="AM45" i="77"/>
  <c r="AU45" i="77"/>
  <c r="AD46" i="77"/>
  <c r="AL46" i="77"/>
  <c r="AT46" i="77"/>
  <c r="AC47" i="77"/>
  <c r="AK47" i="77"/>
  <c r="AS47" i="77"/>
  <c r="BA47" i="77"/>
  <c r="AJ48" i="77"/>
  <c r="AR48" i="77"/>
  <c r="AZ48" i="77"/>
  <c r="AI49" i="77"/>
  <c r="AQ49" i="77"/>
  <c r="AY49" i="77"/>
  <c r="AH50" i="77"/>
  <c r="AP50" i="77"/>
  <c r="AX50" i="77"/>
  <c r="AG51" i="77"/>
  <c r="AO51" i="77"/>
  <c r="AW51" i="77"/>
  <c r="AF52" i="77"/>
  <c r="AN52" i="77"/>
  <c r="AV52" i="77"/>
  <c r="AE53" i="77"/>
  <c r="AM53" i="77"/>
  <c r="AY53" i="77"/>
  <c r="AP54" i="77"/>
  <c r="AQ69" i="77"/>
  <c r="AJ70" i="77"/>
  <c r="AH71" i="77"/>
  <c r="AF72" i="77"/>
  <c r="AX72" i="77"/>
  <c r="AV73" i="77"/>
  <c r="AT74" i="77"/>
  <c r="AM75" i="77"/>
  <c r="AK76" i="77"/>
  <c r="AI77" i="77"/>
  <c r="BA77" i="77"/>
  <c r="AY78" i="77"/>
  <c r="AK92" i="77"/>
  <c r="AI93" i="77"/>
  <c r="BA93" i="77"/>
  <c r="AH95" i="77"/>
  <c r="AN97" i="77"/>
  <c r="AL99" i="77"/>
  <c r="AY101" i="77"/>
  <c r="AJ116" i="77"/>
  <c r="AW118" i="77"/>
  <c r="AF121" i="77"/>
  <c r="AD123" i="77"/>
  <c r="AQ125" i="77"/>
  <c r="BA141" i="77"/>
  <c r="AY148" i="77"/>
  <c r="AQ148" i="77"/>
  <c r="AI148" i="77"/>
  <c r="AZ147" i="77"/>
  <c r="AR147" i="77"/>
  <c r="AJ147" i="77"/>
  <c r="BA146" i="77"/>
  <c r="AS146" i="77"/>
  <c r="AK146" i="77"/>
  <c r="AC146" i="77"/>
  <c r="AT145" i="77"/>
  <c r="AL145" i="77"/>
  <c r="AD145" i="77"/>
  <c r="AU144" i="77"/>
  <c r="AM144" i="77"/>
  <c r="AE144" i="77"/>
  <c r="AV143" i="77"/>
  <c r="AN143" i="77"/>
  <c r="AF143" i="77"/>
  <c r="AW142" i="77"/>
  <c r="AO142" i="77"/>
  <c r="AG142" i="77"/>
  <c r="AX141" i="77"/>
  <c r="AP141" i="77"/>
  <c r="AH141" i="77"/>
  <c r="AY140" i="77"/>
  <c r="AQ140" i="77"/>
  <c r="AI140" i="77"/>
  <c r="AZ139" i="77"/>
  <c r="AR139" i="77"/>
  <c r="AJ139" i="77"/>
  <c r="AW125" i="77"/>
  <c r="AW148" i="77"/>
  <c r="AO148" i="77"/>
  <c r="AG148" i="77"/>
  <c r="AX147" i="77"/>
  <c r="AP147" i="77"/>
  <c r="AH147" i="77"/>
  <c r="AY146" i="77"/>
  <c r="AQ146" i="77"/>
  <c r="AI146" i="77"/>
  <c r="AZ145" i="77"/>
  <c r="AR145" i="77"/>
  <c r="AJ145" i="77"/>
  <c r="BA144" i="77"/>
  <c r="AS144" i="77"/>
  <c r="AK144" i="77"/>
  <c r="AC144" i="77"/>
  <c r="AT143" i="77"/>
  <c r="AL143" i="77"/>
  <c r="AD143" i="77"/>
  <c r="AU142" i="77"/>
  <c r="AM142" i="77"/>
  <c r="AE142" i="77"/>
  <c r="AV141" i="77"/>
  <c r="AN141" i="77"/>
  <c r="AF141" i="77"/>
  <c r="AW140" i="77"/>
  <c r="AO140" i="77"/>
  <c r="AG140" i="77"/>
  <c r="AX139" i="77"/>
  <c r="AP139" i="77"/>
  <c r="AH139" i="77"/>
  <c r="AV148" i="77"/>
  <c r="AN148" i="77"/>
  <c r="AF148" i="77"/>
  <c r="AW147" i="77"/>
  <c r="AO147" i="77"/>
  <c r="AG147" i="77"/>
  <c r="AX146" i="77"/>
  <c r="AP146" i="77"/>
  <c r="AH146" i="77"/>
  <c r="AY145" i="77"/>
  <c r="AQ145" i="77"/>
  <c r="AI145" i="77"/>
  <c r="AZ144" i="77"/>
  <c r="AR144" i="77"/>
  <c r="AJ144" i="77"/>
  <c r="BA143" i="77"/>
  <c r="AS143" i="77"/>
  <c r="AK143" i="77"/>
  <c r="AC143" i="77"/>
  <c r="AT142" i="77"/>
  <c r="AL142" i="77"/>
  <c r="AD142" i="77"/>
  <c r="AU141" i="77"/>
  <c r="AM141" i="77"/>
  <c r="AE141" i="77"/>
  <c r="AV140" i="77"/>
  <c r="AN140" i="77"/>
  <c r="AF140" i="77"/>
  <c r="AW139" i="77"/>
  <c r="AO139" i="77"/>
  <c r="AG139" i="77"/>
  <c r="AU148" i="77"/>
  <c r="AM148" i="77"/>
  <c r="AE148" i="77"/>
  <c r="AV147" i="77"/>
  <c r="AN147" i="77"/>
  <c r="AF147" i="77"/>
  <c r="AW146" i="77"/>
  <c r="AO146" i="77"/>
  <c r="AG146" i="77"/>
  <c r="AX145" i="77"/>
  <c r="AP145" i="77"/>
  <c r="AH145" i="77"/>
  <c r="AY144" i="77"/>
  <c r="AQ144" i="77"/>
  <c r="AI144" i="77"/>
  <c r="AZ143" i="77"/>
  <c r="AR143" i="77"/>
  <c r="AJ143" i="77"/>
  <c r="BA142" i="77"/>
  <c r="AS142" i="77"/>
  <c r="AK142" i="77"/>
  <c r="AC142" i="77"/>
  <c r="AT141" i="77"/>
  <c r="AL141" i="77"/>
  <c r="AD141" i="77"/>
  <c r="AU140" i="77"/>
  <c r="AM140" i="77"/>
  <c r="AE140" i="77"/>
  <c r="AV139" i="77"/>
  <c r="AN139" i="77"/>
  <c r="AF139" i="77"/>
  <c r="BA148" i="77"/>
  <c r="AK148" i="77"/>
  <c r="AT147" i="77"/>
  <c r="AD147" i="77"/>
  <c r="AM146" i="77"/>
  <c r="AV145" i="77"/>
  <c r="AF145" i="77"/>
  <c r="AO144" i="77"/>
  <c r="AX143" i="77"/>
  <c r="AH143" i="77"/>
  <c r="AQ142" i="77"/>
  <c r="AZ141" i="77"/>
  <c r="AJ141" i="77"/>
  <c r="AS140" i="77"/>
  <c r="AC140" i="77"/>
  <c r="AL139" i="77"/>
  <c r="AX125" i="77"/>
  <c r="AO125" i="77"/>
  <c r="AG125" i="77"/>
  <c r="AX124" i="77"/>
  <c r="AP124" i="77"/>
  <c r="AH124" i="77"/>
  <c r="AY123" i="77"/>
  <c r="AQ123" i="77"/>
  <c r="AI123" i="77"/>
  <c r="AZ122" i="77"/>
  <c r="AR122" i="77"/>
  <c r="AJ122" i="77"/>
  <c r="BA121" i="77"/>
  <c r="AS121" i="77"/>
  <c r="AK121" i="77"/>
  <c r="AC121" i="77"/>
  <c r="AT120" i="77"/>
  <c r="AL120" i="77"/>
  <c r="AD120" i="77"/>
  <c r="AU119" i="77"/>
  <c r="AM119" i="77"/>
  <c r="AE119" i="77"/>
  <c r="AV118" i="77"/>
  <c r="AN118" i="77"/>
  <c r="AF118" i="77"/>
  <c r="AW117" i="77"/>
  <c r="AO117" i="77"/>
  <c r="AG117" i="77"/>
  <c r="AX116" i="77"/>
  <c r="AP116" i="77"/>
  <c r="AH116" i="77"/>
  <c r="AW101" i="77"/>
  <c r="AO101" i="77"/>
  <c r="AG101" i="77"/>
  <c r="AX100" i="77"/>
  <c r="AP100" i="77"/>
  <c r="AH100" i="77"/>
  <c r="AY99" i="77"/>
  <c r="AQ99" i="77"/>
  <c r="AI99" i="77"/>
  <c r="AZ98" i="77"/>
  <c r="AR98" i="77"/>
  <c r="AJ98" i="77"/>
  <c r="BA97" i="77"/>
  <c r="AS97" i="77"/>
  <c r="AK97" i="77"/>
  <c r="AC97" i="77"/>
  <c r="AT96" i="77"/>
  <c r="AL96" i="77"/>
  <c r="AD96" i="77"/>
  <c r="AU95" i="77"/>
  <c r="AM95" i="77"/>
  <c r="AE95" i="77"/>
  <c r="AV94" i="77"/>
  <c r="AZ148" i="77"/>
  <c r="AJ148" i="77"/>
  <c r="AS147" i="77"/>
  <c r="AC147" i="77"/>
  <c r="AL146" i="77"/>
  <c r="AU145" i="77"/>
  <c r="AE145" i="77"/>
  <c r="AN144" i="77"/>
  <c r="AW143" i="77"/>
  <c r="AG143" i="77"/>
  <c r="AP142" i="77"/>
  <c r="AY141" i="77"/>
  <c r="AI141" i="77"/>
  <c r="AR140" i="77"/>
  <c r="BA139" i="77"/>
  <c r="AK139" i="77"/>
  <c r="AV125" i="77"/>
  <c r="AN125" i="77"/>
  <c r="AF125" i="77"/>
  <c r="AW124" i="77"/>
  <c r="AO124" i="77"/>
  <c r="AG124" i="77"/>
  <c r="AX123" i="77"/>
  <c r="AP123" i="77"/>
  <c r="AH123" i="77"/>
  <c r="AY122" i="77"/>
  <c r="AQ122" i="77"/>
  <c r="AI122" i="77"/>
  <c r="AZ121" i="77"/>
  <c r="AR121" i="77"/>
  <c r="AJ121" i="77"/>
  <c r="BA120" i="77"/>
  <c r="AS120" i="77"/>
  <c r="AK120" i="77"/>
  <c r="AC120" i="77"/>
  <c r="AT119" i="77"/>
  <c r="AL119" i="77"/>
  <c r="AD119" i="77"/>
  <c r="AU118" i="77"/>
  <c r="AM118" i="77"/>
  <c r="AE118" i="77"/>
  <c r="AV117" i="77"/>
  <c r="AN117" i="77"/>
  <c r="AF117" i="77"/>
  <c r="AW116" i="77"/>
  <c r="AO116" i="77"/>
  <c r="AG116" i="77"/>
  <c r="AV101" i="77"/>
  <c r="AN101" i="77"/>
  <c r="AF101" i="77"/>
  <c r="AW100" i="77"/>
  <c r="AO100" i="77"/>
  <c r="AG100" i="77"/>
  <c r="AX99" i="77"/>
  <c r="AP99" i="77"/>
  <c r="AH99" i="77"/>
  <c r="AY98" i="77"/>
  <c r="AQ98" i="77"/>
  <c r="AI98" i="77"/>
  <c r="AZ97" i="77"/>
  <c r="AR97" i="77"/>
  <c r="AJ97" i="77"/>
  <c r="BA96" i="77"/>
  <c r="AS96" i="77"/>
  <c r="AK96" i="77"/>
  <c r="AC96" i="77"/>
  <c r="AT95" i="77"/>
  <c r="AL95" i="77"/>
  <c r="AD95" i="77"/>
  <c r="AU94" i="77"/>
  <c r="AM94" i="77"/>
  <c r="AE94" i="77"/>
  <c r="AX148" i="77"/>
  <c r="AH148" i="77"/>
  <c r="AQ147" i="77"/>
  <c r="AZ146" i="77"/>
  <c r="AJ146" i="77"/>
  <c r="AS145" i="77"/>
  <c r="AC145" i="77"/>
  <c r="AL144" i="77"/>
  <c r="AU143" i="77"/>
  <c r="AE143" i="77"/>
  <c r="AN142" i="77"/>
  <c r="AW141" i="77"/>
  <c r="AG141" i="77"/>
  <c r="AP140" i="77"/>
  <c r="AY139" i="77"/>
  <c r="AI139" i="77"/>
  <c r="AU125" i="77"/>
  <c r="AM125" i="77"/>
  <c r="AE125" i="77"/>
  <c r="AV124" i="77"/>
  <c r="AN124" i="77"/>
  <c r="AF124" i="77"/>
  <c r="AW123" i="77"/>
  <c r="AO123" i="77"/>
  <c r="AG123" i="77"/>
  <c r="AX122" i="77"/>
  <c r="AP122" i="77"/>
  <c r="AH122" i="77"/>
  <c r="AY121" i="77"/>
  <c r="AQ121" i="77"/>
  <c r="AI121" i="77"/>
  <c r="AZ120" i="77"/>
  <c r="AR120" i="77"/>
  <c r="AJ120" i="77"/>
  <c r="BA119" i="77"/>
  <c r="AS119" i="77"/>
  <c r="AK119" i="77"/>
  <c r="AC119" i="77"/>
  <c r="AT118" i="77"/>
  <c r="AL118" i="77"/>
  <c r="AD118" i="77"/>
  <c r="AU117" i="77"/>
  <c r="AM117" i="77"/>
  <c r="AE117" i="77"/>
  <c r="AV116" i="77"/>
  <c r="AN116" i="77"/>
  <c r="AF116" i="77"/>
  <c r="AU101" i="77"/>
  <c r="AM101" i="77"/>
  <c r="AE101" i="77"/>
  <c r="AV100" i="77"/>
  <c r="AN100" i="77"/>
  <c r="AF100" i="77"/>
  <c r="AW99" i="77"/>
  <c r="AO99" i="77"/>
  <c r="AG99" i="77"/>
  <c r="AX98" i="77"/>
  <c r="AP98" i="77"/>
  <c r="AH98" i="77"/>
  <c r="AY97" i="77"/>
  <c r="AQ97" i="77"/>
  <c r="AI97" i="77"/>
  <c r="AZ96" i="77"/>
  <c r="AR96" i="77"/>
  <c r="AJ96" i="77"/>
  <c r="BA95" i="77"/>
  <c r="AS95" i="77"/>
  <c r="AK95" i="77"/>
  <c r="AT148" i="77"/>
  <c r="AD148" i="77"/>
  <c r="AM147" i="77"/>
  <c r="AV146" i="77"/>
  <c r="AF146" i="77"/>
  <c r="AO145" i="77"/>
  <c r="AX144" i="77"/>
  <c r="AH144" i="77"/>
  <c r="AQ143" i="77"/>
  <c r="AZ142" i="77"/>
  <c r="AJ142" i="77"/>
  <c r="AS141" i="77"/>
  <c r="AC141" i="77"/>
  <c r="AL140" i="77"/>
  <c r="AU139" i="77"/>
  <c r="AE139" i="77"/>
  <c r="AT125" i="77"/>
  <c r="AL125" i="77"/>
  <c r="AD125" i="77"/>
  <c r="AU124" i="77"/>
  <c r="AM124" i="77"/>
  <c r="AE124" i="77"/>
  <c r="AV123" i="77"/>
  <c r="AN123" i="77"/>
  <c r="AF123" i="77"/>
  <c r="AW122" i="77"/>
  <c r="AO122" i="77"/>
  <c r="AG122" i="77"/>
  <c r="AX121" i="77"/>
  <c r="AP121" i="77"/>
  <c r="AH121" i="77"/>
  <c r="AY120" i="77"/>
  <c r="AQ120" i="77"/>
  <c r="AI120" i="77"/>
  <c r="AZ119" i="77"/>
  <c r="AR119" i="77"/>
  <c r="AJ119" i="77"/>
  <c r="BA118" i="77"/>
  <c r="AS118" i="77"/>
  <c r="AK118" i="77"/>
  <c r="AC118" i="77"/>
  <c r="AT117" i="77"/>
  <c r="AL117" i="77"/>
  <c r="AD117" i="77"/>
  <c r="AU116" i="77"/>
  <c r="AM116" i="77"/>
  <c r="AE116" i="77"/>
  <c r="AT101" i="77"/>
  <c r="AL101" i="77"/>
  <c r="AD101" i="77"/>
  <c r="AU100" i="77"/>
  <c r="AM100" i="77"/>
  <c r="AE100" i="77"/>
  <c r="AV99" i="77"/>
  <c r="AN99" i="77"/>
  <c r="AF99" i="77"/>
  <c r="AW98" i="77"/>
  <c r="AO98" i="77"/>
  <c r="AG98" i="77"/>
  <c r="AX97" i="77"/>
  <c r="AP97" i="77"/>
  <c r="AH97" i="77"/>
  <c r="AY96" i="77"/>
  <c r="AQ96" i="77"/>
  <c r="AI96" i="77"/>
  <c r="AZ95" i="77"/>
  <c r="AS148" i="77"/>
  <c r="AC148" i="77"/>
  <c r="AL147" i="77"/>
  <c r="AU146" i="77"/>
  <c r="AE146" i="77"/>
  <c r="AN145" i="77"/>
  <c r="AW144" i="77"/>
  <c r="AG144" i="77"/>
  <c r="AP143" i="77"/>
  <c r="AY142" i="77"/>
  <c r="AI142" i="77"/>
  <c r="AR141" i="77"/>
  <c r="BA140" i="77"/>
  <c r="AK140" i="77"/>
  <c r="AT139" i="77"/>
  <c r="AD139" i="77"/>
  <c r="AS125" i="77"/>
  <c r="AK125" i="77"/>
  <c r="AC125" i="77"/>
  <c r="AT124" i="77"/>
  <c r="AL124" i="77"/>
  <c r="AD124" i="77"/>
  <c r="AU123" i="77"/>
  <c r="AM123" i="77"/>
  <c r="AE123" i="77"/>
  <c r="AV122" i="77"/>
  <c r="AN122" i="77"/>
  <c r="AF122" i="77"/>
  <c r="AW121" i="77"/>
  <c r="AO121" i="77"/>
  <c r="AG121" i="77"/>
  <c r="AX120" i="77"/>
  <c r="AP120" i="77"/>
  <c r="AH120" i="77"/>
  <c r="AY119" i="77"/>
  <c r="AQ119" i="77"/>
  <c r="AI119" i="77"/>
  <c r="AZ118" i="77"/>
  <c r="AR118" i="77"/>
  <c r="AJ118" i="77"/>
  <c r="BA117" i="77"/>
  <c r="AS117" i="77"/>
  <c r="AK117" i="77"/>
  <c r="AC117" i="77"/>
  <c r="AT116" i="77"/>
  <c r="AL116" i="77"/>
  <c r="AD116" i="77"/>
  <c r="BA101" i="77"/>
  <c r="AS101" i="77"/>
  <c r="AK101" i="77"/>
  <c r="AC101" i="77"/>
  <c r="AT100" i="77"/>
  <c r="AL100" i="77"/>
  <c r="AD100" i="77"/>
  <c r="AU99" i="77"/>
  <c r="AM99" i="77"/>
  <c r="AE99" i="77"/>
  <c r="AV98" i="77"/>
  <c r="AN98" i="77"/>
  <c r="AF98" i="77"/>
  <c r="AW97" i="77"/>
  <c r="AO97" i="77"/>
  <c r="AG97" i="77"/>
  <c r="AX96" i="77"/>
  <c r="AP96" i="77"/>
  <c r="AH96" i="77"/>
  <c r="AY95" i="77"/>
  <c r="AQ95" i="77"/>
  <c r="AI95" i="77"/>
  <c r="AZ94" i="77"/>
  <c r="AR94" i="77"/>
  <c r="AP148" i="77"/>
  <c r="AT146" i="77"/>
  <c r="AG145" i="77"/>
  <c r="AM143" i="77"/>
  <c r="AQ141" i="77"/>
  <c r="AD140" i="77"/>
  <c r="AJ125" i="77"/>
  <c r="AQ124" i="77"/>
  <c r="AS123" i="77"/>
  <c r="AU122" i="77"/>
  <c r="AC122" i="77"/>
  <c r="AE121" i="77"/>
  <c r="AG120" i="77"/>
  <c r="AN119" i="77"/>
  <c r="AP118" i="77"/>
  <c r="AR117" i="77"/>
  <c r="AY116" i="77"/>
  <c r="AR101" i="77"/>
  <c r="AY100" i="77"/>
  <c r="BA99" i="77"/>
  <c r="AD99" i="77"/>
  <c r="AK98" i="77"/>
  <c r="AM97" i="77"/>
  <c r="AO96" i="77"/>
  <c r="AV95" i="77"/>
  <c r="AF95" i="77"/>
  <c r="AQ94" i="77"/>
  <c r="AH94" i="77"/>
  <c r="AX93" i="77"/>
  <c r="AP93" i="77"/>
  <c r="AH93" i="77"/>
  <c r="AY92" i="77"/>
  <c r="AQ92" i="77"/>
  <c r="AI92" i="77"/>
  <c r="AW78" i="77"/>
  <c r="AO78" i="77"/>
  <c r="AG78" i="77"/>
  <c r="AX77" i="77"/>
  <c r="AP77" i="77"/>
  <c r="AH77" i="77"/>
  <c r="AY76" i="77"/>
  <c r="AQ76" i="77"/>
  <c r="AI76" i="77"/>
  <c r="AZ75" i="77"/>
  <c r="AR75" i="77"/>
  <c r="AJ75" i="77"/>
  <c r="BA74" i="77"/>
  <c r="AS74" i="77"/>
  <c r="AK74" i="77"/>
  <c r="AC74" i="77"/>
  <c r="AT73" i="77"/>
  <c r="AL73" i="77"/>
  <c r="AD73" i="77"/>
  <c r="AU72" i="77"/>
  <c r="AM72" i="77"/>
  <c r="AE72" i="77"/>
  <c r="AV71" i="77"/>
  <c r="AN71" i="77"/>
  <c r="AF71" i="77"/>
  <c r="AW70" i="77"/>
  <c r="AO70" i="77"/>
  <c r="AG70" i="77"/>
  <c r="AX69" i="77"/>
  <c r="AP69" i="77"/>
  <c r="AH69" i="77"/>
  <c r="AW54" i="77"/>
  <c r="AO54" i="77"/>
  <c r="AG54" i="77"/>
  <c r="AX53" i="77"/>
  <c r="AL148" i="77"/>
  <c r="AR146" i="77"/>
  <c r="AV144" i="77"/>
  <c r="AI143" i="77"/>
  <c r="AO141" i="77"/>
  <c r="AS139" i="77"/>
  <c r="AI125" i="77"/>
  <c r="AK124" i="77"/>
  <c r="AR123" i="77"/>
  <c r="AT122" i="77"/>
  <c r="AV121" i="77"/>
  <c r="AD121" i="77"/>
  <c r="AF120" i="77"/>
  <c r="AH119" i="77"/>
  <c r="AO118" i="77"/>
  <c r="AQ117" i="77"/>
  <c r="AS116" i="77"/>
  <c r="AQ101" i="77"/>
  <c r="AS100" i="77"/>
  <c r="AZ99" i="77"/>
  <c r="AC99" i="77"/>
  <c r="AE98" i="77"/>
  <c r="AL97" i="77"/>
  <c r="AN96" i="77"/>
  <c r="AR95" i="77"/>
  <c r="AC95" i="77"/>
  <c r="AP94" i="77"/>
  <c r="AG94" i="77"/>
  <c r="AW93" i="77"/>
  <c r="AO93" i="77"/>
  <c r="AG93" i="77"/>
  <c r="AX92" i="77"/>
  <c r="AP92" i="77"/>
  <c r="AH92" i="77"/>
  <c r="AV78" i="77"/>
  <c r="AN78" i="77"/>
  <c r="AF78" i="77"/>
  <c r="AW77" i="77"/>
  <c r="AO77" i="77"/>
  <c r="AG77" i="77"/>
  <c r="AX76" i="77"/>
  <c r="AP76" i="77"/>
  <c r="AH76" i="77"/>
  <c r="AY75" i="77"/>
  <c r="AQ75" i="77"/>
  <c r="AI75" i="77"/>
  <c r="AZ74" i="77"/>
  <c r="AR74" i="77"/>
  <c r="AJ74" i="77"/>
  <c r="BA73" i="77"/>
  <c r="AS73" i="77"/>
  <c r="AK73" i="77"/>
  <c r="AC73" i="77"/>
  <c r="AT72" i="77"/>
  <c r="AL72" i="77"/>
  <c r="AD72" i="77"/>
  <c r="AU71" i="77"/>
  <c r="AM71" i="77"/>
  <c r="AE71" i="77"/>
  <c r="AV70" i="77"/>
  <c r="AN70" i="77"/>
  <c r="AF70" i="77"/>
  <c r="AW69" i="77"/>
  <c r="AO69" i="77"/>
  <c r="AG69" i="77"/>
  <c r="AV54" i="77"/>
  <c r="AN54" i="77"/>
  <c r="AF54" i="77"/>
  <c r="AW53" i="77"/>
  <c r="BA147" i="77"/>
  <c r="AN146" i="77"/>
  <c r="AT144" i="77"/>
  <c r="AX142" i="77"/>
  <c r="AK141" i="77"/>
  <c r="AQ139" i="77"/>
  <c r="BA125" i="77"/>
  <c r="AH125" i="77"/>
  <c r="AJ124" i="77"/>
  <c r="AL123" i="77"/>
  <c r="AS122" i="77"/>
  <c r="AU121" i="77"/>
  <c r="AW120" i="77"/>
  <c r="AE120" i="77"/>
  <c r="AG119" i="77"/>
  <c r="AI118" i="77"/>
  <c r="AP117" i="77"/>
  <c r="AR116" i="77"/>
  <c r="AP101" i="77"/>
  <c r="AR100" i="77"/>
  <c r="AT99" i="77"/>
  <c r="BA98" i="77"/>
  <c r="AD98" i="77"/>
  <c r="AF97" i="77"/>
  <c r="AM96" i="77"/>
  <c r="AP95" i="77"/>
  <c r="BA94" i="77"/>
  <c r="AO94" i="77"/>
  <c r="AF94" i="77"/>
  <c r="AV93" i="77"/>
  <c r="AN93" i="77"/>
  <c r="AF93" i="77"/>
  <c r="AW92" i="77"/>
  <c r="AO92" i="77"/>
  <c r="AG92" i="77"/>
  <c r="AU78" i="77"/>
  <c r="AM78" i="77"/>
  <c r="AE78" i="77"/>
  <c r="AV77" i="77"/>
  <c r="AN77" i="77"/>
  <c r="AF77" i="77"/>
  <c r="AW76" i="77"/>
  <c r="AO76" i="77"/>
  <c r="AG76" i="77"/>
  <c r="AX75" i="77"/>
  <c r="AP75" i="77"/>
  <c r="AH75" i="77"/>
  <c r="AY74" i="77"/>
  <c r="AQ74" i="77"/>
  <c r="AI74" i="77"/>
  <c r="AZ73" i="77"/>
  <c r="AR73" i="77"/>
  <c r="AJ73" i="77"/>
  <c r="BA72" i="77"/>
  <c r="AS72" i="77"/>
  <c r="AK72" i="77"/>
  <c r="AC72" i="77"/>
  <c r="AT71" i="77"/>
  <c r="AL71" i="77"/>
  <c r="AD71" i="77"/>
  <c r="AU70" i="77"/>
  <c r="AM70" i="77"/>
  <c r="AE70" i="77"/>
  <c r="AV69" i="77"/>
  <c r="AN69" i="77"/>
  <c r="AF69" i="77"/>
  <c r="AU54" i="77"/>
  <c r="AM54" i="77"/>
  <c r="AE54" i="77"/>
  <c r="AV53" i="77"/>
  <c r="AY147" i="77"/>
  <c r="AD146" i="77"/>
  <c r="AP144" i="77"/>
  <c r="AV142" i="77"/>
  <c r="AZ140" i="77"/>
  <c r="AM139" i="77"/>
  <c r="AZ125" i="77"/>
  <c r="BA124" i="77"/>
  <c r="AI124" i="77"/>
  <c r="AK123" i="77"/>
  <c r="AM122" i="77"/>
  <c r="AT121" i="77"/>
  <c r="AV120" i="77"/>
  <c r="AX119" i="77"/>
  <c r="AF119" i="77"/>
  <c r="AH118" i="77"/>
  <c r="AJ117" i="77"/>
  <c r="AQ116" i="77"/>
  <c r="AJ101" i="77"/>
  <c r="AQ100" i="77"/>
  <c r="AS99" i="77"/>
  <c r="AU98" i="77"/>
  <c r="AC98" i="77"/>
  <c r="AE97" i="77"/>
  <c r="AG96" i="77"/>
  <c r="AO95" i="77"/>
  <c r="AY94" i="77"/>
  <c r="AN94" i="77"/>
  <c r="AD94" i="77"/>
  <c r="AU93" i="77"/>
  <c r="AM93" i="77"/>
  <c r="AE93" i="77"/>
  <c r="AV92" i="77"/>
  <c r="AN92" i="77"/>
  <c r="AF92" i="77"/>
  <c r="AT78" i="77"/>
  <c r="AL78" i="77"/>
  <c r="AD78" i="77"/>
  <c r="AU77" i="77"/>
  <c r="AM77" i="77"/>
  <c r="AE77" i="77"/>
  <c r="AV76" i="77"/>
  <c r="AN76" i="77"/>
  <c r="AF76" i="77"/>
  <c r="AW75" i="77"/>
  <c r="AO75" i="77"/>
  <c r="AG75" i="77"/>
  <c r="AX74" i="77"/>
  <c r="AP74" i="77"/>
  <c r="AH74" i="77"/>
  <c r="AY73" i="77"/>
  <c r="AQ73" i="77"/>
  <c r="AI73" i="77"/>
  <c r="AZ72" i="77"/>
  <c r="AR72" i="77"/>
  <c r="AJ72" i="77"/>
  <c r="BA71" i="77"/>
  <c r="AS71" i="77"/>
  <c r="AK71" i="77"/>
  <c r="AC71" i="77"/>
  <c r="AT70" i="77"/>
  <c r="AL70" i="77"/>
  <c r="AD70" i="77"/>
  <c r="AU69" i="77"/>
  <c r="AM69" i="77"/>
  <c r="AE69" i="77"/>
  <c r="AU147" i="77"/>
  <c r="BA145" i="77"/>
  <c r="AF144" i="77"/>
  <c r="AR142" i="77"/>
  <c r="AX140" i="77"/>
  <c r="AC139" i="77"/>
  <c r="AY125" i="77"/>
  <c r="AZ124" i="77"/>
  <c r="AC124" i="77"/>
  <c r="AJ123" i="77"/>
  <c r="AL122" i="77"/>
  <c r="AN121" i="77"/>
  <c r="AU120" i="77"/>
  <c r="AW119" i="77"/>
  <c r="AY118" i="77"/>
  <c r="AG118" i="77"/>
  <c r="AI117" i="77"/>
  <c r="AK116" i="77"/>
  <c r="AI101" i="77"/>
  <c r="AK100" i="77"/>
  <c r="AR99" i="77"/>
  <c r="AT98" i="77"/>
  <c r="AV97" i="77"/>
  <c r="AD97" i="77"/>
  <c r="AF96" i="77"/>
  <c r="AN95" i="77"/>
  <c r="AX94" i="77"/>
  <c r="AL94" i="77"/>
  <c r="AC94" i="77"/>
  <c r="AT93" i="77"/>
  <c r="AL93" i="77"/>
  <c r="AD93" i="77"/>
  <c r="AU92" i="77"/>
  <c r="AM92" i="77"/>
  <c r="AE92" i="77"/>
  <c r="BA78" i="77"/>
  <c r="AS78" i="77"/>
  <c r="AK78" i="77"/>
  <c r="AC78" i="77"/>
  <c r="AT77" i="77"/>
  <c r="AL77" i="77"/>
  <c r="AD77" i="77"/>
  <c r="AU76" i="77"/>
  <c r="AM76" i="77"/>
  <c r="AE76" i="77"/>
  <c r="AV75" i="77"/>
  <c r="AN75" i="77"/>
  <c r="AF75" i="77"/>
  <c r="AW74" i="77"/>
  <c r="AO74" i="77"/>
  <c r="AG74" i="77"/>
  <c r="AX73" i="77"/>
  <c r="AP73" i="77"/>
  <c r="AH73" i="77"/>
  <c r="AY72" i="77"/>
  <c r="AQ72" i="77"/>
  <c r="AI72" i="77"/>
  <c r="AZ71" i="77"/>
  <c r="AR71" i="77"/>
  <c r="AJ71" i="77"/>
  <c r="BA70" i="77"/>
  <c r="AS70" i="77"/>
  <c r="AK70" i="77"/>
  <c r="AC70" i="77"/>
  <c r="AT69" i="77"/>
  <c r="AL69" i="77"/>
  <c r="AD69" i="77"/>
  <c r="BA54" i="77"/>
  <c r="AS54" i="77"/>
  <c r="AK54" i="77"/>
  <c r="AC54" i="77"/>
  <c r="AT53" i="77"/>
  <c r="AJ22" i="77"/>
  <c r="AR22" i="77"/>
  <c r="AZ22" i="77"/>
  <c r="AI23" i="77"/>
  <c r="AQ23" i="77"/>
  <c r="AY23" i="77"/>
  <c r="AH24" i="77"/>
  <c r="AP24" i="77"/>
  <c r="AX24" i="77"/>
  <c r="AG25" i="77"/>
  <c r="AO25" i="77"/>
  <c r="AW25" i="77"/>
  <c r="AF26" i="77"/>
  <c r="AN26" i="77"/>
  <c r="AV26" i="77"/>
  <c r="AE27" i="77"/>
  <c r="AM27" i="77"/>
  <c r="AU27" i="77"/>
  <c r="AD28" i="77"/>
  <c r="AL28" i="77"/>
  <c r="AT28" i="77"/>
  <c r="AC29" i="77"/>
  <c r="AK29" i="77"/>
  <c r="AS29" i="77"/>
  <c r="BA29" i="77"/>
  <c r="AJ30" i="77"/>
  <c r="AR30" i="77"/>
  <c r="AZ30" i="77"/>
  <c r="AI31" i="77"/>
  <c r="AQ31" i="77"/>
  <c r="AY31" i="77"/>
  <c r="AF45" i="77"/>
  <c r="AN45" i="77"/>
  <c r="AV45" i="77"/>
  <c r="AE46" i="77"/>
  <c r="AM46" i="77"/>
  <c r="AU46" i="77"/>
  <c r="AD47" i="77"/>
  <c r="AL47" i="77"/>
  <c r="AT47" i="77"/>
  <c r="AC48" i="77"/>
  <c r="AK48" i="77"/>
  <c r="AS48" i="77"/>
  <c r="BA48" i="77"/>
  <c r="AJ49" i="77"/>
  <c r="AR49" i="77"/>
  <c r="AZ49" i="77"/>
  <c r="AI50" i="77"/>
  <c r="AQ50" i="77"/>
  <c r="AY50" i="77"/>
  <c r="AH51" i="77"/>
  <c r="AP51" i="77"/>
  <c r="AX51" i="77"/>
  <c r="AG52" i="77"/>
  <c r="AO52" i="77"/>
  <c r="AW52" i="77"/>
  <c r="AF53" i="77"/>
  <c r="AN53" i="77"/>
  <c r="AZ53" i="77"/>
  <c r="AQ54" i="77"/>
  <c r="AR69" i="77"/>
  <c r="AP70" i="77"/>
  <c r="AI71" i="77"/>
  <c r="AG72" i="77"/>
  <c r="AE73" i="77"/>
  <c r="AW73" i="77"/>
  <c r="AU74" i="77"/>
  <c r="AS75" i="77"/>
  <c r="AL76" i="77"/>
  <c r="AJ77" i="77"/>
  <c r="AH78" i="77"/>
  <c r="AZ78" i="77"/>
  <c r="AL92" i="77"/>
  <c r="AJ93" i="77"/>
  <c r="AI94" i="77"/>
  <c r="AJ95" i="77"/>
  <c r="AT97" i="77"/>
  <c r="AC100" i="77"/>
  <c r="AZ101" i="77"/>
  <c r="AZ116" i="77"/>
  <c r="AX118" i="77"/>
  <c r="AL121" i="77"/>
  <c r="AT123" i="77"/>
  <c r="AR125" i="77"/>
  <c r="AF142" i="77"/>
  <c r="AE147" i="77"/>
  <c r="L10" i="16"/>
  <c r="L9" i="16"/>
  <c r="M8" i="16"/>
  <c r="L8" i="16"/>
  <c r="M10" i="16"/>
  <c r="L14" i="16"/>
  <c r="AM23" i="84" s="1"/>
  <c r="M42" i="47"/>
  <c r="L38" i="47"/>
  <c r="J37" i="47"/>
  <c r="J33" i="47"/>
  <c r="N19" i="47"/>
  <c r="L18" i="47"/>
  <c r="J17" i="47"/>
  <c r="N15" i="47"/>
  <c r="L14" i="47"/>
  <c r="N11" i="47"/>
  <c r="L42" i="47"/>
  <c r="K38" i="47"/>
  <c r="I37" i="47"/>
  <c r="I33" i="47"/>
  <c r="I29" i="47"/>
  <c r="M19" i="47"/>
  <c r="K18" i="47"/>
  <c r="I17" i="47"/>
  <c r="M15" i="47"/>
  <c r="K14" i="47"/>
  <c r="I13" i="47"/>
  <c r="M11" i="47"/>
  <c r="I12" i="48"/>
  <c r="K13" i="48"/>
  <c r="L15" i="48"/>
  <c r="L30" i="48"/>
  <c r="J33" i="48"/>
  <c r="M36" i="48"/>
  <c r="I38" i="48"/>
  <c r="I40" i="48"/>
  <c r="J12" i="48"/>
  <c r="L13" i="48"/>
  <c r="M15" i="48"/>
  <c r="I17" i="48"/>
  <c r="M30" i="48"/>
  <c r="I32" i="48"/>
  <c r="K33" i="48"/>
  <c r="N36" i="48"/>
  <c r="J38" i="48"/>
  <c r="I11" i="48"/>
  <c r="K12" i="48"/>
  <c r="M13" i="48"/>
  <c r="N15" i="48"/>
  <c r="J17" i="48"/>
  <c r="N30" i="48"/>
  <c r="L33" i="48"/>
  <c r="I37" i="48"/>
  <c r="I39" i="48"/>
  <c r="L12" i="48"/>
  <c r="K11" i="48"/>
  <c r="M12" i="48"/>
  <c r="L17" i="48"/>
  <c r="N33" i="48"/>
  <c r="I36" i="48"/>
  <c r="K37" i="48"/>
  <c r="M11" i="48"/>
  <c r="I13" i="48"/>
  <c r="J15" i="48"/>
  <c r="N17" i="48"/>
  <c r="J30" i="48"/>
  <c r="K36" i="48"/>
  <c r="M37" i="48"/>
  <c r="N41" i="48"/>
  <c r="K41" i="48"/>
  <c r="J37" i="48"/>
  <c r="N11" i="48"/>
  <c r="K42" i="47"/>
  <c r="J38" i="47"/>
  <c r="N36" i="47"/>
  <c r="N28" i="47"/>
  <c r="N20" i="47"/>
  <c r="L19" i="47"/>
  <c r="J18" i="47"/>
  <c r="L15" i="47"/>
  <c r="J14" i="47"/>
  <c r="N12" i="47"/>
  <c r="L11" i="47"/>
  <c r="I42" i="47"/>
  <c r="N37" i="47"/>
  <c r="L36" i="47"/>
  <c r="N33" i="47"/>
  <c r="L28" i="47"/>
  <c r="L20" i="47"/>
  <c r="J19" i="47"/>
  <c r="N17" i="47"/>
  <c r="J15" i="47"/>
  <c r="L12" i="47"/>
  <c r="K15" i="48"/>
  <c r="BK50" i="73"/>
  <c r="BX73" i="73"/>
  <c r="BZ72" i="73"/>
  <c r="CJ72" i="73"/>
  <c r="BZ50" i="73"/>
  <c r="CB74" i="73"/>
  <c r="BU73" i="73"/>
  <c r="CJ50" i="73"/>
  <c r="BP50" i="73"/>
  <c r="CI49" i="73"/>
  <c r="BY74" i="73"/>
  <c r="CJ74" i="73"/>
  <c r="BP73" i="73"/>
  <c r="CD72" i="73"/>
  <c r="CD50" i="73"/>
  <c r="BM50" i="73"/>
  <c r="BN49" i="73"/>
  <c r="BJ74" i="73"/>
  <c r="CC50" i="73"/>
  <c r="BG49" i="73"/>
  <c r="CD74" i="73"/>
  <c r="BI50" i="73"/>
  <c r="BY49" i="73"/>
  <c r="CH72" i="73"/>
  <c r="CH50" i="73"/>
  <c r="CH49" i="73"/>
  <c r="BO49" i="73"/>
  <c r="BT73" i="73"/>
  <c r="CG74" i="73"/>
  <c r="BO73" i="73"/>
  <c r="CC49" i="73"/>
  <c r="BM49" i="73"/>
  <c r="CF74" i="73"/>
  <c r="BK74" i="73"/>
  <c r="BS73" i="73"/>
  <c r="CF72" i="73"/>
  <c r="CI50" i="73"/>
  <c r="BY50" i="73"/>
  <c r="CJ49" i="73"/>
  <c r="CB49" i="73"/>
  <c r="BK49" i="73"/>
  <c r="CI74" i="73"/>
  <c r="BG74" i="73"/>
  <c r="CI72" i="73"/>
  <c r="CA72" i="73"/>
  <c r="CF50" i="73"/>
  <c r="CG49" i="73"/>
  <c r="BJ49" i="73"/>
  <c r="BJ50" i="73"/>
  <c r="CE49" i="73"/>
  <c r="BP49" i="73"/>
  <c r="BH49" i="73"/>
  <c r="BQ49" i="73"/>
  <c r="BZ49" i="73"/>
  <c r="CD49" i="73"/>
  <c r="BN50" i="73"/>
  <c r="BR50" i="73"/>
  <c r="CA50" i="73"/>
  <c r="CE50" i="73"/>
  <c r="CC72" i="73"/>
  <c r="BQ73" i="73"/>
  <c r="CA74" i="73"/>
  <c r="CE74" i="73"/>
  <c r="CA49" i="73"/>
  <c r="CF49" i="73"/>
  <c r="BL50" i="73"/>
  <c r="BQ50" i="73"/>
  <c r="BM73" i="73"/>
  <c r="BR73" i="73"/>
  <c r="BW73" i="73"/>
  <c r="BH74" i="73"/>
  <c r="BL49" i="73"/>
  <c r="BG50" i="73"/>
  <c r="CB50" i="73"/>
  <c r="CG50" i="73"/>
  <c r="CB72" i="73"/>
  <c r="CG72" i="73"/>
  <c r="BN73" i="73"/>
  <c r="BI74" i="73"/>
  <c r="CC74" i="73"/>
  <c r="CH74" i="73"/>
  <c r="BZ74" i="73"/>
  <c r="BL74" i="73"/>
  <c r="BV73" i="73"/>
  <c r="CE72" i="73"/>
  <c r="BY72" i="73"/>
  <c r="BO50" i="73"/>
  <c r="BH50" i="73"/>
  <c r="BR49" i="73"/>
  <c r="D1" i="53"/>
  <c r="A1" i="53"/>
  <c r="AG9" i="82"/>
  <c r="AK9" i="82" s="1"/>
  <c r="AO9" i="82" s="1"/>
  <c r="AS9" i="82" s="1"/>
  <c r="AF9" i="82"/>
  <c r="AJ9" i="82" s="1"/>
  <c r="AN9" i="82" s="1"/>
  <c r="AR9" i="82" s="1"/>
  <c r="AE9" i="82"/>
  <c r="AI9" i="82" s="1"/>
  <c r="AM9" i="82" s="1"/>
  <c r="AQ9" i="82" s="1"/>
  <c r="AD9" i="82"/>
  <c r="AH9" i="82" s="1"/>
  <c r="AL9" i="82" s="1"/>
  <c r="AP9" i="82" s="1"/>
  <c r="D1" i="82"/>
  <c r="AJ97" i="82" s="1"/>
  <c r="A1" i="82"/>
  <c r="D1" i="62"/>
  <c r="BK145" i="62" s="1"/>
  <c r="A1" i="62"/>
  <c r="D1" i="51"/>
  <c r="A1" i="51"/>
  <c r="D1" i="50"/>
  <c r="A1" i="50"/>
  <c r="C1" i="7"/>
  <c r="BE39" i="7" s="1"/>
  <c r="A1" i="7"/>
  <c r="E1" i="41"/>
  <c r="BO87" i="41" s="1"/>
  <c r="A1" i="41"/>
  <c r="Q10" i="46"/>
  <c r="AD183" i="82" l="1"/>
  <c r="AL185" i="82"/>
  <c r="AN161" i="82"/>
  <c r="AN193" i="82"/>
  <c r="AH154" i="82"/>
  <c r="CC17" i="62"/>
  <c r="BV19" i="62"/>
  <c r="AQ221" i="82"/>
  <c r="AJ190" i="82"/>
  <c r="AF179" i="82"/>
  <c r="AM130" i="82"/>
  <c r="BN27" i="62"/>
  <c r="AM221" i="82"/>
  <c r="AH190" i="82"/>
  <c r="AP176" i="82"/>
  <c r="AI119" i="82"/>
  <c r="BU32" i="62"/>
  <c r="AJ221" i="82"/>
  <c r="Z189" i="82"/>
  <c r="AP174" i="82"/>
  <c r="AD192" i="82"/>
  <c r="BO59" i="62"/>
  <c r="AD195" i="82"/>
  <c r="AP185" i="82"/>
  <c r="AB166" i="82"/>
  <c r="BG56" i="62"/>
  <c r="AR196" i="82"/>
  <c r="AP188" i="82"/>
  <c r="AF171" i="82"/>
  <c r="BA144" i="62"/>
  <c r="AP193" i="82"/>
  <c r="AN185" i="82"/>
  <c r="Z166" i="82"/>
  <c r="BR16" i="41"/>
  <c r="BM21" i="41"/>
  <c r="BU27" i="41"/>
  <c r="BT16" i="41"/>
  <c r="BQ12" i="41"/>
  <c r="BZ13" i="41"/>
  <c r="BN15" i="41"/>
  <c r="CC16" i="41"/>
  <c r="BS18" i="41"/>
  <c r="BI20" i="41"/>
  <c r="BL22" i="41"/>
  <c r="CD23" i="41"/>
  <c r="BZ28" i="41"/>
  <c r="CB33" i="41"/>
  <c r="BU45" i="41"/>
  <c r="CC65" i="41"/>
  <c r="BE115" i="62"/>
  <c r="AP162" i="82"/>
  <c r="AD130" i="82"/>
  <c r="CE17" i="41"/>
  <c r="CD42" i="41"/>
  <c r="CC23" i="41"/>
  <c r="BS12" i="41"/>
  <c r="CA13" i="41"/>
  <c r="BP15" i="41"/>
  <c r="CE16" i="41"/>
  <c r="BU18" i="41"/>
  <c r="BL20" i="41"/>
  <c r="BN22" i="41"/>
  <c r="BW24" i="41"/>
  <c r="CB28" i="41"/>
  <c r="BM35" i="41"/>
  <c r="BO47" i="41"/>
  <c r="BQ77" i="41"/>
  <c r="BD32" i="62"/>
  <c r="BD133" i="62"/>
  <c r="AF197" i="82"/>
  <c r="AL193" i="82"/>
  <c r="AR188" i="82"/>
  <c r="AF183" i="82"/>
  <c r="AJ174" i="82"/>
  <c r="Z162" i="82"/>
  <c r="AB122" i="82"/>
  <c r="BZ14" i="41"/>
  <c r="BU19" i="41"/>
  <c r="CD31" i="41"/>
  <c r="BI12" i="41"/>
  <c r="BJ18" i="41"/>
  <c r="BT28" i="41"/>
  <c r="CF42" i="41"/>
  <c r="CF18" i="41"/>
  <c r="BM37" i="41"/>
  <c r="BP13" i="41"/>
  <c r="CA23" i="41"/>
  <c r="CF54" i="41"/>
  <c r="BR13" i="41"/>
  <c r="CF16" i="41"/>
  <c r="BX29" i="41"/>
  <c r="CB12" i="41"/>
  <c r="BL14" i="41"/>
  <c r="CA15" i="41"/>
  <c r="BS17" i="41"/>
  <c r="BI19" i="41"/>
  <c r="BX20" i="41"/>
  <c r="BY22" i="41"/>
  <c r="BT25" i="41"/>
  <c r="BZ30" i="41"/>
  <c r="BP37" i="41"/>
  <c r="BZ49" i="41"/>
  <c r="CB82" i="41"/>
  <c r="BH41" i="62"/>
  <c r="CB145" i="62"/>
  <c r="AP196" i="82"/>
  <c r="AB192" i="82"/>
  <c r="AH187" i="82"/>
  <c r="AJ182" i="82"/>
  <c r="AJ170" i="82"/>
  <c r="AJ158" i="82"/>
  <c r="AE114" i="82"/>
  <c r="CB14" i="41"/>
  <c r="BZ21" i="41"/>
  <c r="CE31" i="41"/>
  <c r="BT12" i="41"/>
  <c r="BQ15" i="41"/>
  <c r="BO22" i="41"/>
  <c r="BR49" i="41"/>
  <c r="CC12" i="41"/>
  <c r="BN14" i="41"/>
  <c r="CD15" i="41"/>
  <c r="BT17" i="41"/>
  <c r="BJ19" i="41"/>
  <c r="BY20" i="41"/>
  <c r="BN23" i="41"/>
  <c r="BP26" i="41"/>
  <c r="CE30" i="41"/>
  <c r="CB39" i="41"/>
  <c r="BI52" i="41"/>
  <c r="CF94" i="41"/>
  <c r="BL44" i="62"/>
  <c r="AH195" i="82"/>
  <c r="Z192" i="82"/>
  <c r="AF187" i="82"/>
  <c r="AB180" i="82"/>
  <c r="AH170" i="82"/>
  <c r="AN157" i="82"/>
  <c r="AJ64" i="82"/>
  <c r="BW19" i="41"/>
  <c r="BK55" i="41"/>
  <c r="CB13" i="41"/>
  <c r="BV20" i="41"/>
  <c r="BQ25" i="41"/>
  <c r="BU81" i="41"/>
  <c r="CD12" i="41"/>
  <c r="BY14" i="41"/>
  <c r="BP16" i="41"/>
  <c r="CD17" i="41"/>
  <c r="BT19" i="41"/>
  <c r="BK21" i="41"/>
  <c r="BQ23" i="41"/>
  <c r="BQ26" i="41"/>
  <c r="BW31" i="41"/>
  <c r="BU41" i="41"/>
  <c r="BY53" i="41"/>
  <c r="BL14" i="62"/>
  <c r="BO48" i="62"/>
  <c r="AF195" i="82"/>
  <c r="AL190" i="82"/>
  <c r="AD187" i="82"/>
  <c r="Z180" i="82"/>
  <c r="AD167" i="82"/>
  <c r="AL157" i="82"/>
  <c r="CH39" i="7"/>
  <c r="CS73" i="7"/>
  <c r="CB38" i="7"/>
  <c r="BS39" i="7"/>
  <c r="CI40" i="7"/>
  <c r="BN38" i="7"/>
  <c r="BU40" i="7"/>
  <c r="BC38" i="7"/>
  <c r="BG40" i="7"/>
  <c r="CI31" i="7"/>
  <c r="CD39" i="7"/>
  <c r="BU31" i="7"/>
  <c r="BG31" i="7"/>
  <c r="BO21" i="41"/>
  <c r="BZ22" i="41"/>
  <c r="BP24" i="41"/>
  <c r="BT26" i="41"/>
  <c r="BY29" i="41"/>
  <c r="BX32" i="41"/>
  <c r="BU38" i="41"/>
  <c r="BL44" i="41"/>
  <c r="BX50" i="41"/>
  <c r="BX56" i="41"/>
  <c r="CM38" i="7"/>
  <c r="BK120" i="41"/>
  <c r="BP94" i="41"/>
  <c r="BX86" i="41"/>
  <c r="BM81" i="41"/>
  <c r="BS75" i="41"/>
  <c r="BM65" i="41"/>
  <c r="BV56" i="41"/>
  <c r="CE54" i="41"/>
  <c r="BN53" i="41"/>
  <c r="CC51" i="41"/>
  <c r="BV50" i="41"/>
  <c r="BQ49" i="41"/>
  <c r="BZ46" i="41"/>
  <c r="BQ45" i="41"/>
  <c r="CF43" i="41"/>
  <c r="CA42" i="41"/>
  <c r="BL41" i="41"/>
  <c r="CA39" i="41"/>
  <c r="BR38" i="41"/>
  <c r="CF35" i="41"/>
  <c r="BY34" i="41"/>
  <c r="BU33" i="41"/>
  <c r="BV32" i="41"/>
  <c r="BV31" i="41"/>
  <c r="BX30" i="41"/>
  <c r="BU29" i="41"/>
  <c r="BR28" i="41"/>
  <c r="BM27" i="41"/>
  <c r="BI26" i="41"/>
  <c r="BL25" i="41"/>
  <c r="BO24" i="41"/>
  <c r="BY23" i="41"/>
  <c r="BM23" i="41"/>
  <c r="BW22" i="41"/>
  <c r="BJ22" i="41"/>
  <c r="BW21" i="41"/>
  <c r="BJ21" i="41"/>
  <c r="BT20" i="41"/>
  <c r="CE19" i="41"/>
  <c r="BR19" i="41"/>
  <c r="CD18" i="41"/>
  <c r="BR18" i="41"/>
  <c r="CB17" i="41"/>
  <c r="BO17" i="41"/>
  <c r="CB16" i="41"/>
  <c r="BO16" i="41"/>
  <c r="BY15" i="41"/>
  <c r="BM15" i="41"/>
  <c r="BW14" i="41"/>
  <c r="BJ14" i="41"/>
  <c r="BX13" i="41"/>
  <c r="BM13" i="41"/>
  <c r="CA12" i="41"/>
  <c r="BP12" i="41"/>
  <c r="CC49" i="41"/>
  <c r="BY41" i="41"/>
  <c r="CE38" i="41"/>
  <c r="CC32" i="41"/>
  <c r="BM118" i="41"/>
  <c r="BI93" i="41"/>
  <c r="BQ85" i="41"/>
  <c r="CD80" i="41"/>
  <c r="CE71" i="41"/>
  <c r="CE63" i="41"/>
  <c r="BS56" i="41"/>
  <c r="CB54" i="41"/>
  <c r="BM53" i="41"/>
  <c r="CA51" i="41"/>
  <c r="BS50" i="41"/>
  <c r="BM49" i="41"/>
  <c r="BW46" i="41"/>
  <c r="BI45" i="41"/>
  <c r="BX43" i="41"/>
  <c r="BS42" i="41"/>
  <c r="BI41" i="41"/>
  <c r="BW39" i="41"/>
  <c r="BJ38" i="41"/>
  <c r="CE35" i="41"/>
  <c r="BV34" i="41"/>
  <c r="BT33" i="41"/>
  <c r="BP32" i="41"/>
  <c r="BS31" i="41"/>
  <c r="BR30" i="41"/>
  <c r="BS29" i="41"/>
  <c r="BO28" i="41"/>
  <c r="BJ27" i="41"/>
  <c r="CC25" i="41"/>
  <c r="BJ25" i="41"/>
  <c r="BM24" i="41"/>
  <c r="BX23" i="41"/>
  <c r="BK23" i="41"/>
  <c r="BV22" i="41"/>
  <c r="BI22" i="41"/>
  <c r="BU21" i="41"/>
  <c r="CF20" i="41"/>
  <c r="BS20" i="41"/>
  <c r="CC19" i="41"/>
  <c r="BQ19" i="41"/>
  <c r="CC18" i="41"/>
  <c r="BP18" i="41"/>
  <c r="CA17" i="41"/>
  <c r="BN17" i="41"/>
  <c r="BZ16" i="41"/>
  <c r="BM16" i="41"/>
  <c r="BX15" i="41"/>
  <c r="BK15" i="41"/>
  <c r="BV14" i="41"/>
  <c r="BI14" i="41"/>
  <c r="BW13" i="41"/>
  <c r="BL13" i="41"/>
  <c r="BY12" i="41"/>
  <c r="BN12" i="41"/>
  <c r="BM89" i="41"/>
  <c r="BP59" i="41"/>
  <c r="CA53" i="41"/>
  <c r="CD45" i="41"/>
  <c r="BQ37" i="41"/>
  <c r="BQ114" i="41"/>
  <c r="BR92" i="41"/>
  <c r="BI85" i="41"/>
  <c r="BW79" i="41"/>
  <c r="BW71" i="41"/>
  <c r="BO63" i="41"/>
  <c r="BY55" i="41"/>
  <c r="BT54" i="41"/>
  <c r="BI53" i="41"/>
  <c r="BX51" i="41"/>
  <c r="BK50" i="41"/>
  <c r="CE47" i="41"/>
  <c r="BO46" i="41"/>
  <c r="CD44" i="41"/>
  <c r="BW43" i="41"/>
  <c r="BQ42" i="41"/>
  <c r="CF40" i="41"/>
  <c r="BO39" i="41"/>
  <c r="CD37" i="41"/>
  <c r="CA35" i="41"/>
  <c r="BT34" i="41"/>
  <c r="BQ33" i="41"/>
  <c r="BN32" i="41"/>
  <c r="BQ31" i="41"/>
  <c r="BP30" i="41"/>
  <c r="BM29" i="41"/>
  <c r="BN28" i="41"/>
  <c r="CD26" i="41"/>
  <c r="CB25" i="41"/>
  <c r="CF24" i="41"/>
  <c r="BL24" i="41"/>
  <c r="BV23" i="41"/>
  <c r="BI23" i="41"/>
  <c r="BT22" i="41"/>
  <c r="CF21" i="41"/>
  <c r="BS21" i="41"/>
  <c r="CD20" i="41"/>
  <c r="BQ20" i="41"/>
  <c r="CB19" i="41"/>
  <c r="BO19" i="41"/>
  <c r="CA18" i="41"/>
  <c r="BN18" i="41"/>
  <c r="BY17" i="41"/>
  <c r="BL17" i="41"/>
  <c r="BX16" i="41"/>
  <c r="BL16" i="41"/>
  <c r="BV15" i="41"/>
  <c r="BI15" i="41"/>
  <c r="BT14" i="41"/>
  <c r="CF13" i="41"/>
  <c r="BU13" i="41"/>
  <c r="BK13" i="41"/>
  <c r="BX12" i="41"/>
  <c r="BM12" i="41"/>
  <c r="BY77" i="41"/>
  <c r="BK51" i="41"/>
  <c r="BS40" i="41"/>
  <c r="CA104" i="41"/>
  <c r="BK91" i="41"/>
  <c r="BZ84" i="41"/>
  <c r="BO79" i="41"/>
  <c r="BY69" i="41"/>
  <c r="BQ61" i="41"/>
  <c r="BW55" i="41"/>
  <c r="BR54" i="41"/>
  <c r="CD52" i="41"/>
  <c r="BP51" i="41"/>
  <c r="BI50" i="41"/>
  <c r="CB47" i="41"/>
  <c r="BM46" i="41"/>
  <c r="CB44" i="41"/>
  <c r="BS43" i="41"/>
  <c r="BN42" i="41"/>
  <c r="CC40" i="41"/>
  <c r="BN39" i="41"/>
  <c r="CC37" i="41"/>
  <c r="BS35" i="41"/>
  <c r="BN34" i="41"/>
  <c r="BO33" i="41"/>
  <c r="BK32" i="41"/>
  <c r="BK31" i="41"/>
  <c r="BM30" i="41"/>
  <c r="BK29" i="41"/>
  <c r="CA27" i="41"/>
  <c r="CB26" i="41"/>
  <c r="BY25" i="41"/>
  <c r="CA24" i="41"/>
  <c r="BJ24" i="41"/>
  <c r="BU23" i="41"/>
  <c r="CE22" i="41"/>
  <c r="BR22" i="41"/>
  <c r="CE21" i="41"/>
  <c r="BR21" i="41"/>
  <c r="CB20" i="41"/>
  <c r="BP20" i="41"/>
  <c r="BZ19" i="41"/>
  <c r="BM19" i="41"/>
  <c r="BZ18" i="41"/>
  <c r="BM18" i="41"/>
  <c r="BW17" i="41"/>
  <c r="BK17" i="41"/>
  <c r="BW16" i="41"/>
  <c r="BJ16" i="41"/>
  <c r="BU15" i="41"/>
  <c r="CE14" i="41"/>
  <c r="BR14" i="41"/>
  <c r="CE13" i="41"/>
  <c r="BT13" i="41"/>
  <c r="BJ13" i="41"/>
  <c r="BV12" i="41"/>
  <c r="BL12" i="41"/>
  <c r="CD96" i="41"/>
  <c r="CA67" i="41"/>
  <c r="BT52" i="41"/>
  <c r="BQ44" i="41"/>
  <c r="BI34" i="41"/>
  <c r="CC102" i="41"/>
  <c r="BT90" i="41"/>
  <c r="BS83" i="41"/>
  <c r="CF78" i="41"/>
  <c r="BI69" i="41"/>
  <c r="CF59" i="41"/>
  <c r="BT55" i="41"/>
  <c r="BO54" i="41"/>
  <c r="BV52" i="41"/>
  <c r="BO51" i="41"/>
  <c r="CE49" i="41"/>
  <c r="BT47" i="41"/>
  <c r="BJ46" i="41"/>
  <c r="BY44" i="41"/>
  <c r="BK43" i="41"/>
  <c r="BZ41" i="41"/>
  <c r="BU40" i="41"/>
  <c r="BK39" i="41"/>
  <c r="BY37" i="41"/>
  <c r="BR35" i="41"/>
  <c r="BL34" i="41"/>
  <c r="BI33" i="41"/>
  <c r="BJ32" i="41"/>
  <c r="BI31" i="41"/>
  <c r="BL30" i="41"/>
  <c r="CE28" i="41"/>
  <c r="BZ27" i="41"/>
  <c r="BV26" i="41"/>
  <c r="BW25" i="41"/>
  <c r="BZ24" i="41"/>
  <c r="CF23" i="41"/>
  <c r="BS23" i="41"/>
  <c r="CD22" i="41"/>
  <c r="BQ22" i="41"/>
  <c r="CC21" i="41"/>
  <c r="BP21" i="41"/>
  <c r="CA20" i="41"/>
  <c r="BN20" i="41"/>
  <c r="BY19" i="41"/>
  <c r="BL19" i="41"/>
  <c r="BX18" i="41"/>
  <c r="BK18" i="41"/>
  <c r="BV17" i="41"/>
  <c r="BI17" i="41"/>
  <c r="BU16" i="41"/>
  <c r="CF15" i="41"/>
  <c r="BS15" i="41"/>
  <c r="CD14" i="41"/>
  <c r="BQ14" i="41"/>
  <c r="CC13" i="41"/>
  <c r="BS13" i="41"/>
  <c r="CF12" i="41"/>
  <c r="BU12" i="41"/>
  <c r="BK12" i="41"/>
  <c r="BK83" i="41"/>
  <c r="BL55" i="41"/>
  <c r="BS47" i="41"/>
  <c r="BJ43" i="41"/>
  <c r="BO35" i="41"/>
  <c r="BO13" i="41"/>
  <c r="BO14" i="41"/>
  <c r="CC15" i="41"/>
  <c r="BQ17" i="41"/>
  <c r="BV18" i="41"/>
  <c r="BK20" i="41"/>
  <c r="BX21" i="41"/>
  <c r="CB22" i="41"/>
  <c r="BV24" i="41"/>
  <c r="BO27" i="41"/>
  <c r="CF29" i="41"/>
  <c r="CA32" i="41"/>
  <c r="BW38" i="41"/>
  <c r="BO44" i="41"/>
  <c r="CF50" i="41"/>
  <c r="BI58" i="41"/>
  <c r="BV88" i="41"/>
  <c r="CA21" i="41"/>
  <c r="BP23" i="41"/>
  <c r="BO25" i="41"/>
  <c r="BW27" i="41"/>
  <c r="CC30" i="41"/>
  <c r="CC33" i="41"/>
  <c r="BP40" i="41"/>
  <c r="BV45" i="41"/>
  <c r="BQ52" i="41"/>
  <c r="BK67" i="41"/>
  <c r="BN96" i="41"/>
  <c r="CA34" i="41"/>
  <c r="BM41" i="41"/>
  <c r="CB46" i="41"/>
  <c r="BV53" i="41"/>
  <c r="CA75" i="41"/>
  <c r="BI20" i="62"/>
  <c r="AY36" i="62"/>
  <c r="BP48" i="62"/>
  <c r="BF115" i="62"/>
  <c r="BB149" i="62"/>
  <c r="AI221" i="82"/>
  <c r="AJ196" i="82"/>
  <c r="AR194" i="82"/>
  <c r="AF193" i="82"/>
  <c r="AN191" i="82"/>
  <c r="AB190" i="82"/>
  <c r="AJ188" i="82"/>
  <c r="AR186" i="82"/>
  <c r="AF185" i="82"/>
  <c r="AB182" i="82"/>
  <c r="AR178" i="82"/>
  <c r="AN173" i="82"/>
  <c r="AF169" i="82"/>
  <c r="AD165" i="82"/>
  <c r="AR160" i="82"/>
  <c r="AJ156" i="82"/>
  <c r="AL128" i="82"/>
  <c r="AE110" i="82"/>
  <c r="BW21" i="62"/>
  <c r="BD36" i="62"/>
  <c r="CC48" i="62"/>
  <c r="BW117" i="62"/>
  <c r="BH149" i="62"/>
  <c r="AE221" i="82"/>
  <c r="AE196" i="82"/>
  <c r="AM194" i="82"/>
  <c r="AA193" i="82"/>
  <c r="AI191" i="82"/>
  <c r="AQ189" i="82"/>
  <c r="AE188" i="82"/>
  <c r="AM186" i="82"/>
  <c r="Z185" i="82"/>
  <c r="Z182" i="82"/>
  <c r="AP178" i="82"/>
  <c r="AL173" i="82"/>
  <c r="AD169" i="82"/>
  <c r="AR164" i="82"/>
  <c r="AP160" i="82"/>
  <c r="AH156" i="82"/>
  <c r="AE128" i="82"/>
  <c r="AD108" i="82"/>
  <c r="BE24" i="62"/>
  <c r="BF39" i="62"/>
  <c r="BN53" i="62"/>
  <c r="BI125" i="62"/>
  <c r="AB221" i="82"/>
  <c r="AD196" i="82"/>
  <c r="AL194" i="82"/>
  <c r="Z193" i="82"/>
  <c r="AH191" i="82"/>
  <c r="AP189" i="82"/>
  <c r="AD188" i="82"/>
  <c r="AL186" i="82"/>
  <c r="AH184" i="82"/>
  <c r="AD181" i="82"/>
  <c r="Z178" i="82"/>
  <c r="AJ172" i="82"/>
  <c r="AH168" i="82"/>
  <c r="AB164" i="82"/>
  <c r="AN159" i="82"/>
  <c r="AL155" i="82"/>
  <c r="AD126" i="82"/>
  <c r="AD102" i="82"/>
  <c r="CD13" i="62"/>
  <c r="BM26" i="62"/>
  <c r="BL40" i="62"/>
  <c r="BW53" i="62"/>
  <c r="BH128" i="62"/>
  <c r="AA221" i="82"/>
  <c r="AP195" i="82"/>
  <c r="AD194" i="82"/>
  <c r="AL192" i="82"/>
  <c r="Z191" i="82"/>
  <c r="AH189" i="82"/>
  <c r="AP187" i="82"/>
  <c r="AD186" i="82"/>
  <c r="AB184" i="82"/>
  <c r="AR180" i="82"/>
  <c r="AN177" i="82"/>
  <c r="AH172" i="82"/>
  <c r="AB168" i="82"/>
  <c r="Z164" i="82"/>
  <c r="AL159" i="82"/>
  <c r="AF155" i="82"/>
  <c r="AI125" i="82"/>
  <c r="AA101" i="82"/>
  <c r="BA14" i="62"/>
  <c r="BN26" i="62"/>
  <c r="BM40" i="62"/>
  <c r="CD54" i="62"/>
  <c r="BB133" i="62"/>
  <c r="AR221" i="82"/>
  <c r="AQ197" i="82"/>
  <c r="AN195" i="82"/>
  <c r="AB194" i="82"/>
  <c r="AJ192" i="82"/>
  <c r="AR190" i="82"/>
  <c r="AF189" i="82"/>
  <c r="AN187" i="82"/>
  <c r="AB186" i="82"/>
  <c r="AL183" i="82"/>
  <c r="AH180" i="82"/>
  <c r="AR176" i="82"/>
  <c r="AL171" i="82"/>
  <c r="AF167" i="82"/>
  <c r="AR162" i="82"/>
  <c r="AP158" i="82"/>
  <c r="AJ154" i="82"/>
  <c r="Z123" i="82"/>
  <c r="AN92" i="82"/>
  <c r="CE123" i="41"/>
  <c r="BW123" i="41"/>
  <c r="BO123" i="41"/>
  <c r="CF122" i="41"/>
  <c r="BX122" i="41"/>
  <c r="BP122" i="41"/>
  <c r="BY121" i="41"/>
  <c r="BQ121" i="41"/>
  <c r="BI121" i="41"/>
  <c r="BZ120" i="41"/>
  <c r="BR120" i="41"/>
  <c r="BJ120" i="41"/>
  <c r="CA119" i="41"/>
  <c r="BS119" i="41"/>
  <c r="BK119" i="41"/>
  <c r="CB118" i="41"/>
  <c r="BT118" i="41"/>
  <c r="BL118" i="41"/>
  <c r="CC117" i="41"/>
  <c r="BU117" i="41"/>
  <c r="BM117" i="41"/>
  <c r="CD116" i="41"/>
  <c r="BV116" i="41"/>
  <c r="BN116" i="41"/>
  <c r="CE115" i="41"/>
  <c r="BW115" i="41"/>
  <c r="BO115" i="41"/>
  <c r="CF114" i="41"/>
  <c r="BX114" i="41"/>
  <c r="BP114" i="41"/>
  <c r="BY113" i="41"/>
  <c r="BQ113" i="41"/>
  <c r="BI113" i="41"/>
  <c r="BZ112" i="41"/>
  <c r="BR112" i="41"/>
  <c r="BJ112" i="41"/>
  <c r="CA111" i="41"/>
  <c r="BS111" i="41"/>
  <c r="BK111" i="41"/>
  <c r="CB110" i="41"/>
  <c r="BT110" i="41"/>
  <c r="BL110" i="41"/>
  <c r="CC109" i="41"/>
  <c r="BU109" i="41"/>
  <c r="BM109" i="41"/>
  <c r="CD108" i="41"/>
  <c r="BV108" i="41"/>
  <c r="BN108" i="41"/>
  <c r="CE107" i="41"/>
  <c r="BW107" i="41"/>
  <c r="BO107" i="41"/>
  <c r="CF106" i="41"/>
  <c r="BX106" i="41"/>
  <c r="BP106" i="41"/>
  <c r="BY105" i="41"/>
  <c r="BQ105" i="41"/>
  <c r="BI105" i="41"/>
  <c r="BZ104" i="41"/>
  <c r="BR104" i="41"/>
  <c r="BJ104" i="41"/>
  <c r="CA103" i="41"/>
  <c r="BS103" i="41"/>
  <c r="BK103" i="41"/>
  <c r="CB102" i="41"/>
  <c r="BT102" i="41"/>
  <c r="BL102" i="41"/>
  <c r="CC101" i="41"/>
  <c r="BU101" i="41"/>
  <c r="BM101" i="41"/>
  <c r="CD100" i="41"/>
  <c r="BV100" i="41"/>
  <c r="BN100" i="41"/>
  <c r="CF98" i="41"/>
  <c r="BX98" i="41"/>
  <c r="BP98" i="41"/>
  <c r="CD123" i="41"/>
  <c r="BV123" i="41"/>
  <c r="BN123" i="41"/>
  <c r="CE122" i="41"/>
  <c r="BW122" i="41"/>
  <c r="BO122" i="41"/>
  <c r="CF121" i="41"/>
  <c r="BX121" i="41"/>
  <c r="BP121" i="41"/>
  <c r="BY120" i="41"/>
  <c r="BQ120" i="41"/>
  <c r="BI120" i="41"/>
  <c r="BZ119" i="41"/>
  <c r="BR119" i="41"/>
  <c r="BJ119" i="41"/>
  <c r="CA118" i="41"/>
  <c r="BS118" i="41"/>
  <c r="BK118" i="41"/>
  <c r="CB117" i="41"/>
  <c r="BT117" i="41"/>
  <c r="BL117" i="41"/>
  <c r="CC116" i="41"/>
  <c r="BU116" i="41"/>
  <c r="BM116" i="41"/>
  <c r="CD115" i="41"/>
  <c r="BV115" i="41"/>
  <c r="BN115" i="41"/>
  <c r="CE114" i="41"/>
  <c r="BW114" i="41"/>
  <c r="BO114" i="41"/>
  <c r="CF113" i="41"/>
  <c r="BX113" i="41"/>
  <c r="BP113" i="41"/>
  <c r="BY112" i="41"/>
  <c r="BQ112" i="41"/>
  <c r="BI112" i="41"/>
  <c r="BZ111" i="41"/>
  <c r="BR111" i="41"/>
  <c r="BJ111" i="41"/>
  <c r="CA110" i="41"/>
  <c r="BS110" i="41"/>
  <c r="BK110" i="41"/>
  <c r="CB109" i="41"/>
  <c r="BT109" i="41"/>
  <c r="BL109" i="41"/>
  <c r="CC108" i="41"/>
  <c r="BU108" i="41"/>
  <c r="BM108" i="41"/>
  <c r="CD107" i="41"/>
  <c r="BV107" i="41"/>
  <c r="BN107" i="41"/>
  <c r="CE106" i="41"/>
  <c r="BW106" i="41"/>
  <c r="BO106" i="41"/>
  <c r="CF105" i="41"/>
  <c r="BX105" i="41"/>
  <c r="BP105" i="41"/>
  <c r="BY104" i="41"/>
  <c r="BQ104" i="41"/>
  <c r="BI104" i="41"/>
  <c r="BZ103" i="41"/>
  <c r="BR103" i="41"/>
  <c r="BJ103" i="41"/>
  <c r="CA102" i="41"/>
  <c r="BS102" i="41"/>
  <c r="BK102" i="41"/>
  <c r="CB101" i="41"/>
  <c r="BT101" i="41"/>
  <c r="BL101" i="41"/>
  <c r="CC100" i="41"/>
  <c r="BU100" i="41"/>
  <c r="BM100" i="41"/>
  <c r="CE98" i="41"/>
  <c r="BW98" i="41"/>
  <c r="BO98" i="41"/>
  <c r="CC123" i="41"/>
  <c r="BU123" i="41"/>
  <c r="BM123" i="41"/>
  <c r="CD122" i="41"/>
  <c r="BV122" i="41"/>
  <c r="BN122" i="41"/>
  <c r="CE121" i="41"/>
  <c r="BW121" i="41"/>
  <c r="BO121" i="41"/>
  <c r="CF120" i="41"/>
  <c r="BX120" i="41"/>
  <c r="BP120" i="41"/>
  <c r="BY119" i="41"/>
  <c r="BQ119" i="41"/>
  <c r="BI119" i="41"/>
  <c r="BZ118" i="41"/>
  <c r="BR118" i="41"/>
  <c r="BJ118" i="41"/>
  <c r="CA117" i="41"/>
  <c r="BS117" i="41"/>
  <c r="BK117" i="41"/>
  <c r="CB116" i="41"/>
  <c r="BT116" i="41"/>
  <c r="BL116" i="41"/>
  <c r="CC115" i="41"/>
  <c r="BU115" i="41"/>
  <c r="BM115" i="41"/>
  <c r="CD114" i="41"/>
  <c r="BV114" i="41"/>
  <c r="BN114" i="41"/>
  <c r="CE113" i="41"/>
  <c r="BW113" i="41"/>
  <c r="BO113" i="41"/>
  <c r="CF112" i="41"/>
  <c r="BX112" i="41"/>
  <c r="BP112" i="41"/>
  <c r="BY111" i="41"/>
  <c r="BQ111" i="41"/>
  <c r="BI111" i="41"/>
  <c r="BZ110" i="41"/>
  <c r="BR110" i="41"/>
  <c r="BJ110" i="41"/>
  <c r="CA109" i="41"/>
  <c r="BS109" i="41"/>
  <c r="BK109" i="41"/>
  <c r="CB108" i="41"/>
  <c r="BT108" i="41"/>
  <c r="BL108" i="41"/>
  <c r="CC107" i="41"/>
  <c r="BU107" i="41"/>
  <c r="BM107" i="41"/>
  <c r="CD106" i="41"/>
  <c r="BV106" i="41"/>
  <c r="BN106" i="41"/>
  <c r="CE105" i="41"/>
  <c r="BW105" i="41"/>
  <c r="BO105" i="41"/>
  <c r="CF104" i="41"/>
  <c r="BX104" i="41"/>
  <c r="BP104" i="41"/>
  <c r="BY103" i="41"/>
  <c r="BQ103" i="41"/>
  <c r="BI103" i="41"/>
  <c r="BZ102" i="41"/>
  <c r="BR102" i="41"/>
  <c r="BJ102" i="41"/>
  <c r="CA101" i="41"/>
  <c r="BS101" i="41"/>
  <c r="BK101" i="41"/>
  <c r="CB100" i="41"/>
  <c r="BT100" i="41"/>
  <c r="BL100" i="41"/>
  <c r="CD98" i="41"/>
  <c r="BV98" i="41"/>
  <c r="BN98" i="41"/>
  <c r="BF98" i="41"/>
  <c r="CB123" i="41"/>
  <c r="BT123" i="41"/>
  <c r="BL123" i="41"/>
  <c r="CC122" i="41"/>
  <c r="BU122" i="41"/>
  <c r="BM122" i="41"/>
  <c r="CD121" i="41"/>
  <c r="BV121" i="41"/>
  <c r="BN121" i="41"/>
  <c r="CE120" i="41"/>
  <c r="BW120" i="41"/>
  <c r="BO120" i="41"/>
  <c r="CF119" i="41"/>
  <c r="BX119" i="41"/>
  <c r="BP119" i="41"/>
  <c r="BY118" i="41"/>
  <c r="BQ118" i="41"/>
  <c r="BI118" i="41"/>
  <c r="BZ117" i="41"/>
  <c r="BR117" i="41"/>
  <c r="BJ117" i="41"/>
  <c r="CA116" i="41"/>
  <c r="BS116" i="41"/>
  <c r="BK116" i="41"/>
  <c r="CB115" i="41"/>
  <c r="BT115" i="41"/>
  <c r="BL115" i="41"/>
  <c r="CC114" i="41"/>
  <c r="BU114" i="41"/>
  <c r="BM114" i="41"/>
  <c r="CD113" i="41"/>
  <c r="BV113" i="41"/>
  <c r="BN113" i="41"/>
  <c r="CE112" i="41"/>
  <c r="BW112" i="41"/>
  <c r="BO112" i="41"/>
  <c r="CF111" i="41"/>
  <c r="BX111" i="41"/>
  <c r="BP111" i="41"/>
  <c r="BY110" i="41"/>
  <c r="BQ110" i="41"/>
  <c r="BI110" i="41"/>
  <c r="BZ109" i="41"/>
  <c r="BR109" i="41"/>
  <c r="BJ109" i="41"/>
  <c r="CA108" i="41"/>
  <c r="BS108" i="41"/>
  <c r="BK108" i="41"/>
  <c r="CB107" i="41"/>
  <c r="BT107" i="41"/>
  <c r="BL107" i="41"/>
  <c r="CC106" i="41"/>
  <c r="BU106" i="41"/>
  <c r="BM106" i="41"/>
  <c r="CD105" i="41"/>
  <c r="BV105" i="41"/>
  <c r="BN105" i="41"/>
  <c r="CE104" i="41"/>
  <c r="BW104" i="41"/>
  <c r="BO104" i="41"/>
  <c r="CF103" i="41"/>
  <c r="BX103" i="41"/>
  <c r="BP103" i="41"/>
  <c r="BY102" i="41"/>
  <c r="BQ102" i="41"/>
  <c r="BI102" i="41"/>
  <c r="BZ101" i="41"/>
  <c r="BR101" i="41"/>
  <c r="BJ101" i="41"/>
  <c r="CA100" i="41"/>
  <c r="BS100" i="41"/>
  <c r="BK100" i="41"/>
  <c r="CC98" i="41"/>
  <c r="BU98" i="41"/>
  <c r="BM98" i="41"/>
  <c r="CA123" i="41"/>
  <c r="BS123" i="41"/>
  <c r="BK123" i="41"/>
  <c r="CB122" i="41"/>
  <c r="BT122" i="41"/>
  <c r="BL122" i="41"/>
  <c r="CC121" i="41"/>
  <c r="BU121" i="41"/>
  <c r="BM121" i="41"/>
  <c r="CD120" i="41"/>
  <c r="BV120" i="41"/>
  <c r="BN120" i="41"/>
  <c r="CE119" i="41"/>
  <c r="BW119" i="41"/>
  <c r="BO119" i="41"/>
  <c r="CF118" i="41"/>
  <c r="BX118" i="41"/>
  <c r="BP118" i="41"/>
  <c r="BY117" i="41"/>
  <c r="BQ117" i="41"/>
  <c r="BI117" i="41"/>
  <c r="BZ116" i="41"/>
  <c r="BR116" i="41"/>
  <c r="BJ116" i="41"/>
  <c r="CA115" i="41"/>
  <c r="BS115" i="41"/>
  <c r="BK115" i="41"/>
  <c r="CB114" i="41"/>
  <c r="BT114" i="41"/>
  <c r="BL114" i="41"/>
  <c r="CC113" i="41"/>
  <c r="BU113" i="41"/>
  <c r="BM113" i="41"/>
  <c r="CD112" i="41"/>
  <c r="BV112" i="41"/>
  <c r="BN112" i="41"/>
  <c r="CE111" i="41"/>
  <c r="BW111" i="41"/>
  <c r="BO111" i="41"/>
  <c r="CF110" i="41"/>
  <c r="BX110" i="41"/>
  <c r="BP110" i="41"/>
  <c r="BY109" i="41"/>
  <c r="BQ109" i="41"/>
  <c r="BI109" i="41"/>
  <c r="BZ108" i="41"/>
  <c r="BR108" i="41"/>
  <c r="BJ108" i="41"/>
  <c r="CA107" i="41"/>
  <c r="BS107" i="41"/>
  <c r="BK107" i="41"/>
  <c r="CB106" i="41"/>
  <c r="BT106" i="41"/>
  <c r="BL106" i="41"/>
  <c r="CC105" i="41"/>
  <c r="BU105" i="41"/>
  <c r="BM105" i="41"/>
  <c r="CD104" i="41"/>
  <c r="BV104" i="41"/>
  <c r="BN104" i="41"/>
  <c r="CE103" i="41"/>
  <c r="BW103" i="41"/>
  <c r="BO103" i="41"/>
  <c r="CF102" i="41"/>
  <c r="BX102" i="41"/>
  <c r="BP102" i="41"/>
  <c r="BY101" i="41"/>
  <c r="BQ101" i="41"/>
  <c r="BI101" i="41"/>
  <c r="BZ100" i="41"/>
  <c r="BR100" i="41"/>
  <c r="BJ100" i="41"/>
  <c r="CB98" i="41"/>
  <c r="BT98" i="41"/>
  <c r="BZ123" i="41"/>
  <c r="BR123" i="41"/>
  <c r="BJ123" i="41"/>
  <c r="CA122" i="41"/>
  <c r="BS122" i="41"/>
  <c r="BK122" i="41"/>
  <c r="CB121" i="41"/>
  <c r="BT121" i="41"/>
  <c r="BL121" i="41"/>
  <c r="CC120" i="41"/>
  <c r="BU120" i="41"/>
  <c r="BM120" i="41"/>
  <c r="CD119" i="41"/>
  <c r="BV119" i="41"/>
  <c r="BN119" i="41"/>
  <c r="CE118" i="41"/>
  <c r="BW118" i="41"/>
  <c r="BO118" i="41"/>
  <c r="CF117" i="41"/>
  <c r="BX117" i="41"/>
  <c r="BP117" i="41"/>
  <c r="BY116" i="41"/>
  <c r="BQ116" i="41"/>
  <c r="BI116" i="41"/>
  <c r="BZ115" i="41"/>
  <c r="BR115" i="41"/>
  <c r="BJ115" i="41"/>
  <c r="CA114" i="41"/>
  <c r="BS114" i="41"/>
  <c r="BK114" i="41"/>
  <c r="CB113" i="41"/>
  <c r="BT113" i="41"/>
  <c r="BL113" i="41"/>
  <c r="CC112" i="41"/>
  <c r="BU112" i="41"/>
  <c r="BM112" i="41"/>
  <c r="CD111" i="41"/>
  <c r="BV111" i="41"/>
  <c r="BN111" i="41"/>
  <c r="CE110" i="41"/>
  <c r="BW110" i="41"/>
  <c r="BO110" i="41"/>
  <c r="CF109" i="41"/>
  <c r="BX109" i="41"/>
  <c r="BP109" i="41"/>
  <c r="BY108" i="41"/>
  <c r="BQ108" i="41"/>
  <c r="BI108" i="41"/>
  <c r="BZ107" i="41"/>
  <c r="BR107" i="41"/>
  <c r="BJ107" i="41"/>
  <c r="CA106" i="41"/>
  <c r="BS106" i="41"/>
  <c r="BK106" i="41"/>
  <c r="CB105" i="41"/>
  <c r="BT105" i="41"/>
  <c r="BL105" i="41"/>
  <c r="CC104" i="41"/>
  <c r="BU104" i="41"/>
  <c r="BM104" i="41"/>
  <c r="CD103" i="41"/>
  <c r="BV103" i="41"/>
  <c r="BN103" i="41"/>
  <c r="CE102" i="41"/>
  <c r="BW102" i="41"/>
  <c r="BO102" i="41"/>
  <c r="CF101" i="41"/>
  <c r="BX101" i="41"/>
  <c r="BP101" i="41"/>
  <c r="BY100" i="41"/>
  <c r="BQ100" i="41"/>
  <c r="BI100" i="41"/>
  <c r="CA98" i="41"/>
  <c r="BS98" i="41"/>
  <c r="BK98" i="41"/>
  <c r="BY123" i="41"/>
  <c r="BQ123" i="41"/>
  <c r="BI123" i="41"/>
  <c r="BZ122" i="41"/>
  <c r="BR122" i="41"/>
  <c r="BJ122" i="41"/>
  <c r="CA121" i="41"/>
  <c r="BS121" i="41"/>
  <c r="BK121" i="41"/>
  <c r="CB120" i="41"/>
  <c r="BT120" i="41"/>
  <c r="BL120" i="41"/>
  <c r="CC119" i="41"/>
  <c r="BU119" i="41"/>
  <c r="BM119" i="41"/>
  <c r="CD118" i="41"/>
  <c r="BV118" i="41"/>
  <c r="BN118" i="41"/>
  <c r="CE117" i="41"/>
  <c r="BW117" i="41"/>
  <c r="BO117" i="41"/>
  <c r="CF116" i="41"/>
  <c r="BX116" i="41"/>
  <c r="BP116" i="41"/>
  <c r="BY115" i="41"/>
  <c r="BQ115" i="41"/>
  <c r="BI115" i="41"/>
  <c r="BZ114" i="41"/>
  <c r="BR114" i="41"/>
  <c r="BJ114" i="41"/>
  <c r="CA113" i="41"/>
  <c r="BS113" i="41"/>
  <c r="BK113" i="41"/>
  <c r="CB112" i="41"/>
  <c r="BT112" i="41"/>
  <c r="BL112" i="41"/>
  <c r="CC111" i="41"/>
  <c r="BU111" i="41"/>
  <c r="BM111" i="41"/>
  <c r="CD110" i="41"/>
  <c r="BV110" i="41"/>
  <c r="BN110" i="41"/>
  <c r="CE109" i="41"/>
  <c r="BW109" i="41"/>
  <c r="BO109" i="41"/>
  <c r="CF108" i="41"/>
  <c r="BX108" i="41"/>
  <c r="BP108" i="41"/>
  <c r="BY107" i="41"/>
  <c r="BQ107" i="41"/>
  <c r="BI107" i="41"/>
  <c r="BZ106" i="41"/>
  <c r="BR106" i="41"/>
  <c r="BJ106" i="41"/>
  <c r="CA105" i="41"/>
  <c r="BS105" i="41"/>
  <c r="BK105" i="41"/>
  <c r="CB104" i="41"/>
  <c r="BT104" i="41"/>
  <c r="BL104" i="41"/>
  <c r="CC103" i="41"/>
  <c r="BU103" i="41"/>
  <c r="BM103" i="41"/>
  <c r="CD102" i="41"/>
  <c r="BV102" i="41"/>
  <c r="BN102" i="41"/>
  <c r="CE101" i="41"/>
  <c r="BW101" i="41"/>
  <c r="BO101" i="41"/>
  <c r="CF100" i="41"/>
  <c r="BX100" i="41"/>
  <c r="BP100" i="41"/>
  <c r="BZ98" i="41"/>
  <c r="BR98" i="41"/>
  <c r="BJ98" i="41"/>
  <c r="CF123" i="41"/>
  <c r="BI114" i="41"/>
  <c r="BK112" i="41"/>
  <c r="BM110" i="41"/>
  <c r="BO108" i="41"/>
  <c r="BQ106" i="41"/>
  <c r="BS104" i="41"/>
  <c r="BU102" i="41"/>
  <c r="BW100" i="41"/>
  <c r="BY98" i="41"/>
  <c r="BC98" i="41"/>
  <c r="CB97" i="41"/>
  <c r="BT97" i="41"/>
  <c r="BL97" i="41"/>
  <c r="CC96" i="41"/>
  <c r="BU96" i="41"/>
  <c r="BM96" i="41"/>
  <c r="CD95" i="41"/>
  <c r="BV95" i="41"/>
  <c r="BN95" i="41"/>
  <c r="CE94" i="41"/>
  <c r="BW94" i="41"/>
  <c r="BO94" i="41"/>
  <c r="CF93" i="41"/>
  <c r="BX93" i="41"/>
  <c r="BP93" i="41"/>
  <c r="BY92" i="41"/>
  <c r="BQ92" i="41"/>
  <c r="BI92" i="41"/>
  <c r="BZ91" i="41"/>
  <c r="BR91" i="41"/>
  <c r="BJ91" i="41"/>
  <c r="CA90" i="41"/>
  <c r="BS90" i="41"/>
  <c r="BK90" i="41"/>
  <c r="CB89" i="41"/>
  <c r="BT89" i="41"/>
  <c r="BL89" i="41"/>
  <c r="CC88" i="41"/>
  <c r="BU88" i="41"/>
  <c r="BM88" i="41"/>
  <c r="CD87" i="41"/>
  <c r="BV87" i="41"/>
  <c r="BN87" i="41"/>
  <c r="CE86" i="41"/>
  <c r="BW86" i="41"/>
  <c r="BO86" i="41"/>
  <c r="CF85" i="41"/>
  <c r="BX85" i="41"/>
  <c r="BP85" i="41"/>
  <c r="BY84" i="41"/>
  <c r="BQ84" i="41"/>
  <c r="BI84" i="41"/>
  <c r="BZ83" i="41"/>
  <c r="BR83" i="41"/>
  <c r="BJ83" i="41"/>
  <c r="CA82" i="41"/>
  <c r="BS82" i="41"/>
  <c r="BK82" i="41"/>
  <c r="CB81" i="41"/>
  <c r="BT81" i="41"/>
  <c r="BL81" i="41"/>
  <c r="CC80" i="41"/>
  <c r="BU80" i="41"/>
  <c r="BM80" i="41"/>
  <c r="CD79" i="41"/>
  <c r="BV79" i="41"/>
  <c r="BN79" i="41"/>
  <c r="CE78" i="41"/>
  <c r="BW78" i="41"/>
  <c r="BO78" i="41"/>
  <c r="CF77" i="41"/>
  <c r="BX77" i="41"/>
  <c r="BP77" i="41"/>
  <c r="BY76" i="41"/>
  <c r="BQ76" i="41"/>
  <c r="BI76" i="41"/>
  <c r="BZ75" i="41"/>
  <c r="BR75" i="41"/>
  <c r="BJ75" i="41"/>
  <c r="CA74" i="41"/>
  <c r="BS74" i="41"/>
  <c r="BK74" i="41"/>
  <c r="CC72" i="41"/>
  <c r="BU72" i="41"/>
  <c r="BM72" i="41"/>
  <c r="BE72" i="41"/>
  <c r="CD71" i="41"/>
  <c r="BV71" i="41"/>
  <c r="BN71" i="41"/>
  <c r="CE70" i="41"/>
  <c r="BW70" i="41"/>
  <c r="BO70" i="41"/>
  <c r="CF69" i="41"/>
  <c r="BX69" i="41"/>
  <c r="BP69" i="41"/>
  <c r="BY68" i="41"/>
  <c r="BQ68" i="41"/>
  <c r="BI68" i="41"/>
  <c r="BZ67" i="41"/>
  <c r="BR67" i="41"/>
  <c r="BJ67" i="41"/>
  <c r="CA66" i="41"/>
  <c r="BS66" i="41"/>
  <c r="BK66" i="41"/>
  <c r="CB65" i="41"/>
  <c r="BT65" i="41"/>
  <c r="BL65" i="41"/>
  <c r="CC64" i="41"/>
  <c r="BU64" i="41"/>
  <c r="BM64" i="41"/>
  <c r="CD63" i="41"/>
  <c r="BV63" i="41"/>
  <c r="BN63" i="41"/>
  <c r="CE62" i="41"/>
  <c r="BW62" i="41"/>
  <c r="BO62" i="41"/>
  <c r="CF61" i="41"/>
  <c r="BX61" i="41"/>
  <c r="BP61" i="41"/>
  <c r="CE59" i="41"/>
  <c r="BW59" i="41"/>
  <c r="BO59" i="41"/>
  <c r="CF58" i="41"/>
  <c r="BX58" i="41"/>
  <c r="BP58" i="41"/>
  <c r="BZ56" i="41"/>
  <c r="BR56" i="41"/>
  <c r="BJ56" i="41"/>
  <c r="CA55" i="41"/>
  <c r="BX123" i="41"/>
  <c r="BZ121" i="41"/>
  <c r="CB119" i="41"/>
  <c r="CD117" i="41"/>
  <c r="CF115" i="41"/>
  <c r="BI106" i="41"/>
  <c r="BK104" i="41"/>
  <c r="BM102" i="41"/>
  <c r="BO100" i="41"/>
  <c r="BQ98" i="41"/>
  <c r="BB98" i="41"/>
  <c r="CA97" i="41"/>
  <c r="BS97" i="41"/>
  <c r="BK97" i="41"/>
  <c r="CB96" i="41"/>
  <c r="BT96" i="41"/>
  <c r="BL96" i="41"/>
  <c r="CC95" i="41"/>
  <c r="BU95" i="41"/>
  <c r="BM95" i="41"/>
  <c r="CD94" i="41"/>
  <c r="BV94" i="41"/>
  <c r="BN94" i="41"/>
  <c r="CE93" i="41"/>
  <c r="BW93" i="41"/>
  <c r="BO93" i="41"/>
  <c r="CF92" i="41"/>
  <c r="BX92" i="41"/>
  <c r="BP92" i="41"/>
  <c r="BY91" i="41"/>
  <c r="BQ91" i="41"/>
  <c r="BI91" i="41"/>
  <c r="BZ90" i="41"/>
  <c r="BR90" i="41"/>
  <c r="BJ90" i="41"/>
  <c r="CA89" i="41"/>
  <c r="BS89" i="41"/>
  <c r="BK89" i="41"/>
  <c r="CB88" i="41"/>
  <c r="BT88" i="41"/>
  <c r="BL88" i="41"/>
  <c r="CC87" i="41"/>
  <c r="BU87" i="41"/>
  <c r="BM87" i="41"/>
  <c r="CD86" i="41"/>
  <c r="BV86" i="41"/>
  <c r="BN86" i="41"/>
  <c r="CE85" i="41"/>
  <c r="BW85" i="41"/>
  <c r="BO85" i="41"/>
  <c r="CF84" i="41"/>
  <c r="BX84" i="41"/>
  <c r="BP84" i="41"/>
  <c r="BY83" i="41"/>
  <c r="BQ83" i="41"/>
  <c r="BI83" i="41"/>
  <c r="BZ82" i="41"/>
  <c r="BR82" i="41"/>
  <c r="BJ82" i="41"/>
  <c r="CA81" i="41"/>
  <c r="BS81" i="41"/>
  <c r="BK81" i="41"/>
  <c r="CB80" i="41"/>
  <c r="BT80" i="41"/>
  <c r="BL80" i="41"/>
  <c r="CC79" i="41"/>
  <c r="BU79" i="41"/>
  <c r="BM79" i="41"/>
  <c r="CD78" i="41"/>
  <c r="BV78" i="41"/>
  <c r="BN78" i="41"/>
  <c r="CE77" i="41"/>
  <c r="BW77" i="41"/>
  <c r="BO77" i="41"/>
  <c r="CF76" i="41"/>
  <c r="BX76" i="41"/>
  <c r="BP76" i="41"/>
  <c r="BY75" i="41"/>
  <c r="BQ75" i="41"/>
  <c r="BI75" i="41"/>
  <c r="BZ74" i="41"/>
  <c r="BR74" i="41"/>
  <c r="BJ74" i="41"/>
  <c r="CB72" i="41"/>
  <c r="BT72" i="41"/>
  <c r="BL72" i="41"/>
  <c r="BD72" i="41"/>
  <c r="CC71" i="41"/>
  <c r="BU71" i="41"/>
  <c r="BM71" i="41"/>
  <c r="CD70" i="41"/>
  <c r="BV70" i="41"/>
  <c r="BN70" i="41"/>
  <c r="CE69" i="41"/>
  <c r="BW69" i="41"/>
  <c r="BO69" i="41"/>
  <c r="CF68" i="41"/>
  <c r="BX68" i="41"/>
  <c r="BP68" i="41"/>
  <c r="BY67" i="41"/>
  <c r="BQ67" i="41"/>
  <c r="BI67" i="41"/>
  <c r="BZ66" i="41"/>
  <c r="BR66" i="41"/>
  <c r="BJ66" i="41"/>
  <c r="CA65" i="41"/>
  <c r="BS65" i="41"/>
  <c r="BK65" i="41"/>
  <c r="CB64" i="41"/>
  <c r="BT64" i="41"/>
  <c r="BL64" i="41"/>
  <c r="CC63" i="41"/>
  <c r="BU63" i="41"/>
  <c r="BM63" i="41"/>
  <c r="CD62" i="41"/>
  <c r="BV62" i="41"/>
  <c r="BN62" i="41"/>
  <c r="CE61" i="41"/>
  <c r="BW61" i="41"/>
  <c r="BO61" i="41"/>
  <c r="CD59" i="41"/>
  <c r="BV59" i="41"/>
  <c r="BN59" i="41"/>
  <c r="CE58" i="41"/>
  <c r="BW58" i="41"/>
  <c r="BO58" i="41"/>
  <c r="BY56" i="41"/>
  <c r="BQ56" i="41"/>
  <c r="BI56" i="41"/>
  <c r="BZ55" i="41"/>
  <c r="BR55" i="41"/>
  <c r="BJ55" i="41"/>
  <c r="CA54" i="41"/>
  <c r="BS54" i="41"/>
  <c r="BK54" i="41"/>
  <c r="CB53" i="41"/>
  <c r="BT53" i="41"/>
  <c r="BL53" i="41"/>
  <c r="CC52" i="41"/>
  <c r="BU52" i="41"/>
  <c r="BM52" i="41"/>
  <c r="CD51" i="41"/>
  <c r="BV51" i="41"/>
  <c r="BN51" i="41"/>
  <c r="CE50" i="41"/>
  <c r="BW50" i="41"/>
  <c r="BO50" i="41"/>
  <c r="CF49" i="41"/>
  <c r="BX49" i="41"/>
  <c r="BP49" i="41"/>
  <c r="BZ47" i="41"/>
  <c r="BR47" i="41"/>
  <c r="BJ47" i="41"/>
  <c r="CA46" i="41"/>
  <c r="BS46" i="41"/>
  <c r="BK46" i="41"/>
  <c r="CB45" i="41"/>
  <c r="BT45" i="41"/>
  <c r="BL45" i="41"/>
  <c r="CC44" i="41"/>
  <c r="BU44" i="41"/>
  <c r="BM44" i="41"/>
  <c r="CD43" i="41"/>
  <c r="BV43" i="41"/>
  <c r="BN43" i="41"/>
  <c r="CE42" i="41"/>
  <c r="BW42" i="41"/>
  <c r="BO42" i="41"/>
  <c r="CF41" i="41"/>
  <c r="BX41" i="41"/>
  <c r="BP41" i="41"/>
  <c r="BY40" i="41"/>
  <c r="BQ40" i="41"/>
  <c r="BI40" i="41"/>
  <c r="BZ39" i="41"/>
  <c r="BR39" i="41"/>
  <c r="BJ39" i="41"/>
  <c r="CA38" i="41"/>
  <c r="BS38" i="41"/>
  <c r="BK38" i="41"/>
  <c r="CB37" i="41"/>
  <c r="BT37" i="41"/>
  <c r="BL37" i="41"/>
  <c r="CD35" i="41"/>
  <c r="BV35" i="41"/>
  <c r="BN35" i="41"/>
  <c r="CE34" i="41"/>
  <c r="BW34" i="41"/>
  <c r="BO34" i="41"/>
  <c r="CF33" i="41"/>
  <c r="BX33" i="41"/>
  <c r="BP33" i="41"/>
  <c r="BY32" i="41"/>
  <c r="BQ32" i="41"/>
  <c r="BI32" i="41"/>
  <c r="BZ31" i="41"/>
  <c r="BR31" i="41"/>
  <c r="BJ31" i="41"/>
  <c r="CA30" i="41"/>
  <c r="BS30" i="41"/>
  <c r="BK30" i="41"/>
  <c r="CB29" i="41"/>
  <c r="BT29" i="41"/>
  <c r="BL29" i="41"/>
  <c r="CC28" i="41"/>
  <c r="BU28" i="41"/>
  <c r="BM28" i="41"/>
  <c r="CD27" i="41"/>
  <c r="BV27" i="41"/>
  <c r="BN27" i="41"/>
  <c r="CE26" i="41"/>
  <c r="BW26" i="41"/>
  <c r="BO26" i="41"/>
  <c r="CF25" i="41"/>
  <c r="BX25" i="41"/>
  <c r="BP25" i="41"/>
  <c r="BY24" i="41"/>
  <c r="BQ24" i="41"/>
  <c r="BP123" i="41"/>
  <c r="BR121" i="41"/>
  <c r="BT119" i="41"/>
  <c r="BV117" i="41"/>
  <c r="BX115" i="41"/>
  <c r="BZ113" i="41"/>
  <c r="CB111" i="41"/>
  <c r="CD109" i="41"/>
  <c r="CF107" i="41"/>
  <c r="BL98" i="41"/>
  <c r="BA98" i="41"/>
  <c r="BZ97" i="41"/>
  <c r="BR97" i="41"/>
  <c r="BJ97" i="41"/>
  <c r="CA96" i="41"/>
  <c r="BS96" i="41"/>
  <c r="BK96" i="41"/>
  <c r="CB95" i="41"/>
  <c r="BT95" i="41"/>
  <c r="BL95" i="41"/>
  <c r="CC94" i="41"/>
  <c r="BU94" i="41"/>
  <c r="BM94" i="41"/>
  <c r="CD93" i="41"/>
  <c r="BV93" i="41"/>
  <c r="BN93" i="41"/>
  <c r="CE92" i="41"/>
  <c r="BW92" i="41"/>
  <c r="BO92" i="41"/>
  <c r="CF91" i="41"/>
  <c r="BX91" i="41"/>
  <c r="BP91" i="41"/>
  <c r="BY90" i="41"/>
  <c r="BQ90" i="41"/>
  <c r="BI90" i="41"/>
  <c r="BZ89" i="41"/>
  <c r="BR89" i="41"/>
  <c r="BJ89" i="41"/>
  <c r="CA88" i="41"/>
  <c r="BS88" i="41"/>
  <c r="BK88" i="41"/>
  <c r="CB87" i="41"/>
  <c r="BT87" i="41"/>
  <c r="BL87" i="41"/>
  <c r="CC86" i="41"/>
  <c r="BU86" i="41"/>
  <c r="BM86" i="41"/>
  <c r="CD85" i="41"/>
  <c r="BV85" i="41"/>
  <c r="BN85" i="41"/>
  <c r="CE84" i="41"/>
  <c r="BW84" i="41"/>
  <c r="BO84" i="41"/>
  <c r="CF83" i="41"/>
  <c r="BX83" i="41"/>
  <c r="BP83" i="41"/>
  <c r="BY82" i="41"/>
  <c r="BQ82" i="41"/>
  <c r="BI82" i="41"/>
  <c r="BZ81" i="41"/>
  <c r="BR81" i="41"/>
  <c r="BJ81" i="41"/>
  <c r="CA80" i="41"/>
  <c r="BS80" i="41"/>
  <c r="BK80" i="41"/>
  <c r="CB79" i="41"/>
  <c r="BT79" i="41"/>
  <c r="BL79" i="41"/>
  <c r="CC78" i="41"/>
  <c r="BU78" i="41"/>
  <c r="BM78" i="41"/>
  <c r="CD77" i="41"/>
  <c r="BV77" i="41"/>
  <c r="BN77" i="41"/>
  <c r="CE76" i="41"/>
  <c r="BW76" i="41"/>
  <c r="BO76" i="41"/>
  <c r="CF75" i="41"/>
  <c r="BX75" i="41"/>
  <c r="BP75" i="41"/>
  <c r="BY74" i="41"/>
  <c r="BQ74" i="41"/>
  <c r="BI74" i="41"/>
  <c r="CA72" i="41"/>
  <c r="BS72" i="41"/>
  <c r="BK72" i="41"/>
  <c r="BC72" i="41"/>
  <c r="CB71" i="41"/>
  <c r="BT71" i="41"/>
  <c r="BL71" i="41"/>
  <c r="CC70" i="41"/>
  <c r="BU70" i="41"/>
  <c r="BM70" i="41"/>
  <c r="CD69" i="41"/>
  <c r="BV69" i="41"/>
  <c r="BN69" i="41"/>
  <c r="CE68" i="41"/>
  <c r="BW68" i="41"/>
  <c r="BO68" i="41"/>
  <c r="CF67" i="41"/>
  <c r="BX67" i="41"/>
  <c r="BP67" i="41"/>
  <c r="BY66" i="41"/>
  <c r="BQ66" i="41"/>
  <c r="BI66" i="41"/>
  <c r="BZ65" i="41"/>
  <c r="BR65" i="41"/>
  <c r="BJ65" i="41"/>
  <c r="CA64" i="41"/>
  <c r="BS64" i="41"/>
  <c r="BK64" i="41"/>
  <c r="CB63" i="41"/>
  <c r="BT63" i="41"/>
  <c r="BL63" i="41"/>
  <c r="CC62" i="41"/>
  <c r="BU62" i="41"/>
  <c r="BM62" i="41"/>
  <c r="CD61" i="41"/>
  <c r="BV61" i="41"/>
  <c r="BN61" i="41"/>
  <c r="CC59" i="41"/>
  <c r="BU59" i="41"/>
  <c r="BM59" i="41"/>
  <c r="CD58" i="41"/>
  <c r="BV58" i="41"/>
  <c r="BN58" i="41"/>
  <c r="BJ121" i="41"/>
  <c r="BL119" i="41"/>
  <c r="BN117" i="41"/>
  <c r="BP115" i="41"/>
  <c r="BR113" i="41"/>
  <c r="BT111" i="41"/>
  <c r="BV109" i="41"/>
  <c r="BX107" i="41"/>
  <c r="BZ105" i="41"/>
  <c r="CB103" i="41"/>
  <c r="CD101" i="41"/>
  <c r="BI98" i="41"/>
  <c r="AZ98" i="41"/>
  <c r="BY97" i="41"/>
  <c r="BQ97" i="41"/>
  <c r="BI97" i="41"/>
  <c r="BZ96" i="41"/>
  <c r="BR96" i="41"/>
  <c r="BJ96" i="41"/>
  <c r="CA95" i="41"/>
  <c r="BS95" i="41"/>
  <c r="BK95" i="41"/>
  <c r="CB94" i="41"/>
  <c r="BT94" i="41"/>
  <c r="BL94" i="41"/>
  <c r="CC93" i="41"/>
  <c r="BU93" i="41"/>
  <c r="BM93" i="41"/>
  <c r="CD92" i="41"/>
  <c r="BV92" i="41"/>
  <c r="BN92" i="41"/>
  <c r="CE91" i="41"/>
  <c r="BW91" i="41"/>
  <c r="BO91" i="41"/>
  <c r="CF90" i="41"/>
  <c r="BX90" i="41"/>
  <c r="BP90" i="41"/>
  <c r="BY89" i="41"/>
  <c r="BQ89" i="41"/>
  <c r="BI89" i="41"/>
  <c r="BZ88" i="41"/>
  <c r="BR88" i="41"/>
  <c r="BJ88" i="41"/>
  <c r="CA87" i="41"/>
  <c r="BS87" i="41"/>
  <c r="BK87" i="41"/>
  <c r="CB86" i="41"/>
  <c r="BT86" i="41"/>
  <c r="BL86" i="41"/>
  <c r="CC85" i="41"/>
  <c r="BU85" i="41"/>
  <c r="BM85" i="41"/>
  <c r="CD84" i="41"/>
  <c r="BV84" i="41"/>
  <c r="BN84" i="41"/>
  <c r="CE83" i="41"/>
  <c r="BW83" i="41"/>
  <c r="BO83" i="41"/>
  <c r="CF82" i="41"/>
  <c r="BX82" i="41"/>
  <c r="BP82" i="41"/>
  <c r="BY81" i="41"/>
  <c r="BQ81" i="41"/>
  <c r="BI81" i="41"/>
  <c r="BZ80" i="41"/>
  <c r="BR80" i="41"/>
  <c r="BJ80" i="41"/>
  <c r="CA79" i="41"/>
  <c r="BS79" i="41"/>
  <c r="BK79" i="41"/>
  <c r="CB78" i="41"/>
  <c r="BT78" i="41"/>
  <c r="BL78" i="41"/>
  <c r="CC77" i="41"/>
  <c r="BU77" i="41"/>
  <c r="BM77" i="41"/>
  <c r="CD76" i="41"/>
  <c r="BV76" i="41"/>
  <c r="BN76" i="41"/>
  <c r="CE75" i="41"/>
  <c r="BW75" i="41"/>
  <c r="BO75" i="41"/>
  <c r="CF74" i="41"/>
  <c r="BX74" i="41"/>
  <c r="BP74" i="41"/>
  <c r="BZ72" i="41"/>
  <c r="BR72" i="41"/>
  <c r="BJ72" i="41"/>
  <c r="BB72" i="41"/>
  <c r="CA71" i="41"/>
  <c r="BS71" i="41"/>
  <c r="BK71" i="41"/>
  <c r="CB70" i="41"/>
  <c r="BT70" i="41"/>
  <c r="BL70" i="41"/>
  <c r="CC69" i="41"/>
  <c r="BU69" i="41"/>
  <c r="BM69" i="41"/>
  <c r="CD68" i="41"/>
  <c r="BV68" i="41"/>
  <c r="BN68" i="41"/>
  <c r="CE67" i="41"/>
  <c r="BW67" i="41"/>
  <c r="BO67" i="41"/>
  <c r="CF66" i="41"/>
  <c r="BX66" i="41"/>
  <c r="BP66" i="41"/>
  <c r="BY65" i="41"/>
  <c r="BQ65" i="41"/>
  <c r="BI65" i="41"/>
  <c r="BZ64" i="41"/>
  <c r="BR64" i="41"/>
  <c r="BJ64" i="41"/>
  <c r="CA63" i="41"/>
  <c r="BS63" i="41"/>
  <c r="BK63" i="41"/>
  <c r="CB62" i="41"/>
  <c r="BT62" i="41"/>
  <c r="BL62" i="41"/>
  <c r="CC61" i="41"/>
  <c r="BU61" i="41"/>
  <c r="BM61" i="41"/>
  <c r="CB59" i="41"/>
  <c r="BT59" i="41"/>
  <c r="BL59" i="41"/>
  <c r="CC58" i="41"/>
  <c r="BU58" i="41"/>
  <c r="BM58" i="41"/>
  <c r="CE56" i="41"/>
  <c r="BW56" i="41"/>
  <c r="BO56" i="41"/>
  <c r="CF55" i="41"/>
  <c r="BX55" i="41"/>
  <c r="BP55" i="41"/>
  <c r="BY54" i="41"/>
  <c r="BQ54" i="41"/>
  <c r="BI54" i="41"/>
  <c r="BZ53" i="41"/>
  <c r="BR53" i="41"/>
  <c r="BJ53" i="41"/>
  <c r="CA52" i="41"/>
  <c r="BS52" i="41"/>
  <c r="BK52" i="41"/>
  <c r="CB51" i="41"/>
  <c r="BT51" i="41"/>
  <c r="BL51" i="41"/>
  <c r="CC50" i="41"/>
  <c r="BU50" i="41"/>
  <c r="BM50" i="41"/>
  <c r="CD49" i="41"/>
  <c r="BV49" i="41"/>
  <c r="BN49" i="41"/>
  <c r="CF47" i="41"/>
  <c r="BX47" i="41"/>
  <c r="BP47" i="41"/>
  <c r="BY46" i="41"/>
  <c r="BQ46" i="41"/>
  <c r="BI46" i="41"/>
  <c r="BZ45" i="41"/>
  <c r="BR45" i="41"/>
  <c r="BJ45" i="41"/>
  <c r="CA44" i="41"/>
  <c r="BS44" i="41"/>
  <c r="BK44" i="41"/>
  <c r="CB43" i="41"/>
  <c r="BT43" i="41"/>
  <c r="BL43" i="41"/>
  <c r="CC42" i="41"/>
  <c r="BU42" i="41"/>
  <c r="BM42" i="41"/>
  <c r="CD41" i="41"/>
  <c r="BV41" i="41"/>
  <c r="BN41" i="41"/>
  <c r="CE40" i="41"/>
  <c r="BW40" i="41"/>
  <c r="BO40" i="41"/>
  <c r="CF39" i="41"/>
  <c r="BX39" i="41"/>
  <c r="BP39" i="41"/>
  <c r="BY38" i="41"/>
  <c r="BQ38" i="41"/>
  <c r="BI38" i="41"/>
  <c r="BZ37" i="41"/>
  <c r="BR37" i="41"/>
  <c r="BJ37" i="41"/>
  <c r="CB35" i="41"/>
  <c r="BT35" i="41"/>
  <c r="BL35" i="41"/>
  <c r="CC34" i="41"/>
  <c r="BU34" i="41"/>
  <c r="BM34" i="41"/>
  <c r="CD33" i="41"/>
  <c r="BV33" i="41"/>
  <c r="BN33" i="41"/>
  <c r="CE32" i="41"/>
  <c r="BW32" i="41"/>
  <c r="BO32" i="41"/>
  <c r="CF31" i="41"/>
  <c r="BX31" i="41"/>
  <c r="BP31" i="41"/>
  <c r="BY30" i="41"/>
  <c r="BQ30" i="41"/>
  <c r="BI30" i="41"/>
  <c r="BZ29" i="41"/>
  <c r="BR29" i="41"/>
  <c r="BJ29" i="41"/>
  <c r="CA28" i="41"/>
  <c r="BS28" i="41"/>
  <c r="BK28" i="41"/>
  <c r="CB27" i="41"/>
  <c r="BT27" i="41"/>
  <c r="BL27" i="41"/>
  <c r="CC26" i="41"/>
  <c r="BU26" i="41"/>
  <c r="BM26" i="41"/>
  <c r="CD25" i="41"/>
  <c r="BV25" i="41"/>
  <c r="BN25" i="41"/>
  <c r="BJ113" i="41"/>
  <c r="BL111" i="41"/>
  <c r="BN109" i="41"/>
  <c r="BP107" i="41"/>
  <c r="BR105" i="41"/>
  <c r="BT103" i="41"/>
  <c r="BV101" i="41"/>
  <c r="BH98" i="41"/>
  <c r="CF97" i="41"/>
  <c r="BX97" i="41"/>
  <c r="BP97" i="41"/>
  <c r="BY96" i="41"/>
  <c r="BQ96" i="41"/>
  <c r="BI96" i="41"/>
  <c r="BZ95" i="41"/>
  <c r="BR95" i="41"/>
  <c r="BJ95" i="41"/>
  <c r="CA94" i="41"/>
  <c r="BS94" i="41"/>
  <c r="BK94" i="41"/>
  <c r="CB93" i="41"/>
  <c r="BT93" i="41"/>
  <c r="BL93" i="41"/>
  <c r="CC92" i="41"/>
  <c r="BU92" i="41"/>
  <c r="BM92" i="41"/>
  <c r="CD91" i="41"/>
  <c r="BV91" i="41"/>
  <c r="BN91" i="41"/>
  <c r="CE90" i="41"/>
  <c r="BW90" i="41"/>
  <c r="BO90" i="41"/>
  <c r="CF89" i="41"/>
  <c r="BX89" i="41"/>
  <c r="BP89" i="41"/>
  <c r="BY88" i="41"/>
  <c r="BQ88" i="41"/>
  <c r="BI88" i="41"/>
  <c r="BZ87" i="41"/>
  <c r="BR87" i="41"/>
  <c r="BJ87" i="41"/>
  <c r="CA86" i="41"/>
  <c r="BS86" i="41"/>
  <c r="BK86" i="41"/>
  <c r="CB85" i="41"/>
  <c r="BT85" i="41"/>
  <c r="BL85" i="41"/>
  <c r="CC84" i="41"/>
  <c r="BU84" i="41"/>
  <c r="BM84" i="41"/>
  <c r="CD83" i="41"/>
  <c r="BV83" i="41"/>
  <c r="BN83" i="41"/>
  <c r="CE82" i="41"/>
  <c r="BW82" i="41"/>
  <c r="BO82" i="41"/>
  <c r="CF81" i="41"/>
  <c r="BX81" i="41"/>
  <c r="BP81" i="41"/>
  <c r="BY80" i="41"/>
  <c r="BQ80" i="41"/>
  <c r="BI80" i="41"/>
  <c r="BZ79" i="41"/>
  <c r="BR79" i="41"/>
  <c r="BJ79" i="41"/>
  <c r="CA78" i="41"/>
  <c r="BS78" i="41"/>
  <c r="BK78" i="41"/>
  <c r="CB77" i="41"/>
  <c r="BT77" i="41"/>
  <c r="BL77" i="41"/>
  <c r="CC76" i="41"/>
  <c r="BU76" i="41"/>
  <c r="BM76" i="41"/>
  <c r="CD75" i="41"/>
  <c r="BV75" i="41"/>
  <c r="BN75" i="41"/>
  <c r="CE74" i="41"/>
  <c r="BW74" i="41"/>
  <c r="BO74" i="41"/>
  <c r="BY72" i="41"/>
  <c r="BQ72" i="41"/>
  <c r="BI72" i="41"/>
  <c r="BA72" i="41"/>
  <c r="BZ71" i="41"/>
  <c r="BR71" i="41"/>
  <c r="BJ71" i="41"/>
  <c r="CA70" i="41"/>
  <c r="BS70" i="41"/>
  <c r="BK70" i="41"/>
  <c r="CB69" i="41"/>
  <c r="BT69" i="41"/>
  <c r="BL69" i="41"/>
  <c r="CC68" i="41"/>
  <c r="BU68" i="41"/>
  <c r="BM68" i="41"/>
  <c r="CD67" i="41"/>
  <c r="BV67" i="41"/>
  <c r="BN67" i="41"/>
  <c r="CE66" i="41"/>
  <c r="BW66" i="41"/>
  <c r="BO66" i="41"/>
  <c r="CF65" i="41"/>
  <c r="BX65" i="41"/>
  <c r="BP65" i="41"/>
  <c r="BY64" i="41"/>
  <c r="BQ64" i="41"/>
  <c r="BI64" i="41"/>
  <c r="BZ63" i="41"/>
  <c r="BR63" i="41"/>
  <c r="BJ63" i="41"/>
  <c r="CA62" i="41"/>
  <c r="BS62" i="41"/>
  <c r="BK62" i="41"/>
  <c r="CB61" i="41"/>
  <c r="BT61" i="41"/>
  <c r="BL61" i="41"/>
  <c r="CA59" i="41"/>
  <c r="BS59" i="41"/>
  <c r="BK59" i="41"/>
  <c r="CB58" i="41"/>
  <c r="BT58" i="41"/>
  <c r="BL58" i="41"/>
  <c r="BY122" i="41"/>
  <c r="CA120" i="41"/>
  <c r="CC118" i="41"/>
  <c r="CE116" i="41"/>
  <c r="BJ105" i="41"/>
  <c r="BL103" i="41"/>
  <c r="BN101" i="41"/>
  <c r="BG98" i="41"/>
  <c r="CE97" i="41"/>
  <c r="BW97" i="41"/>
  <c r="BO97" i="41"/>
  <c r="CF96" i="41"/>
  <c r="BX96" i="41"/>
  <c r="BP96" i="41"/>
  <c r="BY95" i="41"/>
  <c r="BQ95" i="41"/>
  <c r="BI95" i="41"/>
  <c r="BZ94" i="41"/>
  <c r="BR94" i="41"/>
  <c r="BJ94" i="41"/>
  <c r="CA93" i="41"/>
  <c r="BS93" i="41"/>
  <c r="BK93" i="41"/>
  <c r="CB92" i="41"/>
  <c r="BT92" i="41"/>
  <c r="BL92" i="41"/>
  <c r="CC91" i="41"/>
  <c r="BU91" i="41"/>
  <c r="BM91" i="41"/>
  <c r="CD90" i="41"/>
  <c r="BV90" i="41"/>
  <c r="BN90" i="41"/>
  <c r="CE89" i="41"/>
  <c r="BW89" i="41"/>
  <c r="BO89" i="41"/>
  <c r="CF88" i="41"/>
  <c r="BX88" i="41"/>
  <c r="BP88" i="41"/>
  <c r="BY87" i="41"/>
  <c r="BQ87" i="41"/>
  <c r="BI87" i="41"/>
  <c r="BZ86" i="41"/>
  <c r="BR86" i="41"/>
  <c r="BJ86" i="41"/>
  <c r="CA85" i="41"/>
  <c r="BS85" i="41"/>
  <c r="BK85" i="41"/>
  <c r="CB84" i="41"/>
  <c r="BT84" i="41"/>
  <c r="BL84" i="41"/>
  <c r="CC83" i="41"/>
  <c r="BU83" i="41"/>
  <c r="BM83" i="41"/>
  <c r="CD82" i="41"/>
  <c r="BV82" i="41"/>
  <c r="BN82" i="41"/>
  <c r="CE81" i="41"/>
  <c r="BW81" i="41"/>
  <c r="BO81" i="41"/>
  <c r="CF80" i="41"/>
  <c r="BX80" i="41"/>
  <c r="BP80" i="41"/>
  <c r="BY79" i="41"/>
  <c r="BQ79" i="41"/>
  <c r="BI79" i="41"/>
  <c r="BZ78" i="41"/>
  <c r="BR78" i="41"/>
  <c r="BJ78" i="41"/>
  <c r="CA77" i="41"/>
  <c r="BS77" i="41"/>
  <c r="BK77" i="41"/>
  <c r="CB76" i="41"/>
  <c r="BT76" i="41"/>
  <c r="BL76" i="41"/>
  <c r="CC75" i="41"/>
  <c r="BU75" i="41"/>
  <c r="BM75" i="41"/>
  <c r="CD74" i="41"/>
  <c r="BV74" i="41"/>
  <c r="BN74" i="41"/>
  <c r="CF72" i="41"/>
  <c r="BX72" i="41"/>
  <c r="BP72" i="41"/>
  <c r="BH72" i="41"/>
  <c r="AZ72" i="41"/>
  <c r="BY71" i="41"/>
  <c r="BQ71" i="41"/>
  <c r="BI71" i="41"/>
  <c r="BZ70" i="41"/>
  <c r="BR70" i="41"/>
  <c r="BJ70" i="41"/>
  <c r="CA69" i="41"/>
  <c r="BS69" i="41"/>
  <c r="BK69" i="41"/>
  <c r="CB68" i="41"/>
  <c r="BT68" i="41"/>
  <c r="BL68" i="41"/>
  <c r="CC67" i="41"/>
  <c r="BU67" i="41"/>
  <c r="BM67" i="41"/>
  <c r="CD66" i="41"/>
  <c r="BV66" i="41"/>
  <c r="BN66" i="41"/>
  <c r="CE65" i="41"/>
  <c r="BW65" i="41"/>
  <c r="BO65" i="41"/>
  <c r="CF64" i="41"/>
  <c r="BX64" i="41"/>
  <c r="BP64" i="41"/>
  <c r="BY63" i="41"/>
  <c r="BQ63" i="41"/>
  <c r="BI63" i="41"/>
  <c r="BZ62" i="41"/>
  <c r="BR62" i="41"/>
  <c r="BJ62" i="41"/>
  <c r="CA61" i="41"/>
  <c r="BS61" i="41"/>
  <c r="BK61" i="41"/>
  <c r="BZ59" i="41"/>
  <c r="BR59" i="41"/>
  <c r="BJ59" i="41"/>
  <c r="CA58" i="41"/>
  <c r="BS58" i="41"/>
  <c r="BK58" i="41"/>
  <c r="BQ122" i="41"/>
  <c r="BS120" i="41"/>
  <c r="BU118" i="41"/>
  <c r="BW116" i="41"/>
  <c r="BY114" i="41"/>
  <c r="CA112" i="41"/>
  <c r="CC110" i="41"/>
  <c r="CE108" i="41"/>
  <c r="BE98" i="41"/>
  <c r="CD97" i="41"/>
  <c r="BV97" i="41"/>
  <c r="BN97" i="41"/>
  <c r="CE96" i="41"/>
  <c r="BW96" i="41"/>
  <c r="BO96" i="41"/>
  <c r="CF95" i="41"/>
  <c r="BX95" i="41"/>
  <c r="BP95" i="41"/>
  <c r="BY94" i="41"/>
  <c r="BQ94" i="41"/>
  <c r="BI94" i="41"/>
  <c r="BZ93" i="41"/>
  <c r="BR93" i="41"/>
  <c r="BJ93" i="41"/>
  <c r="CA92" i="41"/>
  <c r="BS92" i="41"/>
  <c r="BK92" i="41"/>
  <c r="CB91" i="41"/>
  <c r="BT91" i="41"/>
  <c r="BL91" i="41"/>
  <c r="CC90" i="41"/>
  <c r="BU90" i="41"/>
  <c r="BM90" i="41"/>
  <c r="CD89" i="41"/>
  <c r="BV89" i="41"/>
  <c r="BN89" i="41"/>
  <c r="CE88" i="41"/>
  <c r="BW88" i="41"/>
  <c r="BO88" i="41"/>
  <c r="CF87" i="41"/>
  <c r="BX87" i="41"/>
  <c r="BP87" i="41"/>
  <c r="BY86" i="41"/>
  <c r="BQ86" i="41"/>
  <c r="BI86" i="41"/>
  <c r="BZ85" i="41"/>
  <c r="BR85" i="41"/>
  <c r="BJ85" i="41"/>
  <c r="CA84" i="41"/>
  <c r="BS84" i="41"/>
  <c r="BK84" i="41"/>
  <c r="CB83" i="41"/>
  <c r="BT83" i="41"/>
  <c r="BL83" i="41"/>
  <c r="CC82" i="41"/>
  <c r="BU82" i="41"/>
  <c r="BM82" i="41"/>
  <c r="CD81" i="41"/>
  <c r="BV81" i="41"/>
  <c r="BN81" i="41"/>
  <c r="CE80" i="41"/>
  <c r="BW80" i="41"/>
  <c r="BO80" i="41"/>
  <c r="CF79" i="41"/>
  <c r="BX79" i="41"/>
  <c r="BP79" i="41"/>
  <c r="BY78" i="41"/>
  <c r="BQ78" i="41"/>
  <c r="BI78" i="41"/>
  <c r="BZ77" i="41"/>
  <c r="BR77" i="41"/>
  <c r="BJ77" i="41"/>
  <c r="CA76" i="41"/>
  <c r="BS76" i="41"/>
  <c r="BK76" i="41"/>
  <c r="CB75" i="41"/>
  <c r="BT75" i="41"/>
  <c r="BL75" i="41"/>
  <c r="CC74" i="41"/>
  <c r="BU74" i="41"/>
  <c r="BM74" i="41"/>
  <c r="CE72" i="41"/>
  <c r="BW72" i="41"/>
  <c r="BO72" i="41"/>
  <c r="BG72" i="41"/>
  <c r="CF71" i="41"/>
  <c r="BX71" i="41"/>
  <c r="BP71" i="41"/>
  <c r="BY70" i="41"/>
  <c r="BQ70" i="41"/>
  <c r="BI70" i="41"/>
  <c r="BZ69" i="41"/>
  <c r="BR69" i="41"/>
  <c r="BJ69" i="41"/>
  <c r="CA68" i="41"/>
  <c r="BS68" i="41"/>
  <c r="BK68" i="41"/>
  <c r="CB67" i="41"/>
  <c r="BT67" i="41"/>
  <c r="BL67" i="41"/>
  <c r="CC66" i="41"/>
  <c r="BU66" i="41"/>
  <c r="BM66" i="41"/>
  <c r="CD65" i="41"/>
  <c r="BV65" i="41"/>
  <c r="BN65" i="41"/>
  <c r="CE64" i="41"/>
  <c r="BW64" i="41"/>
  <c r="BO64" i="41"/>
  <c r="CF63" i="41"/>
  <c r="BX63" i="41"/>
  <c r="BP63" i="41"/>
  <c r="BY62" i="41"/>
  <c r="BQ62" i="41"/>
  <c r="BI62" i="41"/>
  <c r="BZ61" i="41"/>
  <c r="BR61" i="41"/>
  <c r="BJ61" i="41"/>
  <c r="BY59" i="41"/>
  <c r="BQ59" i="41"/>
  <c r="BI59" i="41"/>
  <c r="BZ58" i="41"/>
  <c r="BR58" i="41"/>
  <c r="BJ58" i="41"/>
  <c r="CB56" i="41"/>
  <c r="BT56" i="41"/>
  <c r="BL56" i="41"/>
  <c r="CC55" i="41"/>
  <c r="BU55" i="41"/>
  <c r="BM55" i="41"/>
  <c r="CD54" i="41"/>
  <c r="BV54" i="41"/>
  <c r="BN54" i="41"/>
  <c r="CE53" i="41"/>
  <c r="BW53" i="41"/>
  <c r="BO53" i="41"/>
  <c r="CF52" i="41"/>
  <c r="BX52" i="41"/>
  <c r="BP52" i="41"/>
  <c r="BY51" i="41"/>
  <c r="BQ51" i="41"/>
  <c r="BI51" i="41"/>
  <c r="BZ50" i="41"/>
  <c r="BR50" i="41"/>
  <c r="BJ50" i="41"/>
  <c r="CA49" i="41"/>
  <c r="BS49" i="41"/>
  <c r="BK49" i="41"/>
  <c r="CC47" i="41"/>
  <c r="BU47" i="41"/>
  <c r="BM47" i="41"/>
  <c r="CD46" i="41"/>
  <c r="BV46" i="41"/>
  <c r="BN46" i="41"/>
  <c r="CE45" i="41"/>
  <c r="BW45" i="41"/>
  <c r="BO45" i="41"/>
  <c r="CF44" i="41"/>
  <c r="BX44" i="41"/>
  <c r="BP44" i="41"/>
  <c r="BY43" i="41"/>
  <c r="BQ43" i="41"/>
  <c r="BI43" i="41"/>
  <c r="BZ42" i="41"/>
  <c r="BR42" i="41"/>
  <c r="BJ42" i="41"/>
  <c r="CA41" i="41"/>
  <c r="BS41" i="41"/>
  <c r="BK41" i="41"/>
  <c r="CB40" i="41"/>
  <c r="BT40" i="41"/>
  <c r="BL40" i="41"/>
  <c r="CC39" i="41"/>
  <c r="BU39" i="41"/>
  <c r="BM39" i="41"/>
  <c r="CD38" i="41"/>
  <c r="BV38" i="41"/>
  <c r="BN38" i="41"/>
  <c r="CE37" i="41"/>
  <c r="BW37" i="41"/>
  <c r="BO37" i="41"/>
  <c r="BY35" i="41"/>
  <c r="BQ35" i="41"/>
  <c r="BI35" i="41"/>
  <c r="BZ34" i="41"/>
  <c r="BR34" i="41"/>
  <c r="BJ34" i="41"/>
  <c r="CA33" i="41"/>
  <c r="BS33" i="41"/>
  <c r="BK33" i="41"/>
  <c r="CB32" i="41"/>
  <c r="BT32" i="41"/>
  <c r="BL32" i="41"/>
  <c r="CC31" i="41"/>
  <c r="BU31" i="41"/>
  <c r="BM31" i="41"/>
  <c r="CD30" i="41"/>
  <c r="BV30" i="41"/>
  <c r="BN30" i="41"/>
  <c r="CE29" i="41"/>
  <c r="BW29" i="41"/>
  <c r="BO29" i="41"/>
  <c r="CF28" i="41"/>
  <c r="BX28" i="41"/>
  <c r="BP28" i="41"/>
  <c r="BY27" i="41"/>
  <c r="BQ27" i="41"/>
  <c r="BI27" i="41"/>
  <c r="BZ26" i="41"/>
  <c r="BR26" i="41"/>
  <c r="BJ26" i="41"/>
  <c r="CA25" i="41"/>
  <c r="BS25" i="41"/>
  <c r="BK25" i="41"/>
  <c r="CB24" i="41"/>
  <c r="BT24" i="41"/>
  <c r="BJ12" i="41"/>
  <c r="BR12" i="41"/>
  <c r="BZ12" i="41"/>
  <c r="BI13" i="41"/>
  <c r="BQ13" i="41"/>
  <c r="BY13" i="41"/>
  <c r="BP14" i="41"/>
  <c r="BX14" i="41"/>
  <c r="CF14" i="41"/>
  <c r="BO15" i="41"/>
  <c r="BW15" i="41"/>
  <c r="CE15" i="41"/>
  <c r="BN16" i="41"/>
  <c r="BV16" i="41"/>
  <c r="CD16" i="41"/>
  <c r="BM17" i="41"/>
  <c r="BU17" i="41"/>
  <c r="CC17" i="41"/>
  <c r="BL18" i="41"/>
  <c r="BT18" i="41"/>
  <c r="CB18" i="41"/>
  <c r="BK19" i="41"/>
  <c r="BS19" i="41"/>
  <c r="CA19" i="41"/>
  <c r="BJ20" i="41"/>
  <c r="BR20" i="41"/>
  <c r="BZ20" i="41"/>
  <c r="BI21" i="41"/>
  <c r="BQ21" i="41"/>
  <c r="BY21" i="41"/>
  <c r="BP22" i="41"/>
  <c r="BX22" i="41"/>
  <c r="CF22" i="41"/>
  <c r="BO23" i="41"/>
  <c r="BW23" i="41"/>
  <c r="CE23" i="41"/>
  <c r="BN24" i="41"/>
  <c r="BX24" i="41"/>
  <c r="BM25" i="41"/>
  <c r="BZ25" i="41"/>
  <c r="BS26" i="41"/>
  <c r="CF26" i="41"/>
  <c r="BK27" i="41"/>
  <c r="BX27" i="41"/>
  <c r="BQ28" i="41"/>
  <c r="CD28" i="41"/>
  <c r="BI29" i="41"/>
  <c r="BV29" i="41"/>
  <c r="BO30" i="41"/>
  <c r="CB30" i="41"/>
  <c r="BT31" i="41"/>
  <c r="BM32" i="41"/>
  <c r="BZ32" i="41"/>
  <c r="BR33" i="41"/>
  <c r="CE33" i="41"/>
  <c r="BK34" i="41"/>
  <c r="BX34" i="41"/>
  <c r="BP35" i="41"/>
  <c r="CC35" i="41"/>
  <c r="BN37" i="41"/>
  <c r="CA37" i="41"/>
  <c r="BT38" i="41"/>
  <c r="CF38" i="41"/>
  <c r="BL39" i="41"/>
  <c r="BY39" i="41"/>
  <c r="BR40" i="41"/>
  <c r="CD40" i="41"/>
  <c r="BJ41" i="41"/>
  <c r="BW41" i="41"/>
  <c r="BP42" i="41"/>
  <c r="CB42" i="41"/>
  <c r="BU43" i="41"/>
  <c r="BN44" i="41"/>
  <c r="BZ44" i="41"/>
  <c r="BS45" i="41"/>
  <c r="CF45" i="41"/>
  <c r="BL46" i="41"/>
  <c r="BX46" i="41"/>
  <c r="BQ47" i="41"/>
  <c r="CD47" i="41"/>
  <c r="BO49" i="41"/>
  <c r="CB49" i="41"/>
  <c r="BT50" i="41"/>
  <c r="BM51" i="41"/>
  <c r="BZ51" i="41"/>
  <c r="BR52" i="41"/>
  <c r="CE52" i="41"/>
  <c r="BK53" i="41"/>
  <c r="BX53" i="41"/>
  <c r="BP54" i="41"/>
  <c r="CC54" i="41"/>
  <c r="BI55" i="41"/>
  <c r="BV55" i="41"/>
  <c r="BU56" i="41"/>
  <c r="BX59" i="41"/>
  <c r="BY61" i="41"/>
  <c r="BW63" i="41"/>
  <c r="BU65" i="41"/>
  <c r="BS67" i="41"/>
  <c r="BQ69" i="41"/>
  <c r="BO71" i="41"/>
  <c r="BK75" i="41"/>
  <c r="BI77" i="41"/>
  <c r="CF86" i="41"/>
  <c r="CD88" i="41"/>
  <c r="CB90" i="41"/>
  <c r="BZ92" i="41"/>
  <c r="BX94" i="41"/>
  <c r="BV96" i="41"/>
  <c r="CE100" i="41"/>
  <c r="BO116" i="41"/>
  <c r="BK14" i="41"/>
  <c r="BS14" i="41"/>
  <c r="CA14" i="41"/>
  <c r="BJ15" i="41"/>
  <c r="BR15" i="41"/>
  <c r="BZ15" i="41"/>
  <c r="BI16" i="41"/>
  <c r="BQ16" i="41"/>
  <c r="BY16" i="41"/>
  <c r="BP17" i="41"/>
  <c r="BX17" i="41"/>
  <c r="CF17" i="41"/>
  <c r="BO18" i="41"/>
  <c r="BW18" i="41"/>
  <c r="CE18" i="41"/>
  <c r="BN19" i="41"/>
  <c r="BV19" i="41"/>
  <c r="CD19" i="41"/>
  <c r="BM20" i="41"/>
  <c r="BU20" i="41"/>
  <c r="CC20" i="41"/>
  <c r="BL21" i="41"/>
  <c r="BT21" i="41"/>
  <c r="CB21" i="41"/>
  <c r="BK22" i="41"/>
  <c r="BS22" i="41"/>
  <c r="CA22" i="41"/>
  <c r="BJ23" i="41"/>
  <c r="BR23" i="41"/>
  <c r="BZ23" i="41"/>
  <c r="BI24" i="41"/>
  <c r="BR24" i="41"/>
  <c r="CC24" i="41"/>
  <c r="BR25" i="41"/>
  <c r="CE25" i="41"/>
  <c r="BK26" i="41"/>
  <c r="BX26" i="41"/>
  <c r="BP27" i="41"/>
  <c r="CC27" i="41"/>
  <c r="BI28" i="41"/>
  <c r="BV28" i="41"/>
  <c r="BN29" i="41"/>
  <c r="CA29" i="41"/>
  <c r="BT30" i="41"/>
  <c r="CF30" i="41"/>
  <c r="BL31" i="41"/>
  <c r="BY31" i="41"/>
  <c r="BR32" i="41"/>
  <c r="CD32" i="41"/>
  <c r="BJ33" i="41"/>
  <c r="BW33" i="41"/>
  <c r="BP34" i="41"/>
  <c r="CB34" i="41"/>
  <c r="BU35" i="41"/>
  <c r="BS37" i="41"/>
  <c r="CF37" i="41"/>
  <c r="BL38" i="41"/>
  <c r="BX38" i="41"/>
  <c r="BQ39" i="41"/>
  <c r="CD39" i="41"/>
  <c r="BJ40" i="41"/>
  <c r="BV40" i="41"/>
  <c r="BO41" i="41"/>
  <c r="CB41" i="41"/>
  <c r="BT42" i="41"/>
  <c r="BM43" i="41"/>
  <c r="BZ43" i="41"/>
  <c r="BR44" i="41"/>
  <c r="CE44" i="41"/>
  <c r="BK45" i="41"/>
  <c r="BX45" i="41"/>
  <c r="BP46" i="41"/>
  <c r="CC46" i="41"/>
  <c r="BI47" i="41"/>
  <c r="BV47" i="41"/>
  <c r="BT49" i="41"/>
  <c r="BL50" i="41"/>
  <c r="BY50" i="41"/>
  <c r="BR51" i="41"/>
  <c r="CE51" i="41"/>
  <c r="BJ52" i="41"/>
  <c r="BW52" i="41"/>
  <c r="BP53" i="41"/>
  <c r="CC53" i="41"/>
  <c r="BU54" i="41"/>
  <c r="BN55" i="41"/>
  <c r="CB55" i="41"/>
  <c r="BK56" i="41"/>
  <c r="CA56" i="41"/>
  <c r="BQ58" i="41"/>
  <c r="BP62" i="41"/>
  <c r="BN64" i="41"/>
  <c r="BL66" i="41"/>
  <c r="BJ68" i="41"/>
  <c r="BF72" i="41"/>
  <c r="CE79" i="41"/>
  <c r="CC81" i="41"/>
  <c r="CA83" i="41"/>
  <c r="BY85" i="41"/>
  <c r="BW87" i="41"/>
  <c r="BU89" i="41"/>
  <c r="BS91" i="41"/>
  <c r="BQ93" i="41"/>
  <c r="BO95" i="41"/>
  <c r="BM97" i="41"/>
  <c r="BY106" i="41"/>
  <c r="BI122" i="41"/>
  <c r="BU30" i="41"/>
  <c r="BN31" i="41"/>
  <c r="CA31" i="41"/>
  <c r="BS32" i="41"/>
  <c r="CF32" i="41"/>
  <c r="BL33" i="41"/>
  <c r="BY33" i="41"/>
  <c r="CD34" i="41"/>
  <c r="BJ35" i="41"/>
  <c r="BW35" i="41"/>
  <c r="BU37" i="41"/>
  <c r="BM38" i="41"/>
  <c r="BZ38" i="41"/>
  <c r="BS39" i="41"/>
  <c r="CE39" i="41"/>
  <c r="BK40" i="41"/>
  <c r="BX40" i="41"/>
  <c r="BQ41" i="41"/>
  <c r="CC41" i="41"/>
  <c r="BI42" i="41"/>
  <c r="BV42" i="41"/>
  <c r="BO43" i="41"/>
  <c r="CA43" i="41"/>
  <c r="BT44" i="41"/>
  <c r="BM45" i="41"/>
  <c r="BY45" i="41"/>
  <c r="BR46" i="41"/>
  <c r="CE46" i="41"/>
  <c r="BK47" i="41"/>
  <c r="BW47" i="41"/>
  <c r="BI49" i="41"/>
  <c r="BU49" i="41"/>
  <c r="BN50" i="41"/>
  <c r="CA50" i="41"/>
  <c r="BS51" i="41"/>
  <c r="CF51" i="41"/>
  <c r="BL52" i="41"/>
  <c r="BY52" i="41"/>
  <c r="BQ53" i="41"/>
  <c r="CD53" i="41"/>
  <c r="BJ54" i="41"/>
  <c r="BW54" i="41"/>
  <c r="BO55" i="41"/>
  <c r="CD55" i="41"/>
  <c r="BM56" i="41"/>
  <c r="CC56" i="41"/>
  <c r="BY58" i="41"/>
  <c r="BX62" i="41"/>
  <c r="BV64" i="41"/>
  <c r="BT66" i="41"/>
  <c r="BR68" i="41"/>
  <c r="BP70" i="41"/>
  <c r="BN72" i="41"/>
  <c r="BL74" i="41"/>
  <c r="BJ76" i="41"/>
  <c r="CE87" i="41"/>
  <c r="CC89" i="41"/>
  <c r="CA91" i="41"/>
  <c r="BY93" i="41"/>
  <c r="BW95" i="41"/>
  <c r="BU97" i="41"/>
  <c r="BW108" i="41"/>
  <c r="BS24" i="41"/>
  <c r="CD24" i="41"/>
  <c r="BL26" i="41"/>
  <c r="BY26" i="41"/>
  <c r="BR27" i="41"/>
  <c r="CE27" i="41"/>
  <c r="BJ28" i="41"/>
  <c r="BW28" i="41"/>
  <c r="BP29" i="41"/>
  <c r="CC29" i="41"/>
  <c r="BQ34" i="41"/>
  <c r="BO12" i="41"/>
  <c r="BW12" i="41"/>
  <c r="CE12" i="41"/>
  <c r="BN13" i="41"/>
  <c r="BV13" i="41"/>
  <c r="CD13" i="41"/>
  <c r="BM14" i="41"/>
  <c r="BU14" i="41"/>
  <c r="CC14" i="41"/>
  <c r="BL15" i="41"/>
  <c r="BT15" i="41"/>
  <c r="CB15" i="41"/>
  <c r="BK16" i="41"/>
  <c r="BS16" i="41"/>
  <c r="CA16" i="41"/>
  <c r="BJ17" i="41"/>
  <c r="BR17" i="41"/>
  <c r="BZ17" i="41"/>
  <c r="BI18" i="41"/>
  <c r="BQ18" i="41"/>
  <c r="BY18" i="41"/>
  <c r="BP19" i="41"/>
  <c r="BX19" i="41"/>
  <c r="CF19" i="41"/>
  <c r="BO20" i="41"/>
  <c r="BW20" i="41"/>
  <c r="CE20" i="41"/>
  <c r="BN21" i="41"/>
  <c r="BV21" i="41"/>
  <c r="CD21" i="41"/>
  <c r="BM22" i="41"/>
  <c r="BU22" i="41"/>
  <c r="CC22" i="41"/>
  <c r="BL23" i="41"/>
  <c r="BT23" i="41"/>
  <c r="CB23" i="41"/>
  <c r="BK24" i="41"/>
  <c r="BU24" i="41"/>
  <c r="CE24" i="41"/>
  <c r="BI25" i="41"/>
  <c r="BU25" i="41"/>
  <c r="BN26" i="41"/>
  <c r="CA26" i="41"/>
  <c r="BS27" i="41"/>
  <c r="CF27" i="41"/>
  <c r="BL28" i="41"/>
  <c r="BY28" i="41"/>
  <c r="BQ29" i="41"/>
  <c r="CD29" i="41"/>
  <c r="BJ30" i="41"/>
  <c r="BW30" i="41"/>
  <c r="BO31" i="41"/>
  <c r="CB31" i="41"/>
  <c r="BU32" i="41"/>
  <c r="BM33" i="41"/>
  <c r="BZ33" i="41"/>
  <c r="BS34" i="41"/>
  <c r="CF34" i="41"/>
  <c r="BK35" i="41"/>
  <c r="BX35" i="41"/>
  <c r="BI37" i="41"/>
  <c r="BV37" i="41"/>
  <c r="BO38" i="41"/>
  <c r="CB38" i="41"/>
  <c r="BT39" i="41"/>
  <c r="BM40" i="41"/>
  <c r="BZ40" i="41"/>
  <c r="BR41" i="41"/>
  <c r="CE41" i="41"/>
  <c r="BK42" i="41"/>
  <c r="BX42" i="41"/>
  <c r="BP43" i="41"/>
  <c r="CC43" i="41"/>
  <c r="BI44" i="41"/>
  <c r="BV44" i="41"/>
  <c r="BN45" i="41"/>
  <c r="CA45" i="41"/>
  <c r="BT46" i="41"/>
  <c r="CF46" i="41"/>
  <c r="BL47" i="41"/>
  <c r="BY47" i="41"/>
  <c r="BJ49" i="41"/>
  <c r="BW49" i="41"/>
  <c r="BP50" i="41"/>
  <c r="CB50" i="41"/>
  <c r="BU51" i="41"/>
  <c r="BN52" i="41"/>
  <c r="BZ52" i="41"/>
  <c r="BS53" i="41"/>
  <c r="CF53" i="41"/>
  <c r="BL54" i="41"/>
  <c r="BX54" i="41"/>
  <c r="BQ55" i="41"/>
  <c r="CE55" i="41"/>
  <c r="BN56" i="41"/>
  <c r="CD56" i="41"/>
  <c r="CF62" i="41"/>
  <c r="CD64" i="41"/>
  <c r="CB66" i="41"/>
  <c r="BZ68" i="41"/>
  <c r="BX70" i="41"/>
  <c r="BV72" i="41"/>
  <c r="BT74" i="41"/>
  <c r="BR76" i="41"/>
  <c r="BP78" i="41"/>
  <c r="BN80" i="41"/>
  <c r="BL82" i="41"/>
  <c r="BJ84" i="41"/>
  <c r="CE95" i="41"/>
  <c r="CC97" i="41"/>
  <c r="BU110" i="41"/>
  <c r="BZ35" i="41"/>
  <c r="BK37" i="41"/>
  <c r="BX37" i="41"/>
  <c r="BP38" i="41"/>
  <c r="CC38" i="41"/>
  <c r="BI39" i="41"/>
  <c r="BV39" i="41"/>
  <c r="BN40" i="41"/>
  <c r="CA40" i="41"/>
  <c r="BT41" i="41"/>
  <c r="BL42" i="41"/>
  <c r="BY42" i="41"/>
  <c r="BR43" i="41"/>
  <c r="CE43" i="41"/>
  <c r="BJ44" i="41"/>
  <c r="BW44" i="41"/>
  <c r="BP45" i="41"/>
  <c r="CC45" i="41"/>
  <c r="BU46" i="41"/>
  <c r="BN47" i="41"/>
  <c r="CA47" i="41"/>
  <c r="BL49" i="41"/>
  <c r="BY49" i="41"/>
  <c r="BQ50" i="41"/>
  <c r="CD50" i="41"/>
  <c r="BJ51" i="41"/>
  <c r="BW51" i="41"/>
  <c r="BO52" i="41"/>
  <c r="CB52" i="41"/>
  <c r="BU53" i="41"/>
  <c r="BM54" i="41"/>
  <c r="BZ54" i="41"/>
  <c r="BS55" i="41"/>
  <c r="BP56" i="41"/>
  <c r="CF56" i="41"/>
  <c r="BI61" i="41"/>
  <c r="CF70" i="41"/>
  <c r="CD72" i="41"/>
  <c r="CB74" i="41"/>
  <c r="BZ76" i="41"/>
  <c r="BX78" i="41"/>
  <c r="BV80" i="41"/>
  <c r="BT82" i="41"/>
  <c r="BR84" i="41"/>
  <c r="BP86" i="41"/>
  <c r="BN88" i="41"/>
  <c r="BL90" i="41"/>
  <c r="BJ92" i="41"/>
  <c r="BD98" i="41"/>
  <c r="BS112" i="41"/>
  <c r="BK31" i="7"/>
  <c r="BV31" i="7"/>
  <c r="CJ31" i="7"/>
  <c r="BD38" i="7"/>
  <c r="BO38" i="7"/>
  <c r="CC38" i="7"/>
  <c r="BF39" i="7"/>
  <c r="BT39" i="7"/>
  <c r="CE39" i="7"/>
  <c r="BK40" i="7"/>
  <c r="BV40" i="7"/>
  <c r="CJ40" i="7"/>
  <c r="CQ62" i="7"/>
  <c r="CQ72" i="7"/>
  <c r="CT73" i="7"/>
  <c r="BA40" i="7"/>
  <c r="AZ37" i="7"/>
  <c r="BI39" i="7"/>
  <c r="BR38" i="7"/>
  <c r="BX38" i="7"/>
  <c r="BZ40" i="7"/>
  <c r="CF40" i="7"/>
  <c r="BL31" i="7"/>
  <c r="BW31" i="7"/>
  <c r="CK31" i="7"/>
  <c r="BE38" i="7"/>
  <c r="BS38" i="7"/>
  <c r="CD38" i="7"/>
  <c r="BG39" i="7"/>
  <c r="BU39" i="7"/>
  <c r="CI39" i="7"/>
  <c r="BL40" i="7"/>
  <c r="BW40" i="7"/>
  <c r="CK40" i="7"/>
  <c r="CR62" i="7"/>
  <c r="CR72" i="7"/>
  <c r="CU73" i="7"/>
  <c r="AZ38" i="7"/>
  <c r="BB40" i="7"/>
  <c r="BH37" i="7"/>
  <c r="BJ39" i="7"/>
  <c r="BP39" i="7"/>
  <c r="BY38" i="7"/>
  <c r="CG40" i="7"/>
  <c r="BM31" i="7"/>
  <c r="CA31" i="7"/>
  <c r="CL31" i="7"/>
  <c r="BF38" i="7"/>
  <c r="BT38" i="7"/>
  <c r="CE38" i="7"/>
  <c r="BK39" i="7"/>
  <c r="BV39" i="7"/>
  <c r="CJ39" i="7"/>
  <c r="BM40" i="7"/>
  <c r="CA40" i="7"/>
  <c r="CL40" i="7"/>
  <c r="CQ61" i="7"/>
  <c r="CS62" i="7"/>
  <c r="CS72" i="7"/>
  <c r="BA38" i="7"/>
  <c r="BH40" i="7"/>
  <c r="BQ39" i="7"/>
  <c r="BZ38" i="7"/>
  <c r="CF38" i="7"/>
  <c r="CH40" i="7"/>
  <c r="CP72" i="7"/>
  <c r="BC31" i="7"/>
  <c r="BN31" i="7"/>
  <c r="CB31" i="7"/>
  <c r="CM31" i="7"/>
  <c r="BG38" i="7"/>
  <c r="BU38" i="7"/>
  <c r="CI38" i="7"/>
  <c r="BL39" i="7"/>
  <c r="BW39" i="7"/>
  <c r="CK39" i="7"/>
  <c r="BC40" i="7"/>
  <c r="BN40" i="7"/>
  <c r="CB40" i="7"/>
  <c r="CM40" i="7"/>
  <c r="CR61" i="7"/>
  <c r="CT62" i="7"/>
  <c r="CT72" i="7"/>
  <c r="BB38" i="7"/>
  <c r="BI40" i="7"/>
  <c r="BP37" i="7"/>
  <c r="BR39" i="7"/>
  <c r="BX39" i="7"/>
  <c r="CG38" i="7"/>
  <c r="CP73" i="7"/>
  <c r="BD31" i="7"/>
  <c r="BO31" i="7"/>
  <c r="CC31" i="7"/>
  <c r="BK38" i="7"/>
  <c r="BV38" i="7"/>
  <c r="CJ38" i="7"/>
  <c r="BM39" i="7"/>
  <c r="CA39" i="7"/>
  <c r="CL39" i="7"/>
  <c r="BD40" i="7"/>
  <c r="BO40" i="7"/>
  <c r="CC40" i="7"/>
  <c r="CS61" i="7"/>
  <c r="CU62" i="7"/>
  <c r="CU72" i="7"/>
  <c r="AZ39" i="7"/>
  <c r="BH38" i="7"/>
  <c r="BJ40" i="7"/>
  <c r="BP40" i="7"/>
  <c r="BY39" i="7"/>
  <c r="CH38" i="7"/>
  <c r="BE31" i="7"/>
  <c r="BS31" i="7"/>
  <c r="CD31" i="7"/>
  <c r="BL38" i="7"/>
  <c r="BW38" i="7"/>
  <c r="CK38" i="7"/>
  <c r="BC39" i="7"/>
  <c r="BN39" i="7"/>
  <c r="CB39" i="7"/>
  <c r="CM39" i="7"/>
  <c r="BE40" i="7"/>
  <c r="BS40" i="7"/>
  <c r="CD40" i="7"/>
  <c r="CT61" i="7"/>
  <c r="CQ73" i="7"/>
  <c r="BA39" i="7"/>
  <c r="BI38" i="7"/>
  <c r="BQ40" i="7"/>
  <c r="BX37" i="7"/>
  <c r="BZ39" i="7"/>
  <c r="CF39" i="7"/>
  <c r="CP61" i="7"/>
  <c r="BF31" i="7"/>
  <c r="BT31" i="7"/>
  <c r="CE31" i="7"/>
  <c r="BM38" i="7"/>
  <c r="CA38" i="7"/>
  <c r="CL38" i="7"/>
  <c r="BD39" i="7"/>
  <c r="BO39" i="7"/>
  <c r="CC39" i="7"/>
  <c r="BF40" i="7"/>
  <c r="BT40" i="7"/>
  <c r="CE40" i="7"/>
  <c r="CU61" i="7"/>
  <c r="CR73" i="7"/>
  <c r="BB39" i="7"/>
  <c r="BJ38" i="7"/>
  <c r="BP38" i="7"/>
  <c r="BR40" i="7"/>
  <c r="BX40" i="7"/>
  <c r="CG39" i="7"/>
  <c r="CP62" i="7"/>
  <c r="AZ40" i="7"/>
  <c r="BH39" i="7"/>
  <c r="BQ38" i="7"/>
  <c r="BY40" i="7"/>
  <c r="CF37" i="7"/>
  <c r="AF53" i="82"/>
  <c r="AE13" i="82"/>
  <c r="Z119" i="82"/>
  <c r="AP114" i="82"/>
  <c r="AJ109" i="82"/>
  <c r="AP101" i="82"/>
  <c r="AN51" i="82"/>
  <c r="AX16" i="62"/>
  <c r="BF23" i="62"/>
  <c r="BT27" i="62"/>
  <c r="BS36" i="62"/>
  <c r="BW42" i="62"/>
  <c r="BY49" i="62"/>
  <c r="CC56" i="62"/>
  <c r="AY118" i="62"/>
  <c r="BP136" i="62"/>
  <c r="AM196" i="82"/>
  <c r="AL195" i="82"/>
  <c r="AA195" i="82"/>
  <c r="Z194" i="82"/>
  <c r="AI193" i="82"/>
  <c r="AH192" i="82"/>
  <c r="AQ191" i="82"/>
  <c r="AP190" i="82"/>
  <c r="AE190" i="82"/>
  <c r="AD189" i="82"/>
  <c r="AM188" i="82"/>
  <c r="AL187" i="82"/>
  <c r="AA187" i="82"/>
  <c r="Z186" i="82"/>
  <c r="AI185" i="82"/>
  <c r="AR184" i="82"/>
  <c r="Z184" i="82"/>
  <c r="AR182" i="82"/>
  <c r="AP180" i="82"/>
  <c r="AN179" i="82"/>
  <c r="AL177" i="82"/>
  <c r="AJ176" i="82"/>
  <c r="AH174" i="82"/>
  <c r="AF173" i="82"/>
  <c r="AD171" i="82"/>
  <c r="AB170" i="82"/>
  <c r="Z168" i="82"/>
  <c r="AR166" i="82"/>
  <c r="AP164" i="82"/>
  <c r="AN163" i="82"/>
  <c r="AL161" i="82"/>
  <c r="AJ160" i="82"/>
  <c r="AH158" i="82"/>
  <c r="AF157" i="82"/>
  <c r="AD155" i="82"/>
  <c r="AB154" i="82"/>
  <c r="AA125" i="82"/>
  <c r="AR117" i="82"/>
  <c r="AD114" i="82"/>
  <c r="AB107" i="82"/>
  <c r="Z99" i="82"/>
  <c r="AQ63" i="82"/>
  <c r="AI47" i="82"/>
  <c r="BK16" i="62"/>
  <c r="BG23" i="62"/>
  <c r="CB28" i="62"/>
  <c r="BM37" i="62"/>
  <c r="BB43" i="62"/>
  <c r="BZ49" i="62"/>
  <c r="BW58" i="62"/>
  <c r="BE122" i="62"/>
  <c r="BD137" i="62"/>
  <c r="AN197" i="82"/>
  <c r="AL196" i="82"/>
  <c r="AB196" i="82"/>
  <c r="Z195" i="82"/>
  <c r="AJ194" i="82"/>
  <c r="AH193" i="82"/>
  <c r="AR192" i="82"/>
  <c r="AP191" i="82"/>
  <c r="AF191" i="82"/>
  <c r="AD190" i="82"/>
  <c r="AN189" i="82"/>
  <c r="AL188" i="82"/>
  <c r="AB188" i="82"/>
  <c r="Z187" i="82"/>
  <c r="AJ186" i="82"/>
  <c r="AH185" i="82"/>
  <c r="AP184" i="82"/>
  <c r="AP182" i="82"/>
  <c r="AN181" i="82"/>
  <c r="AL179" i="82"/>
  <c r="AJ178" i="82"/>
  <c r="AH176" i="82"/>
  <c r="AD173" i="82"/>
  <c r="AB172" i="82"/>
  <c r="Z170" i="82"/>
  <c r="AR168" i="82"/>
  <c r="AP166" i="82"/>
  <c r="AN165" i="82"/>
  <c r="AL163" i="82"/>
  <c r="AJ162" i="82"/>
  <c r="AH160" i="82"/>
  <c r="AF159" i="82"/>
  <c r="AD157" i="82"/>
  <c r="AB156" i="82"/>
  <c r="Z154" i="82"/>
  <c r="AQ129" i="82"/>
  <c r="AH127" i="82"/>
  <c r="AM121" i="82"/>
  <c r="AJ117" i="82"/>
  <c r="Z113" i="82"/>
  <c r="AA107" i="82"/>
  <c r="BS17" i="62"/>
  <c r="BZ23" i="62"/>
  <c r="AX29" i="62"/>
  <c r="CC37" i="62"/>
  <c r="BK44" i="62"/>
  <c r="BO52" i="62"/>
  <c r="BN59" i="62"/>
  <c r="BG124" i="62"/>
  <c r="BH137" i="62"/>
  <c r="AB12" i="82"/>
  <c r="AJ12" i="82"/>
  <c r="AR12" i="82"/>
  <c r="AF13" i="82"/>
  <c r="AN13" i="82"/>
  <c r="AF15" i="82"/>
  <c r="AN15" i="82"/>
  <c r="AB16" i="82"/>
  <c r="AJ16" i="82"/>
  <c r="AR16" i="82"/>
  <c r="AF17" i="82"/>
  <c r="AN17" i="82"/>
  <c r="AB18" i="82"/>
  <c r="AJ18" i="82"/>
  <c r="AR18" i="82"/>
  <c r="AF19" i="82"/>
  <c r="AN19" i="82"/>
  <c r="AF21" i="82"/>
  <c r="AN21" i="82"/>
  <c r="AB22" i="82"/>
  <c r="AJ22" i="82"/>
  <c r="AR22" i="82"/>
  <c r="AF23" i="82"/>
  <c r="AN23" i="82"/>
  <c r="AB24" i="82"/>
  <c r="AJ24" i="82"/>
  <c r="AR24" i="82"/>
  <c r="AF25" i="82"/>
  <c r="AN25" i="82"/>
  <c r="AB26" i="82"/>
  <c r="AJ26" i="82"/>
  <c r="AR26" i="82"/>
  <c r="AF27" i="82"/>
  <c r="AN27" i="82"/>
  <c r="AB28" i="82"/>
  <c r="AJ28" i="82"/>
  <c r="AR28" i="82"/>
  <c r="AF29" i="82"/>
  <c r="AN29" i="82"/>
  <c r="AM31" i="82"/>
  <c r="AI32" i="82"/>
  <c r="AB33" i="82"/>
  <c r="AJ33" i="82"/>
  <c r="AR33" i="82"/>
  <c r="AF34" i="82"/>
  <c r="AN34" i="82"/>
  <c r="AB35" i="82"/>
  <c r="AJ35" i="82"/>
  <c r="AR35" i="82"/>
  <c r="AB37" i="82"/>
  <c r="AJ37" i="82"/>
  <c r="AR37" i="82"/>
  <c r="AF38" i="82"/>
  <c r="AN38" i="82"/>
  <c r="AB39" i="82"/>
  <c r="AJ39" i="82"/>
  <c r="AR39" i="82"/>
  <c r="AB41" i="82"/>
  <c r="AJ41" i="82"/>
  <c r="AR41" i="82"/>
  <c r="AF42" i="82"/>
  <c r="AN42" i="82"/>
  <c r="AF44" i="82"/>
  <c r="AN44" i="82"/>
  <c r="AB45" i="82"/>
  <c r="AN31" i="82"/>
  <c r="AJ32" i="82"/>
  <c r="AC37" i="82"/>
  <c r="AK37" i="82"/>
  <c r="AS37" i="82"/>
  <c r="AG38" i="82"/>
  <c r="AO38" i="82"/>
  <c r="AE12" i="82"/>
  <c r="AM12" i="82"/>
  <c r="AA13" i="82"/>
  <c r="AI13" i="82"/>
  <c r="AQ13" i="82"/>
  <c r="AA15" i="82"/>
  <c r="AI15" i="82"/>
  <c r="AQ15" i="82"/>
  <c r="AE16" i="82"/>
  <c r="AM16" i="82"/>
  <c r="AA17" i="82"/>
  <c r="AI17" i="82"/>
  <c r="AQ17" i="82"/>
  <c r="AE18" i="82"/>
  <c r="AM18" i="82"/>
  <c r="AA19" i="82"/>
  <c r="AI19" i="82"/>
  <c r="AQ19" i="82"/>
  <c r="AA21" i="82"/>
  <c r="AI21" i="82"/>
  <c r="AQ21" i="82"/>
  <c r="AE22" i="82"/>
  <c r="AM22" i="82"/>
  <c r="AA23" i="82"/>
  <c r="AI23" i="82"/>
  <c r="AQ23" i="82"/>
  <c r="AE24" i="82"/>
  <c r="AM24" i="82"/>
  <c r="AA25" i="82"/>
  <c r="AI25" i="82"/>
  <c r="AQ25" i="82"/>
  <c r="AE26" i="82"/>
  <c r="AM26" i="82"/>
  <c r="AA27" i="82"/>
  <c r="AI27" i="82"/>
  <c r="AQ27" i="82"/>
  <c r="AE28" i="82"/>
  <c r="AM28" i="82"/>
  <c r="AA29" i="82"/>
  <c r="AI29" i="82"/>
  <c r="AQ29" i="82"/>
  <c r="AB31" i="82"/>
  <c r="AR31" i="82"/>
  <c r="AN32" i="82"/>
  <c r="AE33" i="82"/>
  <c r="AM33" i="82"/>
  <c r="AA34" i="82"/>
  <c r="AI34" i="82"/>
  <c r="AQ34" i="82"/>
  <c r="AE35" i="82"/>
  <c r="AM35" i="82"/>
  <c r="AE37" i="82"/>
  <c r="AM37" i="82"/>
  <c r="AA38" i="82"/>
  <c r="AI38" i="82"/>
  <c r="AQ38" i="82"/>
  <c r="AE39" i="82"/>
  <c r="AM39" i="82"/>
  <c r="AE41" i="82"/>
  <c r="AM41" i="82"/>
  <c r="AA42" i="82"/>
  <c r="AI42" i="82"/>
  <c r="AQ42" i="82"/>
  <c r="AA44" i="82"/>
  <c r="AI44" i="82"/>
  <c r="AQ44" i="82"/>
  <c r="AE45" i="82"/>
  <c r="AF12" i="82"/>
  <c r="AN12" i="82"/>
  <c r="AB13" i="82"/>
  <c r="AJ13" i="82"/>
  <c r="AR13" i="82"/>
  <c r="AB15" i="82"/>
  <c r="AJ15" i="82"/>
  <c r="AR15" i="82"/>
  <c r="AF16" i="82"/>
  <c r="AN16" i="82"/>
  <c r="AB17" i="82"/>
  <c r="AJ17" i="82"/>
  <c r="AR17" i="82"/>
  <c r="AF18" i="82"/>
  <c r="AN18" i="82"/>
  <c r="AB19" i="82"/>
  <c r="AJ19" i="82"/>
  <c r="AR19" i="82"/>
  <c r="AB21" i="82"/>
  <c r="AJ21" i="82"/>
  <c r="AR21" i="82"/>
  <c r="AF22" i="82"/>
  <c r="AN22" i="82"/>
  <c r="AB23" i="82"/>
  <c r="AJ23" i="82"/>
  <c r="AR23" i="82"/>
  <c r="AF24" i="82"/>
  <c r="AN24" i="82"/>
  <c r="AB25" i="82"/>
  <c r="AJ25" i="82"/>
  <c r="AR25" i="82"/>
  <c r="AF26" i="82"/>
  <c r="AN26" i="82"/>
  <c r="AB27" i="82"/>
  <c r="AJ27" i="82"/>
  <c r="AR27" i="82"/>
  <c r="AF28" i="82"/>
  <c r="AN28" i="82"/>
  <c r="AB29" i="82"/>
  <c r="AJ29" i="82"/>
  <c r="AR29" i="82"/>
  <c r="AE31" i="82"/>
  <c r="AQ32" i="82"/>
  <c r="AF33" i="82"/>
  <c r="AN33" i="82"/>
  <c r="AB34" i="82"/>
  <c r="AJ34" i="82"/>
  <c r="AR34" i="82"/>
  <c r="AF35" i="82"/>
  <c r="AN35" i="82"/>
  <c r="AF37" i="82"/>
  <c r="AN37" i="82"/>
  <c r="AB38" i="82"/>
  <c r="AJ38" i="82"/>
  <c r="AR38" i="82"/>
  <c r="AF39" i="82"/>
  <c r="AN39" i="82"/>
  <c r="AF41" i="82"/>
  <c r="AN41" i="82"/>
  <c r="AB42" i="82"/>
  <c r="AJ42" i="82"/>
  <c r="AR42" i="82"/>
  <c r="AB44" i="82"/>
  <c r="AJ44" i="82"/>
  <c r="AR44" i="82"/>
  <c r="AF45" i="82"/>
  <c r="AN45" i="82"/>
  <c r="Z12" i="82"/>
  <c r="AH12" i="82"/>
  <c r="AP12" i="82"/>
  <c r="AD13" i="82"/>
  <c r="AL13" i="82"/>
  <c r="AD15" i="82"/>
  <c r="AL15" i="82"/>
  <c r="Z16" i="82"/>
  <c r="AH16" i="82"/>
  <c r="AP16" i="82"/>
  <c r="AD17" i="82"/>
  <c r="AL17" i="82"/>
  <c r="Z18" i="82"/>
  <c r="AH18" i="82"/>
  <c r="AP18" i="82"/>
  <c r="AD19" i="82"/>
  <c r="AL19" i="82"/>
  <c r="AD21" i="82"/>
  <c r="AL21" i="82"/>
  <c r="Z22" i="82"/>
  <c r="AH22" i="82"/>
  <c r="AP22" i="82"/>
  <c r="AD23" i="82"/>
  <c r="AL23" i="82"/>
  <c r="Z24" i="82"/>
  <c r="AH24" i="82"/>
  <c r="AP24" i="82"/>
  <c r="AD25" i="82"/>
  <c r="AL25" i="82"/>
  <c r="Z26" i="82"/>
  <c r="AH26" i="82"/>
  <c r="AP26" i="82"/>
  <c r="AD27" i="82"/>
  <c r="AL27" i="82"/>
  <c r="Z28" i="82"/>
  <c r="AH28" i="82"/>
  <c r="AP28" i="82"/>
  <c r="AD29" i="82"/>
  <c r="AL29" i="82"/>
  <c r="Z30" i="82"/>
  <c r="AH30" i="82"/>
  <c r="AP30" i="82"/>
  <c r="AI31" i="82"/>
  <c r="AE32" i="82"/>
  <c r="Z33" i="82"/>
  <c r="AH33" i="82"/>
  <c r="AP33" i="82"/>
  <c r="AD34" i="82"/>
  <c r="AL34" i="82"/>
  <c r="Z35" i="82"/>
  <c r="AH35" i="82"/>
  <c r="AP35" i="82"/>
  <c r="AD36" i="82"/>
  <c r="AL36" i="82"/>
  <c r="Z37" i="82"/>
  <c r="AH37" i="82"/>
  <c r="AP37" i="82"/>
  <c r="AD38" i="82"/>
  <c r="AL38" i="82"/>
  <c r="Z39" i="82"/>
  <c r="AH39" i="82"/>
  <c r="AP39" i="82"/>
  <c r="Z41" i="82"/>
  <c r="AH41" i="82"/>
  <c r="AP41" i="82"/>
  <c r="AD42" i="82"/>
  <c r="AL42" i="82"/>
  <c r="AD44" i="82"/>
  <c r="AL44" i="82"/>
  <c r="Z45" i="82"/>
  <c r="AH45" i="82"/>
  <c r="AP45" i="82"/>
  <c r="AQ12" i="82"/>
  <c r="Z15" i="82"/>
  <c r="AA16" i="82"/>
  <c r="AD18" i="82"/>
  <c r="AE19" i="82"/>
  <c r="AH21" i="82"/>
  <c r="AI22" i="82"/>
  <c r="AL24" i="82"/>
  <c r="AM25" i="82"/>
  <c r="AP27" i="82"/>
  <c r="AQ28" i="82"/>
  <c r="AA31" i="82"/>
  <c r="AA33" i="82"/>
  <c r="AD35" i="82"/>
  <c r="AG37" i="82"/>
  <c r="AH38" i="82"/>
  <c r="AI39" i="82"/>
  <c r="AL41" i="82"/>
  <c r="AM42" i="82"/>
  <c r="AP44" i="82"/>
  <c r="AA46" i="82"/>
  <c r="AI46" i="82"/>
  <c r="AQ46" i="82"/>
  <c r="AE47" i="82"/>
  <c r="AM47" i="82"/>
  <c r="AA48" i="82"/>
  <c r="AI48" i="82"/>
  <c r="AQ48" i="82"/>
  <c r="AA50" i="82"/>
  <c r="AI50" i="82"/>
  <c r="AQ50" i="82"/>
  <c r="AE51" i="82"/>
  <c r="AM51" i="82"/>
  <c r="AA52" i="82"/>
  <c r="AI52" i="82"/>
  <c r="AQ52" i="82"/>
  <c r="AE53" i="82"/>
  <c r="AM53" i="82"/>
  <c r="AA54" i="82"/>
  <c r="AI54" i="82"/>
  <c r="AQ54" i="82"/>
  <c r="AE55" i="82"/>
  <c r="AM55" i="82"/>
  <c r="AA56" i="82"/>
  <c r="AI56" i="82"/>
  <c r="AQ56" i="82"/>
  <c r="AE57" i="82"/>
  <c r="AM57" i="82"/>
  <c r="AA58" i="82"/>
  <c r="AI58" i="82"/>
  <c r="AQ58" i="82"/>
  <c r="AE59" i="82"/>
  <c r="AM59" i="82"/>
  <c r="AA60" i="82"/>
  <c r="AI60" i="82"/>
  <c r="AQ60" i="82"/>
  <c r="AE61" i="82"/>
  <c r="AM61" i="82"/>
  <c r="AA62" i="82"/>
  <c r="AI62" i="82"/>
  <c r="AQ62" i="82"/>
  <c r="AE63" i="82"/>
  <c r="AM63" i="82"/>
  <c r="AA64" i="82"/>
  <c r="AI64" i="82"/>
  <c r="AQ64" i="82"/>
  <c r="Z13" i="82"/>
  <c r="AD16" i="82"/>
  <c r="AE17" i="82"/>
  <c r="AH19" i="82"/>
  <c r="AL22" i="82"/>
  <c r="AM23" i="82"/>
  <c r="AP25" i="82"/>
  <c r="AQ26" i="82"/>
  <c r="Z29" i="82"/>
  <c r="AF31" i="82"/>
  <c r="AD33" i="82"/>
  <c r="AE34" i="82"/>
  <c r="AH36" i="82"/>
  <c r="AI37" i="82"/>
  <c r="AK38" i="82"/>
  <c r="AL39" i="82"/>
  <c r="AP42" i="82"/>
  <c r="AA12" i="82"/>
  <c r="AE15" i="82"/>
  <c r="AH17" i="82"/>
  <c r="AI18" i="82"/>
  <c r="AM21" i="82"/>
  <c r="AP23" i="82"/>
  <c r="AQ24" i="82"/>
  <c r="Z27" i="82"/>
  <c r="AA28" i="82"/>
  <c r="AD30" i="82"/>
  <c r="AJ31" i="82"/>
  <c r="AH34" i="82"/>
  <c r="AI35" i="82"/>
  <c r="AL37" i="82"/>
  <c r="AM38" i="82"/>
  <c r="AQ41" i="82"/>
  <c r="Z44" i="82"/>
  <c r="AA45" i="82"/>
  <c r="AM45" i="82"/>
  <c r="AH13" i="82"/>
  <c r="AL18" i="82"/>
  <c r="AH23" i="82"/>
  <c r="AE25" i="82"/>
  <c r="AL28" i="82"/>
  <c r="AR32" i="82"/>
  <c r="AP34" i="82"/>
  <c r="AC38" i="82"/>
  <c r="AI41" i="82"/>
  <c r="AR45" i="82"/>
  <c r="AH46" i="82"/>
  <c r="Z47" i="82"/>
  <c r="AJ47" i="82"/>
  <c r="Z48" i="82"/>
  <c r="AL48" i="82"/>
  <c r="AD50" i="82"/>
  <c r="AN50" i="82"/>
  <c r="AD51" i="82"/>
  <c r="AP51" i="82"/>
  <c r="AF52" i="82"/>
  <c r="AP52" i="82"/>
  <c r="AH53" i="82"/>
  <c r="AR53" i="82"/>
  <c r="AH54" i="82"/>
  <c r="Z55" i="82"/>
  <c r="AJ55" i="82"/>
  <c r="Z56" i="82"/>
  <c r="AL56" i="82"/>
  <c r="AB57" i="82"/>
  <c r="AL57" i="82"/>
  <c r="AD58" i="82"/>
  <c r="AN58" i="82"/>
  <c r="AD59" i="82"/>
  <c r="AP59" i="82"/>
  <c r="AF60" i="82"/>
  <c r="AP60" i="82"/>
  <c r="AH61" i="82"/>
  <c r="AR61" i="82"/>
  <c r="AH62" i="82"/>
  <c r="Z63" i="82"/>
  <c r="AJ63" i="82"/>
  <c r="Z64" i="82"/>
  <c r="AL64" i="82"/>
  <c r="AG90" i="82"/>
  <c r="AO90" i="82"/>
  <c r="AH15" i="82"/>
  <c r="AQ16" i="82"/>
  <c r="AA22" i="82"/>
  <c r="AH25" i="82"/>
  <c r="AE27" i="82"/>
  <c r="AL30" i="82"/>
  <c r="AI33" i="82"/>
  <c r="AP36" i="82"/>
  <c r="AE38" i="82"/>
  <c r="Z42" i="82"/>
  <c r="AD45" i="82"/>
  <c r="AJ46" i="82"/>
  <c r="AA47" i="82"/>
  <c r="AB48" i="82"/>
  <c r="AM48" i="82"/>
  <c r="AE50" i="82"/>
  <c r="AF51" i="82"/>
  <c r="AQ51" i="82"/>
  <c r="AR52" i="82"/>
  <c r="AI53" i="82"/>
  <c r="AJ54" i="82"/>
  <c r="AA55" i="82"/>
  <c r="AB56" i="82"/>
  <c r="AM56" i="82"/>
  <c r="AN57" i="82"/>
  <c r="AE58" i="82"/>
  <c r="AF59" i="82"/>
  <c r="AQ59" i="82"/>
  <c r="AR60" i="82"/>
  <c r="AI61" i="82"/>
  <c r="AJ62" i="82"/>
  <c r="AA63" i="82"/>
  <c r="AB64" i="82"/>
  <c r="AM64" i="82"/>
  <c r="Z90" i="82"/>
  <c r="AH90" i="82"/>
  <c r="AP90" i="82"/>
  <c r="Z92" i="82"/>
  <c r="AH92" i="82"/>
  <c r="AP92" i="82"/>
  <c r="AD93" i="82"/>
  <c r="AL93" i="82"/>
  <c r="Z94" i="82"/>
  <c r="AH94" i="82"/>
  <c r="AP94" i="82"/>
  <c r="AD95" i="82"/>
  <c r="AL95" i="82"/>
  <c r="Z96" i="82"/>
  <c r="AH96" i="82"/>
  <c r="AP96" i="82"/>
  <c r="AD97" i="82"/>
  <c r="AL97" i="82"/>
  <c r="Z98" i="82"/>
  <c r="AH98" i="82"/>
  <c r="AP98" i="82"/>
  <c r="AD99" i="82"/>
  <c r="AL99" i="82"/>
  <c r="Z100" i="82"/>
  <c r="AH100" i="82"/>
  <c r="AP100" i="82"/>
  <c r="AD101" i="82"/>
  <c r="AL101" i="82"/>
  <c r="Z102" i="82"/>
  <c r="AH102" i="82"/>
  <c r="AP102" i="82"/>
  <c r="AD103" i="82"/>
  <c r="AL103" i="82"/>
  <c r="Z104" i="82"/>
  <c r="AH104" i="82"/>
  <c r="AP104" i="82"/>
  <c r="AD105" i="82"/>
  <c r="AL105" i="82"/>
  <c r="Z106" i="82"/>
  <c r="AH106" i="82"/>
  <c r="AP106" i="82"/>
  <c r="AD107" i="82"/>
  <c r="AL107" i="82"/>
  <c r="Z108" i="82"/>
  <c r="AH108" i="82"/>
  <c r="AP108" i="82"/>
  <c r="AD109" i="82"/>
  <c r="AL109" i="82"/>
  <c r="Z110" i="82"/>
  <c r="AH110" i="82"/>
  <c r="AP110" i="82"/>
  <c r="AD12" i="82"/>
  <c r="AM13" i="82"/>
  <c r="Z17" i="82"/>
  <c r="AQ18" i="82"/>
  <c r="AD22" i="82"/>
  <c r="AA24" i="82"/>
  <c r="AH27" i="82"/>
  <c r="AE29" i="82"/>
  <c r="AL33" i="82"/>
  <c r="AA35" i="82"/>
  <c r="AP38" i="82"/>
  <c r="Z46" i="82"/>
  <c r="AL46" i="82"/>
  <c r="AB47" i="82"/>
  <c r="AL47" i="82"/>
  <c r="AD48" i="82"/>
  <c r="AN48" i="82"/>
  <c r="AF50" i="82"/>
  <c r="AP50" i="82"/>
  <c r="AH51" i="82"/>
  <c r="AR51" i="82"/>
  <c r="AH52" i="82"/>
  <c r="Z53" i="82"/>
  <c r="AJ53" i="82"/>
  <c r="Z54" i="82"/>
  <c r="AL54" i="82"/>
  <c r="AB55" i="82"/>
  <c r="AL55" i="82"/>
  <c r="AD56" i="82"/>
  <c r="AN56" i="82"/>
  <c r="AD57" i="82"/>
  <c r="AP57" i="82"/>
  <c r="AF58" i="82"/>
  <c r="AP58" i="82"/>
  <c r="AH59" i="82"/>
  <c r="AR59" i="82"/>
  <c r="AH60" i="82"/>
  <c r="Z61" i="82"/>
  <c r="AJ61" i="82"/>
  <c r="Z62" i="82"/>
  <c r="AL62" i="82"/>
  <c r="AB63" i="82"/>
  <c r="AL63" i="82"/>
  <c r="AD64" i="82"/>
  <c r="AN64" i="82"/>
  <c r="AA90" i="82"/>
  <c r="AI90" i="82"/>
  <c r="AQ90" i="82"/>
  <c r="AA92" i="82"/>
  <c r="AI92" i="82"/>
  <c r="AQ92" i="82"/>
  <c r="AE93" i="82"/>
  <c r="AM93" i="82"/>
  <c r="AA94" i="82"/>
  <c r="AI94" i="82"/>
  <c r="AQ94" i="82"/>
  <c r="AE95" i="82"/>
  <c r="AM95" i="82"/>
  <c r="AA96" i="82"/>
  <c r="AI96" i="82"/>
  <c r="AQ96" i="82"/>
  <c r="AE97" i="82"/>
  <c r="AM97" i="82"/>
  <c r="AA98" i="82"/>
  <c r="AI98" i="82"/>
  <c r="AQ98" i="82"/>
  <c r="AE99" i="82"/>
  <c r="AM99" i="82"/>
  <c r="AA100" i="82"/>
  <c r="AI100" i="82"/>
  <c r="AQ100" i="82"/>
  <c r="AE101" i="82"/>
  <c r="AM101" i="82"/>
  <c r="AA102" i="82"/>
  <c r="AI102" i="82"/>
  <c r="AQ102" i="82"/>
  <c r="AE103" i="82"/>
  <c r="AM103" i="82"/>
  <c r="AA104" i="82"/>
  <c r="AI104" i="82"/>
  <c r="AQ104" i="82"/>
  <c r="AE105" i="82"/>
  <c r="AM105" i="82"/>
  <c r="AA106" i="82"/>
  <c r="AI106" i="82"/>
  <c r="AQ106" i="82"/>
  <c r="AE107" i="82"/>
  <c r="AM107" i="82"/>
  <c r="AA108" i="82"/>
  <c r="AI108" i="82"/>
  <c r="AQ108" i="82"/>
  <c r="AE109" i="82"/>
  <c r="AM109" i="82"/>
  <c r="AA110" i="82"/>
  <c r="AI110" i="82"/>
  <c r="AQ110" i="82"/>
  <c r="AA112" i="82"/>
  <c r="AI112" i="82"/>
  <c r="AQ112" i="82"/>
  <c r="AE113" i="82"/>
  <c r="AM113" i="82"/>
  <c r="AA114" i="82"/>
  <c r="AI114" i="82"/>
  <c r="AQ114" i="82"/>
  <c r="AE115" i="82"/>
  <c r="AM115" i="82"/>
  <c r="AA116" i="82"/>
  <c r="AI116" i="82"/>
  <c r="AQ116" i="82"/>
  <c r="AE117" i="82"/>
  <c r="AM117" i="82"/>
  <c r="AA118" i="82"/>
  <c r="AI118" i="82"/>
  <c r="AQ118" i="82"/>
  <c r="AE119" i="82"/>
  <c r="AM119" i="82"/>
  <c r="AA120" i="82"/>
  <c r="AI120" i="82"/>
  <c r="AQ120" i="82"/>
  <c r="AE121" i="82"/>
  <c r="AP13" i="82"/>
  <c r="AM15" i="82"/>
  <c r="Z19" i="82"/>
  <c r="AD24" i="82"/>
  <c r="AA26" i="82"/>
  <c r="AH29" i="82"/>
  <c r="AL35" i="82"/>
  <c r="AA37" i="82"/>
  <c r="AS38" i="82"/>
  <c r="AE42" i="82"/>
  <c r="AI45" i="82"/>
  <c r="AB46" i="82"/>
  <c r="AM46" i="82"/>
  <c r="AN47" i="82"/>
  <c r="AE48" i="82"/>
  <c r="AR50" i="82"/>
  <c r="AI51" i="82"/>
  <c r="AJ52" i="82"/>
  <c r="AA53" i="82"/>
  <c r="AB54" i="82"/>
  <c r="AM54" i="82"/>
  <c r="AN55" i="82"/>
  <c r="AE56" i="82"/>
  <c r="AF57" i="82"/>
  <c r="AQ57" i="82"/>
  <c r="AR58" i="82"/>
  <c r="AI59" i="82"/>
  <c r="AJ60" i="82"/>
  <c r="AA61" i="82"/>
  <c r="AB62" i="82"/>
  <c r="AM62" i="82"/>
  <c r="AN63" i="82"/>
  <c r="AE64" i="82"/>
  <c r="AB90" i="82"/>
  <c r="AJ90" i="82"/>
  <c r="AR90" i="82"/>
  <c r="AB92" i="82"/>
  <c r="AJ92" i="82"/>
  <c r="AR92" i="82"/>
  <c r="AF93" i="82"/>
  <c r="AN93" i="82"/>
  <c r="AB94" i="82"/>
  <c r="AJ94" i="82"/>
  <c r="AR94" i="82"/>
  <c r="AF95" i="82"/>
  <c r="AN95" i="82"/>
  <c r="AB96" i="82"/>
  <c r="AJ96" i="82"/>
  <c r="AR96" i="82"/>
  <c r="AF97" i="82"/>
  <c r="AN97" i="82"/>
  <c r="AB98" i="82"/>
  <c r="AJ98" i="82"/>
  <c r="AR98" i="82"/>
  <c r="AF99" i="82"/>
  <c r="AN99" i="82"/>
  <c r="AB100" i="82"/>
  <c r="AJ100" i="82"/>
  <c r="AR100" i="82"/>
  <c r="AF101" i="82"/>
  <c r="AN101" i="82"/>
  <c r="AB102" i="82"/>
  <c r="AJ102" i="82"/>
  <c r="AR102" i="82"/>
  <c r="AF103" i="82"/>
  <c r="AN103" i="82"/>
  <c r="AB104" i="82"/>
  <c r="AJ104" i="82"/>
  <c r="AR104" i="82"/>
  <c r="AF105" i="82"/>
  <c r="AN105" i="82"/>
  <c r="AB106" i="82"/>
  <c r="AJ106" i="82"/>
  <c r="AR106" i="82"/>
  <c r="AF107" i="82"/>
  <c r="AN107" i="82"/>
  <c r="AB108" i="82"/>
  <c r="AJ108" i="82"/>
  <c r="AR108" i="82"/>
  <c r="AF109" i="82"/>
  <c r="AN109" i="82"/>
  <c r="AB110" i="82"/>
  <c r="AJ110" i="82"/>
  <c r="AR110" i="82"/>
  <c r="AB112" i="82"/>
  <c r="AJ112" i="82"/>
  <c r="AR112" i="82"/>
  <c r="AF113" i="82"/>
  <c r="AN113" i="82"/>
  <c r="AB114" i="82"/>
  <c r="AJ114" i="82"/>
  <c r="AR114" i="82"/>
  <c r="AF115" i="82"/>
  <c r="AN115" i="82"/>
  <c r="AB116" i="82"/>
  <c r="AJ116" i="82"/>
  <c r="AR116" i="82"/>
  <c r="AI12" i="82"/>
  <c r="AP15" i="82"/>
  <c r="AM17" i="82"/>
  <c r="Z21" i="82"/>
  <c r="AQ22" i="82"/>
  <c r="AD26" i="82"/>
  <c r="AM27" i="82"/>
  <c r="AQ31" i="82"/>
  <c r="AQ33" i="82"/>
  <c r="AD37" i="82"/>
  <c r="AA39" i="82"/>
  <c r="AH42" i="82"/>
  <c r="AE44" i="82"/>
  <c r="AJ45" i="82"/>
  <c r="AD46" i="82"/>
  <c r="AN46" i="82"/>
  <c r="AD47" i="82"/>
  <c r="AP47" i="82"/>
  <c r="AF48" i="82"/>
  <c r="AP48" i="82"/>
  <c r="AH50" i="82"/>
  <c r="Z51" i="82"/>
  <c r="AJ51" i="82"/>
  <c r="Z52" i="82"/>
  <c r="AL52" i="82"/>
  <c r="AB53" i="82"/>
  <c r="AL53" i="82"/>
  <c r="AD54" i="82"/>
  <c r="AN54" i="82"/>
  <c r="AD55" i="82"/>
  <c r="AP55" i="82"/>
  <c r="AF56" i="82"/>
  <c r="AP56" i="82"/>
  <c r="AH57" i="82"/>
  <c r="AR57" i="82"/>
  <c r="AH58" i="82"/>
  <c r="Z59" i="82"/>
  <c r="AJ59" i="82"/>
  <c r="Z60" i="82"/>
  <c r="AL60" i="82"/>
  <c r="AB61" i="82"/>
  <c r="AL61" i="82"/>
  <c r="AD62" i="82"/>
  <c r="AN62" i="82"/>
  <c r="AD63" i="82"/>
  <c r="AP63" i="82"/>
  <c r="AF64" i="82"/>
  <c r="AP64" i="82"/>
  <c r="AC90" i="82"/>
  <c r="AK90" i="82"/>
  <c r="AS90" i="82"/>
  <c r="AL12" i="82"/>
  <c r="AP17" i="82"/>
  <c r="AM19" i="82"/>
  <c r="Z23" i="82"/>
  <c r="AI24" i="82"/>
  <c r="AD28" i="82"/>
  <c r="AM29" i="82"/>
  <c r="AB32" i="82"/>
  <c r="Z34" i="82"/>
  <c r="AQ35" i="82"/>
  <c r="AO37" i="82"/>
  <c r="AD39" i="82"/>
  <c r="AA41" i="82"/>
  <c r="AI16" i="82"/>
  <c r="AP19" i="82"/>
  <c r="AE21" i="82"/>
  <c r="Z25" i="82"/>
  <c r="AI26" i="82"/>
  <c r="AP29" i="82"/>
  <c r="AF32" i="82"/>
  <c r="Z36" i="82"/>
  <c r="AQ37" i="82"/>
  <c r="AD41" i="82"/>
  <c r="AF46" i="82"/>
  <c r="AP46" i="82"/>
  <c r="AH47" i="82"/>
  <c r="AR47" i="82"/>
  <c r="AH48" i="82"/>
  <c r="Z50" i="82"/>
  <c r="AL50" i="82"/>
  <c r="AB51" i="82"/>
  <c r="AL51" i="82"/>
  <c r="AD52" i="82"/>
  <c r="AN52" i="82"/>
  <c r="AD53" i="82"/>
  <c r="AP53" i="82"/>
  <c r="AF54" i="82"/>
  <c r="AP54" i="82"/>
  <c r="AH55" i="82"/>
  <c r="AR55" i="82"/>
  <c r="AH56" i="82"/>
  <c r="Z57" i="82"/>
  <c r="AJ57" i="82"/>
  <c r="Z58" i="82"/>
  <c r="AL58" i="82"/>
  <c r="AB59" i="82"/>
  <c r="AL59" i="82"/>
  <c r="AD60" i="82"/>
  <c r="AN60" i="82"/>
  <c r="AD61" i="82"/>
  <c r="AP61" i="82"/>
  <c r="AF62" i="82"/>
  <c r="AP62" i="82"/>
  <c r="AH63" i="82"/>
  <c r="AR63" i="82"/>
  <c r="AH64" i="82"/>
  <c r="AE90" i="82"/>
  <c r="AM90" i="82"/>
  <c r="AE92" i="82"/>
  <c r="AM92" i="82"/>
  <c r="AA93" i="82"/>
  <c r="AI93" i="82"/>
  <c r="AQ93" i="82"/>
  <c r="AE94" i="82"/>
  <c r="AM94" i="82"/>
  <c r="AA95" i="82"/>
  <c r="AI95" i="82"/>
  <c r="AQ95" i="82"/>
  <c r="AE96" i="82"/>
  <c r="AM96" i="82"/>
  <c r="AA97" i="82"/>
  <c r="AI97" i="82"/>
  <c r="AQ97" i="82"/>
  <c r="AE98" i="82"/>
  <c r="AM98" i="82"/>
  <c r="AA99" i="82"/>
  <c r="AI99" i="82"/>
  <c r="AQ99" i="82"/>
  <c r="AE100" i="82"/>
  <c r="AM100" i="82"/>
  <c r="AL16" i="82"/>
  <c r="AH44" i="82"/>
  <c r="AF47" i="82"/>
  <c r="AN53" i="82"/>
  <c r="AQ55" i="82"/>
  <c r="AB60" i="82"/>
  <c r="AE62" i="82"/>
  <c r="Z93" i="82"/>
  <c r="AL94" i="82"/>
  <c r="AD96" i="82"/>
  <c r="AP97" i="82"/>
  <c r="AH99" i="82"/>
  <c r="Z101" i="82"/>
  <c r="AR101" i="82"/>
  <c r="AA103" i="82"/>
  <c r="AD104" i="82"/>
  <c r="AB105" i="82"/>
  <c r="AE106" i="82"/>
  <c r="AH107" i="82"/>
  <c r="AF108" i="82"/>
  <c r="AI109" i="82"/>
  <c r="AL110" i="82"/>
  <c r="AE112" i="82"/>
  <c r="AA113" i="82"/>
  <c r="AF114" i="82"/>
  <c r="Z115" i="82"/>
  <c r="AL115" i="82"/>
  <c r="AE116" i="82"/>
  <c r="AI117" i="82"/>
  <c r="Z118" i="82"/>
  <c r="AA119" i="82"/>
  <c r="AL119" i="82"/>
  <c r="AM120" i="82"/>
  <c r="AD121" i="82"/>
  <c r="AN121" i="82"/>
  <c r="AL122" i="82"/>
  <c r="AA123" i="82"/>
  <c r="AJ123" i="82"/>
  <c r="AR123" i="82"/>
  <c r="AF124" i="82"/>
  <c r="AN124" i="82"/>
  <c r="AB125" i="82"/>
  <c r="AJ125" i="82"/>
  <c r="AR125" i="82"/>
  <c r="AF126" i="82"/>
  <c r="AN126" i="82"/>
  <c r="AB127" i="82"/>
  <c r="AJ127" i="82"/>
  <c r="AR127" i="82"/>
  <c r="AF128" i="82"/>
  <c r="AN128" i="82"/>
  <c r="AB129" i="82"/>
  <c r="AJ129" i="82"/>
  <c r="AR129" i="82"/>
  <c r="AF130" i="82"/>
  <c r="AN130" i="82"/>
  <c r="AM34" i="82"/>
  <c r="AL45" i="82"/>
  <c r="AQ47" i="82"/>
  <c r="AB52" i="82"/>
  <c r="AE54" i="82"/>
  <c r="AJ58" i="82"/>
  <c r="AM60" i="82"/>
  <c r="AR64" i="82"/>
  <c r="AD90" i="82"/>
  <c r="AH93" i="82"/>
  <c r="Z95" i="82"/>
  <c r="AL96" i="82"/>
  <c r="AD98" i="82"/>
  <c r="AP99" i="82"/>
  <c r="AB101" i="82"/>
  <c r="AE102" i="82"/>
  <c r="AH103" i="82"/>
  <c r="AF104" i="82"/>
  <c r="AI105" i="82"/>
  <c r="AL106" i="82"/>
  <c r="AJ107" i="82"/>
  <c r="AM108" i="82"/>
  <c r="AP109" i="82"/>
  <c r="AN110" i="82"/>
  <c r="AH112" i="82"/>
  <c r="AD113" i="82"/>
  <c r="AQ113" i="82"/>
  <c r="AB115" i="82"/>
  <c r="AP115" i="82"/>
  <c r="AH116" i="82"/>
  <c r="AA117" i="82"/>
  <c r="AL117" i="82"/>
  <c r="AM118" i="82"/>
  <c r="AD119" i="82"/>
  <c r="AE120" i="82"/>
  <c r="AP120" i="82"/>
  <c r="AP121" i="82"/>
  <c r="AE122" i="82"/>
  <c r="AN122" i="82"/>
  <c r="AD123" i="82"/>
  <c r="AL123" i="82"/>
  <c r="Z124" i="82"/>
  <c r="AH124" i="82"/>
  <c r="AP124" i="82"/>
  <c r="AD125" i="82"/>
  <c r="AL125" i="82"/>
  <c r="Z126" i="82"/>
  <c r="AH126" i="82"/>
  <c r="AP126" i="82"/>
  <c r="AD127" i="82"/>
  <c r="AL127" i="82"/>
  <c r="Z128" i="82"/>
  <c r="AH128" i="82"/>
  <c r="AP128" i="82"/>
  <c r="AD129" i="82"/>
  <c r="AL129" i="82"/>
  <c r="Z130" i="82"/>
  <c r="AH130" i="82"/>
  <c r="AP130" i="82"/>
  <c r="AP21" i="82"/>
  <c r="AQ45" i="82"/>
  <c r="AB50" i="82"/>
  <c r="AE52" i="82"/>
  <c r="AJ56" i="82"/>
  <c r="AM58" i="82"/>
  <c r="AR62" i="82"/>
  <c r="AF90" i="82"/>
  <c r="AJ93" i="82"/>
  <c r="AB95" i="82"/>
  <c r="AN96" i="82"/>
  <c r="AF98" i="82"/>
  <c r="AR99" i="82"/>
  <c r="AH101" i="82"/>
  <c r="AF102" i="82"/>
  <c r="AI103" i="82"/>
  <c r="AL104" i="82"/>
  <c r="AJ105" i="82"/>
  <c r="AM106" i="82"/>
  <c r="AP107" i="82"/>
  <c r="AN108" i="82"/>
  <c r="AQ109" i="82"/>
  <c r="AL112" i="82"/>
  <c r="AR113" i="82"/>
  <c r="AL114" i="82"/>
  <c r="AD115" i="82"/>
  <c r="AQ115" i="82"/>
  <c r="AB117" i="82"/>
  <c r="AN117" i="82"/>
  <c r="AD118" i="82"/>
  <c r="AN118" i="82"/>
  <c r="AF119" i="82"/>
  <c r="AP119" i="82"/>
  <c r="AF120" i="82"/>
  <c r="AR120" i="82"/>
  <c r="AH121" i="82"/>
  <c r="AQ121" i="82"/>
  <c r="AF122" i="82"/>
  <c r="AP122" i="82"/>
  <c r="AE123" i="82"/>
  <c r="AM123" i="82"/>
  <c r="AA124" i="82"/>
  <c r="AI124" i="82"/>
  <c r="AQ124" i="82"/>
  <c r="AE125" i="82"/>
  <c r="AM125" i="82"/>
  <c r="AA126" i="82"/>
  <c r="AI126" i="82"/>
  <c r="AQ126" i="82"/>
  <c r="AE127" i="82"/>
  <c r="AM127" i="82"/>
  <c r="AA128" i="82"/>
  <c r="AE23" i="82"/>
  <c r="Z38" i="82"/>
  <c r="AE46" i="82"/>
  <c r="AJ50" i="82"/>
  <c r="AM52" i="82"/>
  <c r="AR56" i="82"/>
  <c r="AA59" i="82"/>
  <c r="AF63" i="82"/>
  <c r="AL90" i="82"/>
  <c r="AD92" i="82"/>
  <c r="AP93" i="82"/>
  <c r="AH95" i="82"/>
  <c r="Z97" i="82"/>
  <c r="AL98" i="82"/>
  <c r="AD100" i="82"/>
  <c r="AI101" i="82"/>
  <c r="AL102" i="82"/>
  <c r="AJ103" i="82"/>
  <c r="AM104" i="82"/>
  <c r="AP105" i="82"/>
  <c r="AN106" i="82"/>
  <c r="AQ107" i="82"/>
  <c r="Z109" i="82"/>
  <c r="AR109" i="82"/>
  <c r="AM112" i="82"/>
  <c r="AH113" i="82"/>
  <c r="Z114" i="82"/>
  <c r="AM114" i="82"/>
  <c r="AR115" i="82"/>
  <c r="AL116" i="82"/>
  <c r="AD117" i="82"/>
  <c r="AE118" i="82"/>
  <c r="AP118" i="82"/>
  <c r="AQ119" i="82"/>
  <c r="AH120" i="82"/>
  <c r="AI121" i="82"/>
  <c r="AR121" i="82"/>
  <c r="AH122" i="82"/>
  <c r="AQ122" i="82"/>
  <c r="AF123" i="82"/>
  <c r="AN123" i="82"/>
  <c r="AB124" i="82"/>
  <c r="AJ124" i="82"/>
  <c r="AR124" i="82"/>
  <c r="AF125" i="82"/>
  <c r="AN125" i="82"/>
  <c r="AB126" i="82"/>
  <c r="AJ126" i="82"/>
  <c r="AR126" i="82"/>
  <c r="AF127" i="82"/>
  <c r="AN127" i="82"/>
  <c r="AB128" i="82"/>
  <c r="AJ128" i="82"/>
  <c r="AR128" i="82"/>
  <c r="AF129" i="82"/>
  <c r="AN129" i="82"/>
  <c r="AB130" i="82"/>
  <c r="AJ130" i="82"/>
  <c r="AR130" i="82"/>
  <c r="AQ39" i="82"/>
  <c r="AJ48" i="82"/>
  <c r="AM50" i="82"/>
  <c r="AR54" i="82"/>
  <c r="AA57" i="82"/>
  <c r="AF61" i="82"/>
  <c r="AI63" i="82"/>
  <c r="AN90" i="82"/>
  <c r="AF92" i="82"/>
  <c r="AR93" i="82"/>
  <c r="AJ95" i="82"/>
  <c r="AB97" i="82"/>
  <c r="AN98" i="82"/>
  <c r="AF100" i="82"/>
  <c r="AJ101" i="82"/>
  <c r="AM102" i="82"/>
  <c r="AP103" i="82"/>
  <c r="AN104" i="82"/>
  <c r="AQ105" i="82"/>
  <c r="Z107" i="82"/>
  <c r="AR107" i="82"/>
  <c r="AA109" i="82"/>
  <c r="AD110" i="82"/>
  <c r="AN112" i="82"/>
  <c r="AI113" i="82"/>
  <c r="AN114" i="82"/>
  <c r="AH115" i="82"/>
  <c r="Z116" i="82"/>
  <c r="AM116" i="82"/>
  <c r="AF117" i="82"/>
  <c r="AP117" i="82"/>
  <c r="AF118" i="82"/>
  <c r="AR118" i="82"/>
  <c r="AH119" i="82"/>
  <c r="AR119" i="82"/>
  <c r="AJ120" i="82"/>
  <c r="Z121" i="82"/>
  <c r="AJ121" i="82"/>
  <c r="Z122" i="82"/>
  <c r="AI122" i="82"/>
  <c r="AR122" i="82"/>
  <c r="AA18" i="82"/>
  <c r="AR46" i="82"/>
  <c r="AB58" i="82"/>
  <c r="AD94" i="82"/>
  <c r="AR97" i="82"/>
  <c r="AQ101" i="82"/>
  <c r="Z105" i="82"/>
  <c r="AI107" i="82"/>
  <c r="AF110" i="82"/>
  <c r="AP112" i="82"/>
  <c r="AH114" i="82"/>
  <c r="AD116" i="82"/>
  <c r="AQ117" i="82"/>
  <c r="AB119" i="82"/>
  <c r="AL120" i="82"/>
  <c r="AA122" i="82"/>
  <c r="AB123" i="82"/>
  <c r="AE124" i="82"/>
  <c r="AH125" i="82"/>
  <c r="AI127" i="82"/>
  <c r="AI128" i="82"/>
  <c r="AE129" i="82"/>
  <c r="AA130" i="82"/>
  <c r="AQ130" i="82"/>
  <c r="AA154" i="82"/>
  <c r="AI154" i="82"/>
  <c r="AQ154" i="82"/>
  <c r="AE155" i="82"/>
  <c r="AM155" i="82"/>
  <c r="AA156" i="82"/>
  <c r="AI156" i="82"/>
  <c r="AQ156" i="82"/>
  <c r="AE157" i="82"/>
  <c r="AM157" i="82"/>
  <c r="AA158" i="82"/>
  <c r="AI158" i="82"/>
  <c r="AQ158" i="82"/>
  <c r="AE159" i="82"/>
  <c r="AM159" i="82"/>
  <c r="AA160" i="82"/>
  <c r="AI160" i="82"/>
  <c r="AQ160" i="82"/>
  <c r="AE161" i="82"/>
  <c r="AM161" i="82"/>
  <c r="AA162" i="82"/>
  <c r="AI162" i="82"/>
  <c r="AQ162" i="82"/>
  <c r="AE163" i="82"/>
  <c r="AM163" i="82"/>
  <c r="AA164" i="82"/>
  <c r="AI164" i="82"/>
  <c r="AQ164" i="82"/>
  <c r="AE165" i="82"/>
  <c r="AM165" i="82"/>
  <c r="AA166" i="82"/>
  <c r="AI166" i="82"/>
  <c r="AQ166" i="82"/>
  <c r="AE167" i="82"/>
  <c r="AM167" i="82"/>
  <c r="AA168" i="82"/>
  <c r="AI168" i="82"/>
  <c r="AQ168" i="82"/>
  <c r="AE169" i="82"/>
  <c r="AM169" i="82"/>
  <c r="AA170" i="82"/>
  <c r="AI170" i="82"/>
  <c r="AQ170" i="82"/>
  <c r="AE171" i="82"/>
  <c r="AM171" i="82"/>
  <c r="AA172" i="82"/>
  <c r="AI172" i="82"/>
  <c r="AQ172" i="82"/>
  <c r="AE173" i="82"/>
  <c r="AM173" i="82"/>
  <c r="AA174" i="82"/>
  <c r="AI174" i="82"/>
  <c r="AQ174" i="82"/>
  <c r="AA176" i="82"/>
  <c r="AI176" i="82"/>
  <c r="AQ176" i="82"/>
  <c r="AE177" i="82"/>
  <c r="AM177" i="82"/>
  <c r="AA178" i="82"/>
  <c r="AI178" i="82"/>
  <c r="AQ178" i="82"/>
  <c r="AE179" i="82"/>
  <c r="AM179" i="82"/>
  <c r="AA180" i="82"/>
  <c r="AI180" i="82"/>
  <c r="AQ180" i="82"/>
  <c r="AE181" i="82"/>
  <c r="AM181" i="82"/>
  <c r="AA182" i="82"/>
  <c r="AI182" i="82"/>
  <c r="AQ182" i="82"/>
  <c r="AE183" i="82"/>
  <c r="AM183" i="82"/>
  <c r="AA184" i="82"/>
  <c r="AI184" i="82"/>
  <c r="AQ184" i="82"/>
  <c r="AE185" i="82"/>
  <c r="AM185" i="82"/>
  <c r="AA186" i="82"/>
  <c r="AI186" i="82"/>
  <c r="AQ186" i="82"/>
  <c r="AE187" i="82"/>
  <c r="AM187" i="82"/>
  <c r="AA188" i="82"/>
  <c r="AI188" i="82"/>
  <c r="AQ188" i="82"/>
  <c r="AE189" i="82"/>
  <c r="AM189" i="82"/>
  <c r="AA190" i="82"/>
  <c r="AI190" i="82"/>
  <c r="AQ190" i="82"/>
  <c r="AE191" i="82"/>
  <c r="AM191" i="82"/>
  <c r="AA192" i="82"/>
  <c r="AI192" i="82"/>
  <c r="AQ192" i="82"/>
  <c r="AE193" i="82"/>
  <c r="AM193" i="82"/>
  <c r="AA194" i="82"/>
  <c r="AI194" i="82"/>
  <c r="AQ194" i="82"/>
  <c r="AE195" i="82"/>
  <c r="AM195" i="82"/>
  <c r="AA196" i="82"/>
  <c r="AI196" i="82"/>
  <c r="AQ196" i="82"/>
  <c r="AE197" i="82"/>
  <c r="AM197" i="82"/>
  <c r="AI28" i="82"/>
  <c r="AR48" i="82"/>
  <c r="AQ53" i="82"/>
  <c r="AN59" i="82"/>
  <c r="AN94" i="82"/>
  <c r="AB99" i="82"/>
  <c r="AN102" i="82"/>
  <c r="AH105" i="82"/>
  <c r="AE108" i="82"/>
  <c r="AB113" i="82"/>
  <c r="AN116" i="82"/>
  <c r="AB118" i="82"/>
  <c r="AJ119" i="82"/>
  <c r="AA121" i="82"/>
  <c r="AD122" i="82"/>
  <c r="AI123" i="82"/>
  <c r="AL124" i="82"/>
  <c r="AM126" i="82"/>
  <c r="AP127" i="82"/>
  <c r="AM128" i="82"/>
  <c r="AI129" i="82"/>
  <c r="AE130" i="82"/>
  <c r="AM32" i="82"/>
  <c r="AF55" i="82"/>
  <c r="AE60" i="82"/>
  <c r="AP95" i="82"/>
  <c r="AJ99" i="82"/>
  <c r="Z103" i="82"/>
  <c r="AR105" i="82"/>
  <c r="AL108" i="82"/>
  <c r="AJ113" i="82"/>
  <c r="AA115" i="82"/>
  <c r="AP116" i="82"/>
  <c r="AH118" i="82"/>
  <c r="AN119" i="82"/>
  <c r="AB121" i="82"/>
  <c r="AJ122" i="82"/>
  <c r="AM124" i="82"/>
  <c r="AP125" i="82"/>
  <c r="AQ127" i="82"/>
  <c r="AD154" i="82"/>
  <c r="AL154" i="82"/>
  <c r="Z155" i="82"/>
  <c r="AH155" i="82"/>
  <c r="AP155" i="82"/>
  <c r="AD156" i="82"/>
  <c r="AL156" i="82"/>
  <c r="Z157" i="82"/>
  <c r="AH157" i="82"/>
  <c r="AP157" i="82"/>
  <c r="AD158" i="82"/>
  <c r="AL158" i="82"/>
  <c r="Z159" i="82"/>
  <c r="AH159" i="82"/>
  <c r="AP159" i="82"/>
  <c r="AD160" i="82"/>
  <c r="AL160" i="82"/>
  <c r="Z161" i="82"/>
  <c r="AH161" i="82"/>
  <c r="AP161" i="82"/>
  <c r="AD162" i="82"/>
  <c r="AL162" i="82"/>
  <c r="Z163" i="82"/>
  <c r="AH163" i="82"/>
  <c r="AP163" i="82"/>
  <c r="AD164" i="82"/>
  <c r="AL164" i="82"/>
  <c r="Z165" i="82"/>
  <c r="AH165" i="82"/>
  <c r="AP165" i="82"/>
  <c r="AD166" i="82"/>
  <c r="AL166" i="82"/>
  <c r="Z167" i="82"/>
  <c r="AH167" i="82"/>
  <c r="AP167" i="82"/>
  <c r="AD168" i="82"/>
  <c r="AL168" i="82"/>
  <c r="Z169" i="82"/>
  <c r="AH169" i="82"/>
  <c r="AP169" i="82"/>
  <c r="AD170" i="82"/>
  <c r="AL170" i="82"/>
  <c r="Z171" i="82"/>
  <c r="AH171" i="82"/>
  <c r="AP171" i="82"/>
  <c r="AD172" i="82"/>
  <c r="AL172" i="82"/>
  <c r="Z173" i="82"/>
  <c r="AH173" i="82"/>
  <c r="AP173" i="82"/>
  <c r="AD174" i="82"/>
  <c r="AL174" i="82"/>
  <c r="AD176" i="82"/>
  <c r="AL176" i="82"/>
  <c r="Z177" i="82"/>
  <c r="AH177" i="82"/>
  <c r="AP177" i="82"/>
  <c r="AD178" i="82"/>
  <c r="AL178" i="82"/>
  <c r="Z179" i="82"/>
  <c r="AH179" i="82"/>
  <c r="AP179" i="82"/>
  <c r="AD180" i="82"/>
  <c r="AL180" i="82"/>
  <c r="Z181" i="82"/>
  <c r="AH181" i="82"/>
  <c r="AP181" i="82"/>
  <c r="AD182" i="82"/>
  <c r="AL182" i="82"/>
  <c r="Z183" i="82"/>
  <c r="AH183" i="82"/>
  <c r="AP183" i="82"/>
  <c r="AD184" i="82"/>
  <c r="AL184" i="82"/>
  <c r="AI55" i="82"/>
  <c r="AN61" i="82"/>
  <c r="AR95" i="82"/>
  <c r="AL100" i="82"/>
  <c r="AB103" i="82"/>
  <c r="AD106" i="82"/>
  <c r="AB109" i="82"/>
  <c r="AL113" i="82"/>
  <c r="AI115" i="82"/>
  <c r="Z117" i="82"/>
  <c r="AJ118" i="82"/>
  <c r="Z120" i="82"/>
  <c r="AF121" i="82"/>
  <c r="AP123" i="82"/>
  <c r="AQ125" i="82"/>
  <c r="Z127" i="82"/>
  <c r="AQ128" i="82"/>
  <c r="AM129" i="82"/>
  <c r="AI130" i="82"/>
  <c r="AE154" i="82"/>
  <c r="AM154" i="82"/>
  <c r="AA155" i="82"/>
  <c r="AI155" i="82"/>
  <c r="AQ155" i="82"/>
  <c r="AE156" i="82"/>
  <c r="AM156" i="82"/>
  <c r="AA157" i="82"/>
  <c r="AI157" i="82"/>
  <c r="AQ157" i="82"/>
  <c r="AE158" i="82"/>
  <c r="AM158" i="82"/>
  <c r="AA159" i="82"/>
  <c r="AI159" i="82"/>
  <c r="AQ159" i="82"/>
  <c r="AE160" i="82"/>
  <c r="AM160" i="82"/>
  <c r="AA161" i="82"/>
  <c r="AI161" i="82"/>
  <c r="AQ161" i="82"/>
  <c r="AE162" i="82"/>
  <c r="AM162" i="82"/>
  <c r="AA163" i="82"/>
  <c r="AI163" i="82"/>
  <c r="AQ163" i="82"/>
  <c r="AE164" i="82"/>
  <c r="AM164" i="82"/>
  <c r="AA165" i="82"/>
  <c r="AI165" i="82"/>
  <c r="AQ165" i="82"/>
  <c r="AE166" i="82"/>
  <c r="AM166" i="82"/>
  <c r="AA167" i="82"/>
  <c r="AI167" i="82"/>
  <c r="AQ167" i="82"/>
  <c r="AE168" i="82"/>
  <c r="AM168" i="82"/>
  <c r="AA169" i="82"/>
  <c r="AI169" i="82"/>
  <c r="AQ169" i="82"/>
  <c r="AE170" i="82"/>
  <c r="AM170" i="82"/>
  <c r="AA171" i="82"/>
  <c r="AI171" i="82"/>
  <c r="AQ171" i="82"/>
  <c r="AE172" i="82"/>
  <c r="AM172" i="82"/>
  <c r="AA173" i="82"/>
  <c r="AI173" i="82"/>
  <c r="AQ173" i="82"/>
  <c r="AE174" i="82"/>
  <c r="AM174" i="82"/>
  <c r="AE176" i="82"/>
  <c r="AM176" i="82"/>
  <c r="AA177" i="82"/>
  <c r="AI177" i="82"/>
  <c r="AQ177" i="82"/>
  <c r="AE178" i="82"/>
  <c r="AM178" i="82"/>
  <c r="AA179" i="82"/>
  <c r="AI179" i="82"/>
  <c r="AQ179" i="82"/>
  <c r="AE180" i="82"/>
  <c r="AM180" i="82"/>
  <c r="AA181" i="82"/>
  <c r="AI181" i="82"/>
  <c r="AQ181" i="82"/>
  <c r="AE182" i="82"/>
  <c r="AM182" i="82"/>
  <c r="AA183" i="82"/>
  <c r="AI183" i="82"/>
  <c r="AQ183" i="82"/>
  <c r="AE184" i="82"/>
  <c r="AM184" i="82"/>
  <c r="AA185" i="82"/>
  <c r="AA51" i="82"/>
  <c r="AQ61" i="82"/>
  <c r="AL92" i="82"/>
  <c r="AF96" i="82"/>
  <c r="AN100" i="82"/>
  <c r="AQ103" i="82"/>
  <c r="AF106" i="82"/>
  <c r="AH109" i="82"/>
  <c r="Z112" i="82"/>
  <c r="AP113" i="82"/>
  <c r="AJ115" i="82"/>
  <c r="AL118" i="82"/>
  <c r="AB120" i="82"/>
  <c r="AL121" i="82"/>
  <c r="AM122" i="82"/>
  <c r="AQ123" i="82"/>
  <c r="Z125" i="82"/>
  <c r="AA127" i="82"/>
  <c r="AD128" i="82"/>
  <c r="Z129" i="82"/>
  <c r="AP129" i="82"/>
  <c r="AL130" i="82"/>
  <c r="AF154" i="82"/>
  <c r="AN154" i="82"/>
  <c r="AB155" i="82"/>
  <c r="AJ155" i="82"/>
  <c r="AR155" i="82"/>
  <c r="AF156" i="82"/>
  <c r="AN156" i="82"/>
  <c r="AB157" i="82"/>
  <c r="AJ157" i="82"/>
  <c r="AR157" i="82"/>
  <c r="AF158" i="82"/>
  <c r="AN158" i="82"/>
  <c r="AB159" i="82"/>
  <c r="AJ159" i="82"/>
  <c r="AR159" i="82"/>
  <c r="AF160" i="82"/>
  <c r="AN160" i="82"/>
  <c r="AB161" i="82"/>
  <c r="AJ161" i="82"/>
  <c r="AR161" i="82"/>
  <c r="AF162" i="82"/>
  <c r="AN162" i="82"/>
  <c r="AB163" i="82"/>
  <c r="AJ163" i="82"/>
  <c r="AR163" i="82"/>
  <c r="AF164" i="82"/>
  <c r="AN164" i="82"/>
  <c r="AB165" i="82"/>
  <c r="AJ165" i="82"/>
  <c r="AR165" i="82"/>
  <c r="AF166" i="82"/>
  <c r="AN166" i="82"/>
  <c r="AB167" i="82"/>
  <c r="AJ167" i="82"/>
  <c r="AR167" i="82"/>
  <c r="AF168" i="82"/>
  <c r="AN168" i="82"/>
  <c r="AB169" i="82"/>
  <c r="AJ169" i="82"/>
  <c r="AR169" i="82"/>
  <c r="AF170" i="82"/>
  <c r="AN170" i="82"/>
  <c r="AB171" i="82"/>
  <c r="AJ171" i="82"/>
  <c r="AR171" i="82"/>
  <c r="AF172" i="82"/>
  <c r="AN172" i="82"/>
  <c r="AB173" i="82"/>
  <c r="AJ173" i="82"/>
  <c r="AR173" i="82"/>
  <c r="AF174" i="82"/>
  <c r="AN174" i="82"/>
  <c r="AF176" i="82"/>
  <c r="AN176" i="82"/>
  <c r="AB177" i="82"/>
  <c r="AJ177" i="82"/>
  <c r="AR177" i="82"/>
  <c r="AF178" i="82"/>
  <c r="AN178" i="82"/>
  <c r="AB179" i="82"/>
  <c r="AJ179" i="82"/>
  <c r="AR179" i="82"/>
  <c r="AF180" i="82"/>
  <c r="AN180" i="82"/>
  <c r="AB181" i="82"/>
  <c r="AJ181" i="82"/>
  <c r="AR181" i="82"/>
  <c r="AF182" i="82"/>
  <c r="AN182" i="82"/>
  <c r="AB183" i="82"/>
  <c r="AJ183" i="82"/>
  <c r="AR183" i="82"/>
  <c r="AF184" i="82"/>
  <c r="AN184" i="82"/>
  <c r="AB185" i="82"/>
  <c r="AJ185" i="82"/>
  <c r="AR185" i="82"/>
  <c r="AF186" i="82"/>
  <c r="AN186" i="82"/>
  <c r="AB187" i="82"/>
  <c r="AJ187" i="82"/>
  <c r="AR187" i="82"/>
  <c r="AF188" i="82"/>
  <c r="AN188" i="82"/>
  <c r="AB189" i="82"/>
  <c r="AJ189" i="82"/>
  <c r="AR189" i="82"/>
  <c r="AF190" i="82"/>
  <c r="AN190" i="82"/>
  <c r="AB191" i="82"/>
  <c r="AJ191" i="82"/>
  <c r="AR191" i="82"/>
  <c r="AF192" i="82"/>
  <c r="AN192" i="82"/>
  <c r="AB193" i="82"/>
  <c r="AJ193" i="82"/>
  <c r="AR193" i="82"/>
  <c r="AF194" i="82"/>
  <c r="AN194" i="82"/>
  <c r="AB195" i="82"/>
  <c r="AJ195" i="82"/>
  <c r="AR195" i="82"/>
  <c r="AF196" i="82"/>
  <c r="AN196" i="82"/>
  <c r="AB197" i="82"/>
  <c r="AJ197" i="82"/>
  <c r="AR197" i="82"/>
  <c r="AN221" i="82"/>
  <c r="AF221" i="82"/>
  <c r="AA197" i="82"/>
  <c r="Z196" i="82"/>
  <c r="AI195" i="82"/>
  <c r="AH194" i="82"/>
  <c r="AQ193" i="82"/>
  <c r="AP192" i="82"/>
  <c r="AE192" i="82"/>
  <c r="AD191" i="82"/>
  <c r="AM190" i="82"/>
  <c r="AL189" i="82"/>
  <c r="AA189" i="82"/>
  <c r="Z188" i="82"/>
  <c r="AI187" i="82"/>
  <c r="AH186" i="82"/>
  <c r="AQ185" i="82"/>
  <c r="AN183" i="82"/>
  <c r="AL181" i="82"/>
  <c r="AJ180" i="82"/>
  <c r="AH178" i="82"/>
  <c r="AF177" i="82"/>
  <c r="AB174" i="82"/>
  <c r="Z172" i="82"/>
  <c r="AR170" i="82"/>
  <c r="AP168" i="82"/>
  <c r="AN167" i="82"/>
  <c r="AL165" i="82"/>
  <c r="AJ164" i="82"/>
  <c r="AH162" i="82"/>
  <c r="AF161" i="82"/>
  <c r="AD159" i="82"/>
  <c r="AB158" i="82"/>
  <c r="Z156" i="82"/>
  <c r="AR154" i="82"/>
  <c r="AH129" i="82"/>
  <c r="AD124" i="82"/>
  <c r="AN120" i="82"/>
  <c r="AH117" i="82"/>
  <c r="AF112" i="82"/>
  <c r="AA105" i="82"/>
  <c r="AH97" i="82"/>
  <c r="AM44" i="82"/>
  <c r="AD177" i="82"/>
  <c r="AB176" i="82"/>
  <c r="Z174" i="82"/>
  <c r="AR172" i="82"/>
  <c r="AP170" i="82"/>
  <c r="AN169" i="82"/>
  <c r="AL167" i="82"/>
  <c r="AJ166" i="82"/>
  <c r="AH164" i="82"/>
  <c r="AF163" i="82"/>
  <c r="AD161" i="82"/>
  <c r="AB160" i="82"/>
  <c r="Z158" i="82"/>
  <c r="AR156" i="82"/>
  <c r="AP154" i="82"/>
  <c r="AL126" i="82"/>
  <c r="AF116" i="82"/>
  <c r="AD112" i="82"/>
  <c r="AE104" i="82"/>
  <c r="AF94" i="82"/>
  <c r="AL26" i="82"/>
  <c r="BB19" i="62"/>
  <c r="BG26" i="62"/>
  <c r="BE32" i="62"/>
  <c r="AY40" i="62"/>
  <c r="BW44" i="62"/>
  <c r="BV53" i="62"/>
  <c r="BL114" i="62"/>
  <c r="BL125" i="62"/>
  <c r="AI197" i="82"/>
  <c r="AH196" i="82"/>
  <c r="AQ195" i="82"/>
  <c r="AP194" i="82"/>
  <c r="AE194" i="82"/>
  <c r="AD193" i="82"/>
  <c r="AM192" i="82"/>
  <c r="AL191" i="82"/>
  <c r="AA191" i="82"/>
  <c r="Z190" i="82"/>
  <c r="AI189" i="82"/>
  <c r="AH188" i="82"/>
  <c r="AQ187" i="82"/>
  <c r="AP186" i="82"/>
  <c r="AE186" i="82"/>
  <c r="AD185" i="82"/>
  <c r="AJ184" i="82"/>
  <c r="AH182" i="82"/>
  <c r="AF181" i="82"/>
  <c r="AD179" i="82"/>
  <c r="AB178" i="82"/>
  <c r="Z176" i="82"/>
  <c r="AR174" i="82"/>
  <c r="AP172" i="82"/>
  <c r="AN171" i="82"/>
  <c r="AL169" i="82"/>
  <c r="AJ168" i="82"/>
  <c r="AH166" i="82"/>
  <c r="AF165" i="82"/>
  <c r="AD163" i="82"/>
  <c r="AB162" i="82"/>
  <c r="Z160" i="82"/>
  <c r="AR158" i="82"/>
  <c r="AP156" i="82"/>
  <c r="AN155" i="82"/>
  <c r="AA129" i="82"/>
  <c r="AE126" i="82"/>
  <c r="AH123" i="82"/>
  <c r="AD120" i="82"/>
  <c r="AM110" i="82"/>
  <c r="AR103" i="82"/>
  <c r="AB93" i="82"/>
  <c r="AI57" i="82"/>
  <c r="BO107" i="53"/>
  <c r="BY107" i="53"/>
  <c r="CW94" i="53"/>
  <c r="CO94" i="53"/>
  <c r="W116" i="85" s="1"/>
  <c r="CH94" i="53"/>
  <c r="W92" i="85" s="1"/>
  <c r="CA94" i="53"/>
  <c r="W61" i="85" s="1"/>
  <c r="BT94" i="53"/>
  <c r="W40" i="85" s="1"/>
  <c r="BM94" i="53"/>
  <c r="W19" i="85" s="1"/>
  <c r="CQ92" i="53"/>
  <c r="Y114" i="85" s="1"/>
  <c r="BZ107" i="53"/>
  <c r="CV94" i="53"/>
  <c r="CN94" i="53"/>
  <c r="V116" i="85" s="1"/>
  <c r="CG94" i="53"/>
  <c r="V92" i="85" s="1"/>
  <c r="BZ94" i="53"/>
  <c r="V61" i="85" s="1"/>
  <c r="BS94" i="53"/>
  <c r="V40" i="85" s="1"/>
  <c r="BL94" i="53"/>
  <c r="V19" i="85" s="1"/>
  <c r="CX92" i="53"/>
  <c r="CP92" i="53"/>
  <c r="X114" i="85" s="1"/>
  <c r="CI92" i="53"/>
  <c r="X90" i="85" s="1"/>
  <c r="CB92" i="53"/>
  <c r="X59" i="85" s="1"/>
  <c r="BU92" i="53"/>
  <c r="X38" i="85" s="1"/>
  <c r="CU87" i="53"/>
  <c r="CM87" i="53"/>
  <c r="CF87" i="53"/>
  <c r="BY87" i="53"/>
  <c r="BR87" i="53"/>
  <c r="BK87" i="53"/>
  <c r="CS94" i="53"/>
  <c r="CJ94" i="53"/>
  <c r="Y92" i="85" s="1"/>
  <c r="BY94" i="53"/>
  <c r="U61" i="85" s="1"/>
  <c r="CO92" i="53"/>
  <c r="W114" i="85" s="1"/>
  <c r="CG92" i="53"/>
  <c r="V90" i="85" s="1"/>
  <c r="BY92" i="53"/>
  <c r="U59" i="85" s="1"/>
  <c r="BQ92" i="53"/>
  <c r="T38" i="85" s="1"/>
  <c r="CQ87" i="53"/>
  <c r="CI87" i="53"/>
  <c r="CA87" i="53"/>
  <c r="BS87" i="53"/>
  <c r="BJ87" i="53"/>
  <c r="CU86" i="53"/>
  <c r="CM86" i="53"/>
  <c r="CF86" i="53"/>
  <c r="BY86" i="53"/>
  <c r="BR86" i="53"/>
  <c r="BK86" i="53"/>
  <c r="CV85" i="53"/>
  <c r="CN85" i="53"/>
  <c r="CG85" i="53"/>
  <c r="BZ85" i="53"/>
  <c r="BS85" i="53"/>
  <c r="BL85" i="53"/>
  <c r="CW84" i="53"/>
  <c r="CI94" i="53"/>
  <c r="X92" i="85" s="1"/>
  <c r="BX94" i="53"/>
  <c r="T61" i="85" s="1"/>
  <c r="CN92" i="53"/>
  <c r="V114" i="85" s="1"/>
  <c r="CF92" i="53"/>
  <c r="U90" i="85" s="1"/>
  <c r="BX92" i="53"/>
  <c r="T59" i="85" s="1"/>
  <c r="CP87" i="53"/>
  <c r="CH87" i="53"/>
  <c r="BZ87" i="53"/>
  <c r="BQ87" i="53"/>
  <c r="CT86" i="53"/>
  <c r="CL86" i="53"/>
  <c r="CE86" i="53"/>
  <c r="BX86" i="53"/>
  <c r="BQ86" i="53"/>
  <c r="BJ86" i="53"/>
  <c r="CU85" i="53"/>
  <c r="CM85" i="53"/>
  <c r="CX94" i="53"/>
  <c r="BJ94" i="53"/>
  <c r="T19" i="85" s="1"/>
  <c r="CV92" i="53"/>
  <c r="BZ92" i="53"/>
  <c r="V59" i="85" s="1"/>
  <c r="CN87" i="53"/>
  <c r="BT87" i="53"/>
  <c r="CX86" i="53"/>
  <c r="CN86" i="53"/>
  <c r="BU86" i="53"/>
  <c r="BL86" i="53"/>
  <c r="CQ85" i="53"/>
  <c r="CH85" i="53"/>
  <c r="BY85" i="53"/>
  <c r="BQ85" i="53"/>
  <c r="CT82" i="53"/>
  <c r="CL82" i="53"/>
  <c r="CE82" i="53"/>
  <c r="BX82" i="53"/>
  <c r="BQ82" i="53"/>
  <c r="BJ82" i="53"/>
  <c r="CU81" i="53"/>
  <c r="CM81" i="53"/>
  <c r="CF81" i="53"/>
  <c r="BY81" i="53"/>
  <c r="BR81" i="53"/>
  <c r="BK81" i="53"/>
  <c r="CV80" i="53"/>
  <c r="CN80" i="53"/>
  <c r="CG80" i="53"/>
  <c r="BZ80" i="53"/>
  <c r="BS80" i="53"/>
  <c r="BL80" i="53"/>
  <c r="CW79" i="53"/>
  <c r="CO79" i="53"/>
  <c r="CH79" i="53"/>
  <c r="CA79" i="53"/>
  <c r="BT79" i="53"/>
  <c r="BM79" i="53"/>
  <c r="CX78" i="53"/>
  <c r="CP78" i="53"/>
  <c r="CI78" i="53"/>
  <c r="CB78" i="53"/>
  <c r="BU78" i="53"/>
  <c r="BN78" i="53"/>
  <c r="CQ77" i="53"/>
  <c r="CJ77" i="53"/>
  <c r="CC77" i="53"/>
  <c r="BV77" i="53"/>
  <c r="BO77" i="53"/>
  <c r="CS75" i="53"/>
  <c r="CT74" i="53"/>
  <c r="CL74" i="53"/>
  <c r="CE74" i="53"/>
  <c r="BX74" i="53"/>
  <c r="BQ74" i="53"/>
  <c r="BJ74" i="53"/>
  <c r="CU73" i="53"/>
  <c r="CM73" i="53"/>
  <c r="CF73" i="53"/>
  <c r="BY73" i="53"/>
  <c r="BR73" i="53"/>
  <c r="BK73" i="53"/>
  <c r="CV72" i="53"/>
  <c r="CN72" i="53"/>
  <c r="CG72" i="53"/>
  <c r="BZ72" i="53"/>
  <c r="BS72" i="53"/>
  <c r="BL72" i="53"/>
  <c r="CW71" i="53"/>
  <c r="CO71" i="53"/>
  <c r="CH71" i="53"/>
  <c r="CA71" i="53"/>
  <c r="BT71" i="53"/>
  <c r="BM71" i="53"/>
  <c r="BL107" i="53"/>
  <c r="CC107" i="53"/>
  <c r="CF94" i="53"/>
  <c r="U92" i="85" s="1"/>
  <c r="BU94" i="53"/>
  <c r="X40" i="85" s="1"/>
  <c r="CW92" i="53"/>
  <c r="CJ92" i="53"/>
  <c r="Y90" i="85" s="1"/>
  <c r="CO87" i="53"/>
  <c r="CC87" i="53"/>
  <c r="CH86" i="53"/>
  <c r="BM86" i="53"/>
  <c r="CO85" i="53"/>
  <c r="BV85" i="53"/>
  <c r="BM85" i="53"/>
  <c r="CS84" i="53"/>
  <c r="CJ84" i="53"/>
  <c r="CB84" i="53"/>
  <c r="BT84" i="53"/>
  <c r="BL84" i="53"/>
  <c r="CW82" i="53"/>
  <c r="CN82" i="53"/>
  <c r="CF82" i="53"/>
  <c r="CP81" i="53"/>
  <c r="CH81" i="53"/>
  <c r="BZ81" i="53"/>
  <c r="BQ81" i="53"/>
  <c r="CJ80" i="53"/>
  <c r="CB80" i="53"/>
  <c r="BT80" i="53"/>
  <c r="BK80" i="53"/>
  <c r="CT79" i="53"/>
  <c r="BM107" i="53"/>
  <c r="CU94" i="53"/>
  <c r="CE94" i="53"/>
  <c r="T92" i="85" s="1"/>
  <c r="BR94" i="53"/>
  <c r="U40" i="85" s="1"/>
  <c r="CU92" i="53"/>
  <c r="CH92" i="53"/>
  <c r="W90" i="85" s="1"/>
  <c r="BV92" i="53"/>
  <c r="Y38" i="85" s="1"/>
  <c r="BJ92" i="53"/>
  <c r="T17" i="85" s="1"/>
  <c r="CL87" i="53"/>
  <c r="CB87" i="53"/>
  <c r="BO87" i="53"/>
  <c r="CQ86" i="53"/>
  <c r="CG86" i="53"/>
  <c r="BV86" i="53"/>
  <c r="CL85" i="53"/>
  <c r="BU85" i="53"/>
  <c r="BK85" i="53"/>
  <c r="CQ84" i="53"/>
  <c r="CI84" i="53"/>
  <c r="CA84" i="53"/>
  <c r="BS84" i="53"/>
  <c r="BK84" i="53"/>
  <c r="CV82" i="53"/>
  <c r="CM82" i="53"/>
  <c r="BO82" i="53"/>
  <c r="CX81" i="53"/>
  <c r="CO81" i="53"/>
  <c r="CG81" i="53"/>
  <c r="BX81" i="53"/>
  <c r="CQ80" i="53"/>
  <c r="CI80" i="53"/>
  <c r="CA80" i="53"/>
  <c r="BR80" i="53"/>
  <c r="BJ80" i="53"/>
  <c r="CS79" i="53"/>
  <c r="CC79" i="53"/>
  <c r="BU79" i="53"/>
  <c r="BL79" i="53"/>
  <c r="CU78" i="53"/>
  <c r="CL78" i="53"/>
  <c r="BO78" i="53"/>
  <c r="CW77" i="53"/>
  <c r="CN77" i="53"/>
  <c r="CF77" i="53"/>
  <c r="BX77" i="53"/>
  <c r="CJ75" i="53"/>
  <c r="CB75" i="53"/>
  <c r="BT75" i="53"/>
  <c r="BL75" i="53"/>
  <c r="CU74" i="53"/>
  <c r="BV74" i="53"/>
  <c r="BN74" i="53"/>
  <c r="CW73" i="53"/>
  <c r="CN73" i="53"/>
  <c r="CE73" i="53"/>
  <c r="CP72" i="53"/>
  <c r="CH72" i="53"/>
  <c r="BY72" i="53"/>
  <c r="BQ72" i="53"/>
  <c r="CJ71" i="53"/>
  <c r="CB71" i="53"/>
  <c r="BS71" i="53"/>
  <c r="BK71" i="53"/>
  <c r="CS57" i="53"/>
  <c r="CT56" i="53"/>
  <c r="CL56" i="53"/>
  <c r="T105" i="85" s="1"/>
  <c r="CE56" i="53"/>
  <c r="T81" i="85" s="1"/>
  <c r="BX56" i="53"/>
  <c r="T50" i="85" s="1"/>
  <c r="BQ56" i="53"/>
  <c r="T29" i="85" s="1"/>
  <c r="BJ56" i="53"/>
  <c r="T8" i="85" s="1"/>
  <c r="CV54" i="53"/>
  <c r="CN54" i="53"/>
  <c r="CG54" i="53"/>
  <c r="BZ54" i="53"/>
  <c r="BS54" i="53"/>
  <c r="BL54" i="53"/>
  <c r="CW53" i="53"/>
  <c r="CO53" i="53"/>
  <c r="CH53" i="53"/>
  <c r="CA53" i="53"/>
  <c r="BT53" i="53"/>
  <c r="BM53" i="53"/>
  <c r="CX52" i="53"/>
  <c r="CP52" i="53"/>
  <c r="CI52" i="53"/>
  <c r="CB52" i="53"/>
  <c r="BU52" i="53"/>
  <c r="BN52" i="53"/>
  <c r="CR50" i="53"/>
  <c r="CK50" i="53"/>
  <c r="BW50" i="53"/>
  <c r="BP50" i="53"/>
  <c r="CS49" i="53"/>
  <c r="CT48" i="53"/>
  <c r="CU47" i="53"/>
  <c r="CM47" i="53"/>
  <c r="CF47" i="53"/>
  <c r="BY47" i="53"/>
  <c r="BR47" i="53"/>
  <c r="BK47" i="53"/>
  <c r="CV46" i="53"/>
  <c r="CN46" i="53"/>
  <c r="CG46" i="53"/>
  <c r="BZ46" i="53"/>
  <c r="BS46" i="53"/>
  <c r="BL46" i="53"/>
  <c r="CW45" i="53"/>
  <c r="CO45" i="53"/>
  <c r="CH45" i="53"/>
  <c r="CA45" i="53"/>
  <c r="BT45" i="53"/>
  <c r="BM45" i="53"/>
  <c r="CX44" i="53"/>
  <c r="CP44" i="53"/>
  <c r="CI44" i="53"/>
  <c r="CB44" i="53"/>
  <c r="BU44" i="53"/>
  <c r="BN44" i="53"/>
  <c r="CQ43" i="53"/>
  <c r="CJ43" i="53"/>
  <c r="CC43" i="53"/>
  <c r="BV43" i="53"/>
  <c r="BO43" i="53"/>
  <c r="BO94" i="53"/>
  <c r="Y19" i="85" s="1"/>
  <c r="CM92" i="53"/>
  <c r="U114" i="85" s="1"/>
  <c r="CT87" i="53"/>
  <c r="BM87" i="53"/>
  <c r="CW86" i="53"/>
  <c r="CI86" i="53"/>
  <c r="BS86" i="53"/>
  <c r="CP85" i="53"/>
  <c r="CB85" i="53"/>
  <c r="CO84" i="53"/>
  <c r="CE84" i="53"/>
  <c r="BU84" i="53"/>
  <c r="CS82" i="53"/>
  <c r="CI82" i="53"/>
  <c r="BY82" i="53"/>
  <c r="BM82" i="53"/>
  <c r="CQ81" i="53"/>
  <c r="BU81" i="53"/>
  <c r="BJ81" i="53"/>
  <c r="CX80" i="53"/>
  <c r="CL80" i="53"/>
  <c r="CC80" i="53"/>
  <c r="CU79" i="53"/>
  <c r="CJ79" i="53"/>
  <c r="BZ79" i="53"/>
  <c r="BQ79" i="53"/>
  <c r="CN78" i="53"/>
  <c r="CE78" i="53"/>
  <c r="BV78" i="53"/>
  <c r="BL78" i="53"/>
  <c r="CS77" i="53"/>
  <c r="CI77" i="53"/>
  <c r="BZ77" i="53"/>
  <c r="BQ77" i="53"/>
  <c r="CQ75" i="53"/>
  <c r="CH75" i="53"/>
  <c r="BY75" i="53"/>
  <c r="CW74" i="53"/>
  <c r="CM74" i="53"/>
  <c r="CC74" i="53"/>
  <c r="BT74" i="53"/>
  <c r="BK74" i="53"/>
  <c r="CQ73" i="53"/>
  <c r="CH73" i="53"/>
  <c r="BX73" i="53"/>
  <c r="BO73" i="53"/>
  <c r="CU72" i="53"/>
  <c r="CC72" i="53"/>
  <c r="BT72" i="53"/>
  <c r="BJ72" i="53"/>
  <c r="CP71" i="53"/>
  <c r="CF71" i="53"/>
  <c r="BO71" i="53"/>
  <c r="CV58" i="53"/>
  <c r="CE58" i="53"/>
  <c r="T83" i="85" s="1"/>
  <c r="CX57" i="53"/>
  <c r="BQ57" i="53"/>
  <c r="T30" i="85" s="1"/>
  <c r="CU54" i="53"/>
  <c r="CL54" i="53"/>
  <c r="BO54" i="53"/>
  <c r="CX53" i="53"/>
  <c r="CN53" i="53"/>
  <c r="CF53" i="53"/>
  <c r="BX53" i="53"/>
  <c r="CQ52" i="53"/>
  <c r="CH52" i="53"/>
  <c r="BZ52" i="53"/>
  <c r="BR52" i="53"/>
  <c r="BJ52" i="53"/>
  <c r="CU50" i="53"/>
  <c r="CL50" i="53"/>
  <c r="BV50" i="53"/>
  <c r="BN50" i="53"/>
  <c r="CW49" i="53"/>
  <c r="CN49" i="53"/>
  <c r="CF49" i="53"/>
  <c r="BP49" i="53"/>
  <c r="CJ47" i="53"/>
  <c r="CB47" i="53"/>
  <c r="BT47" i="53"/>
  <c r="BL47" i="53"/>
  <c r="CT46" i="53"/>
  <c r="BV46" i="53"/>
  <c r="BN46" i="53"/>
  <c r="CV45" i="53"/>
  <c r="CM45" i="53"/>
  <c r="CE45" i="53"/>
  <c r="CO44" i="53"/>
  <c r="CG44" i="53"/>
  <c r="BY44" i="53"/>
  <c r="BQ44" i="53"/>
  <c r="CI43" i="53"/>
  <c r="CA43" i="53"/>
  <c r="BS43" i="53"/>
  <c r="BK43" i="53"/>
  <c r="CU42" i="53"/>
  <c r="CM42" i="53"/>
  <c r="CF42" i="53"/>
  <c r="BY42" i="53"/>
  <c r="BR42" i="53"/>
  <c r="BK42" i="53"/>
  <c r="CV41" i="53"/>
  <c r="CN41" i="53"/>
  <c r="CG41" i="53"/>
  <c r="BZ41" i="53"/>
  <c r="BS41" i="53"/>
  <c r="BL41" i="53"/>
  <c r="CW40" i="53"/>
  <c r="CO40" i="53"/>
  <c r="CH40" i="53"/>
  <c r="CA40" i="53"/>
  <c r="BT40" i="53"/>
  <c r="BM40" i="53"/>
  <c r="CX39" i="53"/>
  <c r="CP39" i="53"/>
  <c r="CI39" i="53"/>
  <c r="CB39" i="53"/>
  <c r="BU39" i="53"/>
  <c r="BN39" i="53"/>
  <c r="CS36" i="53"/>
  <c r="CT35" i="53"/>
  <c r="CL35" i="53"/>
  <c r="CE35" i="53"/>
  <c r="BX35" i="53"/>
  <c r="BQ35" i="53"/>
  <c r="BJ35" i="53"/>
  <c r="CU34" i="53"/>
  <c r="CM34" i="53"/>
  <c r="CF34" i="53"/>
  <c r="BY34" i="53"/>
  <c r="BR34" i="53"/>
  <c r="BK34" i="53"/>
  <c r="CV33" i="53"/>
  <c r="CN33" i="53"/>
  <c r="CG33" i="53"/>
  <c r="BZ33" i="53"/>
  <c r="BS33" i="53"/>
  <c r="BL33" i="53"/>
  <c r="CW32" i="53"/>
  <c r="CO32" i="53"/>
  <c r="CH32" i="53"/>
  <c r="CA32" i="53"/>
  <c r="BT32" i="53"/>
  <c r="BM32" i="53"/>
  <c r="CX31" i="53"/>
  <c r="CP31" i="53"/>
  <c r="CI31" i="53"/>
  <c r="CB31" i="53"/>
  <c r="BU31" i="53"/>
  <c r="BN31" i="53"/>
  <c r="CQ30" i="53"/>
  <c r="CJ30" i="53"/>
  <c r="CC30" i="53"/>
  <c r="BV30" i="53"/>
  <c r="BO30" i="53"/>
  <c r="CS28" i="53"/>
  <c r="CT27" i="53"/>
  <c r="CL27" i="53"/>
  <c r="CE27" i="53"/>
  <c r="BX27" i="53"/>
  <c r="BQ27" i="53"/>
  <c r="BJ27" i="53"/>
  <c r="CU26" i="53"/>
  <c r="CM26" i="53"/>
  <c r="CF26" i="53"/>
  <c r="BY26" i="53"/>
  <c r="BR26" i="53"/>
  <c r="BK26" i="53"/>
  <c r="CW24" i="53"/>
  <c r="CX23" i="53"/>
  <c r="CP23" i="53"/>
  <c r="CI23" i="53"/>
  <c r="CB23" i="53"/>
  <c r="BU23" i="53"/>
  <c r="BN23" i="53"/>
  <c r="CQ22" i="53"/>
  <c r="CJ22" i="53"/>
  <c r="CC22" i="53"/>
  <c r="BV22" i="53"/>
  <c r="BO22" i="53"/>
  <c r="CS20" i="53"/>
  <c r="CT19" i="53"/>
  <c r="CL19" i="53"/>
  <c r="CE19" i="53"/>
  <c r="BX19" i="53"/>
  <c r="BQ19" i="53"/>
  <c r="BJ19" i="53"/>
  <c r="CW16" i="53"/>
  <c r="CO16" i="53"/>
  <c r="CH16" i="53"/>
  <c r="CA16" i="53"/>
  <c r="BT16" i="53"/>
  <c r="BM16" i="53"/>
  <c r="CX15" i="53"/>
  <c r="CP15" i="53"/>
  <c r="CI15" i="53"/>
  <c r="CB15" i="53"/>
  <c r="BU15" i="53"/>
  <c r="BN15" i="53"/>
  <c r="CQ14" i="53"/>
  <c r="CJ14" i="53"/>
  <c r="CC14" i="53"/>
  <c r="BV14" i="53"/>
  <c r="BO14" i="53"/>
  <c r="BN94" i="53"/>
  <c r="X19" i="85" s="1"/>
  <c r="CL92" i="53"/>
  <c r="T114" i="85" s="1"/>
  <c r="BT92" i="53"/>
  <c r="W38" i="85" s="1"/>
  <c r="CS87" i="53"/>
  <c r="BX87" i="53"/>
  <c r="BL87" i="53"/>
  <c r="CV86" i="53"/>
  <c r="CA85" i="53"/>
  <c r="BO85" i="53"/>
  <c r="CN84" i="53"/>
  <c r="BR84" i="53"/>
  <c r="CH82" i="53"/>
  <c r="BV82" i="53"/>
  <c r="BL82" i="53"/>
  <c r="CN81" i="53"/>
  <c r="BT81" i="53"/>
  <c r="CW80" i="53"/>
  <c r="BY80" i="53"/>
  <c r="CI79" i="53"/>
  <c r="BY79" i="53"/>
  <c r="CW78" i="53"/>
  <c r="CM78" i="53"/>
  <c r="BT78" i="53"/>
  <c r="BK78" i="53"/>
  <c r="CH77" i="53"/>
  <c r="BY77" i="53"/>
  <c r="CP75" i="53"/>
  <c r="CG75" i="53"/>
  <c r="BX75" i="53"/>
  <c r="BO75" i="53"/>
  <c r="CV74" i="53"/>
  <c r="CK74" i="53"/>
  <c r="CB74" i="53"/>
  <c r="BS74" i="53"/>
  <c r="CP73" i="53"/>
  <c r="CG73" i="53"/>
  <c r="BW73" i="53"/>
  <c r="BN73" i="53"/>
  <c r="CT72" i="53"/>
  <c r="CK72" i="53"/>
  <c r="CB72" i="53"/>
  <c r="BR72" i="53"/>
  <c r="CN71" i="53"/>
  <c r="CE71" i="53"/>
  <c r="BN71" i="53"/>
  <c r="CP94" i="53"/>
  <c r="X116" i="85" s="1"/>
  <c r="BQ94" i="53"/>
  <c r="T40" i="85" s="1"/>
  <c r="BR92" i="53"/>
  <c r="U38" i="85" s="1"/>
  <c r="CX87" i="53"/>
  <c r="CE87" i="53"/>
  <c r="BT86" i="53"/>
  <c r="CX85" i="53"/>
  <c r="CF85" i="53"/>
  <c r="CX84" i="53"/>
  <c r="CH84" i="53"/>
  <c r="BV84" i="53"/>
  <c r="CJ82" i="53"/>
  <c r="BT82" i="53"/>
  <c r="CB81" i="53"/>
  <c r="BN81" i="53"/>
  <c r="CH80" i="53"/>
  <c r="BV80" i="53"/>
  <c r="CP79" i="53"/>
  <c r="BR79" i="53"/>
  <c r="CF78" i="53"/>
  <c r="BR78" i="53"/>
  <c r="CT77" i="53"/>
  <c r="CE77" i="53"/>
  <c r="BT77" i="53"/>
  <c r="CV75" i="53"/>
  <c r="CI75" i="53"/>
  <c r="BV75" i="53"/>
  <c r="BJ75" i="53"/>
  <c r="CX74" i="53"/>
  <c r="CI74" i="53"/>
  <c r="BL74" i="53"/>
  <c r="CX73" i="53"/>
  <c r="BZ73" i="53"/>
  <c r="BL73" i="53"/>
  <c r="CL72" i="53"/>
  <c r="BX72" i="53"/>
  <c r="BN72" i="53"/>
  <c r="CL71" i="53"/>
  <c r="BZ71" i="53"/>
  <c r="CT58" i="53"/>
  <c r="CE57" i="53"/>
  <c r="T82" i="85" s="1"/>
  <c r="CS56" i="53"/>
  <c r="CI54" i="53"/>
  <c r="BY54" i="53"/>
  <c r="BK107" i="53"/>
  <c r="CM94" i="53"/>
  <c r="U116" i="85" s="1"/>
  <c r="CW87" i="53"/>
  <c r="CW85" i="53"/>
  <c r="CE85" i="53"/>
  <c r="BN85" i="53"/>
  <c r="CV84" i="53"/>
  <c r="CG84" i="53"/>
  <c r="BQ84" i="53"/>
  <c r="CX82" i="53"/>
  <c r="CG82" i="53"/>
  <c r="BS82" i="53"/>
  <c r="CL81" i="53"/>
  <c r="CA81" i="53"/>
  <c r="BM81" i="53"/>
  <c r="CU80" i="53"/>
  <c r="CF80" i="53"/>
  <c r="BU80" i="53"/>
  <c r="CN79" i="53"/>
  <c r="CQ78" i="53"/>
  <c r="CC78" i="53"/>
  <c r="BQ78" i="53"/>
  <c r="CP77" i="53"/>
  <c r="BS77" i="53"/>
  <c r="CU75" i="53"/>
  <c r="CF75" i="53"/>
  <c r="BU75" i="53"/>
  <c r="CS74" i="53"/>
  <c r="CH74" i="53"/>
  <c r="CV73" i="53"/>
  <c r="CJ73" i="53"/>
  <c r="BV73" i="53"/>
  <c r="BJ73" i="53"/>
  <c r="CX72" i="53"/>
  <c r="CJ72" i="53"/>
  <c r="BM72" i="53"/>
  <c r="CX71" i="53"/>
  <c r="BY71" i="53"/>
  <c r="BL71" i="53"/>
  <c r="CS58" i="53"/>
  <c r="BQ58" i="53"/>
  <c r="T31" i="85" s="1"/>
  <c r="CW57" i="53"/>
  <c r="CQ54" i="53"/>
  <c r="CH54" i="53"/>
  <c r="BX54" i="53"/>
  <c r="CU53" i="53"/>
  <c r="CC53" i="53"/>
  <c r="BS53" i="53"/>
  <c r="BJ53" i="53"/>
  <c r="CO52" i="53"/>
  <c r="CF52" i="53"/>
  <c r="BO52" i="53"/>
  <c r="CO50" i="53"/>
  <c r="CF50" i="53"/>
  <c r="BM50" i="53"/>
  <c r="CT49" i="53"/>
  <c r="CJ49" i="53"/>
  <c r="BR49" i="53"/>
  <c r="CX48" i="53"/>
  <c r="CS47" i="53"/>
  <c r="CI47" i="53"/>
  <c r="BZ47" i="53"/>
  <c r="CX46" i="53"/>
  <c r="CM46" i="53"/>
  <c r="BU46" i="53"/>
  <c r="BK46" i="53"/>
  <c r="CI45" i="53"/>
  <c r="BY45" i="53"/>
  <c r="CV44" i="53"/>
  <c r="CL44" i="53"/>
  <c r="BT44" i="53"/>
  <c r="BK44" i="53"/>
  <c r="CP43" i="53"/>
  <c r="CG43" i="53"/>
  <c r="BX43" i="53"/>
  <c r="CW42" i="53"/>
  <c r="CN42" i="53"/>
  <c r="CE42" i="53"/>
  <c r="CP41" i="53"/>
  <c r="CH41" i="53"/>
  <c r="BY41" i="53"/>
  <c r="BQ41" i="53"/>
  <c r="CJ40" i="53"/>
  <c r="CB40" i="53"/>
  <c r="BS40" i="53"/>
  <c r="BK40" i="53"/>
  <c r="CT39" i="53"/>
  <c r="BV39" i="53"/>
  <c r="BM39" i="53"/>
  <c r="CX37" i="53"/>
  <c r="CO37" i="53"/>
  <c r="CG37" i="53"/>
  <c r="BY37" i="53"/>
  <c r="BQ37" i="53"/>
  <c r="CQ36" i="53"/>
  <c r="CI36" i="53"/>
  <c r="CA36" i="53"/>
  <c r="BS36" i="53"/>
  <c r="BK36" i="53"/>
  <c r="CS35" i="53"/>
  <c r="CC35" i="53"/>
  <c r="BU35" i="53"/>
  <c r="BM35" i="53"/>
  <c r="CV34" i="53"/>
  <c r="CL34" i="53"/>
  <c r="BO34" i="53"/>
  <c r="CX33" i="53"/>
  <c r="CO33" i="53"/>
  <c r="CF33" i="53"/>
  <c r="BX33" i="53"/>
  <c r="CQ32" i="53"/>
  <c r="CI32" i="53"/>
  <c r="BZ32" i="53"/>
  <c r="BR32" i="53"/>
  <c r="CL94" i="53"/>
  <c r="T116" i="85" s="1"/>
  <c r="CE92" i="53"/>
  <c r="T90" i="85" s="1"/>
  <c r="BZ86" i="53"/>
  <c r="CT85" i="53"/>
  <c r="CF84" i="53"/>
  <c r="BN84" i="53"/>
  <c r="BR82" i="53"/>
  <c r="CW81" i="53"/>
  <c r="CE81" i="53"/>
  <c r="BL81" i="53"/>
  <c r="CP80" i="53"/>
  <c r="BV79" i="53"/>
  <c r="CL77" i="53"/>
  <c r="CN75" i="53"/>
  <c r="BZ75" i="53"/>
  <c r="CP74" i="53"/>
  <c r="BZ74" i="53"/>
  <c r="CB73" i="53"/>
  <c r="CR72" i="53"/>
  <c r="BK72" i="53"/>
  <c r="CT71" i="53"/>
  <c r="BJ71" i="53"/>
  <c r="CT57" i="53"/>
  <c r="CV56" i="53"/>
  <c r="CX54" i="53"/>
  <c r="BK54" i="53"/>
  <c r="CP53" i="53"/>
  <c r="BU53" i="53"/>
  <c r="CW52" i="53"/>
  <c r="CL52" i="53"/>
  <c r="CC52" i="53"/>
  <c r="BQ52" i="53"/>
  <c r="CS50" i="53"/>
  <c r="CH50" i="53"/>
  <c r="BL50" i="53"/>
  <c r="CP49" i="53"/>
  <c r="CE49" i="53"/>
  <c r="BU49" i="53"/>
  <c r="BK49" i="53"/>
  <c r="CW47" i="53"/>
  <c r="CA47" i="53"/>
  <c r="CS46" i="53"/>
  <c r="CI46" i="53"/>
  <c r="BX46" i="53"/>
  <c r="BO46" i="53"/>
  <c r="CQ45" i="53"/>
  <c r="CF45" i="53"/>
  <c r="BV45" i="53"/>
  <c r="BK45" i="53"/>
  <c r="CN44" i="53"/>
  <c r="BS44" i="53"/>
  <c r="CW43" i="53"/>
  <c r="CL43" i="53"/>
  <c r="CB43" i="53"/>
  <c r="BQ43" i="53"/>
  <c r="CV42" i="53"/>
  <c r="CC42" i="53"/>
  <c r="BT42" i="53"/>
  <c r="BJ42" i="53"/>
  <c r="CQ41" i="53"/>
  <c r="CF41" i="53"/>
  <c r="BO41" i="53"/>
  <c r="CU40" i="53"/>
  <c r="CC40" i="53"/>
  <c r="BR40" i="53"/>
  <c r="CO39" i="53"/>
  <c r="CF39" i="53"/>
  <c r="BO39" i="53"/>
  <c r="CN37" i="53"/>
  <c r="CE37" i="53"/>
  <c r="BV37" i="53"/>
  <c r="BM37" i="53"/>
  <c r="CT36" i="53"/>
  <c r="CJ36" i="53"/>
  <c r="BZ36" i="53"/>
  <c r="BQ36" i="53"/>
  <c r="CX35" i="53"/>
  <c r="CN35" i="53"/>
  <c r="BV35" i="53"/>
  <c r="BL35" i="53"/>
  <c r="CI34" i="53"/>
  <c r="BZ34" i="53"/>
  <c r="CW33" i="53"/>
  <c r="CL33" i="53"/>
  <c r="BU33" i="53"/>
  <c r="BK33" i="53"/>
  <c r="CG32" i="53"/>
  <c r="BX32" i="53"/>
  <c r="CO31" i="53"/>
  <c r="CG31" i="53"/>
  <c r="BY31" i="53"/>
  <c r="BQ31" i="53"/>
  <c r="CI30" i="53"/>
  <c r="CA30" i="53"/>
  <c r="BS30" i="53"/>
  <c r="BK30" i="53"/>
  <c r="CV28" i="53"/>
  <c r="CM28" i="53"/>
  <c r="CE28" i="53"/>
  <c r="BO28" i="53"/>
  <c r="CX27" i="53"/>
  <c r="CO27" i="53"/>
  <c r="CG27" i="53"/>
  <c r="BY27" i="53"/>
  <c r="CQ26" i="53"/>
  <c r="CI26" i="53"/>
  <c r="CA26" i="53"/>
  <c r="BS26" i="53"/>
  <c r="BJ26" i="53"/>
  <c r="CU24" i="53"/>
  <c r="CW23" i="53"/>
  <c r="CN23" i="53"/>
  <c r="CF23" i="53"/>
  <c r="BX23" i="53"/>
  <c r="CP22" i="53"/>
  <c r="CH22" i="53"/>
  <c r="BZ22" i="53"/>
  <c r="BR22" i="53"/>
  <c r="BJ22" i="53"/>
  <c r="CS21" i="53"/>
  <c r="CU20" i="53"/>
  <c r="CL20" i="53"/>
  <c r="BV20" i="53"/>
  <c r="BN20" i="53"/>
  <c r="CW19" i="53"/>
  <c r="CN19" i="53"/>
  <c r="CF19" i="53"/>
  <c r="CT16" i="53"/>
  <c r="BV16" i="53"/>
  <c r="BN16" i="53"/>
  <c r="BV87" i="53"/>
  <c r="CS86" i="53"/>
  <c r="CS85" i="53"/>
  <c r="CC84" i="53"/>
  <c r="BM84" i="53"/>
  <c r="CV81" i="53"/>
  <c r="CC81" i="53"/>
  <c r="CO80" i="53"/>
  <c r="CG79" i="53"/>
  <c r="BS79" i="53"/>
  <c r="CJ78" i="53"/>
  <c r="BS78" i="53"/>
  <c r="BU77" i="53"/>
  <c r="CM75" i="53"/>
  <c r="CO74" i="53"/>
  <c r="BY74" i="53"/>
  <c r="CO73" i="53"/>
  <c r="CA73" i="53"/>
  <c r="CQ72" i="53"/>
  <c r="CA72" i="53"/>
  <c r="CS71" i="53"/>
  <c r="CC71" i="53"/>
  <c r="CU56" i="53"/>
  <c r="CW54" i="53"/>
  <c r="CJ54" i="53"/>
  <c r="BV54" i="53"/>
  <c r="BJ54" i="53"/>
  <c r="CM53" i="53"/>
  <c r="BR53" i="53"/>
  <c r="CV52" i="53"/>
  <c r="CA52" i="53"/>
  <c r="CQ50" i="53"/>
  <c r="CG50" i="53"/>
  <c r="BU50" i="53"/>
  <c r="BK50" i="53"/>
  <c r="CO49" i="53"/>
  <c r="BT49" i="53"/>
  <c r="BJ49" i="53"/>
  <c r="CW48" i="53"/>
  <c r="CV47" i="53"/>
  <c r="BX47" i="53"/>
  <c r="BO47" i="53"/>
  <c r="CH46" i="53"/>
  <c r="BM46" i="53"/>
  <c r="CP45" i="53"/>
  <c r="BU45" i="53"/>
  <c r="BJ45" i="53"/>
  <c r="CM44" i="53"/>
  <c r="CC44" i="53"/>
  <c r="BR44" i="53"/>
  <c r="CV43" i="53"/>
  <c r="BZ43" i="53"/>
  <c r="CT42" i="53"/>
  <c r="CB42" i="53"/>
  <c r="BS42" i="53"/>
  <c r="CO41" i="53"/>
  <c r="CE41" i="53"/>
  <c r="BN41" i="53"/>
  <c r="CT40" i="53"/>
  <c r="BZ40" i="53"/>
  <c r="BQ40" i="53"/>
  <c r="CN39" i="53"/>
  <c r="CE39" i="53"/>
  <c r="BL39" i="53"/>
  <c r="CW37" i="53"/>
  <c r="CM37" i="53"/>
  <c r="BU37" i="53"/>
  <c r="BL37" i="53"/>
  <c r="CH36" i="53"/>
  <c r="BY36" i="53"/>
  <c r="CW35" i="53"/>
  <c r="CM35" i="53"/>
  <c r="BT35" i="53"/>
  <c r="BK35" i="53"/>
  <c r="CQ34" i="53"/>
  <c r="CH34" i="53"/>
  <c r="BX34" i="53"/>
  <c r="CU33" i="53"/>
  <c r="CC33" i="53"/>
  <c r="BT33" i="53"/>
  <c r="BJ33" i="53"/>
  <c r="CP32" i="53"/>
  <c r="CF32" i="53"/>
  <c r="BO32" i="53"/>
  <c r="CW31" i="53"/>
  <c r="CN31" i="53"/>
  <c r="CF31" i="53"/>
  <c r="BX31" i="53"/>
  <c r="CP30" i="53"/>
  <c r="CH30" i="53"/>
  <c r="BZ30" i="53"/>
  <c r="BR30" i="53"/>
  <c r="BJ30" i="53"/>
  <c r="CU28" i="53"/>
  <c r="CL28" i="53"/>
  <c r="BV28" i="53"/>
  <c r="BN28" i="53"/>
  <c r="CW27" i="53"/>
  <c r="CN27" i="53"/>
  <c r="CF27" i="53"/>
  <c r="CP26" i="53"/>
  <c r="CH26" i="53"/>
  <c r="BZ26" i="53"/>
  <c r="BQ26" i="53"/>
  <c r="CT24" i="53"/>
  <c r="CV23" i="53"/>
  <c r="CM23" i="53"/>
  <c r="CE23" i="53"/>
  <c r="CX22" i="53"/>
  <c r="CO22" i="53"/>
  <c r="CG22" i="53"/>
  <c r="BY22" i="53"/>
  <c r="BQ22" i="53"/>
  <c r="CT20" i="53"/>
  <c r="CC20" i="53"/>
  <c r="BU20" i="53"/>
  <c r="BM20" i="53"/>
  <c r="CV19" i="53"/>
  <c r="CM19" i="53"/>
  <c r="BO19" i="53"/>
  <c r="CS16" i="53"/>
  <c r="CC16" i="53"/>
  <c r="BU16" i="53"/>
  <c r="BL16" i="53"/>
  <c r="CU15" i="53"/>
  <c r="CL15" i="53"/>
  <c r="BO15" i="53"/>
  <c r="CW14" i="53"/>
  <c r="CN14" i="53"/>
  <c r="CF14" i="53"/>
  <c r="BX14" i="53"/>
  <c r="CP13" i="53"/>
  <c r="CH13" i="53"/>
  <c r="BZ13" i="53"/>
  <c r="BR13" i="53"/>
  <c r="BJ13" i="53"/>
  <c r="CC94" i="53"/>
  <c r="Y61" i="85" s="1"/>
  <c r="CV87" i="53"/>
  <c r="BU87" i="53"/>
  <c r="CP86" i="53"/>
  <c r="BO86" i="53"/>
  <c r="BT85" i="53"/>
  <c r="CU84" i="53"/>
  <c r="BZ84" i="53"/>
  <c r="BJ84" i="53"/>
  <c r="BN82" i="53"/>
  <c r="CT81" i="53"/>
  <c r="CM80" i="53"/>
  <c r="BQ80" i="53"/>
  <c r="CF79" i="53"/>
  <c r="BO79" i="53"/>
  <c r="CH78" i="53"/>
  <c r="BR77" i="53"/>
  <c r="CL75" i="53"/>
  <c r="BS75" i="53"/>
  <c r="CN74" i="53"/>
  <c r="BU74" i="53"/>
  <c r="CL73" i="53"/>
  <c r="BU73" i="53"/>
  <c r="CO72" i="53"/>
  <c r="CQ71" i="53"/>
  <c r="BX71" i="53"/>
  <c r="CT54" i="53"/>
  <c r="CF54" i="53"/>
  <c r="BU54" i="53"/>
  <c r="CL53" i="53"/>
  <c r="CB53" i="53"/>
  <c r="BQ53" i="53"/>
  <c r="CU52" i="53"/>
  <c r="BY52" i="53"/>
  <c r="CP50" i="53"/>
  <c r="CE50" i="53"/>
  <c r="BT50" i="53"/>
  <c r="BJ50" i="53"/>
  <c r="CM49" i="53"/>
  <c r="BS49" i="53"/>
  <c r="CV48" i="53"/>
  <c r="CT47" i="53"/>
  <c r="CH47" i="53"/>
  <c r="BN47" i="53"/>
  <c r="CQ46" i="53"/>
  <c r="CF46" i="53"/>
  <c r="BJ46" i="53"/>
  <c r="CN45" i="53"/>
  <c r="BS45" i="53"/>
  <c r="CW44" i="53"/>
  <c r="CA44" i="53"/>
  <c r="CU43" i="53"/>
  <c r="BY43" i="53"/>
  <c r="BN43" i="53"/>
  <c r="CS42" i="53"/>
  <c r="CJ42" i="53"/>
  <c r="CA42" i="53"/>
  <c r="BQ42" i="53"/>
  <c r="CX41" i="53"/>
  <c r="CM41" i="53"/>
  <c r="BV41" i="53"/>
  <c r="BM41" i="53"/>
  <c r="CS40" i="53"/>
  <c r="CI40" i="53"/>
  <c r="BY40" i="53"/>
  <c r="CW39" i="53"/>
  <c r="CM39" i="53"/>
  <c r="BT39" i="53"/>
  <c r="BK39" i="53"/>
  <c r="CV37" i="53"/>
  <c r="CL37" i="53"/>
  <c r="CC37" i="53"/>
  <c r="BT37" i="53"/>
  <c r="BK37" i="53"/>
  <c r="CP36" i="53"/>
  <c r="CG36" i="53"/>
  <c r="BX36" i="53"/>
  <c r="BO36" i="53"/>
  <c r="CV35" i="53"/>
  <c r="CB35" i="53"/>
  <c r="BS35" i="53"/>
  <c r="CP34" i="53"/>
  <c r="CG34" i="53"/>
  <c r="BN34" i="53"/>
  <c r="CT33" i="53"/>
  <c r="CB33" i="53"/>
  <c r="BR33" i="53"/>
  <c r="CN32" i="53"/>
  <c r="CE32" i="53"/>
  <c r="BN32" i="53"/>
  <c r="CV31" i="53"/>
  <c r="CM31" i="53"/>
  <c r="CE31" i="53"/>
  <c r="CX30" i="53"/>
  <c r="CO30" i="53"/>
  <c r="CG30" i="53"/>
  <c r="BY30" i="53"/>
  <c r="BQ30" i="53"/>
  <c r="CT28" i="53"/>
  <c r="CC28" i="53"/>
  <c r="BU28" i="53"/>
  <c r="BM28" i="53"/>
  <c r="CV27" i="53"/>
  <c r="CM27" i="53"/>
  <c r="BO27" i="53"/>
  <c r="CX26" i="53"/>
  <c r="CO26" i="53"/>
  <c r="CG26" i="53"/>
  <c r="BX26" i="53"/>
  <c r="CS24" i="53"/>
  <c r="CU23" i="53"/>
  <c r="CL23" i="53"/>
  <c r="BO23" i="53"/>
  <c r="CW22" i="53"/>
  <c r="CN22" i="53"/>
  <c r="CF22" i="53"/>
  <c r="BX22" i="53"/>
  <c r="CJ20" i="53"/>
  <c r="CB20" i="53"/>
  <c r="BT20" i="53"/>
  <c r="BL20" i="53"/>
  <c r="CU19" i="53"/>
  <c r="BV19" i="53"/>
  <c r="BN19" i="53"/>
  <c r="CJ16" i="53"/>
  <c r="CB16" i="53"/>
  <c r="BS16" i="53"/>
  <c r="BK16" i="53"/>
  <c r="CT15" i="53"/>
  <c r="BV15" i="53"/>
  <c r="BM15" i="53"/>
  <c r="CV14" i="53"/>
  <c r="CM14" i="53"/>
  <c r="CE14" i="53"/>
  <c r="CX13" i="53"/>
  <c r="CO13" i="53"/>
  <c r="CG13" i="53"/>
  <c r="BY13" i="53"/>
  <c r="BQ13" i="53"/>
  <c r="CA107" i="53"/>
  <c r="BV94" i="53"/>
  <c r="Y40" i="85" s="1"/>
  <c r="CJ87" i="53"/>
  <c r="CJ86" i="53"/>
  <c r="BY84" i="53"/>
  <c r="CO82" i="53"/>
  <c r="CT80" i="53"/>
  <c r="BN80" i="53"/>
  <c r="CL79" i="53"/>
  <c r="BJ79" i="53"/>
  <c r="CG78" i="53"/>
  <c r="BJ77" i="53"/>
  <c r="CC75" i="53"/>
  <c r="CA74" i="53"/>
  <c r="BT73" i="53"/>
  <c r="CW72" i="53"/>
  <c r="BU72" i="53"/>
  <c r="CU71" i="53"/>
  <c r="BR71" i="53"/>
  <c r="BX57" i="53"/>
  <c r="T51" i="85" s="1"/>
  <c r="CB107" i="53"/>
  <c r="CG87" i="53"/>
  <c r="CC86" i="53"/>
  <c r="BX84" i="53"/>
  <c r="CC82" i="53"/>
  <c r="BV81" i="53"/>
  <c r="CS80" i="53"/>
  <c r="BM80" i="53"/>
  <c r="CE79" i="53"/>
  <c r="CA78" i="53"/>
  <c r="CB77" i="53"/>
  <c r="CX75" i="53"/>
  <c r="CA75" i="53"/>
  <c r="BR74" i="53"/>
  <c r="CT73" i="53"/>
  <c r="BS73" i="53"/>
  <c r="CS72" i="53"/>
  <c r="CM71" i="53"/>
  <c r="BQ71" i="53"/>
  <c r="CX58" i="53"/>
  <c r="CL57" i="53"/>
  <c r="T106" i="85" s="1"/>
  <c r="CE54" i="53"/>
  <c r="BN54" i="53"/>
  <c r="CT53" i="53"/>
  <c r="CE53" i="53"/>
  <c r="BN53" i="53"/>
  <c r="CT52" i="53"/>
  <c r="BL52" i="53"/>
  <c r="CV50" i="53"/>
  <c r="BO50" i="53"/>
  <c r="CU49" i="53"/>
  <c r="BM49" i="53"/>
  <c r="CS48" i="53"/>
  <c r="CQ47" i="53"/>
  <c r="BJ47" i="53"/>
  <c r="CU46" i="53"/>
  <c r="CB46" i="53"/>
  <c r="CT45" i="53"/>
  <c r="CB45" i="53"/>
  <c r="BL45" i="53"/>
  <c r="CS44" i="53"/>
  <c r="BZ44" i="53"/>
  <c r="BL44" i="53"/>
  <c r="CS43" i="53"/>
  <c r="BJ43" i="53"/>
  <c r="BO42" i="53"/>
  <c r="BU41" i="53"/>
  <c r="CP40" i="53"/>
  <c r="BN40" i="53"/>
  <c r="CV39" i="53"/>
  <c r="CH39" i="53"/>
  <c r="BR39" i="53"/>
  <c r="CT37" i="53"/>
  <c r="CF37" i="53"/>
  <c r="CL36" i="53"/>
  <c r="BV36" i="53"/>
  <c r="CQ35" i="53"/>
  <c r="CA35" i="53"/>
  <c r="BO35" i="53"/>
  <c r="CX34" i="53"/>
  <c r="CJ34" i="53"/>
  <c r="BT34" i="53"/>
  <c r="CP33" i="53"/>
  <c r="BY33" i="53"/>
  <c r="BM33" i="53"/>
  <c r="CU32" i="53"/>
  <c r="BQ32" i="53"/>
  <c r="CQ31" i="53"/>
  <c r="CC31" i="53"/>
  <c r="BO31" i="53"/>
  <c r="CM30" i="53"/>
  <c r="CB30" i="53"/>
  <c r="BN30" i="53"/>
  <c r="CJ28" i="53"/>
  <c r="BY28" i="53"/>
  <c r="BK28" i="53"/>
  <c r="CJ27" i="53"/>
  <c r="BV27" i="53"/>
  <c r="BK27" i="53"/>
  <c r="CV26" i="53"/>
  <c r="CJ26" i="53"/>
  <c r="BV26" i="53"/>
  <c r="BR23" i="53"/>
  <c r="CN20" i="53"/>
  <c r="BZ20" i="53"/>
  <c r="BO20" i="53"/>
  <c r="BZ19" i="53"/>
  <c r="BL19" i="53"/>
  <c r="CV16" i="53"/>
  <c r="CG16" i="53"/>
  <c r="CV15" i="53"/>
  <c r="CJ15" i="53"/>
  <c r="BY15" i="53"/>
  <c r="CG14" i="53"/>
  <c r="BU14" i="53"/>
  <c r="BK14" i="53"/>
  <c r="CM13" i="53"/>
  <c r="CC13" i="53"/>
  <c r="BS13" i="53"/>
  <c r="BJ107" i="53"/>
  <c r="CB86" i="53"/>
  <c r="CJ85" i="53"/>
  <c r="CB82" i="53"/>
  <c r="BS81" i="53"/>
  <c r="CB79" i="53"/>
  <c r="BZ78" i="53"/>
  <c r="CX77" i="53"/>
  <c r="CA77" i="53"/>
  <c r="CW75" i="53"/>
  <c r="BR75" i="53"/>
  <c r="CR74" i="53"/>
  <c r="CS73" i="53"/>
  <c r="BQ73" i="53"/>
  <c r="CM72" i="53"/>
  <c r="CW58" i="53"/>
  <c r="BJ58" i="53"/>
  <c r="T10" i="85" s="1"/>
  <c r="CX56" i="53"/>
  <c r="BM54" i="53"/>
  <c r="CS53" i="53"/>
  <c r="BZ53" i="53"/>
  <c r="BL53" i="53"/>
  <c r="CS52" i="53"/>
  <c r="BK52" i="53"/>
  <c r="CT50" i="53"/>
  <c r="CR49" i="53"/>
  <c r="BL49" i="53"/>
  <c r="CP47" i="53"/>
  <c r="CC47" i="53"/>
  <c r="CP46" i="53"/>
  <c r="CA46" i="53"/>
  <c r="CS45" i="53"/>
  <c r="BZ45" i="53"/>
  <c r="BX44" i="53"/>
  <c r="BJ44" i="53"/>
  <c r="CO43" i="53"/>
  <c r="CQ42" i="53"/>
  <c r="BN42" i="53"/>
  <c r="CW41" i="53"/>
  <c r="CJ41" i="53"/>
  <c r="BT41" i="53"/>
  <c r="CN40" i="53"/>
  <c r="BX40" i="53"/>
  <c r="BL40" i="53"/>
  <c r="CU39" i="53"/>
  <c r="CG39" i="53"/>
  <c r="BQ39" i="53"/>
  <c r="CS37" i="53"/>
  <c r="CB37" i="53"/>
  <c r="BO37" i="53"/>
  <c r="CX36" i="53"/>
  <c r="BU36" i="53"/>
  <c r="CP35" i="53"/>
  <c r="BZ35" i="53"/>
  <c r="BN35" i="53"/>
  <c r="CW34" i="53"/>
  <c r="CE34" i="53"/>
  <c r="BS34" i="53"/>
  <c r="CM33" i="53"/>
  <c r="CT32" i="53"/>
  <c r="CL31" i="53"/>
  <c r="CA31" i="53"/>
  <c r="BM31" i="53"/>
  <c r="CL30" i="53"/>
  <c r="BX30" i="53"/>
  <c r="BM30" i="53"/>
  <c r="CX28" i="53"/>
  <c r="CI28" i="53"/>
  <c r="BX28" i="53"/>
  <c r="BJ28" i="53"/>
  <c r="CU27" i="53"/>
  <c r="CI27" i="53"/>
  <c r="BU27" i="53"/>
  <c r="CT26" i="53"/>
  <c r="CE26" i="53"/>
  <c r="BU26" i="53"/>
  <c r="CQ23" i="53"/>
  <c r="CC23" i="53"/>
  <c r="BQ23" i="53"/>
  <c r="CM22" i="53"/>
  <c r="CB22" i="53"/>
  <c r="BN22" i="53"/>
  <c r="CM20" i="53"/>
  <c r="BY20" i="53"/>
  <c r="BK20" i="53"/>
  <c r="CJ19" i="53"/>
  <c r="BY19" i="53"/>
  <c r="BK19" i="53"/>
  <c r="CU16" i="53"/>
  <c r="CF16" i="53"/>
  <c r="BR16" i="53"/>
  <c r="CS15" i="53"/>
  <c r="CH15" i="53"/>
  <c r="BX15" i="53"/>
  <c r="BL15" i="53"/>
  <c r="CP14" i="53"/>
  <c r="BT14" i="53"/>
  <c r="BJ14" i="53"/>
  <c r="CW13" i="53"/>
  <c r="CL13" i="53"/>
  <c r="CB13" i="53"/>
  <c r="CT92" i="53"/>
  <c r="BN87" i="53"/>
  <c r="CA86" i="53"/>
  <c r="CI85" i="53"/>
  <c r="CT84" i="53"/>
  <c r="CA82" i="53"/>
  <c r="CS81" i="53"/>
  <c r="CE80" i="53"/>
  <c r="BX79" i="53"/>
  <c r="CV78" i="53"/>
  <c r="BY78" i="53"/>
  <c r="CV77" i="53"/>
  <c r="CT75" i="53"/>
  <c r="BQ75" i="53"/>
  <c r="CQ74" i="53"/>
  <c r="BP74" i="53"/>
  <c r="CI72" i="53"/>
  <c r="BO72" i="53"/>
  <c r="CI71" i="53"/>
  <c r="CU58" i="53"/>
  <c r="BX58" i="53"/>
  <c r="T52" i="85" s="1"/>
  <c r="CW56" i="53"/>
  <c r="CC54" i="53"/>
  <c r="BY53" i="53"/>
  <c r="BK53" i="53"/>
  <c r="BX52" i="53"/>
  <c r="CN50" i="53"/>
  <c r="CQ49" i="53"/>
  <c r="CO47" i="53"/>
  <c r="CO46" i="53"/>
  <c r="BY46" i="53"/>
  <c r="CL45" i="53"/>
  <c r="BX45" i="53"/>
  <c r="CQ44" i="53"/>
  <c r="CN43" i="53"/>
  <c r="CP42" i="53"/>
  <c r="BZ42" i="53"/>
  <c r="BM42" i="53"/>
  <c r="CU41" i="53"/>
  <c r="CI41" i="53"/>
  <c r="BR41" i="53"/>
  <c r="CM40" i="53"/>
  <c r="BJ40" i="53"/>
  <c r="CS39" i="53"/>
  <c r="CC39" i="53"/>
  <c r="CQ37" i="53"/>
  <c r="CA37" i="53"/>
  <c r="BN37" i="53"/>
  <c r="CW36" i="53"/>
  <c r="CF36" i="53"/>
  <c r="BT36" i="53"/>
  <c r="CO35" i="53"/>
  <c r="BY35" i="53"/>
  <c r="CT34" i="53"/>
  <c r="BQ34" i="53"/>
  <c r="CJ33" i="53"/>
  <c r="CS32" i="53"/>
  <c r="CC32" i="53"/>
  <c r="BL32" i="53"/>
  <c r="BZ31" i="53"/>
  <c r="BL31" i="53"/>
  <c r="CW30" i="53"/>
  <c r="BL30" i="53"/>
  <c r="CW28" i="53"/>
  <c r="CH28" i="53"/>
  <c r="BT28" i="53"/>
  <c r="CS27" i="53"/>
  <c r="CH27" i="53"/>
  <c r="BT27" i="53"/>
  <c r="CS26" i="53"/>
  <c r="BT26" i="53"/>
  <c r="CO23" i="53"/>
  <c r="CA23" i="53"/>
  <c r="BM23" i="53"/>
  <c r="CL22" i="53"/>
  <c r="CA22" i="53"/>
  <c r="BM22" i="53"/>
  <c r="CX21" i="53"/>
  <c r="CX20" i="53"/>
  <c r="CI20" i="53"/>
  <c r="BX20" i="53"/>
  <c r="BJ20" i="53"/>
  <c r="CX19" i="53"/>
  <c r="CI19" i="53"/>
  <c r="BU19" i="53"/>
  <c r="CQ16" i="53"/>
  <c r="CE16" i="53"/>
  <c r="BQ16" i="53"/>
  <c r="CG15" i="53"/>
  <c r="BK15" i="53"/>
  <c r="CO14" i="53"/>
  <c r="BS14" i="53"/>
  <c r="CV13" i="53"/>
  <c r="CA13" i="53"/>
  <c r="BO13" i="53"/>
  <c r="CT94" i="53"/>
  <c r="CS92" i="53"/>
  <c r="BN86" i="53"/>
  <c r="CC85" i="53"/>
  <c r="CP84" i="53"/>
  <c r="BO84" i="53"/>
  <c r="BZ82" i="53"/>
  <c r="BO81" i="53"/>
  <c r="CX79" i="53"/>
  <c r="CT78" i="53"/>
  <c r="BX78" i="53"/>
  <c r="CU77" i="53"/>
  <c r="BN77" i="53"/>
  <c r="CO75" i="53"/>
  <c r="BN75" i="53"/>
  <c r="CJ74" i="53"/>
  <c r="BO74" i="53"/>
  <c r="CI73" i="53"/>
  <c r="BM73" i="53"/>
  <c r="CF72" i="53"/>
  <c r="CG71" i="53"/>
  <c r="CS54" i="53"/>
  <c r="CB54" i="53"/>
  <c r="CQ53" i="53"/>
  <c r="CN52" i="53"/>
  <c r="CM50" i="53"/>
  <c r="CL49" i="53"/>
  <c r="BW49" i="53"/>
  <c r="CN47" i="53"/>
  <c r="BV47" i="53"/>
  <c r="CL46" i="53"/>
  <c r="BT46" i="53"/>
  <c r="CM43" i="53"/>
  <c r="BU43" i="53"/>
  <c r="CO42" i="53"/>
  <c r="BX42" i="53"/>
  <c r="BL42" i="53"/>
  <c r="CT41" i="53"/>
  <c r="CL40" i="53"/>
  <c r="CA39" i="53"/>
  <c r="CP37" i="53"/>
  <c r="BZ37" i="53"/>
  <c r="BJ37" i="53"/>
  <c r="CV36" i="53"/>
  <c r="CE36" i="53"/>
  <c r="BR36" i="53"/>
  <c r="CJ35" i="53"/>
  <c r="CS34" i="53"/>
  <c r="CC34" i="53"/>
  <c r="BM34" i="53"/>
  <c r="CI33" i="53"/>
  <c r="BV33" i="53"/>
  <c r="CM32" i="53"/>
  <c r="CB32" i="53"/>
  <c r="BK32" i="53"/>
  <c r="BW31" i="53"/>
  <c r="BK31" i="53"/>
  <c r="CV30" i="53"/>
  <c r="CG28" i="53"/>
  <c r="BS28" i="53"/>
  <c r="BS27" i="53"/>
  <c r="BZ23" i="53"/>
  <c r="BL23" i="53"/>
  <c r="BL22" i="53"/>
  <c r="CW21" i="53"/>
  <c r="CW20" i="53"/>
  <c r="CH20" i="53"/>
  <c r="CS19" i="53"/>
  <c r="CH19" i="53"/>
  <c r="BT19" i="53"/>
  <c r="CP16" i="53"/>
  <c r="CQ15" i="53"/>
  <c r="CF15" i="53"/>
  <c r="BT15" i="53"/>
  <c r="BJ15" i="53"/>
  <c r="CL14" i="53"/>
  <c r="CB14" i="53"/>
  <c r="BR14" i="53"/>
  <c r="CU13" i="53"/>
  <c r="CJ13" i="53"/>
  <c r="BX13" i="53"/>
  <c r="BN13" i="53"/>
  <c r="CQ94" i="53"/>
  <c r="Y116" i="85" s="1"/>
  <c r="CC92" i="53"/>
  <c r="Y59" i="85" s="1"/>
  <c r="BX85" i="53"/>
  <c r="CM84" i="53"/>
  <c r="CU82" i="53"/>
  <c r="BU82" i="53"/>
  <c r="CV79" i="53"/>
  <c r="CS78" i="53"/>
  <c r="CO77" i="53"/>
  <c r="BM77" i="53"/>
  <c r="BM75" i="53"/>
  <c r="CG74" i="53"/>
  <c r="BM74" i="53"/>
  <c r="CE72" i="53"/>
  <c r="CL58" i="53"/>
  <c r="T107" i="85" s="1"/>
  <c r="CP54" i="53"/>
  <c r="CA54" i="53"/>
  <c r="CM52" i="53"/>
  <c r="BV52" i="53"/>
  <c r="BS50" i="53"/>
  <c r="CK49" i="53"/>
  <c r="BV49" i="53"/>
  <c r="CL47" i="53"/>
  <c r="BU47" i="53"/>
  <c r="BR46" i="53"/>
  <c r="BR45" i="53"/>
  <c r="CJ44" i="53"/>
  <c r="BV44" i="53"/>
  <c r="CH43" i="53"/>
  <c r="BT43" i="53"/>
  <c r="CL42" i="53"/>
  <c r="CS41" i="53"/>
  <c r="CC41" i="53"/>
  <c r="CG40" i="53"/>
  <c r="BV40" i="53"/>
  <c r="CQ39" i="53"/>
  <c r="BZ39" i="53"/>
  <c r="BJ39" i="53"/>
  <c r="BX37" i="53"/>
  <c r="CU36" i="53"/>
  <c r="BN36" i="53"/>
  <c r="CI35" i="53"/>
  <c r="CO34" i="53"/>
  <c r="CB34" i="53"/>
  <c r="BL34" i="53"/>
  <c r="CH33" i="53"/>
  <c r="BQ33" i="53"/>
  <c r="CL32" i="53"/>
  <c r="BY32" i="53"/>
  <c r="BJ32" i="53"/>
  <c r="CU31" i="53"/>
  <c r="CJ31" i="53"/>
  <c r="BV31" i="53"/>
  <c r="BJ31" i="53"/>
  <c r="CU30" i="53"/>
  <c r="CF30" i="53"/>
  <c r="BU30" i="53"/>
  <c r="CQ28" i="53"/>
  <c r="CF28" i="53"/>
  <c r="BR28" i="53"/>
  <c r="CQ27" i="53"/>
  <c r="CC27" i="53"/>
  <c r="BR27" i="53"/>
  <c r="CN26" i="53"/>
  <c r="CC26" i="53"/>
  <c r="BO26" i="53"/>
  <c r="BY23" i="53"/>
  <c r="BK23" i="53"/>
  <c r="CV22" i="53"/>
  <c r="BK22" i="53"/>
  <c r="CV21" i="53"/>
  <c r="CV20" i="53"/>
  <c r="CG20" i="53"/>
  <c r="BS20" i="53"/>
  <c r="CG19" i="53"/>
  <c r="BS19" i="53"/>
  <c r="CN16" i="53"/>
  <c r="BZ16" i="53"/>
  <c r="CO15" i="53"/>
  <c r="CE15" i="53"/>
  <c r="BS15" i="53"/>
  <c r="CX14" i="53"/>
  <c r="CA14" i="53"/>
  <c r="BQ14" i="53"/>
  <c r="CT13" i="53"/>
  <c r="CI13" i="53"/>
  <c r="BM13" i="53"/>
  <c r="BN107" i="53"/>
  <c r="CB94" i="53"/>
  <c r="X61" i="85" s="1"/>
  <c r="CA92" i="53"/>
  <c r="W59" i="85" s="1"/>
  <c r="BR85" i="53"/>
  <c r="CL84" i="53"/>
  <c r="CQ82" i="53"/>
  <c r="BK82" i="53"/>
  <c r="CJ81" i="53"/>
  <c r="BX80" i="53"/>
  <c r="CQ79" i="53"/>
  <c r="BN79" i="53"/>
  <c r="CO78" i="53"/>
  <c r="BM78" i="53"/>
  <c r="CM77" i="53"/>
  <c r="BL77" i="53"/>
  <c r="CE75" i="53"/>
  <c r="BK75" i="53"/>
  <c r="CF74" i="53"/>
  <c r="CD73" i="53"/>
  <c r="BV71" i="53"/>
  <c r="CV57" i="53"/>
  <c r="BJ57" i="53"/>
  <c r="T9" i="85" s="1"/>
  <c r="CO54" i="53"/>
  <c r="BT54" i="53"/>
  <c r="CJ53" i="53"/>
  <c r="BV53" i="53"/>
  <c r="CJ52" i="53"/>
  <c r="BT52" i="53"/>
  <c r="CJ50" i="53"/>
  <c r="BR50" i="53"/>
  <c r="CI49" i="53"/>
  <c r="BQ49" i="53"/>
  <c r="CG47" i="53"/>
  <c r="BS47" i="53"/>
  <c r="CJ46" i="53"/>
  <c r="BQ46" i="53"/>
  <c r="CJ45" i="53"/>
  <c r="BQ45" i="53"/>
  <c r="CH44" i="53"/>
  <c r="CF43" i="53"/>
  <c r="BR43" i="53"/>
  <c r="CI42" i="53"/>
  <c r="BV42" i="53"/>
  <c r="CB41" i="53"/>
  <c r="BK41" i="53"/>
  <c r="CX40" i="53"/>
  <c r="CF40" i="53"/>
  <c r="BU40" i="53"/>
  <c r="CL39" i="53"/>
  <c r="BY39" i="53"/>
  <c r="CJ37" i="53"/>
  <c r="CO36" i="53"/>
  <c r="CC36" i="53"/>
  <c r="BM36" i="53"/>
  <c r="CH35" i="53"/>
  <c r="BR35" i="53"/>
  <c r="CN34" i="53"/>
  <c r="CA34" i="53"/>
  <c r="BJ34" i="53"/>
  <c r="CS33" i="53"/>
  <c r="CE33" i="53"/>
  <c r="BV32" i="53"/>
  <c r="CT31" i="53"/>
  <c r="CH31" i="53"/>
  <c r="BT31" i="53"/>
  <c r="CT30" i="53"/>
  <c r="CE30" i="53"/>
  <c r="BT30" i="53"/>
  <c r="CP28" i="53"/>
  <c r="CB28" i="53"/>
  <c r="BQ28" i="53"/>
  <c r="CP27" i="53"/>
  <c r="CB27" i="53"/>
  <c r="BN27" i="53"/>
  <c r="CL26" i="53"/>
  <c r="CB26" i="53"/>
  <c r="BN26" i="53"/>
  <c r="CJ23" i="53"/>
  <c r="BV23" i="53"/>
  <c r="CP82" i="53"/>
  <c r="BJ78" i="53"/>
  <c r="BQ54" i="53"/>
  <c r="CU48" i="53"/>
  <c r="CT44" i="53"/>
  <c r="CH37" i="53"/>
  <c r="CV32" i="53"/>
  <c r="CN30" i="53"/>
  <c r="CN28" i="53"/>
  <c r="CG23" i="53"/>
  <c r="CS22" i="53"/>
  <c r="CO20" i="53"/>
  <c r="BR19" i="53"/>
  <c r="CI16" i="53"/>
  <c r="BR15" i="53"/>
  <c r="CS14" i="53"/>
  <c r="BM14" i="53"/>
  <c r="CF13" i="53"/>
  <c r="CG77" i="53"/>
  <c r="CC73" i="53"/>
  <c r="CG52" i="53"/>
  <c r="CX49" i="53"/>
  <c r="BQ47" i="53"/>
  <c r="CX45" i="53"/>
  <c r="CF44" i="53"/>
  <c r="BM43" i="53"/>
  <c r="CV40" i="53"/>
  <c r="BS37" i="53"/>
  <c r="BL36" i="53"/>
  <c r="CA28" i="53"/>
  <c r="CA27" i="53"/>
  <c r="BT23" i="53"/>
  <c r="CI22" i="53"/>
  <c r="CF20" i="53"/>
  <c r="BY16" i="53"/>
  <c r="CW15" i="53"/>
  <c r="BQ15" i="53"/>
  <c r="BL14" i="53"/>
  <c r="CE13" i="53"/>
  <c r="CO86" i="53"/>
  <c r="CI81" i="53"/>
  <c r="BK77" i="53"/>
  <c r="CV53" i="53"/>
  <c r="CE52" i="53"/>
  <c r="CV49" i="53"/>
  <c r="BM47" i="53"/>
  <c r="CU45" i="53"/>
  <c r="CE44" i="53"/>
  <c r="BL43" i="53"/>
  <c r="CQ40" i="53"/>
  <c r="CJ39" i="53"/>
  <c r="BR37" i="53"/>
  <c r="BJ36" i="53"/>
  <c r="CQ33" i="53"/>
  <c r="CJ32" i="53"/>
  <c r="CD31" i="53"/>
  <c r="BZ28" i="53"/>
  <c r="BZ27" i="53"/>
  <c r="BS23" i="53"/>
  <c r="CE22" i="53"/>
  <c r="CU21" i="53"/>
  <c r="CE20" i="53"/>
  <c r="CQ19" i="53"/>
  <c r="BM19" i="53"/>
  <c r="BX16" i="53"/>
  <c r="CN15" i="53"/>
  <c r="CI14" i="53"/>
  <c r="BV72" i="53"/>
  <c r="CI53" i="53"/>
  <c r="BS52" i="53"/>
  <c r="CX50" i="53"/>
  <c r="CH49" i="53"/>
  <c r="CG45" i="53"/>
  <c r="BO44" i="53"/>
  <c r="CL41" i="53"/>
  <c r="CE40" i="53"/>
  <c r="BX39" i="53"/>
  <c r="CU35" i="53"/>
  <c r="BU32" i="53"/>
  <c r="BS31" i="53"/>
  <c r="BM27" i="53"/>
  <c r="BM26" i="53"/>
  <c r="BJ23" i="53"/>
  <c r="CT21" i="53"/>
  <c r="CA20" i="53"/>
  <c r="CP19" i="53"/>
  <c r="CM15" i="53"/>
  <c r="CH14" i="53"/>
  <c r="BV13" i="53"/>
  <c r="BS92" i="53"/>
  <c r="V38" i="85" s="1"/>
  <c r="BJ85" i="53"/>
  <c r="BO80" i="53"/>
  <c r="CV71" i="53"/>
  <c r="CU57" i="53"/>
  <c r="CG53" i="53"/>
  <c r="BM52" i="53"/>
  <c r="CW50" i="53"/>
  <c r="CG49" i="53"/>
  <c r="CW46" i="53"/>
  <c r="CC45" i="53"/>
  <c r="BM44" i="53"/>
  <c r="CX42" i="53"/>
  <c r="BS39" i="53"/>
  <c r="CA33" i="53"/>
  <c r="BS32" i="53"/>
  <c r="BR31" i="53"/>
  <c r="BL28" i="53"/>
  <c r="BL27" i="53"/>
  <c r="BL26" i="53"/>
  <c r="BU22" i="53"/>
  <c r="BR20" i="53"/>
  <c r="CO19" i="53"/>
  <c r="BO16" i="53"/>
  <c r="BZ14" i="53"/>
  <c r="BU13" i="53"/>
  <c r="CM79" i="53"/>
  <c r="BU71" i="53"/>
  <c r="CM54" i="53"/>
  <c r="CI50" i="53"/>
  <c r="BO49" i="53"/>
  <c r="CE46" i="53"/>
  <c r="BO45" i="53"/>
  <c r="CX43" i="53"/>
  <c r="CH42" i="53"/>
  <c r="CA41" i="53"/>
  <c r="CN36" i="53"/>
  <c r="CG35" i="53"/>
  <c r="BV34" i="53"/>
  <c r="BO33" i="53"/>
  <c r="CX24" i="53"/>
  <c r="CT23" i="53"/>
  <c r="BT22" i="53"/>
  <c r="BQ20" i="53"/>
  <c r="CC19" i="53"/>
  <c r="CX16" i="53"/>
  <c r="BJ16" i="53"/>
  <c r="CC15" i="53"/>
  <c r="BY14" i="53"/>
  <c r="CS13" i="53"/>
  <c r="BT13" i="53"/>
  <c r="BK79" i="53"/>
  <c r="BO53" i="53"/>
  <c r="BN49" i="53"/>
  <c r="CX47" i="53"/>
  <c r="CC46" i="53"/>
  <c r="BN45" i="53"/>
  <c r="CT43" i="53"/>
  <c r="CG42" i="53"/>
  <c r="BX41" i="53"/>
  <c r="BO40" i="53"/>
  <c r="CU37" i="53"/>
  <c r="CM36" i="53"/>
  <c r="CF35" i="53"/>
  <c r="BU34" i="53"/>
  <c r="BN33" i="53"/>
  <c r="CW26" i="53"/>
  <c r="CV24" i="53"/>
  <c r="CS23" i="53"/>
  <c r="CU22" i="53"/>
  <c r="BS22" i="53"/>
  <c r="CQ20" i="53"/>
  <c r="CB19" i="53"/>
  <c r="CM16" i="53"/>
  <c r="CA15" i="53"/>
  <c r="CU14" i="53"/>
  <c r="CQ13" i="53"/>
  <c r="BL13" i="53"/>
  <c r="BX107" i="53"/>
  <c r="BR54" i="53"/>
  <c r="BQ50" i="53"/>
  <c r="CE47" i="53"/>
  <c r="CU44" i="53"/>
  <c r="CE43" i="53"/>
  <c r="BU42" i="53"/>
  <c r="BJ41" i="53"/>
  <c r="CI37" i="53"/>
  <c r="CB36" i="53"/>
  <c r="CX32" i="53"/>
  <c r="CS31" i="53"/>
  <c r="CS30" i="53"/>
  <c r="CO28" i="53"/>
  <c r="CH23" i="53"/>
  <c r="CT22" i="53"/>
  <c r="CP20" i="53"/>
  <c r="CA19" i="53"/>
  <c r="CL16" i="53"/>
  <c r="BZ15" i="53"/>
  <c r="CT14" i="53"/>
  <c r="BN14" i="53"/>
  <c r="CN13" i="53"/>
  <c r="BK13" i="53"/>
  <c r="BK153" i="62"/>
  <c r="BO147" i="62"/>
  <c r="AZ144" i="62"/>
  <c r="BN140" i="62"/>
  <c r="BN135" i="62"/>
  <c r="CA131" i="62"/>
  <c r="BE127" i="62"/>
  <c r="CC123" i="62"/>
  <c r="AY117" i="62"/>
  <c r="BK114" i="62"/>
  <c r="BG58" i="62"/>
  <c r="BD56" i="62"/>
  <c r="CC54" i="62"/>
  <c r="BM53" i="62"/>
  <c r="BV51" i="62"/>
  <c r="BS49" i="62"/>
  <c r="BL48" i="62"/>
  <c r="CB46" i="62"/>
  <c r="AY44" i="62"/>
  <c r="BN42" i="62"/>
  <c r="BE41" i="62"/>
  <c r="AX40" i="62"/>
  <c r="BY38" i="62"/>
  <c r="BL37" i="62"/>
  <c r="CC35" i="62"/>
  <c r="BM33" i="62"/>
  <c r="BW29" i="62"/>
  <c r="BW28" i="62"/>
  <c r="BK27" i="62"/>
  <c r="CD24" i="62"/>
  <c r="BW23" i="62"/>
  <c r="BF21" i="62"/>
  <c r="BU19" i="62"/>
  <c r="BE17" i="62"/>
  <c r="AW16" i="62"/>
  <c r="BO13" i="62"/>
  <c r="BV150" i="62"/>
  <c r="BP142" i="62"/>
  <c r="CD134" i="62"/>
  <c r="CD125" i="62"/>
  <c r="BM119" i="62"/>
  <c r="CB59" i="62"/>
  <c r="BW57" i="62"/>
  <c r="CA52" i="62"/>
  <c r="BL51" i="62"/>
  <c r="BW47" i="62"/>
  <c r="BE43" i="62"/>
  <c r="BW40" i="62"/>
  <c r="BE38" i="62"/>
  <c r="BM35" i="62"/>
  <c r="BW32" i="62"/>
  <c r="CC26" i="62"/>
  <c r="BO24" i="62"/>
  <c r="BU16" i="62"/>
  <c r="BE13" i="62"/>
  <c r="AW146" i="62"/>
  <c r="BA129" i="62"/>
  <c r="CC125" i="62"/>
  <c r="BL119" i="62"/>
  <c r="BP59" i="62"/>
  <c r="BP52" i="62"/>
  <c r="BV47" i="62"/>
  <c r="CC41" i="62"/>
  <c r="BW36" i="62"/>
  <c r="AY29" i="62"/>
  <c r="AX152" i="62"/>
  <c r="BH147" i="62"/>
  <c r="BZ143" i="62"/>
  <c r="BE139" i="62"/>
  <c r="AY135" i="62"/>
  <c r="BG130" i="62"/>
  <c r="BZ123" i="62"/>
  <c r="BS119" i="62"/>
  <c r="AX117" i="62"/>
  <c r="BE111" i="62"/>
  <c r="CD57" i="62"/>
  <c r="BW55" i="62"/>
  <c r="BU54" i="62"/>
  <c r="AW53" i="62"/>
  <c r="BU51" i="62"/>
  <c r="BR49" i="62"/>
  <c r="BK48" i="62"/>
  <c r="BN46" i="62"/>
  <c r="BV43" i="62"/>
  <c r="BM42" i="62"/>
  <c r="BD41" i="62"/>
  <c r="AW40" i="62"/>
  <c r="BS38" i="62"/>
  <c r="BF37" i="62"/>
  <c r="CB35" i="62"/>
  <c r="BK33" i="62"/>
  <c r="BV29" i="62"/>
  <c r="BO28" i="62"/>
  <c r="AW27" i="62"/>
  <c r="CC24" i="62"/>
  <c r="BV23" i="62"/>
  <c r="BE21" i="62"/>
  <c r="BT19" i="62"/>
  <c r="BD17" i="62"/>
  <c r="BY14" i="62"/>
  <c r="BN13" i="62"/>
  <c r="BF146" i="62"/>
  <c r="BL138" i="62"/>
  <c r="BE130" i="62"/>
  <c r="BR122" i="62"/>
  <c r="BY116" i="62"/>
  <c r="BY112" i="62"/>
  <c r="BP55" i="62"/>
  <c r="BI54" i="62"/>
  <c r="BD49" i="62"/>
  <c r="BL46" i="62"/>
  <c r="AW42" i="62"/>
  <c r="BO39" i="62"/>
  <c r="BY36" i="62"/>
  <c r="BM29" i="62"/>
  <c r="BB28" i="62"/>
  <c r="BR23" i="62"/>
  <c r="CB20" i="62"/>
  <c r="BM14" i="62"/>
  <c r="BV149" i="62"/>
  <c r="BA142" i="62"/>
  <c r="BW133" i="62"/>
  <c r="BH122" i="62"/>
  <c r="BB57" i="62"/>
  <c r="BK55" i="62"/>
  <c r="CD48" i="62"/>
  <c r="BD43" i="62"/>
  <c r="BN39" i="62"/>
  <c r="BL35" i="62"/>
  <c r="BE151" i="62"/>
  <c r="BG147" i="62"/>
  <c r="BV138" i="62"/>
  <c r="AX135" i="62"/>
  <c r="BF130" i="62"/>
  <c r="AW127" i="62"/>
  <c r="AX123" i="62"/>
  <c r="BN119" i="62"/>
  <c r="BZ116" i="62"/>
  <c r="BY113" i="62"/>
  <c r="CC59" i="62"/>
  <c r="CA57" i="62"/>
  <c r="BV55" i="62"/>
  <c r="BM54" i="62"/>
  <c r="CB52" i="62"/>
  <c r="BT51" i="62"/>
  <c r="BE49" i="62"/>
  <c r="BE48" i="62"/>
  <c r="BM46" i="62"/>
  <c r="BU43" i="62"/>
  <c r="AX42" i="62"/>
  <c r="BA41" i="62"/>
  <c r="CA39" i="62"/>
  <c r="BM38" i="62"/>
  <c r="BA37" i="62"/>
  <c r="BO35" i="62"/>
  <c r="AW33" i="62"/>
  <c r="BN29" i="62"/>
  <c r="BG28" i="62"/>
  <c r="CD26" i="62"/>
  <c r="CB24" i="62"/>
  <c r="BS23" i="62"/>
  <c r="BD21" i="62"/>
  <c r="BG19" i="62"/>
  <c r="BB17" i="62"/>
  <c r="BU14" i="62"/>
  <c r="BF13" i="62"/>
  <c r="BF19" i="62"/>
  <c r="BR115" i="62"/>
  <c r="BB54" i="62"/>
  <c r="BF51" i="62"/>
  <c r="BK46" i="62"/>
  <c r="BU40" i="62"/>
  <c r="AW38" i="62"/>
  <c r="BV32" i="62"/>
  <c r="BL16" i="62"/>
  <c r="BO20" i="62"/>
  <c r="BM24" i="62"/>
  <c r="BU27" i="62"/>
  <c r="BR33" i="62"/>
  <c r="CD37" i="62"/>
  <c r="BP41" i="62"/>
  <c r="BB47" i="62"/>
  <c r="AW51" i="62"/>
  <c r="AX55" i="62"/>
  <c r="CB111" i="62"/>
  <c r="BK118" i="62"/>
  <c r="BY128" i="62"/>
  <c r="BP140" i="62"/>
  <c r="BT149" i="62"/>
  <c r="BD13" i="62"/>
  <c r="BO16" i="62"/>
  <c r="BP20" i="62"/>
  <c r="BN24" i="62"/>
  <c r="BZ27" i="62"/>
  <c r="CC33" i="62"/>
  <c r="BZ38" i="62"/>
  <c r="BT41" i="62"/>
  <c r="BH47" i="62"/>
  <c r="BW51" i="62"/>
  <c r="AY55" i="62"/>
  <c r="CC111" i="62"/>
  <c r="AX121" i="62"/>
  <c r="BZ128" i="62"/>
  <c r="BU140" i="62"/>
  <c r="CB153" i="62"/>
  <c r="CC13" i="62"/>
  <c r="BH17" i="62"/>
  <c r="BV21" i="62"/>
  <c r="BA26" i="62"/>
  <c r="CA28" i="62"/>
  <c r="BD35" i="62"/>
  <c r="BB39" i="62"/>
  <c r="BO42" i="62"/>
  <c r="BS47" i="62"/>
  <c r="BG52" i="62"/>
  <c r="BE56" i="62"/>
  <c r="BT112" i="62"/>
  <c r="AY121" i="62"/>
  <c r="CB131" i="62"/>
  <c r="BW141" i="62"/>
  <c r="CD153" i="62"/>
  <c r="CC153" i="62"/>
  <c r="BU153" i="62"/>
  <c r="BM153" i="62"/>
  <c r="BE153" i="62"/>
  <c r="AW153" i="62"/>
  <c r="BW152" i="62"/>
  <c r="BO152" i="62"/>
  <c r="BG152" i="62"/>
  <c r="AY152" i="62"/>
  <c r="BY151" i="62"/>
  <c r="BI151" i="62"/>
  <c r="BA151" i="62"/>
  <c r="CA150" i="62"/>
  <c r="BS150" i="62"/>
  <c r="BK150" i="62"/>
  <c r="CC149" i="62"/>
  <c r="BU149" i="62"/>
  <c r="BM149" i="62"/>
  <c r="BE149" i="62"/>
  <c r="AW149" i="62"/>
  <c r="BW148" i="62"/>
  <c r="BO148" i="62"/>
  <c r="BG148" i="62"/>
  <c r="AY148" i="62"/>
  <c r="BY147" i="62"/>
  <c r="BI147" i="62"/>
  <c r="BA147" i="62"/>
  <c r="CA146" i="62"/>
  <c r="BS146" i="62"/>
  <c r="BK146" i="62"/>
  <c r="CC145" i="62"/>
  <c r="BU145" i="62"/>
  <c r="BM145" i="62"/>
  <c r="BE145" i="62"/>
  <c r="AW145" i="62"/>
  <c r="BW144" i="62"/>
  <c r="BO144" i="62"/>
  <c r="BG144" i="62"/>
  <c r="AY144" i="62"/>
  <c r="BY143" i="62"/>
  <c r="BI143" i="62"/>
  <c r="BA143" i="62"/>
  <c r="CA142" i="62"/>
  <c r="BS142" i="62"/>
  <c r="BK142" i="62"/>
  <c r="CC141" i="62"/>
  <c r="BU141" i="62"/>
  <c r="BM141" i="62"/>
  <c r="BE141" i="62"/>
  <c r="AW141" i="62"/>
  <c r="BW140" i="62"/>
  <c r="BO140" i="62"/>
  <c r="BG140" i="62"/>
  <c r="AY140" i="62"/>
  <c r="BY139" i="62"/>
  <c r="BI139" i="62"/>
  <c r="BA139" i="62"/>
  <c r="CA138" i="62"/>
  <c r="BS138" i="62"/>
  <c r="BK138" i="62"/>
  <c r="CC137" i="62"/>
  <c r="BU137" i="62"/>
  <c r="BM137" i="62"/>
  <c r="BE137" i="62"/>
  <c r="AW137" i="62"/>
  <c r="BW136" i="62"/>
  <c r="BO136" i="62"/>
  <c r="BG136" i="62"/>
  <c r="AY136" i="62"/>
  <c r="BY135" i="62"/>
  <c r="BI135" i="62"/>
  <c r="BA135" i="62"/>
  <c r="CA134" i="62"/>
  <c r="BS134" i="62"/>
  <c r="BK134" i="62"/>
  <c r="CC133" i="62"/>
  <c r="BU133" i="62"/>
  <c r="BY153" i="62"/>
  <c r="BP153" i="62"/>
  <c r="BG153" i="62"/>
  <c r="AX153" i="62"/>
  <c r="BV152" i="62"/>
  <c r="BM152" i="62"/>
  <c r="BD152" i="62"/>
  <c r="CC151" i="62"/>
  <c r="BT151" i="62"/>
  <c r="BK151" i="62"/>
  <c r="BB151" i="62"/>
  <c r="BZ150" i="62"/>
  <c r="BH150" i="62"/>
  <c r="AY150" i="62"/>
  <c r="BO149" i="62"/>
  <c r="BF149" i="62"/>
  <c r="CD148" i="62"/>
  <c r="BU148" i="62"/>
  <c r="BL148" i="62"/>
  <c r="CB147" i="62"/>
  <c r="BS147" i="62"/>
  <c r="AZ147" i="62"/>
  <c r="BY146" i="62"/>
  <c r="BP146" i="62"/>
  <c r="BG146" i="62"/>
  <c r="AX146" i="62"/>
  <c r="BW145" i="62"/>
  <c r="BN145" i="62"/>
  <c r="BD145" i="62"/>
  <c r="CC144" i="62"/>
  <c r="BT144" i="62"/>
  <c r="BK144" i="62"/>
  <c r="BB144" i="62"/>
  <c r="CA143" i="62"/>
  <c r="BR143" i="62"/>
  <c r="BH143" i="62"/>
  <c r="AY143" i="62"/>
  <c r="BO142" i="62"/>
  <c r="BF142" i="62"/>
  <c r="AW142" i="62"/>
  <c r="BV141" i="62"/>
  <c r="BL141" i="62"/>
  <c r="CB140" i="62"/>
  <c r="BS140" i="62"/>
  <c r="BA140" i="62"/>
  <c r="BZ139" i="62"/>
  <c r="BP139" i="62"/>
  <c r="BG139" i="62"/>
  <c r="AX139" i="62"/>
  <c r="BW138" i="62"/>
  <c r="BN138" i="62"/>
  <c r="BE138" i="62"/>
  <c r="CD137" i="62"/>
  <c r="BT137" i="62"/>
  <c r="BK137" i="62"/>
  <c r="BB137" i="62"/>
  <c r="CA136" i="62"/>
  <c r="BR136" i="62"/>
  <c r="BI136" i="62"/>
  <c r="AZ136" i="62"/>
  <c r="BO135" i="62"/>
  <c r="BF135" i="62"/>
  <c r="AW135" i="62"/>
  <c r="BV134" i="62"/>
  <c r="BM134" i="62"/>
  <c r="BD134" i="62"/>
  <c r="CB133" i="62"/>
  <c r="BS133" i="62"/>
  <c r="BK133" i="62"/>
  <c r="BW131" i="62"/>
  <c r="BO131" i="62"/>
  <c r="BG131" i="62"/>
  <c r="AY131" i="62"/>
  <c r="BY130" i="62"/>
  <c r="BI130" i="62"/>
  <c r="BA130" i="62"/>
  <c r="CA129" i="62"/>
  <c r="BS129" i="62"/>
  <c r="BK129" i="62"/>
  <c r="CC128" i="62"/>
  <c r="BU128" i="62"/>
  <c r="BM128" i="62"/>
  <c r="BE128" i="62"/>
  <c r="AW128" i="62"/>
  <c r="BW127" i="62"/>
  <c r="BO127" i="62"/>
  <c r="BG127" i="62"/>
  <c r="AY127" i="62"/>
  <c r="BY126" i="62"/>
  <c r="BI126" i="62"/>
  <c r="BA126" i="62"/>
  <c r="CA125" i="62"/>
  <c r="BS125" i="62"/>
  <c r="BK125" i="62"/>
  <c r="CC124" i="62"/>
  <c r="BU124" i="62"/>
  <c r="BM124" i="62"/>
  <c r="BE124" i="62"/>
  <c r="AW124" i="62"/>
  <c r="BW123" i="62"/>
  <c r="BO123" i="62"/>
  <c r="BG123" i="62"/>
  <c r="AY123" i="62"/>
  <c r="BY122" i="62"/>
  <c r="BI122" i="62"/>
  <c r="BA122" i="62"/>
  <c r="CA121" i="62"/>
  <c r="BS121" i="62"/>
  <c r="BK121" i="62"/>
  <c r="CC120" i="62"/>
  <c r="BU120" i="62"/>
  <c r="BM120" i="62"/>
  <c r="BE120" i="62"/>
  <c r="AW120" i="62"/>
  <c r="BW119" i="62"/>
  <c r="BO119" i="62"/>
  <c r="BG119" i="62"/>
  <c r="AY119" i="62"/>
  <c r="BY118" i="62"/>
  <c r="BI118" i="62"/>
  <c r="BA118" i="62"/>
  <c r="CA117" i="62"/>
  <c r="BS117" i="62"/>
  <c r="BK117" i="62"/>
  <c r="CC116" i="62"/>
  <c r="BU116" i="62"/>
  <c r="BM116" i="62"/>
  <c r="BE116" i="62"/>
  <c r="AW116" i="62"/>
  <c r="BW115" i="62"/>
  <c r="BO115" i="62"/>
  <c r="BG115" i="62"/>
  <c r="AY115" i="62"/>
  <c r="BY114" i="62"/>
  <c r="BI114" i="62"/>
  <c r="BA114" i="62"/>
  <c r="CA113" i="62"/>
  <c r="BS113" i="62"/>
  <c r="BK113" i="62"/>
  <c r="CC112" i="62"/>
  <c r="BU112" i="62"/>
  <c r="BM112" i="62"/>
  <c r="BE112" i="62"/>
  <c r="AW112" i="62"/>
  <c r="BW111" i="62"/>
  <c r="BO111" i="62"/>
  <c r="BG111" i="62"/>
  <c r="AY111" i="62"/>
  <c r="BO153" i="62"/>
  <c r="BF153" i="62"/>
  <c r="CD152" i="62"/>
  <c r="BU152" i="62"/>
  <c r="BL152" i="62"/>
  <c r="CB151" i="62"/>
  <c r="BS151" i="62"/>
  <c r="AZ151" i="62"/>
  <c r="BY150" i="62"/>
  <c r="BT153" i="62"/>
  <c r="BI153" i="62"/>
  <c r="CC152" i="62"/>
  <c r="BR152" i="62"/>
  <c r="BF152" i="62"/>
  <c r="CA151" i="62"/>
  <c r="BO151" i="62"/>
  <c r="BD151" i="62"/>
  <c r="BN150" i="62"/>
  <c r="BD150" i="62"/>
  <c r="CA149" i="62"/>
  <c r="BG149" i="62"/>
  <c r="CC148" i="62"/>
  <c r="BS148" i="62"/>
  <c r="BI148" i="62"/>
  <c r="AX148" i="62"/>
  <c r="BV147" i="62"/>
  <c r="BL147" i="62"/>
  <c r="BB147" i="62"/>
  <c r="BN146" i="62"/>
  <c r="BD146" i="62"/>
  <c r="CA145" i="62"/>
  <c r="BG145" i="62"/>
  <c r="CD144" i="62"/>
  <c r="BS144" i="62"/>
  <c r="BI144" i="62"/>
  <c r="AX144" i="62"/>
  <c r="BV143" i="62"/>
  <c r="BL143" i="62"/>
  <c r="BB143" i="62"/>
  <c r="BY142" i="62"/>
  <c r="BN142" i="62"/>
  <c r="BD142" i="62"/>
  <c r="CA141" i="62"/>
  <c r="BG141" i="62"/>
  <c r="CD140" i="62"/>
  <c r="BT140" i="62"/>
  <c r="BI140" i="62"/>
  <c r="AX140" i="62"/>
  <c r="BV139" i="62"/>
  <c r="BL139" i="62"/>
  <c r="BB139" i="62"/>
  <c r="BY138" i="62"/>
  <c r="BO138" i="62"/>
  <c r="BD138" i="62"/>
  <c r="CA137" i="62"/>
  <c r="BG137" i="62"/>
  <c r="CD136" i="62"/>
  <c r="BT136" i="62"/>
  <c r="AX136" i="62"/>
  <c r="BV135" i="62"/>
  <c r="BL135" i="62"/>
  <c r="BB135" i="62"/>
  <c r="BY134" i="62"/>
  <c r="BO134" i="62"/>
  <c r="BE134" i="62"/>
  <c r="CA133" i="62"/>
  <c r="BH133" i="62"/>
  <c r="AY133" i="62"/>
  <c r="CD131" i="62"/>
  <c r="BU131" i="62"/>
  <c r="BL131" i="62"/>
  <c r="CB130" i="62"/>
  <c r="BS130" i="62"/>
  <c r="AZ130" i="62"/>
  <c r="BY129" i="62"/>
  <c r="BP129" i="62"/>
  <c r="BG129" i="62"/>
  <c r="AX129" i="62"/>
  <c r="BW128" i="62"/>
  <c r="BN128" i="62"/>
  <c r="BD128" i="62"/>
  <c r="CC127" i="62"/>
  <c r="BT127" i="62"/>
  <c r="BK127" i="62"/>
  <c r="BB127" i="62"/>
  <c r="CA126" i="62"/>
  <c r="BR126" i="62"/>
  <c r="BH126" i="62"/>
  <c r="AY126" i="62"/>
  <c r="BO125" i="62"/>
  <c r="BF125" i="62"/>
  <c r="AW125" i="62"/>
  <c r="BV124" i="62"/>
  <c r="BL124" i="62"/>
  <c r="CB123" i="62"/>
  <c r="BS123" i="62"/>
  <c r="BA123" i="62"/>
  <c r="BZ122" i="62"/>
  <c r="BP122" i="62"/>
  <c r="BG122" i="62"/>
  <c r="AX122" i="62"/>
  <c r="BW121" i="62"/>
  <c r="BN121" i="62"/>
  <c r="BE121" i="62"/>
  <c r="CD120" i="62"/>
  <c r="BT120" i="62"/>
  <c r="BK120" i="62"/>
  <c r="BB120" i="62"/>
  <c r="CA119" i="62"/>
  <c r="BR119" i="62"/>
  <c r="BI119" i="62"/>
  <c r="AZ119" i="62"/>
  <c r="BO118" i="62"/>
  <c r="BF118" i="62"/>
  <c r="AW118" i="62"/>
  <c r="BV117" i="62"/>
  <c r="BM117" i="62"/>
  <c r="BD117" i="62"/>
  <c r="CB116" i="62"/>
  <c r="BS116" i="62"/>
  <c r="BA116" i="62"/>
  <c r="BZ115" i="62"/>
  <c r="BH115" i="62"/>
  <c r="AX115" i="62"/>
  <c r="BW114" i="62"/>
  <c r="BN114" i="62"/>
  <c r="BE114" i="62"/>
  <c r="CD113" i="62"/>
  <c r="BU113" i="62"/>
  <c r="BL113" i="62"/>
  <c r="BB113" i="62"/>
  <c r="CA112" i="62"/>
  <c r="BR112" i="62"/>
  <c r="BI112" i="62"/>
  <c r="AZ112" i="62"/>
  <c r="BY111" i="62"/>
  <c r="BP111" i="62"/>
  <c r="BF111" i="62"/>
  <c r="AW111" i="62"/>
  <c r="BS153" i="62"/>
  <c r="BH153" i="62"/>
  <c r="CB152" i="62"/>
  <c r="BE152" i="62"/>
  <c r="BZ151" i="62"/>
  <c r="BN151" i="62"/>
  <c r="BW150" i="62"/>
  <c r="BM150" i="62"/>
  <c r="BB150" i="62"/>
  <c r="BZ149" i="62"/>
  <c r="BP149" i="62"/>
  <c r="BD149" i="62"/>
  <c r="CB148" i="62"/>
  <c r="BR148" i="62"/>
  <c r="BH148" i="62"/>
  <c r="AW148" i="62"/>
  <c r="BU147" i="62"/>
  <c r="BK147" i="62"/>
  <c r="AY147" i="62"/>
  <c r="BW146" i="62"/>
  <c r="BM146" i="62"/>
  <c r="BB146" i="62"/>
  <c r="BZ145" i="62"/>
  <c r="BP145" i="62"/>
  <c r="BF145" i="62"/>
  <c r="CB144" i="62"/>
  <c r="BR144" i="62"/>
  <c r="BH144" i="62"/>
  <c r="AW144" i="62"/>
  <c r="BU143" i="62"/>
  <c r="BK143" i="62"/>
  <c r="AZ143" i="62"/>
  <c r="BW142" i="62"/>
  <c r="BM142" i="62"/>
  <c r="BB142" i="62"/>
  <c r="BZ141" i="62"/>
  <c r="BP141" i="62"/>
  <c r="BF141" i="62"/>
  <c r="CC140" i="62"/>
  <c r="BR140" i="62"/>
  <c r="BH140" i="62"/>
  <c r="AW140" i="62"/>
  <c r="BU139" i="62"/>
  <c r="BK139" i="62"/>
  <c r="AZ139" i="62"/>
  <c r="BM138" i="62"/>
  <c r="BB138" i="62"/>
  <c r="BZ137" i="62"/>
  <c r="BP137" i="62"/>
  <c r="BF137" i="62"/>
  <c r="CC136" i="62"/>
  <c r="BS136" i="62"/>
  <c r="BH136" i="62"/>
  <c r="AW136" i="62"/>
  <c r="BU135" i="62"/>
  <c r="BK135" i="62"/>
  <c r="AZ135" i="62"/>
  <c r="BN134" i="62"/>
  <c r="BB134" i="62"/>
  <c r="BZ133" i="62"/>
  <c r="BP133" i="62"/>
  <c r="BG133" i="62"/>
  <c r="AX133" i="62"/>
  <c r="CC131" i="62"/>
  <c r="BT131" i="62"/>
  <c r="BK131" i="62"/>
  <c r="BB131" i="62"/>
  <c r="CA130" i="62"/>
  <c r="BR130" i="62"/>
  <c r="BH130" i="62"/>
  <c r="AY130" i="62"/>
  <c r="BO129" i="62"/>
  <c r="BF129" i="62"/>
  <c r="AW129" i="62"/>
  <c r="BV128" i="62"/>
  <c r="BL128" i="62"/>
  <c r="CB127" i="62"/>
  <c r="BS127" i="62"/>
  <c r="BA127" i="62"/>
  <c r="BZ126" i="62"/>
  <c r="BP126" i="62"/>
  <c r="BG126" i="62"/>
  <c r="AX126" i="62"/>
  <c r="BW125" i="62"/>
  <c r="BN125" i="62"/>
  <c r="BE125" i="62"/>
  <c r="CD124" i="62"/>
  <c r="BT124" i="62"/>
  <c r="BK124" i="62"/>
  <c r="BB124" i="62"/>
  <c r="CA123" i="62"/>
  <c r="BR123" i="62"/>
  <c r="BI123" i="62"/>
  <c r="AZ123" i="62"/>
  <c r="BO122" i="62"/>
  <c r="BF122" i="62"/>
  <c r="AW122" i="62"/>
  <c r="BV121" i="62"/>
  <c r="BM121" i="62"/>
  <c r="BD121" i="62"/>
  <c r="CB120" i="62"/>
  <c r="BS120" i="62"/>
  <c r="BA120" i="62"/>
  <c r="BW153" i="62"/>
  <c r="BD153" i="62"/>
  <c r="BY152" i="62"/>
  <c r="BI152" i="62"/>
  <c r="BH151" i="62"/>
  <c r="CC150" i="62"/>
  <c r="BL150" i="62"/>
  <c r="AX150" i="62"/>
  <c r="BS149" i="62"/>
  <c r="BY148" i="62"/>
  <c r="BK148" i="62"/>
  <c r="CD147" i="62"/>
  <c r="BP147" i="62"/>
  <c r="BD147" i="62"/>
  <c r="BV146" i="62"/>
  <c r="BI146" i="62"/>
  <c r="CD145" i="62"/>
  <c r="BO145" i="62"/>
  <c r="BA145" i="62"/>
  <c r="BV144" i="62"/>
  <c r="BF144" i="62"/>
  <c r="CB143" i="62"/>
  <c r="BN143" i="62"/>
  <c r="AX143" i="62"/>
  <c r="BT142" i="62"/>
  <c r="BG142" i="62"/>
  <c r="BY141" i="62"/>
  <c r="BK141" i="62"/>
  <c r="AY141" i="62"/>
  <c r="BD140" i="62"/>
  <c r="CD138" i="62"/>
  <c r="BA138" i="62"/>
  <c r="BW137" i="62"/>
  <c r="BI137" i="62"/>
  <c r="CB136" i="62"/>
  <c r="BN136" i="62"/>
  <c r="BB136" i="62"/>
  <c r="BT135" i="62"/>
  <c r="BG135" i="62"/>
  <c r="CB134" i="62"/>
  <c r="BL134" i="62"/>
  <c r="AY134" i="62"/>
  <c r="BT133" i="62"/>
  <c r="BF133" i="62"/>
  <c r="BZ131" i="62"/>
  <c r="BN131" i="62"/>
  <c r="BA131" i="62"/>
  <c r="BW130" i="62"/>
  <c r="BL130" i="62"/>
  <c r="AX130" i="62"/>
  <c r="BU129" i="62"/>
  <c r="BI129" i="62"/>
  <c r="CD128" i="62"/>
  <c r="BR128" i="62"/>
  <c r="BG128" i="62"/>
  <c r="CA127" i="62"/>
  <c r="BP127" i="62"/>
  <c r="BD127" i="62"/>
  <c r="BM126" i="62"/>
  <c r="BB126" i="62"/>
  <c r="BV125" i="62"/>
  <c r="AY125" i="62"/>
  <c r="BS124" i="62"/>
  <c r="BH124" i="62"/>
  <c r="CD123" i="62"/>
  <c r="BE123" i="62"/>
  <c r="CB122" i="62"/>
  <c r="BN122" i="62"/>
  <c r="BY121" i="62"/>
  <c r="BL121" i="62"/>
  <c r="AZ121" i="62"/>
  <c r="BW120" i="62"/>
  <c r="BI120" i="62"/>
  <c r="AX120" i="62"/>
  <c r="BU119" i="62"/>
  <c r="BK119" i="62"/>
  <c r="BA119" i="62"/>
  <c r="BW118" i="62"/>
  <c r="BM118" i="62"/>
  <c r="BZ117" i="62"/>
  <c r="BP117" i="62"/>
  <c r="BF117" i="62"/>
  <c r="CD116" i="62"/>
  <c r="BR116" i="62"/>
  <c r="BH116" i="62"/>
  <c r="AX116" i="62"/>
  <c r="BU115" i="62"/>
  <c r="BK115" i="62"/>
  <c r="BA115" i="62"/>
  <c r="BM114" i="62"/>
  <c r="BZ113" i="62"/>
  <c r="BP113" i="62"/>
  <c r="BF113" i="62"/>
  <c r="CD112" i="62"/>
  <c r="BS112" i="62"/>
  <c r="BH112" i="62"/>
  <c r="AX112" i="62"/>
  <c r="BU111" i="62"/>
  <c r="BK111" i="62"/>
  <c r="BA111" i="62"/>
  <c r="BV153" i="62"/>
  <c r="BH152" i="62"/>
  <c r="BW151" i="62"/>
  <c r="BG151" i="62"/>
  <c r="CB150" i="62"/>
  <c r="AW150" i="62"/>
  <c r="BN153" i="62"/>
  <c r="CA152" i="62"/>
  <c r="BB152" i="62"/>
  <c r="BR151" i="62"/>
  <c r="AW151" i="62"/>
  <c r="BI150" i="62"/>
  <c r="BY149" i="62"/>
  <c r="CA148" i="62"/>
  <c r="BM148" i="62"/>
  <c r="CC147" i="62"/>
  <c r="BN147" i="62"/>
  <c r="AW147" i="62"/>
  <c r="AZ146" i="62"/>
  <c r="BS145" i="62"/>
  <c r="BB145" i="62"/>
  <c r="BU144" i="62"/>
  <c r="BD144" i="62"/>
  <c r="BW143" i="62"/>
  <c r="BF143" i="62"/>
  <c r="BZ142" i="62"/>
  <c r="BI142" i="62"/>
  <c r="CB141" i="62"/>
  <c r="CA140" i="62"/>
  <c r="BM140" i="62"/>
  <c r="CD139" i="62"/>
  <c r="BO139" i="62"/>
  <c r="AY139" i="62"/>
  <c r="BR138" i="62"/>
  <c r="AZ138" i="62"/>
  <c r="BS137" i="62"/>
  <c r="BV136" i="62"/>
  <c r="BE136" i="62"/>
  <c r="BZ135" i="62"/>
  <c r="BH135" i="62"/>
  <c r="BZ134" i="62"/>
  <c r="BI134" i="62"/>
  <c r="CD133" i="62"/>
  <c r="BM133" i="62"/>
  <c r="AZ133" i="62"/>
  <c r="BY131" i="62"/>
  <c r="AW131" i="62"/>
  <c r="BP130" i="62"/>
  <c r="BD130" i="62"/>
  <c r="BW129" i="62"/>
  <c r="CB128" i="62"/>
  <c r="BP128" i="62"/>
  <c r="BA128" i="62"/>
  <c r="BV127" i="62"/>
  <c r="BH127" i="62"/>
  <c r="CC126" i="62"/>
  <c r="BN126" i="62"/>
  <c r="AZ126" i="62"/>
  <c r="BT125" i="62"/>
  <c r="BG125" i="62"/>
  <c r="BZ124" i="62"/>
  <c r="BN124" i="62"/>
  <c r="AY124" i="62"/>
  <c r="BT123" i="62"/>
  <c r="BD123" i="62"/>
  <c r="BW122" i="62"/>
  <c r="BK122" i="62"/>
  <c r="CD121" i="62"/>
  <c r="BB121" i="62"/>
  <c r="BH120" i="62"/>
  <c r="CC119" i="62"/>
  <c r="BE119" i="62"/>
  <c r="CB118" i="62"/>
  <c r="BP118" i="62"/>
  <c r="BD118" i="62"/>
  <c r="BY117" i="62"/>
  <c r="BN117" i="62"/>
  <c r="BA117" i="62"/>
  <c r="BL116" i="62"/>
  <c r="AZ116" i="62"/>
  <c r="BV115" i="62"/>
  <c r="AW115" i="62"/>
  <c r="BT114" i="62"/>
  <c r="BH114" i="62"/>
  <c r="AW114" i="62"/>
  <c r="BR113" i="62"/>
  <c r="BG113" i="62"/>
  <c r="CB112" i="62"/>
  <c r="BP112" i="62"/>
  <c r="BD112" i="62"/>
  <c r="CA111" i="62"/>
  <c r="BN111" i="62"/>
  <c r="CA59" i="62"/>
  <c r="BS59" i="62"/>
  <c r="BK59" i="62"/>
  <c r="CD58" i="62"/>
  <c r="BV58" i="62"/>
  <c r="BN58" i="62"/>
  <c r="BF58" i="62"/>
  <c r="AX58" i="62"/>
  <c r="BY57" i="62"/>
  <c r="BI57" i="62"/>
  <c r="BA57" i="62"/>
  <c r="CB56" i="62"/>
  <c r="BT56" i="62"/>
  <c r="BL56" i="62"/>
  <c r="BL153" i="62"/>
  <c r="BZ152" i="62"/>
  <c r="BA152" i="62"/>
  <c r="BP151" i="62"/>
  <c r="CD150" i="62"/>
  <c r="BG150" i="62"/>
  <c r="BW149" i="62"/>
  <c r="BI149" i="62"/>
  <c r="BZ148" i="62"/>
  <c r="CA147" i="62"/>
  <c r="BM147" i="62"/>
  <c r="CD146" i="62"/>
  <c r="BO146" i="62"/>
  <c r="AY146" i="62"/>
  <c r="BR145" i="62"/>
  <c r="AZ145" i="62"/>
  <c r="BT143" i="62"/>
  <c r="BE143" i="62"/>
  <c r="BV142" i="62"/>
  <c r="BH142" i="62"/>
  <c r="BI141" i="62"/>
  <c r="BZ140" i="62"/>
  <c r="BL140" i="62"/>
  <c r="CC139" i="62"/>
  <c r="BN139" i="62"/>
  <c r="AW139" i="62"/>
  <c r="BP138" i="62"/>
  <c r="AY138" i="62"/>
  <c r="BR137" i="62"/>
  <c r="BA137" i="62"/>
  <c r="BU136" i="62"/>
  <c r="BD136" i="62"/>
  <c r="BW135" i="62"/>
  <c r="BE135" i="62"/>
  <c r="BW134" i="62"/>
  <c r="BH134" i="62"/>
  <c r="BY133" i="62"/>
  <c r="BL133" i="62"/>
  <c r="AW133" i="62"/>
  <c r="BI131" i="62"/>
  <c r="CD130" i="62"/>
  <c r="BO130" i="62"/>
  <c r="BV129" i="62"/>
  <c r="BH129" i="62"/>
  <c r="CA128" i="62"/>
  <c r="BO128" i="62"/>
  <c r="AZ128" i="62"/>
  <c r="BU127" i="62"/>
  <c r="BF127" i="62"/>
  <c r="CB126" i="62"/>
  <c r="BL126" i="62"/>
  <c r="AW126" i="62"/>
  <c r="BR125" i="62"/>
  <c r="BD125" i="62"/>
  <c r="BY124" i="62"/>
  <c r="AX124" i="62"/>
  <c r="BP123" i="62"/>
  <c r="BV122" i="62"/>
  <c r="CC121" i="62"/>
  <c r="BP121" i="62"/>
  <c r="BA121" i="62"/>
  <c r="BV120" i="62"/>
  <c r="BG120" i="62"/>
  <c r="CB119" i="62"/>
  <c r="BP119" i="62"/>
  <c r="BD119" i="62"/>
  <c r="CA118" i="62"/>
  <c r="BN118" i="62"/>
  <c r="BB118" i="62"/>
  <c r="BL117" i="62"/>
  <c r="AZ117" i="62"/>
  <c r="BW116" i="62"/>
  <c r="BK116" i="62"/>
  <c r="AY116" i="62"/>
  <c r="BT115" i="62"/>
  <c r="BI115" i="62"/>
  <c r="CD114" i="62"/>
  <c r="BS114" i="62"/>
  <c r="BG114" i="62"/>
  <c r="CC113" i="62"/>
  <c r="BE113" i="62"/>
  <c r="BZ112" i="62"/>
  <c r="BO112" i="62"/>
  <c r="BZ111" i="62"/>
  <c r="BM111" i="62"/>
  <c r="BB111" i="62"/>
  <c r="BZ59" i="62"/>
  <c r="BR59" i="62"/>
  <c r="BB59" i="62"/>
  <c r="CC58" i="62"/>
  <c r="BU58" i="62"/>
  <c r="BM58" i="62"/>
  <c r="BE58" i="62"/>
  <c r="AW58" i="62"/>
  <c r="BP57" i="62"/>
  <c r="BH57" i="62"/>
  <c r="AZ57" i="62"/>
  <c r="CA56" i="62"/>
  <c r="BS56" i="62"/>
  <c r="BK56" i="62"/>
  <c r="BR153" i="62"/>
  <c r="BT152" i="62"/>
  <c r="AW152" i="62"/>
  <c r="AY151" i="62"/>
  <c r="BF150" i="62"/>
  <c r="BR149" i="62"/>
  <c r="AY149" i="62"/>
  <c r="BF148" i="62"/>
  <c r="BW147" i="62"/>
  <c r="BL146" i="62"/>
  <c r="BY145" i="62"/>
  <c r="BH145" i="62"/>
  <c r="BP144" i="62"/>
  <c r="CD143" i="62"/>
  <c r="BU142" i="62"/>
  <c r="AZ142" i="62"/>
  <c r="BO141" i="62"/>
  <c r="BY140" i="62"/>
  <c r="BE140" i="62"/>
  <c r="BS139" i="62"/>
  <c r="CC138" i="62"/>
  <c r="BI138" i="62"/>
  <c r="AZ137" i="62"/>
  <c r="BM136" i="62"/>
  <c r="CB135" i="62"/>
  <c r="BD135" i="62"/>
  <c r="BR134" i="62"/>
  <c r="AX134" i="62"/>
  <c r="BV131" i="62"/>
  <c r="BE131" i="62"/>
  <c r="BU130" i="62"/>
  <c r="BB130" i="62"/>
  <c r="AZ129" i="62"/>
  <c r="BK128" i="62"/>
  <c r="CD127" i="62"/>
  <c r="BL127" i="62"/>
  <c r="BW126" i="62"/>
  <c r="BF126" i="62"/>
  <c r="BY125" i="62"/>
  <c r="BB125" i="62"/>
  <c r="BR124" i="62"/>
  <c r="BA124" i="62"/>
  <c r="BN123" i="62"/>
  <c r="AW123" i="62"/>
  <c r="BM122" i="62"/>
  <c r="CB121" i="62"/>
  <c r="BI121" i="62"/>
  <c r="BZ120" i="62"/>
  <c r="BF120" i="62"/>
  <c r="BH119" i="62"/>
  <c r="BZ118" i="62"/>
  <c r="CC117" i="62"/>
  <c r="AW117" i="62"/>
  <c r="BO116" i="62"/>
  <c r="CD115" i="62"/>
  <c r="BP115" i="62"/>
  <c r="BB115" i="62"/>
  <c r="BR114" i="62"/>
  <c r="BB114" i="62"/>
  <c r="BV113" i="62"/>
  <c r="BD113" i="62"/>
  <c r="BW112" i="62"/>
  <c r="BG112" i="62"/>
  <c r="BI111" i="62"/>
  <c r="BW59" i="62"/>
  <c r="BM59" i="62"/>
  <c r="BA59" i="62"/>
  <c r="BZ58" i="62"/>
  <c r="BP58" i="62"/>
  <c r="BD58" i="62"/>
  <c r="CC57" i="62"/>
  <c r="BS57" i="62"/>
  <c r="BG57" i="62"/>
  <c r="AW57" i="62"/>
  <c r="BV56" i="62"/>
  <c r="BB56" i="62"/>
  <c r="CC55" i="62"/>
  <c r="BU55" i="62"/>
  <c r="BM55" i="62"/>
  <c r="BE55" i="62"/>
  <c r="AW55" i="62"/>
  <c r="BP54" i="62"/>
  <c r="BH54" i="62"/>
  <c r="AZ54" i="62"/>
  <c r="CA53" i="62"/>
  <c r="BS53" i="62"/>
  <c r="BK53" i="62"/>
  <c r="CD52" i="62"/>
  <c r="BV52" i="62"/>
  <c r="BN52" i="62"/>
  <c r="BF52" i="62"/>
  <c r="AX52" i="62"/>
  <c r="BY51" i="62"/>
  <c r="BI51" i="62"/>
  <c r="BA51" i="62"/>
  <c r="BW49" i="62"/>
  <c r="BO49" i="62"/>
  <c r="BG49" i="62"/>
  <c r="AY49" i="62"/>
  <c r="BZ48" i="62"/>
  <c r="BR48" i="62"/>
  <c r="BB48" i="62"/>
  <c r="CC47" i="62"/>
  <c r="BU47" i="62"/>
  <c r="BM47" i="62"/>
  <c r="BE47" i="62"/>
  <c r="AW47" i="62"/>
  <c r="BP46" i="62"/>
  <c r="BH46" i="62"/>
  <c r="AZ46" i="62"/>
  <c r="CD44" i="62"/>
  <c r="BV44" i="62"/>
  <c r="BN44" i="62"/>
  <c r="BF44" i="62"/>
  <c r="AX44" i="62"/>
  <c r="BY43" i="62"/>
  <c r="BI43" i="62"/>
  <c r="BA43" i="62"/>
  <c r="CB42" i="62"/>
  <c r="BT42" i="62"/>
  <c r="BL42" i="62"/>
  <c r="BD42" i="62"/>
  <c r="BW41" i="62"/>
  <c r="BO41" i="62"/>
  <c r="BG41" i="62"/>
  <c r="AY41" i="62"/>
  <c r="BZ40" i="62"/>
  <c r="BR40" i="62"/>
  <c r="BB40" i="62"/>
  <c r="CC39" i="62"/>
  <c r="BU39" i="62"/>
  <c r="BM39" i="62"/>
  <c r="BE39" i="62"/>
  <c r="AW39" i="62"/>
  <c r="BP38" i="62"/>
  <c r="BH38" i="62"/>
  <c r="AZ38" i="62"/>
  <c r="CA37" i="62"/>
  <c r="BS37" i="62"/>
  <c r="BK37" i="62"/>
  <c r="CD36" i="62"/>
  <c r="BV36" i="62"/>
  <c r="BN36" i="62"/>
  <c r="BF36" i="62"/>
  <c r="AX36" i="62"/>
  <c r="BY35" i="62"/>
  <c r="BI35" i="62"/>
  <c r="BA35" i="62"/>
  <c r="BW33" i="62"/>
  <c r="BO33" i="62"/>
  <c r="BG33" i="62"/>
  <c r="AY33" i="62"/>
  <c r="BZ32" i="62"/>
  <c r="BR32" i="62"/>
  <c r="BB32" i="62"/>
  <c r="CA29" i="62"/>
  <c r="BS29" i="62"/>
  <c r="BK29" i="62"/>
  <c r="CD28" i="62"/>
  <c r="BV28" i="62"/>
  <c r="BN28" i="62"/>
  <c r="BF28" i="62"/>
  <c r="AX28" i="62"/>
  <c r="BY27" i="62"/>
  <c r="BI27" i="62"/>
  <c r="BA27" i="62"/>
  <c r="CB26" i="62"/>
  <c r="BT26" i="62"/>
  <c r="BL26" i="62"/>
  <c r="BD26" i="62"/>
  <c r="BZ24" i="62"/>
  <c r="BR24" i="62"/>
  <c r="BB24" i="62"/>
  <c r="CC23" i="62"/>
  <c r="BU23" i="62"/>
  <c r="BM23" i="62"/>
  <c r="BE23" i="62"/>
  <c r="AW23" i="62"/>
  <c r="CA21" i="62"/>
  <c r="BS21" i="62"/>
  <c r="BK21" i="62"/>
  <c r="CD20" i="62"/>
  <c r="BV20" i="62"/>
  <c r="BN20" i="62"/>
  <c r="BF20" i="62"/>
  <c r="AX20" i="62"/>
  <c r="BY19" i="62"/>
  <c r="BI19" i="62"/>
  <c r="BA19" i="62"/>
  <c r="BW17" i="62"/>
  <c r="BO17" i="62"/>
  <c r="BG17" i="62"/>
  <c r="AY17" i="62"/>
  <c r="BZ16" i="62"/>
  <c r="BR16" i="62"/>
  <c r="BB16" i="62"/>
  <c r="BP14" i="62"/>
  <c r="BH14" i="62"/>
  <c r="AZ14" i="62"/>
  <c r="CA13" i="62"/>
  <c r="BS13" i="62"/>
  <c r="BK13" i="62"/>
  <c r="BS152" i="62"/>
  <c r="CD151" i="62"/>
  <c r="AX151" i="62"/>
  <c r="BE150" i="62"/>
  <c r="BN149" i="62"/>
  <c r="AX149" i="62"/>
  <c r="BE148" i="62"/>
  <c r="BT147" i="62"/>
  <c r="AX147" i="62"/>
  <c r="BN144" i="62"/>
  <c r="CC143" i="62"/>
  <c r="BG143" i="62"/>
  <c r="BR142" i="62"/>
  <c r="AY142" i="62"/>
  <c r="BN141" i="62"/>
  <c r="BR139" i="62"/>
  <c r="CB138" i="62"/>
  <c r="BH138" i="62"/>
  <c r="BV137" i="62"/>
  <c r="AY137" i="62"/>
  <c r="BL136" i="62"/>
  <c r="CA135" i="62"/>
  <c r="AW134" i="62"/>
  <c r="BI133" i="62"/>
  <c r="BS131" i="62"/>
  <c r="BD131" i="62"/>
  <c r="BT130" i="62"/>
  <c r="AW130" i="62"/>
  <c r="BN129" i="62"/>
  <c r="AY129" i="62"/>
  <c r="BZ127" i="62"/>
  <c r="BI127" i="62"/>
  <c r="BV126" i="62"/>
  <c r="BE126" i="62"/>
  <c r="BU125" i="62"/>
  <c r="BA125" i="62"/>
  <c r="AZ124" i="62"/>
  <c r="BM123" i="62"/>
  <c r="CD122" i="62"/>
  <c r="BL122" i="62"/>
  <c r="BZ121" i="62"/>
  <c r="BH121" i="62"/>
  <c r="BY120" i="62"/>
  <c r="BD120" i="62"/>
  <c r="BV119" i="62"/>
  <c r="BF119" i="62"/>
  <c r="BV118" i="62"/>
  <c r="BH118" i="62"/>
  <c r="CB117" i="62"/>
  <c r="BI117" i="62"/>
  <c r="CA116" i="62"/>
  <c r="BN116" i="62"/>
  <c r="CC115" i="62"/>
  <c r="BN115" i="62"/>
  <c r="AZ115" i="62"/>
  <c r="BP114" i="62"/>
  <c r="AZ114" i="62"/>
  <c r="BT113" i="62"/>
  <c r="BA113" i="62"/>
  <c r="BV112" i="62"/>
  <c r="BF112" i="62"/>
  <c r="BV111" i="62"/>
  <c r="BH111" i="62"/>
  <c r="BV59" i="62"/>
  <c r="BL59" i="62"/>
  <c r="AZ59" i="62"/>
  <c r="BY58" i="62"/>
  <c r="BO58" i="62"/>
  <c r="CB57" i="62"/>
  <c r="BR57" i="62"/>
  <c r="BF57" i="62"/>
  <c r="BU56" i="62"/>
  <c r="BI56" i="62"/>
  <c r="BA56" i="62"/>
  <c r="CB55" i="62"/>
  <c r="BT55" i="62"/>
  <c r="BL55" i="62"/>
  <c r="BD55" i="62"/>
  <c r="BW54" i="62"/>
  <c r="BO54" i="62"/>
  <c r="BG54" i="62"/>
  <c r="AY54" i="62"/>
  <c r="BZ53" i="62"/>
  <c r="BR53" i="62"/>
  <c r="BB53" i="62"/>
  <c r="CC52" i="62"/>
  <c r="BU52" i="62"/>
  <c r="BM52" i="62"/>
  <c r="BE52" i="62"/>
  <c r="AW52" i="62"/>
  <c r="BP51" i="62"/>
  <c r="BH51" i="62"/>
  <c r="AZ51" i="62"/>
  <c r="CD49" i="62"/>
  <c r="BV49" i="62"/>
  <c r="BN49" i="62"/>
  <c r="BF49" i="62"/>
  <c r="AX49" i="62"/>
  <c r="BY48" i="62"/>
  <c r="BI48" i="62"/>
  <c r="BA48" i="62"/>
  <c r="CB47" i="62"/>
  <c r="BT47" i="62"/>
  <c r="BL47" i="62"/>
  <c r="BD47" i="62"/>
  <c r="BW46" i="62"/>
  <c r="BO46" i="62"/>
  <c r="BG46" i="62"/>
  <c r="AY46" i="62"/>
  <c r="CC44" i="62"/>
  <c r="BU44" i="62"/>
  <c r="BM44" i="62"/>
  <c r="BE44" i="62"/>
  <c r="AW44" i="62"/>
  <c r="BP43" i="62"/>
  <c r="BH43" i="62"/>
  <c r="AZ43" i="62"/>
  <c r="CA42" i="62"/>
  <c r="BS42" i="62"/>
  <c r="BK42" i="62"/>
  <c r="CD41" i="62"/>
  <c r="BV41" i="62"/>
  <c r="BN41" i="62"/>
  <c r="BF41" i="62"/>
  <c r="AX41" i="62"/>
  <c r="BY40" i="62"/>
  <c r="BI40" i="62"/>
  <c r="BA40" i="62"/>
  <c r="CB39" i="62"/>
  <c r="BT39" i="62"/>
  <c r="BL39" i="62"/>
  <c r="BD39" i="62"/>
  <c r="BW38" i="62"/>
  <c r="BO38" i="62"/>
  <c r="BG38" i="62"/>
  <c r="AY38" i="62"/>
  <c r="BZ37" i="62"/>
  <c r="BR37" i="62"/>
  <c r="BB37" i="62"/>
  <c r="CC36" i="62"/>
  <c r="BU36" i="62"/>
  <c r="BM36" i="62"/>
  <c r="BE36" i="62"/>
  <c r="AW36" i="62"/>
  <c r="BP35" i="62"/>
  <c r="BH35" i="62"/>
  <c r="AZ35" i="62"/>
  <c r="CD33" i="62"/>
  <c r="BV33" i="62"/>
  <c r="BN33" i="62"/>
  <c r="BF33" i="62"/>
  <c r="AX33" i="62"/>
  <c r="BY32" i="62"/>
  <c r="BI32" i="62"/>
  <c r="BA32" i="62"/>
  <c r="BZ29" i="62"/>
  <c r="BR29" i="62"/>
  <c r="BB29" i="62"/>
  <c r="CC28" i="62"/>
  <c r="BU28" i="62"/>
  <c r="BM28" i="62"/>
  <c r="BE28" i="62"/>
  <c r="AW28" i="62"/>
  <c r="BP27" i="62"/>
  <c r="BH27" i="62"/>
  <c r="AZ27" i="62"/>
  <c r="CA26" i="62"/>
  <c r="BS26" i="62"/>
  <c r="BK26" i="62"/>
  <c r="BY24" i="62"/>
  <c r="BI24" i="62"/>
  <c r="BA24" i="62"/>
  <c r="CB23" i="62"/>
  <c r="BT23" i="62"/>
  <c r="BL23" i="62"/>
  <c r="BD23" i="62"/>
  <c r="BZ21" i="62"/>
  <c r="BR21" i="62"/>
  <c r="BB21" i="62"/>
  <c r="CC20" i="62"/>
  <c r="BU20" i="62"/>
  <c r="BM20" i="62"/>
  <c r="BE20" i="62"/>
  <c r="AW20" i="62"/>
  <c r="BP19" i="62"/>
  <c r="BH19" i="62"/>
  <c r="AZ19" i="62"/>
  <c r="CD17" i="62"/>
  <c r="BV17" i="62"/>
  <c r="BN17" i="62"/>
  <c r="BF17" i="62"/>
  <c r="AX17" i="62"/>
  <c r="BY16" i="62"/>
  <c r="BI16" i="62"/>
  <c r="BA16" i="62"/>
  <c r="BW14" i="62"/>
  <c r="BO14" i="62"/>
  <c r="BG14" i="62"/>
  <c r="AY14" i="62"/>
  <c r="BZ13" i="62"/>
  <c r="BR13" i="62"/>
  <c r="BB13" i="62"/>
  <c r="CA153" i="62"/>
  <c r="BP152" i="62"/>
  <c r="BM151" i="62"/>
  <c r="BP150" i="62"/>
  <c r="BL149" i="62"/>
  <c r="BT148" i="62"/>
  <c r="BZ147" i="62"/>
  <c r="CC146" i="62"/>
  <c r="BE146" i="62"/>
  <c r="BM144" i="62"/>
  <c r="BS143" i="62"/>
  <c r="CC142" i="62"/>
  <c r="AX142" i="62"/>
  <c r="BB141" i="62"/>
  <c r="BK140" i="62"/>
  <c r="BM139" i="62"/>
  <c r="BU138" i="62"/>
  <c r="CB137" i="62"/>
  <c r="AX137" i="62"/>
  <c r="BM135" i="62"/>
  <c r="BP134" i="62"/>
  <c r="BV133" i="62"/>
  <c r="BP131" i="62"/>
  <c r="CD129" i="62"/>
  <c r="BE129" i="62"/>
  <c r="BS128" i="62"/>
  <c r="BY127" i="62"/>
  <c r="AZ127" i="62"/>
  <c r="BK126" i="62"/>
  <c r="CB124" i="62"/>
  <c r="BF124" i="62"/>
  <c r="BL123" i="62"/>
  <c r="BU122" i="62"/>
  <c r="AZ122" i="62"/>
  <c r="BG121" i="62"/>
  <c r="BP120" i="62"/>
  <c r="BZ119" i="62"/>
  <c r="BS118" i="62"/>
  <c r="AX118" i="62"/>
  <c r="BH117" i="62"/>
  <c r="BV116" i="62"/>
  <c r="BM115" i="62"/>
  <c r="CA114" i="62"/>
  <c r="BF114" i="62"/>
  <c r="BO113" i="62"/>
  <c r="AX113" i="62"/>
  <c r="BK112" i="62"/>
  <c r="BT111" i="62"/>
  <c r="AZ111" i="62"/>
  <c r="BU59" i="62"/>
  <c r="BG59" i="62"/>
  <c r="CB58" i="62"/>
  <c r="BL58" i="62"/>
  <c r="AZ58" i="62"/>
  <c r="BU57" i="62"/>
  <c r="BE57" i="62"/>
  <c r="BZ56" i="62"/>
  <c r="BN56" i="62"/>
  <c r="AZ56" i="62"/>
  <c r="BY55" i="62"/>
  <c r="BO55" i="62"/>
  <c r="CB54" i="62"/>
  <c r="BR54" i="62"/>
  <c r="BF54" i="62"/>
  <c r="BU53" i="62"/>
  <c r="BI53" i="62"/>
  <c r="AY53" i="62"/>
  <c r="BL52" i="62"/>
  <c r="BB52" i="62"/>
  <c r="CA51" i="62"/>
  <c r="BO51" i="62"/>
  <c r="BE51" i="62"/>
  <c r="BU49" i="62"/>
  <c r="BK49" i="62"/>
  <c r="BA49" i="62"/>
  <c r="BN48" i="62"/>
  <c r="BD48" i="62"/>
  <c r="CA47" i="62"/>
  <c r="BG47" i="62"/>
  <c r="CD46" i="62"/>
  <c r="BT46" i="62"/>
  <c r="AX46" i="62"/>
  <c r="BZ44" i="62"/>
  <c r="BP44" i="62"/>
  <c r="BD44" i="62"/>
  <c r="CC43" i="62"/>
  <c r="BS43" i="62"/>
  <c r="BG43" i="62"/>
  <c r="AW43" i="62"/>
  <c r="BV42" i="62"/>
  <c r="AZ42" i="62"/>
  <c r="BY41" i="62"/>
  <c r="BM41" i="62"/>
  <c r="CB40" i="62"/>
  <c r="BP40" i="62"/>
  <c r="BF40" i="62"/>
  <c r="BS39" i="62"/>
  <c r="BI39" i="62"/>
  <c r="AY39" i="62"/>
  <c r="BV38" i="62"/>
  <c r="BL38" i="62"/>
  <c r="BB38" i="62"/>
  <c r="BY37" i="62"/>
  <c r="BO37" i="62"/>
  <c r="BE37" i="62"/>
  <c r="CB36" i="62"/>
  <c r="BR36" i="62"/>
  <c r="BH36" i="62"/>
  <c r="BU35" i="62"/>
  <c r="BK35" i="62"/>
  <c r="AY35" i="62"/>
  <c r="CA33" i="62"/>
  <c r="BE33" i="62"/>
  <c r="CD32" i="62"/>
  <c r="BT32" i="62"/>
  <c r="BH32" i="62"/>
  <c r="AX32" i="62"/>
  <c r="CC29" i="62"/>
  <c r="BG29" i="62"/>
  <c r="AW29" i="62"/>
  <c r="BT28" i="62"/>
  <c r="AZ28" i="62"/>
  <c r="BW27" i="62"/>
  <c r="BM27" i="62"/>
  <c r="BZ26" i="62"/>
  <c r="BP26" i="62"/>
  <c r="BF26" i="62"/>
  <c r="BV24" i="62"/>
  <c r="BL24" i="62"/>
  <c r="AZ24" i="62"/>
  <c r="BY23" i="62"/>
  <c r="BO23" i="62"/>
  <c r="BU21" i="62"/>
  <c r="BI21" i="62"/>
  <c r="AY21" i="62"/>
  <c r="BL20" i="62"/>
  <c r="BB20" i="62"/>
  <c r="CA19" i="62"/>
  <c r="BO19" i="62"/>
  <c r="BE19" i="62"/>
  <c r="BU17" i="62"/>
  <c r="BK17" i="62"/>
  <c r="BA17" i="62"/>
  <c r="BN16" i="62"/>
  <c r="BD16" i="62"/>
  <c r="CD14" i="62"/>
  <c r="BT14" i="62"/>
  <c r="AX14" i="62"/>
  <c r="BW13" i="62"/>
  <c r="BM13" i="62"/>
  <c r="BA13" i="62"/>
  <c r="BZ153" i="62"/>
  <c r="BN152" i="62"/>
  <c r="BL151" i="62"/>
  <c r="BO150" i="62"/>
  <c r="BK149" i="62"/>
  <c r="CB146" i="62"/>
  <c r="BA146" i="62"/>
  <c r="BI145" i="62"/>
  <c r="BL144" i="62"/>
  <c r="BP143" i="62"/>
  <c r="CB142" i="62"/>
  <c r="CD141" i="62"/>
  <c r="BA141" i="62"/>
  <c r="BF140" i="62"/>
  <c r="BH139" i="62"/>
  <c r="BT138" i="62"/>
  <c r="BY137" i="62"/>
  <c r="BZ136" i="62"/>
  <c r="BA136" i="62"/>
  <c r="BR133" i="62"/>
  <c r="BM131" i="62"/>
  <c r="BV130" i="62"/>
  <c r="CC129" i="62"/>
  <c r="BD129" i="62"/>
  <c r="AX127" i="62"/>
  <c r="BP125" i="62"/>
  <c r="CA124" i="62"/>
  <c r="BD124" i="62"/>
  <c r="BK123" i="62"/>
  <c r="BT122" i="62"/>
  <c r="AY122" i="62"/>
  <c r="BF121" i="62"/>
  <c r="BO120" i="62"/>
  <c r="BY119" i="62"/>
  <c r="BB119" i="62"/>
  <c r="BR118" i="62"/>
  <c r="CD117" i="62"/>
  <c r="BG117" i="62"/>
  <c r="BT116" i="62"/>
  <c r="BB116" i="62"/>
  <c r="BL115" i="62"/>
  <c r="BZ114" i="62"/>
  <c r="BD114" i="62"/>
  <c r="BN113" i="62"/>
  <c r="AW113" i="62"/>
  <c r="BS111" i="62"/>
  <c r="AX111" i="62"/>
  <c r="BT59" i="62"/>
  <c r="BF59" i="62"/>
  <c r="CA58" i="62"/>
  <c r="BK58" i="62"/>
  <c r="AY58" i="62"/>
  <c r="BT57" i="62"/>
  <c r="BD57" i="62"/>
  <c r="BY56" i="62"/>
  <c r="BM56" i="62"/>
  <c r="AY56" i="62"/>
  <c r="BN55" i="62"/>
  <c r="BB55" i="62"/>
  <c r="CA54" i="62"/>
  <c r="BE54" i="62"/>
  <c r="CD53" i="62"/>
  <c r="BT53" i="62"/>
  <c r="BH53" i="62"/>
  <c r="AX53" i="62"/>
  <c r="BW52" i="62"/>
  <c r="BK52" i="62"/>
  <c r="BA52" i="62"/>
  <c r="BZ51" i="62"/>
  <c r="BN51" i="62"/>
  <c r="BD51" i="62"/>
  <c r="BT49" i="62"/>
  <c r="AZ49" i="62"/>
  <c r="BW48" i="62"/>
  <c r="BM48" i="62"/>
  <c r="BZ47" i="62"/>
  <c r="BP47" i="62"/>
  <c r="BF47" i="62"/>
  <c r="CC46" i="62"/>
  <c r="BS46" i="62"/>
  <c r="BI46" i="62"/>
  <c r="AW46" i="62"/>
  <c r="BY44" i="62"/>
  <c r="BO44" i="62"/>
  <c r="CB43" i="62"/>
  <c r="BR43" i="62"/>
  <c r="BF43" i="62"/>
  <c r="BU42" i="62"/>
  <c r="BI42" i="62"/>
  <c r="AY42" i="62"/>
  <c r="BL41" i="62"/>
  <c r="BB41" i="62"/>
  <c r="CA40" i="62"/>
  <c r="BO40" i="62"/>
  <c r="BE40" i="62"/>
  <c r="CD39" i="62"/>
  <c r="BR39" i="62"/>
  <c r="BH39" i="62"/>
  <c r="AX39" i="62"/>
  <c r="BU38" i="62"/>
  <c r="BK38" i="62"/>
  <c r="BA38" i="62"/>
  <c r="BN37" i="62"/>
  <c r="BD37" i="62"/>
  <c r="CA36" i="62"/>
  <c r="BG36" i="62"/>
  <c r="CD35" i="62"/>
  <c r="BT35" i="62"/>
  <c r="AX35" i="62"/>
  <c r="BZ33" i="62"/>
  <c r="BP33" i="62"/>
  <c r="BD33" i="62"/>
  <c r="CC32" i="62"/>
  <c r="BS32" i="62"/>
  <c r="BG32" i="62"/>
  <c r="AW32" i="62"/>
  <c r="CB29" i="62"/>
  <c r="BP29" i="62"/>
  <c r="BF29" i="62"/>
  <c r="BS28" i="62"/>
  <c r="BI28" i="62"/>
  <c r="AY28" i="62"/>
  <c r="BV27" i="62"/>
  <c r="BL27" i="62"/>
  <c r="BB27" i="62"/>
  <c r="BY26" i="62"/>
  <c r="BO26" i="62"/>
  <c r="BE26" i="62"/>
  <c r="BU24" i="62"/>
  <c r="BK24" i="62"/>
  <c r="AY24" i="62"/>
  <c r="BN23" i="62"/>
  <c r="BB23" i="62"/>
  <c r="CD21" i="62"/>
  <c r="BT21" i="62"/>
  <c r="BH21" i="62"/>
  <c r="AX21" i="62"/>
  <c r="BW20" i="62"/>
  <c r="BK20" i="62"/>
  <c r="BA20" i="62"/>
  <c r="BZ19" i="62"/>
  <c r="BN19" i="62"/>
  <c r="BD19" i="62"/>
  <c r="BT17" i="62"/>
  <c r="AZ17" i="62"/>
  <c r="BW16" i="62"/>
  <c r="BM16" i="62"/>
  <c r="CC14" i="62"/>
  <c r="BS14" i="62"/>
  <c r="BI14" i="62"/>
  <c r="AW14" i="62"/>
  <c r="BV13" i="62"/>
  <c r="BL13" i="62"/>
  <c r="AZ13" i="62"/>
  <c r="BB153" i="62"/>
  <c r="BV151" i="62"/>
  <c r="BA150" i="62"/>
  <c r="BA149" i="62"/>
  <c r="BA148" i="62"/>
  <c r="BZ146" i="62"/>
  <c r="BV145" i="62"/>
  <c r="BY144" i="62"/>
  <c r="BO143" i="62"/>
  <c r="BL142" i="62"/>
  <c r="BH141" i="62"/>
  <c r="BB140" i="62"/>
  <c r="BD139" i="62"/>
  <c r="AX138" i="62"/>
  <c r="BY136" i="62"/>
  <c r="BS135" i="62"/>
  <c r="BU134" i="62"/>
  <c r="BO133" i="62"/>
  <c r="BR131" i="62"/>
  <c r="BN130" i="62"/>
  <c r="BT129" i="62"/>
  <c r="BR127" i="62"/>
  <c r="BU126" i="62"/>
  <c r="CB125" i="62"/>
  <c r="BY123" i="62"/>
  <c r="CC122" i="62"/>
  <c r="AW121" i="62"/>
  <c r="AY120" i="62"/>
  <c r="AX119" i="62"/>
  <c r="BG118" i="62"/>
  <c r="BY115" i="62"/>
  <c r="CC114" i="62"/>
  <c r="AY114" i="62"/>
  <c r="BI113" i="62"/>
  <c r="BN112" i="62"/>
  <c r="BR111" i="62"/>
  <c r="BY59" i="62"/>
  <c r="BE59" i="62"/>
  <c r="BT58" i="62"/>
  <c r="BB58" i="62"/>
  <c r="BO57" i="62"/>
  <c r="AY57" i="62"/>
  <c r="BP56" i="62"/>
  <c r="AX56" i="62"/>
  <c r="BS55" i="62"/>
  <c r="BG55" i="62"/>
  <c r="BZ54" i="62"/>
  <c r="BL54" i="62"/>
  <c r="AX54" i="62"/>
  <c r="BE53" i="62"/>
  <c r="BZ52" i="62"/>
  <c r="BS51" i="62"/>
  <c r="CC49" i="62"/>
  <c r="BV48" i="62"/>
  <c r="BH48" i="62"/>
  <c r="BO47" i="62"/>
  <c r="BA47" i="62"/>
  <c r="BV46" i="62"/>
  <c r="BF46" i="62"/>
  <c r="BT44" i="62"/>
  <c r="BH44" i="62"/>
  <c r="CA43" i="62"/>
  <c r="BM43" i="62"/>
  <c r="AY43" i="62"/>
  <c r="BR42" i="62"/>
  <c r="BF42" i="62"/>
  <c r="CA41" i="62"/>
  <c r="BK41" i="62"/>
  <c r="AW41" i="62"/>
  <c r="BT40" i="62"/>
  <c r="BD40" i="62"/>
  <c r="BY39" i="62"/>
  <c r="BK39" i="62"/>
  <c r="CD38" i="62"/>
  <c r="BR38" i="62"/>
  <c r="BD38" i="62"/>
  <c r="BW37" i="62"/>
  <c r="BI37" i="62"/>
  <c r="AW37" i="62"/>
  <c r="BP36" i="62"/>
  <c r="BB36" i="62"/>
  <c r="BW35" i="62"/>
  <c r="BG35" i="62"/>
  <c r="BU33" i="62"/>
  <c r="BI33" i="62"/>
  <c r="CB32" i="62"/>
  <c r="BN32" i="62"/>
  <c r="AZ32" i="62"/>
  <c r="BU29" i="62"/>
  <c r="BE29" i="62"/>
  <c r="BZ28" i="62"/>
  <c r="BL28" i="62"/>
  <c r="BS27" i="62"/>
  <c r="BE27" i="62"/>
  <c r="AX26" i="62"/>
  <c r="BH24" i="62"/>
  <c r="BA23" i="62"/>
  <c r="CC21" i="62"/>
  <c r="BO21" i="62"/>
  <c r="BA21" i="62"/>
  <c r="BT20" i="62"/>
  <c r="BH20" i="62"/>
  <c r="CC19" i="62"/>
  <c r="BM19" i="62"/>
  <c r="AY19" i="62"/>
  <c r="CA17" i="62"/>
  <c r="BM17" i="62"/>
  <c r="AW17" i="62"/>
  <c r="BT16" i="62"/>
  <c r="BF16" i="62"/>
  <c r="BR14" i="62"/>
  <c r="BD14" i="62"/>
  <c r="BY13" i="62"/>
  <c r="BI13" i="62"/>
  <c r="AW13" i="62"/>
  <c r="BS33" i="62"/>
  <c r="BB14" i="62"/>
  <c r="BA153" i="62"/>
  <c r="BU151" i="62"/>
  <c r="AZ150" i="62"/>
  <c r="AZ149" i="62"/>
  <c r="AZ148" i="62"/>
  <c r="BU146" i="62"/>
  <c r="BT145" i="62"/>
  <c r="BM143" i="62"/>
  <c r="BD141" i="62"/>
  <c r="AZ140" i="62"/>
  <c r="AW138" i="62"/>
  <c r="BR135" i="62"/>
  <c r="BT134" i="62"/>
  <c r="BN133" i="62"/>
  <c r="BM130" i="62"/>
  <c r="BR129" i="62"/>
  <c r="BT128" i="62"/>
  <c r="BT126" i="62"/>
  <c r="BZ125" i="62"/>
  <c r="BW124" i="62"/>
  <c r="CA122" i="62"/>
  <c r="BU121" i="62"/>
  <c r="CA120" i="62"/>
  <c r="CD119" i="62"/>
  <c r="AW119" i="62"/>
  <c r="BE118" i="62"/>
  <c r="BO117" i="62"/>
  <c r="BP116" i="62"/>
  <c r="CB114" i="62"/>
  <c r="AX114" i="62"/>
  <c r="BH113" i="62"/>
  <c r="BL112" i="62"/>
  <c r="BD59" i="62"/>
  <c r="BS58" i="62"/>
  <c r="BA58" i="62"/>
  <c r="BN57" i="62"/>
  <c r="AX57" i="62"/>
  <c r="BO56" i="62"/>
  <c r="AW56" i="62"/>
  <c r="BR55" i="62"/>
  <c r="BF55" i="62"/>
  <c r="BY54" i="62"/>
  <c r="BK54" i="62"/>
  <c r="AW54" i="62"/>
  <c r="BP53" i="62"/>
  <c r="BD53" i="62"/>
  <c r="BY52" i="62"/>
  <c r="BI52" i="62"/>
  <c r="CD51" i="62"/>
  <c r="BR51" i="62"/>
  <c r="BB51" i="62"/>
  <c r="CB49" i="62"/>
  <c r="BP49" i="62"/>
  <c r="BB49" i="62"/>
  <c r="BU48" i="62"/>
  <c r="BG48" i="62"/>
  <c r="CD47" i="62"/>
  <c r="BN47" i="62"/>
  <c r="AZ47" i="62"/>
  <c r="BU46" i="62"/>
  <c r="BE46" i="62"/>
  <c r="BS44" i="62"/>
  <c r="BG44" i="62"/>
  <c r="BZ43" i="62"/>
  <c r="BL43" i="62"/>
  <c r="AX43" i="62"/>
  <c r="BE42" i="62"/>
  <c r="BZ41" i="62"/>
  <c r="BS40" i="62"/>
  <c r="CC38" i="62"/>
  <c r="BV37" i="62"/>
  <c r="BH37" i="62"/>
  <c r="BO36" i="62"/>
  <c r="BA36" i="62"/>
  <c r="BV35" i="62"/>
  <c r="BF35" i="62"/>
  <c r="BT33" i="62"/>
  <c r="BH33" i="62"/>
  <c r="CA32" i="62"/>
  <c r="BM32" i="62"/>
  <c r="AY32" i="62"/>
  <c r="BT29" i="62"/>
  <c r="BD29" i="62"/>
  <c r="BY28" i="62"/>
  <c r="BK28" i="62"/>
  <c r="CD27" i="62"/>
  <c r="BR27" i="62"/>
  <c r="BD27" i="62"/>
  <c r="BW26" i="62"/>
  <c r="BI26" i="62"/>
  <c r="AW26" i="62"/>
  <c r="BW24" i="62"/>
  <c r="BG24" i="62"/>
  <c r="CD23" i="62"/>
  <c r="BP23" i="62"/>
  <c r="AZ23" i="62"/>
  <c r="CB21" i="62"/>
  <c r="BN21" i="62"/>
  <c r="AZ21" i="62"/>
  <c r="BS20" i="62"/>
  <c r="BG20" i="62"/>
  <c r="CB19" i="62"/>
  <c r="BL19" i="62"/>
  <c r="AX19" i="62"/>
  <c r="BZ17" i="62"/>
  <c r="BL17" i="62"/>
  <c r="BS16" i="62"/>
  <c r="BE16" i="62"/>
  <c r="BH13" i="62"/>
  <c r="AZ153" i="62"/>
  <c r="BF151" i="62"/>
  <c r="CD149" i="62"/>
  <c r="BR147" i="62"/>
  <c r="BT146" i="62"/>
  <c r="BL145" i="62"/>
  <c r="BD143" i="62"/>
  <c r="BE142" i="62"/>
  <c r="AZ141" i="62"/>
  <c r="CB139" i="62"/>
  <c r="BZ138" i="62"/>
  <c r="BO137" i="62"/>
  <c r="BP135" i="62"/>
  <c r="BG134" i="62"/>
  <c r="BE133" i="62"/>
  <c r="BH131" i="62"/>
  <c r="BK130" i="62"/>
  <c r="BM129" i="62"/>
  <c r="BI128" i="62"/>
  <c r="BN127" i="62"/>
  <c r="BS126" i="62"/>
  <c r="BM125" i="62"/>
  <c r="BP124" i="62"/>
  <c r="BV123" i="62"/>
  <c r="BS122" i="62"/>
  <c r="BT121" i="62"/>
  <c r="BR120" i="62"/>
  <c r="BT119" i="62"/>
  <c r="CD118" i="62"/>
  <c r="AZ118" i="62"/>
  <c r="BE117" i="62"/>
  <c r="BI116" i="62"/>
  <c r="BS115" i="62"/>
  <c r="BV114" i="62"/>
  <c r="CB113" i="62"/>
  <c r="AZ113" i="62"/>
  <c r="BB112" i="62"/>
  <c r="BL111" i="62"/>
  <c r="AY59" i="62"/>
  <c r="BR58" i="62"/>
  <c r="BM57" i="62"/>
  <c r="CD56" i="62"/>
  <c r="BH56" i="62"/>
  <c r="BA55" i="62"/>
  <c r="BV54" i="62"/>
  <c r="CC53" i="62"/>
  <c r="BO53" i="62"/>
  <c r="BA53" i="62"/>
  <c r="BT52" i="62"/>
  <c r="BH52" i="62"/>
  <c r="CC51" i="62"/>
  <c r="BM51" i="62"/>
  <c r="AY51" i="62"/>
  <c r="CA49" i="62"/>
  <c r="BM49" i="62"/>
  <c r="AW49" i="62"/>
  <c r="BT48" i="62"/>
  <c r="BF48" i="62"/>
  <c r="BY47" i="62"/>
  <c r="BK47" i="62"/>
  <c r="AY47" i="62"/>
  <c r="BR46" i="62"/>
  <c r="BD46" i="62"/>
  <c r="BR44" i="62"/>
  <c r="BB44" i="62"/>
  <c r="BW43" i="62"/>
  <c r="BK43" i="62"/>
  <c r="CD42" i="62"/>
  <c r="BP42" i="62"/>
  <c r="BB42" i="62"/>
  <c r="BU41" i="62"/>
  <c r="BI41" i="62"/>
  <c r="CD40" i="62"/>
  <c r="BN40" i="62"/>
  <c r="AZ40" i="62"/>
  <c r="BW39" i="62"/>
  <c r="BG39" i="62"/>
  <c r="CB38" i="62"/>
  <c r="BN38" i="62"/>
  <c r="AX38" i="62"/>
  <c r="BU37" i="62"/>
  <c r="BG37" i="62"/>
  <c r="BZ36" i="62"/>
  <c r="BL36" i="62"/>
  <c r="AZ36" i="62"/>
  <c r="BS35" i="62"/>
  <c r="BE35" i="62"/>
  <c r="BL32" i="62"/>
  <c r="BO29" i="62"/>
  <c r="BA29" i="62"/>
  <c r="BH28" i="62"/>
  <c r="CC27" i="62"/>
  <c r="BO27" i="62"/>
  <c r="AY27" i="62"/>
  <c r="BV26" i="62"/>
  <c r="BH26" i="62"/>
  <c r="BT24" i="62"/>
  <c r="BF24" i="62"/>
  <c r="CA23" i="62"/>
  <c r="BK23" i="62"/>
  <c r="AY23" i="62"/>
  <c r="BY21" i="62"/>
  <c r="BM21" i="62"/>
  <c r="AW21" i="62"/>
  <c r="BR20" i="62"/>
  <c r="BD20" i="62"/>
  <c r="BW19" i="62"/>
  <c r="BK19" i="62"/>
  <c r="AW19" i="62"/>
  <c r="BY17" i="62"/>
  <c r="BI17" i="62"/>
  <c r="CD16" i="62"/>
  <c r="BP16" i="62"/>
  <c r="AZ16" i="62"/>
  <c r="CB14" i="62"/>
  <c r="BN14" i="62"/>
  <c r="BU13" i="62"/>
  <c r="BG13" i="62"/>
  <c r="BU150" i="62"/>
  <c r="BV148" i="62"/>
  <c r="BF147" i="62"/>
  <c r="AY145" i="62"/>
  <c r="BT141" i="62"/>
  <c r="CA139" i="62"/>
  <c r="BG138" i="62"/>
  <c r="BK136" i="62"/>
  <c r="CC134" i="62"/>
  <c r="BA133" i="62"/>
  <c r="BF131" i="62"/>
  <c r="CB129" i="62"/>
  <c r="BF128" i="62"/>
  <c r="CD126" i="62"/>
  <c r="BH125" i="62"/>
  <c r="BU123" i="62"/>
  <c r="BD122" i="62"/>
  <c r="BN120" i="62"/>
  <c r="BU117" i="62"/>
  <c r="BG116" i="62"/>
  <c r="BD115" i="62"/>
  <c r="BD111" i="62"/>
  <c r="BI59" i="62"/>
  <c r="BV57" i="62"/>
  <c r="BW56" i="62"/>
  <c r="CD55" i="62"/>
  <c r="BI55" i="62"/>
  <c r="BT54" i="62"/>
  <c r="BA54" i="62"/>
  <c r="BL53" i="62"/>
  <c r="BS52" i="62"/>
  <c r="AZ52" i="62"/>
  <c r="BK51" i="62"/>
  <c r="BL49" i="62"/>
  <c r="CB48" i="62"/>
  <c r="AZ48" i="62"/>
  <c r="BR47" i="62"/>
  <c r="CA46" i="62"/>
  <c r="CB44" i="62"/>
  <c r="BI44" i="62"/>
  <c r="BT43" i="62"/>
  <c r="CC42" i="62"/>
  <c r="BH42" i="62"/>
  <c r="BS41" i="62"/>
  <c r="AZ41" i="62"/>
  <c r="BK40" i="62"/>
  <c r="BV39" i="62"/>
  <c r="BA39" i="62"/>
  <c r="CB37" i="62"/>
  <c r="AZ37" i="62"/>
  <c r="BK36" i="62"/>
  <c r="CA35" i="62"/>
  <c r="CB33" i="62"/>
  <c r="BB33" i="62"/>
  <c r="BP32" i="62"/>
  <c r="CD29" i="62"/>
  <c r="BI29" i="62"/>
  <c r="BR28" i="62"/>
  <c r="BA28" i="62"/>
  <c r="BU26" i="62"/>
  <c r="AZ26" i="62"/>
  <c r="CA24" i="62"/>
  <c r="BP21" i="62"/>
  <c r="CA20" i="62"/>
  <c r="BS19" i="62"/>
  <c r="BR17" i="62"/>
  <c r="CC16" i="62"/>
  <c r="BH16" i="62"/>
  <c r="BK14" i="62"/>
  <c r="BT13" i="62"/>
  <c r="AY13" i="62"/>
  <c r="CB149" i="62"/>
  <c r="BD148" i="62"/>
  <c r="BH146" i="62"/>
  <c r="BZ144" i="62"/>
  <c r="CD142" i="62"/>
  <c r="AX141" i="62"/>
  <c r="BF139" i="62"/>
  <c r="BL137" i="62"/>
  <c r="CC135" i="62"/>
  <c r="AZ134" i="62"/>
  <c r="CC130" i="62"/>
  <c r="BB129" i="62"/>
  <c r="AX128" i="62"/>
  <c r="BO124" i="62"/>
  <c r="BB123" i="62"/>
  <c r="BO121" i="62"/>
  <c r="AZ120" i="62"/>
  <c r="BT118" i="62"/>
  <c r="BB117" i="62"/>
  <c r="CB115" i="62"/>
  <c r="BO114" i="62"/>
  <c r="CD111" i="62"/>
  <c r="AY153" i="62"/>
  <c r="BT150" i="62"/>
  <c r="BP148" i="62"/>
  <c r="BE147" i="62"/>
  <c r="AX145" i="62"/>
  <c r="BS141" i="62"/>
  <c r="BW139" i="62"/>
  <c r="BF138" i="62"/>
  <c r="BF136" i="62"/>
  <c r="BF134" i="62"/>
  <c r="AZ131" i="62"/>
  <c r="BZ129" i="62"/>
  <c r="BB128" i="62"/>
  <c r="BO126" i="62"/>
  <c r="AZ125" i="62"/>
  <c r="BH123" i="62"/>
  <c r="BB122" i="62"/>
  <c r="BL120" i="62"/>
  <c r="CC118" i="62"/>
  <c r="BT117" i="62"/>
  <c r="BF116" i="62"/>
  <c r="BW113" i="62"/>
  <c r="BA112" i="62"/>
  <c r="BH59" i="62"/>
  <c r="BI58" i="62"/>
  <c r="BL57" i="62"/>
  <c r="BR56" i="62"/>
  <c r="CA55" i="62"/>
  <c r="BH55" i="62"/>
  <c r="BS54" i="62"/>
  <c r="CB53" i="62"/>
  <c r="BG53" i="62"/>
  <c r="BR52" i="62"/>
  <c r="AY52" i="62"/>
  <c r="BI49" i="62"/>
  <c r="CA48" i="62"/>
  <c r="AY48" i="62"/>
  <c r="BZ46" i="62"/>
  <c r="BB46" i="62"/>
  <c r="CA44" i="62"/>
  <c r="BA44" i="62"/>
  <c r="BO43" i="62"/>
  <c r="BZ42" i="62"/>
  <c r="BG42" i="62"/>
  <c r="BR41" i="62"/>
  <c r="CC40" i="62"/>
  <c r="BH40" i="62"/>
  <c r="AZ39" i="62"/>
  <c r="BI38" i="62"/>
  <c r="BT37" i="62"/>
  <c r="AY37" i="62"/>
  <c r="BZ35" i="62"/>
  <c r="BB35" i="62"/>
  <c r="BY33" i="62"/>
  <c r="BA33" i="62"/>
  <c r="BO32" i="62"/>
  <c r="BY29" i="62"/>
  <c r="BH29" i="62"/>
  <c r="CB27" i="62"/>
  <c r="BG27" i="62"/>
  <c r="BR26" i="62"/>
  <c r="AY26" i="62"/>
  <c r="BS24" i="62"/>
  <c r="AX24" i="62"/>
  <c r="BI23" i="62"/>
  <c r="BL21" i="62"/>
  <c r="BZ20" i="62"/>
  <c r="AZ20" i="62"/>
  <c r="BR19" i="62"/>
  <c r="CB16" i="62"/>
  <c r="BG16" i="62"/>
  <c r="CA14" i="62"/>
  <c r="BF14" i="62"/>
  <c r="AX13" i="62"/>
  <c r="BK152" i="62"/>
  <c r="BR150" i="62"/>
  <c r="BN148" i="62"/>
  <c r="BR146" i="62"/>
  <c r="CA144" i="62"/>
  <c r="AW143" i="62"/>
  <c r="BR141" i="62"/>
  <c r="BT139" i="62"/>
  <c r="BN137" i="62"/>
  <c r="CD135" i="62"/>
  <c r="BA134" i="62"/>
  <c r="AX131" i="62"/>
  <c r="BL129" i="62"/>
  <c r="AY128" i="62"/>
  <c r="BD126" i="62"/>
  <c r="AX125" i="62"/>
  <c r="BF123" i="62"/>
  <c r="BR121" i="62"/>
  <c r="BU118" i="62"/>
  <c r="BR117" i="62"/>
  <c r="BD116" i="62"/>
  <c r="BU114" i="62"/>
  <c r="BM113" i="62"/>
  <c r="AY112" i="62"/>
  <c r="CD59" i="62"/>
  <c r="AX59" i="62"/>
  <c r="BH58" i="62"/>
  <c r="BK57" i="62"/>
  <c r="BZ55" i="62"/>
  <c r="AZ55" i="62"/>
  <c r="BN54" i="62"/>
  <c r="BY53" i="62"/>
  <c r="BF53" i="62"/>
  <c r="CB51" i="62"/>
  <c r="BG51" i="62"/>
  <c r="BH49" i="62"/>
  <c r="BS48" i="62"/>
  <c r="AX48" i="62"/>
  <c r="BI47" i="62"/>
  <c r="BY46" i="62"/>
  <c r="BA46" i="62"/>
  <c r="AZ44" i="62"/>
  <c r="BN43" i="62"/>
  <c r="BY42" i="62"/>
  <c r="BA42" i="62"/>
  <c r="BG40" i="62"/>
  <c r="BP39" i="62"/>
  <c r="CA38" i="62"/>
  <c r="BF38" i="62"/>
  <c r="AX37" i="62"/>
  <c r="BI36" i="62"/>
  <c r="BR35" i="62"/>
  <c r="AW35" i="62"/>
  <c r="AZ33" i="62"/>
  <c r="BK32" i="62"/>
  <c r="AZ29" i="62"/>
  <c r="BP28" i="62"/>
  <c r="CA27" i="62"/>
  <c r="BF27" i="62"/>
  <c r="BP24" i="62"/>
  <c r="AW24" i="62"/>
  <c r="BH23" i="62"/>
  <c r="BG21" i="62"/>
  <c r="BY20" i="62"/>
  <c r="AY20" i="62"/>
  <c r="BP17" i="62"/>
  <c r="CA16" i="62"/>
  <c r="AY16" i="62"/>
  <c r="BZ14" i="62"/>
  <c r="BE14" i="62"/>
  <c r="BP13" i="62"/>
  <c r="CB13" i="62"/>
  <c r="BV14" i="62"/>
  <c r="BV16" i="62"/>
  <c r="CB17" i="62"/>
  <c r="CD19" i="62"/>
  <c r="AX23" i="62"/>
  <c r="BD24" i="62"/>
  <c r="BB26" i="62"/>
  <c r="AX27" i="62"/>
  <c r="BD28" i="62"/>
  <c r="BL29" i="62"/>
  <c r="BF32" i="62"/>
  <c r="BL33" i="62"/>
  <c r="BN35" i="62"/>
  <c r="BT36" i="62"/>
  <c r="BP37" i="62"/>
  <c r="BT38" i="62"/>
  <c r="BZ39" i="62"/>
  <c r="BV40" i="62"/>
  <c r="CB41" i="62"/>
  <c r="CD43" i="62"/>
  <c r="AX47" i="62"/>
  <c r="AW48" i="62"/>
  <c r="AX51" i="62"/>
  <c r="BD52" i="62"/>
  <c r="AZ53" i="62"/>
  <c r="BD54" i="62"/>
  <c r="BF56" i="62"/>
  <c r="BZ57" i="62"/>
  <c r="AW59" i="62"/>
  <c r="AY113" i="62"/>
  <c r="CA115" i="62"/>
  <c r="BL118" i="62"/>
  <c r="BI124" i="62"/>
  <c r="BM127" i="62"/>
  <c r="BZ130" i="62"/>
  <c r="BV140" i="62"/>
  <c r="BE144" i="62"/>
  <c r="BB148" i="62"/>
  <c r="AZ152" i="62"/>
  <c r="C1" i="46"/>
  <c r="A1" i="46"/>
  <c r="C1" i="58"/>
  <c r="U28" i="58" s="1"/>
  <c r="A1" i="58"/>
  <c r="V98" i="39"/>
  <c r="V86" i="39"/>
  <c r="V70" i="39"/>
  <c r="V54" i="39"/>
  <c r="V38" i="39"/>
  <c r="V23" i="39"/>
  <c r="C1" i="39"/>
  <c r="AF63" i="39" s="1"/>
  <c r="A1" i="39"/>
  <c r="V7" i="39"/>
  <c r="C1" i="60"/>
  <c r="CE68" i="60" s="1"/>
  <c r="A1" i="60"/>
  <c r="Q7" i="76"/>
  <c r="P7" i="76"/>
  <c r="O7" i="76"/>
  <c r="N7" i="76"/>
  <c r="M7" i="76"/>
  <c r="L7" i="76"/>
  <c r="C1" i="76"/>
  <c r="Q110" i="76" s="1"/>
  <c r="A1" i="76"/>
  <c r="Z131" i="1"/>
  <c r="Y131" i="1"/>
  <c r="X131" i="1"/>
  <c r="W131" i="1"/>
  <c r="V131" i="1"/>
  <c r="U131" i="1"/>
  <c r="A1" i="1"/>
  <c r="C1" i="1"/>
  <c r="Z92" i="1" s="1"/>
  <c r="Z83" i="1"/>
  <c r="Y83" i="1"/>
  <c r="X83" i="1"/>
  <c r="W83" i="1"/>
  <c r="V83" i="1"/>
  <c r="U83" i="1"/>
  <c r="J8" i="1"/>
  <c r="I8" i="1"/>
  <c r="H8" i="1"/>
  <c r="G8" i="1"/>
  <c r="F8" i="1"/>
  <c r="E8" i="1"/>
  <c r="AG235" i="50"/>
  <c r="BS235" i="50" s="1"/>
  <c r="AG234" i="50"/>
  <c r="BS234" i="50" s="1"/>
  <c r="AG233" i="50"/>
  <c r="BS233" i="50" s="1"/>
  <c r="AG232" i="50"/>
  <c r="BS232" i="50" s="1"/>
  <c r="AG231" i="50"/>
  <c r="BS231" i="50" s="1"/>
  <c r="AG230" i="50"/>
  <c r="BS230" i="50" s="1"/>
  <c r="AG229" i="50"/>
  <c r="BS229" i="50" s="1"/>
  <c r="AG228" i="50"/>
  <c r="BS228" i="50" s="1"/>
  <c r="AG227" i="50"/>
  <c r="BS227" i="50" s="1"/>
  <c r="AG226" i="50"/>
  <c r="BS226" i="50" s="1"/>
  <c r="AG225" i="50"/>
  <c r="BS225" i="50" s="1"/>
  <c r="AG224" i="50"/>
  <c r="BS224" i="50" s="1"/>
  <c r="AG223" i="50"/>
  <c r="BS223" i="50" s="1"/>
  <c r="AG222" i="50"/>
  <c r="BS222" i="50" s="1"/>
  <c r="AG221" i="50"/>
  <c r="BS221" i="50" s="1"/>
  <c r="AG220" i="50"/>
  <c r="BS220" i="50" s="1"/>
  <c r="AG219" i="50"/>
  <c r="BS219" i="50" s="1"/>
  <c r="AG218" i="50"/>
  <c r="BS218" i="50" s="1"/>
  <c r="AG217" i="50"/>
  <c r="BS217" i="50" s="1"/>
  <c r="AG216" i="50"/>
  <c r="BS216" i="50" s="1"/>
  <c r="AG215" i="50"/>
  <c r="BS215" i="50" s="1"/>
  <c r="Z235" i="50"/>
  <c r="BL235" i="50" s="1"/>
  <c r="Z234" i="50"/>
  <c r="BL234" i="50" s="1"/>
  <c r="Z233" i="50"/>
  <c r="BL233" i="50" s="1"/>
  <c r="Z232" i="50"/>
  <c r="BL232" i="50" s="1"/>
  <c r="Z231" i="50"/>
  <c r="BL231" i="50" s="1"/>
  <c r="Z230" i="50"/>
  <c r="BL230" i="50" s="1"/>
  <c r="Z229" i="50"/>
  <c r="BL229" i="50" s="1"/>
  <c r="Z228" i="50"/>
  <c r="BL228" i="50" s="1"/>
  <c r="Z227" i="50"/>
  <c r="BL227" i="50" s="1"/>
  <c r="Z226" i="50"/>
  <c r="BL226" i="50" s="1"/>
  <c r="Z225" i="50"/>
  <c r="BL225" i="50" s="1"/>
  <c r="Z224" i="50"/>
  <c r="BL224" i="50" s="1"/>
  <c r="Z223" i="50"/>
  <c r="BL223" i="50" s="1"/>
  <c r="Z222" i="50"/>
  <c r="BL222" i="50" s="1"/>
  <c r="Z221" i="50"/>
  <c r="BL221" i="50" s="1"/>
  <c r="Z220" i="50"/>
  <c r="BL220" i="50" s="1"/>
  <c r="Z219" i="50"/>
  <c r="BL219" i="50" s="1"/>
  <c r="Z218" i="50"/>
  <c r="BL218" i="50" s="1"/>
  <c r="Z217" i="50"/>
  <c r="BL217" i="50" s="1"/>
  <c r="Z216" i="50"/>
  <c r="BL216" i="50" s="1"/>
  <c r="Z215" i="50"/>
  <c r="BL215" i="50" s="1"/>
  <c r="S235" i="50"/>
  <c r="BE235" i="50" s="1"/>
  <c r="S234" i="50"/>
  <c r="BE234" i="50" s="1"/>
  <c r="S233" i="50"/>
  <c r="BE233" i="50" s="1"/>
  <c r="S232" i="50"/>
  <c r="BE232" i="50" s="1"/>
  <c r="S231" i="50"/>
  <c r="BE231" i="50" s="1"/>
  <c r="S230" i="50"/>
  <c r="BE230" i="50" s="1"/>
  <c r="S229" i="50"/>
  <c r="BE229" i="50" s="1"/>
  <c r="S228" i="50"/>
  <c r="BE228" i="50" s="1"/>
  <c r="S227" i="50"/>
  <c r="BE227" i="50" s="1"/>
  <c r="S226" i="50"/>
  <c r="BE226" i="50" s="1"/>
  <c r="S225" i="50"/>
  <c r="BE225" i="50" s="1"/>
  <c r="S224" i="50"/>
  <c r="BE224" i="50" s="1"/>
  <c r="S223" i="50"/>
  <c r="BE223" i="50" s="1"/>
  <c r="S222" i="50"/>
  <c r="BE222" i="50" s="1"/>
  <c r="S221" i="50"/>
  <c r="BE221" i="50" s="1"/>
  <c r="S220" i="50"/>
  <c r="BE220" i="50" s="1"/>
  <c r="S219" i="50"/>
  <c r="BE219" i="50" s="1"/>
  <c r="S218" i="50"/>
  <c r="BE218" i="50" s="1"/>
  <c r="S217" i="50"/>
  <c r="BE217" i="50" s="1"/>
  <c r="S216" i="50"/>
  <c r="BE216" i="50" s="1"/>
  <c r="S215" i="50"/>
  <c r="BE215" i="50" s="1"/>
  <c r="L235" i="50"/>
  <c r="AX235" i="50" s="1"/>
  <c r="L234" i="50"/>
  <c r="AX234" i="50" s="1"/>
  <c r="L233" i="50"/>
  <c r="AX233" i="50" s="1"/>
  <c r="L232" i="50"/>
  <c r="AX232" i="50" s="1"/>
  <c r="L231" i="50"/>
  <c r="AX231" i="50" s="1"/>
  <c r="L230" i="50"/>
  <c r="AX230" i="50" s="1"/>
  <c r="L229" i="50"/>
  <c r="AX229" i="50" s="1"/>
  <c r="L228" i="50"/>
  <c r="AX228" i="50" s="1"/>
  <c r="L227" i="50"/>
  <c r="AX227" i="50" s="1"/>
  <c r="L226" i="50"/>
  <c r="AX226" i="50" s="1"/>
  <c r="L225" i="50"/>
  <c r="AX225" i="50" s="1"/>
  <c r="L224" i="50"/>
  <c r="AX224" i="50" s="1"/>
  <c r="L223" i="50"/>
  <c r="AX223" i="50" s="1"/>
  <c r="L222" i="50"/>
  <c r="AX222" i="50" s="1"/>
  <c r="L221" i="50"/>
  <c r="AX221" i="50" s="1"/>
  <c r="L220" i="50"/>
  <c r="AX220" i="50" s="1"/>
  <c r="L219" i="50"/>
  <c r="AX219" i="50" s="1"/>
  <c r="L218" i="50"/>
  <c r="AX218" i="50" s="1"/>
  <c r="L217" i="50"/>
  <c r="AX217" i="50" s="1"/>
  <c r="L216" i="50"/>
  <c r="AX216" i="50" s="1"/>
  <c r="L215" i="50"/>
  <c r="AX215" i="50" s="1"/>
  <c r="E235" i="50"/>
  <c r="AQ235" i="50" s="1"/>
  <c r="E234" i="50"/>
  <c r="AQ234" i="50" s="1"/>
  <c r="E233" i="50"/>
  <c r="AQ233" i="50" s="1"/>
  <c r="E232" i="50"/>
  <c r="AQ232" i="50" s="1"/>
  <c r="E231" i="50"/>
  <c r="AQ231" i="50" s="1"/>
  <c r="E230" i="50"/>
  <c r="AQ230" i="50" s="1"/>
  <c r="E229" i="50"/>
  <c r="AQ229" i="50" s="1"/>
  <c r="E228" i="50"/>
  <c r="AQ228" i="50" s="1"/>
  <c r="E227" i="50"/>
  <c r="AQ227" i="50" s="1"/>
  <c r="E226" i="50"/>
  <c r="AQ226" i="50" s="1"/>
  <c r="E225" i="50"/>
  <c r="AQ225" i="50" s="1"/>
  <c r="E224" i="50"/>
  <c r="AQ224" i="50" s="1"/>
  <c r="E223" i="50"/>
  <c r="AQ223" i="50" s="1"/>
  <c r="E222" i="50"/>
  <c r="AQ222" i="50" s="1"/>
  <c r="E221" i="50"/>
  <c r="AQ221" i="50" s="1"/>
  <c r="E220" i="50"/>
  <c r="AQ220" i="50" s="1"/>
  <c r="E219" i="50"/>
  <c r="AQ219" i="50" s="1"/>
  <c r="E218" i="50"/>
  <c r="AQ218" i="50" s="1"/>
  <c r="E217" i="50"/>
  <c r="AQ217" i="50" s="1"/>
  <c r="E216" i="50"/>
  <c r="AQ216" i="50" s="1"/>
  <c r="E215" i="50"/>
  <c r="AQ215" i="50" s="1"/>
  <c r="AG150" i="50"/>
  <c r="BS150" i="50" s="1"/>
  <c r="AG149" i="50"/>
  <c r="BS149" i="50" s="1"/>
  <c r="AG148" i="50"/>
  <c r="BS148" i="50" s="1"/>
  <c r="AG147" i="50"/>
  <c r="BS147" i="50" s="1"/>
  <c r="AG146" i="50"/>
  <c r="BS146" i="50" s="1"/>
  <c r="AG145" i="50"/>
  <c r="BS145" i="50" s="1"/>
  <c r="AG144" i="50"/>
  <c r="BS144" i="50" s="1"/>
  <c r="AG143" i="50"/>
  <c r="BS143" i="50" s="1"/>
  <c r="AG142" i="50"/>
  <c r="BS142" i="50" s="1"/>
  <c r="AG141" i="50"/>
  <c r="BS141" i="50" s="1"/>
  <c r="AG140" i="50"/>
  <c r="BS140" i="50" s="1"/>
  <c r="AG139" i="50"/>
  <c r="BS139" i="50" s="1"/>
  <c r="AG138" i="50"/>
  <c r="BS138" i="50" s="1"/>
  <c r="AG137" i="50"/>
  <c r="BS137" i="50" s="1"/>
  <c r="AG136" i="50"/>
  <c r="BS136" i="50" s="1"/>
  <c r="AG135" i="50"/>
  <c r="BS135" i="50" s="1"/>
  <c r="AG134" i="50"/>
  <c r="BS134" i="50" s="1"/>
  <c r="AG133" i="50"/>
  <c r="BS133" i="50" s="1"/>
  <c r="AG132" i="50"/>
  <c r="BS132" i="50" s="1"/>
  <c r="Z150" i="50"/>
  <c r="BL150" i="50" s="1"/>
  <c r="Z149" i="50"/>
  <c r="BL149" i="50" s="1"/>
  <c r="Z148" i="50"/>
  <c r="BL148" i="50" s="1"/>
  <c r="Z147" i="50"/>
  <c r="BL147" i="50" s="1"/>
  <c r="Z146" i="50"/>
  <c r="BL146" i="50" s="1"/>
  <c r="Z145" i="50"/>
  <c r="BL145" i="50" s="1"/>
  <c r="Z144" i="50"/>
  <c r="BL144" i="50" s="1"/>
  <c r="Z143" i="50"/>
  <c r="BL143" i="50" s="1"/>
  <c r="Z142" i="50"/>
  <c r="BL142" i="50" s="1"/>
  <c r="Z141" i="50"/>
  <c r="BL141" i="50" s="1"/>
  <c r="Z140" i="50"/>
  <c r="BL140" i="50" s="1"/>
  <c r="Z139" i="50"/>
  <c r="BL139" i="50" s="1"/>
  <c r="Z138" i="50"/>
  <c r="BL138" i="50" s="1"/>
  <c r="Z137" i="50"/>
  <c r="BL137" i="50" s="1"/>
  <c r="Z136" i="50"/>
  <c r="BL136" i="50" s="1"/>
  <c r="Z135" i="50"/>
  <c r="BL135" i="50" s="1"/>
  <c r="Z134" i="50"/>
  <c r="BL134" i="50" s="1"/>
  <c r="Z133" i="50"/>
  <c r="BL133" i="50" s="1"/>
  <c r="Z132" i="50"/>
  <c r="BL132" i="50" s="1"/>
  <c r="S33" i="62"/>
  <c r="S32" i="62"/>
  <c r="S150" i="50"/>
  <c r="BE150" i="50" s="1"/>
  <c r="S149" i="50"/>
  <c r="BE149" i="50" s="1"/>
  <c r="S148" i="50"/>
  <c r="BE148" i="50" s="1"/>
  <c r="S147" i="50"/>
  <c r="BE147" i="50" s="1"/>
  <c r="S146" i="50"/>
  <c r="BE146" i="50" s="1"/>
  <c r="S145" i="50"/>
  <c r="BE145" i="50" s="1"/>
  <c r="S144" i="50"/>
  <c r="BE144" i="50" s="1"/>
  <c r="S143" i="50"/>
  <c r="BE143" i="50" s="1"/>
  <c r="S142" i="50"/>
  <c r="BE142" i="50" s="1"/>
  <c r="S141" i="50"/>
  <c r="BE141" i="50" s="1"/>
  <c r="S140" i="50"/>
  <c r="BE140" i="50" s="1"/>
  <c r="S139" i="50"/>
  <c r="BE139" i="50" s="1"/>
  <c r="S138" i="50"/>
  <c r="BE138" i="50" s="1"/>
  <c r="S137" i="50"/>
  <c r="BE137" i="50" s="1"/>
  <c r="S136" i="50"/>
  <c r="BE136" i="50" s="1"/>
  <c r="S135" i="50"/>
  <c r="BE135" i="50" s="1"/>
  <c r="S134" i="50"/>
  <c r="BE134" i="50" s="1"/>
  <c r="S133" i="50"/>
  <c r="BE133" i="50" s="1"/>
  <c r="S132" i="50"/>
  <c r="BE132" i="50" s="1"/>
  <c r="L150" i="50"/>
  <c r="AX150" i="50" s="1"/>
  <c r="L149" i="50"/>
  <c r="AX149" i="50" s="1"/>
  <c r="L148" i="50"/>
  <c r="AX148" i="50" s="1"/>
  <c r="L147" i="50"/>
  <c r="AX147" i="50" s="1"/>
  <c r="L146" i="50"/>
  <c r="AX146" i="50" s="1"/>
  <c r="L145" i="50"/>
  <c r="AX145" i="50" s="1"/>
  <c r="L144" i="50"/>
  <c r="AX144" i="50" s="1"/>
  <c r="L143" i="50"/>
  <c r="AX143" i="50" s="1"/>
  <c r="L142" i="50"/>
  <c r="AX142" i="50" s="1"/>
  <c r="L141" i="50"/>
  <c r="AX141" i="50" s="1"/>
  <c r="L140" i="50"/>
  <c r="AX140" i="50" s="1"/>
  <c r="L139" i="50"/>
  <c r="AX139" i="50" s="1"/>
  <c r="L138" i="50"/>
  <c r="AX138" i="50" s="1"/>
  <c r="L137" i="50"/>
  <c r="AX137" i="50" s="1"/>
  <c r="L136" i="50"/>
  <c r="AX136" i="50" s="1"/>
  <c r="L135" i="50"/>
  <c r="AX135" i="50" s="1"/>
  <c r="L134" i="50"/>
  <c r="AX134" i="50" s="1"/>
  <c r="L133" i="50"/>
  <c r="AX133" i="50" s="1"/>
  <c r="L132" i="50"/>
  <c r="AX132" i="50" s="1"/>
  <c r="E150" i="50"/>
  <c r="AQ150" i="50" s="1"/>
  <c r="E149" i="50"/>
  <c r="AQ149" i="50" s="1"/>
  <c r="E148" i="50"/>
  <c r="AQ148" i="50" s="1"/>
  <c r="E147" i="50"/>
  <c r="AQ147" i="50" s="1"/>
  <c r="E146" i="50"/>
  <c r="AQ146" i="50" s="1"/>
  <c r="E145" i="50"/>
  <c r="AQ145" i="50" s="1"/>
  <c r="E144" i="50"/>
  <c r="AQ144" i="50" s="1"/>
  <c r="E143" i="50"/>
  <c r="AQ143" i="50" s="1"/>
  <c r="E142" i="50"/>
  <c r="AQ142" i="50" s="1"/>
  <c r="E141" i="50"/>
  <c r="AQ141" i="50" s="1"/>
  <c r="E140" i="50"/>
  <c r="AQ140" i="50" s="1"/>
  <c r="E139" i="50"/>
  <c r="AQ139" i="50" s="1"/>
  <c r="E138" i="50"/>
  <c r="AQ138" i="50" s="1"/>
  <c r="E137" i="50"/>
  <c r="AQ137" i="50" s="1"/>
  <c r="E136" i="50"/>
  <c r="AQ136" i="50" s="1"/>
  <c r="E135" i="50"/>
  <c r="AQ135" i="50" s="1"/>
  <c r="E134" i="50"/>
  <c r="AQ134" i="50" s="1"/>
  <c r="E133" i="50"/>
  <c r="AQ133" i="50" s="1"/>
  <c r="E132" i="50"/>
  <c r="AQ132" i="50" s="1"/>
  <c r="AG59" i="50"/>
  <c r="BS59" i="50" s="1"/>
  <c r="AG58" i="50"/>
  <c r="BS58" i="50" s="1"/>
  <c r="AG57" i="50"/>
  <c r="BS57" i="50" s="1"/>
  <c r="AG56" i="50"/>
  <c r="BS56" i="50" s="1"/>
  <c r="AG55" i="50"/>
  <c r="BS55" i="50" s="1"/>
  <c r="AG54" i="50"/>
  <c r="BS54" i="50" s="1"/>
  <c r="AG53" i="50"/>
  <c r="BS53" i="50" s="1"/>
  <c r="AG52" i="50"/>
  <c r="BS52" i="50" s="1"/>
  <c r="AG51" i="50"/>
  <c r="BS51" i="50" s="1"/>
  <c r="AG50" i="50"/>
  <c r="BS50" i="50" s="1"/>
  <c r="AG49" i="50"/>
  <c r="BS49" i="50" s="1"/>
  <c r="AG48" i="50"/>
  <c r="BS48" i="50" s="1"/>
  <c r="AG47" i="50"/>
  <c r="BS47" i="50" s="1"/>
  <c r="AG46" i="50"/>
  <c r="BS46" i="50" s="1"/>
  <c r="AG45" i="50"/>
  <c r="BS45" i="50" s="1"/>
  <c r="AG43" i="50"/>
  <c r="BS43" i="50" s="1"/>
  <c r="AG42" i="50"/>
  <c r="BS42" i="50" s="1"/>
  <c r="AG41" i="50"/>
  <c r="BS41" i="50" s="1"/>
  <c r="AG40" i="50"/>
  <c r="BS40" i="50" s="1"/>
  <c r="AG39" i="50"/>
  <c r="BS39" i="50" s="1"/>
  <c r="AG37" i="50"/>
  <c r="BS37" i="50" s="1"/>
  <c r="AG36" i="50"/>
  <c r="BS36" i="50" s="1"/>
  <c r="Z59" i="50"/>
  <c r="BL59" i="50" s="1"/>
  <c r="Z58" i="50"/>
  <c r="BL58" i="50" s="1"/>
  <c r="Z57" i="50"/>
  <c r="BL57" i="50" s="1"/>
  <c r="Z56" i="50"/>
  <c r="BL56" i="50" s="1"/>
  <c r="Z55" i="50"/>
  <c r="BL55" i="50" s="1"/>
  <c r="Z54" i="50"/>
  <c r="BL54" i="50" s="1"/>
  <c r="Z53" i="50"/>
  <c r="BL53" i="50" s="1"/>
  <c r="Z52" i="50"/>
  <c r="BL52" i="50" s="1"/>
  <c r="Z51" i="50"/>
  <c r="BL51" i="50" s="1"/>
  <c r="Z50" i="50"/>
  <c r="BL50" i="50" s="1"/>
  <c r="Z49" i="50"/>
  <c r="BL49" i="50" s="1"/>
  <c r="Z48" i="50"/>
  <c r="BL48" i="50" s="1"/>
  <c r="Z47" i="50"/>
  <c r="BL47" i="50" s="1"/>
  <c r="Z46" i="50"/>
  <c r="BL46" i="50" s="1"/>
  <c r="Z45" i="50"/>
  <c r="BL45" i="50" s="1"/>
  <c r="Z43" i="50"/>
  <c r="BL43" i="50" s="1"/>
  <c r="Z42" i="50"/>
  <c r="BL42" i="50" s="1"/>
  <c r="Z41" i="50"/>
  <c r="BL41" i="50" s="1"/>
  <c r="Z40" i="50"/>
  <c r="BL40" i="50" s="1"/>
  <c r="Z39" i="50"/>
  <c r="BL39" i="50" s="1"/>
  <c r="Z37" i="50"/>
  <c r="BL37" i="50" s="1"/>
  <c r="Z36" i="50"/>
  <c r="BL36" i="50" s="1"/>
  <c r="S59" i="50"/>
  <c r="BE59" i="50" s="1"/>
  <c r="S58" i="50"/>
  <c r="BE58" i="50" s="1"/>
  <c r="S57" i="50"/>
  <c r="BE57" i="50" s="1"/>
  <c r="S56" i="50"/>
  <c r="BE56" i="50" s="1"/>
  <c r="S55" i="50"/>
  <c r="BE55" i="50" s="1"/>
  <c r="S54" i="50"/>
  <c r="BE54" i="50" s="1"/>
  <c r="S53" i="50"/>
  <c r="BE53" i="50" s="1"/>
  <c r="S52" i="50"/>
  <c r="BE52" i="50" s="1"/>
  <c r="S51" i="50"/>
  <c r="BE51" i="50" s="1"/>
  <c r="S50" i="50"/>
  <c r="BE50" i="50" s="1"/>
  <c r="S49" i="50"/>
  <c r="BE49" i="50" s="1"/>
  <c r="S48" i="50"/>
  <c r="BE48" i="50" s="1"/>
  <c r="S47" i="50"/>
  <c r="BE47" i="50" s="1"/>
  <c r="S46" i="50"/>
  <c r="BE46" i="50" s="1"/>
  <c r="S45" i="50"/>
  <c r="BE45" i="50" s="1"/>
  <c r="S43" i="50"/>
  <c r="BE43" i="50" s="1"/>
  <c r="S42" i="50"/>
  <c r="BE42" i="50" s="1"/>
  <c r="S41" i="50"/>
  <c r="BE41" i="50" s="1"/>
  <c r="S40" i="50"/>
  <c r="BE40" i="50" s="1"/>
  <c r="S39" i="50"/>
  <c r="BE39" i="50" s="1"/>
  <c r="S37" i="50"/>
  <c r="BE37" i="50" s="1"/>
  <c r="S36" i="50"/>
  <c r="BE36" i="50" s="1"/>
  <c r="L59" i="50"/>
  <c r="AX59" i="50" s="1"/>
  <c r="L58" i="50"/>
  <c r="AX58" i="50" s="1"/>
  <c r="L57" i="50"/>
  <c r="AX57" i="50" s="1"/>
  <c r="L56" i="50"/>
  <c r="AX56" i="50" s="1"/>
  <c r="L55" i="50"/>
  <c r="AX55" i="50" s="1"/>
  <c r="L54" i="50"/>
  <c r="AX54" i="50" s="1"/>
  <c r="L53" i="50"/>
  <c r="AX53" i="50" s="1"/>
  <c r="L52" i="50"/>
  <c r="AX52" i="50" s="1"/>
  <c r="L51" i="50"/>
  <c r="AX51" i="50" s="1"/>
  <c r="L50" i="50"/>
  <c r="AX50" i="50" s="1"/>
  <c r="L49" i="50"/>
  <c r="AX49" i="50" s="1"/>
  <c r="L48" i="50"/>
  <c r="AX48" i="50" s="1"/>
  <c r="L47" i="50"/>
  <c r="AX47" i="50" s="1"/>
  <c r="L46" i="50"/>
  <c r="AX46" i="50" s="1"/>
  <c r="L45" i="50"/>
  <c r="AX45" i="50" s="1"/>
  <c r="L43" i="50"/>
  <c r="AX43" i="50" s="1"/>
  <c r="L42" i="50"/>
  <c r="AX42" i="50" s="1"/>
  <c r="L41" i="50"/>
  <c r="AX41" i="50" s="1"/>
  <c r="L40" i="50"/>
  <c r="AX40" i="50" s="1"/>
  <c r="L39" i="50"/>
  <c r="AX39" i="50" s="1"/>
  <c r="L37" i="50"/>
  <c r="AX37" i="50" s="1"/>
  <c r="L36" i="50"/>
  <c r="AX36" i="50" s="1"/>
  <c r="AA40" i="85" l="1"/>
  <c r="AA116" i="85"/>
  <c r="Z38" i="85"/>
  <c r="Z116" i="85"/>
  <c r="T127" i="85"/>
  <c r="AA61" i="85"/>
  <c r="O69" i="76"/>
  <c r="N28" i="58"/>
  <c r="Q79" i="76"/>
  <c r="O31" i="58"/>
  <c r="M83" i="76"/>
  <c r="S29" i="58"/>
  <c r="Q97" i="76"/>
  <c r="T28" i="58"/>
  <c r="Z114" i="85"/>
  <c r="N30" i="58"/>
  <c r="Q28" i="58"/>
  <c r="Z92" i="85"/>
  <c r="M76" i="76"/>
  <c r="R29" i="58"/>
  <c r="T125" i="85"/>
  <c r="AA92" i="85"/>
  <c r="T134" i="85"/>
  <c r="T126" i="85"/>
  <c r="Y136" i="85"/>
  <c r="Z40" i="85"/>
  <c r="M90" i="76"/>
  <c r="U31" i="58"/>
  <c r="M100" i="76"/>
  <c r="T30" i="58"/>
  <c r="AA59" i="85"/>
  <c r="Z90" i="85"/>
  <c r="AA114" i="85"/>
  <c r="Z59" i="85"/>
  <c r="S30" i="58"/>
  <c r="X136" i="85"/>
  <c r="T136" i="85"/>
  <c r="V136" i="85"/>
  <c r="W136" i="85"/>
  <c r="AA38" i="85"/>
  <c r="AA90" i="85"/>
  <c r="Z61" i="85"/>
  <c r="BP33" i="60"/>
  <c r="BX31" i="60"/>
  <c r="BP44" i="60"/>
  <c r="BP68" i="60"/>
  <c r="Q72" i="76"/>
  <c r="BT38" i="60"/>
  <c r="CB36" i="60"/>
  <c r="AZ35" i="60"/>
  <c r="BH33" i="60"/>
  <c r="BP31" i="60"/>
  <c r="BD42" i="60"/>
  <c r="BX44" i="60"/>
  <c r="BH48" i="60"/>
  <c r="CF66" i="60"/>
  <c r="BX68" i="60"/>
  <c r="T31" i="58"/>
  <c r="R28" i="58"/>
  <c r="AZ37" i="60"/>
  <c r="AZ48" i="60"/>
  <c r="CF40" i="60"/>
  <c r="BL38" i="60"/>
  <c r="BT36" i="60"/>
  <c r="CB34" i="60"/>
  <c r="AZ33" i="60"/>
  <c r="BH31" i="60"/>
  <c r="BL42" i="60"/>
  <c r="CF44" i="60"/>
  <c r="BP48" i="60"/>
  <c r="BD67" i="60"/>
  <c r="CF68" i="60"/>
  <c r="CD39" i="60"/>
  <c r="BX33" i="60"/>
  <c r="BH44" i="60"/>
  <c r="BH68" i="60"/>
  <c r="BD38" i="60"/>
  <c r="BT42" i="60"/>
  <c r="X91" i="1"/>
  <c r="BP40" i="60"/>
  <c r="CF37" i="60"/>
  <c r="BD36" i="60"/>
  <c r="BL34" i="60"/>
  <c r="BT32" i="60"/>
  <c r="CI30" i="60"/>
  <c r="CB42" i="60"/>
  <c r="BL46" i="60"/>
  <c r="CF48" i="60"/>
  <c r="BT67" i="60"/>
  <c r="BH37" i="60"/>
  <c r="CF31" i="60"/>
  <c r="CD47" i="60"/>
  <c r="CB38" i="60"/>
  <c r="BH35" i="60"/>
  <c r="BC30" i="60"/>
  <c r="BX66" i="60"/>
  <c r="BT34" i="60"/>
  <c r="AZ31" i="60"/>
  <c r="BX48" i="60"/>
  <c r="P110" i="76"/>
  <c r="M93" i="76"/>
  <c r="N93" i="76"/>
  <c r="Q93" i="76"/>
  <c r="L93" i="76"/>
  <c r="O93" i="76"/>
  <c r="P93" i="76"/>
  <c r="U92" i="1"/>
  <c r="Q86" i="76"/>
  <c r="BH40" i="60"/>
  <c r="BX37" i="60"/>
  <c r="CF35" i="60"/>
  <c r="BD34" i="60"/>
  <c r="BL32" i="60"/>
  <c r="CA30" i="60"/>
  <c r="CD43" i="60"/>
  <c r="BT46" i="60"/>
  <c r="AZ66" i="60"/>
  <c r="CB67" i="60"/>
  <c r="U29" i="58"/>
  <c r="BP35" i="60"/>
  <c r="BK30" i="60"/>
  <c r="BP66" i="60"/>
  <c r="BX40" i="60"/>
  <c r="BL36" i="60"/>
  <c r="CB32" i="60"/>
  <c r="BD46" i="60"/>
  <c r="BL67" i="60"/>
  <c r="AZ40" i="60"/>
  <c r="BP37" i="60"/>
  <c r="BX35" i="60"/>
  <c r="CF33" i="60"/>
  <c r="BD32" i="60"/>
  <c r="BS30" i="60"/>
  <c r="AZ44" i="60"/>
  <c r="CB46" i="60"/>
  <c r="BH66" i="60"/>
  <c r="AZ68" i="60"/>
  <c r="Y91" i="1"/>
  <c r="N69" i="76"/>
  <c r="N76" i="76"/>
  <c r="N83" i="76"/>
  <c r="N90" i="76"/>
  <c r="N100" i="76"/>
  <c r="CE40" i="60"/>
  <c r="BW40" i="60"/>
  <c r="BO40" i="60"/>
  <c r="BG40" i="60"/>
  <c r="CL39" i="60"/>
  <c r="CI38" i="60"/>
  <c r="CA38" i="60"/>
  <c r="BS38" i="60"/>
  <c r="BK38" i="60"/>
  <c r="BC38" i="60"/>
  <c r="CE37" i="60"/>
  <c r="BW37" i="60"/>
  <c r="BO37" i="60"/>
  <c r="BG37" i="60"/>
  <c r="CI36" i="60"/>
  <c r="CA36" i="60"/>
  <c r="BS36" i="60"/>
  <c r="BK36" i="60"/>
  <c r="BC36" i="60"/>
  <c r="CE35" i="60"/>
  <c r="BW35" i="60"/>
  <c r="BO35" i="60"/>
  <c r="BG35" i="60"/>
  <c r="CI34" i="60"/>
  <c r="CA34" i="60"/>
  <c r="BS34" i="60"/>
  <c r="BK34" i="60"/>
  <c r="BC34" i="60"/>
  <c r="CE33" i="60"/>
  <c r="BW33" i="60"/>
  <c r="BO33" i="60"/>
  <c r="BG33" i="60"/>
  <c r="CI32" i="60"/>
  <c r="CA32" i="60"/>
  <c r="BS32" i="60"/>
  <c r="BK32" i="60"/>
  <c r="BC32" i="60"/>
  <c r="CE31" i="60"/>
  <c r="BW31" i="60"/>
  <c r="BO31" i="60"/>
  <c r="BG31" i="60"/>
  <c r="CH30" i="60"/>
  <c r="BZ30" i="60"/>
  <c r="BR30" i="60"/>
  <c r="BJ30" i="60"/>
  <c r="BB30" i="60"/>
  <c r="BE42" i="60"/>
  <c r="BM42" i="60"/>
  <c r="BU42" i="60"/>
  <c r="CC42" i="60"/>
  <c r="CK42" i="60"/>
  <c r="CE43" i="60"/>
  <c r="BA44" i="60"/>
  <c r="BI44" i="60"/>
  <c r="BQ44" i="60"/>
  <c r="BY44" i="60"/>
  <c r="CG44" i="60"/>
  <c r="BE46" i="60"/>
  <c r="BM46" i="60"/>
  <c r="BU46" i="60"/>
  <c r="CC46" i="60"/>
  <c r="CK46" i="60"/>
  <c r="CE47" i="60"/>
  <c r="BA48" i="60"/>
  <c r="BI48" i="60"/>
  <c r="BQ48" i="60"/>
  <c r="BY48" i="60"/>
  <c r="CG48" i="60"/>
  <c r="BA66" i="60"/>
  <c r="BI66" i="60"/>
  <c r="BQ66" i="60"/>
  <c r="BY66" i="60"/>
  <c r="CG66" i="60"/>
  <c r="BE67" i="60"/>
  <c r="BM67" i="60"/>
  <c r="BU67" i="60"/>
  <c r="CC67" i="60"/>
  <c r="CK67" i="60"/>
  <c r="BA68" i="60"/>
  <c r="BI68" i="60"/>
  <c r="BQ68" i="60"/>
  <c r="BY68" i="60"/>
  <c r="CG68" i="60"/>
  <c r="N29" i="58"/>
  <c r="U30" i="58"/>
  <c r="T29" i="58"/>
  <c r="S28" i="58"/>
  <c r="U84" i="1"/>
  <c r="Z91" i="1"/>
  <c r="M69" i="76"/>
  <c r="O76" i="76"/>
  <c r="O83" i="76"/>
  <c r="O90" i="76"/>
  <c r="O100" i="76"/>
  <c r="U132" i="1"/>
  <c r="CL40" i="60"/>
  <c r="CD40" i="60"/>
  <c r="BV40" i="60"/>
  <c r="BN40" i="60"/>
  <c r="BF40" i="60"/>
  <c r="CK39" i="60"/>
  <c r="CH38" i="60"/>
  <c r="BZ38" i="60"/>
  <c r="BR38" i="60"/>
  <c r="BJ38" i="60"/>
  <c r="BB38" i="60"/>
  <c r="CL37" i="60"/>
  <c r="CD37" i="60"/>
  <c r="BV37" i="60"/>
  <c r="BN37" i="60"/>
  <c r="BF37" i="60"/>
  <c r="CH36" i="60"/>
  <c r="BZ36" i="60"/>
  <c r="BR36" i="60"/>
  <c r="BJ36" i="60"/>
  <c r="BB36" i="60"/>
  <c r="CL35" i="60"/>
  <c r="CD35" i="60"/>
  <c r="BV35" i="60"/>
  <c r="BN35" i="60"/>
  <c r="BF35" i="60"/>
  <c r="CH34" i="60"/>
  <c r="BZ34" i="60"/>
  <c r="BR34" i="60"/>
  <c r="BJ34" i="60"/>
  <c r="BB34" i="60"/>
  <c r="CL33" i="60"/>
  <c r="CD33" i="60"/>
  <c r="BV33" i="60"/>
  <c r="BN33" i="60"/>
  <c r="BF33" i="60"/>
  <c r="CH32" i="60"/>
  <c r="BZ32" i="60"/>
  <c r="BR32" i="60"/>
  <c r="BJ32" i="60"/>
  <c r="BB32" i="60"/>
  <c r="CL31" i="60"/>
  <c r="CD31" i="60"/>
  <c r="BV31" i="60"/>
  <c r="BN31" i="60"/>
  <c r="BF31" i="60"/>
  <c r="CG30" i="60"/>
  <c r="BY30" i="60"/>
  <c r="BQ30" i="60"/>
  <c r="BI30" i="60"/>
  <c r="BA30" i="60"/>
  <c r="BF42" i="60"/>
  <c r="BN42" i="60"/>
  <c r="BV42" i="60"/>
  <c r="CD42" i="60"/>
  <c r="CL42" i="60"/>
  <c r="CF43" i="60"/>
  <c r="BB44" i="60"/>
  <c r="BJ44" i="60"/>
  <c r="BR44" i="60"/>
  <c r="BZ44" i="60"/>
  <c r="CH44" i="60"/>
  <c r="BF46" i="60"/>
  <c r="BN46" i="60"/>
  <c r="BV46" i="60"/>
  <c r="CD46" i="60"/>
  <c r="CL46" i="60"/>
  <c r="CF47" i="60"/>
  <c r="BB48" i="60"/>
  <c r="BJ48" i="60"/>
  <c r="BR48" i="60"/>
  <c r="BZ48" i="60"/>
  <c r="CH48" i="60"/>
  <c r="BB66" i="60"/>
  <c r="BJ66" i="60"/>
  <c r="BR66" i="60"/>
  <c r="BZ66" i="60"/>
  <c r="CH66" i="60"/>
  <c r="BF67" i="60"/>
  <c r="BN67" i="60"/>
  <c r="BV67" i="60"/>
  <c r="CD67" i="60"/>
  <c r="CL67" i="60"/>
  <c r="BB68" i="60"/>
  <c r="BJ68" i="60"/>
  <c r="BR68" i="60"/>
  <c r="BZ68" i="60"/>
  <c r="CH68" i="60"/>
  <c r="U86" i="1"/>
  <c r="V92" i="1"/>
  <c r="L72" i="76"/>
  <c r="P76" i="76"/>
  <c r="L79" i="76"/>
  <c r="P83" i="76"/>
  <c r="L86" i="76"/>
  <c r="P90" i="76"/>
  <c r="L97" i="76"/>
  <c r="P100" i="76"/>
  <c r="L110" i="76"/>
  <c r="CK40" i="60"/>
  <c r="CC40" i="60"/>
  <c r="BU40" i="60"/>
  <c r="BM40" i="60"/>
  <c r="BE40" i="60"/>
  <c r="CI39" i="60"/>
  <c r="CG38" i="60"/>
  <c r="BY38" i="60"/>
  <c r="BQ38" i="60"/>
  <c r="BI38" i="60"/>
  <c r="BA38" i="60"/>
  <c r="CK37" i="60"/>
  <c r="CC37" i="60"/>
  <c r="BU37" i="60"/>
  <c r="BM37" i="60"/>
  <c r="BE37" i="60"/>
  <c r="CG36" i="60"/>
  <c r="BY36" i="60"/>
  <c r="BQ36" i="60"/>
  <c r="BI36" i="60"/>
  <c r="BA36" i="60"/>
  <c r="CK35" i="60"/>
  <c r="CC35" i="60"/>
  <c r="BU35" i="60"/>
  <c r="BM35" i="60"/>
  <c r="BE35" i="60"/>
  <c r="CG34" i="60"/>
  <c r="BY34" i="60"/>
  <c r="BQ34" i="60"/>
  <c r="BI34" i="60"/>
  <c r="BA34" i="60"/>
  <c r="CK33" i="60"/>
  <c r="CC33" i="60"/>
  <c r="BU33" i="60"/>
  <c r="BM33" i="60"/>
  <c r="BE33" i="60"/>
  <c r="CG32" i="60"/>
  <c r="BY32" i="60"/>
  <c r="BQ32" i="60"/>
  <c r="BI32" i="60"/>
  <c r="BA32" i="60"/>
  <c r="CK31" i="60"/>
  <c r="CC31" i="60"/>
  <c r="BU31" i="60"/>
  <c r="BM31" i="60"/>
  <c r="BE31" i="60"/>
  <c r="CF30" i="60"/>
  <c r="BX30" i="60"/>
  <c r="BP30" i="60"/>
  <c r="BH30" i="60"/>
  <c r="AZ30" i="60"/>
  <c r="BG42" i="60"/>
  <c r="BO42" i="60"/>
  <c r="BW42" i="60"/>
  <c r="CE42" i="60"/>
  <c r="CG43" i="60"/>
  <c r="BC44" i="60"/>
  <c r="BK44" i="60"/>
  <c r="BS44" i="60"/>
  <c r="CA44" i="60"/>
  <c r="CI44" i="60"/>
  <c r="BG46" i="60"/>
  <c r="BO46" i="60"/>
  <c r="BW46" i="60"/>
  <c r="CE46" i="60"/>
  <c r="CG47" i="60"/>
  <c r="BC48" i="60"/>
  <c r="BK48" i="60"/>
  <c r="BS48" i="60"/>
  <c r="CA48" i="60"/>
  <c r="CI48" i="60"/>
  <c r="BC66" i="60"/>
  <c r="BK66" i="60"/>
  <c r="BS66" i="60"/>
  <c r="CA66" i="60"/>
  <c r="CI66" i="60"/>
  <c r="BG67" i="60"/>
  <c r="BO67" i="60"/>
  <c r="BW67" i="60"/>
  <c r="CE67" i="60"/>
  <c r="BC68" i="60"/>
  <c r="BK68" i="60"/>
  <c r="BS68" i="60"/>
  <c r="CA68" i="60"/>
  <c r="CI68" i="60"/>
  <c r="U88" i="1"/>
  <c r="W92" i="1"/>
  <c r="M72" i="76"/>
  <c r="Q76" i="76"/>
  <c r="M79" i="76"/>
  <c r="Q83" i="76"/>
  <c r="M86" i="76"/>
  <c r="Q90" i="76"/>
  <c r="M97" i="76"/>
  <c r="Q100" i="76"/>
  <c r="M110" i="76"/>
  <c r="CB40" i="60"/>
  <c r="BT40" i="60"/>
  <c r="BL40" i="60"/>
  <c r="BD40" i="60"/>
  <c r="CH39" i="60"/>
  <c r="CF38" i="60"/>
  <c r="BX38" i="60"/>
  <c r="BP38" i="60"/>
  <c r="BH38" i="60"/>
  <c r="AZ38" i="60"/>
  <c r="CB37" i="60"/>
  <c r="BT37" i="60"/>
  <c r="BL37" i="60"/>
  <c r="BD37" i="60"/>
  <c r="CF36" i="60"/>
  <c r="BX36" i="60"/>
  <c r="BP36" i="60"/>
  <c r="BH36" i="60"/>
  <c r="AZ36" i="60"/>
  <c r="CB35" i="60"/>
  <c r="BT35" i="60"/>
  <c r="BL35" i="60"/>
  <c r="BD35" i="60"/>
  <c r="CF34" i="60"/>
  <c r="BX34" i="60"/>
  <c r="BP34" i="60"/>
  <c r="BH34" i="60"/>
  <c r="AZ34" i="60"/>
  <c r="CB33" i="60"/>
  <c r="BT33" i="60"/>
  <c r="BL33" i="60"/>
  <c r="BD33" i="60"/>
  <c r="CF32" i="60"/>
  <c r="BX32" i="60"/>
  <c r="BP32" i="60"/>
  <c r="BH32" i="60"/>
  <c r="AZ32" i="60"/>
  <c r="CB31" i="60"/>
  <c r="BT31" i="60"/>
  <c r="BL31" i="60"/>
  <c r="BD31" i="60"/>
  <c r="CE30" i="60"/>
  <c r="BW30" i="60"/>
  <c r="BO30" i="60"/>
  <c r="BG30" i="60"/>
  <c r="AZ42" i="60"/>
  <c r="BH42" i="60"/>
  <c r="BP42" i="60"/>
  <c r="BX42" i="60"/>
  <c r="CF42" i="60"/>
  <c r="CH43" i="60"/>
  <c r="BD44" i="60"/>
  <c r="BL44" i="60"/>
  <c r="BT44" i="60"/>
  <c r="CB44" i="60"/>
  <c r="AZ46" i="60"/>
  <c r="BH46" i="60"/>
  <c r="BP46" i="60"/>
  <c r="BX46" i="60"/>
  <c r="CF46" i="60"/>
  <c r="CH47" i="60"/>
  <c r="BD48" i="60"/>
  <c r="BL48" i="60"/>
  <c r="BT48" i="60"/>
  <c r="CB48" i="60"/>
  <c r="BD66" i="60"/>
  <c r="BL66" i="60"/>
  <c r="BT66" i="60"/>
  <c r="CB66" i="60"/>
  <c r="AZ67" i="60"/>
  <c r="BH67" i="60"/>
  <c r="BP67" i="60"/>
  <c r="BX67" i="60"/>
  <c r="CF67" i="60"/>
  <c r="BD68" i="60"/>
  <c r="BL68" i="60"/>
  <c r="BT68" i="60"/>
  <c r="CB68" i="60"/>
  <c r="S31" i="58"/>
  <c r="R30" i="58"/>
  <c r="Q29" i="58"/>
  <c r="P28" i="58"/>
  <c r="U91" i="1"/>
  <c r="X92" i="1"/>
  <c r="N72" i="76"/>
  <c r="N79" i="76"/>
  <c r="N86" i="76"/>
  <c r="N97" i="76"/>
  <c r="N110" i="76"/>
  <c r="CI40" i="60"/>
  <c r="CA40" i="60"/>
  <c r="BS40" i="60"/>
  <c r="BK40" i="60"/>
  <c r="BC40" i="60"/>
  <c r="CG39" i="60"/>
  <c r="CE38" i="60"/>
  <c r="BW38" i="60"/>
  <c r="BO38" i="60"/>
  <c r="BG38" i="60"/>
  <c r="CI37" i="60"/>
  <c r="CA37" i="60"/>
  <c r="BS37" i="60"/>
  <c r="BK37" i="60"/>
  <c r="BC37" i="60"/>
  <c r="CE36" i="60"/>
  <c r="BW36" i="60"/>
  <c r="BO36" i="60"/>
  <c r="BG36" i="60"/>
  <c r="CI35" i="60"/>
  <c r="CA35" i="60"/>
  <c r="BS35" i="60"/>
  <c r="BK35" i="60"/>
  <c r="BC35" i="60"/>
  <c r="CE34" i="60"/>
  <c r="BW34" i="60"/>
  <c r="BO34" i="60"/>
  <c r="BG34" i="60"/>
  <c r="CI33" i="60"/>
  <c r="CA33" i="60"/>
  <c r="BS33" i="60"/>
  <c r="BK33" i="60"/>
  <c r="BC33" i="60"/>
  <c r="CE32" i="60"/>
  <c r="BW32" i="60"/>
  <c r="BO32" i="60"/>
  <c r="BG32" i="60"/>
  <c r="CI31" i="60"/>
  <c r="CA31" i="60"/>
  <c r="BS31" i="60"/>
  <c r="BK31" i="60"/>
  <c r="BC31" i="60"/>
  <c r="CD30" i="60"/>
  <c r="BV30" i="60"/>
  <c r="BN30" i="60"/>
  <c r="BF30" i="60"/>
  <c r="BA42" i="60"/>
  <c r="BI42" i="60"/>
  <c r="BQ42" i="60"/>
  <c r="BY42" i="60"/>
  <c r="CG42" i="60"/>
  <c r="CI43" i="60"/>
  <c r="BE44" i="60"/>
  <c r="BM44" i="60"/>
  <c r="BU44" i="60"/>
  <c r="CC44" i="60"/>
  <c r="CK44" i="60"/>
  <c r="BA46" i="60"/>
  <c r="BI46" i="60"/>
  <c r="BQ46" i="60"/>
  <c r="BY46" i="60"/>
  <c r="CG46" i="60"/>
  <c r="CI47" i="60"/>
  <c r="BE48" i="60"/>
  <c r="BM48" i="60"/>
  <c r="BU48" i="60"/>
  <c r="CC48" i="60"/>
  <c r="CK48" i="60"/>
  <c r="BE66" i="60"/>
  <c r="BM66" i="60"/>
  <c r="BU66" i="60"/>
  <c r="CC66" i="60"/>
  <c r="CK66" i="60"/>
  <c r="BA67" i="60"/>
  <c r="BI67" i="60"/>
  <c r="BQ67" i="60"/>
  <c r="BY67" i="60"/>
  <c r="CG67" i="60"/>
  <c r="BE68" i="60"/>
  <c r="BM68" i="60"/>
  <c r="BU68" i="60"/>
  <c r="CC68" i="60"/>
  <c r="CK68" i="60"/>
  <c r="R31" i="58"/>
  <c r="Q30" i="58"/>
  <c r="P29" i="58"/>
  <c r="O28" i="58"/>
  <c r="V91" i="1"/>
  <c r="Y92" i="1"/>
  <c r="Q69" i="76"/>
  <c r="O72" i="76"/>
  <c r="O79" i="76"/>
  <c r="O86" i="76"/>
  <c r="O97" i="76"/>
  <c r="O110" i="76"/>
  <c r="CH40" i="60"/>
  <c r="BZ40" i="60"/>
  <c r="BR40" i="60"/>
  <c r="BJ40" i="60"/>
  <c r="BB40" i="60"/>
  <c r="CF39" i="60"/>
  <c r="CL38" i="60"/>
  <c r="CD38" i="60"/>
  <c r="BV38" i="60"/>
  <c r="BN38" i="60"/>
  <c r="BF38" i="60"/>
  <c r="CH37" i="60"/>
  <c r="BZ37" i="60"/>
  <c r="BR37" i="60"/>
  <c r="BJ37" i="60"/>
  <c r="BB37" i="60"/>
  <c r="CL36" i="60"/>
  <c r="CD36" i="60"/>
  <c r="BV36" i="60"/>
  <c r="BN36" i="60"/>
  <c r="BF36" i="60"/>
  <c r="CH35" i="60"/>
  <c r="BZ35" i="60"/>
  <c r="BR35" i="60"/>
  <c r="BJ35" i="60"/>
  <c r="BB35" i="60"/>
  <c r="CL34" i="60"/>
  <c r="CD34" i="60"/>
  <c r="BV34" i="60"/>
  <c r="BN34" i="60"/>
  <c r="BF34" i="60"/>
  <c r="CH33" i="60"/>
  <c r="BZ33" i="60"/>
  <c r="BR33" i="60"/>
  <c r="BJ33" i="60"/>
  <c r="BB33" i="60"/>
  <c r="CL32" i="60"/>
  <c r="CD32" i="60"/>
  <c r="BV32" i="60"/>
  <c r="BN32" i="60"/>
  <c r="BF32" i="60"/>
  <c r="CH31" i="60"/>
  <c r="BZ31" i="60"/>
  <c r="BR31" i="60"/>
  <c r="BJ31" i="60"/>
  <c r="BB31" i="60"/>
  <c r="CL30" i="60"/>
  <c r="CC30" i="60"/>
  <c r="BU30" i="60"/>
  <c r="BM30" i="60"/>
  <c r="BE30" i="60"/>
  <c r="BB42" i="60"/>
  <c r="BJ42" i="60"/>
  <c r="BR42" i="60"/>
  <c r="BZ42" i="60"/>
  <c r="CH42" i="60"/>
  <c r="CK43" i="60"/>
  <c r="BF44" i="60"/>
  <c r="BN44" i="60"/>
  <c r="BV44" i="60"/>
  <c r="CD44" i="60"/>
  <c r="CL44" i="60"/>
  <c r="BB46" i="60"/>
  <c r="BJ46" i="60"/>
  <c r="BR46" i="60"/>
  <c r="BZ46" i="60"/>
  <c r="CH46" i="60"/>
  <c r="CK47" i="60"/>
  <c r="BF48" i="60"/>
  <c r="BN48" i="60"/>
  <c r="BV48" i="60"/>
  <c r="CD48" i="60"/>
  <c r="CL48" i="60"/>
  <c r="BF66" i="60"/>
  <c r="BN66" i="60"/>
  <c r="BV66" i="60"/>
  <c r="CD66" i="60"/>
  <c r="CL66" i="60"/>
  <c r="BB67" i="60"/>
  <c r="BJ67" i="60"/>
  <c r="BR67" i="60"/>
  <c r="BZ67" i="60"/>
  <c r="CH67" i="60"/>
  <c r="BF68" i="60"/>
  <c r="BN68" i="60"/>
  <c r="BV68" i="60"/>
  <c r="CD68" i="60"/>
  <c r="CL68" i="60"/>
  <c r="Q31" i="58"/>
  <c r="P30" i="58"/>
  <c r="O29" i="58"/>
  <c r="W91" i="1"/>
  <c r="L69" i="76"/>
  <c r="P69" i="76"/>
  <c r="P72" i="76"/>
  <c r="L76" i="76"/>
  <c r="P79" i="76"/>
  <c r="L83" i="76"/>
  <c r="P86" i="76"/>
  <c r="L90" i="76"/>
  <c r="P97" i="76"/>
  <c r="L100" i="76"/>
  <c r="CG40" i="60"/>
  <c r="BY40" i="60"/>
  <c r="BQ40" i="60"/>
  <c r="BI40" i="60"/>
  <c r="BA40" i="60"/>
  <c r="CE39" i="60"/>
  <c r="CK38" i="60"/>
  <c r="CC38" i="60"/>
  <c r="BU38" i="60"/>
  <c r="BM38" i="60"/>
  <c r="BE38" i="60"/>
  <c r="CG37" i="60"/>
  <c r="BY37" i="60"/>
  <c r="BQ37" i="60"/>
  <c r="BI37" i="60"/>
  <c r="BA37" i="60"/>
  <c r="CK36" i="60"/>
  <c r="CC36" i="60"/>
  <c r="BU36" i="60"/>
  <c r="BM36" i="60"/>
  <c r="BE36" i="60"/>
  <c r="CG35" i="60"/>
  <c r="BY35" i="60"/>
  <c r="BQ35" i="60"/>
  <c r="BI35" i="60"/>
  <c r="BA35" i="60"/>
  <c r="CK34" i="60"/>
  <c r="CC34" i="60"/>
  <c r="BU34" i="60"/>
  <c r="BM34" i="60"/>
  <c r="BE34" i="60"/>
  <c r="CG33" i="60"/>
  <c r="BY33" i="60"/>
  <c r="BQ33" i="60"/>
  <c r="BI33" i="60"/>
  <c r="BA33" i="60"/>
  <c r="CK32" i="60"/>
  <c r="CC32" i="60"/>
  <c r="BU32" i="60"/>
  <c r="BM32" i="60"/>
  <c r="BE32" i="60"/>
  <c r="CG31" i="60"/>
  <c r="BY31" i="60"/>
  <c r="BQ31" i="60"/>
  <c r="BI31" i="60"/>
  <c r="BA31" i="60"/>
  <c r="CK30" i="60"/>
  <c r="CB30" i="60"/>
  <c r="BT30" i="60"/>
  <c r="BL30" i="60"/>
  <c r="BD30" i="60"/>
  <c r="BC42" i="60"/>
  <c r="BK42" i="60"/>
  <c r="BS42" i="60"/>
  <c r="CA42" i="60"/>
  <c r="CI42" i="60"/>
  <c r="CL43" i="60"/>
  <c r="BG44" i="60"/>
  <c r="BO44" i="60"/>
  <c r="BW44" i="60"/>
  <c r="CE44" i="60"/>
  <c r="BC46" i="60"/>
  <c r="BK46" i="60"/>
  <c r="BS46" i="60"/>
  <c r="CA46" i="60"/>
  <c r="CI46" i="60"/>
  <c r="CL47" i="60"/>
  <c r="BG48" i="60"/>
  <c r="BO48" i="60"/>
  <c r="BW48" i="60"/>
  <c r="CE48" i="60"/>
  <c r="BG66" i="60"/>
  <c r="BO66" i="60"/>
  <c r="BW66" i="60"/>
  <c r="CE66" i="60"/>
  <c r="BC67" i="60"/>
  <c r="BK67" i="60"/>
  <c r="BS67" i="60"/>
  <c r="CA67" i="60"/>
  <c r="CI67" i="60"/>
  <c r="BG68" i="60"/>
  <c r="BO68" i="60"/>
  <c r="BW68" i="60"/>
  <c r="N31" i="58"/>
  <c r="P31" i="58"/>
  <c r="O30" i="58"/>
  <c r="S81" i="62"/>
  <c r="BJ81" i="62" s="1"/>
  <c r="BJ32" i="62"/>
  <c r="S82" i="62"/>
  <c r="BJ82" i="62" s="1"/>
  <c r="BJ33" i="62"/>
  <c r="AA152" i="46"/>
  <c r="Y150" i="46"/>
  <c r="AC146" i="46"/>
  <c r="AA144" i="46"/>
  <c r="AC139" i="46"/>
  <c r="AA138" i="46"/>
  <c r="Y137" i="46"/>
  <c r="AC135" i="46"/>
  <c r="AA134" i="46"/>
  <c r="Y133" i="46"/>
  <c r="AC131" i="46"/>
  <c r="AA130" i="46"/>
  <c r="Y129" i="46"/>
  <c r="AC127" i="46"/>
  <c r="Y121" i="46"/>
  <c r="AC117" i="46"/>
  <c r="AA115" i="46"/>
  <c r="Y113" i="46"/>
  <c r="AC109" i="46"/>
  <c r="Y108" i="46"/>
  <c r="AC107" i="46"/>
  <c r="Y106" i="46"/>
  <c r="AC105" i="46"/>
  <c r="Y104" i="46"/>
  <c r="AC103" i="46"/>
  <c r="Y102" i="46"/>
  <c r="AC101" i="46"/>
  <c r="Y100" i="46"/>
  <c r="AC99" i="46"/>
  <c r="Y98" i="46"/>
  <c r="AC97" i="46"/>
  <c r="Y96" i="46"/>
  <c r="AB90" i="46"/>
  <c r="Z88" i="46"/>
  <c r="X86" i="46"/>
  <c r="AB82" i="46"/>
  <c r="Y152" i="46"/>
  <c r="AC140" i="46"/>
  <c r="AC136" i="46"/>
  <c r="AC132" i="46"/>
  <c r="AC128" i="46"/>
  <c r="AC119" i="46"/>
  <c r="AA105" i="46"/>
  <c r="AA101" i="46"/>
  <c r="AA99" i="46"/>
  <c r="AA97" i="46"/>
  <c r="X144" i="46"/>
  <c r="AB136" i="46"/>
  <c r="AB132" i="46"/>
  <c r="Z152" i="46"/>
  <c r="X150" i="46"/>
  <c r="AB146" i="46"/>
  <c r="Z144" i="46"/>
  <c r="AB139" i="46"/>
  <c r="Z138" i="46"/>
  <c r="X137" i="46"/>
  <c r="AB135" i="46"/>
  <c r="Z134" i="46"/>
  <c r="X133" i="46"/>
  <c r="AB131" i="46"/>
  <c r="Z130" i="46"/>
  <c r="X129" i="46"/>
  <c r="AB127" i="46"/>
  <c r="X121" i="46"/>
  <c r="AB117" i="46"/>
  <c r="Z115" i="46"/>
  <c r="X113" i="46"/>
  <c r="AB109" i="46"/>
  <c r="X108" i="46"/>
  <c r="AB107" i="46"/>
  <c r="X106" i="46"/>
  <c r="AB105" i="46"/>
  <c r="X104" i="46"/>
  <c r="AB103" i="46"/>
  <c r="X102" i="46"/>
  <c r="AB101" i="46"/>
  <c r="X100" i="46"/>
  <c r="AB99" i="46"/>
  <c r="X98" i="46"/>
  <c r="AB97" i="46"/>
  <c r="X96" i="46"/>
  <c r="AA90" i="46"/>
  <c r="Y88" i="46"/>
  <c r="AC84" i="46"/>
  <c r="AA82" i="46"/>
  <c r="AC148" i="46"/>
  <c r="AA146" i="46"/>
  <c r="Y144" i="46"/>
  <c r="AA139" i="46"/>
  <c r="Y138" i="46"/>
  <c r="AA135" i="46"/>
  <c r="Y134" i="46"/>
  <c r="AA131" i="46"/>
  <c r="Y130" i="46"/>
  <c r="AA127" i="46"/>
  <c r="AA117" i="46"/>
  <c r="Y115" i="46"/>
  <c r="AA109" i="46"/>
  <c r="AA107" i="46"/>
  <c r="AA103" i="46"/>
  <c r="Z90" i="46"/>
  <c r="X88" i="46"/>
  <c r="AB84" i="46"/>
  <c r="Z82" i="46"/>
  <c r="X152" i="46"/>
  <c r="AB148" i="46"/>
  <c r="Z146" i="46"/>
  <c r="AB140" i="46"/>
  <c r="Z139" i="46"/>
  <c r="X138" i="46"/>
  <c r="Z135" i="46"/>
  <c r="X134" i="46"/>
  <c r="AA148" i="46"/>
  <c r="Y139" i="46"/>
  <c r="AA136" i="46"/>
  <c r="AC133" i="46"/>
  <c r="Z131" i="46"/>
  <c r="AA129" i="46"/>
  <c r="Y127" i="46"/>
  <c r="Z121" i="46"/>
  <c r="X117" i="46"/>
  <c r="AC102" i="46"/>
  <c r="AB100" i="46"/>
  <c r="Z99" i="46"/>
  <c r="AA98" i="46"/>
  <c r="Y97" i="46"/>
  <c r="Z96" i="46"/>
  <c r="AC88" i="46"/>
  <c r="AA84" i="46"/>
  <c r="Z148" i="46"/>
  <c r="X139" i="46"/>
  <c r="Z136" i="46"/>
  <c r="AB133" i="46"/>
  <c r="Y131" i="46"/>
  <c r="Z129" i="46"/>
  <c r="X127" i="46"/>
  <c r="AB119" i="46"/>
  <c r="AC115" i="46"/>
  <c r="AC104" i="46"/>
  <c r="AB102" i="46"/>
  <c r="Z101" i="46"/>
  <c r="AA100" i="46"/>
  <c r="Y99" i="46"/>
  <c r="Z98" i="46"/>
  <c r="X97" i="46"/>
  <c r="AB88" i="46"/>
  <c r="Z84" i="46"/>
  <c r="AC152" i="46"/>
  <c r="Y148" i="46"/>
  <c r="AC138" i="46"/>
  <c r="Y136" i="46"/>
  <c r="AA133" i="46"/>
  <c r="X131" i="46"/>
  <c r="AB128" i="46"/>
  <c r="AA119" i="46"/>
  <c r="AB115" i="46"/>
  <c r="AC106" i="46"/>
  <c r="AB104" i="46"/>
  <c r="Z103" i="46"/>
  <c r="AA102" i="46"/>
  <c r="Y101" i="46"/>
  <c r="Z100" i="46"/>
  <c r="X99" i="46"/>
  <c r="AA88" i="46"/>
  <c r="Y84" i="46"/>
  <c r="AB152" i="46"/>
  <c r="X148" i="46"/>
  <c r="AB138" i="46"/>
  <c r="AC150" i="46"/>
  <c r="AA140" i="46"/>
  <c r="X136" i="46"/>
  <c r="Y132" i="46"/>
  <c r="Z128" i="46"/>
  <c r="AA121" i="46"/>
  <c r="AB113" i="46"/>
  <c r="AC108" i="46"/>
  <c r="X107" i="46"/>
  <c r="Y105" i="46"/>
  <c r="AC98" i="46"/>
  <c r="X90" i="46"/>
  <c r="Y82" i="46"/>
  <c r="AB150" i="46"/>
  <c r="Z140" i="46"/>
  <c r="Y135" i="46"/>
  <c r="X132" i="46"/>
  <c r="Y128" i="46"/>
  <c r="Z119" i="46"/>
  <c r="AA113" i="46"/>
  <c r="AB108" i="46"/>
  <c r="X105" i="46"/>
  <c r="Y103" i="46"/>
  <c r="AB98" i="46"/>
  <c r="AC96" i="46"/>
  <c r="AC86" i="46"/>
  <c r="X82" i="46"/>
  <c r="AA150" i="46"/>
  <c r="Y140" i="46"/>
  <c r="X135" i="46"/>
  <c r="AC130" i="46"/>
  <c r="X128" i="46"/>
  <c r="Y119" i="46"/>
  <c r="Z113" i="46"/>
  <c r="AA108" i="46"/>
  <c r="AB106" i="46"/>
  <c r="X103" i="46"/>
  <c r="AB96" i="46"/>
  <c r="AB86" i="46"/>
  <c r="Z150" i="46"/>
  <c r="X140" i="46"/>
  <c r="AC134" i="46"/>
  <c r="AB130" i="46"/>
  <c r="Z127" i="46"/>
  <c r="X119" i="46"/>
  <c r="Z108" i="46"/>
  <c r="AA106" i="46"/>
  <c r="X101" i="46"/>
  <c r="AA96" i="46"/>
  <c r="AA86" i="46"/>
  <c r="AC137" i="46"/>
  <c r="AB134" i="46"/>
  <c r="X130" i="46"/>
  <c r="Z117" i="46"/>
  <c r="Z106" i="46"/>
  <c r="Z86" i="46"/>
  <c r="X146" i="46"/>
  <c r="Z133" i="46"/>
  <c r="AC129" i="46"/>
  <c r="Y117" i="46"/>
  <c r="Z109" i="46"/>
  <c r="Z104" i="46"/>
  <c r="AC144" i="46"/>
  <c r="AA132" i="46"/>
  <c r="AC121" i="46"/>
  <c r="Y109" i="46"/>
  <c r="Z102" i="46"/>
  <c r="AC90" i="46"/>
  <c r="Z137" i="46"/>
  <c r="Z132" i="46"/>
  <c r="AA128" i="46"/>
  <c r="AB121" i="46"/>
  <c r="X109" i="46"/>
  <c r="Z105" i="46"/>
  <c r="Y90" i="46"/>
  <c r="Y146" i="46"/>
  <c r="AA104" i="46"/>
  <c r="AB137" i="46"/>
  <c r="Y86" i="46"/>
  <c r="AA137" i="46"/>
  <c r="AB129" i="46"/>
  <c r="X115" i="46"/>
  <c r="Z107" i="46"/>
  <c r="Z97" i="46"/>
  <c r="X84" i="46"/>
  <c r="AB144" i="46"/>
  <c r="AC113" i="46"/>
  <c r="Y107" i="46"/>
  <c r="AC100" i="46"/>
  <c r="AC82" i="46"/>
  <c r="Y78" i="46"/>
  <c r="AC77" i="46"/>
  <c r="Y76" i="46"/>
  <c r="AC75" i="46"/>
  <c r="Y74" i="46"/>
  <c r="AC73" i="46"/>
  <c r="Y72" i="46"/>
  <c r="AC71" i="46"/>
  <c r="Y70" i="46"/>
  <c r="AC64" i="46"/>
  <c r="AA62" i="46"/>
  <c r="Y60" i="46"/>
  <c r="AC56" i="46"/>
  <c r="X78" i="46"/>
  <c r="AB77" i="46"/>
  <c r="X76" i="46"/>
  <c r="AB75" i="46"/>
  <c r="X74" i="46"/>
  <c r="AB73" i="46"/>
  <c r="X72" i="46"/>
  <c r="AB71" i="46"/>
  <c r="X70" i="46"/>
  <c r="AB64" i="46"/>
  <c r="Z62" i="46"/>
  <c r="X60" i="46"/>
  <c r="AB56" i="46"/>
  <c r="AA77" i="46"/>
  <c r="AA75" i="46"/>
  <c r="AA73" i="46"/>
  <c r="AA71" i="46"/>
  <c r="AA64" i="46"/>
  <c r="Y62" i="46"/>
  <c r="AC58" i="46"/>
  <c r="AA56" i="46"/>
  <c r="Z77" i="46"/>
  <c r="Z75" i="46"/>
  <c r="Z73" i="46"/>
  <c r="Z71" i="46"/>
  <c r="Z64" i="46"/>
  <c r="X62" i="46"/>
  <c r="AB58" i="46"/>
  <c r="Z56" i="46"/>
  <c r="AC78" i="46"/>
  <c r="Y77" i="46"/>
  <c r="AC76" i="46"/>
  <c r="Y75" i="46"/>
  <c r="AC74" i="46"/>
  <c r="Y73" i="46"/>
  <c r="AC72" i="46"/>
  <c r="Y71" i="46"/>
  <c r="AC70" i="46"/>
  <c r="AB78" i="46"/>
  <c r="X73" i="46"/>
  <c r="AB60" i="46"/>
  <c r="X56" i="46"/>
  <c r="AA78" i="46"/>
  <c r="AB76" i="46"/>
  <c r="X71" i="46"/>
  <c r="AA60" i="46"/>
  <c r="Z78" i="46"/>
  <c r="AA76" i="46"/>
  <c r="AB74" i="46"/>
  <c r="Z60" i="46"/>
  <c r="Z76" i="46"/>
  <c r="AA74" i="46"/>
  <c r="AB72" i="46"/>
  <c r="Y64" i="46"/>
  <c r="AA58" i="46"/>
  <c r="Z74" i="46"/>
  <c r="AA72" i="46"/>
  <c r="AB70" i="46"/>
  <c r="X64" i="46"/>
  <c r="Z58" i="46"/>
  <c r="Z72" i="46"/>
  <c r="AA70" i="46"/>
  <c r="AC62" i="46"/>
  <c r="Y58" i="46"/>
  <c r="X77" i="46"/>
  <c r="Z70" i="46"/>
  <c r="AB62" i="46"/>
  <c r="X58" i="46"/>
  <c r="X75" i="46"/>
  <c r="AC60" i="46"/>
  <c r="Y56" i="46"/>
  <c r="Y52" i="46"/>
  <c r="AC51" i="46"/>
  <c r="Y50" i="46"/>
  <c r="AC49" i="46"/>
  <c r="Y48" i="46"/>
  <c r="AC47" i="46"/>
  <c r="Y46" i="46"/>
  <c r="AC45" i="46"/>
  <c r="Y44" i="46"/>
  <c r="AC43" i="46"/>
  <c r="Y42" i="46"/>
  <c r="AC41" i="46"/>
  <c r="Y35" i="46"/>
  <c r="AC31" i="46"/>
  <c r="AA29" i="46"/>
  <c r="Y27" i="46"/>
  <c r="X11" i="46"/>
  <c r="Z12" i="46"/>
  <c r="AB13" i="46"/>
  <c r="X15" i="46"/>
  <c r="Z16" i="46"/>
  <c r="AB17" i="46"/>
  <c r="X19" i="46"/>
  <c r="Z20" i="46"/>
  <c r="AB21" i="46"/>
  <c r="X23" i="46"/>
  <c r="AC10" i="46"/>
  <c r="AA12" i="46"/>
  <c r="AC13" i="46"/>
  <c r="Y15" i="46"/>
  <c r="AC17" i="46"/>
  <c r="Y19" i="46"/>
  <c r="AA20" i="46"/>
  <c r="AC21" i="46"/>
  <c r="Y23" i="46"/>
  <c r="AA41" i="46"/>
  <c r="AC33" i="46"/>
  <c r="Y29" i="46"/>
  <c r="Z11" i="46"/>
  <c r="AB12" i="46"/>
  <c r="X14" i="46"/>
  <c r="AB16" i="46"/>
  <c r="X18" i="46"/>
  <c r="AB20" i="46"/>
  <c r="Z23" i="46"/>
  <c r="X10" i="46"/>
  <c r="Z49" i="46"/>
  <c r="Z47" i="46"/>
  <c r="Z45" i="46"/>
  <c r="Z41" i="46"/>
  <c r="AB33" i="46"/>
  <c r="Z31" i="46"/>
  <c r="X52" i="46"/>
  <c r="AB51" i="46"/>
  <c r="X50" i="46"/>
  <c r="AB49" i="46"/>
  <c r="X48" i="46"/>
  <c r="AB47" i="46"/>
  <c r="X46" i="46"/>
  <c r="AB45" i="46"/>
  <c r="X44" i="46"/>
  <c r="AB43" i="46"/>
  <c r="X42" i="46"/>
  <c r="AB41" i="46"/>
  <c r="X35" i="46"/>
  <c r="AB31" i="46"/>
  <c r="Z29" i="46"/>
  <c r="X27" i="46"/>
  <c r="Y11" i="46"/>
  <c r="AA16" i="46"/>
  <c r="AA51" i="46"/>
  <c r="AA49" i="46"/>
  <c r="AA47" i="46"/>
  <c r="AA45" i="46"/>
  <c r="AA43" i="46"/>
  <c r="AA31" i="46"/>
  <c r="Z15" i="46"/>
  <c r="Z19" i="46"/>
  <c r="X22" i="46"/>
  <c r="Z51" i="46"/>
  <c r="Z43" i="46"/>
  <c r="X29" i="46"/>
  <c r="AC52" i="46"/>
  <c r="Y51" i="46"/>
  <c r="AC48" i="46"/>
  <c r="Y47" i="46"/>
  <c r="AC44" i="46"/>
  <c r="Y43" i="46"/>
  <c r="AC35" i="46"/>
  <c r="Y31" i="46"/>
  <c r="X12" i="46"/>
  <c r="Z14" i="46"/>
  <c r="Y16" i="46"/>
  <c r="AA18" i="46"/>
  <c r="AC20" i="46"/>
  <c r="AB22" i="46"/>
  <c r="Y10" i="46"/>
  <c r="Y12" i="46"/>
  <c r="AA14" i="46"/>
  <c r="AC16" i="46"/>
  <c r="X21" i="46"/>
  <c r="AC22" i="46"/>
  <c r="Z10" i="46"/>
  <c r="AA52" i="46"/>
  <c r="AA44" i="46"/>
  <c r="AA35" i="46"/>
  <c r="AB14" i="46"/>
  <c r="AC18" i="46"/>
  <c r="Y21" i="46"/>
  <c r="AA10" i="46"/>
  <c r="Z44" i="46"/>
  <c r="AB29" i="46"/>
  <c r="AC14" i="46"/>
  <c r="AA19" i="46"/>
  <c r="AB23" i="46"/>
  <c r="Y45" i="46"/>
  <c r="AC42" i="46"/>
  <c r="AA33" i="46"/>
  <c r="AD10" i="46"/>
  <c r="Z17" i="46"/>
  <c r="AA21" i="46"/>
  <c r="AB50" i="46"/>
  <c r="X45" i="46"/>
  <c r="AB42" i="46"/>
  <c r="Z33" i="46"/>
  <c r="Z13" i="46"/>
  <c r="AA17" i="46"/>
  <c r="Y22" i="46"/>
  <c r="AA50" i="46"/>
  <c r="AA42" i="46"/>
  <c r="Y33" i="46"/>
  <c r="AA27" i="46"/>
  <c r="AA13" i="46"/>
  <c r="Y18" i="46"/>
  <c r="Z22" i="46"/>
  <c r="Z46" i="46"/>
  <c r="Z27" i="46"/>
  <c r="AC11" i="46"/>
  <c r="X16" i="46"/>
  <c r="Y20" i="46"/>
  <c r="AB52" i="46"/>
  <c r="X51" i="46"/>
  <c r="AB48" i="46"/>
  <c r="X47" i="46"/>
  <c r="AB44" i="46"/>
  <c r="X43" i="46"/>
  <c r="AB35" i="46"/>
  <c r="X31" i="46"/>
  <c r="AB18" i="46"/>
  <c r="AA48" i="46"/>
  <c r="AC29" i="46"/>
  <c r="AC12" i="46"/>
  <c r="X17" i="46"/>
  <c r="AA23" i="46"/>
  <c r="Z52" i="46"/>
  <c r="Z48" i="46"/>
  <c r="Z35" i="46"/>
  <c r="X13" i="46"/>
  <c r="Y17" i="46"/>
  <c r="Z21" i="46"/>
  <c r="AB10" i="46"/>
  <c r="AC50" i="46"/>
  <c r="Y49" i="46"/>
  <c r="AC46" i="46"/>
  <c r="Y41" i="46"/>
  <c r="AC27" i="46"/>
  <c r="Y13" i="46"/>
  <c r="AA15" i="46"/>
  <c r="AB19" i="46"/>
  <c r="AC23" i="46"/>
  <c r="X49" i="46"/>
  <c r="AB46" i="46"/>
  <c r="X41" i="46"/>
  <c r="AB27" i="46"/>
  <c r="AA11" i="46"/>
  <c r="AB15" i="46"/>
  <c r="AC19" i="46"/>
  <c r="AA46" i="46"/>
  <c r="AB11" i="46"/>
  <c r="AC15" i="46"/>
  <c r="X20" i="46"/>
  <c r="Z50" i="46"/>
  <c r="Z42" i="46"/>
  <c r="X33" i="46"/>
  <c r="Y14" i="46"/>
  <c r="Z18" i="46"/>
  <c r="AA22" i="46"/>
  <c r="AC26" i="39"/>
  <c r="Y17" i="39"/>
  <c r="AC15" i="39"/>
  <c r="AE32" i="39"/>
  <c r="AC12" i="39"/>
  <c r="W103" i="39"/>
  <c r="AF10" i="39"/>
  <c r="AB42" i="39"/>
  <c r="AA103" i="39"/>
  <c r="AB10" i="39"/>
  <c r="AG16" i="39"/>
  <c r="AG14" i="39"/>
  <c r="AG11" i="39"/>
  <c r="AG26" i="39"/>
  <c r="AA33" i="39"/>
  <c r="AF43" i="39"/>
  <c r="AF57" i="39"/>
  <c r="X103" i="39"/>
  <c r="AG17" i="39"/>
  <c r="AC16" i="39"/>
  <c r="AC14" i="39"/>
  <c r="AC11" i="39"/>
  <c r="AE28" i="39"/>
  <c r="AB46" i="39"/>
  <c r="Y103" i="39"/>
  <c r="AC17" i="39"/>
  <c r="AG15" i="39"/>
  <c r="AG12" i="39"/>
  <c r="AE30" i="39"/>
  <c r="AB41" i="39"/>
  <c r="AF47" i="39"/>
  <c r="AE80" i="39"/>
  <c r="V103" i="39"/>
  <c r="Z103" i="39"/>
  <c r="AE10" i="39"/>
  <c r="AF17" i="39"/>
  <c r="AB17" i="39"/>
  <c r="X17" i="39"/>
  <c r="AF16" i="39"/>
  <c r="AB16" i="39"/>
  <c r="AF15" i="39"/>
  <c r="AB15" i="39"/>
  <c r="AF14" i="39"/>
  <c r="AB14" i="39"/>
  <c r="AF12" i="39"/>
  <c r="AB12" i="39"/>
  <c r="AF11" i="39"/>
  <c r="AB11" i="39"/>
  <c r="AD26" i="39"/>
  <c r="AC27" i="39"/>
  <c r="AG28" i="39"/>
  <c r="AG30" i="39"/>
  <c r="AC31" i="39"/>
  <c r="AG32" i="39"/>
  <c r="AC33" i="39"/>
  <c r="AD41" i="39"/>
  <c r="AF42" i="39"/>
  <c r="AB45" i="39"/>
  <c r="AF46" i="39"/>
  <c r="X48" i="39"/>
  <c r="AB58" i="39"/>
  <c r="AG95" i="39"/>
  <c r="AC95" i="39"/>
  <c r="AG94" i="39"/>
  <c r="AC94" i="39"/>
  <c r="AD80" i="39"/>
  <c r="Z80" i="39"/>
  <c r="V80" i="39"/>
  <c r="AD79" i="39"/>
  <c r="AD78" i="39"/>
  <c r="AD77" i="39"/>
  <c r="AD75" i="39"/>
  <c r="AD74" i="39"/>
  <c r="AD73" i="39"/>
  <c r="AE64" i="39"/>
  <c r="AA64" i="39"/>
  <c r="W64" i="39"/>
  <c r="AE63" i="39"/>
  <c r="AE62" i="39"/>
  <c r="AE61" i="39"/>
  <c r="AE59" i="39"/>
  <c r="AE58" i="39"/>
  <c r="AE57" i="39"/>
  <c r="AF95" i="39"/>
  <c r="AB95" i="39"/>
  <c r="AF94" i="39"/>
  <c r="AB94" i="39"/>
  <c r="AG80" i="39"/>
  <c r="AC80" i="39"/>
  <c r="Y80" i="39"/>
  <c r="AG79" i="39"/>
  <c r="AC79" i="39"/>
  <c r="AG78" i="39"/>
  <c r="AC78" i="39"/>
  <c r="AG77" i="39"/>
  <c r="AC77" i="39"/>
  <c r="AG75" i="39"/>
  <c r="AC75" i="39"/>
  <c r="AG74" i="39"/>
  <c r="AC74" i="39"/>
  <c r="AG73" i="39"/>
  <c r="AC73" i="39"/>
  <c r="AE95" i="39"/>
  <c r="AE94" i="39"/>
  <c r="AF80" i="39"/>
  <c r="AB80" i="39"/>
  <c r="X80" i="39"/>
  <c r="AF79" i="39"/>
  <c r="AB79" i="39"/>
  <c r="AF78" i="39"/>
  <c r="AB78" i="39"/>
  <c r="AF77" i="39"/>
  <c r="AB77" i="39"/>
  <c r="AF75" i="39"/>
  <c r="AB75" i="39"/>
  <c r="AF74" i="39"/>
  <c r="AB74" i="39"/>
  <c r="AF73" i="39"/>
  <c r="AB73" i="39"/>
  <c r="AG64" i="39"/>
  <c r="AC64" i="39"/>
  <c r="Y64" i="39"/>
  <c r="AG63" i="39"/>
  <c r="AC63" i="39"/>
  <c r="AG62" i="39"/>
  <c r="AC62" i="39"/>
  <c r="AG61" i="39"/>
  <c r="AC61" i="39"/>
  <c r="AG59" i="39"/>
  <c r="AC59" i="39"/>
  <c r="AG58" i="39"/>
  <c r="AC58" i="39"/>
  <c r="AG57" i="39"/>
  <c r="AC57" i="39"/>
  <c r="AA80" i="39"/>
  <c r="AE77" i="39"/>
  <c r="AE73" i="39"/>
  <c r="Z64" i="39"/>
  <c r="AD63" i="39"/>
  <c r="AD61" i="39"/>
  <c r="AD59" i="39"/>
  <c r="AD57" i="39"/>
  <c r="AE48" i="39"/>
  <c r="AA48" i="39"/>
  <c r="W48" i="39"/>
  <c r="AE47" i="39"/>
  <c r="AE46" i="39"/>
  <c r="AE45" i="39"/>
  <c r="AE43" i="39"/>
  <c r="AE42" i="39"/>
  <c r="AE41" i="39"/>
  <c r="AF33" i="39"/>
  <c r="AB33" i="39"/>
  <c r="X33" i="39"/>
  <c r="AF32" i="39"/>
  <c r="AB32" i="39"/>
  <c r="AF31" i="39"/>
  <c r="AB31" i="39"/>
  <c r="AF30" i="39"/>
  <c r="AB30" i="39"/>
  <c r="AF28" i="39"/>
  <c r="AB28" i="39"/>
  <c r="AF27" i="39"/>
  <c r="AB27" i="39"/>
  <c r="W80" i="39"/>
  <c r="AE78" i="39"/>
  <c r="AE74" i="39"/>
  <c r="AF64" i="39"/>
  <c r="X64" i="39"/>
  <c r="AB63" i="39"/>
  <c r="AF62" i="39"/>
  <c r="AB61" i="39"/>
  <c r="AB59" i="39"/>
  <c r="AF58" i="39"/>
  <c r="AB57" i="39"/>
  <c r="AD48" i="39"/>
  <c r="Z48" i="39"/>
  <c r="V48" i="39"/>
  <c r="AD47" i="39"/>
  <c r="AD46" i="39"/>
  <c r="AD45" i="39"/>
  <c r="AD43" i="39"/>
  <c r="AD42" i="39"/>
  <c r="AD94" i="39"/>
  <c r="AE79" i="39"/>
  <c r="AE75" i="39"/>
  <c r="AD64" i="39"/>
  <c r="V64" i="39"/>
  <c r="AD62" i="39"/>
  <c r="AD58" i="39"/>
  <c r="AG48" i="39"/>
  <c r="AC48" i="39"/>
  <c r="Y48" i="39"/>
  <c r="AG47" i="39"/>
  <c r="AC47" i="39"/>
  <c r="AG46" i="39"/>
  <c r="AC46" i="39"/>
  <c r="AG45" i="39"/>
  <c r="AC45" i="39"/>
  <c r="AG43" i="39"/>
  <c r="AC43" i="39"/>
  <c r="AG42" i="39"/>
  <c r="AC42" i="39"/>
  <c r="AG41" i="39"/>
  <c r="AC41" i="39"/>
  <c r="AD33" i="39"/>
  <c r="Z33" i="39"/>
  <c r="V33" i="39"/>
  <c r="AD32" i="39"/>
  <c r="AD31" i="39"/>
  <c r="AD30" i="39"/>
  <c r="AD28" i="39"/>
  <c r="AD27" i="39"/>
  <c r="AD10" i="39"/>
  <c r="AE17" i="39"/>
  <c r="AA17" i="39"/>
  <c r="W17" i="39"/>
  <c r="AE16" i="39"/>
  <c r="AE15" i="39"/>
  <c r="AE14" i="39"/>
  <c r="AE12" i="39"/>
  <c r="AE11" i="39"/>
  <c r="AE26" i="39"/>
  <c r="AE27" i="39"/>
  <c r="AE31" i="39"/>
  <c r="W33" i="39"/>
  <c r="AE33" i="39"/>
  <c r="AF41" i="39"/>
  <c r="AF45" i="39"/>
  <c r="AB48" i="39"/>
  <c r="AF61" i="39"/>
  <c r="AB64" i="39"/>
  <c r="AG10" i="39"/>
  <c r="AC10" i="39"/>
  <c r="AD17" i="39"/>
  <c r="Z17" i="39"/>
  <c r="V17" i="39"/>
  <c r="AD16" i="39"/>
  <c r="AD15" i="39"/>
  <c r="AD14" i="39"/>
  <c r="AD12" i="39"/>
  <c r="AD11" i="39"/>
  <c r="AB26" i="39"/>
  <c r="AF26" i="39"/>
  <c r="AG27" i="39"/>
  <c r="AC28" i="39"/>
  <c r="AC30" i="39"/>
  <c r="AG31" i="39"/>
  <c r="AC32" i="39"/>
  <c r="Y33" i="39"/>
  <c r="AG33" i="39"/>
  <c r="AB43" i="39"/>
  <c r="AB47" i="39"/>
  <c r="AF48" i="39"/>
  <c r="AF59" i="39"/>
  <c r="AB62" i="39"/>
  <c r="AD95" i="39"/>
  <c r="E59" i="50"/>
  <c r="AQ59" i="50" s="1"/>
  <c r="E58" i="50"/>
  <c r="AQ58" i="50" s="1"/>
  <c r="E57" i="50"/>
  <c r="AQ57" i="50" s="1"/>
  <c r="E56" i="50"/>
  <c r="AQ56" i="50" s="1"/>
  <c r="E55" i="50"/>
  <c r="AQ55" i="50" s="1"/>
  <c r="E54" i="50"/>
  <c r="AQ54" i="50" s="1"/>
  <c r="E53" i="50"/>
  <c r="AQ53" i="50" s="1"/>
  <c r="E52" i="50"/>
  <c r="AQ52" i="50" s="1"/>
  <c r="E51" i="50"/>
  <c r="AQ51" i="50" s="1"/>
  <c r="E50" i="50"/>
  <c r="AQ50" i="50" s="1"/>
  <c r="E49" i="50"/>
  <c r="AQ49" i="50" s="1"/>
  <c r="E48" i="50"/>
  <c r="AQ48" i="50" s="1"/>
  <c r="E47" i="50"/>
  <c r="AQ47" i="50" s="1"/>
  <c r="E46" i="50"/>
  <c r="AQ46" i="50" s="1"/>
  <c r="E45" i="50"/>
  <c r="AQ45" i="50" s="1"/>
  <c r="E43" i="50"/>
  <c r="AQ43" i="50" s="1"/>
  <c r="E42" i="50"/>
  <c r="AQ42" i="50" s="1"/>
  <c r="E41" i="50"/>
  <c r="AQ41" i="50" s="1"/>
  <c r="E40" i="50"/>
  <c r="AQ40" i="50" s="1"/>
  <c r="E39" i="50"/>
  <c r="AQ39" i="50" s="1"/>
  <c r="E37" i="50"/>
  <c r="AQ37" i="50" s="1"/>
  <c r="E36" i="50"/>
  <c r="AQ36" i="50" s="1"/>
  <c r="AA136" i="85" l="1"/>
  <c r="I65" i="65"/>
  <c r="H65" i="65"/>
  <c r="G65" i="65"/>
  <c r="F65" i="65"/>
  <c r="E65" i="65"/>
  <c r="D65" i="65"/>
  <c r="D56" i="65" l="1"/>
  <c r="C58" i="83" s="1"/>
  <c r="D55" i="65"/>
  <c r="C57" i="83" s="1"/>
  <c r="D51" i="65"/>
  <c r="C53" i="83" s="1"/>
  <c r="D50" i="65"/>
  <c r="C52" i="83" s="1"/>
  <c r="D24" i="65"/>
  <c r="D23" i="65"/>
  <c r="D22" i="65"/>
  <c r="D14" i="16" l="1"/>
  <c r="M14" i="16" s="1"/>
  <c r="AN23" i="84" s="1"/>
  <c r="BC86" i="53"/>
  <c r="DE86" i="53" s="1"/>
  <c r="BH94" i="53"/>
  <c r="DJ94" i="53" s="1"/>
  <c r="BG94" i="53"/>
  <c r="DI94" i="53" s="1"/>
  <c r="BF94" i="53"/>
  <c r="DH94" i="53" s="1"/>
  <c r="BE94" i="53"/>
  <c r="DG94" i="53" s="1"/>
  <c r="BC94" i="53"/>
  <c r="DE94" i="53" s="1"/>
  <c r="BC92" i="53"/>
  <c r="DE92" i="53" s="1"/>
  <c r="AW92" i="53"/>
  <c r="CY92" i="53" s="1"/>
  <c r="E14" i="16" l="1"/>
  <c r="N14" i="16" s="1"/>
  <c r="AO23" i="84" s="1"/>
  <c r="I11" i="39"/>
  <c r="V11" i="39" s="1"/>
  <c r="N8" i="22" l="1"/>
  <c r="M8" i="22"/>
  <c r="L8" i="22"/>
  <c r="K8" i="22"/>
  <c r="J8" i="22"/>
  <c r="AW66" i="60" l="1"/>
  <c r="AW68" i="60"/>
  <c r="AW67" i="60"/>
  <c r="AW65" i="60"/>
  <c r="AW48" i="60"/>
  <c r="AW46" i="60"/>
  <c r="AW44" i="60"/>
  <c r="AW42" i="60"/>
  <c r="AW40" i="60"/>
  <c r="AW38" i="60"/>
  <c r="AW37" i="60"/>
  <c r="AW36" i="60"/>
  <c r="AW35" i="60"/>
  <c r="AW34" i="60"/>
  <c r="AW33" i="60"/>
  <c r="AW32" i="60"/>
  <c r="AW31" i="60"/>
  <c r="AW30" i="60"/>
  <c r="AW26" i="60"/>
  <c r="AW24" i="60"/>
  <c r="AW23" i="60"/>
  <c r="AW22" i="60"/>
  <c r="AW21" i="60"/>
  <c r="AW20" i="60"/>
  <c r="AW19" i="60"/>
  <c r="AW18" i="60"/>
  <c r="AW17" i="60"/>
  <c r="AW16" i="60"/>
  <c r="AW15" i="60"/>
  <c r="AW13" i="60"/>
  <c r="AW12" i="60"/>
  <c r="AV68" i="60"/>
  <c r="AV67" i="60"/>
  <c r="AV66" i="60"/>
  <c r="AV65" i="60"/>
  <c r="AV48" i="60"/>
  <c r="AV46" i="60"/>
  <c r="AV44" i="60"/>
  <c r="AV42" i="60"/>
  <c r="AV40" i="60"/>
  <c r="AV38" i="60"/>
  <c r="AV37" i="60"/>
  <c r="AV36" i="60"/>
  <c r="AV35" i="60"/>
  <c r="AV34" i="60"/>
  <c r="AV33" i="60"/>
  <c r="AV32" i="60"/>
  <c r="AV31" i="60"/>
  <c r="AV30" i="60"/>
  <c r="AV20" i="60"/>
  <c r="AV26" i="60"/>
  <c r="AV23" i="60"/>
  <c r="AV22" i="60"/>
  <c r="AV21" i="60"/>
  <c r="AV19" i="60"/>
  <c r="AV18" i="60"/>
  <c r="AV17" i="60"/>
  <c r="AV16" i="60"/>
  <c r="AV15" i="60"/>
  <c r="AV13" i="60"/>
  <c r="AV12" i="60"/>
  <c r="AP94" i="53" l="1"/>
  <c r="AO94" i="53"/>
  <c r="CR94" i="53" s="1"/>
  <c r="AP92" i="53"/>
  <c r="AO92" i="53"/>
  <c r="CR92" i="53" s="1"/>
  <c r="AP87" i="53"/>
  <c r="AO87" i="53"/>
  <c r="CR87" i="53" s="1"/>
  <c r="AP86" i="53"/>
  <c r="AO86" i="53"/>
  <c r="CR86" i="53" s="1"/>
  <c r="AP85" i="53"/>
  <c r="AO85" i="53"/>
  <c r="CR85" i="53" s="1"/>
  <c r="AP84" i="53"/>
  <c r="AO84" i="53"/>
  <c r="CR84" i="53" s="1"/>
  <c r="AP82" i="53"/>
  <c r="AO82" i="53"/>
  <c r="CR82" i="53" s="1"/>
  <c r="AP81" i="53"/>
  <c r="AO81" i="53"/>
  <c r="CR81" i="53" s="1"/>
  <c r="AP80" i="53"/>
  <c r="AO80" i="53"/>
  <c r="CR80" i="53" s="1"/>
  <c r="AP79" i="53"/>
  <c r="AO79" i="53"/>
  <c r="CR79" i="53" s="1"/>
  <c r="AP78" i="53"/>
  <c r="AO78" i="53"/>
  <c r="CR78" i="53" s="1"/>
  <c r="AP77" i="53"/>
  <c r="AO77" i="53"/>
  <c r="CR77" i="53" s="1"/>
  <c r="AP75" i="53"/>
  <c r="AO75" i="53"/>
  <c r="CR75" i="53" s="1"/>
  <c r="AP73" i="53"/>
  <c r="AO73" i="53"/>
  <c r="CR73" i="53" s="1"/>
  <c r="AP71" i="53"/>
  <c r="AO71" i="53"/>
  <c r="CR71" i="53" s="1"/>
  <c r="AP54" i="53"/>
  <c r="AO54" i="53"/>
  <c r="CR54" i="53" s="1"/>
  <c r="AP53" i="53"/>
  <c r="AO53" i="53"/>
  <c r="CR53" i="53" s="1"/>
  <c r="AP52" i="53"/>
  <c r="AO52" i="53"/>
  <c r="CR52" i="53" s="1"/>
  <c r="AP47" i="53"/>
  <c r="AO47" i="53"/>
  <c r="CR47" i="53" s="1"/>
  <c r="AP46" i="53"/>
  <c r="AO46" i="53"/>
  <c r="CR46" i="53" s="1"/>
  <c r="AP45" i="53"/>
  <c r="AO45" i="53"/>
  <c r="CR45" i="53" s="1"/>
  <c r="AP44" i="53"/>
  <c r="AO44" i="53"/>
  <c r="CR44" i="53" s="1"/>
  <c r="AP43" i="53"/>
  <c r="AO43" i="53"/>
  <c r="CR43" i="53" s="1"/>
  <c r="AP42" i="53"/>
  <c r="AO42" i="53"/>
  <c r="CR42" i="53" s="1"/>
  <c r="AP41" i="53"/>
  <c r="AO41" i="53"/>
  <c r="CR41" i="53" s="1"/>
  <c r="AP40" i="53"/>
  <c r="AO40" i="53"/>
  <c r="CR40" i="53" s="1"/>
  <c r="AP39" i="53"/>
  <c r="AO39" i="53"/>
  <c r="CR39" i="53" s="1"/>
  <c r="AP37" i="53"/>
  <c r="AO37" i="53"/>
  <c r="CR37" i="53" s="1"/>
  <c r="AP36" i="53"/>
  <c r="AO36" i="53"/>
  <c r="CR36" i="53" s="1"/>
  <c r="AP35" i="53"/>
  <c r="AO35" i="53"/>
  <c r="CR35" i="53" s="1"/>
  <c r="AP34" i="53"/>
  <c r="AO34" i="53"/>
  <c r="CR34" i="53" s="1"/>
  <c r="AP33" i="53"/>
  <c r="AO33" i="53"/>
  <c r="CR33" i="53" s="1"/>
  <c r="AP32" i="53"/>
  <c r="AO32" i="53"/>
  <c r="CR32" i="53" s="1"/>
  <c r="AP31" i="53"/>
  <c r="AO31" i="53"/>
  <c r="CR31" i="53" s="1"/>
  <c r="AP30" i="53"/>
  <c r="AO30" i="53"/>
  <c r="CR30" i="53" s="1"/>
  <c r="AP28" i="53"/>
  <c r="AO28" i="53"/>
  <c r="CR28" i="53" s="1"/>
  <c r="AP27" i="53"/>
  <c r="AO27" i="53"/>
  <c r="CR27" i="53" s="1"/>
  <c r="AP26" i="53"/>
  <c r="AO26" i="53"/>
  <c r="CR26" i="53" s="1"/>
  <c r="AP23" i="53"/>
  <c r="AO23" i="53"/>
  <c r="CR23" i="53" s="1"/>
  <c r="AP22" i="53"/>
  <c r="AO22" i="53"/>
  <c r="CR22" i="53" s="1"/>
  <c r="AP20" i="53"/>
  <c r="AO20" i="53"/>
  <c r="CR20" i="53" s="1"/>
  <c r="AP19" i="53"/>
  <c r="AO19" i="53"/>
  <c r="CR19" i="53" s="1"/>
  <c r="AP16" i="53"/>
  <c r="AO16" i="53"/>
  <c r="CR16" i="53" s="1"/>
  <c r="AP15" i="53"/>
  <c r="AO15" i="53"/>
  <c r="CR15" i="53" s="1"/>
  <c r="AP14" i="53"/>
  <c r="AO14" i="53"/>
  <c r="CR14" i="53" s="1"/>
  <c r="AP13" i="53"/>
  <c r="AO13" i="53"/>
  <c r="CR13" i="53" s="1"/>
  <c r="AH94" i="53"/>
  <c r="AG94" i="53"/>
  <c r="CK94" i="53" s="1"/>
  <c r="AH92" i="53"/>
  <c r="AG92" i="53"/>
  <c r="CK92" i="53" s="1"/>
  <c r="AH87" i="53"/>
  <c r="AG87" i="53"/>
  <c r="CK87" i="53" s="1"/>
  <c r="AH86" i="53"/>
  <c r="AG86" i="53"/>
  <c r="CK86" i="53" s="1"/>
  <c r="AH85" i="53"/>
  <c r="AG85" i="53"/>
  <c r="CK85" i="53" s="1"/>
  <c r="AH84" i="53"/>
  <c r="AG84" i="53"/>
  <c r="CK84" i="53" s="1"/>
  <c r="AH82" i="53"/>
  <c r="AG82" i="53"/>
  <c r="CK82" i="53" s="1"/>
  <c r="AH81" i="53"/>
  <c r="AG81" i="53"/>
  <c r="CK81" i="53" s="1"/>
  <c r="AH80" i="53"/>
  <c r="AG80" i="53"/>
  <c r="CK80" i="53" s="1"/>
  <c r="AH79" i="53"/>
  <c r="AG79" i="53"/>
  <c r="CK79" i="53" s="1"/>
  <c r="AH78" i="53"/>
  <c r="AG78" i="53"/>
  <c r="CK78" i="53" s="1"/>
  <c r="AH77" i="53"/>
  <c r="AG77" i="53"/>
  <c r="CK77" i="53" s="1"/>
  <c r="AH75" i="53"/>
  <c r="AG75" i="53"/>
  <c r="CK75" i="53" s="1"/>
  <c r="AH73" i="53"/>
  <c r="AG73" i="53"/>
  <c r="CK73" i="53" s="1"/>
  <c r="AH71" i="53"/>
  <c r="AG71" i="53"/>
  <c r="CK71" i="53" s="1"/>
  <c r="AH54" i="53"/>
  <c r="AG54" i="53"/>
  <c r="CK54" i="53" s="1"/>
  <c r="AH53" i="53"/>
  <c r="AG53" i="53"/>
  <c r="CK53" i="53" s="1"/>
  <c r="AH52" i="53"/>
  <c r="AG52" i="53"/>
  <c r="CK52" i="53" s="1"/>
  <c r="AH47" i="53"/>
  <c r="AG47" i="53"/>
  <c r="CK47" i="53" s="1"/>
  <c r="AH46" i="53"/>
  <c r="AG46" i="53"/>
  <c r="CK46" i="53" s="1"/>
  <c r="AH45" i="53"/>
  <c r="AG45" i="53"/>
  <c r="CK45" i="53" s="1"/>
  <c r="AH44" i="53"/>
  <c r="AG44" i="53"/>
  <c r="CK44" i="53" s="1"/>
  <c r="AH43" i="53"/>
  <c r="AG43" i="53"/>
  <c r="CK43" i="53" s="1"/>
  <c r="AH42" i="53"/>
  <c r="AG42" i="53"/>
  <c r="CK42" i="53" s="1"/>
  <c r="AH41" i="53"/>
  <c r="AG41" i="53"/>
  <c r="CK41" i="53" s="1"/>
  <c r="AH40" i="53"/>
  <c r="AG40" i="53"/>
  <c r="CK40" i="53" s="1"/>
  <c r="AH39" i="53"/>
  <c r="AG39" i="53"/>
  <c r="CK39" i="53" s="1"/>
  <c r="AH37" i="53"/>
  <c r="AG37" i="53"/>
  <c r="CK37" i="53" s="1"/>
  <c r="AH36" i="53"/>
  <c r="AG36" i="53"/>
  <c r="CK36" i="53" s="1"/>
  <c r="AH35" i="53"/>
  <c r="AG35" i="53"/>
  <c r="CK35" i="53" s="1"/>
  <c r="AH34" i="53"/>
  <c r="AG34" i="53"/>
  <c r="CK34" i="53" s="1"/>
  <c r="AH33" i="53"/>
  <c r="AG33" i="53"/>
  <c r="CK33" i="53" s="1"/>
  <c r="AH32" i="53"/>
  <c r="AG32" i="53"/>
  <c r="CK32" i="53" s="1"/>
  <c r="AH31" i="53"/>
  <c r="AG31" i="53"/>
  <c r="CK31" i="53" s="1"/>
  <c r="AH30" i="53"/>
  <c r="AG30" i="53"/>
  <c r="CK30" i="53" s="1"/>
  <c r="AH28" i="53"/>
  <c r="AG28" i="53"/>
  <c r="CK28" i="53" s="1"/>
  <c r="AH27" i="53"/>
  <c r="AG27" i="53"/>
  <c r="CK27" i="53" s="1"/>
  <c r="AH26" i="53"/>
  <c r="AG26" i="53"/>
  <c r="CK26" i="53" s="1"/>
  <c r="AH23" i="53"/>
  <c r="AG23" i="53"/>
  <c r="CK23" i="53" s="1"/>
  <c r="AH22" i="53"/>
  <c r="AG22" i="53"/>
  <c r="CK22" i="53" s="1"/>
  <c r="AH20" i="53"/>
  <c r="AG20" i="53"/>
  <c r="CK20" i="53" s="1"/>
  <c r="AH19" i="53"/>
  <c r="AG19" i="53"/>
  <c r="CK19" i="53" s="1"/>
  <c r="AH16" i="53"/>
  <c r="AG16" i="53"/>
  <c r="CK16" i="53" s="1"/>
  <c r="AH15" i="53"/>
  <c r="AG15" i="53"/>
  <c r="CK15" i="53" s="1"/>
  <c r="AH14" i="53"/>
  <c r="AG14" i="53"/>
  <c r="CK14" i="53" s="1"/>
  <c r="AH13" i="53"/>
  <c r="AG13" i="53"/>
  <c r="CK13" i="53" s="1"/>
  <c r="Z94" i="53"/>
  <c r="Y94" i="53"/>
  <c r="CD94" i="53" s="1"/>
  <c r="Z92" i="53"/>
  <c r="Y92" i="53"/>
  <c r="CD92" i="53" s="1"/>
  <c r="Z87" i="53"/>
  <c r="Y87" i="53"/>
  <c r="CD87" i="53" s="1"/>
  <c r="Z86" i="53"/>
  <c r="Y86" i="53"/>
  <c r="CD86" i="53" s="1"/>
  <c r="Z85" i="53"/>
  <c r="Y85" i="53"/>
  <c r="CD85" i="53" s="1"/>
  <c r="Z84" i="53"/>
  <c r="Y84" i="53"/>
  <c r="CD84" i="53" s="1"/>
  <c r="Z82" i="53"/>
  <c r="Y82" i="53"/>
  <c r="CD82" i="53" s="1"/>
  <c r="Z81" i="53"/>
  <c r="Y81" i="53"/>
  <c r="CD81" i="53" s="1"/>
  <c r="Z80" i="53"/>
  <c r="Y80" i="53"/>
  <c r="CD80" i="53" s="1"/>
  <c r="Z79" i="53"/>
  <c r="Y79" i="53"/>
  <c r="CD79" i="53" s="1"/>
  <c r="Z78" i="53"/>
  <c r="Y78" i="53"/>
  <c r="CD78" i="53" s="1"/>
  <c r="Z77" i="53"/>
  <c r="Y77" i="53"/>
  <c r="CD77" i="53" s="1"/>
  <c r="Z75" i="53"/>
  <c r="Y75" i="53"/>
  <c r="CD75" i="53" s="1"/>
  <c r="Z74" i="53"/>
  <c r="Y74" i="53"/>
  <c r="CD74" i="53" s="1"/>
  <c r="Z72" i="53"/>
  <c r="Y72" i="53"/>
  <c r="CD72" i="53" s="1"/>
  <c r="Z71" i="53"/>
  <c r="Y71" i="53"/>
  <c r="CD71" i="53" s="1"/>
  <c r="Z54" i="53"/>
  <c r="Y54" i="53"/>
  <c r="CD54" i="53" s="1"/>
  <c r="Z53" i="53"/>
  <c r="Y53" i="53"/>
  <c r="CD53" i="53" s="1"/>
  <c r="Z52" i="53"/>
  <c r="Y52" i="53"/>
  <c r="CD52" i="53" s="1"/>
  <c r="Z47" i="53"/>
  <c r="Y47" i="53"/>
  <c r="CD47" i="53" s="1"/>
  <c r="Z46" i="53"/>
  <c r="Y46" i="53"/>
  <c r="CD46" i="53" s="1"/>
  <c r="Z45" i="53"/>
  <c r="Y45" i="53"/>
  <c r="CD45" i="53" s="1"/>
  <c r="Z44" i="53"/>
  <c r="Y44" i="53"/>
  <c r="CD44" i="53" s="1"/>
  <c r="Z43" i="53"/>
  <c r="Y43" i="53"/>
  <c r="CD43" i="53" s="1"/>
  <c r="Z42" i="53"/>
  <c r="Y42" i="53"/>
  <c r="CD42" i="53" s="1"/>
  <c r="Z41" i="53"/>
  <c r="Y41" i="53"/>
  <c r="CD41" i="53" s="1"/>
  <c r="Z40" i="53"/>
  <c r="Y40" i="53"/>
  <c r="CD40" i="53" s="1"/>
  <c r="Z39" i="53"/>
  <c r="Y39" i="53"/>
  <c r="CD39" i="53" s="1"/>
  <c r="Z37" i="53"/>
  <c r="Y37" i="53"/>
  <c r="CD37" i="53" s="1"/>
  <c r="Z36" i="53"/>
  <c r="Y36" i="53"/>
  <c r="CD36" i="53" s="1"/>
  <c r="Z35" i="53"/>
  <c r="Y35" i="53"/>
  <c r="CD35" i="53" s="1"/>
  <c r="Z34" i="53"/>
  <c r="Y34" i="53"/>
  <c r="CD34" i="53" s="1"/>
  <c r="Z33" i="53"/>
  <c r="Y33" i="53"/>
  <c r="CD33" i="53" s="1"/>
  <c r="Z32" i="53"/>
  <c r="Y32" i="53"/>
  <c r="CD32" i="53" s="1"/>
  <c r="Z30" i="53"/>
  <c r="Y30" i="53"/>
  <c r="CD30" i="53" s="1"/>
  <c r="Z28" i="53"/>
  <c r="Y28" i="53"/>
  <c r="CD28" i="53" s="1"/>
  <c r="Z27" i="53"/>
  <c r="Y27" i="53"/>
  <c r="CD27" i="53" s="1"/>
  <c r="Z26" i="53"/>
  <c r="Y26" i="53"/>
  <c r="CD26" i="53" s="1"/>
  <c r="Z23" i="53"/>
  <c r="Y23" i="53"/>
  <c r="CD23" i="53" s="1"/>
  <c r="Z22" i="53"/>
  <c r="Y22" i="53"/>
  <c r="CD22" i="53" s="1"/>
  <c r="Z20" i="53"/>
  <c r="Y20" i="53"/>
  <c r="CD20" i="53" s="1"/>
  <c r="Z19" i="53"/>
  <c r="Y19" i="53"/>
  <c r="CD19" i="53" s="1"/>
  <c r="Z16" i="53"/>
  <c r="Y16" i="53"/>
  <c r="CD16" i="53" s="1"/>
  <c r="Z15" i="53"/>
  <c r="Y15" i="53"/>
  <c r="CD15" i="53" s="1"/>
  <c r="Z14" i="53"/>
  <c r="Y14" i="53"/>
  <c r="CD14" i="53" s="1"/>
  <c r="Z13" i="53"/>
  <c r="Y13" i="53"/>
  <c r="CD13" i="53" s="1"/>
  <c r="R94" i="53"/>
  <c r="Q94" i="53"/>
  <c r="BW94" i="53" s="1"/>
  <c r="R92" i="53"/>
  <c r="Q92" i="53"/>
  <c r="BW92" i="53" s="1"/>
  <c r="R87" i="53"/>
  <c r="Q87" i="53"/>
  <c r="BW87" i="53" s="1"/>
  <c r="R86" i="53"/>
  <c r="Q86" i="53"/>
  <c r="BW86" i="53" s="1"/>
  <c r="R85" i="53"/>
  <c r="Q85" i="53"/>
  <c r="BW85" i="53" s="1"/>
  <c r="R84" i="53"/>
  <c r="Q84" i="53"/>
  <c r="BW84" i="53" s="1"/>
  <c r="R82" i="53"/>
  <c r="Q82" i="53"/>
  <c r="BW82" i="53" s="1"/>
  <c r="R81" i="53"/>
  <c r="Q81" i="53"/>
  <c r="BW81" i="53" s="1"/>
  <c r="R80" i="53"/>
  <c r="Q80" i="53"/>
  <c r="BW80" i="53" s="1"/>
  <c r="R79" i="53"/>
  <c r="Q79" i="53"/>
  <c r="BW79" i="53" s="1"/>
  <c r="R78" i="53"/>
  <c r="Q78" i="53"/>
  <c r="BW78" i="53" s="1"/>
  <c r="R77" i="53"/>
  <c r="Q77" i="53"/>
  <c r="BW77" i="53" s="1"/>
  <c r="R75" i="53"/>
  <c r="Q75" i="53"/>
  <c r="BW75" i="53" s="1"/>
  <c r="R74" i="53"/>
  <c r="Q74" i="53"/>
  <c r="BW74" i="53" s="1"/>
  <c r="R72" i="53"/>
  <c r="Q72" i="53"/>
  <c r="BW72" i="53" s="1"/>
  <c r="R71" i="53"/>
  <c r="Q71" i="53"/>
  <c r="BW71" i="53" s="1"/>
  <c r="R54" i="53"/>
  <c r="Q54" i="53"/>
  <c r="BW54" i="53" s="1"/>
  <c r="R53" i="53"/>
  <c r="Q53" i="53"/>
  <c r="BW53" i="53" s="1"/>
  <c r="R52" i="53"/>
  <c r="Q52" i="53"/>
  <c r="BW52" i="53" s="1"/>
  <c r="R47" i="53"/>
  <c r="Q47" i="53"/>
  <c r="BW47" i="53" s="1"/>
  <c r="R46" i="53"/>
  <c r="Q46" i="53"/>
  <c r="BW46" i="53" s="1"/>
  <c r="R45" i="53"/>
  <c r="Q45" i="53"/>
  <c r="BW45" i="53" s="1"/>
  <c r="R44" i="53"/>
  <c r="Q44" i="53"/>
  <c r="BW44" i="53" s="1"/>
  <c r="R43" i="53"/>
  <c r="Q43" i="53"/>
  <c r="BW43" i="53" s="1"/>
  <c r="R42" i="53"/>
  <c r="Q42" i="53"/>
  <c r="BW42" i="53" s="1"/>
  <c r="R41" i="53"/>
  <c r="Q41" i="53"/>
  <c r="BW41" i="53" s="1"/>
  <c r="R40" i="53"/>
  <c r="Q40" i="53"/>
  <c r="BW40" i="53" s="1"/>
  <c r="R39" i="53"/>
  <c r="Q39" i="53"/>
  <c r="BW39" i="53" s="1"/>
  <c r="R37" i="53"/>
  <c r="Q37" i="53"/>
  <c r="BW37" i="53" s="1"/>
  <c r="R36" i="53"/>
  <c r="Q36" i="53"/>
  <c r="BW36" i="53" s="1"/>
  <c r="R35" i="53"/>
  <c r="Q35" i="53"/>
  <c r="BW35" i="53" s="1"/>
  <c r="R34" i="53"/>
  <c r="Q34" i="53"/>
  <c r="BW34" i="53" s="1"/>
  <c r="R33" i="53"/>
  <c r="Q33" i="53"/>
  <c r="BW33" i="53" s="1"/>
  <c r="R32" i="53"/>
  <c r="Q32" i="53"/>
  <c r="BW32" i="53" s="1"/>
  <c r="R30" i="53"/>
  <c r="Q30" i="53"/>
  <c r="BW30" i="53" s="1"/>
  <c r="R28" i="53"/>
  <c r="Q28" i="53"/>
  <c r="BW28" i="53" s="1"/>
  <c r="R27" i="53"/>
  <c r="Q27" i="53"/>
  <c r="BW27" i="53" s="1"/>
  <c r="R26" i="53"/>
  <c r="Q26" i="53"/>
  <c r="BW26" i="53" s="1"/>
  <c r="R23" i="53"/>
  <c r="Q23" i="53"/>
  <c r="BW23" i="53" s="1"/>
  <c r="R22" i="53"/>
  <c r="Q22" i="53"/>
  <c r="BW22" i="53" s="1"/>
  <c r="R20" i="53"/>
  <c r="Q20" i="53"/>
  <c r="BW20" i="53" s="1"/>
  <c r="R19" i="53"/>
  <c r="Q19" i="53"/>
  <c r="BW19" i="53" s="1"/>
  <c r="R16" i="53"/>
  <c r="Q16" i="53"/>
  <c r="BW16" i="53" s="1"/>
  <c r="R15" i="53"/>
  <c r="Q15" i="53"/>
  <c r="BW15" i="53" s="1"/>
  <c r="R14" i="53"/>
  <c r="Q14" i="53"/>
  <c r="BW14" i="53" s="1"/>
  <c r="R13" i="53"/>
  <c r="Q13" i="53"/>
  <c r="BW13" i="53" s="1"/>
  <c r="J87" i="53"/>
  <c r="I87" i="53"/>
  <c r="BP87" i="53" s="1"/>
  <c r="J86" i="53"/>
  <c r="I86" i="53"/>
  <c r="BP86" i="53" s="1"/>
  <c r="J85" i="53"/>
  <c r="I85" i="53"/>
  <c r="BP85" i="53" s="1"/>
  <c r="J84" i="53"/>
  <c r="I84" i="53"/>
  <c r="BP84" i="53" s="1"/>
  <c r="J82" i="53"/>
  <c r="I82" i="53"/>
  <c r="BP82" i="53" s="1"/>
  <c r="J81" i="53"/>
  <c r="I81" i="53"/>
  <c r="BP81" i="53" s="1"/>
  <c r="J80" i="53"/>
  <c r="I80" i="53"/>
  <c r="BP80" i="53" s="1"/>
  <c r="J79" i="53"/>
  <c r="I79" i="53"/>
  <c r="BP79" i="53" s="1"/>
  <c r="J78" i="53"/>
  <c r="I78" i="53"/>
  <c r="BP78" i="53" s="1"/>
  <c r="J77" i="53"/>
  <c r="I77" i="53"/>
  <c r="BP77" i="53" s="1"/>
  <c r="J75" i="53"/>
  <c r="I75" i="53"/>
  <c r="BP75" i="53" s="1"/>
  <c r="J73" i="53"/>
  <c r="I73" i="53"/>
  <c r="BP73" i="53" s="1"/>
  <c r="J72" i="53"/>
  <c r="I72" i="53"/>
  <c r="BP72" i="53" s="1"/>
  <c r="J71" i="53"/>
  <c r="I71" i="53"/>
  <c r="BP71" i="53" s="1"/>
  <c r="J54" i="53"/>
  <c r="I54" i="53"/>
  <c r="BP54" i="53" s="1"/>
  <c r="J53" i="53"/>
  <c r="I53" i="53"/>
  <c r="BP53" i="53" s="1"/>
  <c r="J52" i="53"/>
  <c r="I52" i="53"/>
  <c r="BP52" i="53" s="1"/>
  <c r="J47" i="53"/>
  <c r="I47" i="53"/>
  <c r="BP47" i="53" s="1"/>
  <c r="J46" i="53"/>
  <c r="I46" i="53"/>
  <c r="BP46" i="53" s="1"/>
  <c r="J45" i="53"/>
  <c r="I45" i="53"/>
  <c r="BP45" i="53" s="1"/>
  <c r="J44" i="53"/>
  <c r="I44" i="53"/>
  <c r="BP44" i="53" s="1"/>
  <c r="J43" i="53"/>
  <c r="I43" i="53"/>
  <c r="BP43" i="53" s="1"/>
  <c r="J42" i="53"/>
  <c r="I42" i="53"/>
  <c r="BP42" i="53" s="1"/>
  <c r="J41" i="53"/>
  <c r="I41" i="53"/>
  <c r="BP41" i="53" s="1"/>
  <c r="J40" i="53"/>
  <c r="I40" i="53"/>
  <c r="BP40" i="53" s="1"/>
  <c r="J39" i="53"/>
  <c r="I39" i="53"/>
  <c r="BP39" i="53" s="1"/>
  <c r="J37" i="53"/>
  <c r="I37" i="53"/>
  <c r="BP37" i="53" s="1"/>
  <c r="J36" i="53"/>
  <c r="I36" i="53"/>
  <c r="BP36" i="53" s="1"/>
  <c r="J35" i="53"/>
  <c r="I35" i="53"/>
  <c r="BP35" i="53" s="1"/>
  <c r="J34" i="53"/>
  <c r="I34" i="53"/>
  <c r="BP34" i="53" s="1"/>
  <c r="J33" i="53"/>
  <c r="I33" i="53"/>
  <c r="BP33" i="53" s="1"/>
  <c r="J32" i="53"/>
  <c r="I32" i="53"/>
  <c r="BP32" i="53" s="1"/>
  <c r="J31" i="53"/>
  <c r="I31" i="53"/>
  <c r="BP31" i="53" s="1"/>
  <c r="J30" i="53"/>
  <c r="I30" i="53"/>
  <c r="BP30" i="53" s="1"/>
  <c r="J28" i="53"/>
  <c r="I28" i="53"/>
  <c r="BP28" i="53" s="1"/>
  <c r="J27" i="53"/>
  <c r="I27" i="53"/>
  <c r="BP27" i="53" s="1"/>
  <c r="J26" i="53"/>
  <c r="I26" i="53"/>
  <c r="BP26" i="53" s="1"/>
  <c r="J23" i="53"/>
  <c r="I23" i="53"/>
  <c r="BP23" i="53" s="1"/>
  <c r="J22" i="53"/>
  <c r="I22" i="53"/>
  <c r="BP22" i="53" s="1"/>
  <c r="J20" i="53"/>
  <c r="I20" i="53"/>
  <c r="BP20" i="53" s="1"/>
  <c r="J19" i="53"/>
  <c r="I19" i="53"/>
  <c r="BP19" i="53" s="1"/>
  <c r="J16" i="53"/>
  <c r="I16" i="53"/>
  <c r="BP16" i="53" s="1"/>
  <c r="J15" i="53"/>
  <c r="I15" i="53"/>
  <c r="BP15" i="53" s="1"/>
  <c r="J14" i="53"/>
  <c r="I14" i="53"/>
  <c r="BP14" i="53" s="1"/>
  <c r="J13" i="53"/>
  <c r="I13" i="53"/>
  <c r="BP13" i="53" s="1"/>
  <c r="P152" i="46"/>
  <c r="P150" i="46"/>
  <c r="P148" i="46"/>
  <c r="P146" i="46"/>
  <c r="P144" i="46"/>
  <c r="P140" i="46"/>
  <c r="P139" i="46"/>
  <c r="P138" i="46"/>
  <c r="P137" i="46"/>
  <c r="P136" i="46"/>
  <c r="P135" i="46"/>
  <c r="P134" i="46"/>
  <c r="P133" i="46"/>
  <c r="P132" i="46"/>
  <c r="P131" i="46"/>
  <c r="P130" i="46"/>
  <c r="P129" i="46"/>
  <c r="P128" i="46"/>
  <c r="P127" i="46"/>
  <c r="P121" i="46"/>
  <c r="P119" i="46"/>
  <c r="P117" i="46"/>
  <c r="P115" i="46"/>
  <c r="P113" i="46"/>
  <c r="P109" i="46"/>
  <c r="P108" i="46"/>
  <c r="P107" i="46"/>
  <c r="P106" i="46"/>
  <c r="P105" i="46"/>
  <c r="P104" i="46"/>
  <c r="P103" i="46"/>
  <c r="P102" i="46"/>
  <c r="P101" i="46"/>
  <c r="P100" i="46"/>
  <c r="P99" i="46"/>
  <c r="P98" i="46"/>
  <c r="P97" i="46"/>
  <c r="P96" i="46"/>
  <c r="P90" i="46"/>
  <c r="P88" i="46"/>
  <c r="P86" i="46"/>
  <c r="P84" i="46"/>
  <c r="P82" i="46"/>
  <c r="P78" i="46"/>
  <c r="P77" i="46"/>
  <c r="P76" i="46"/>
  <c r="P75" i="46"/>
  <c r="P74" i="46"/>
  <c r="P73" i="46"/>
  <c r="P72" i="46"/>
  <c r="P71" i="46"/>
  <c r="P70" i="46"/>
  <c r="P64" i="46"/>
  <c r="P62" i="46"/>
  <c r="P60" i="46"/>
  <c r="P58" i="46"/>
  <c r="P56" i="46"/>
  <c r="P52" i="46"/>
  <c r="P51" i="46"/>
  <c r="P50" i="46"/>
  <c r="P49" i="46"/>
  <c r="P48" i="46"/>
  <c r="P47" i="46"/>
  <c r="P46" i="46"/>
  <c r="P45" i="46"/>
  <c r="P44" i="46"/>
  <c r="P43" i="46"/>
  <c r="P42" i="46"/>
  <c r="P41" i="46"/>
  <c r="P35" i="46"/>
  <c r="P33" i="46"/>
  <c r="P31" i="46"/>
  <c r="P29" i="46"/>
  <c r="P27" i="46"/>
  <c r="P23" i="46"/>
  <c r="P22" i="46"/>
  <c r="P21" i="46"/>
  <c r="P20" i="46"/>
  <c r="P19" i="46"/>
  <c r="P18" i="46"/>
  <c r="P17" i="46"/>
  <c r="P16" i="46"/>
  <c r="P15" i="46"/>
  <c r="P14" i="46"/>
  <c r="P13" i="46"/>
  <c r="P12" i="46"/>
  <c r="P11" i="46"/>
  <c r="P10" i="46"/>
  <c r="CK69" i="60" l="1"/>
  <c r="CL69" i="60"/>
  <c r="AO61" i="60"/>
  <c r="CL61" i="60" s="1"/>
  <c r="AN61" i="60"/>
  <c r="CK61" i="60" s="1"/>
  <c r="AO60" i="60"/>
  <c r="CL60" i="60" s="1"/>
  <c r="AN60" i="60"/>
  <c r="CK60" i="60" s="1"/>
  <c r="AO59" i="60"/>
  <c r="CL59" i="60" s="1"/>
  <c r="AN59" i="60"/>
  <c r="CK59" i="60" s="1"/>
  <c r="AO58" i="60"/>
  <c r="CL58" i="60" s="1"/>
  <c r="AN58" i="60"/>
  <c r="CK58" i="60" s="1"/>
  <c r="AO57" i="60"/>
  <c r="CL57" i="60" s="1"/>
  <c r="AN57" i="60"/>
  <c r="CK57" i="60" s="1"/>
  <c r="AO56" i="60"/>
  <c r="CL56" i="60" s="1"/>
  <c r="AN56" i="60"/>
  <c r="CK56" i="60" s="1"/>
  <c r="AO55" i="60"/>
  <c r="CL55" i="60" s="1"/>
  <c r="AN55" i="60"/>
  <c r="CK55" i="60" s="1"/>
  <c r="AO54" i="60"/>
  <c r="CL54" i="60" s="1"/>
  <c r="AN54" i="60"/>
  <c r="CK54" i="60" s="1"/>
  <c r="AO53" i="60"/>
  <c r="CL53" i="60" s="1"/>
  <c r="AN53" i="60"/>
  <c r="CK53" i="60" s="1"/>
  <c r="AO29" i="60"/>
  <c r="AO62" i="60" s="1"/>
  <c r="AN29" i="60"/>
  <c r="AN62" i="60" s="1"/>
  <c r="AO14" i="60"/>
  <c r="AO25" i="60" s="1"/>
  <c r="AN14" i="60"/>
  <c r="AN25" i="60" s="1"/>
  <c r="AO11" i="60"/>
  <c r="AN11" i="60"/>
  <c r="AR13" i="60"/>
  <c r="CL29" i="60" l="1"/>
  <c r="CK29" i="60"/>
  <c r="AN63" i="60"/>
  <c r="AN50" i="60"/>
  <c r="CK50" i="60" s="1"/>
  <c r="AO63" i="60"/>
  <c r="AO50" i="60"/>
  <c r="CL50" i="60" s="1"/>
  <c r="AO51" i="60" l="1"/>
  <c r="F14" i="16" l="1"/>
  <c r="X58" i="53"/>
  <c r="CC58" i="53" s="1"/>
  <c r="Y52" i="85" s="1"/>
  <c r="G14" i="16" l="1"/>
  <c r="O14" i="16"/>
  <c r="AP23" i="84" s="1"/>
  <c r="AQ51" i="7"/>
  <c r="AQ50" i="7"/>
  <c r="AQ49" i="7"/>
  <c r="AQ48" i="7"/>
  <c r="AQ52" i="7" s="1"/>
  <c r="AQ40" i="7"/>
  <c r="CN40" i="7" s="1"/>
  <c r="AQ39" i="7"/>
  <c r="AQ38" i="7"/>
  <c r="CN38" i="7" s="1"/>
  <c r="AQ37" i="7"/>
  <c r="AI54" i="7"/>
  <c r="AI53" i="7"/>
  <c r="AI52" i="7"/>
  <c r="AI43" i="7"/>
  <c r="AI42" i="7"/>
  <c r="CF42" i="7" s="1"/>
  <c r="AI41" i="7"/>
  <c r="AA54" i="7"/>
  <c r="AA53" i="7"/>
  <c r="AA52" i="7"/>
  <c r="AA43" i="7"/>
  <c r="AA42" i="7"/>
  <c r="BX42" i="7" s="1"/>
  <c r="AA41" i="7"/>
  <c r="S54" i="7"/>
  <c r="T48" i="7" s="1"/>
  <c r="S53" i="7"/>
  <c r="S52" i="7"/>
  <c r="S43" i="7"/>
  <c r="S42" i="7"/>
  <c r="BP42" i="7" s="1"/>
  <c r="S41" i="7"/>
  <c r="K54" i="7"/>
  <c r="L48" i="7" s="1"/>
  <c r="K53" i="7"/>
  <c r="K52" i="7"/>
  <c r="K43" i="7"/>
  <c r="K42" i="7"/>
  <c r="BH42" i="7" s="1"/>
  <c r="K41" i="7"/>
  <c r="C54" i="7"/>
  <c r="D48" i="7" s="1"/>
  <c r="C53" i="7"/>
  <c r="C52" i="7"/>
  <c r="C43" i="7"/>
  <c r="C42" i="7"/>
  <c r="AZ42" i="7" s="1"/>
  <c r="C41" i="7"/>
  <c r="AQ53" i="7" l="1"/>
  <c r="BX43" i="7"/>
  <c r="AB37" i="7"/>
  <c r="BY37" i="7" s="1"/>
  <c r="CF43" i="7"/>
  <c r="AJ37" i="7"/>
  <c r="CG37" i="7" s="1"/>
  <c r="L37" i="7"/>
  <c r="BI37" i="7" s="1"/>
  <c r="BH43" i="7"/>
  <c r="AQ42" i="7"/>
  <c r="CN42" i="7" s="1"/>
  <c r="CN39" i="7"/>
  <c r="D37" i="7"/>
  <c r="BA37" i="7" s="1"/>
  <c r="AZ43" i="7"/>
  <c r="T37" i="7"/>
  <c r="BQ37" i="7" s="1"/>
  <c r="BP43" i="7"/>
  <c r="AQ41" i="7"/>
  <c r="CN37" i="7"/>
  <c r="H14" i="16"/>
  <c r="Q14" i="16" s="1"/>
  <c r="AR23" i="84" s="1"/>
  <c r="P14" i="16"/>
  <c r="AQ23" i="84" s="1"/>
  <c r="AQ43" i="7"/>
  <c r="CN43" i="7" s="1"/>
  <c r="AQ54" i="7"/>
  <c r="AP132" i="41"/>
  <c r="AP130" i="41"/>
  <c r="AE151" i="41"/>
  <c r="BY151" i="41" s="1"/>
  <c r="AE150" i="41"/>
  <c r="BY150" i="41" s="1"/>
  <c r="W151" i="41"/>
  <c r="BQ151" i="41" s="1"/>
  <c r="W150" i="41"/>
  <c r="BQ150" i="41" s="1"/>
  <c r="O151" i="41"/>
  <c r="BI151" i="41" s="1"/>
  <c r="O150" i="41"/>
  <c r="BI150" i="41" s="1"/>
  <c r="F123" i="41"/>
  <c r="AZ123" i="41" s="1"/>
  <c r="F122" i="41"/>
  <c r="AZ122" i="41" s="1"/>
  <c r="F121" i="41"/>
  <c r="AZ121" i="41" s="1"/>
  <c r="F120" i="41"/>
  <c r="AZ120" i="41" s="1"/>
  <c r="F119" i="41"/>
  <c r="AZ119" i="41" s="1"/>
  <c r="F118" i="41"/>
  <c r="AZ118" i="41" s="1"/>
  <c r="F117" i="41"/>
  <c r="AZ117" i="41" s="1"/>
  <c r="F116" i="41"/>
  <c r="AZ116" i="41" s="1"/>
  <c r="F115" i="41"/>
  <c r="AZ115" i="41" s="1"/>
  <c r="F114" i="41"/>
  <c r="AZ114" i="41" s="1"/>
  <c r="F113" i="41"/>
  <c r="AZ113" i="41" s="1"/>
  <c r="F112" i="41"/>
  <c r="AZ112" i="41" s="1"/>
  <c r="F111" i="41"/>
  <c r="AZ111" i="41" s="1"/>
  <c r="F110" i="41"/>
  <c r="AZ110" i="41" s="1"/>
  <c r="F109" i="41"/>
  <c r="AZ109" i="41" s="1"/>
  <c r="F108" i="41"/>
  <c r="AZ108" i="41" s="1"/>
  <c r="F107" i="41"/>
  <c r="AZ107" i="41" s="1"/>
  <c r="F106" i="41"/>
  <c r="AZ106" i="41" s="1"/>
  <c r="F105" i="41"/>
  <c r="AZ105" i="41" s="1"/>
  <c r="F104" i="41"/>
  <c r="AZ104" i="41" s="1"/>
  <c r="F103" i="41"/>
  <c r="AZ103" i="41" s="1"/>
  <c r="F102" i="41"/>
  <c r="AZ102" i="41" s="1"/>
  <c r="F101" i="41"/>
  <c r="AZ101" i="41" s="1"/>
  <c r="F100" i="41"/>
  <c r="AZ100" i="41" s="1"/>
  <c r="F97" i="41"/>
  <c r="AZ97" i="41" s="1"/>
  <c r="F96" i="41"/>
  <c r="AZ96" i="41" s="1"/>
  <c r="F95" i="41"/>
  <c r="AZ95" i="41" s="1"/>
  <c r="F94" i="41"/>
  <c r="AZ94" i="41" s="1"/>
  <c r="F93" i="41"/>
  <c r="AZ93" i="41" s="1"/>
  <c r="F92" i="41"/>
  <c r="AZ92" i="41" s="1"/>
  <c r="F91" i="41"/>
  <c r="AZ91" i="41" s="1"/>
  <c r="F90" i="41"/>
  <c r="AZ90" i="41" s="1"/>
  <c r="F89" i="41"/>
  <c r="AZ89" i="41" s="1"/>
  <c r="F88" i="41"/>
  <c r="AZ88" i="41" s="1"/>
  <c r="F87" i="41"/>
  <c r="AZ87" i="41" s="1"/>
  <c r="F86" i="41"/>
  <c r="AZ86" i="41" s="1"/>
  <c r="F85" i="41"/>
  <c r="AZ85" i="41" s="1"/>
  <c r="F84" i="41"/>
  <c r="AZ84" i="41" s="1"/>
  <c r="F83" i="41"/>
  <c r="AZ83" i="41" s="1"/>
  <c r="F82" i="41"/>
  <c r="AZ82" i="41" s="1"/>
  <c r="F81" i="41"/>
  <c r="AZ81" i="41" s="1"/>
  <c r="F80" i="41"/>
  <c r="AZ80" i="41" s="1"/>
  <c r="F79" i="41"/>
  <c r="AZ79" i="41" s="1"/>
  <c r="F78" i="41"/>
  <c r="AZ78" i="41" s="1"/>
  <c r="F77" i="41"/>
  <c r="AZ77" i="41" s="1"/>
  <c r="F76" i="41"/>
  <c r="AZ76" i="41" s="1"/>
  <c r="F75" i="41"/>
  <c r="AZ75" i="41" s="1"/>
  <c r="F74" i="41"/>
  <c r="AZ74" i="41" s="1"/>
  <c r="F71" i="41"/>
  <c r="AZ71" i="41" s="1"/>
  <c r="F70" i="41"/>
  <c r="AZ70" i="41" s="1"/>
  <c r="F69" i="41"/>
  <c r="AZ69" i="41" s="1"/>
  <c r="F68" i="41"/>
  <c r="AZ68" i="41" s="1"/>
  <c r="F67" i="41"/>
  <c r="AZ67" i="41" s="1"/>
  <c r="F66" i="41"/>
  <c r="AZ66" i="41" s="1"/>
  <c r="F65" i="41"/>
  <c r="AZ65" i="41" s="1"/>
  <c r="F64" i="41"/>
  <c r="AZ64" i="41" s="1"/>
  <c r="F63" i="41"/>
  <c r="AZ63" i="41" s="1"/>
  <c r="F62" i="41"/>
  <c r="AZ62" i="41" s="1"/>
  <c r="F61" i="41"/>
  <c r="AZ61" i="41" s="1"/>
  <c r="F59" i="41"/>
  <c r="AZ59" i="41" s="1"/>
  <c r="F58" i="41"/>
  <c r="AZ58" i="41" s="1"/>
  <c r="F56" i="41"/>
  <c r="AZ56" i="41" s="1"/>
  <c r="F55" i="41"/>
  <c r="AZ55" i="41" s="1"/>
  <c r="F54" i="41"/>
  <c r="AZ54" i="41" s="1"/>
  <c r="F53" i="41"/>
  <c r="AZ53" i="41" s="1"/>
  <c r="F52" i="41"/>
  <c r="AZ52" i="41" s="1"/>
  <c r="F51" i="41"/>
  <c r="AZ51" i="41" s="1"/>
  <c r="F50" i="41"/>
  <c r="AZ50" i="41" s="1"/>
  <c r="F49" i="41"/>
  <c r="AZ49" i="41" s="1"/>
  <c r="F47" i="41"/>
  <c r="AZ47" i="41" s="1"/>
  <c r="F46" i="41"/>
  <c r="AZ46" i="41" s="1"/>
  <c r="F45" i="41"/>
  <c r="AZ45" i="41" s="1"/>
  <c r="F44" i="41"/>
  <c r="AZ44" i="41" s="1"/>
  <c r="F43" i="41"/>
  <c r="AZ43" i="41" s="1"/>
  <c r="F42" i="41"/>
  <c r="AZ42" i="41" s="1"/>
  <c r="F41" i="41"/>
  <c r="AZ41" i="41" s="1"/>
  <c r="F40" i="41"/>
  <c r="AZ40" i="41" s="1"/>
  <c r="F39" i="41"/>
  <c r="AZ39" i="41" s="1"/>
  <c r="F38" i="41"/>
  <c r="AZ38" i="41" s="1"/>
  <c r="F37" i="41"/>
  <c r="AZ37" i="41" s="1"/>
  <c r="F35" i="41"/>
  <c r="AZ35" i="41" s="1"/>
  <c r="F34" i="41"/>
  <c r="AZ34" i="41" s="1"/>
  <c r="F33" i="41"/>
  <c r="AZ33" i="41" s="1"/>
  <c r="F32" i="41"/>
  <c r="AZ32" i="41" s="1"/>
  <c r="F31" i="41"/>
  <c r="AZ31" i="41" s="1"/>
  <c r="F30" i="41"/>
  <c r="AZ30" i="41" s="1"/>
  <c r="F29" i="41"/>
  <c r="AZ29" i="41" s="1"/>
  <c r="F28" i="41"/>
  <c r="AZ28" i="41" s="1"/>
  <c r="F27" i="41"/>
  <c r="AZ27" i="41" s="1"/>
  <c r="F26" i="41"/>
  <c r="AZ26" i="41" s="1"/>
  <c r="F25" i="41"/>
  <c r="AZ25" i="41" s="1"/>
  <c r="F24" i="41"/>
  <c r="AZ24" i="41" s="1"/>
  <c r="F23" i="41"/>
  <c r="AZ23" i="41" s="1"/>
  <c r="F22" i="41"/>
  <c r="AZ22" i="41" s="1"/>
  <c r="F21" i="41"/>
  <c r="AZ21" i="41" s="1"/>
  <c r="F20" i="41"/>
  <c r="AZ20" i="41" s="1"/>
  <c r="F19" i="41"/>
  <c r="AZ19" i="41" s="1"/>
  <c r="F18" i="41"/>
  <c r="AZ18" i="41" s="1"/>
  <c r="F17" i="41"/>
  <c r="AZ17" i="41" s="1"/>
  <c r="F16" i="41"/>
  <c r="AZ16" i="41" s="1"/>
  <c r="F15" i="41"/>
  <c r="AZ15" i="41" s="1"/>
  <c r="F14" i="41"/>
  <c r="AZ14" i="41" s="1"/>
  <c r="F13" i="41"/>
  <c r="AZ13" i="41" s="1"/>
  <c r="F12" i="41"/>
  <c r="AZ12" i="41" s="1"/>
  <c r="F9" i="41"/>
  <c r="AE99" i="41"/>
  <c r="AE73" i="41"/>
  <c r="AE60" i="41"/>
  <c r="BY60" i="41" s="1"/>
  <c r="AE57" i="41"/>
  <c r="BY57" i="41" s="1"/>
  <c r="AE48" i="41"/>
  <c r="BY48" i="41" s="1"/>
  <c r="AE36" i="41"/>
  <c r="BY36" i="41" s="1"/>
  <c r="AE11" i="41"/>
  <c r="BY11" i="41" s="1"/>
  <c r="W99" i="41"/>
  <c r="W73" i="41"/>
  <c r="W60" i="41"/>
  <c r="BQ60" i="41" s="1"/>
  <c r="W57" i="41"/>
  <c r="BQ57" i="41" s="1"/>
  <c r="W48" i="41"/>
  <c r="BQ48" i="41" s="1"/>
  <c r="W36" i="41"/>
  <c r="BQ36" i="41" s="1"/>
  <c r="W11" i="41"/>
  <c r="BQ11" i="41" s="1"/>
  <c r="O99" i="41"/>
  <c r="O73" i="41"/>
  <c r="O60" i="41"/>
  <c r="BI60" i="41" s="1"/>
  <c r="O57" i="41"/>
  <c r="BI57" i="41" s="1"/>
  <c r="O48" i="41"/>
  <c r="BI48" i="41" s="1"/>
  <c r="O36" i="41"/>
  <c r="BI36" i="41" s="1"/>
  <c r="O11" i="41"/>
  <c r="BI11" i="41" s="1"/>
  <c r="G13" i="41"/>
  <c r="BA13" i="41" s="1"/>
  <c r="E13" i="62"/>
  <c r="E14" i="62"/>
  <c r="E16" i="62"/>
  <c r="E17" i="62"/>
  <c r="E19" i="62"/>
  <c r="E20" i="62"/>
  <c r="E21" i="62"/>
  <c r="E23" i="62"/>
  <c r="E24" i="62"/>
  <c r="E26" i="62"/>
  <c r="E27" i="62"/>
  <c r="E28" i="62"/>
  <c r="E29" i="62"/>
  <c r="E32" i="62"/>
  <c r="E33" i="62"/>
  <c r="E35" i="62"/>
  <c r="E36" i="62"/>
  <c r="E37" i="62"/>
  <c r="E38" i="62"/>
  <c r="E39" i="62"/>
  <c r="E40" i="62"/>
  <c r="E41" i="62"/>
  <c r="E42" i="62"/>
  <c r="E43" i="62"/>
  <c r="E44" i="62"/>
  <c r="AE143" i="41" l="1"/>
  <c r="BY143" i="41" s="1"/>
  <c r="BY73" i="41"/>
  <c r="O143" i="41"/>
  <c r="BI143" i="41" s="1"/>
  <c r="BI73" i="41"/>
  <c r="W144" i="41"/>
  <c r="BQ144" i="41" s="1"/>
  <c r="BQ99" i="41"/>
  <c r="C8" i="7"/>
  <c r="AZ9" i="41"/>
  <c r="BI9" i="41" s="1"/>
  <c r="O144" i="41"/>
  <c r="BI99" i="41"/>
  <c r="AE144" i="41"/>
  <c r="BY144" i="41" s="1"/>
  <c r="BY99" i="41"/>
  <c r="W143" i="41"/>
  <c r="BQ143" i="41" s="1"/>
  <c r="BQ73" i="41"/>
  <c r="E91" i="62"/>
  <c r="AV91" i="62" s="1"/>
  <c r="AV42" i="62"/>
  <c r="E82" i="62"/>
  <c r="AV82" i="62" s="1"/>
  <c r="AV33" i="62"/>
  <c r="E90" i="62"/>
  <c r="AV90" i="62" s="1"/>
  <c r="AV41" i="62"/>
  <c r="E69" i="62"/>
  <c r="AV69" i="62" s="1"/>
  <c r="AV20" i="62"/>
  <c r="E89" i="62"/>
  <c r="AV89" i="62" s="1"/>
  <c r="AV40" i="62"/>
  <c r="E68" i="62"/>
  <c r="AV68" i="62" s="1"/>
  <c r="AV19" i="62"/>
  <c r="E88" i="62"/>
  <c r="AV88" i="62" s="1"/>
  <c r="AV39" i="62"/>
  <c r="E66" i="62"/>
  <c r="AV66" i="62" s="1"/>
  <c r="AV17" i="62"/>
  <c r="E87" i="62"/>
  <c r="AV87" i="62" s="1"/>
  <c r="AV38" i="62"/>
  <c r="E65" i="62"/>
  <c r="AV65" i="62" s="1"/>
  <c r="AV16" i="62"/>
  <c r="E86" i="62"/>
  <c r="AV86" i="62" s="1"/>
  <c r="AV37" i="62"/>
  <c r="E75" i="62"/>
  <c r="AV75" i="62" s="1"/>
  <c r="AV26" i="62"/>
  <c r="E63" i="62"/>
  <c r="AV63" i="62" s="1"/>
  <c r="AV14" i="62"/>
  <c r="E93" i="62"/>
  <c r="AV93" i="62" s="1"/>
  <c r="AV44" i="62"/>
  <c r="E85" i="62"/>
  <c r="AV85" i="62" s="1"/>
  <c r="AV36" i="62"/>
  <c r="E73" i="62"/>
  <c r="AV73" i="62" s="1"/>
  <c r="AV24" i="62"/>
  <c r="E62" i="62"/>
  <c r="AV62" i="62" s="1"/>
  <c r="AV13" i="62"/>
  <c r="E70" i="62"/>
  <c r="AV70" i="62" s="1"/>
  <c r="AV21" i="62"/>
  <c r="E81" i="62"/>
  <c r="AV81" i="62" s="1"/>
  <c r="AV32" i="62"/>
  <c r="E78" i="62"/>
  <c r="AV78" i="62" s="1"/>
  <c r="AV29" i="62"/>
  <c r="E77" i="62"/>
  <c r="AV77" i="62" s="1"/>
  <c r="AV28" i="62"/>
  <c r="E76" i="62"/>
  <c r="AV76" i="62" s="1"/>
  <c r="AV27" i="62"/>
  <c r="E92" i="62"/>
  <c r="AV92" i="62" s="1"/>
  <c r="AV43" i="62"/>
  <c r="E84" i="62"/>
  <c r="AV84" i="62" s="1"/>
  <c r="AV35" i="62"/>
  <c r="E72" i="62"/>
  <c r="AV72" i="62" s="1"/>
  <c r="AV23" i="62"/>
  <c r="W156" i="41"/>
  <c r="BQ156" i="41" s="1"/>
  <c r="W157" i="41"/>
  <c r="BQ157" i="41" s="1"/>
  <c r="F11" i="41"/>
  <c r="AZ11" i="41" s="1"/>
  <c r="F57" i="41"/>
  <c r="O134" i="41"/>
  <c r="BI134" i="41" s="1"/>
  <c r="O126" i="41"/>
  <c r="BI126" i="41" s="1"/>
  <c r="W134" i="41"/>
  <c r="BQ134" i="41" s="1"/>
  <c r="AE134" i="41"/>
  <c r="BY134" i="41" s="1"/>
  <c r="AP9" i="41"/>
  <c r="F48" i="41"/>
  <c r="AZ48" i="41" s="1"/>
  <c r="F99" i="41"/>
  <c r="O9" i="41"/>
  <c r="F36" i="41"/>
  <c r="AZ36" i="41" s="1"/>
  <c r="F73" i="41"/>
  <c r="F150" i="41"/>
  <c r="AZ150" i="41" s="1"/>
  <c r="F151" i="41"/>
  <c r="AZ151" i="41" s="1"/>
  <c r="W126" i="41"/>
  <c r="BQ126" i="41" s="1"/>
  <c r="F60" i="41"/>
  <c r="AE125" i="41"/>
  <c r="BY125" i="41" s="1"/>
  <c r="AE126" i="41"/>
  <c r="BY126" i="41" s="1"/>
  <c r="AE124" i="41"/>
  <c r="BY124" i="41" s="1"/>
  <c r="W125" i="41"/>
  <c r="BQ125" i="41" s="1"/>
  <c r="W124" i="41"/>
  <c r="BQ124" i="41" s="1"/>
  <c r="O125" i="41"/>
  <c r="BI125" i="41" s="1"/>
  <c r="O124" i="41"/>
  <c r="BI124" i="41" s="1"/>
  <c r="AG59" i="62"/>
  <c r="AG58" i="62"/>
  <c r="AG57" i="62"/>
  <c r="AG56" i="62"/>
  <c r="AG55" i="62"/>
  <c r="AG54" i="62"/>
  <c r="AG53" i="62"/>
  <c r="AG52" i="62"/>
  <c r="AG51" i="62"/>
  <c r="AG49" i="62"/>
  <c r="AG48" i="62"/>
  <c r="AG47" i="62"/>
  <c r="AG46" i="62"/>
  <c r="AG44" i="62"/>
  <c r="AG43" i="62"/>
  <c r="AG42" i="62"/>
  <c r="AG41" i="62"/>
  <c r="AG40" i="62"/>
  <c r="AG39" i="62"/>
  <c r="AG38" i="62"/>
  <c r="AG37" i="62"/>
  <c r="AG36" i="62"/>
  <c r="AG35" i="62"/>
  <c r="AG33" i="62"/>
  <c r="AG32" i="62"/>
  <c r="AG29" i="62"/>
  <c r="AG28" i="62"/>
  <c r="AG27" i="62"/>
  <c r="AG26" i="62"/>
  <c r="AG24" i="62"/>
  <c r="AG23" i="62"/>
  <c r="AG21" i="62"/>
  <c r="AG20" i="62"/>
  <c r="AG19" i="62"/>
  <c r="AG17" i="62"/>
  <c r="AG16" i="62"/>
  <c r="AG14" i="62"/>
  <c r="AG13" i="62"/>
  <c r="F66" i="62"/>
  <c r="AW66" i="62" s="1"/>
  <c r="Z59" i="62"/>
  <c r="Z58" i="62"/>
  <c r="Z57" i="62"/>
  <c r="Z56" i="62"/>
  <c r="Z55" i="62"/>
  <c r="Z54" i="62"/>
  <c r="Z53" i="62"/>
  <c r="Z52" i="62"/>
  <c r="Z51" i="62"/>
  <c r="Z49" i="62"/>
  <c r="Z48" i="62"/>
  <c r="Z47" i="62"/>
  <c r="Z46" i="62"/>
  <c r="Z44" i="62"/>
  <c r="Z43" i="62"/>
  <c r="Z42" i="62"/>
  <c r="Z41" i="62"/>
  <c r="Z40" i="62"/>
  <c r="Z39" i="62"/>
  <c r="Z38" i="62"/>
  <c r="Z37" i="62"/>
  <c r="Z36" i="62"/>
  <c r="Z35" i="62"/>
  <c r="Z33" i="62"/>
  <c r="Z32" i="62"/>
  <c r="Z29" i="62"/>
  <c r="Z28" i="62"/>
  <c r="Z27" i="62"/>
  <c r="Z26" i="62"/>
  <c r="Z24" i="62"/>
  <c r="Z23" i="62"/>
  <c r="Z21" i="62"/>
  <c r="Z20" i="62"/>
  <c r="Z19" i="62"/>
  <c r="Z17" i="62"/>
  <c r="Z16" i="62"/>
  <c r="Z14" i="62"/>
  <c r="Z13" i="62"/>
  <c r="AE157" i="41" l="1"/>
  <c r="BY157" i="41" s="1"/>
  <c r="BY9" i="41"/>
  <c r="BQ9" i="41"/>
  <c r="O157" i="41"/>
  <c r="BI157" i="41" s="1"/>
  <c r="BI144" i="41"/>
  <c r="AE156" i="41"/>
  <c r="BY156" i="41" s="1"/>
  <c r="K8" i="7"/>
  <c r="S8" i="7" s="1"/>
  <c r="AA8" i="7" s="1"/>
  <c r="AI8" i="7" s="1"/>
  <c r="AQ8" i="7" s="1"/>
  <c r="AZ8" i="7"/>
  <c r="BH8" i="7" s="1"/>
  <c r="BP8" i="7" s="1"/>
  <c r="BX8" i="7" s="1"/>
  <c r="CF8" i="7" s="1"/>
  <c r="CN8" i="7" s="1"/>
  <c r="F144" i="41"/>
  <c r="AZ144" i="41" s="1"/>
  <c r="AZ99" i="41"/>
  <c r="F126" i="41"/>
  <c r="AZ126" i="41" s="1"/>
  <c r="AZ57" i="41"/>
  <c r="F143" i="41"/>
  <c r="AZ143" i="41" s="1"/>
  <c r="AZ73" i="41"/>
  <c r="O156" i="41"/>
  <c r="BI156" i="41" s="1"/>
  <c r="Z106" i="62"/>
  <c r="BQ106" i="62" s="1"/>
  <c r="BQ57" i="62"/>
  <c r="AG98" i="62"/>
  <c r="BX98" i="62" s="1"/>
  <c r="BX49" i="62"/>
  <c r="Z107" i="62"/>
  <c r="BQ107" i="62" s="1"/>
  <c r="BQ58" i="62"/>
  <c r="AG100" i="62"/>
  <c r="BX100" i="62" s="1"/>
  <c r="BX51" i="62"/>
  <c r="Z100" i="62"/>
  <c r="BQ100" i="62" s="1"/>
  <c r="BQ51" i="62"/>
  <c r="AG101" i="62"/>
  <c r="BX52" i="62"/>
  <c r="Z91" i="62"/>
  <c r="BQ91" i="62" s="1"/>
  <c r="BQ42" i="62"/>
  <c r="AG92" i="62"/>
  <c r="BX92" i="62" s="1"/>
  <c r="BX43" i="62"/>
  <c r="Z102" i="62"/>
  <c r="BQ102" i="62" s="1"/>
  <c r="BQ53" i="62"/>
  <c r="AG85" i="62"/>
  <c r="BX85" i="62" s="1"/>
  <c r="BX36" i="62"/>
  <c r="Z73" i="62"/>
  <c r="BQ73" i="62" s="1"/>
  <c r="BQ24" i="62"/>
  <c r="Z85" i="62"/>
  <c r="BQ85" i="62" s="1"/>
  <c r="BQ36" i="62"/>
  <c r="AG63" i="62"/>
  <c r="BX63" i="62" s="1"/>
  <c r="BX14" i="62"/>
  <c r="AG75" i="62"/>
  <c r="BX75" i="62" s="1"/>
  <c r="BX26" i="62"/>
  <c r="AG86" i="62"/>
  <c r="BX86" i="62" s="1"/>
  <c r="BX37" i="62"/>
  <c r="AG95" i="62"/>
  <c r="BX95" i="62" s="1"/>
  <c r="BX46" i="62"/>
  <c r="AG104" i="62"/>
  <c r="BX104" i="62" s="1"/>
  <c r="BX55" i="62"/>
  <c r="Z66" i="62"/>
  <c r="BQ66" i="62" s="1"/>
  <c r="BQ17" i="62"/>
  <c r="Z88" i="62"/>
  <c r="BQ88" i="62" s="1"/>
  <c r="BQ39" i="62"/>
  <c r="AG68" i="62"/>
  <c r="BX68" i="62" s="1"/>
  <c r="BX19" i="62"/>
  <c r="AG89" i="62"/>
  <c r="BX89" i="62" s="1"/>
  <c r="BX40" i="62"/>
  <c r="Z68" i="62"/>
  <c r="BQ68" i="62" s="1"/>
  <c r="BQ19" i="62"/>
  <c r="Z89" i="62"/>
  <c r="BQ89" i="62" s="1"/>
  <c r="BQ40" i="62"/>
  <c r="AG69" i="62"/>
  <c r="BX69" i="62" s="1"/>
  <c r="BX20" i="62"/>
  <c r="AG90" i="62"/>
  <c r="BX90" i="62" s="1"/>
  <c r="BX41" i="62"/>
  <c r="Z69" i="62"/>
  <c r="BQ69" i="62" s="1"/>
  <c r="BQ20" i="62"/>
  <c r="Z90" i="62"/>
  <c r="BQ90" i="62" s="1"/>
  <c r="BQ41" i="62"/>
  <c r="AG70" i="62"/>
  <c r="BX70" i="62" s="1"/>
  <c r="BX21" i="62"/>
  <c r="AG91" i="62"/>
  <c r="BX91" i="62" s="1"/>
  <c r="BX42" i="62"/>
  <c r="Z82" i="62"/>
  <c r="BQ82" i="62" s="1"/>
  <c r="BQ33" i="62"/>
  <c r="AG72" i="62"/>
  <c r="BX72" i="62" s="1"/>
  <c r="BX23" i="62"/>
  <c r="AG102" i="62"/>
  <c r="BX102" i="62" s="1"/>
  <c r="BX53" i="62"/>
  <c r="Z84" i="62"/>
  <c r="BQ84" i="62" s="1"/>
  <c r="BQ35" i="62"/>
  <c r="AG62" i="62"/>
  <c r="BX13" i="62"/>
  <c r="AG93" i="62"/>
  <c r="BX93" i="62" s="1"/>
  <c r="BX44" i="62"/>
  <c r="Z62" i="62"/>
  <c r="BQ62" i="62" s="1"/>
  <c r="BQ13" i="62"/>
  <c r="Z93" i="62"/>
  <c r="BQ93" i="62" s="1"/>
  <c r="BQ44" i="62"/>
  <c r="Z103" i="62"/>
  <c r="BQ103" i="62" s="1"/>
  <c r="BQ54" i="62"/>
  <c r="Z63" i="62"/>
  <c r="BQ63" i="62" s="1"/>
  <c r="BQ14" i="62"/>
  <c r="Z75" i="62"/>
  <c r="BQ75" i="62" s="1"/>
  <c r="BQ26" i="62"/>
  <c r="Z86" i="62"/>
  <c r="BQ86" i="62" s="1"/>
  <c r="BQ37" i="62"/>
  <c r="Z95" i="62"/>
  <c r="BQ95" i="62" s="1"/>
  <c r="BQ46" i="62"/>
  <c r="Z104" i="62"/>
  <c r="BQ104" i="62" s="1"/>
  <c r="BQ55" i="62"/>
  <c r="AG65" i="62"/>
  <c r="BX16" i="62"/>
  <c r="AG76" i="62"/>
  <c r="BX76" i="62" s="1"/>
  <c r="BX27" i="62"/>
  <c r="AG87" i="62"/>
  <c r="BX87" i="62" s="1"/>
  <c r="BX38" i="62"/>
  <c r="AG96" i="62"/>
  <c r="BX96" i="62" s="1"/>
  <c r="BX47" i="62"/>
  <c r="AG105" i="62"/>
  <c r="BX105" i="62" s="1"/>
  <c r="BX56" i="62"/>
  <c r="Z77" i="62"/>
  <c r="BQ77" i="62" s="1"/>
  <c r="BQ28" i="62"/>
  <c r="Z97" i="62"/>
  <c r="BQ97" i="62" s="1"/>
  <c r="BQ48" i="62"/>
  <c r="AG78" i="62"/>
  <c r="BX78" i="62" s="1"/>
  <c r="BX29" i="62"/>
  <c r="AG107" i="62"/>
  <c r="BX107" i="62" s="1"/>
  <c r="BX58" i="62"/>
  <c r="Z78" i="62"/>
  <c r="BQ78" i="62" s="1"/>
  <c r="BQ29" i="62"/>
  <c r="Z98" i="62"/>
  <c r="BQ98" i="62" s="1"/>
  <c r="BQ49" i="62"/>
  <c r="AG81" i="62"/>
  <c r="BX81" i="62" s="1"/>
  <c r="BX32" i="62"/>
  <c r="AG108" i="62"/>
  <c r="BX108" i="62" s="1"/>
  <c r="BX59" i="62"/>
  <c r="Z81" i="62"/>
  <c r="BQ81" i="62" s="1"/>
  <c r="BQ32" i="62"/>
  <c r="Z108" i="62"/>
  <c r="BQ108" i="62" s="1"/>
  <c r="BQ59" i="62"/>
  <c r="AG82" i="62"/>
  <c r="BX82" i="62" s="1"/>
  <c r="BX33" i="62"/>
  <c r="Z70" i="62"/>
  <c r="BQ70" i="62" s="1"/>
  <c r="BQ21" i="62"/>
  <c r="Z101" i="62"/>
  <c r="BQ101" i="62" s="1"/>
  <c r="BQ52" i="62"/>
  <c r="AG84" i="62"/>
  <c r="BX84" i="62" s="1"/>
  <c r="BX35" i="62"/>
  <c r="Z72" i="62"/>
  <c r="BQ23" i="62"/>
  <c r="Z92" i="62"/>
  <c r="BQ92" i="62" s="1"/>
  <c r="BQ43" i="62"/>
  <c r="AG73" i="62"/>
  <c r="BX73" i="62" s="1"/>
  <c r="BX24" i="62"/>
  <c r="AG103" i="62"/>
  <c r="BX103" i="62" s="1"/>
  <c r="BX54" i="62"/>
  <c r="Z65" i="62"/>
  <c r="BQ65" i="62" s="1"/>
  <c r="BQ16" i="62"/>
  <c r="Z76" i="62"/>
  <c r="BQ76" i="62" s="1"/>
  <c r="BQ27" i="62"/>
  <c r="Z87" i="62"/>
  <c r="BQ87" i="62" s="1"/>
  <c r="BQ38" i="62"/>
  <c r="Z96" i="62"/>
  <c r="BQ96" i="62" s="1"/>
  <c r="BQ47" i="62"/>
  <c r="Z105" i="62"/>
  <c r="BQ105" i="62" s="1"/>
  <c r="BQ56" i="62"/>
  <c r="AG66" i="62"/>
  <c r="BX66" i="62" s="1"/>
  <c r="BX17" i="62"/>
  <c r="AG77" i="62"/>
  <c r="BX77" i="62" s="1"/>
  <c r="BX28" i="62"/>
  <c r="AG88" i="62"/>
  <c r="BX88" i="62" s="1"/>
  <c r="BX39" i="62"/>
  <c r="AG97" i="62"/>
  <c r="BX97" i="62" s="1"/>
  <c r="BX48" i="62"/>
  <c r="AG106" i="62"/>
  <c r="BX106" i="62" s="1"/>
  <c r="BX57" i="62"/>
  <c r="F125" i="41"/>
  <c r="AZ125" i="41" s="1"/>
  <c r="AZ60" i="41"/>
  <c r="Z94" i="62"/>
  <c r="BQ94" i="62" s="1"/>
  <c r="F134" i="41"/>
  <c r="AZ134" i="41" s="1"/>
  <c r="F124" i="41"/>
  <c r="AZ124" i="41" s="1"/>
  <c r="F156" i="41"/>
  <c r="AZ156" i="41" s="1"/>
  <c r="W9" i="41"/>
  <c r="AE9" i="41"/>
  <c r="C58" i="7"/>
  <c r="C36" i="7"/>
  <c r="S59" i="62"/>
  <c r="S58" i="62"/>
  <c r="S57" i="62"/>
  <c r="S56" i="62"/>
  <c r="S55" i="62"/>
  <c r="S54" i="62"/>
  <c r="S53" i="62"/>
  <c r="S52" i="62"/>
  <c r="S51" i="62"/>
  <c r="S49" i="62"/>
  <c r="S48" i="62"/>
  <c r="S47" i="62"/>
  <c r="S46" i="62"/>
  <c r="S44" i="62"/>
  <c r="S43" i="62"/>
  <c r="S42" i="62"/>
  <c r="S41" i="62"/>
  <c r="S40" i="62"/>
  <c r="S39" i="62"/>
  <c r="S38" i="62"/>
  <c r="S37" i="62"/>
  <c r="S36" i="62"/>
  <c r="S35" i="62"/>
  <c r="S29" i="62"/>
  <c r="S28" i="62"/>
  <c r="S27" i="62"/>
  <c r="S26" i="62"/>
  <c r="S24" i="62"/>
  <c r="S23" i="62"/>
  <c r="S21" i="62"/>
  <c r="S20" i="62"/>
  <c r="S19" i="62"/>
  <c r="S17" i="62"/>
  <c r="S16" i="62"/>
  <c r="S14" i="62"/>
  <c r="S13" i="62"/>
  <c r="L59" i="62"/>
  <c r="L58" i="62"/>
  <c r="L57" i="62"/>
  <c r="L56" i="62"/>
  <c r="L55" i="62"/>
  <c r="L54" i="62"/>
  <c r="L53" i="62"/>
  <c r="L52" i="62"/>
  <c r="L51" i="62"/>
  <c r="L49" i="62"/>
  <c r="L48" i="62"/>
  <c r="L47" i="62"/>
  <c r="L46" i="62"/>
  <c r="L44" i="62"/>
  <c r="L43" i="62"/>
  <c r="L42" i="62"/>
  <c r="L41" i="62"/>
  <c r="L40" i="62"/>
  <c r="L39" i="62"/>
  <c r="L38" i="62"/>
  <c r="L37" i="62"/>
  <c r="L36" i="62"/>
  <c r="L35" i="62"/>
  <c r="L33" i="62"/>
  <c r="L32" i="62"/>
  <c r="L29" i="62"/>
  <c r="L28" i="62"/>
  <c r="L27" i="62"/>
  <c r="L26" i="62"/>
  <c r="L24" i="62"/>
  <c r="L23" i="62"/>
  <c r="L21" i="62"/>
  <c r="L20" i="62"/>
  <c r="L19" i="62"/>
  <c r="L17" i="62"/>
  <c r="L16" i="62"/>
  <c r="L14" i="62"/>
  <c r="L13" i="62"/>
  <c r="E59" i="62"/>
  <c r="E58" i="62"/>
  <c r="E57" i="62"/>
  <c r="E56" i="62"/>
  <c r="E55" i="62"/>
  <c r="E54" i="62"/>
  <c r="E53" i="62"/>
  <c r="E52" i="62"/>
  <c r="E51" i="62"/>
  <c r="E49" i="62"/>
  <c r="E48" i="62"/>
  <c r="E47" i="62"/>
  <c r="E46" i="62"/>
  <c r="E8" i="82"/>
  <c r="Z8" i="82" s="1"/>
  <c r="AD8" i="82" s="1"/>
  <c r="AH8" i="82" s="1"/>
  <c r="AL8" i="82" s="1"/>
  <c r="AP8" i="82" s="1"/>
  <c r="U218" i="82"/>
  <c r="AP218" i="82" s="1"/>
  <c r="Q218" i="82"/>
  <c r="AL218" i="82" s="1"/>
  <c r="M218" i="82"/>
  <c r="AH218" i="82" s="1"/>
  <c r="I218" i="82"/>
  <c r="AD218" i="82" s="1"/>
  <c r="E218" i="82"/>
  <c r="Z218" i="82" s="1"/>
  <c r="U217" i="82"/>
  <c r="AP217" i="82" s="1"/>
  <c r="Q217" i="82"/>
  <c r="AL217" i="82" s="1"/>
  <c r="M217" i="82"/>
  <c r="AH217" i="82" s="1"/>
  <c r="I217" i="82"/>
  <c r="AD217" i="82" s="1"/>
  <c r="E217" i="82"/>
  <c r="Z217" i="82" s="1"/>
  <c r="U216" i="82"/>
  <c r="AP216" i="82" s="1"/>
  <c r="Q216" i="82"/>
  <c r="AL216" i="82" s="1"/>
  <c r="M216" i="82"/>
  <c r="AH216" i="82" s="1"/>
  <c r="I216" i="82"/>
  <c r="AD216" i="82" s="1"/>
  <c r="E216" i="82"/>
  <c r="Z216" i="82" s="1"/>
  <c r="U215" i="82"/>
  <c r="AP215" i="82" s="1"/>
  <c r="Q215" i="82"/>
  <c r="AL215" i="82" s="1"/>
  <c r="M215" i="82"/>
  <c r="AH215" i="82" s="1"/>
  <c r="I215" i="82"/>
  <c r="AD215" i="82" s="1"/>
  <c r="E215" i="82"/>
  <c r="Z215" i="82" s="1"/>
  <c r="U214" i="82"/>
  <c r="AP214" i="82" s="1"/>
  <c r="Q214" i="82"/>
  <c r="AL214" i="82" s="1"/>
  <c r="M214" i="82"/>
  <c r="AH214" i="82" s="1"/>
  <c r="I214" i="82"/>
  <c r="AD214" i="82" s="1"/>
  <c r="E214" i="82"/>
  <c r="Z214" i="82" s="1"/>
  <c r="U213" i="82"/>
  <c r="AP213" i="82" s="1"/>
  <c r="Q213" i="82"/>
  <c r="AL213" i="82" s="1"/>
  <c r="M213" i="82"/>
  <c r="AH213" i="82" s="1"/>
  <c r="I213" i="82"/>
  <c r="AD213" i="82" s="1"/>
  <c r="E213" i="82"/>
  <c r="Z213" i="82" s="1"/>
  <c r="U212" i="82"/>
  <c r="AP212" i="82" s="1"/>
  <c r="Q212" i="82"/>
  <c r="AL212" i="82" s="1"/>
  <c r="M212" i="82"/>
  <c r="AH212" i="82" s="1"/>
  <c r="I212" i="82"/>
  <c r="AD212" i="82" s="1"/>
  <c r="E212" i="82"/>
  <c r="Z212" i="82" s="1"/>
  <c r="U211" i="82"/>
  <c r="AP211" i="82" s="1"/>
  <c r="Q211" i="82"/>
  <c r="AL211" i="82" s="1"/>
  <c r="M211" i="82"/>
  <c r="AH211" i="82" s="1"/>
  <c r="I211" i="82"/>
  <c r="AD211" i="82" s="1"/>
  <c r="E211" i="82"/>
  <c r="Z211" i="82" s="1"/>
  <c r="U210" i="82"/>
  <c r="AP210" i="82" s="1"/>
  <c r="Q210" i="82"/>
  <c r="AL210" i="82" s="1"/>
  <c r="M210" i="82"/>
  <c r="AH210" i="82" s="1"/>
  <c r="I210" i="82"/>
  <c r="AD210" i="82" s="1"/>
  <c r="E210" i="82"/>
  <c r="Z210" i="82" s="1"/>
  <c r="U209" i="82"/>
  <c r="AP209" i="82" s="1"/>
  <c r="Q209" i="82"/>
  <c r="AL209" i="82" s="1"/>
  <c r="M209" i="82"/>
  <c r="AH209" i="82" s="1"/>
  <c r="I209" i="82"/>
  <c r="AD209" i="82" s="1"/>
  <c r="E209" i="82"/>
  <c r="Z209" i="82" s="1"/>
  <c r="U208" i="82"/>
  <c r="AP208" i="82" s="1"/>
  <c r="Q208" i="82"/>
  <c r="AL208" i="82" s="1"/>
  <c r="M208" i="82"/>
  <c r="AH208" i="82" s="1"/>
  <c r="I208" i="82"/>
  <c r="AD208" i="82" s="1"/>
  <c r="E208" i="82"/>
  <c r="Z208" i="82" s="1"/>
  <c r="U207" i="82"/>
  <c r="AP207" i="82" s="1"/>
  <c r="Q207" i="82"/>
  <c r="AL207" i="82" s="1"/>
  <c r="M207" i="82"/>
  <c r="AH207" i="82" s="1"/>
  <c r="I207" i="82"/>
  <c r="AD207" i="82" s="1"/>
  <c r="E207" i="82"/>
  <c r="Z207" i="82" s="1"/>
  <c r="U206" i="82"/>
  <c r="AP206" i="82" s="1"/>
  <c r="Q206" i="82"/>
  <c r="AL206" i="82" s="1"/>
  <c r="M206" i="82"/>
  <c r="AH206" i="82" s="1"/>
  <c r="I206" i="82"/>
  <c r="AD206" i="82" s="1"/>
  <c r="E206" i="82"/>
  <c r="Z206" i="82" s="1"/>
  <c r="U205" i="82"/>
  <c r="AP205" i="82" s="1"/>
  <c r="Q205" i="82"/>
  <c r="AL205" i="82" s="1"/>
  <c r="M205" i="82"/>
  <c r="AH205" i="82" s="1"/>
  <c r="I205" i="82"/>
  <c r="AD205" i="82" s="1"/>
  <c r="E205" i="82"/>
  <c r="Z205" i="82" s="1"/>
  <c r="U204" i="82"/>
  <c r="AP204" i="82" s="1"/>
  <c r="Q204" i="82"/>
  <c r="AL204" i="82" s="1"/>
  <c r="M204" i="82"/>
  <c r="AH204" i="82" s="1"/>
  <c r="I204" i="82"/>
  <c r="AD204" i="82" s="1"/>
  <c r="E204" i="82"/>
  <c r="Z204" i="82" s="1"/>
  <c r="U203" i="82"/>
  <c r="AP203" i="82" s="1"/>
  <c r="Q203" i="82"/>
  <c r="AL203" i="82" s="1"/>
  <c r="M203" i="82"/>
  <c r="AH203" i="82" s="1"/>
  <c r="I203" i="82"/>
  <c r="AD203" i="82" s="1"/>
  <c r="E203" i="82"/>
  <c r="Z203" i="82" s="1"/>
  <c r="U202" i="82"/>
  <c r="AP202" i="82" s="1"/>
  <c r="Q202" i="82"/>
  <c r="AL202" i="82" s="1"/>
  <c r="M202" i="82"/>
  <c r="AH202" i="82" s="1"/>
  <c r="I202" i="82"/>
  <c r="AD202" i="82" s="1"/>
  <c r="E202" i="82"/>
  <c r="Z202" i="82" s="1"/>
  <c r="U201" i="82"/>
  <c r="AP201" i="82" s="1"/>
  <c r="Q201" i="82"/>
  <c r="AL201" i="82" s="1"/>
  <c r="M201" i="82"/>
  <c r="AH201" i="82" s="1"/>
  <c r="I201" i="82"/>
  <c r="AD201" i="82" s="1"/>
  <c r="E201" i="82"/>
  <c r="Z201" i="82" s="1"/>
  <c r="U200" i="82"/>
  <c r="AP200" i="82" s="1"/>
  <c r="Q200" i="82"/>
  <c r="AL200" i="82" s="1"/>
  <c r="M200" i="82"/>
  <c r="AH200" i="82" s="1"/>
  <c r="I200" i="82"/>
  <c r="AD200" i="82" s="1"/>
  <c r="E200" i="82"/>
  <c r="Z200" i="82" s="1"/>
  <c r="U199" i="82"/>
  <c r="AP199" i="82" s="1"/>
  <c r="Q199" i="82"/>
  <c r="AL199" i="82" s="1"/>
  <c r="M199" i="82"/>
  <c r="AH199" i="82" s="1"/>
  <c r="I199" i="82"/>
  <c r="AD199" i="82" s="1"/>
  <c r="E199" i="82"/>
  <c r="Z199" i="82" s="1"/>
  <c r="U198" i="82"/>
  <c r="AP198" i="82" s="1"/>
  <c r="Q198" i="82"/>
  <c r="AL198" i="82" s="1"/>
  <c r="M198" i="82"/>
  <c r="AH198" i="82" s="1"/>
  <c r="I198" i="82"/>
  <c r="AD198" i="82" s="1"/>
  <c r="E198" i="82"/>
  <c r="Z198" i="82" s="1"/>
  <c r="X196" i="82"/>
  <c r="T196" i="82"/>
  <c r="P196" i="82"/>
  <c r="L196" i="82"/>
  <c r="H196" i="82"/>
  <c r="AC196" i="82" s="1"/>
  <c r="X195" i="82"/>
  <c r="T195" i="82"/>
  <c r="P195" i="82"/>
  <c r="L195" i="82"/>
  <c r="H195" i="82"/>
  <c r="X194" i="82"/>
  <c r="T194" i="82"/>
  <c r="P194" i="82"/>
  <c r="AK194" i="82" s="1"/>
  <c r="L194" i="82"/>
  <c r="H194" i="82"/>
  <c r="X193" i="82"/>
  <c r="T193" i="82"/>
  <c r="P193" i="82"/>
  <c r="L193" i="82"/>
  <c r="H193" i="82"/>
  <c r="X192" i="82"/>
  <c r="AS192" i="82" s="1"/>
  <c r="T192" i="82"/>
  <c r="P192" i="82"/>
  <c r="L192" i="82"/>
  <c r="H192" i="82"/>
  <c r="AC192" i="82" s="1"/>
  <c r="X191" i="82"/>
  <c r="T191" i="82"/>
  <c r="P191" i="82"/>
  <c r="L191" i="82"/>
  <c r="AG191" i="82" s="1"/>
  <c r="H191" i="82"/>
  <c r="X190" i="82"/>
  <c r="T190" i="82"/>
  <c r="P190" i="82"/>
  <c r="L190" i="82"/>
  <c r="H190" i="82"/>
  <c r="X189" i="82"/>
  <c r="T189" i="82"/>
  <c r="AO189" i="82" s="1"/>
  <c r="P189" i="82"/>
  <c r="L189" i="82"/>
  <c r="H189" i="82"/>
  <c r="X188" i="82"/>
  <c r="T188" i="82"/>
  <c r="P188" i="82"/>
  <c r="L188" i="82"/>
  <c r="H188" i="82"/>
  <c r="AC188" i="82" s="1"/>
  <c r="X187" i="82"/>
  <c r="T187" i="82"/>
  <c r="P187" i="82"/>
  <c r="L187" i="82"/>
  <c r="AG187" i="82" s="1"/>
  <c r="H187" i="82"/>
  <c r="X186" i="82"/>
  <c r="T186" i="82"/>
  <c r="P186" i="82"/>
  <c r="AK186" i="82" s="1"/>
  <c r="L186" i="82"/>
  <c r="H186" i="82"/>
  <c r="X185" i="82"/>
  <c r="T185" i="82"/>
  <c r="AO185" i="82" s="1"/>
  <c r="P185" i="82"/>
  <c r="L185" i="82"/>
  <c r="H185" i="82"/>
  <c r="X184" i="82"/>
  <c r="AS184" i="82" s="1"/>
  <c r="T184" i="82"/>
  <c r="P184" i="82"/>
  <c r="L184" i="82"/>
  <c r="H184" i="82"/>
  <c r="X183" i="82"/>
  <c r="T183" i="82"/>
  <c r="P183" i="82"/>
  <c r="L183" i="82"/>
  <c r="AG183" i="82" s="1"/>
  <c r="H183" i="82"/>
  <c r="X182" i="82"/>
  <c r="T182" i="82"/>
  <c r="P182" i="82"/>
  <c r="L182" i="82"/>
  <c r="H182" i="82"/>
  <c r="X181" i="82"/>
  <c r="T181" i="82"/>
  <c r="AO181" i="82" s="1"/>
  <c r="P181" i="82"/>
  <c r="L181" i="82"/>
  <c r="H181" i="82"/>
  <c r="X180" i="82"/>
  <c r="AS180" i="82" s="1"/>
  <c r="T180" i="82"/>
  <c r="P180" i="82"/>
  <c r="L180" i="82"/>
  <c r="H180" i="82"/>
  <c r="AC180" i="82" s="1"/>
  <c r="X179" i="82"/>
  <c r="T179" i="82"/>
  <c r="P179" i="82"/>
  <c r="L179" i="82"/>
  <c r="AG179" i="82" s="1"/>
  <c r="H179" i="82"/>
  <c r="X178" i="82"/>
  <c r="T178" i="82"/>
  <c r="P178" i="82"/>
  <c r="L178" i="82"/>
  <c r="H178" i="82"/>
  <c r="X177" i="82"/>
  <c r="T177" i="82"/>
  <c r="AO177" i="82" s="1"/>
  <c r="P177" i="82"/>
  <c r="L177" i="82"/>
  <c r="H177" i="82"/>
  <c r="X176" i="82"/>
  <c r="T176" i="82"/>
  <c r="P176" i="82"/>
  <c r="L176" i="82"/>
  <c r="H176" i="82"/>
  <c r="AC176" i="82" s="1"/>
  <c r="W175" i="82"/>
  <c r="AR175" i="82" s="1"/>
  <c r="V175" i="82"/>
  <c r="AQ175" i="82" s="1"/>
  <c r="U175" i="82"/>
  <c r="AP175" i="82" s="1"/>
  <c r="S175" i="82"/>
  <c r="AN175" i="82" s="1"/>
  <c r="R175" i="82"/>
  <c r="AM175" i="82" s="1"/>
  <c r="Q175" i="82"/>
  <c r="AL175" i="82" s="1"/>
  <c r="O175" i="82"/>
  <c r="AJ175" i="82" s="1"/>
  <c r="N175" i="82"/>
  <c r="AI175" i="82" s="1"/>
  <c r="M175" i="82"/>
  <c r="AH175" i="82" s="1"/>
  <c r="K175" i="82"/>
  <c r="AF175" i="82" s="1"/>
  <c r="J175" i="82"/>
  <c r="AE175" i="82" s="1"/>
  <c r="I175" i="82"/>
  <c r="AD175" i="82" s="1"/>
  <c r="G175" i="82"/>
  <c r="AB175" i="82" s="1"/>
  <c r="F175" i="82"/>
  <c r="AA175" i="82" s="1"/>
  <c r="E175" i="82"/>
  <c r="Z175" i="82" s="1"/>
  <c r="X174" i="82"/>
  <c r="T174" i="82"/>
  <c r="AO174" i="82" s="1"/>
  <c r="P174" i="82"/>
  <c r="L174" i="82"/>
  <c r="AG174" i="82" s="1"/>
  <c r="H174" i="82"/>
  <c r="X173" i="82"/>
  <c r="AS173" i="82" s="1"/>
  <c r="T173" i="82"/>
  <c r="P173" i="82"/>
  <c r="AK173" i="82" s="1"/>
  <c r="L173" i="82"/>
  <c r="H173" i="82"/>
  <c r="X172" i="82"/>
  <c r="T172" i="82"/>
  <c r="AO172" i="82" s="1"/>
  <c r="P172" i="82"/>
  <c r="L172" i="82"/>
  <c r="AG172" i="82" s="1"/>
  <c r="H172" i="82"/>
  <c r="X171" i="82"/>
  <c r="AS171" i="82" s="1"/>
  <c r="T171" i="82"/>
  <c r="P171" i="82"/>
  <c r="AK171" i="82" s="1"/>
  <c r="L171" i="82"/>
  <c r="H171" i="82"/>
  <c r="AC171" i="82" s="1"/>
  <c r="X170" i="82"/>
  <c r="T170" i="82"/>
  <c r="AO170" i="82" s="1"/>
  <c r="P170" i="82"/>
  <c r="L170" i="82"/>
  <c r="AG170" i="82" s="1"/>
  <c r="H170" i="82"/>
  <c r="X169" i="82"/>
  <c r="AS169" i="82" s="1"/>
  <c r="T169" i="82"/>
  <c r="P169" i="82"/>
  <c r="AK169" i="82" s="1"/>
  <c r="L169" i="82"/>
  <c r="H169" i="82"/>
  <c r="X168" i="82"/>
  <c r="T168" i="82"/>
  <c r="AO168" i="82" s="1"/>
  <c r="P168" i="82"/>
  <c r="L168" i="82"/>
  <c r="AG168" i="82" s="1"/>
  <c r="H168" i="82"/>
  <c r="X167" i="82"/>
  <c r="AS167" i="82" s="1"/>
  <c r="T167" i="82"/>
  <c r="P167" i="82"/>
  <c r="AK167" i="82" s="1"/>
  <c r="L167" i="82"/>
  <c r="H167" i="82"/>
  <c r="AC167" i="82" s="1"/>
  <c r="X166" i="82"/>
  <c r="T166" i="82"/>
  <c r="AO166" i="82" s="1"/>
  <c r="P166" i="82"/>
  <c r="L166" i="82"/>
  <c r="AG166" i="82" s="1"/>
  <c r="H166" i="82"/>
  <c r="X165" i="82"/>
  <c r="AS165" i="82" s="1"/>
  <c r="T165" i="82"/>
  <c r="P165" i="82"/>
  <c r="AK165" i="82" s="1"/>
  <c r="L165" i="82"/>
  <c r="H165" i="82"/>
  <c r="X164" i="82"/>
  <c r="T164" i="82"/>
  <c r="AO164" i="82" s="1"/>
  <c r="P164" i="82"/>
  <c r="L164" i="82"/>
  <c r="AG164" i="82" s="1"/>
  <c r="H164" i="82"/>
  <c r="X163" i="82"/>
  <c r="AS163" i="82" s="1"/>
  <c r="T163" i="82"/>
  <c r="P163" i="82"/>
  <c r="AK163" i="82" s="1"/>
  <c r="L163" i="82"/>
  <c r="H163" i="82"/>
  <c r="AC163" i="82" s="1"/>
  <c r="X162" i="82"/>
  <c r="T162" i="82"/>
  <c r="AO162" i="82" s="1"/>
  <c r="P162" i="82"/>
  <c r="L162" i="82"/>
  <c r="AG162" i="82" s="1"/>
  <c r="H162" i="82"/>
  <c r="X161" i="82"/>
  <c r="AS161" i="82" s="1"/>
  <c r="T161" i="82"/>
  <c r="P161" i="82"/>
  <c r="AK161" i="82" s="1"/>
  <c r="L161" i="82"/>
  <c r="H161" i="82"/>
  <c r="X160" i="82"/>
  <c r="T160" i="82"/>
  <c r="AO160" i="82" s="1"/>
  <c r="P160" i="82"/>
  <c r="L160" i="82"/>
  <c r="AG160" i="82" s="1"/>
  <c r="H160" i="82"/>
  <c r="X159" i="82"/>
  <c r="AS159" i="82" s="1"/>
  <c r="T159" i="82"/>
  <c r="P159" i="82"/>
  <c r="AK159" i="82" s="1"/>
  <c r="L159" i="82"/>
  <c r="H159" i="82"/>
  <c r="AC159" i="82" s="1"/>
  <c r="X158" i="82"/>
  <c r="T158" i="82"/>
  <c r="AO158" i="82" s="1"/>
  <c r="P158" i="82"/>
  <c r="L158" i="82"/>
  <c r="AG158" i="82" s="1"/>
  <c r="H158" i="82"/>
  <c r="X157" i="82"/>
  <c r="AS157" i="82" s="1"/>
  <c r="T157" i="82"/>
  <c r="P157" i="82"/>
  <c r="AK157" i="82" s="1"/>
  <c r="L157" i="82"/>
  <c r="H157" i="82"/>
  <c r="X156" i="82"/>
  <c r="T156" i="82"/>
  <c r="AO156" i="82" s="1"/>
  <c r="P156" i="82"/>
  <c r="L156" i="82"/>
  <c r="AG156" i="82" s="1"/>
  <c r="H156" i="82"/>
  <c r="X155" i="82"/>
  <c r="AS155" i="82" s="1"/>
  <c r="T155" i="82"/>
  <c r="AO155" i="82" s="1"/>
  <c r="P155" i="82"/>
  <c r="AK155" i="82" s="1"/>
  <c r="L155" i="82"/>
  <c r="H155" i="82"/>
  <c r="AC155" i="82" s="1"/>
  <c r="X154" i="82"/>
  <c r="AS154" i="82" s="1"/>
  <c r="T154" i="82"/>
  <c r="AO154" i="82" s="1"/>
  <c r="P154" i="82"/>
  <c r="L154" i="82"/>
  <c r="H154" i="82"/>
  <c r="AC154" i="82" s="1"/>
  <c r="W153" i="82"/>
  <c r="AR153" i="82" s="1"/>
  <c r="V153" i="82"/>
  <c r="AQ153" i="82" s="1"/>
  <c r="U153" i="82"/>
  <c r="AP153" i="82" s="1"/>
  <c r="S153" i="82"/>
  <c r="AN153" i="82" s="1"/>
  <c r="R153" i="82"/>
  <c r="AM153" i="82" s="1"/>
  <c r="Q153" i="82"/>
  <c r="AL153" i="82" s="1"/>
  <c r="O153" i="82"/>
  <c r="AJ153" i="82" s="1"/>
  <c r="N153" i="82"/>
  <c r="AI153" i="82" s="1"/>
  <c r="M153" i="82"/>
  <c r="AH153" i="82" s="1"/>
  <c r="K153" i="82"/>
  <c r="AF153" i="82" s="1"/>
  <c r="J153" i="82"/>
  <c r="AE153" i="82" s="1"/>
  <c r="I153" i="82"/>
  <c r="AD153" i="82" s="1"/>
  <c r="G153" i="82"/>
  <c r="AB153" i="82" s="1"/>
  <c r="F153" i="82"/>
  <c r="AA153" i="82" s="1"/>
  <c r="E153" i="82"/>
  <c r="Z153" i="82" s="1"/>
  <c r="V151" i="82"/>
  <c r="AQ151" i="82" s="1"/>
  <c r="R151" i="82"/>
  <c r="AM151" i="82" s="1"/>
  <c r="N151" i="82"/>
  <c r="AI151" i="82" s="1"/>
  <c r="J151" i="82"/>
  <c r="AE151" i="82" s="1"/>
  <c r="U150" i="82"/>
  <c r="AP150" i="82" s="1"/>
  <c r="Q150" i="82"/>
  <c r="AL150" i="82" s="1"/>
  <c r="M150" i="82"/>
  <c r="AH150" i="82" s="1"/>
  <c r="I150" i="82"/>
  <c r="AD150" i="82" s="1"/>
  <c r="E150" i="82"/>
  <c r="Z150" i="82" s="1"/>
  <c r="U149" i="82"/>
  <c r="AP149" i="82" s="1"/>
  <c r="Q149" i="82"/>
  <c r="AL149" i="82" s="1"/>
  <c r="M149" i="82"/>
  <c r="AH149" i="82" s="1"/>
  <c r="I149" i="82"/>
  <c r="AD149" i="82" s="1"/>
  <c r="E149" i="82"/>
  <c r="Z149" i="82" s="1"/>
  <c r="U148" i="82"/>
  <c r="AP148" i="82" s="1"/>
  <c r="Q148" i="82"/>
  <c r="AL148" i="82" s="1"/>
  <c r="M148" i="82"/>
  <c r="AH148" i="82" s="1"/>
  <c r="I148" i="82"/>
  <c r="AD148" i="82" s="1"/>
  <c r="E148" i="82"/>
  <c r="Z148" i="82" s="1"/>
  <c r="U147" i="82"/>
  <c r="AP147" i="82" s="1"/>
  <c r="Q147" i="82"/>
  <c r="AL147" i="82" s="1"/>
  <c r="M147" i="82"/>
  <c r="AH147" i="82" s="1"/>
  <c r="I147" i="82"/>
  <c r="AD147" i="82" s="1"/>
  <c r="E147" i="82"/>
  <c r="Z147" i="82" s="1"/>
  <c r="U146" i="82"/>
  <c r="AP146" i="82" s="1"/>
  <c r="Q146" i="82"/>
  <c r="AL146" i="82" s="1"/>
  <c r="M146" i="82"/>
  <c r="AH146" i="82" s="1"/>
  <c r="I146" i="82"/>
  <c r="AD146" i="82" s="1"/>
  <c r="E146" i="82"/>
  <c r="Z146" i="82" s="1"/>
  <c r="U145" i="82"/>
  <c r="AP145" i="82" s="1"/>
  <c r="Q145" i="82"/>
  <c r="AL145" i="82" s="1"/>
  <c r="M145" i="82"/>
  <c r="AH145" i="82" s="1"/>
  <c r="I145" i="82"/>
  <c r="AD145" i="82" s="1"/>
  <c r="E145" i="82"/>
  <c r="Z145" i="82" s="1"/>
  <c r="U144" i="82"/>
  <c r="AP144" i="82" s="1"/>
  <c r="Q144" i="82"/>
  <c r="AL144" i="82" s="1"/>
  <c r="M144" i="82"/>
  <c r="AH144" i="82" s="1"/>
  <c r="I144" i="82"/>
  <c r="AD144" i="82" s="1"/>
  <c r="E144" i="82"/>
  <c r="Z144" i="82" s="1"/>
  <c r="U143" i="82"/>
  <c r="AP143" i="82" s="1"/>
  <c r="Q143" i="82"/>
  <c r="AL143" i="82" s="1"/>
  <c r="M143" i="82"/>
  <c r="AH143" i="82" s="1"/>
  <c r="I143" i="82"/>
  <c r="AD143" i="82" s="1"/>
  <c r="E143" i="82"/>
  <c r="Z143" i="82" s="1"/>
  <c r="U142" i="82"/>
  <c r="AP142" i="82" s="1"/>
  <c r="Q142" i="82"/>
  <c r="AL142" i="82" s="1"/>
  <c r="M142" i="82"/>
  <c r="AH142" i="82" s="1"/>
  <c r="I142" i="82"/>
  <c r="AD142" i="82" s="1"/>
  <c r="E142" i="82"/>
  <c r="Z142" i="82" s="1"/>
  <c r="U141" i="82"/>
  <c r="AP141" i="82" s="1"/>
  <c r="Q141" i="82"/>
  <c r="AL141" i="82" s="1"/>
  <c r="M141" i="82"/>
  <c r="AH141" i="82" s="1"/>
  <c r="I141" i="82"/>
  <c r="AD141" i="82" s="1"/>
  <c r="E141" i="82"/>
  <c r="Z141" i="82" s="1"/>
  <c r="U140" i="82"/>
  <c r="AP140" i="82" s="1"/>
  <c r="Q140" i="82"/>
  <c r="AL140" i="82" s="1"/>
  <c r="M140" i="82"/>
  <c r="AH140" i="82" s="1"/>
  <c r="I140" i="82"/>
  <c r="AD140" i="82" s="1"/>
  <c r="E140" i="82"/>
  <c r="Z140" i="82" s="1"/>
  <c r="U139" i="82"/>
  <c r="AP139" i="82" s="1"/>
  <c r="Q139" i="82"/>
  <c r="AL139" i="82" s="1"/>
  <c r="M139" i="82"/>
  <c r="AH139" i="82" s="1"/>
  <c r="I139" i="82"/>
  <c r="AD139" i="82" s="1"/>
  <c r="E139" i="82"/>
  <c r="Z139" i="82" s="1"/>
  <c r="U138" i="82"/>
  <c r="AP138" i="82" s="1"/>
  <c r="Q138" i="82"/>
  <c r="AL138" i="82" s="1"/>
  <c r="M138" i="82"/>
  <c r="AH138" i="82" s="1"/>
  <c r="I138" i="82"/>
  <c r="AD138" i="82" s="1"/>
  <c r="E138" i="82"/>
  <c r="Z138" i="82" s="1"/>
  <c r="U137" i="82"/>
  <c r="AP137" i="82" s="1"/>
  <c r="Q137" i="82"/>
  <c r="AL137" i="82" s="1"/>
  <c r="M137" i="82"/>
  <c r="AH137" i="82" s="1"/>
  <c r="I137" i="82"/>
  <c r="AD137" i="82" s="1"/>
  <c r="E137" i="82"/>
  <c r="Z137" i="82" s="1"/>
  <c r="U136" i="82"/>
  <c r="AP136" i="82" s="1"/>
  <c r="Q136" i="82"/>
  <c r="AL136" i="82" s="1"/>
  <c r="M136" i="82"/>
  <c r="AH136" i="82" s="1"/>
  <c r="I136" i="82"/>
  <c r="AD136" i="82" s="1"/>
  <c r="E136" i="82"/>
  <c r="Z136" i="82" s="1"/>
  <c r="U135" i="82"/>
  <c r="AP135" i="82" s="1"/>
  <c r="Q135" i="82"/>
  <c r="AL135" i="82" s="1"/>
  <c r="M135" i="82"/>
  <c r="AH135" i="82" s="1"/>
  <c r="I135" i="82"/>
  <c r="AD135" i="82" s="1"/>
  <c r="E135" i="82"/>
  <c r="Z135" i="82" s="1"/>
  <c r="U134" i="82"/>
  <c r="AP134" i="82" s="1"/>
  <c r="Q134" i="82"/>
  <c r="AL134" i="82" s="1"/>
  <c r="M134" i="82"/>
  <c r="AH134" i="82" s="1"/>
  <c r="I134" i="82"/>
  <c r="AD134" i="82" s="1"/>
  <c r="E134" i="82"/>
  <c r="Z134" i="82" s="1"/>
  <c r="U133" i="82"/>
  <c r="AP133" i="82" s="1"/>
  <c r="Q133" i="82"/>
  <c r="AL133" i="82" s="1"/>
  <c r="M133" i="82"/>
  <c r="AH133" i="82" s="1"/>
  <c r="I133" i="82"/>
  <c r="AD133" i="82" s="1"/>
  <c r="E133" i="82"/>
  <c r="Z133" i="82" s="1"/>
  <c r="U132" i="82"/>
  <c r="AP132" i="82" s="1"/>
  <c r="Q132" i="82"/>
  <c r="AL132" i="82" s="1"/>
  <c r="M132" i="82"/>
  <c r="AH132" i="82" s="1"/>
  <c r="I132" i="82"/>
  <c r="AD132" i="82" s="1"/>
  <c r="E132" i="82"/>
  <c r="Z132" i="82" s="1"/>
  <c r="W131" i="82"/>
  <c r="AR131" i="82" s="1"/>
  <c r="V131" i="82"/>
  <c r="AQ131" i="82" s="1"/>
  <c r="S131" i="82"/>
  <c r="AN131" i="82" s="1"/>
  <c r="R131" i="82"/>
  <c r="AM131" i="82" s="1"/>
  <c r="O131" i="82"/>
  <c r="AJ131" i="82" s="1"/>
  <c r="N131" i="82"/>
  <c r="AI131" i="82" s="1"/>
  <c r="K131" i="82"/>
  <c r="AF131" i="82" s="1"/>
  <c r="J131" i="82"/>
  <c r="AE131" i="82" s="1"/>
  <c r="G131" i="82"/>
  <c r="AB131" i="82" s="1"/>
  <c r="F131" i="82"/>
  <c r="AA131" i="82" s="1"/>
  <c r="X130" i="82"/>
  <c r="T130" i="82"/>
  <c r="P130" i="82"/>
  <c r="L130" i="82"/>
  <c r="H130" i="82"/>
  <c r="X129" i="82"/>
  <c r="T129" i="82"/>
  <c r="P129" i="82"/>
  <c r="L129" i="82"/>
  <c r="H129" i="82"/>
  <c r="X128" i="82"/>
  <c r="T128" i="82"/>
  <c r="P128" i="82"/>
  <c r="L128" i="82"/>
  <c r="H128" i="82"/>
  <c r="X127" i="82"/>
  <c r="T127" i="82"/>
  <c r="P127" i="82"/>
  <c r="L127" i="82"/>
  <c r="H127" i="82"/>
  <c r="X126" i="82"/>
  <c r="T126" i="82"/>
  <c r="P126" i="82"/>
  <c r="L126" i="82"/>
  <c r="H126" i="82"/>
  <c r="X125" i="82"/>
  <c r="T125" i="82"/>
  <c r="P125" i="82"/>
  <c r="L125" i="82"/>
  <c r="H125" i="82"/>
  <c r="X124" i="82"/>
  <c r="T124" i="82"/>
  <c r="P124" i="82"/>
  <c r="L124" i="82"/>
  <c r="H124" i="82"/>
  <c r="X123" i="82"/>
  <c r="T123" i="82"/>
  <c r="P123" i="82"/>
  <c r="L123" i="82"/>
  <c r="H123" i="82"/>
  <c r="X122" i="82"/>
  <c r="T122" i="82"/>
  <c r="P122" i="82"/>
  <c r="L122" i="82"/>
  <c r="H122" i="82"/>
  <c r="X121" i="82"/>
  <c r="T121" i="82"/>
  <c r="P121" i="82"/>
  <c r="L121" i="82"/>
  <c r="H121" i="82"/>
  <c r="X120" i="82"/>
  <c r="T120" i="82"/>
  <c r="P120" i="82"/>
  <c r="H120" i="82"/>
  <c r="X119" i="82"/>
  <c r="T119" i="82"/>
  <c r="P119" i="82"/>
  <c r="H119" i="82"/>
  <c r="X118" i="82"/>
  <c r="T118" i="82"/>
  <c r="P118" i="82"/>
  <c r="L118" i="82"/>
  <c r="H118" i="82"/>
  <c r="X117" i="82"/>
  <c r="T117" i="82"/>
  <c r="P117" i="82"/>
  <c r="L117" i="82"/>
  <c r="H117" i="82"/>
  <c r="X116" i="82"/>
  <c r="T116" i="82"/>
  <c r="P116" i="82"/>
  <c r="L116" i="82"/>
  <c r="H116" i="82"/>
  <c r="X115" i="82"/>
  <c r="T115" i="82"/>
  <c r="P115" i="82"/>
  <c r="L115" i="82"/>
  <c r="H115" i="82"/>
  <c r="X114" i="82"/>
  <c r="T114" i="82"/>
  <c r="L114" i="82"/>
  <c r="X113" i="82"/>
  <c r="T113" i="82"/>
  <c r="P113" i="82"/>
  <c r="L113" i="82"/>
  <c r="H113" i="82"/>
  <c r="X112" i="82"/>
  <c r="T112" i="82"/>
  <c r="P112" i="82"/>
  <c r="L112" i="82"/>
  <c r="H112" i="82"/>
  <c r="W111" i="82"/>
  <c r="AR111" i="82" s="1"/>
  <c r="V111" i="82"/>
  <c r="AQ111" i="82" s="1"/>
  <c r="U111" i="82"/>
  <c r="AP111" i="82" s="1"/>
  <c r="S111" i="82"/>
  <c r="AN111" i="82" s="1"/>
  <c r="R111" i="82"/>
  <c r="AM111" i="82" s="1"/>
  <c r="Q111" i="82"/>
  <c r="AL111" i="82" s="1"/>
  <c r="O111" i="82"/>
  <c r="AJ111" i="82" s="1"/>
  <c r="N111" i="82"/>
  <c r="AI111" i="82" s="1"/>
  <c r="M111" i="82"/>
  <c r="AH111" i="82" s="1"/>
  <c r="K111" i="82"/>
  <c r="AF111" i="82" s="1"/>
  <c r="J111" i="82"/>
  <c r="AE111" i="82" s="1"/>
  <c r="I111" i="82"/>
  <c r="AD111" i="82" s="1"/>
  <c r="G111" i="82"/>
  <c r="AB111" i="82" s="1"/>
  <c r="F111" i="82"/>
  <c r="AA111" i="82" s="1"/>
  <c r="E111" i="82"/>
  <c r="Z111" i="82" s="1"/>
  <c r="X110" i="82"/>
  <c r="AS110" i="82" s="1"/>
  <c r="T110" i="82"/>
  <c r="AO110" i="82" s="1"/>
  <c r="P110" i="82"/>
  <c r="AK110" i="82" s="1"/>
  <c r="L110" i="82"/>
  <c r="AG110" i="82" s="1"/>
  <c r="H110" i="82"/>
  <c r="AC110" i="82" s="1"/>
  <c r="X109" i="82"/>
  <c r="AS109" i="82" s="1"/>
  <c r="T109" i="82"/>
  <c r="AO109" i="82" s="1"/>
  <c r="P109" i="82"/>
  <c r="AK109" i="82" s="1"/>
  <c r="L109" i="82"/>
  <c r="AG109" i="82" s="1"/>
  <c r="H109" i="82"/>
  <c r="AC109" i="82" s="1"/>
  <c r="X108" i="82"/>
  <c r="AS108" i="82" s="1"/>
  <c r="T108" i="82"/>
  <c r="AO108" i="82" s="1"/>
  <c r="P108" i="82"/>
  <c r="AK108" i="82" s="1"/>
  <c r="L108" i="82"/>
  <c r="AG108" i="82" s="1"/>
  <c r="H108" i="82"/>
  <c r="AC108" i="82" s="1"/>
  <c r="X107" i="82"/>
  <c r="AS107" i="82" s="1"/>
  <c r="T107" i="82"/>
  <c r="AO107" i="82" s="1"/>
  <c r="P107" i="82"/>
  <c r="AK107" i="82" s="1"/>
  <c r="L107" i="82"/>
  <c r="AG107" i="82" s="1"/>
  <c r="H107" i="82"/>
  <c r="AC107" i="82" s="1"/>
  <c r="X106" i="82"/>
  <c r="AS106" i="82" s="1"/>
  <c r="T106" i="82"/>
  <c r="AO106" i="82" s="1"/>
  <c r="P106" i="82"/>
  <c r="AK106" i="82" s="1"/>
  <c r="L106" i="82"/>
  <c r="AG106" i="82" s="1"/>
  <c r="H106" i="82"/>
  <c r="AC106" i="82" s="1"/>
  <c r="X105" i="82"/>
  <c r="AS105" i="82" s="1"/>
  <c r="T105" i="82"/>
  <c r="AO105" i="82" s="1"/>
  <c r="P105" i="82"/>
  <c r="AK105" i="82" s="1"/>
  <c r="L105" i="82"/>
  <c r="AG105" i="82" s="1"/>
  <c r="H105" i="82"/>
  <c r="AC105" i="82" s="1"/>
  <c r="X104" i="82"/>
  <c r="AS104" i="82" s="1"/>
  <c r="T104" i="82"/>
  <c r="AO104" i="82" s="1"/>
  <c r="P104" i="82"/>
  <c r="AK104" i="82" s="1"/>
  <c r="L104" i="82"/>
  <c r="AG104" i="82" s="1"/>
  <c r="H104" i="82"/>
  <c r="AC104" i="82" s="1"/>
  <c r="X103" i="82"/>
  <c r="AS103" i="82" s="1"/>
  <c r="T103" i="82"/>
  <c r="AO103" i="82" s="1"/>
  <c r="P103" i="82"/>
  <c r="AK103" i="82" s="1"/>
  <c r="L103" i="82"/>
  <c r="AG103" i="82" s="1"/>
  <c r="H103" i="82"/>
  <c r="AC103" i="82" s="1"/>
  <c r="X102" i="82"/>
  <c r="AS102" i="82" s="1"/>
  <c r="T102" i="82"/>
  <c r="AO102" i="82" s="1"/>
  <c r="P102" i="82"/>
  <c r="AK102" i="82" s="1"/>
  <c r="L102" i="82"/>
  <c r="AG102" i="82" s="1"/>
  <c r="H102" i="82"/>
  <c r="AC102" i="82" s="1"/>
  <c r="X101" i="82"/>
  <c r="AS101" i="82" s="1"/>
  <c r="T101" i="82"/>
  <c r="AO101" i="82" s="1"/>
  <c r="P101" i="82"/>
  <c r="AK101" i="82" s="1"/>
  <c r="L101" i="82"/>
  <c r="AG101" i="82" s="1"/>
  <c r="H101" i="82"/>
  <c r="AC101" i="82" s="1"/>
  <c r="X100" i="82"/>
  <c r="AS100" i="82" s="1"/>
  <c r="T100" i="82"/>
  <c r="AO100" i="82" s="1"/>
  <c r="P100" i="82"/>
  <c r="AK100" i="82" s="1"/>
  <c r="L100" i="82"/>
  <c r="AG100" i="82" s="1"/>
  <c r="H100" i="82"/>
  <c r="AC100" i="82" s="1"/>
  <c r="X99" i="82"/>
  <c r="AS99" i="82" s="1"/>
  <c r="T99" i="82"/>
  <c r="AO99" i="82" s="1"/>
  <c r="P99" i="82"/>
  <c r="AK99" i="82" s="1"/>
  <c r="L99" i="82"/>
  <c r="AG99" i="82" s="1"/>
  <c r="H99" i="82"/>
  <c r="AC99" i="82" s="1"/>
  <c r="X98" i="82"/>
  <c r="AS98" i="82" s="1"/>
  <c r="T98" i="82"/>
  <c r="AO98" i="82" s="1"/>
  <c r="P98" i="82"/>
  <c r="AK98" i="82" s="1"/>
  <c r="L98" i="82"/>
  <c r="AG98" i="82" s="1"/>
  <c r="H98" i="82"/>
  <c r="AC98" i="82" s="1"/>
  <c r="X97" i="82"/>
  <c r="AS97" i="82" s="1"/>
  <c r="T97" i="82"/>
  <c r="AO97" i="82" s="1"/>
  <c r="P97" i="82"/>
  <c r="AK97" i="82" s="1"/>
  <c r="L97" i="82"/>
  <c r="AG97" i="82" s="1"/>
  <c r="H97" i="82"/>
  <c r="AC97" i="82" s="1"/>
  <c r="X96" i="82"/>
  <c r="AS96" i="82" s="1"/>
  <c r="T96" i="82"/>
  <c r="AO96" i="82" s="1"/>
  <c r="P96" i="82"/>
  <c r="AK96" i="82" s="1"/>
  <c r="L96" i="82"/>
  <c r="AG96" i="82" s="1"/>
  <c r="H96" i="82"/>
  <c r="AC96" i="82" s="1"/>
  <c r="X95" i="82"/>
  <c r="AS95" i="82" s="1"/>
  <c r="T95" i="82"/>
  <c r="AO95" i="82" s="1"/>
  <c r="P95" i="82"/>
  <c r="AK95" i="82" s="1"/>
  <c r="L95" i="82"/>
  <c r="AG95" i="82" s="1"/>
  <c r="H95" i="82"/>
  <c r="AC95" i="82" s="1"/>
  <c r="X94" i="82"/>
  <c r="AS94" i="82" s="1"/>
  <c r="T94" i="82"/>
  <c r="AO94" i="82" s="1"/>
  <c r="P94" i="82"/>
  <c r="AK94" i="82" s="1"/>
  <c r="L94" i="82"/>
  <c r="AG94" i="82" s="1"/>
  <c r="H94" i="82"/>
  <c r="AC94" i="82" s="1"/>
  <c r="X93" i="82"/>
  <c r="AS93" i="82" s="1"/>
  <c r="T93" i="82"/>
  <c r="AO93" i="82" s="1"/>
  <c r="P93" i="82"/>
  <c r="AK93" i="82" s="1"/>
  <c r="L93" i="82"/>
  <c r="AG93" i="82" s="1"/>
  <c r="H93" i="82"/>
  <c r="AC93" i="82" s="1"/>
  <c r="X92" i="82"/>
  <c r="AS92" i="82" s="1"/>
  <c r="T92" i="82"/>
  <c r="AO92" i="82" s="1"/>
  <c r="P92" i="82"/>
  <c r="AK92" i="82" s="1"/>
  <c r="L92" i="82"/>
  <c r="AG92" i="82" s="1"/>
  <c r="H92" i="82"/>
  <c r="AC92" i="82" s="1"/>
  <c r="W91" i="82"/>
  <c r="AR91" i="82" s="1"/>
  <c r="V91" i="82"/>
  <c r="AQ91" i="82" s="1"/>
  <c r="U91" i="82"/>
  <c r="AP91" i="82" s="1"/>
  <c r="S91" i="82"/>
  <c r="AN91" i="82" s="1"/>
  <c r="R91" i="82"/>
  <c r="AM91" i="82" s="1"/>
  <c r="Q91" i="82"/>
  <c r="AL91" i="82" s="1"/>
  <c r="O91" i="82"/>
  <c r="AJ91" i="82" s="1"/>
  <c r="N91" i="82"/>
  <c r="AI91" i="82" s="1"/>
  <c r="M91" i="82"/>
  <c r="AH91" i="82" s="1"/>
  <c r="K91" i="82"/>
  <c r="AF91" i="82" s="1"/>
  <c r="J91" i="82"/>
  <c r="AE91" i="82" s="1"/>
  <c r="I91" i="82"/>
  <c r="AD91" i="82" s="1"/>
  <c r="G91" i="82"/>
  <c r="AB91" i="82" s="1"/>
  <c r="F91" i="82"/>
  <c r="AA91" i="82" s="1"/>
  <c r="E91" i="82"/>
  <c r="Z91" i="82" s="1"/>
  <c r="U89" i="82"/>
  <c r="AP89" i="82" s="1"/>
  <c r="Q89" i="82"/>
  <c r="AL89" i="82" s="1"/>
  <c r="M89" i="82"/>
  <c r="AH89" i="82" s="1"/>
  <c r="I89" i="82"/>
  <c r="AD89" i="82" s="1"/>
  <c r="E89" i="82"/>
  <c r="Z89" i="82" s="1"/>
  <c r="U88" i="82"/>
  <c r="AP88" i="82" s="1"/>
  <c r="Q88" i="82"/>
  <c r="AL88" i="82" s="1"/>
  <c r="M88" i="82"/>
  <c r="AH88" i="82" s="1"/>
  <c r="I88" i="82"/>
  <c r="AD88" i="82" s="1"/>
  <c r="E88" i="82"/>
  <c r="Z88" i="82" s="1"/>
  <c r="U87" i="82"/>
  <c r="AP87" i="82" s="1"/>
  <c r="Q87" i="82"/>
  <c r="AL87" i="82" s="1"/>
  <c r="M87" i="82"/>
  <c r="AH87" i="82" s="1"/>
  <c r="I87" i="82"/>
  <c r="AD87" i="82" s="1"/>
  <c r="E87" i="82"/>
  <c r="Z87" i="82" s="1"/>
  <c r="U86" i="82"/>
  <c r="AP86" i="82" s="1"/>
  <c r="Q86" i="82"/>
  <c r="AL86" i="82" s="1"/>
  <c r="M86" i="82"/>
  <c r="AH86" i="82" s="1"/>
  <c r="I86" i="82"/>
  <c r="AD86" i="82" s="1"/>
  <c r="E86" i="82"/>
  <c r="Z86" i="82" s="1"/>
  <c r="U85" i="82"/>
  <c r="AP85" i="82" s="1"/>
  <c r="Q85" i="82"/>
  <c r="AL85" i="82" s="1"/>
  <c r="M85" i="82"/>
  <c r="AH85" i="82" s="1"/>
  <c r="I85" i="82"/>
  <c r="AD85" i="82" s="1"/>
  <c r="E85" i="82"/>
  <c r="Z85" i="82" s="1"/>
  <c r="U84" i="82"/>
  <c r="AP84" i="82" s="1"/>
  <c r="Q84" i="82"/>
  <c r="AL84" i="82" s="1"/>
  <c r="M84" i="82"/>
  <c r="AH84" i="82" s="1"/>
  <c r="I84" i="82"/>
  <c r="AD84" i="82" s="1"/>
  <c r="E84" i="82"/>
  <c r="Z84" i="82" s="1"/>
  <c r="U83" i="82"/>
  <c r="AP83" i="82" s="1"/>
  <c r="Q83" i="82"/>
  <c r="AL83" i="82" s="1"/>
  <c r="M83" i="82"/>
  <c r="AH83" i="82" s="1"/>
  <c r="I83" i="82"/>
  <c r="AD83" i="82" s="1"/>
  <c r="E83" i="82"/>
  <c r="Z83" i="82" s="1"/>
  <c r="U82" i="82"/>
  <c r="AP82" i="82" s="1"/>
  <c r="Q82" i="82"/>
  <c r="AL82" i="82" s="1"/>
  <c r="M82" i="82"/>
  <c r="AH82" i="82" s="1"/>
  <c r="I82" i="82"/>
  <c r="AD82" i="82" s="1"/>
  <c r="E82" i="82"/>
  <c r="Z82" i="82" s="1"/>
  <c r="U81" i="82"/>
  <c r="AP81" i="82" s="1"/>
  <c r="Q81" i="82"/>
  <c r="AL81" i="82" s="1"/>
  <c r="M81" i="82"/>
  <c r="AH81" i="82" s="1"/>
  <c r="I81" i="82"/>
  <c r="AD81" i="82" s="1"/>
  <c r="E81" i="82"/>
  <c r="Z81" i="82" s="1"/>
  <c r="U80" i="82"/>
  <c r="AP80" i="82" s="1"/>
  <c r="Q80" i="82"/>
  <c r="AL80" i="82" s="1"/>
  <c r="M80" i="82"/>
  <c r="AH80" i="82" s="1"/>
  <c r="I80" i="82"/>
  <c r="AD80" i="82" s="1"/>
  <c r="E80" i="82"/>
  <c r="Z80" i="82" s="1"/>
  <c r="U79" i="82"/>
  <c r="AP79" i="82" s="1"/>
  <c r="Q79" i="82"/>
  <c r="AL79" i="82" s="1"/>
  <c r="M79" i="82"/>
  <c r="AH79" i="82" s="1"/>
  <c r="I79" i="82"/>
  <c r="AD79" i="82" s="1"/>
  <c r="E79" i="82"/>
  <c r="Z79" i="82" s="1"/>
  <c r="U78" i="82"/>
  <c r="AP78" i="82" s="1"/>
  <c r="Q78" i="82"/>
  <c r="AL78" i="82" s="1"/>
  <c r="M78" i="82"/>
  <c r="AH78" i="82" s="1"/>
  <c r="I78" i="82"/>
  <c r="AD78" i="82" s="1"/>
  <c r="E78" i="82"/>
  <c r="Z78" i="82" s="1"/>
  <c r="U77" i="82"/>
  <c r="AP77" i="82" s="1"/>
  <c r="Q77" i="82"/>
  <c r="AL77" i="82" s="1"/>
  <c r="M77" i="82"/>
  <c r="AH77" i="82" s="1"/>
  <c r="I77" i="82"/>
  <c r="AD77" i="82" s="1"/>
  <c r="E77" i="82"/>
  <c r="Z77" i="82" s="1"/>
  <c r="U76" i="82"/>
  <c r="AP76" i="82" s="1"/>
  <c r="Q76" i="82"/>
  <c r="AL76" i="82" s="1"/>
  <c r="M76" i="82"/>
  <c r="AH76" i="82" s="1"/>
  <c r="I76" i="82"/>
  <c r="AD76" i="82" s="1"/>
  <c r="E76" i="82"/>
  <c r="Z76" i="82" s="1"/>
  <c r="U75" i="82"/>
  <c r="AP75" i="82" s="1"/>
  <c r="Q75" i="82"/>
  <c r="AL75" i="82" s="1"/>
  <c r="M75" i="82"/>
  <c r="AH75" i="82" s="1"/>
  <c r="I75" i="82"/>
  <c r="AD75" i="82" s="1"/>
  <c r="E75" i="82"/>
  <c r="Z75" i="82" s="1"/>
  <c r="U73" i="82"/>
  <c r="AP73" i="82" s="1"/>
  <c r="Q73" i="82"/>
  <c r="AL73" i="82" s="1"/>
  <c r="M73" i="82"/>
  <c r="AH73" i="82" s="1"/>
  <c r="I73" i="82"/>
  <c r="AD73" i="82" s="1"/>
  <c r="E73" i="82"/>
  <c r="Z73" i="82" s="1"/>
  <c r="U72" i="82"/>
  <c r="AP72" i="82" s="1"/>
  <c r="Q72" i="82"/>
  <c r="AL72" i="82" s="1"/>
  <c r="M72" i="82"/>
  <c r="AH72" i="82" s="1"/>
  <c r="I72" i="82"/>
  <c r="AD72" i="82" s="1"/>
  <c r="E72" i="82"/>
  <c r="Z72" i="82" s="1"/>
  <c r="U71" i="82"/>
  <c r="AP71" i="82" s="1"/>
  <c r="Q71" i="82"/>
  <c r="AL71" i="82" s="1"/>
  <c r="M71" i="82"/>
  <c r="AH71" i="82" s="1"/>
  <c r="I71" i="82"/>
  <c r="AD71" i="82" s="1"/>
  <c r="E71" i="82"/>
  <c r="Z71" i="82" s="1"/>
  <c r="U70" i="82"/>
  <c r="AP70" i="82" s="1"/>
  <c r="Q70" i="82"/>
  <c r="AL70" i="82" s="1"/>
  <c r="M70" i="82"/>
  <c r="AH70" i="82" s="1"/>
  <c r="I70" i="82"/>
  <c r="AD70" i="82" s="1"/>
  <c r="E70" i="82"/>
  <c r="Z70" i="82" s="1"/>
  <c r="U69" i="82"/>
  <c r="AP69" i="82" s="1"/>
  <c r="Q69" i="82"/>
  <c r="AL69" i="82" s="1"/>
  <c r="M69" i="82"/>
  <c r="AH69" i="82" s="1"/>
  <c r="I69" i="82"/>
  <c r="AD69" i="82" s="1"/>
  <c r="E69" i="82"/>
  <c r="Z69" i="82" s="1"/>
  <c r="U67" i="82"/>
  <c r="AP67" i="82" s="1"/>
  <c r="Q67" i="82"/>
  <c r="AL67" i="82" s="1"/>
  <c r="M67" i="82"/>
  <c r="AH67" i="82" s="1"/>
  <c r="I67" i="82"/>
  <c r="AD67" i="82" s="1"/>
  <c r="E67" i="82"/>
  <c r="Z67" i="82" s="1"/>
  <c r="U66" i="82"/>
  <c r="AP66" i="82" s="1"/>
  <c r="Q66" i="82"/>
  <c r="AL66" i="82" s="1"/>
  <c r="M66" i="82"/>
  <c r="AH66" i="82" s="1"/>
  <c r="I66" i="82"/>
  <c r="AD66" i="82" s="1"/>
  <c r="E66" i="82"/>
  <c r="Z66" i="82" s="1"/>
  <c r="W65" i="82"/>
  <c r="AR65" i="82" s="1"/>
  <c r="V65" i="82"/>
  <c r="AQ65" i="82" s="1"/>
  <c r="S65" i="82"/>
  <c r="AN65" i="82" s="1"/>
  <c r="R65" i="82"/>
  <c r="AM65" i="82" s="1"/>
  <c r="O65" i="82"/>
  <c r="AJ65" i="82" s="1"/>
  <c r="N65" i="82"/>
  <c r="AI65" i="82" s="1"/>
  <c r="K65" i="82"/>
  <c r="AF65" i="82" s="1"/>
  <c r="J65" i="82"/>
  <c r="AE65" i="82" s="1"/>
  <c r="G65" i="82"/>
  <c r="AB65" i="82" s="1"/>
  <c r="F65" i="82"/>
  <c r="AA65" i="82" s="1"/>
  <c r="X64" i="82"/>
  <c r="T64" i="82"/>
  <c r="P64" i="82"/>
  <c r="L64" i="82"/>
  <c r="H64" i="82"/>
  <c r="X63" i="82"/>
  <c r="T63" i="82"/>
  <c r="P63" i="82"/>
  <c r="L63" i="82"/>
  <c r="H63" i="82"/>
  <c r="X62" i="82"/>
  <c r="T62" i="82"/>
  <c r="P62" i="82"/>
  <c r="L62" i="82"/>
  <c r="H62" i="82"/>
  <c r="X61" i="82"/>
  <c r="T61" i="82"/>
  <c r="P61" i="82"/>
  <c r="L61" i="82"/>
  <c r="H61" i="82"/>
  <c r="X60" i="82"/>
  <c r="T60" i="82"/>
  <c r="P60" i="82"/>
  <c r="L60" i="82"/>
  <c r="H60" i="82"/>
  <c r="X59" i="82"/>
  <c r="T59" i="82"/>
  <c r="P59" i="82"/>
  <c r="L59" i="82"/>
  <c r="H59" i="82"/>
  <c r="X58" i="82"/>
  <c r="T58" i="82"/>
  <c r="P58" i="82"/>
  <c r="L58" i="82"/>
  <c r="AG58" i="82" s="1"/>
  <c r="H58" i="82"/>
  <c r="X57" i="82"/>
  <c r="T57" i="82"/>
  <c r="P57" i="82"/>
  <c r="AK57" i="82" s="1"/>
  <c r="L57" i="82"/>
  <c r="H57" i="82"/>
  <c r="X56" i="82"/>
  <c r="T56" i="82"/>
  <c r="AO56" i="82" s="1"/>
  <c r="P56" i="82"/>
  <c r="L56" i="82"/>
  <c r="H56" i="82"/>
  <c r="X55" i="82"/>
  <c r="AS55" i="82" s="1"/>
  <c r="T55" i="82"/>
  <c r="P55" i="82"/>
  <c r="L55" i="82"/>
  <c r="H55" i="82"/>
  <c r="AC55" i="82" s="1"/>
  <c r="X54" i="82"/>
  <c r="T54" i="82"/>
  <c r="P54" i="82"/>
  <c r="L54" i="82"/>
  <c r="AG54" i="82" s="1"/>
  <c r="H54" i="82"/>
  <c r="X53" i="82"/>
  <c r="T53" i="82"/>
  <c r="P53" i="82"/>
  <c r="AK53" i="82" s="1"/>
  <c r="L53" i="82"/>
  <c r="H53" i="82"/>
  <c r="X52" i="82"/>
  <c r="T52" i="82"/>
  <c r="AO52" i="82" s="1"/>
  <c r="P52" i="82"/>
  <c r="L52" i="82"/>
  <c r="H52" i="82"/>
  <c r="X51" i="82"/>
  <c r="AS51" i="82" s="1"/>
  <c r="T51" i="82"/>
  <c r="P51" i="82"/>
  <c r="L51" i="82"/>
  <c r="H51" i="82"/>
  <c r="AC51" i="82" s="1"/>
  <c r="X50" i="82"/>
  <c r="T50" i="82"/>
  <c r="P50" i="82"/>
  <c r="L50" i="82"/>
  <c r="AG50" i="82" s="1"/>
  <c r="H50" i="82"/>
  <c r="W49" i="82"/>
  <c r="AR49" i="82" s="1"/>
  <c r="V49" i="82"/>
  <c r="AQ49" i="82" s="1"/>
  <c r="U49" i="82"/>
  <c r="AP49" i="82" s="1"/>
  <c r="S49" i="82"/>
  <c r="AN49" i="82" s="1"/>
  <c r="R49" i="82"/>
  <c r="AM49" i="82" s="1"/>
  <c r="Q49" i="82"/>
  <c r="AL49" i="82" s="1"/>
  <c r="O49" i="82"/>
  <c r="AJ49" i="82" s="1"/>
  <c r="N49" i="82"/>
  <c r="AI49" i="82" s="1"/>
  <c r="M49" i="82"/>
  <c r="AH49" i="82" s="1"/>
  <c r="K49" i="82"/>
  <c r="AF49" i="82" s="1"/>
  <c r="J49" i="82"/>
  <c r="AE49" i="82" s="1"/>
  <c r="I49" i="82"/>
  <c r="AD49" i="82" s="1"/>
  <c r="G49" i="82"/>
  <c r="AB49" i="82" s="1"/>
  <c r="F49" i="82"/>
  <c r="AA49" i="82" s="1"/>
  <c r="E49" i="82"/>
  <c r="Z49" i="82" s="1"/>
  <c r="X48" i="82"/>
  <c r="T48" i="82"/>
  <c r="P48" i="82"/>
  <c r="L48" i="82"/>
  <c r="AG48" i="82" s="1"/>
  <c r="H48" i="82"/>
  <c r="X47" i="82"/>
  <c r="T47" i="82"/>
  <c r="P47" i="82"/>
  <c r="L47" i="82"/>
  <c r="H47" i="82"/>
  <c r="X46" i="82"/>
  <c r="T46" i="82"/>
  <c r="AO46" i="82" s="1"/>
  <c r="P46" i="82"/>
  <c r="L46" i="82"/>
  <c r="H46" i="82"/>
  <c r="X45" i="82"/>
  <c r="AS45" i="82" s="1"/>
  <c r="T45" i="82"/>
  <c r="P45" i="82"/>
  <c r="L45" i="82"/>
  <c r="H45" i="82"/>
  <c r="AC45" i="82" s="1"/>
  <c r="X44" i="82"/>
  <c r="T44" i="82"/>
  <c r="P44" i="82"/>
  <c r="L44" i="82"/>
  <c r="AG44" i="82" s="1"/>
  <c r="H44" i="82"/>
  <c r="W43" i="82"/>
  <c r="V43" i="82"/>
  <c r="U43" i="82"/>
  <c r="S43" i="82"/>
  <c r="R43" i="82"/>
  <c r="Q43" i="82"/>
  <c r="O43" i="82"/>
  <c r="N43" i="82"/>
  <c r="M43" i="82"/>
  <c r="K43" i="82"/>
  <c r="J43" i="82"/>
  <c r="I43" i="82"/>
  <c r="G43" i="82"/>
  <c r="F43" i="82"/>
  <c r="E43" i="82"/>
  <c r="Z43" i="82" s="1"/>
  <c r="X42" i="82"/>
  <c r="T42" i="82"/>
  <c r="AO42" i="82" s="1"/>
  <c r="P42" i="82"/>
  <c r="L42" i="82"/>
  <c r="H42" i="82"/>
  <c r="X41" i="82"/>
  <c r="AS41" i="82" s="1"/>
  <c r="T41" i="82"/>
  <c r="P41" i="82"/>
  <c r="L41" i="82"/>
  <c r="H41" i="82"/>
  <c r="AC41" i="82" s="1"/>
  <c r="X39" i="82"/>
  <c r="AS39" i="82" s="1"/>
  <c r="T39" i="82"/>
  <c r="P39" i="82"/>
  <c r="AK39" i="82" s="1"/>
  <c r="L39" i="82"/>
  <c r="AG39" i="82" s="1"/>
  <c r="H39" i="82"/>
  <c r="AC39" i="82" s="1"/>
  <c r="W36" i="82"/>
  <c r="AR36" i="82" s="1"/>
  <c r="V36" i="82"/>
  <c r="AQ36" i="82" s="1"/>
  <c r="S36" i="82"/>
  <c r="AN36" i="82" s="1"/>
  <c r="R36" i="82"/>
  <c r="AM36" i="82" s="1"/>
  <c r="O36" i="82"/>
  <c r="AJ36" i="82" s="1"/>
  <c r="N36" i="82"/>
  <c r="AI36" i="82" s="1"/>
  <c r="K36" i="82"/>
  <c r="AF36" i="82" s="1"/>
  <c r="J36" i="82"/>
  <c r="AE36" i="82" s="1"/>
  <c r="G36" i="82"/>
  <c r="AB36" i="82" s="1"/>
  <c r="F36" i="82"/>
  <c r="AA36" i="82" s="1"/>
  <c r="X35" i="82"/>
  <c r="AS35" i="82" s="1"/>
  <c r="T35" i="82"/>
  <c r="AO35" i="82" s="1"/>
  <c r="P35" i="82"/>
  <c r="AK35" i="82" s="1"/>
  <c r="L35" i="82"/>
  <c r="AG35" i="82" s="1"/>
  <c r="H35" i="82"/>
  <c r="AC35" i="82" s="1"/>
  <c r="X34" i="82"/>
  <c r="AS34" i="82" s="1"/>
  <c r="T34" i="82"/>
  <c r="AO34" i="82" s="1"/>
  <c r="P34" i="82"/>
  <c r="AK34" i="82" s="1"/>
  <c r="L34" i="82"/>
  <c r="AG34" i="82" s="1"/>
  <c r="H34" i="82"/>
  <c r="AC34" i="82" s="1"/>
  <c r="X33" i="82"/>
  <c r="AS33" i="82" s="1"/>
  <c r="T33" i="82"/>
  <c r="AO33" i="82" s="1"/>
  <c r="P33" i="82"/>
  <c r="AK33" i="82" s="1"/>
  <c r="L33" i="82"/>
  <c r="H33" i="82"/>
  <c r="AC33" i="82" s="1"/>
  <c r="W30" i="82"/>
  <c r="AR30" i="82" s="1"/>
  <c r="V30" i="82"/>
  <c r="AQ30" i="82" s="1"/>
  <c r="S30" i="82"/>
  <c r="AN30" i="82" s="1"/>
  <c r="R30" i="82"/>
  <c r="AM30" i="82" s="1"/>
  <c r="O30" i="82"/>
  <c r="AJ30" i="82" s="1"/>
  <c r="N30" i="82"/>
  <c r="AI30" i="82" s="1"/>
  <c r="K30" i="82"/>
  <c r="AF30" i="82" s="1"/>
  <c r="J30" i="82"/>
  <c r="AE30" i="82" s="1"/>
  <c r="G30" i="82"/>
  <c r="AB30" i="82" s="1"/>
  <c r="X29" i="82"/>
  <c r="AS29" i="82" s="1"/>
  <c r="T29" i="82"/>
  <c r="AO29" i="82" s="1"/>
  <c r="P29" i="82"/>
  <c r="AK29" i="82" s="1"/>
  <c r="L29" i="82"/>
  <c r="H29" i="82"/>
  <c r="AC29" i="82" s="1"/>
  <c r="X28" i="82"/>
  <c r="AS28" i="82" s="1"/>
  <c r="T28" i="82"/>
  <c r="AO28" i="82" s="1"/>
  <c r="P28" i="82"/>
  <c r="L28" i="82"/>
  <c r="AG28" i="82" s="1"/>
  <c r="H28" i="82"/>
  <c r="AC28" i="82" s="1"/>
  <c r="X27" i="82"/>
  <c r="AS27" i="82" s="1"/>
  <c r="T27" i="82"/>
  <c r="P27" i="82"/>
  <c r="AK27" i="82" s="1"/>
  <c r="L27" i="82"/>
  <c r="AG27" i="82" s="1"/>
  <c r="H27" i="82"/>
  <c r="AC27" i="82" s="1"/>
  <c r="X26" i="82"/>
  <c r="T26" i="82"/>
  <c r="AO26" i="82" s="1"/>
  <c r="P26" i="82"/>
  <c r="AK26" i="82" s="1"/>
  <c r="L26" i="82"/>
  <c r="AG26" i="82" s="1"/>
  <c r="H26" i="82"/>
  <c r="X25" i="82"/>
  <c r="AS25" i="82" s="1"/>
  <c r="T25" i="82"/>
  <c r="AO25" i="82" s="1"/>
  <c r="P25" i="82"/>
  <c r="AK25" i="82" s="1"/>
  <c r="L25" i="82"/>
  <c r="H25" i="82"/>
  <c r="AC25" i="82" s="1"/>
  <c r="X24" i="82"/>
  <c r="AS24" i="82" s="1"/>
  <c r="T24" i="82"/>
  <c r="AO24" i="82" s="1"/>
  <c r="P24" i="82"/>
  <c r="L24" i="82"/>
  <c r="AG24" i="82" s="1"/>
  <c r="H24" i="82"/>
  <c r="AC24" i="82" s="1"/>
  <c r="X23" i="82"/>
  <c r="AS23" i="82" s="1"/>
  <c r="T23" i="82"/>
  <c r="P23" i="82"/>
  <c r="AK23" i="82" s="1"/>
  <c r="L23" i="82"/>
  <c r="AG23" i="82" s="1"/>
  <c r="H23" i="82"/>
  <c r="AC23" i="82" s="1"/>
  <c r="X22" i="82"/>
  <c r="T22" i="82"/>
  <c r="AO22" i="82" s="1"/>
  <c r="P22" i="82"/>
  <c r="AK22" i="82" s="1"/>
  <c r="L22" i="82"/>
  <c r="AG22" i="82" s="1"/>
  <c r="H22" i="82"/>
  <c r="X21" i="82"/>
  <c r="AS21" i="82" s="1"/>
  <c r="T21" i="82"/>
  <c r="AO21" i="82" s="1"/>
  <c r="P21" i="82"/>
  <c r="AK21" i="82" s="1"/>
  <c r="L21" i="82"/>
  <c r="H21" i="82"/>
  <c r="AC21" i="82" s="1"/>
  <c r="W20" i="82"/>
  <c r="AR20" i="82" s="1"/>
  <c r="V20" i="82"/>
  <c r="AQ20" i="82" s="1"/>
  <c r="U20" i="82"/>
  <c r="AP20" i="82" s="1"/>
  <c r="S20" i="82"/>
  <c r="AN20" i="82" s="1"/>
  <c r="R20" i="82"/>
  <c r="AM20" i="82" s="1"/>
  <c r="Q20" i="82"/>
  <c r="AL20" i="82" s="1"/>
  <c r="O20" i="82"/>
  <c r="AJ20" i="82" s="1"/>
  <c r="N20" i="82"/>
  <c r="AI20" i="82" s="1"/>
  <c r="M20" i="82"/>
  <c r="AH20" i="82" s="1"/>
  <c r="K20" i="82"/>
  <c r="AF20" i="82" s="1"/>
  <c r="J20" i="82"/>
  <c r="AE20" i="82" s="1"/>
  <c r="I20" i="82"/>
  <c r="AD20" i="82" s="1"/>
  <c r="G20" i="82"/>
  <c r="AB20" i="82" s="1"/>
  <c r="F20" i="82"/>
  <c r="AA20" i="82" s="1"/>
  <c r="E20" i="82"/>
  <c r="Z20" i="82" s="1"/>
  <c r="X19" i="82"/>
  <c r="AS19" i="82" s="1"/>
  <c r="T19" i="82"/>
  <c r="AO19" i="82" s="1"/>
  <c r="P19" i="82"/>
  <c r="AK19" i="82" s="1"/>
  <c r="L19" i="82"/>
  <c r="H19" i="82"/>
  <c r="AC19" i="82" s="1"/>
  <c r="X18" i="82"/>
  <c r="AS18" i="82" s="1"/>
  <c r="T18" i="82"/>
  <c r="AO18" i="82" s="1"/>
  <c r="P18" i="82"/>
  <c r="AK18" i="82" s="1"/>
  <c r="L18" i="82"/>
  <c r="AG18" i="82" s="1"/>
  <c r="H18" i="82"/>
  <c r="AC18" i="82" s="1"/>
  <c r="X17" i="82"/>
  <c r="AS17" i="82" s="1"/>
  <c r="T17" i="82"/>
  <c r="P17" i="82"/>
  <c r="AK17" i="82" s="1"/>
  <c r="L17" i="82"/>
  <c r="AG17" i="82" s="1"/>
  <c r="H17" i="82"/>
  <c r="AC17" i="82" s="1"/>
  <c r="X16" i="82"/>
  <c r="AS16" i="82" s="1"/>
  <c r="T16" i="82"/>
  <c r="AO16" i="82" s="1"/>
  <c r="P16" i="82"/>
  <c r="AK16" i="82" s="1"/>
  <c r="L16" i="82"/>
  <c r="AG16" i="82" s="1"/>
  <c r="H16" i="82"/>
  <c r="X15" i="82"/>
  <c r="AS15" i="82" s="1"/>
  <c r="T15" i="82"/>
  <c r="AO15" i="82" s="1"/>
  <c r="P15" i="82"/>
  <c r="AK15" i="82" s="1"/>
  <c r="L15" i="82"/>
  <c r="AG15" i="82" s="1"/>
  <c r="H15" i="82"/>
  <c r="AC15" i="82" s="1"/>
  <c r="W14" i="82"/>
  <c r="AR14" i="82" s="1"/>
  <c r="V14" i="82"/>
  <c r="AQ14" i="82" s="1"/>
  <c r="U14" i="82"/>
  <c r="AP14" i="82" s="1"/>
  <c r="S14" i="82"/>
  <c r="AN14" i="82" s="1"/>
  <c r="R14" i="82"/>
  <c r="AM14" i="82" s="1"/>
  <c r="Q14" i="82"/>
  <c r="AL14" i="82" s="1"/>
  <c r="O14" i="82"/>
  <c r="AJ14" i="82" s="1"/>
  <c r="N14" i="82"/>
  <c r="AI14" i="82" s="1"/>
  <c r="M14" i="82"/>
  <c r="AH14" i="82" s="1"/>
  <c r="K14" i="82"/>
  <c r="AF14" i="82" s="1"/>
  <c r="J14" i="82"/>
  <c r="AE14" i="82" s="1"/>
  <c r="I14" i="82"/>
  <c r="AD14" i="82" s="1"/>
  <c r="G14" i="82"/>
  <c r="AB14" i="82" s="1"/>
  <c r="F14" i="82"/>
  <c r="AA14" i="82" s="1"/>
  <c r="E14" i="82"/>
  <c r="Z14" i="82" s="1"/>
  <c r="X13" i="82"/>
  <c r="AS13" i="82" s="1"/>
  <c r="T13" i="82"/>
  <c r="P13" i="82"/>
  <c r="AK13" i="82" s="1"/>
  <c r="L13" i="82"/>
  <c r="AG13" i="82" s="1"/>
  <c r="H13" i="82"/>
  <c r="AC13" i="82" s="1"/>
  <c r="X12" i="82"/>
  <c r="T12" i="82"/>
  <c r="AO12" i="82" s="1"/>
  <c r="P12" i="82"/>
  <c r="L12" i="82"/>
  <c r="AG12" i="82" s="1"/>
  <c r="H12" i="82"/>
  <c r="L9" i="82"/>
  <c r="P9" i="82" s="1"/>
  <c r="T9" i="82" s="1"/>
  <c r="X9" i="82" s="1"/>
  <c r="K9" i="82"/>
  <c r="O9" i="82" s="1"/>
  <c r="S9" i="82" s="1"/>
  <c r="W9" i="82" s="1"/>
  <c r="J9" i="82"/>
  <c r="N9" i="82" s="1"/>
  <c r="R9" i="82" s="1"/>
  <c r="V9" i="82" s="1"/>
  <c r="I9" i="82"/>
  <c r="M9" i="82" s="1"/>
  <c r="Q9" i="82" s="1"/>
  <c r="U9" i="82" s="1"/>
  <c r="Z99" i="62" l="1"/>
  <c r="BQ99" i="62" s="1"/>
  <c r="S76" i="50"/>
  <c r="BE76" i="50" s="1"/>
  <c r="AK56" i="82"/>
  <c r="E11" i="50"/>
  <c r="AQ11" i="50" s="1"/>
  <c r="AC12" i="82"/>
  <c r="O40" i="82"/>
  <c r="AJ40" i="82" s="1"/>
  <c r="AJ43" i="82"/>
  <c r="E157" i="50"/>
  <c r="AQ157" i="50" s="1"/>
  <c r="AC117" i="82"/>
  <c r="E165" i="50"/>
  <c r="AQ165" i="50" s="1"/>
  <c r="AC125" i="82"/>
  <c r="E238" i="50"/>
  <c r="AQ238" i="50" s="1"/>
  <c r="AC177" i="82"/>
  <c r="Z247" i="50"/>
  <c r="BL247" i="50" s="1"/>
  <c r="AO186" i="82"/>
  <c r="L30" i="50"/>
  <c r="AX30" i="50" s="1"/>
  <c r="AG33" i="82"/>
  <c r="Z61" i="50"/>
  <c r="BL61" i="50" s="1"/>
  <c r="AO41" i="82"/>
  <c r="F40" i="82"/>
  <c r="AA40" i="82" s="1"/>
  <c r="AA43" i="82"/>
  <c r="Q40" i="82"/>
  <c r="AL40" i="82" s="1"/>
  <c r="AL43" i="82"/>
  <c r="S64" i="50"/>
  <c r="BE64" i="50" s="1"/>
  <c r="AK44" i="82"/>
  <c r="E66" i="50"/>
  <c r="AQ66" i="50" s="1"/>
  <c r="AC46" i="82"/>
  <c r="Z67" i="50"/>
  <c r="BL67" i="50" s="1"/>
  <c r="AO47" i="82"/>
  <c r="S70" i="50"/>
  <c r="BE70" i="50" s="1"/>
  <c r="AK50" i="82"/>
  <c r="E72" i="50"/>
  <c r="AQ72" i="50" s="1"/>
  <c r="AC52" i="82"/>
  <c r="Z73" i="50"/>
  <c r="BL73" i="50" s="1"/>
  <c r="AO53" i="82"/>
  <c r="L75" i="50"/>
  <c r="AX75" i="50" s="1"/>
  <c r="AG55" i="82"/>
  <c r="AG76" i="50"/>
  <c r="BS76" i="50" s="1"/>
  <c r="AS56" i="82"/>
  <c r="S78" i="50"/>
  <c r="BE78" i="50" s="1"/>
  <c r="AK58" i="82"/>
  <c r="E80" i="50"/>
  <c r="AQ80" i="50" s="1"/>
  <c r="AC60" i="82"/>
  <c r="Z81" i="50"/>
  <c r="BL81" i="50" s="1"/>
  <c r="AO61" i="82"/>
  <c r="L83" i="50"/>
  <c r="AX83" i="50" s="1"/>
  <c r="AG63" i="82"/>
  <c r="AG84" i="50"/>
  <c r="BS84" i="50" s="1"/>
  <c r="AS64" i="82"/>
  <c r="S152" i="50"/>
  <c r="BE152" i="50" s="1"/>
  <c r="AK112" i="82"/>
  <c r="E154" i="50"/>
  <c r="AQ154" i="50" s="1"/>
  <c r="AC114" i="82"/>
  <c r="Z155" i="50"/>
  <c r="BL155" i="50" s="1"/>
  <c r="AO115" i="82"/>
  <c r="L157" i="50"/>
  <c r="AX157" i="50" s="1"/>
  <c r="AG117" i="82"/>
  <c r="AG158" i="50"/>
  <c r="BS158" i="50" s="1"/>
  <c r="AS118" i="82"/>
  <c r="S160" i="50"/>
  <c r="BE160" i="50" s="1"/>
  <c r="AK120" i="82"/>
  <c r="E162" i="50"/>
  <c r="AQ162" i="50" s="1"/>
  <c r="AC122" i="82"/>
  <c r="Z163" i="50"/>
  <c r="BL163" i="50" s="1"/>
  <c r="AO123" i="82"/>
  <c r="L165" i="50"/>
  <c r="AX165" i="50" s="1"/>
  <c r="AG125" i="82"/>
  <c r="AG166" i="50"/>
  <c r="BS166" i="50" s="1"/>
  <c r="AS126" i="82"/>
  <c r="S168" i="50"/>
  <c r="BE168" i="50" s="1"/>
  <c r="AK128" i="82"/>
  <c r="E170" i="50"/>
  <c r="AQ170" i="50" s="1"/>
  <c r="AC130" i="82"/>
  <c r="L194" i="50"/>
  <c r="AG155" i="82"/>
  <c r="AG195" i="50"/>
  <c r="AS156" i="82"/>
  <c r="S197" i="50"/>
  <c r="BE197" i="50" s="1"/>
  <c r="AK158" i="82"/>
  <c r="E199" i="50"/>
  <c r="AC160" i="82"/>
  <c r="Z200" i="50"/>
  <c r="BL200" i="50" s="1"/>
  <c r="AO161" i="82"/>
  <c r="L202" i="50"/>
  <c r="AX202" i="50" s="1"/>
  <c r="AG163" i="82"/>
  <c r="AG203" i="50"/>
  <c r="BS203" i="50" s="1"/>
  <c r="AS164" i="82"/>
  <c r="S205" i="50"/>
  <c r="AK166" i="82"/>
  <c r="E207" i="50"/>
  <c r="AC168" i="82"/>
  <c r="Z208" i="50"/>
  <c r="BL208" i="50" s="1"/>
  <c r="AO169" i="82"/>
  <c r="L210" i="50"/>
  <c r="AX210" i="50" s="1"/>
  <c r="AG171" i="82"/>
  <c r="AG211" i="50"/>
  <c r="AS172" i="82"/>
  <c r="S213" i="50"/>
  <c r="AK174" i="82"/>
  <c r="L238" i="50"/>
  <c r="AX238" i="50" s="1"/>
  <c r="AG177" i="82"/>
  <c r="AG239" i="50"/>
  <c r="BS239" i="50" s="1"/>
  <c r="AS178" i="82"/>
  <c r="S241" i="50"/>
  <c r="BE241" i="50" s="1"/>
  <c r="AK180" i="82"/>
  <c r="E243" i="50"/>
  <c r="AQ243" i="50" s="1"/>
  <c r="AC182" i="82"/>
  <c r="Z244" i="50"/>
  <c r="BL244" i="50" s="1"/>
  <c r="AO183" i="82"/>
  <c r="L246" i="50"/>
  <c r="AX246" i="50" s="1"/>
  <c r="AG185" i="82"/>
  <c r="AG247" i="50"/>
  <c r="BS247" i="50" s="1"/>
  <c r="AS186" i="82"/>
  <c r="S249" i="50"/>
  <c r="BE249" i="50" s="1"/>
  <c r="AK188" i="82"/>
  <c r="E251" i="50"/>
  <c r="AQ251" i="50" s="1"/>
  <c r="AC190" i="82"/>
  <c r="Z252" i="50"/>
  <c r="BL252" i="50" s="1"/>
  <c r="AO191" i="82"/>
  <c r="L254" i="50"/>
  <c r="AX254" i="50" s="1"/>
  <c r="AG193" i="82"/>
  <c r="AG255" i="50"/>
  <c r="BS255" i="50" s="1"/>
  <c r="AS194" i="82"/>
  <c r="S257" i="50"/>
  <c r="BE257" i="50" s="1"/>
  <c r="AK196" i="82"/>
  <c r="L61" i="50"/>
  <c r="AX61" i="50" s="1"/>
  <c r="AG41" i="82"/>
  <c r="Z65" i="50"/>
  <c r="BL65" i="50" s="1"/>
  <c r="AO45" i="82"/>
  <c r="L73" i="50"/>
  <c r="AX73" i="50" s="1"/>
  <c r="AG53" i="82"/>
  <c r="S81" i="50"/>
  <c r="BE81" i="50" s="1"/>
  <c r="AK61" i="82"/>
  <c r="S155" i="50"/>
  <c r="BE155" i="50" s="1"/>
  <c r="AK115" i="82"/>
  <c r="S163" i="50"/>
  <c r="BE163" i="50" s="1"/>
  <c r="AK123" i="82"/>
  <c r="AG169" i="50"/>
  <c r="BS169" i="50" s="1"/>
  <c r="AS129" i="82"/>
  <c r="S244" i="50"/>
  <c r="BE244" i="50" s="1"/>
  <c r="AK183" i="82"/>
  <c r="E254" i="50"/>
  <c r="AQ254" i="50" s="1"/>
  <c r="AC193" i="82"/>
  <c r="S11" i="50"/>
  <c r="BE11" i="50" s="1"/>
  <c r="AK12" i="82"/>
  <c r="L20" i="50"/>
  <c r="AX20" i="50" s="1"/>
  <c r="AG21" i="82"/>
  <c r="AG21" i="50"/>
  <c r="BS21" i="50" s="1"/>
  <c r="AS22" i="82"/>
  <c r="S23" i="50"/>
  <c r="BE23" i="50" s="1"/>
  <c r="AK24" i="82"/>
  <c r="E25" i="50"/>
  <c r="AQ25" i="50" s="1"/>
  <c r="AC26" i="82"/>
  <c r="Z26" i="50"/>
  <c r="BL26" i="50" s="1"/>
  <c r="AO27" i="82"/>
  <c r="L28" i="50"/>
  <c r="AX28" i="50" s="1"/>
  <c r="AG29" i="82"/>
  <c r="G40" i="82"/>
  <c r="AB40" i="82" s="1"/>
  <c r="AB43" i="82"/>
  <c r="R40" i="82"/>
  <c r="AM40" i="82" s="1"/>
  <c r="AM43" i="82"/>
  <c r="Z64" i="50"/>
  <c r="BL64" i="50" s="1"/>
  <c r="AO44" i="82"/>
  <c r="L66" i="50"/>
  <c r="AX66" i="50" s="1"/>
  <c r="AG46" i="82"/>
  <c r="AG67" i="50"/>
  <c r="BS67" i="50" s="1"/>
  <c r="AS47" i="82"/>
  <c r="Z70" i="50"/>
  <c r="BL70" i="50" s="1"/>
  <c r="AO50" i="82"/>
  <c r="L72" i="50"/>
  <c r="AX72" i="50" s="1"/>
  <c r="AG52" i="82"/>
  <c r="AG73" i="50"/>
  <c r="BS73" i="50" s="1"/>
  <c r="AS53" i="82"/>
  <c r="S75" i="50"/>
  <c r="BE75" i="50" s="1"/>
  <c r="AK55" i="82"/>
  <c r="E77" i="50"/>
  <c r="AQ77" i="50" s="1"/>
  <c r="AC57" i="82"/>
  <c r="Z78" i="50"/>
  <c r="BL78" i="50" s="1"/>
  <c r="AO58" i="82"/>
  <c r="L80" i="50"/>
  <c r="AX80" i="50" s="1"/>
  <c r="AG60" i="82"/>
  <c r="AG81" i="50"/>
  <c r="BS81" i="50" s="1"/>
  <c r="AS61" i="82"/>
  <c r="S83" i="50"/>
  <c r="BE83" i="50" s="1"/>
  <c r="AK63" i="82"/>
  <c r="Z152" i="50"/>
  <c r="BL152" i="50" s="1"/>
  <c r="AO112" i="82"/>
  <c r="L154" i="50"/>
  <c r="AX154" i="50" s="1"/>
  <c r="AG114" i="82"/>
  <c r="AG155" i="50"/>
  <c r="BS155" i="50" s="1"/>
  <c r="AS115" i="82"/>
  <c r="S157" i="50"/>
  <c r="BE157" i="50" s="1"/>
  <c r="AK117" i="82"/>
  <c r="E159" i="50"/>
  <c r="AQ159" i="50" s="1"/>
  <c r="AC119" i="82"/>
  <c r="Z160" i="50"/>
  <c r="BL160" i="50" s="1"/>
  <c r="AO120" i="82"/>
  <c r="L162" i="50"/>
  <c r="AX162" i="50" s="1"/>
  <c r="AG122" i="82"/>
  <c r="AG163" i="50"/>
  <c r="BS163" i="50" s="1"/>
  <c r="AS123" i="82"/>
  <c r="S165" i="50"/>
  <c r="BE165" i="50" s="1"/>
  <c r="AK125" i="82"/>
  <c r="E167" i="50"/>
  <c r="AQ167" i="50" s="1"/>
  <c r="AC127" i="82"/>
  <c r="Z168" i="50"/>
  <c r="BL168" i="50" s="1"/>
  <c r="AO128" i="82"/>
  <c r="L170" i="50"/>
  <c r="AX170" i="50" s="1"/>
  <c r="AG130" i="82"/>
  <c r="H201" i="82"/>
  <c r="AC201" i="82" s="1"/>
  <c r="AC157" i="82"/>
  <c r="H209" i="82"/>
  <c r="AC209" i="82" s="1"/>
  <c r="AC165" i="82"/>
  <c r="H217" i="82"/>
  <c r="AC217" i="82" s="1"/>
  <c r="AC173" i="82"/>
  <c r="S238" i="50"/>
  <c r="BE238" i="50" s="1"/>
  <c r="AK177" i="82"/>
  <c r="E240" i="50"/>
  <c r="AQ240" i="50" s="1"/>
  <c r="AC179" i="82"/>
  <c r="Z241" i="50"/>
  <c r="BL241" i="50" s="1"/>
  <c r="AO180" i="82"/>
  <c r="L243" i="50"/>
  <c r="AX243" i="50" s="1"/>
  <c r="AG182" i="82"/>
  <c r="AG244" i="50"/>
  <c r="BS244" i="50" s="1"/>
  <c r="AS183" i="82"/>
  <c r="S246" i="50"/>
  <c r="BE246" i="50" s="1"/>
  <c r="AK185" i="82"/>
  <c r="E248" i="50"/>
  <c r="AQ248" i="50" s="1"/>
  <c r="AC187" i="82"/>
  <c r="Z249" i="50"/>
  <c r="BL249" i="50" s="1"/>
  <c r="AO188" i="82"/>
  <c r="L251" i="50"/>
  <c r="AX251" i="50" s="1"/>
  <c r="AG190" i="82"/>
  <c r="AG252" i="50"/>
  <c r="BS252" i="50" s="1"/>
  <c r="AS191" i="82"/>
  <c r="S254" i="50"/>
  <c r="BE254" i="50" s="1"/>
  <c r="AK193" i="82"/>
  <c r="E256" i="50"/>
  <c r="AQ256" i="50" s="1"/>
  <c r="AC195" i="82"/>
  <c r="Z257" i="50"/>
  <c r="BL257" i="50" s="1"/>
  <c r="AO196" i="82"/>
  <c r="AG62" i="50"/>
  <c r="BS62" i="50" s="1"/>
  <c r="AS42" i="82"/>
  <c r="L67" i="50"/>
  <c r="AX67" i="50" s="1"/>
  <c r="AG47" i="82"/>
  <c r="AG74" i="50"/>
  <c r="BS74" i="50" s="1"/>
  <c r="AS54" i="82"/>
  <c r="Z12" i="50"/>
  <c r="BL12" i="50" s="1"/>
  <c r="AO13" i="82"/>
  <c r="S61" i="50"/>
  <c r="BE61" i="50" s="1"/>
  <c r="AK41" i="82"/>
  <c r="S67" i="50"/>
  <c r="BE67" i="50" s="1"/>
  <c r="AK47" i="82"/>
  <c r="E83" i="50"/>
  <c r="AQ83" i="50" s="1"/>
  <c r="AC63" i="82"/>
  <c r="L160" i="50"/>
  <c r="AX160" i="50" s="1"/>
  <c r="AG120" i="82"/>
  <c r="AG242" i="50"/>
  <c r="BS242" i="50" s="1"/>
  <c r="AS181" i="82"/>
  <c r="S252" i="50"/>
  <c r="BE252" i="50" s="1"/>
  <c r="AK191" i="82"/>
  <c r="E62" i="50"/>
  <c r="AQ62" i="50" s="1"/>
  <c r="AC42" i="82"/>
  <c r="I40" i="82"/>
  <c r="AD40" i="82" s="1"/>
  <c r="AD43" i="82"/>
  <c r="S40" i="82"/>
  <c r="AN40" i="82" s="1"/>
  <c r="AN43" i="82"/>
  <c r="AG64" i="50"/>
  <c r="BS64" i="50" s="1"/>
  <c r="AS44" i="82"/>
  <c r="S66" i="50"/>
  <c r="BE66" i="50" s="1"/>
  <c r="AK46" i="82"/>
  <c r="E68" i="50"/>
  <c r="AQ68" i="50" s="1"/>
  <c r="AC48" i="82"/>
  <c r="AG70" i="50"/>
  <c r="BS70" i="50" s="1"/>
  <c r="AS50" i="82"/>
  <c r="S72" i="50"/>
  <c r="BE72" i="50" s="1"/>
  <c r="AK52" i="82"/>
  <c r="E74" i="50"/>
  <c r="AQ74" i="50" s="1"/>
  <c r="AC54" i="82"/>
  <c r="Z75" i="50"/>
  <c r="BL75" i="50" s="1"/>
  <c r="AO55" i="82"/>
  <c r="L77" i="50"/>
  <c r="AX77" i="50" s="1"/>
  <c r="AG57" i="82"/>
  <c r="AG78" i="50"/>
  <c r="BS78" i="50" s="1"/>
  <c r="AS58" i="82"/>
  <c r="S80" i="50"/>
  <c r="BE80" i="50" s="1"/>
  <c r="AK60" i="82"/>
  <c r="E82" i="50"/>
  <c r="AQ82" i="50" s="1"/>
  <c r="AC62" i="82"/>
  <c r="Z83" i="50"/>
  <c r="BL83" i="50" s="1"/>
  <c r="AO63" i="82"/>
  <c r="AG152" i="50"/>
  <c r="BS152" i="50" s="1"/>
  <c r="AS112" i="82"/>
  <c r="S154" i="50"/>
  <c r="BE154" i="50" s="1"/>
  <c r="AK114" i="82"/>
  <c r="E156" i="50"/>
  <c r="AQ156" i="50" s="1"/>
  <c r="AC116" i="82"/>
  <c r="Z157" i="50"/>
  <c r="BL157" i="50" s="1"/>
  <c r="AO117" i="82"/>
  <c r="L159" i="50"/>
  <c r="AX159" i="50" s="1"/>
  <c r="AG119" i="82"/>
  <c r="AG160" i="50"/>
  <c r="BS160" i="50" s="1"/>
  <c r="AS120" i="82"/>
  <c r="S162" i="50"/>
  <c r="BE162" i="50" s="1"/>
  <c r="AK122" i="82"/>
  <c r="E164" i="50"/>
  <c r="AQ164" i="50" s="1"/>
  <c r="AC124" i="82"/>
  <c r="Z165" i="50"/>
  <c r="BL165" i="50" s="1"/>
  <c r="AO125" i="82"/>
  <c r="L167" i="50"/>
  <c r="AX167" i="50" s="1"/>
  <c r="AG127" i="82"/>
  <c r="AG168" i="50"/>
  <c r="BS168" i="50" s="1"/>
  <c r="AS128" i="82"/>
  <c r="S170" i="50"/>
  <c r="BE170" i="50" s="1"/>
  <c r="AK130" i="82"/>
  <c r="L196" i="50"/>
  <c r="AX196" i="50" s="1"/>
  <c r="AG157" i="82"/>
  <c r="AG197" i="50"/>
  <c r="BS197" i="50" s="1"/>
  <c r="AS158" i="82"/>
  <c r="S199" i="50"/>
  <c r="AK160" i="82"/>
  <c r="E201" i="50"/>
  <c r="AC162" i="82"/>
  <c r="Z202" i="50"/>
  <c r="BL202" i="50" s="1"/>
  <c r="AO163" i="82"/>
  <c r="L204" i="50"/>
  <c r="AX204" i="50" s="1"/>
  <c r="AG165" i="82"/>
  <c r="AG205" i="50"/>
  <c r="AS166" i="82"/>
  <c r="S207" i="50"/>
  <c r="BE207" i="50" s="1"/>
  <c r="AK168" i="82"/>
  <c r="E209" i="50"/>
  <c r="AQ209" i="50" s="1"/>
  <c r="AC170" i="82"/>
  <c r="Z210" i="50"/>
  <c r="AO171" i="82"/>
  <c r="L212" i="50"/>
  <c r="AX212" i="50" s="1"/>
  <c r="AG173" i="82"/>
  <c r="AG213" i="50"/>
  <c r="AS174" i="82"/>
  <c r="S243" i="50"/>
  <c r="BE243" i="50" s="1"/>
  <c r="AK182" i="82"/>
  <c r="E245" i="50"/>
  <c r="AQ245" i="50" s="1"/>
  <c r="AC184" i="82"/>
  <c r="AG249" i="50"/>
  <c r="BS249" i="50" s="1"/>
  <c r="AS188" i="82"/>
  <c r="S251" i="50"/>
  <c r="BE251" i="50" s="1"/>
  <c r="AK190" i="82"/>
  <c r="Z254" i="50"/>
  <c r="BL254" i="50" s="1"/>
  <c r="AO193" i="82"/>
  <c r="L256" i="50"/>
  <c r="AX256" i="50" s="1"/>
  <c r="AG195" i="82"/>
  <c r="AG257" i="50"/>
  <c r="BS257" i="50" s="1"/>
  <c r="AS196" i="82"/>
  <c r="E64" i="50"/>
  <c r="AQ64" i="50" s="1"/>
  <c r="AC44" i="82"/>
  <c r="Z71" i="50"/>
  <c r="BL71" i="50" s="1"/>
  <c r="AO51" i="82"/>
  <c r="AG79" i="50"/>
  <c r="BS79" i="50" s="1"/>
  <c r="AS59" i="82"/>
  <c r="Z158" i="50"/>
  <c r="BL158" i="50" s="1"/>
  <c r="AO118" i="82"/>
  <c r="L168" i="50"/>
  <c r="AX168" i="50" s="1"/>
  <c r="AG128" i="82"/>
  <c r="L241" i="50"/>
  <c r="AX241" i="50" s="1"/>
  <c r="AG180" i="82"/>
  <c r="AG250" i="50"/>
  <c r="BS250" i="50" s="1"/>
  <c r="AS189" i="82"/>
  <c r="L257" i="50"/>
  <c r="AX257" i="50" s="1"/>
  <c r="AG196" i="82"/>
  <c r="AG11" i="50"/>
  <c r="BS11" i="50" s="1"/>
  <c r="AS12" i="82"/>
  <c r="Z34" i="50"/>
  <c r="BL34" i="50" s="1"/>
  <c r="AO39" i="82"/>
  <c r="L62" i="50"/>
  <c r="AX62" i="50" s="1"/>
  <c r="AG42" i="82"/>
  <c r="J40" i="82"/>
  <c r="AE40" i="82" s="1"/>
  <c r="AE43" i="82"/>
  <c r="U40" i="82"/>
  <c r="AP40" i="82" s="1"/>
  <c r="AP43" i="82"/>
  <c r="E79" i="50"/>
  <c r="AQ79" i="50" s="1"/>
  <c r="AC59" i="82"/>
  <c r="Z80" i="50"/>
  <c r="BL80" i="50" s="1"/>
  <c r="AO60" i="82"/>
  <c r="L82" i="50"/>
  <c r="AX82" i="50" s="1"/>
  <c r="AG62" i="82"/>
  <c r="AG83" i="50"/>
  <c r="BS83" i="50" s="1"/>
  <c r="AS63" i="82"/>
  <c r="E153" i="50"/>
  <c r="AQ153" i="50" s="1"/>
  <c r="AC113" i="82"/>
  <c r="Z154" i="50"/>
  <c r="BL154" i="50" s="1"/>
  <c r="AO114" i="82"/>
  <c r="L156" i="50"/>
  <c r="AX156" i="50" s="1"/>
  <c r="AG116" i="82"/>
  <c r="AG157" i="50"/>
  <c r="BS157" i="50" s="1"/>
  <c r="AS117" i="82"/>
  <c r="S159" i="50"/>
  <c r="BE159" i="50" s="1"/>
  <c r="AK119" i="82"/>
  <c r="E161" i="50"/>
  <c r="AQ161" i="50" s="1"/>
  <c r="AC121" i="82"/>
  <c r="Z162" i="50"/>
  <c r="BL162" i="50" s="1"/>
  <c r="AO122" i="82"/>
  <c r="L164" i="50"/>
  <c r="AX164" i="50" s="1"/>
  <c r="AG124" i="82"/>
  <c r="AG165" i="50"/>
  <c r="BS165" i="50" s="1"/>
  <c r="AS125" i="82"/>
  <c r="S167" i="50"/>
  <c r="BE167" i="50" s="1"/>
  <c r="AK127" i="82"/>
  <c r="E169" i="50"/>
  <c r="AQ169" i="50" s="1"/>
  <c r="AC129" i="82"/>
  <c r="Z170" i="50"/>
  <c r="BL170" i="50" s="1"/>
  <c r="AO130" i="82"/>
  <c r="L193" i="50"/>
  <c r="AX193" i="50" s="1"/>
  <c r="AG154" i="82"/>
  <c r="L237" i="50"/>
  <c r="AX237" i="50" s="1"/>
  <c r="AG176" i="82"/>
  <c r="AG238" i="50"/>
  <c r="BS238" i="50" s="1"/>
  <c r="AS177" i="82"/>
  <c r="S240" i="50"/>
  <c r="BE240" i="50" s="1"/>
  <c r="AK179" i="82"/>
  <c r="E242" i="50"/>
  <c r="AQ242" i="50" s="1"/>
  <c r="AC181" i="82"/>
  <c r="Z243" i="50"/>
  <c r="BL243" i="50" s="1"/>
  <c r="AO182" i="82"/>
  <c r="L245" i="50"/>
  <c r="AX245" i="50" s="1"/>
  <c r="AG184" i="82"/>
  <c r="AG246" i="50"/>
  <c r="BS246" i="50" s="1"/>
  <c r="AS185" i="82"/>
  <c r="S248" i="50"/>
  <c r="BE248" i="50" s="1"/>
  <c r="AK187" i="82"/>
  <c r="E250" i="50"/>
  <c r="AQ250" i="50" s="1"/>
  <c r="AC189" i="82"/>
  <c r="Z251" i="50"/>
  <c r="BL251" i="50" s="1"/>
  <c r="AO190" i="82"/>
  <c r="L253" i="50"/>
  <c r="AX253" i="50" s="1"/>
  <c r="AG192" i="82"/>
  <c r="AG254" i="50"/>
  <c r="BS254" i="50" s="1"/>
  <c r="AS193" i="82"/>
  <c r="S256" i="50"/>
  <c r="BE256" i="50" s="1"/>
  <c r="AK195" i="82"/>
  <c r="E70" i="50"/>
  <c r="AQ70" i="50" s="1"/>
  <c r="AC50" i="82"/>
  <c r="Z84" i="50"/>
  <c r="BL84" i="50" s="1"/>
  <c r="AO64" i="82"/>
  <c r="AG153" i="50"/>
  <c r="BS153" i="50" s="1"/>
  <c r="AS113" i="82"/>
  <c r="Z166" i="50"/>
  <c r="BL166" i="50" s="1"/>
  <c r="AO126" i="82"/>
  <c r="L249" i="50"/>
  <c r="AX249" i="50" s="1"/>
  <c r="AG188" i="82"/>
  <c r="S62" i="50"/>
  <c r="BE62" i="50" s="1"/>
  <c r="AK42" i="82"/>
  <c r="K40" i="82"/>
  <c r="AF40" i="82" s="1"/>
  <c r="AF43" i="82"/>
  <c r="V40" i="82"/>
  <c r="AQ40" i="82" s="1"/>
  <c r="AQ43" i="82"/>
  <c r="L65" i="50"/>
  <c r="AX65" i="50" s="1"/>
  <c r="AG45" i="82"/>
  <c r="AG66" i="50"/>
  <c r="BS66" i="50" s="1"/>
  <c r="AS46" i="82"/>
  <c r="S68" i="50"/>
  <c r="BE68" i="50" s="1"/>
  <c r="AK48" i="82"/>
  <c r="L71" i="50"/>
  <c r="AX71" i="50" s="1"/>
  <c r="AG51" i="82"/>
  <c r="AG72" i="50"/>
  <c r="BS72" i="50" s="1"/>
  <c r="AS52" i="82"/>
  <c r="S74" i="50"/>
  <c r="BE74" i="50" s="1"/>
  <c r="AK54" i="82"/>
  <c r="E76" i="50"/>
  <c r="AQ76" i="50" s="1"/>
  <c r="AC56" i="82"/>
  <c r="Z77" i="50"/>
  <c r="BL77" i="50" s="1"/>
  <c r="AO57" i="82"/>
  <c r="L79" i="50"/>
  <c r="AX79" i="50" s="1"/>
  <c r="AG59" i="82"/>
  <c r="AG80" i="50"/>
  <c r="BS80" i="50" s="1"/>
  <c r="AS60" i="82"/>
  <c r="S82" i="50"/>
  <c r="BE82" i="50" s="1"/>
  <c r="AK62" i="82"/>
  <c r="E84" i="50"/>
  <c r="AQ84" i="50" s="1"/>
  <c r="AC64" i="82"/>
  <c r="L153" i="50"/>
  <c r="AX153" i="50" s="1"/>
  <c r="AG113" i="82"/>
  <c r="AG154" i="50"/>
  <c r="BS154" i="50" s="1"/>
  <c r="AS114" i="82"/>
  <c r="S156" i="50"/>
  <c r="BE156" i="50" s="1"/>
  <c r="AK116" i="82"/>
  <c r="E158" i="50"/>
  <c r="AQ158" i="50" s="1"/>
  <c r="AC118" i="82"/>
  <c r="Z159" i="50"/>
  <c r="BL159" i="50" s="1"/>
  <c r="AO119" i="82"/>
  <c r="L161" i="50"/>
  <c r="AX161" i="50" s="1"/>
  <c r="AG121" i="82"/>
  <c r="AG162" i="50"/>
  <c r="BS162" i="50" s="1"/>
  <c r="AS122" i="82"/>
  <c r="S164" i="50"/>
  <c r="BE164" i="50" s="1"/>
  <c r="AK124" i="82"/>
  <c r="E166" i="50"/>
  <c r="AQ166" i="50" s="1"/>
  <c r="AC126" i="82"/>
  <c r="Z167" i="50"/>
  <c r="BL167" i="50" s="1"/>
  <c r="AO127" i="82"/>
  <c r="L169" i="50"/>
  <c r="AX169" i="50" s="1"/>
  <c r="AG129" i="82"/>
  <c r="AG170" i="50"/>
  <c r="BS170" i="50" s="1"/>
  <c r="AS130" i="82"/>
  <c r="S193" i="50"/>
  <c r="BE193" i="50" s="1"/>
  <c r="AK154" i="82"/>
  <c r="H200" i="82"/>
  <c r="AC200" i="82" s="1"/>
  <c r="AC156" i="82"/>
  <c r="Z196" i="50"/>
  <c r="BL196" i="50" s="1"/>
  <c r="AO157" i="82"/>
  <c r="L198" i="50"/>
  <c r="AX198" i="50" s="1"/>
  <c r="AG159" i="82"/>
  <c r="AG199" i="50"/>
  <c r="BS199" i="50" s="1"/>
  <c r="AS160" i="82"/>
  <c r="S201" i="50"/>
  <c r="AK162" i="82"/>
  <c r="H208" i="82"/>
  <c r="AC208" i="82" s="1"/>
  <c r="AC164" i="82"/>
  <c r="Z204" i="50"/>
  <c r="BL204" i="50" s="1"/>
  <c r="AO165" i="82"/>
  <c r="L206" i="50"/>
  <c r="AX206" i="50" s="1"/>
  <c r="AG167" i="82"/>
  <c r="AG207" i="50"/>
  <c r="AS168" i="82"/>
  <c r="S209" i="50"/>
  <c r="BE209" i="50" s="1"/>
  <c r="AK170" i="82"/>
  <c r="E211" i="50"/>
  <c r="AQ211" i="50" s="1"/>
  <c r="AC172" i="82"/>
  <c r="Z212" i="50"/>
  <c r="BL212" i="50" s="1"/>
  <c r="AO173" i="82"/>
  <c r="S237" i="50"/>
  <c r="BE237" i="50" s="1"/>
  <c r="AK176" i="82"/>
  <c r="E239" i="50"/>
  <c r="AQ239" i="50" s="1"/>
  <c r="AC178" i="82"/>
  <c r="Z240" i="50"/>
  <c r="BL240" i="50" s="1"/>
  <c r="AO179" i="82"/>
  <c r="L242" i="50"/>
  <c r="AX242" i="50" s="1"/>
  <c r="AG181" i="82"/>
  <c r="AG243" i="50"/>
  <c r="BS243" i="50" s="1"/>
  <c r="AS182" i="82"/>
  <c r="S245" i="50"/>
  <c r="BE245" i="50" s="1"/>
  <c r="AK184" i="82"/>
  <c r="E247" i="50"/>
  <c r="AQ247" i="50" s="1"/>
  <c r="AC186" i="82"/>
  <c r="Z248" i="50"/>
  <c r="BL248" i="50" s="1"/>
  <c r="AO187" i="82"/>
  <c r="L250" i="50"/>
  <c r="AX250" i="50" s="1"/>
  <c r="AG189" i="82"/>
  <c r="AG251" i="50"/>
  <c r="BS251" i="50" s="1"/>
  <c r="AS190" i="82"/>
  <c r="S253" i="50"/>
  <c r="BE253" i="50" s="1"/>
  <c r="AK192" i="82"/>
  <c r="E255" i="50"/>
  <c r="AQ255" i="50" s="1"/>
  <c r="AC194" i="82"/>
  <c r="Z256" i="50"/>
  <c r="BL256" i="50" s="1"/>
  <c r="AO195" i="82"/>
  <c r="N40" i="82"/>
  <c r="AI40" i="82" s="1"/>
  <c r="AI43" i="82"/>
  <c r="AG68" i="50"/>
  <c r="BS68" i="50" s="1"/>
  <c r="AS48" i="82"/>
  <c r="E78" i="50"/>
  <c r="AQ78" i="50" s="1"/>
  <c r="AC58" i="82"/>
  <c r="L152" i="50"/>
  <c r="AX152" i="50" s="1"/>
  <c r="AG112" i="82"/>
  <c r="AG161" i="50"/>
  <c r="BS161" i="50" s="1"/>
  <c r="AS121" i="82"/>
  <c r="Z239" i="50"/>
  <c r="BL239" i="50" s="1"/>
  <c r="AO178" i="82"/>
  <c r="E246" i="50"/>
  <c r="AQ246" i="50" s="1"/>
  <c r="AC185" i="82"/>
  <c r="Z255" i="50"/>
  <c r="BL255" i="50" s="1"/>
  <c r="AO194" i="82"/>
  <c r="E15" i="50"/>
  <c r="AQ15" i="50" s="1"/>
  <c r="AC16" i="82"/>
  <c r="Z16" i="50"/>
  <c r="BL16" i="50" s="1"/>
  <c r="AO17" i="82"/>
  <c r="L18" i="50"/>
  <c r="AX18" i="50" s="1"/>
  <c r="AG19" i="82"/>
  <c r="E21" i="50"/>
  <c r="AQ21" i="50" s="1"/>
  <c r="AC22" i="82"/>
  <c r="Z22" i="50"/>
  <c r="BL22" i="50" s="1"/>
  <c r="AO23" i="82"/>
  <c r="L24" i="50"/>
  <c r="AX24" i="50" s="1"/>
  <c r="AG25" i="82"/>
  <c r="AG25" i="50"/>
  <c r="BS25" i="50" s="1"/>
  <c r="AS26" i="82"/>
  <c r="S27" i="50"/>
  <c r="BE27" i="50" s="1"/>
  <c r="AK28" i="82"/>
  <c r="M40" i="82"/>
  <c r="AH40" i="82" s="1"/>
  <c r="AH43" i="82"/>
  <c r="W40" i="82"/>
  <c r="AR40" i="82" s="1"/>
  <c r="AR43" i="82"/>
  <c r="S65" i="50"/>
  <c r="BE65" i="50" s="1"/>
  <c r="AK45" i="82"/>
  <c r="E67" i="50"/>
  <c r="AQ67" i="50" s="1"/>
  <c r="AC47" i="82"/>
  <c r="Z68" i="50"/>
  <c r="BL68" i="50" s="1"/>
  <c r="AO48" i="82"/>
  <c r="S71" i="50"/>
  <c r="BE71" i="50" s="1"/>
  <c r="AK51" i="82"/>
  <c r="E73" i="50"/>
  <c r="AQ73" i="50" s="1"/>
  <c r="AC53" i="82"/>
  <c r="Z74" i="50"/>
  <c r="BL74" i="50" s="1"/>
  <c r="AO54" i="82"/>
  <c r="L76" i="50"/>
  <c r="AX76" i="50" s="1"/>
  <c r="AG56" i="82"/>
  <c r="AG77" i="50"/>
  <c r="BS77" i="50" s="1"/>
  <c r="AS57" i="82"/>
  <c r="S79" i="50"/>
  <c r="BE79" i="50" s="1"/>
  <c r="AK59" i="82"/>
  <c r="E81" i="50"/>
  <c r="AQ81" i="50" s="1"/>
  <c r="AC61" i="82"/>
  <c r="Z82" i="50"/>
  <c r="BL82" i="50" s="1"/>
  <c r="AO62" i="82"/>
  <c r="L84" i="50"/>
  <c r="AX84" i="50" s="1"/>
  <c r="AG64" i="82"/>
  <c r="S153" i="50"/>
  <c r="BE153" i="50" s="1"/>
  <c r="AK113" i="82"/>
  <c r="E155" i="50"/>
  <c r="AQ155" i="50" s="1"/>
  <c r="AC115" i="82"/>
  <c r="Z156" i="50"/>
  <c r="BL156" i="50" s="1"/>
  <c r="AO116" i="82"/>
  <c r="L158" i="50"/>
  <c r="AX158" i="50" s="1"/>
  <c r="AG118" i="82"/>
  <c r="AG159" i="50"/>
  <c r="BS159" i="50" s="1"/>
  <c r="AS119" i="82"/>
  <c r="S161" i="50"/>
  <c r="BE161" i="50" s="1"/>
  <c r="AK121" i="82"/>
  <c r="E163" i="50"/>
  <c r="AQ163" i="50" s="1"/>
  <c r="AC123" i="82"/>
  <c r="Z164" i="50"/>
  <c r="BL164" i="50" s="1"/>
  <c r="AO124" i="82"/>
  <c r="L166" i="50"/>
  <c r="AX166" i="50" s="1"/>
  <c r="AG126" i="82"/>
  <c r="AG167" i="50"/>
  <c r="BS167" i="50" s="1"/>
  <c r="AS127" i="82"/>
  <c r="S169" i="50"/>
  <c r="BE169" i="50" s="1"/>
  <c r="AK129" i="82"/>
  <c r="H205" i="82"/>
  <c r="AC205" i="82" s="1"/>
  <c r="AC161" i="82"/>
  <c r="H213" i="82"/>
  <c r="AC213" i="82" s="1"/>
  <c r="AC169" i="82"/>
  <c r="Z237" i="50"/>
  <c r="BL237" i="50" s="1"/>
  <c r="AO176" i="82"/>
  <c r="L239" i="50"/>
  <c r="AX239" i="50" s="1"/>
  <c r="AG178" i="82"/>
  <c r="AG240" i="50"/>
  <c r="BS240" i="50" s="1"/>
  <c r="AS179" i="82"/>
  <c r="S242" i="50"/>
  <c r="BE242" i="50" s="1"/>
  <c r="AK181" i="82"/>
  <c r="E244" i="50"/>
  <c r="AQ244" i="50" s="1"/>
  <c r="AC183" i="82"/>
  <c r="Z245" i="50"/>
  <c r="BL245" i="50" s="1"/>
  <c r="AO184" i="82"/>
  <c r="L247" i="50"/>
  <c r="AX247" i="50" s="1"/>
  <c r="AG186" i="82"/>
  <c r="AG248" i="50"/>
  <c r="BS248" i="50" s="1"/>
  <c r="AS187" i="82"/>
  <c r="S250" i="50"/>
  <c r="BE250" i="50" s="1"/>
  <c r="AK189" i="82"/>
  <c r="E252" i="50"/>
  <c r="AQ252" i="50" s="1"/>
  <c r="AC191" i="82"/>
  <c r="Z253" i="50"/>
  <c r="BL253" i="50" s="1"/>
  <c r="AO192" i="82"/>
  <c r="L255" i="50"/>
  <c r="AX255" i="50" s="1"/>
  <c r="AG194" i="82"/>
  <c r="AG256" i="50"/>
  <c r="BS256" i="50" s="1"/>
  <c r="AS195" i="82"/>
  <c r="Z79" i="50"/>
  <c r="BL79" i="50" s="1"/>
  <c r="AO59" i="82"/>
  <c r="L81" i="50"/>
  <c r="AX81" i="50" s="1"/>
  <c r="AG61" i="82"/>
  <c r="AG82" i="50"/>
  <c r="BS82" i="50" s="1"/>
  <c r="AS62" i="82"/>
  <c r="S84" i="50"/>
  <c r="BE84" i="50" s="1"/>
  <c r="AK64" i="82"/>
  <c r="E152" i="50"/>
  <c r="AQ152" i="50" s="1"/>
  <c r="AC112" i="82"/>
  <c r="Z153" i="50"/>
  <c r="BL153" i="50" s="1"/>
  <c r="AO113" i="82"/>
  <c r="L155" i="50"/>
  <c r="AX155" i="50" s="1"/>
  <c r="AG115" i="82"/>
  <c r="AG156" i="50"/>
  <c r="BS156" i="50" s="1"/>
  <c r="AS116" i="82"/>
  <c r="S158" i="50"/>
  <c r="BE158" i="50" s="1"/>
  <c r="AK118" i="82"/>
  <c r="E160" i="50"/>
  <c r="AQ160" i="50" s="1"/>
  <c r="AC120" i="82"/>
  <c r="Z161" i="50"/>
  <c r="BL161" i="50" s="1"/>
  <c r="AO121" i="82"/>
  <c r="L163" i="50"/>
  <c r="AX163" i="50" s="1"/>
  <c r="AG123" i="82"/>
  <c r="AG164" i="50"/>
  <c r="BS164" i="50" s="1"/>
  <c r="AS124" i="82"/>
  <c r="S166" i="50"/>
  <c r="BE166" i="50" s="1"/>
  <c r="AK126" i="82"/>
  <c r="E168" i="50"/>
  <c r="AQ168" i="50" s="1"/>
  <c r="AC128" i="82"/>
  <c r="Z169" i="50"/>
  <c r="BL169" i="50" s="1"/>
  <c r="AO129" i="82"/>
  <c r="S195" i="50"/>
  <c r="BE195" i="50" s="1"/>
  <c r="AK156" i="82"/>
  <c r="E197" i="50"/>
  <c r="AQ197" i="50" s="1"/>
  <c r="AC158" i="82"/>
  <c r="Z198" i="50"/>
  <c r="BL198" i="50" s="1"/>
  <c r="AO159" i="82"/>
  <c r="L200" i="50"/>
  <c r="AX200" i="50" s="1"/>
  <c r="AG161" i="82"/>
  <c r="AG201" i="50"/>
  <c r="BS201" i="50" s="1"/>
  <c r="AS162" i="82"/>
  <c r="S203" i="50"/>
  <c r="BE203" i="50" s="1"/>
  <c r="AK164" i="82"/>
  <c r="E205" i="50"/>
  <c r="AQ205" i="50" s="1"/>
  <c r="AC166" i="82"/>
  <c r="Z206" i="50"/>
  <c r="BL206" i="50" s="1"/>
  <c r="AO167" i="82"/>
  <c r="L208" i="50"/>
  <c r="AX208" i="50" s="1"/>
  <c r="AG169" i="82"/>
  <c r="AG209" i="50"/>
  <c r="BS209" i="50" s="1"/>
  <c r="AS170" i="82"/>
  <c r="S211" i="50"/>
  <c r="BE211" i="50" s="1"/>
  <c r="AK172" i="82"/>
  <c r="E213" i="50"/>
  <c r="AQ213" i="50" s="1"/>
  <c r="AC174" i="82"/>
  <c r="AG237" i="50"/>
  <c r="BS237" i="50" s="1"/>
  <c r="AS176" i="82"/>
  <c r="S239" i="50"/>
  <c r="BE239" i="50" s="1"/>
  <c r="AK178" i="82"/>
  <c r="F157" i="41"/>
  <c r="AZ157" i="41" s="1"/>
  <c r="AG74" i="62"/>
  <c r="BX74" i="62" s="1"/>
  <c r="AG71" i="62"/>
  <c r="AG67" i="62" s="1"/>
  <c r="BX67" i="62" s="1"/>
  <c r="Z64" i="62"/>
  <c r="BQ64" i="62" s="1"/>
  <c r="AG94" i="62"/>
  <c r="BX94" i="62" s="1"/>
  <c r="E100" i="62"/>
  <c r="AV100" i="62" s="1"/>
  <c r="AV51" i="62"/>
  <c r="E108" i="62"/>
  <c r="AV108" i="62" s="1"/>
  <c r="AV59" i="62"/>
  <c r="L72" i="62"/>
  <c r="BC72" i="62" s="1"/>
  <c r="BC23" i="62"/>
  <c r="L84" i="62"/>
  <c r="BC84" i="62" s="1"/>
  <c r="BC35" i="62"/>
  <c r="L92" i="62"/>
  <c r="BC92" i="62" s="1"/>
  <c r="BC43" i="62"/>
  <c r="L102" i="62"/>
  <c r="BC102" i="62" s="1"/>
  <c r="BC53" i="62"/>
  <c r="S63" i="62"/>
  <c r="BJ63" i="62" s="1"/>
  <c r="BJ14" i="62"/>
  <c r="S75" i="62"/>
  <c r="BJ75" i="62" s="1"/>
  <c r="BJ26" i="62"/>
  <c r="S88" i="62"/>
  <c r="BJ88" i="62" s="1"/>
  <c r="BJ39" i="62"/>
  <c r="S97" i="62"/>
  <c r="BJ97" i="62" s="1"/>
  <c r="BJ48" i="62"/>
  <c r="S106" i="62"/>
  <c r="BJ106" i="62" s="1"/>
  <c r="BJ57" i="62"/>
  <c r="L62" i="62"/>
  <c r="BC62" i="62" s="1"/>
  <c r="BC13" i="62"/>
  <c r="L93" i="62"/>
  <c r="BC93" i="62" s="1"/>
  <c r="BC44" i="62"/>
  <c r="S65" i="62"/>
  <c r="BJ65" i="62" s="1"/>
  <c r="BJ16" i="62"/>
  <c r="S89" i="62"/>
  <c r="BJ89" i="62" s="1"/>
  <c r="BJ40" i="62"/>
  <c r="S107" i="62"/>
  <c r="BJ107" i="62" s="1"/>
  <c r="BJ58" i="62"/>
  <c r="AG64" i="62"/>
  <c r="BX64" i="62" s="1"/>
  <c r="BX65" i="62"/>
  <c r="L63" i="62"/>
  <c r="BC63" i="62" s="1"/>
  <c r="BC14" i="62"/>
  <c r="L86" i="62"/>
  <c r="BC86" i="62" s="1"/>
  <c r="BC37" i="62"/>
  <c r="L104" i="62"/>
  <c r="BC104" i="62" s="1"/>
  <c r="BC55" i="62"/>
  <c r="S77" i="62"/>
  <c r="BJ77" i="62" s="1"/>
  <c r="BJ28" i="62"/>
  <c r="S100" i="62"/>
  <c r="BJ100" i="62" s="1"/>
  <c r="BJ51" i="62"/>
  <c r="BX71" i="62"/>
  <c r="L65" i="62"/>
  <c r="BC65" i="62" s="1"/>
  <c r="BC16" i="62"/>
  <c r="L87" i="62"/>
  <c r="BC87" i="62" s="1"/>
  <c r="BC38" i="62"/>
  <c r="L105" i="62"/>
  <c r="BC105" i="62" s="1"/>
  <c r="BC56" i="62"/>
  <c r="S78" i="62"/>
  <c r="BJ78" i="62" s="1"/>
  <c r="BJ29" i="62"/>
  <c r="S101" i="62"/>
  <c r="BJ101" i="62" s="1"/>
  <c r="BJ52" i="62"/>
  <c r="E104" i="62"/>
  <c r="AV104" i="62" s="1"/>
  <c r="AV55" i="62"/>
  <c r="L77" i="62"/>
  <c r="BC77" i="62" s="1"/>
  <c r="BC28" i="62"/>
  <c r="L97" i="62"/>
  <c r="BC97" i="62" s="1"/>
  <c r="BC48" i="62"/>
  <c r="S69" i="62"/>
  <c r="BJ69" i="62" s="1"/>
  <c r="BJ20" i="62"/>
  <c r="S102" i="62"/>
  <c r="BJ102" i="62" s="1"/>
  <c r="BJ53" i="62"/>
  <c r="Z83" i="62"/>
  <c r="BQ83" i="62" s="1"/>
  <c r="E96" i="62"/>
  <c r="AV96" i="62" s="1"/>
  <c r="AV47" i="62"/>
  <c r="L68" i="62"/>
  <c r="BC68" i="62" s="1"/>
  <c r="BC19" i="62"/>
  <c r="L89" i="62"/>
  <c r="BC89" i="62" s="1"/>
  <c r="BC40" i="62"/>
  <c r="L107" i="62"/>
  <c r="BC107" i="62" s="1"/>
  <c r="BC58" i="62"/>
  <c r="S85" i="62"/>
  <c r="BJ85" i="62" s="1"/>
  <c r="BJ36" i="62"/>
  <c r="S103" i="62"/>
  <c r="BJ103" i="62" s="1"/>
  <c r="BJ54" i="62"/>
  <c r="Z74" i="62"/>
  <c r="BQ74" i="62" s="1"/>
  <c r="AG61" i="62"/>
  <c r="BX61" i="62" s="1"/>
  <c r="BX62" i="62"/>
  <c r="E97" i="62"/>
  <c r="AV97" i="62" s="1"/>
  <c r="AV48" i="62"/>
  <c r="E106" i="62"/>
  <c r="AV106" i="62" s="1"/>
  <c r="AV57" i="62"/>
  <c r="L69" i="62"/>
  <c r="BC69" i="62" s="1"/>
  <c r="BC20" i="62"/>
  <c r="L81" i="62"/>
  <c r="BC81" i="62" s="1"/>
  <c r="BC32" i="62"/>
  <c r="L90" i="62"/>
  <c r="BC90" i="62" s="1"/>
  <c r="BC41" i="62"/>
  <c r="L100" i="62"/>
  <c r="BC100" i="62" s="1"/>
  <c r="BC51" i="62"/>
  <c r="L108" i="62"/>
  <c r="BC108" i="62" s="1"/>
  <c r="BC59" i="62"/>
  <c r="S72" i="62"/>
  <c r="BJ72" i="62" s="1"/>
  <c r="BJ23" i="62"/>
  <c r="S86" i="62"/>
  <c r="BJ86" i="62" s="1"/>
  <c r="BJ37" i="62"/>
  <c r="S95" i="62"/>
  <c r="BJ95" i="62" s="1"/>
  <c r="BJ46" i="62"/>
  <c r="S104" i="62"/>
  <c r="BJ104" i="62" s="1"/>
  <c r="BJ55" i="62"/>
  <c r="E101" i="62"/>
  <c r="AV101" i="62" s="1"/>
  <c r="AV52" i="62"/>
  <c r="L73" i="62"/>
  <c r="BC73" i="62" s="1"/>
  <c r="BC24" i="62"/>
  <c r="L85" i="62"/>
  <c r="BC85" i="62" s="1"/>
  <c r="BC36" i="62"/>
  <c r="L103" i="62"/>
  <c r="BC103" i="62" s="1"/>
  <c r="BC54" i="62"/>
  <c r="S76" i="62"/>
  <c r="BJ76" i="62" s="1"/>
  <c r="BJ27" i="62"/>
  <c r="S98" i="62"/>
  <c r="BJ98" i="62" s="1"/>
  <c r="BJ49" i="62"/>
  <c r="E102" i="62"/>
  <c r="AV102" i="62" s="1"/>
  <c r="AV53" i="62"/>
  <c r="L75" i="62"/>
  <c r="BC75" i="62" s="1"/>
  <c r="BC26" i="62"/>
  <c r="L95" i="62"/>
  <c r="BC95" i="62" s="1"/>
  <c r="BC46" i="62"/>
  <c r="S66" i="62"/>
  <c r="BJ66" i="62" s="1"/>
  <c r="BJ17" i="62"/>
  <c r="S90" i="62"/>
  <c r="BJ90" i="62" s="1"/>
  <c r="BJ41" i="62"/>
  <c r="S108" i="62"/>
  <c r="BJ108" i="62" s="1"/>
  <c r="BJ59" i="62"/>
  <c r="E103" i="62"/>
  <c r="AV103" i="62" s="1"/>
  <c r="AV54" i="62"/>
  <c r="L76" i="62"/>
  <c r="BC76" i="62" s="1"/>
  <c r="BC27" i="62"/>
  <c r="L96" i="62"/>
  <c r="BC96" i="62" s="1"/>
  <c r="BC47" i="62"/>
  <c r="S68" i="62"/>
  <c r="BJ68" i="62" s="1"/>
  <c r="BJ19" i="62"/>
  <c r="S91" i="62"/>
  <c r="BJ91" i="62" s="1"/>
  <c r="BJ42" i="62"/>
  <c r="Z71" i="62"/>
  <c r="BQ72" i="62"/>
  <c r="E95" i="62"/>
  <c r="AV95" i="62" s="1"/>
  <c r="AV46" i="62"/>
  <c r="L66" i="62"/>
  <c r="BC66" i="62" s="1"/>
  <c r="BC17" i="62"/>
  <c r="L88" i="62"/>
  <c r="BC88" i="62" s="1"/>
  <c r="BC39" i="62"/>
  <c r="L106" i="62"/>
  <c r="BC106" i="62" s="1"/>
  <c r="BC57" i="62"/>
  <c r="S84" i="62"/>
  <c r="BJ84" i="62" s="1"/>
  <c r="BJ35" i="62"/>
  <c r="S92" i="62"/>
  <c r="BJ92" i="62" s="1"/>
  <c r="BJ43" i="62"/>
  <c r="Z61" i="62"/>
  <c r="BQ61" i="62" s="1"/>
  <c r="E105" i="62"/>
  <c r="AV105" i="62" s="1"/>
  <c r="AV56" i="62"/>
  <c r="L78" i="62"/>
  <c r="BC78" i="62" s="1"/>
  <c r="BC29" i="62"/>
  <c r="L98" i="62"/>
  <c r="BC98" i="62" s="1"/>
  <c r="BC49" i="62"/>
  <c r="S70" i="62"/>
  <c r="BJ70" i="62" s="1"/>
  <c r="BJ21" i="62"/>
  <c r="S93" i="62"/>
  <c r="BJ93" i="62" s="1"/>
  <c r="BJ44" i="62"/>
  <c r="AG99" i="62"/>
  <c r="BX99" i="62" s="1"/>
  <c r="BX101" i="62"/>
  <c r="E98" i="62"/>
  <c r="AV98" i="62" s="1"/>
  <c r="AV49" i="62"/>
  <c r="E107" i="62"/>
  <c r="AV107" i="62" s="1"/>
  <c r="AV58" i="62"/>
  <c r="L70" i="62"/>
  <c r="BC70" i="62" s="1"/>
  <c r="BC21" i="62"/>
  <c r="L82" i="62"/>
  <c r="BC82" i="62" s="1"/>
  <c r="BC33" i="62"/>
  <c r="L91" i="62"/>
  <c r="BC91" i="62" s="1"/>
  <c r="BC42" i="62"/>
  <c r="L101" i="62"/>
  <c r="BC101" i="62" s="1"/>
  <c r="BC52" i="62"/>
  <c r="S62" i="62"/>
  <c r="BJ62" i="62" s="1"/>
  <c r="BJ13" i="62"/>
  <c r="S73" i="62"/>
  <c r="BJ73" i="62" s="1"/>
  <c r="BJ24" i="62"/>
  <c r="S87" i="62"/>
  <c r="BJ87" i="62" s="1"/>
  <c r="BJ38" i="62"/>
  <c r="S96" i="62"/>
  <c r="BJ96" i="62" s="1"/>
  <c r="BJ47" i="62"/>
  <c r="S105" i="62"/>
  <c r="BJ105" i="62" s="1"/>
  <c r="BJ56" i="62"/>
  <c r="AG83" i="62"/>
  <c r="BX83" i="62" s="1"/>
  <c r="X89" i="82"/>
  <c r="AS89" i="82" s="1"/>
  <c r="AG34" i="50"/>
  <c r="BS34" i="50" s="1"/>
  <c r="X30" i="82"/>
  <c r="E44" i="50"/>
  <c r="AQ44" i="50" s="1"/>
  <c r="T111" i="82"/>
  <c r="AO111" i="82" s="1"/>
  <c r="M131" i="82"/>
  <c r="AH131" i="82" s="1"/>
  <c r="L38" i="50"/>
  <c r="AX38" i="50" s="1"/>
  <c r="S38" i="50"/>
  <c r="BE38" i="50" s="1"/>
  <c r="Z131" i="50"/>
  <c r="BL131" i="50" s="1"/>
  <c r="B66" i="85" s="1"/>
  <c r="H36" i="82"/>
  <c r="N11" i="82"/>
  <c r="L36" i="82"/>
  <c r="P111" i="82"/>
  <c r="AK111" i="82" s="1"/>
  <c r="X111" i="82"/>
  <c r="AS111" i="82" s="1"/>
  <c r="E38" i="50"/>
  <c r="AQ38" i="50" s="1"/>
  <c r="S44" i="50"/>
  <c r="BE44" i="50" s="1"/>
  <c r="J11" i="82"/>
  <c r="K11" i="82"/>
  <c r="R11" i="82"/>
  <c r="L30" i="82"/>
  <c r="U197" i="82"/>
  <c r="AP197" i="82" s="1"/>
  <c r="V11" i="82"/>
  <c r="T82" i="82"/>
  <c r="AO82" i="82" s="1"/>
  <c r="M197" i="82"/>
  <c r="AH197" i="82" s="1"/>
  <c r="P14" i="82"/>
  <c r="AK14" i="82" s="1"/>
  <c r="O11" i="82"/>
  <c r="L214" i="50"/>
  <c r="AX214" i="50" s="1"/>
  <c r="B35" i="85" s="1"/>
  <c r="L111" i="82"/>
  <c r="AG111" i="82" s="1"/>
  <c r="I74" i="82"/>
  <c r="AD74" i="82" s="1"/>
  <c r="L14" i="82"/>
  <c r="AG14" i="82" s="1"/>
  <c r="H111" i="82"/>
  <c r="AC111" i="82" s="1"/>
  <c r="G11" i="82"/>
  <c r="H14" i="82"/>
  <c r="AC14" i="82" s="1"/>
  <c r="X14" i="82"/>
  <c r="AS14" i="82" s="1"/>
  <c r="T14" i="82"/>
  <c r="AO14" i="82" s="1"/>
  <c r="S11" i="82"/>
  <c r="I197" i="82"/>
  <c r="AD197" i="82" s="1"/>
  <c r="E197" i="82"/>
  <c r="Z197" i="82" s="1"/>
  <c r="W11" i="82"/>
  <c r="Q74" i="82"/>
  <c r="AL74" i="82" s="1"/>
  <c r="I68" i="82"/>
  <c r="AD68" i="82" s="1"/>
  <c r="E131" i="50"/>
  <c r="AQ131" i="50" s="1"/>
  <c r="B12" i="85" s="1"/>
  <c r="E214" i="50"/>
  <c r="AQ214" i="50" s="1"/>
  <c r="B17" i="85" s="1"/>
  <c r="S131" i="50"/>
  <c r="BE131" i="50" s="1"/>
  <c r="B48" i="85" s="1"/>
  <c r="S214" i="50"/>
  <c r="BE214" i="50" s="1"/>
  <c r="B53" i="85" s="1"/>
  <c r="L66" i="82"/>
  <c r="AG66" i="82" s="1"/>
  <c r="L11" i="50"/>
  <c r="H67" i="82"/>
  <c r="AC67" i="82" s="1"/>
  <c r="E12" i="50"/>
  <c r="X67" i="82"/>
  <c r="AS67" i="82" s="1"/>
  <c r="AG12" i="50"/>
  <c r="T69" i="82"/>
  <c r="AO69" i="82" s="1"/>
  <c r="Z14" i="50"/>
  <c r="P70" i="82"/>
  <c r="AK70" i="82" s="1"/>
  <c r="S15" i="50"/>
  <c r="L71" i="82"/>
  <c r="AG71" i="82" s="1"/>
  <c r="L16" i="50"/>
  <c r="H72" i="82"/>
  <c r="AC72" i="82" s="1"/>
  <c r="E17" i="50"/>
  <c r="X72" i="82"/>
  <c r="AS72" i="82" s="1"/>
  <c r="AG17" i="50"/>
  <c r="T73" i="82"/>
  <c r="AO73" i="82" s="1"/>
  <c r="Z18" i="50"/>
  <c r="T75" i="82"/>
  <c r="AO75" i="82" s="1"/>
  <c r="Z20" i="50"/>
  <c r="P76" i="82"/>
  <c r="AK76" i="82" s="1"/>
  <c r="S21" i="50"/>
  <c r="L77" i="82"/>
  <c r="AG77" i="82" s="1"/>
  <c r="L22" i="50"/>
  <c r="H78" i="82"/>
  <c r="AC78" i="82" s="1"/>
  <c r="E23" i="50"/>
  <c r="X78" i="82"/>
  <c r="AS78" i="82" s="1"/>
  <c r="AG23" i="50"/>
  <c r="T79" i="82"/>
  <c r="AO79" i="82" s="1"/>
  <c r="Z24" i="50"/>
  <c r="P80" i="82"/>
  <c r="AK80" i="82" s="1"/>
  <c r="S25" i="50"/>
  <c r="L81" i="82"/>
  <c r="AG81" i="82" s="1"/>
  <c r="L26" i="50"/>
  <c r="H82" i="82"/>
  <c r="AC82" i="82" s="1"/>
  <c r="E27" i="50"/>
  <c r="X82" i="82"/>
  <c r="AS82" i="82" s="1"/>
  <c r="AG27" i="50"/>
  <c r="T83" i="82"/>
  <c r="AO83" i="82" s="1"/>
  <c r="Z28" i="50"/>
  <c r="P85" i="82"/>
  <c r="AK85" i="82" s="1"/>
  <c r="S30" i="50"/>
  <c r="L86" i="82"/>
  <c r="AG86" i="82" s="1"/>
  <c r="L31" i="50"/>
  <c r="H87" i="82"/>
  <c r="AC87" i="82" s="1"/>
  <c r="E32" i="50"/>
  <c r="AG32" i="50"/>
  <c r="X87" i="82"/>
  <c r="AS87" i="82" s="1"/>
  <c r="T36" i="82"/>
  <c r="AO36" i="82" s="1"/>
  <c r="H89" i="82"/>
  <c r="AC89" i="82" s="1"/>
  <c r="E34" i="50"/>
  <c r="P132" i="82"/>
  <c r="AK132" i="82" s="1"/>
  <c r="S112" i="50"/>
  <c r="L133" i="82"/>
  <c r="AG133" i="82" s="1"/>
  <c r="L113" i="50"/>
  <c r="H134" i="82"/>
  <c r="AC134" i="82" s="1"/>
  <c r="E114" i="50"/>
  <c r="X134" i="82"/>
  <c r="AS134" i="82" s="1"/>
  <c r="AG114" i="50"/>
  <c r="T135" i="82"/>
  <c r="AO135" i="82" s="1"/>
  <c r="Z115" i="50"/>
  <c r="P136" i="82"/>
  <c r="AK136" i="82" s="1"/>
  <c r="S116" i="50"/>
  <c r="L137" i="82"/>
  <c r="AG137" i="82" s="1"/>
  <c r="L117" i="50"/>
  <c r="H138" i="82"/>
  <c r="AC138" i="82" s="1"/>
  <c r="E118" i="50"/>
  <c r="X138" i="82"/>
  <c r="AS138" i="82" s="1"/>
  <c r="AG118" i="50"/>
  <c r="T139" i="82"/>
  <c r="AO139" i="82" s="1"/>
  <c r="Z119" i="50"/>
  <c r="P140" i="82"/>
  <c r="AK140" i="82" s="1"/>
  <c r="S120" i="50"/>
  <c r="L141" i="82"/>
  <c r="AG141" i="82" s="1"/>
  <c r="L121" i="50"/>
  <c r="H142" i="82"/>
  <c r="AC142" i="82" s="1"/>
  <c r="E122" i="50"/>
  <c r="X142" i="82"/>
  <c r="AS142" i="82" s="1"/>
  <c r="AG122" i="50"/>
  <c r="T143" i="82"/>
  <c r="AO143" i="82" s="1"/>
  <c r="Z123" i="50"/>
  <c r="P144" i="82"/>
  <c r="AK144" i="82" s="1"/>
  <c r="S124" i="50"/>
  <c r="L145" i="82"/>
  <c r="AG145" i="82" s="1"/>
  <c r="L125" i="50"/>
  <c r="H146" i="82"/>
  <c r="AC146" i="82" s="1"/>
  <c r="E126" i="50"/>
  <c r="X146" i="82"/>
  <c r="AS146" i="82" s="1"/>
  <c r="AG126" i="50"/>
  <c r="BS126" i="50" s="1"/>
  <c r="T147" i="82"/>
  <c r="AO147" i="82" s="1"/>
  <c r="Z127" i="50"/>
  <c r="P148" i="82"/>
  <c r="AK148" i="82" s="1"/>
  <c r="S128" i="50"/>
  <c r="L149" i="82"/>
  <c r="AG149" i="82" s="1"/>
  <c r="L129" i="50"/>
  <c r="H150" i="82"/>
  <c r="AC150" i="82" s="1"/>
  <c r="E130" i="50"/>
  <c r="X150" i="82"/>
  <c r="AS150" i="82" s="1"/>
  <c r="AG130" i="50"/>
  <c r="L67" i="82"/>
  <c r="AG67" i="82" s="1"/>
  <c r="L12" i="50"/>
  <c r="H69" i="82"/>
  <c r="AC69" i="82" s="1"/>
  <c r="E14" i="50"/>
  <c r="X69" i="82"/>
  <c r="AS69" i="82" s="1"/>
  <c r="AG14" i="50"/>
  <c r="T70" i="82"/>
  <c r="AO70" i="82" s="1"/>
  <c r="Z15" i="50"/>
  <c r="P71" i="82"/>
  <c r="AK71" i="82" s="1"/>
  <c r="S16" i="50"/>
  <c r="L72" i="82"/>
  <c r="AG72" i="82" s="1"/>
  <c r="L17" i="50"/>
  <c r="H73" i="82"/>
  <c r="AC73" i="82" s="1"/>
  <c r="E18" i="50"/>
  <c r="X73" i="82"/>
  <c r="AS73" i="82" s="1"/>
  <c r="AG18" i="50"/>
  <c r="H75" i="82"/>
  <c r="AC75" i="82" s="1"/>
  <c r="E20" i="50"/>
  <c r="X75" i="82"/>
  <c r="AS75" i="82" s="1"/>
  <c r="AG20" i="50"/>
  <c r="T76" i="82"/>
  <c r="AO76" i="82" s="1"/>
  <c r="Z21" i="50"/>
  <c r="P77" i="82"/>
  <c r="AK77" i="82" s="1"/>
  <c r="S22" i="50"/>
  <c r="L78" i="82"/>
  <c r="AG78" i="82" s="1"/>
  <c r="L23" i="50"/>
  <c r="H79" i="82"/>
  <c r="AC79" i="82" s="1"/>
  <c r="E24" i="50"/>
  <c r="X79" i="82"/>
  <c r="AS79" i="82" s="1"/>
  <c r="AG24" i="50"/>
  <c r="T80" i="82"/>
  <c r="AO80" i="82" s="1"/>
  <c r="Z25" i="50"/>
  <c r="P81" i="82"/>
  <c r="AK81" i="82" s="1"/>
  <c r="S26" i="50"/>
  <c r="L82" i="82"/>
  <c r="AG82" i="82" s="1"/>
  <c r="L27" i="50"/>
  <c r="H83" i="82"/>
  <c r="AC83" i="82" s="1"/>
  <c r="E28" i="50"/>
  <c r="X83" i="82"/>
  <c r="AS83" i="82" s="1"/>
  <c r="AG28" i="50"/>
  <c r="T85" i="82"/>
  <c r="AO85" i="82" s="1"/>
  <c r="Z30" i="50"/>
  <c r="P86" i="82"/>
  <c r="AK86" i="82" s="1"/>
  <c r="S31" i="50"/>
  <c r="L87" i="82"/>
  <c r="AG87" i="82" s="1"/>
  <c r="L32" i="50"/>
  <c r="L89" i="82"/>
  <c r="AG89" i="82" s="1"/>
  <c r="L34" i="50"/>
  <c r="H66" i="82"/>
  <c r="AC66" i="82" s="1"/>
  <c r="E61" i="50"/>
  <c r="X66" i="82"/>
  <c r="AS66" i="82" s="1"/>
  <c r="AG61" i="50"/>
  <c r="BS61" i="50" s="1"/>
  <c r="T67" i="82"/>
  <c r="AO67" i="82" s="1"/>
  <c r="Z62" i="50"/>
  <c r="H91" i="82"/>
  <c r="AC91" i="82" s="1"/>
  <c r="L91" i="82"/>
  <c r="AG91" i="82" s="1"/>
  <c r="P91" i="82"/>
  <c r="AK91" i="82" s="1"/>
  <c r="T91" i="82"/>
  <c r="AO91" i="82" s="1"/>
  <c r="X91" i="82"/>
  <c r="AS91" i="82" s="1"/>
  <c r="T132" i="82"/>
  <c r="AO132" i="82" s="1"/>
  <c r="Z112" i="50"/>
  <c r="P133" i="82"/>
  <c r="AK133" i="82" s="1"/>
  <c r="S113" i="50"/>
  <c r="L134" i="82"/>
  <c r="AG134" i="82" s="1"/>
  <c r="L114" i="50"/>
  <c r="H135" i="82"/>
  <c r="AC135" i="82" s="1"/>
  <c r="E115" i="50"/>
  <c r="X135" i="82"/>
  <c r="AS135" i="82" s="1"/>
  <c r="AG115" i="50"/>
  <c r="T136" i="82"/>
  <c r="AO136" i="82" s="1"/>
  <c r="Z116" i="50"/>
  <c r="P137" i="82"/>
  <c r="AK137" i="82" s="1"/>
  <c r="S117" i="50"/>
  <c r="L138" i="82"/>
  <c r="AG138" i="82" s="1"/>
  <c r="L118" i="50"/>
  <c r="H139" i="82"/>
  <c r="AC139" i="82" s="1"/>
  <c r="E119" i="50"/>
  <c r="X139" i="82"/>
  <c r="AS139" i="82" s="1"/>
  <c r="AG119" i="50"/>
  <c r="T140" i="82"/>
  <c r="AO140" i="82" s="1"/>
  <c r="Z120" i="50"/>
  <c r="P141" i="82"/>
  <c r="AK141" i="82" s="1"/>
  <c r="S121" i="50"/>
  <c r="L142" i="82"/>
  <c r="AG142" i="82" s="1"/>
  <c r="L122" i="50"/>
  <c r="H143" i="82"/>
  <c r="AC143" i="82" s="1"/>
  <c r="E123" i="50"/>
  <c r="X143" i="82"/>
  <c r="AS143" i="82" s="1"/>
  <c r="AG123" i="50"/>
  <c r="T144" i="82"/>
  <c r="AO144" i="82" s="1"/>
  <c r="Z124" i="50"/>
  <c r="P145" i="82"/>
  <c r="AK145" i="82" s="1"/>
  <c r="S125" i="50"/>
  <c r="L146" i="82"/>
  <c r="AG146" i="82" s="1"/>
  <c r="L126" i="50"/>
  <c r="H147" i="82"/>
  <c r="AC147" i="82" s="1"/>
  <c r="E127" i="50"/>
  <c r="X147" i="82"/>
  <c r="AS147" i="82" s="1"/>
  <c r="AG127" i="50"/>
  <c r="T148" i="82"/>
  <c r="AO148" i="82" s="1"/>
  <c r="Z128" i="50"/>
  <c r="P149" i="82"/>
  <c r="AK149" i="82" s="1"/>
  <c r="S129" i="50"/>
  <c r="L150" i="82"/>
  <c r="AG150" i="82" s="1"/>
  <c r="L130" i="50"/>
  <c r="L69" i="82"/>
  <c r="AG69" i="82" s="1"/>
  <c r="L14" i="50"/>
  <c r="AX14" i="50" s="1"/>
  <c r="X70" i="82"/>
  <c r="AS70" i="82" s="1"/>
  <c r="AG15" i="50"/>
  <c r="BS15" i="50" s="1"/>
  <c r="P72" i="82"/>
  <c r="AK72" i="82" s="1"/>
  <c r="S17" i="50"/>
  <c r="T30" i="82"/>
  <c r="AO30" i="82" s="1"/>
  <c r="H85" i="82"/>
  <c r="AC85" i="82" s="1"/>
  <c r="E30" i="50"/>
  <c r="X85" i="82"/>
  <c r="AS85" i="82" s="1"/>
  <c r="AG30" i="50"/>
  <c r="T86" i="82"/>
  <c r="AO86" i="82" s="1"/>
  <c r="Z31" i="50"/>
  <c r="P87" i="82"/>
  <c r="AK87" i="82" s="1"/>
  <c r="S32" i="50"/>
  <c r="P89" i="82"/>
  <c r="AK89" i="82" s="1"/>
  <c r="S34" i="50"/>
  <c r="P66" i="82"/>
  <c r="AK66" i="82" s="1"/>
  <c r="E74" i="82"/>
  <c r="Z74" i="82" s="1"/>
  <c r="U74" i="82"/>
  <c r="AP74" i="82" s="1"/>
  <c r="L85" i="82"/>
  <c r="AG85" i="82" s="1"/>
  <c r="T66" i="82"/>
  <c r="AO66" i="82" s="1"/>
  <c r="Z11" i="50"/>
  <c r="P67" i="82"/>
  <c r="AK67" i="82" s="1"/>
  <c r="S12" i="50"/>
  <c r="P69" i="82"/>
  <c r="AK69" i="82" s="1"/>
  <c r="S14" i="50"/>
  <c r="L70" i="82"/>
  <c r="AG70" i="82" s="1"/>
  <c r="L15" i="50"/>
  <c r="H71" i="82"/>
  <c r="AC71" i="82" s="1"/>
  <c r="E16" i="50"/>
  <c r="X71" i="82"/>
  <c r="AS71" i="82" s="1"/>
  <c r="AG16" i="50"/>
  <c r="T72" i="82"/>
  <c r="AO72" i="82" s="1"/>
  <c r="Z17" i="50"/>
  <c r="P73" i="82"/>
  <c r="AK73" i="82" s="1"/>
  <c r="S18" i="50"/>
  <c r="P75" i="82"/>
  <c r="AK75" i="82" s="1"/>
  <c r="S20" i="50"/>
  <c r="L76" i="82"/>
  <c r="AG76" i="82" s="1"/>
  <c r="L21" i="50"/>
  <c r="H77" i="82"/>
  <c r="AC77" i="82" s="1"/>
  <c r="E22" i="50"/>
  <c r="X77" i="82"/>
  <c r="AS77" i="82" s="1"/>
  <c r="AG22" i="50"/>
  <c r="T78" i="82"/>
  <c r="AO78" i="82" s="1"/>
  <c r="Z23" i="50"/>
  <c r="P79" i="82"/>
  <c r="AK79" i="82" s="1"/>
  <c r="S24" i="50"/>
  <c r="L80" i="82"/>
  <c r="AG80" i="82" s="1"/>
  <c r="L25" i="50"/>
  <c r="H81" i="82"/>
  <c r="AC81" i="82" s="1"/>
  <c r="E26" i="50"/>
  <c r="X81" i="82"/>
  <c r="AS81" i="82" s="1"/>
  <c r="AG26" i="50"/>
  <c r="P83" i="82"/>
  <c r="AK83" i="82" s="1"/>
  <c r="S28" i="50"/>
  <c r="H86" i="82"/>
  <c r="AC86" i="82" s="1"/>
  <c r="E31" i="50"/>
  <c r="X86" i="82"/>
  <c r="AS86" i="82" s="1"/>
  <c r="AG31" i="50"/>
  <c r="T87" i="82"/>
  <c r="AO87" i="82" s="1"/>
  <c r="Z32" i="50"/>
  <c r="P36" i="82"/>
  <c r="AK36" i="82" s="1"/>
  <c r="L43" i="82"/>
  <c r="AG43" i="82" s="1"/>
  <c r="L64" i="50"/>
  <c r="H43" i="82"/>
  <c r="AC43" i="82" s="1"/>
  <c r="E65" i="50"/>
  <c r="X43" i="82"/>
  <c r="AS43" i="82" s="1"/>
  <c r="AG65" i="50"/>
  <c r="T43" i="82"/>
  <c r="AO43" i="82" s="1"/>
  <c r="Z66" i="50"/>
  <c r="L73" i="82"/>
  <c r="AG73" i="82" s="1"/>
  <c r="L68" i="50"/>
  <c r="E40" i="82"/>
  <c r="L49" i="82"/>
  <c r="AG49" i="82" s="1"/>
  <c r="L70" i="50"/>
  <c r="H76" i="82"/>
  <c r="AC76" i="82" s="1"/>
  <c r="E71" i="50"/>
  <c r="X76" i="82"/>
  <c r="AS76" i="82" s="1"/>
  <c r="AG71" i="50"/>
  <c r="T77" i="82"/>
  <c r="AO77" i="82" s="1"/>
  <c r="Z72" i="50"/>
  <c r="P78" i="82"/>
  <c r="AK78" i="82" s="1"/>
  <c r="S73" i="50"/>
  <c r="L79" i="82"/>
  <c r="AG79" i="82" s="1"/>
  <c r="L74" i="50"/>
  <c r="H80" i="82"/>
  <c r="AC80" i="82" s="1"/>
  <c r="E75" i="50"/>
  <c r="X80" i="82"/>
  <c r="AS80" i="82" s="1"/>
  <c r="AG75" i="50"/>
  <c r="T81" i="82"/>
  <c r="AO81" i="82" s="1"/>
  <c r="Z76" i="50"/>
  <c r="P82" i="82"/>
  <c r="AK82" i="82" s="1"/>
  <c r="S77" i="50"/>
  <c r="L83" i="82"/>
  <c r="AG83" i="82" s="1"/>
  <c r="L78" i="50"/>
  <c r="E68" i="82"/>
  <c r="Z68" i="82" s="1"/>
  <c r="U68" i="82"/>
  <c r="AP68" i="82" s="1"/>
  <c r="Q68" i="82"/>
  <c r="AL68" i="82" s="1"/>
  <c r="H132" i="82"/>
  <c r="AC132" i="82" s="1"/>
  <c r="X132" i="82"/>
  <c r="AS132" i="82" s="1"/>
  <c r="AG112" i="50"/>
  <c r="BS112" i="50" s="1"/>
  <c r="T133" i="82"/>
  <c r="AO133" i="82" s="1"/>
  <c r="Z113" i="50"/>
  <c r="P134" i="82"/>
  <c r="AK134" i="82" s="1"/>
  <c r="S114" i="50"/>
  <c r="L135" i="82"/>
  <c r="AG135" i="82" s="1"/>
  <c r="L115" i="50"/>
  <c r="H136" i="82"/>
  <c r="AC136" i="82" s="1"/>
  <c r="X136" i="82"/>
  <c r="AS136" i="82" s="1"/>
  <c r="AG116" i="50"/>
  <c r="T137" i="82"/>
  <c r="AO137" i="82" s="1"/>
  <c r="Z117" i="50"/>
  <c r="P138" i="82"/>
  <c r="AK138" i="82" s="1"/>
  <c r="S118" i="50"/>
  <c r="L139" i="82"/>
  <c r="AG139" i="82" s="1"/>
  <c r="L119" i="50"/>
  <c r="H140" i="82"/>
  <c r="AC140" i="82" s="1"/>
  <c r="X140" i="82"/>
  <c r="AS140" i="82" s="1"/>
  <c r="AG120" i="50"/>
  <c r="T141" i="82"/>
  <c r="AO141" i="82" s="1"/>
  <c r="Z121" i="50"/>
  <c r="P142" i="82"/>
  <c r="AK142" i="82" s="1"/>
  <c r="S122" i="50"/>
  <c r="L143" i="82"/>
  <c r="AG143" i="82" s="1"/>
  <c r="L123" i="50"/>
  <c r="H144" i="82"/>
  <c r="AC144" i="82" s="1"/>
  <c r="X144" i="82"/>
  <c r="AS144" i="82" s="1"/>
  <c r="AG124" i="50"/>
  <c r="T145" i="82"/>
  <c r="AO145" i="82" s="1"/>
  <c r="Z125" i="50"/>
  <c r="P146" i="82"/>
  <c r="AK146" i="82" s="1"/>
  <c r="S126" i="50"/>
  <c r="L147" i="82"/>
  <c r="AG147" i="82" s="1"/>
  <c r="L127" i="50"/>
  <c r="H148" i="82"/>
  <c r="AC148" i="82" s="1"/>
  <c r="X148" i="82"/>
  <c r="AS148" i="82" s="1"/>
  <c r="AG128" i="50"/>
  <c r="T149" i="82"/>
  <c r="AO149" i="82" s="1"/>
  <c r="Z129" i="50"/>
  <c r="P150" i="82"/>
  <c r="AK150" i="82" s="1"/>
  <c r="S130" i="50"/>
  <c r="H153" i="82"/>
  <c r="AC153" i="82" s="1"/>
  <c r="E193" i="50"/>
  <c r="AQ193" i="50" s="1"/>
  <c r="X153" i="82"/>
  <c r="AS153" i="82" s="1"/>
  <c r="AG193" i="50"/>
  <c r="T153" i="82"/>
  <c r="AO153" i="82" s="1"/>
  <c r="Z194" i="50"/>
  <c r="BL194" i="50" s="1"/>
  <c r="H175" i="82"/>
  <c r="AC175" i="82" s="1"/>
  <c r="E237" i="50"/>
  <c r="AQ237" i="50" s="1"/>
  <c r="T175" i="82"/>
  <c r="AO175" i="82" s="1"/>
  <c r="Z238" i="50"/>
  <c r="BL238" i="50" s="1"/>
  <c r="L201" i="82"/>
  <c r="AG201" i="82" s="1"/>
  <c r="L240" i="50"/>
  <c r="H202" i="82"/>
  <c r="AC202" i="82" s="1"/>
  <c r="E241" i="50"/>
  <c r="X202" i="82"/>
  <c r="AS202" i="82" s="1"/>
  <c r="AG241" i="50"/>
  <c r="T203" i="82"/>
  <c r="AO203" i="82" s="1"/>
  <c r="Z242" i="50"/>
  <c r="L205" i="82"/>
  <c r="AG205" i="82" s="1"/>
  <c r="L244" i="50"/>
  <c r="X206" i="82"/>
  <c r="AS206" i="82" s="1"/>
  <c r="AG245" i="50"/>
  <c r="T207" i="82"/>
  <c r="AO207" i="82" s="1"/>
  <c r="Z246" i="50"/>
  <c r="P208" i="82"/>
  <c r="AK208" i="82" s="1"/>
  <c r="S247" i="50"/>
  <c r="L209" i="82"/>
  <c r="AG209" i="82" s="1"/>
  <c r="L248" i="50"/>
  <c r="H210" i="82"/>
  <c r="AC210" i="82" s="1"/>
  <c r="E249" i="50"/>
  <c r="T211" i="82"/>
  <c r="AO211" i="82" s="1"/>
  <c r="Z250" i="50"/>
  <c r="L213" i="82"/>
  <c r="AG213" i="82" s="1"/>
  <c r="L252" i="50"/>
  <c r="H214" i="82"/>
  <c r="AC214" i="82" s="1"/>
  <c r="E253" i="50"/>
  <c r="X214" i="82"/>
  <c r="AS214" i="82" s="1"/>
  <c r="AG253" i="50"/>
  <c r="P216" i="82"/>
  <c r="AK216" i="82" s="1"/>
  <c r="S255" i="50"/>
  <c r="H218" i="82"/>
  <c r="AC218" i="82" s="1"/>
  <c r="E257" i="50"/>
  <c r="P198" i="82"/>
  <c r="AK198" i="82" s="1"/>
  <c r="T199" i="82"/>
  <c r="AO199" i="82" s="1"/>
  <c r="X200" i="82"/>
  <c r="AS200" i="82" s="1"/>
  <c r="H204" i="82"/>
  <c r="AC204" i="82" s="1"/>
  <c r="X208" i="82"/>
  <c r="AS208" i="82" s="1"/>
  <c r="L211" i="82"/>
  <c r="AG211" i="82" s="1"/>
  <c r="P212" i="82"/>
  <c r="AK212" i="82" s="1"/>
  <c r="T213" i="82"/>
  <c r="AO213" i="82" s="1"/>
  <c r="H216" i="82"/>
  <c r="AC216" i="82" s="1"/>
  <c r="L217" i="82"/>
  <c r="AG217" i="82" s="1"/>
  <c r="P218" i="82"/>
  <c r="AK218" i="82" s="1"/>
  <c r="E200" i="50"/>
  <c r="E212" i="50"/>
  <c r="L132" i="82"/>
  <c r="AG132" i="82" s="1"/>
  <c r="L112" i="50"/>
  <c r="H133" i="82"/>
  <c r="AC133" i="82" s="1"/>
  <c r="E113" i="50"/>
  <c r="X133" i="82"/>
  <c r="AS133" i="82" s="1"/>
  <c r="AG113" i="50"/>
  <c r="T134" i="82"/>
  <c r="AO134" i="82" s="1"/>
  <c r="Z114" i="50"/>
  <c r="P135" i="82"/>
  <c r="AK135" i="82" s="1"/>
  <c r="S115" i="50"/>
  <c r="L136" i="82"/>
  <c r="AG136" i="82" s="1"/>
  <c r="L116" i="50"/>
  <c r="H137" i="82"/>
  <c r="AC137" i="82" s="1"/>
  <c r="E117" i="50"/>
  <c r="X137" i="82"/>
  <c r="AS137" i="82" s="1"/>
  <c r="AG117" i="50"/>
  <c r="T138" i="82"/>
  <c r="AO138" i="82" s="1"/>
  <c r="Z118" i="50"/>
  <c r="P139" i="82"/>
  <c r="AK139" i="82" s="1"/>
  <c r="S119" i="50"/>
  <c r="L140" i="82"/>
  <c r="AG140" i="82" s="1"/>
  <c r="L120" i="50"/>
  <c r="H141" i="82"/>
  <c r="AC141" i="82" s="1"/>
  <c r="E121" i="50"/>
  <c r="X141" i="82"/>
  <c r="AS141" i="82" s="1"/>
  <c r="AG121" i="50"/>
  <c r="T142" i="82"/>
  <c r="AO142" i="82" s="1"/>
  <c r="Z122" i="50"/>
  <c r="P143" i="82"/>
  <c r="AK143" i="82" s="1"/>
  <c r="S123" i="50"/>
  <c r="L144" i="82"/>
  <c r="AG144" i="82" s="1"/>
  <c r="L124" i="50"/>
  <c r="H145" i="82"/>
  <c r="AC145" i="82" s="1"/>
  <c r="E125" i="50"/>
  <c r="X145" i="82"/>
  <c r="AS145" i="82" s="1"/>
  <c r="AG125" i="50"/>
  <c r="T146" i="82"/>
  <c r="AO146" i="82" s="1"/>
  <c r="Z126" i="50"/>
  <c r="P147" i="82"/>
  <c r="AK147" i="82" s="1"/>
  <c r="S127" i="50"/>
  <c r="L148" i="82"/>
  <c r="AG148" i="82" s="1"/>
  <c r="L128" i="50"/>
  <c r="H149" i="82"/>
  <c r="AC149" i="82" s="1"/>
  <c r="E129" i="50"/>
  <c r="X149" i="82"/>
  <c r="AS149" i="82" s="1"/>
  <c r="AG129" i="50"/>
  <c r="T150" i="82"/>
  <c r="AO150" i="82" s="1"/>
  <c r="Z130" i="50"/>
  <c r="E131" i="82"/>
  <c r="Z131" i="82" s="1"/>
  <c r="U131" i="82"/>
  <c r="AP131" i="82" s="1"/>
  <c r="H199" i="82"/>
  <c r="AC199" i="82" s="1"/>
  <c r="E194" i="50"/>
  <c r="X199" i="82"/>
  <c r="AS199" i="82" s="1"/>
  <c r="AG194" i="50"/>
  <c r="T200" i="82"/>
  <c r="AO200" i="82" s="1"/>
  <c r="Z195" i="50"/>
  <c r="P201" i="82"/>
  <c r="AK201" i="82" s="1"/>
  <c r="S196" i="50"/>
  <c r="L202" i="82"/>
  <c r="AG202" i="82" s="1"/>
  <c r="L197" i="50"/>
  <c r="H203" i="82"/>
  <c r="AC203" i="82" s="1"/>
  <c r="E198" i="50"/>
  <c r="X203" i="82"/>
  <c r="AS203" i="82" s="1"/>
  <c r="AG198" i="50"/>
  <c r="T204" i="82"/>
  <c r="AO204" i="82" s="1"/>
  <c r="Z199" i="50"/>
  <c r="P205" i="82"/>
  <c r="AK205" i="82" s="1"/>
  <c r="S200" i="50"/>
  <c r="L206" i="82"/>
  <c r="AG206" i="82" s="1"/>
  <c r="L201" i="50"/>
  <c r="H207" i="82"/>
  <c r="AC207" i="82" s="1"/>
  <c r="E202" i="50"/>
  <c r="X207" i="82"/>
  <c r="AS207" i="82" s="1"/>
  <c r="AG202" i="50"/>
  <c r="T208" i="82"/>
  <c r="AO208" i="82" s="1"/>
  <c r="Z203" i="50"/>
  <c r="P209" i="82"/>
  <c r="AK209" i="82" s="1"/>
  <c r="S204" i="50"/>
  <c r="L210" i="82"/>
  <c r="AG210" i="82" s="1"/>
  <c r="L205" i="50"/>
  <c r="H211" i="82"/>
  <c r="AC211" i="82" s="1"/>
  <c r="E206" i="50"/>
  <c r="X211" i="82"/>
  <c r="AS211" i="82" s="1"/>
  <c r="AG206" i="50"/>
  <c r="T212" i="82"/>
  <c r="AO212" i="82" s="1"/>
  <c r="Z207" i="50"/>
  <c r="P213" i="82"/>
  <c r="AK213" i="82" s="1"/>
  <c r="S208" i="50"/>
  <c r="L214" i="82"/>
  <c r="AG214" i="82" s="1"/>
  <c r="L209" i="50"/>
  <c r="H215" i="82"/>
  <c r="AC215" i="82" s="1"/>
  <c r="E210" i="50"/>
  <c r="X215" i="82"/>
  <c r="AS215" i="82" s="1"/>
  <c r="AG210" i="50"/>
  <c r="T216" i="82"/>
  <c r="AO216" i="82" s="1"/>
  <c r="Z211" i="50"/>
  <c r="P217" i="82"/>
  <c r="AK217" i="82" s="1"/>
  <c r="S212" i="50"/>
  <c r="L218" i="82"/>
  <c r="AG218" i="82" s="1"/>
  <c r="L213" i="50"/>
  <c r="H198" i="82"/>
  <c r="AC198" i="82" s="1"/>
  <c r="Q197" i="82"/>
  <c r="AL197" i="82" s="1"/>
  <c r="L199" i="82"/>
  <c r="AG199" i="82" s="1"/>
  <c r="T201" i="82"/>
  <c r="AO201" i="82" s="1"/>
  <c r="P206" i="82"/>
  <c r="AK206" i="82" s="1"/>
  <c r="T209" i="82"/>
  <c r="AO209" i="82" s="1"/>
  <c r="X210" i="82"/>
  <c r="AS210" i="82" s="1"/>
  <c r="H212" i="82"/>
  <c r="AC212" i="82" s="1"/>
  <c r="P214" i="82"/>
  <c r="AK214" i="82" s="1"/>
  <c r="T215" i="82"/>
  <c r="AO215" i="82" s="1"/>
  <c r="X216" i="82"/>
  <c r="AS216" i="82" s="1"/>
  <c r="E116" i="50"/>
  <c r="E124" i="50"/>
  <c r="E195" i="50"/>
  <c r="E203" i="50"/>
  <c r="P202" i="82"/>
  <c r="AK202" i="82" s="1"/>
  <c r="X204" i="82"/>
  <c r="AS204" i="82" s="1"/>
  <c r="H206" i="82"/>
  <c r="AC206" i="82" s="1"/>
  <c r="L207" i="82"/>
  <c r="AG207" i="82" s="1"/>
  <c r="P210" i="82"/>
  <c r="AK210" i="82" s="1"/>
  <c r="L215" i="82"/>
  <c r="AG215" i="82" s="1"/>
  <c r="E196" i="50"/>
  <c r="E204" i="50"/>
  <c r="I131" i="82"/>
  <c r="AD131" i="82" s="1"/>
  <c r="Q131" i="82"/>
  <c r="AL131" i="82" s="1"/>
  <c r="T198" i="82"/>
  <c r="AO198" i="82" s="1"/>
  <c r="Z193" i="50"/>
  <c r="BL193" i="50" s="1"/>
  <c r="P199" i="82"/>
  <c r="AK199" i="82" s="1"/>
  <c r="S194" i="50"/>
  <c r="L200" i="82"/>
  <c r="AG200" i="82" s="1"/>
  <c r="L195" i="50"/>
  <c r="X201" i="82"/>
  <c r="AS201" i="82" s="1"/>
  <c r="AG196" i="50"/>
  <c r="T202" i="82"/>
  <c r="AO202" i="82" s="1"/>
  <c r="Z197" i="50"/>
  <c r="P203" i="82"/>
  <c r="AK203" i="82" s="1"/>
  <c r="S198" i="50"/>
  <c r="L204" i="82"/>
  <c r="AG204" i="82" s="1"/>
  <c r="L199" i="50"/>
  <c r="X205" i="82"/>
  <c r="AS205" i="82" s="1"/>
  <c r="AG200" i="50"/>
  <c r="T206" i="82"/>
  <c r="AO206" i="82" s="1"/>
  <c r="Z201" i="50"/>
  <c r="P207" i="82"/>
  <c r="AK207" i="82" s="1"/>
  <c r="S202" i="50"/>
  <c r="L208" i="82"/>
  <c r="AG208" i="82" s="1"/>
  <c r="L203" i="50"/>
  <c r="X209" i="82"/>
  <c r="AS209" i="82" s="1"/>
  <c r="AG204" i="50"/>
  <c r="T210" i="82"/>
  <c r="AO210" i="82" s="1"/>
  <c r="Z205" i="50"/>
  <c r="P211" i="82"/>
  <c r="AK211" i="82" s="1"/>
  <c r="S206" i="50"/>
  <c r="L212" i="82"/>
  <c r="AG212" i="82" s="1"/>
  <c r="L207" i="50"/>
  <c r="X213" i="82"/>
  <c r="AS213" i="82" s="1"/>
  <c r="AG208" i="50"/>
  <c r="T214" i="82"/>
  <c r="AO214" i="82" s="1"/>
  <c r="Z209" i="50"/>
  <c r="P215" i="82"/>
  <c r="AK215" i="82" s="1"/>
  <c r="S210" i="50"/>
  <c r="L216" i="82"/>
  <c r="AG216" i="82" s="1"/>
  <c r="L211" i="50"/>
  <c r="X217" i="82"/>
  <c r="AS217" i="82" s="1"/>
  <c r="AG212" i="50"/>
  <c r="T218" i="82"/>
  <c r="AO218" i="82" s="1"/>
  <c r="Z213" i="50"/>
  <c r="L203" i="82"/>
  <c r="AG203" i="82" s="1"/>
  <c r="P204" i="82"/>
  <c r="AK204" i="82" s="1"/>
  <c r="T205" i="82"/>
  <c r="AO205" i="82" s="1"/>
  <c r="X212" i="82"/>
  <c r="AS212" i="82" s="1"/>
  <c r="T217" i="82"/>
  <c r="AO217" i="82" s="1"/>
  <c r="X218" i="82"/>
  <c r="AS218" i="82" s="1"/>
  <c r="E112" i="50"/>
  <c r="E120" i="50"/>
  <c r="E128" i="50"/>
  <c r="E208" i="50"/>
  <c r="K36" i="7"/>
  <c r="K58" i="7"/>
  <c r="Z38" i="50"/>
  <c r="BL38" i="50" s="1"/>
  <c r="Z44" i="50"/>
  <c r="BL44" i="50" s="1"/>
  <c r="Z214" i="50"/>
  <c r="BL214" i="50" s="1"/>
  <c r="B71" i="85" s="1"/>
  <c r="AG38" i="50"/>
  <c r="BS38" i="50" s="1"/>
  <c r="AG44" i="50"/>
  <c r="BS44" i="50" s="1"/>
  <c r="AG131" i="50"/>
  <c r="BS131" i="50" s="1"/>
  <c r="B90" i="85" s="1"/>
  <c r="AG214" i="50"/>
  <c r="BS214" i="50" s="1"/>
  <c r="B95" i="85" s="1"/>
  <c r="C69" i="7"/>
  <c r="C47" i="7"/>
  <c r="Z27" i="50"/>
  <c r="L44" i="50"/>
  <c r="AX44" i="50" s="1"/>
  <c r="L131" i="50"/>
  <c r="AX131" i="50" s="1"/>
  <c r="B30" i="85" s="1"/>
  <c r="L75" i="82"/>
  <c r="AG75" i="82" s="1"/>
  <c r="E11" i="82"/>
  <c r="I11" i="82"/>
  <c r="M11" i="82"/>
  <c r="Q11" i="82"/>
  <c r="U11" i="82"/>
  <c r="H20" i="82"/>
  <c r="AC20" i="82" s="1"/>
  <c r="L20" i="82"/>
  <c r="AG20" i="82" s="1"/>
  <c r="P20" i="82"/>
  <c r="AK20" i="82" s="1"/>
  <c r="T20" i="82"/>
  <c r="AO20" i="82" s="1"/>
  <c r="X20" i="82"/>
  <c r="AS20" i="82" s="1"/>
  <c r="P30" i="82"/>
  <c r="AK30" i="82" s="1"/>
  <c r="P43" i="82"/>
  <c r="AK43" i="82" s="1"/>
  <c r="P49" i="82"/>
  <c r="AK49" i="82" s="1"/>
  <c r="M74" i="82"/>
  <c r="AH74" i="82" s="1"/>
  <c r="T71" i="82"/>
  <c r="AO71" i="82" s="1"/>
  <c r="H70" i="82"/>
  <c r="AC70" i="82" s="1"/>
  <c r="X36" i="82"/>
  <c r="AS36" i="82" s="1"/>
  <c r="H49" i="82"/>
  <c r="AC49" i="82" s="1"/>
  <c r="X49" i="82"/>
  <c r="AS49" i="82" s="1"/>
  <c r="T49" i="82"/>
  <c r="AO49" i="82" s="1"/>
  <c r="M68" i="82"/>
  <c r="AH68" i="82" s="1"/>
  <c r="X175" i="82"/>
  <c r="AS175" i="82" s="1"/>
  <c r="X198" i="82"/>
  <c r="AS198" i="82" s="1"/>
  <c r="P175" i="82"/>
  <c r="AK175" i="82" s="1"/>
  <c r="P200" i="82"/>
  <c r="AK200" i="82" s="1"/>
  <c r="L198" i="82"/>
  <c r="AG198" i="82" s="1"/>
  <c r="L153" i="82"/>
  <c r="AG153" i="82" s="1"/>
  <c r="L175" i="82"/>
  <c r="AG175" i="82" s="1"/>
  <c r="A232" i="82"/>
  <c r="A231" i="82"/>
  <c r="A230" i="82"/>
  <c r="I8" i="82"/>
  <c r="M8" i="82" s="1"/>
  <c r="Q8" i="82" s="1"/>
  <c r="U8" i="82" s="1"/>
  <c r="T89" i="82"/>
  <c r="AO89" i="82" s="1"/>
  <c r="P153" i="82"/>
  <c r="AK153" i="82" s="1"/>
  <c r="BL210" i="50" l="1"/>
  <c r="BS213" i="50"/>
  <c r="AX194" i="50"/>
  <c r="F220" i="82"/>
  <c r="AA220" i="82" s="1"/>
  <c r="Z266" i="50"/>
  <c r="BL266" i="50" s="1"/>
  <c r="S271" i="50"/>
  <c r="BE271" i="50" s="1"/>
  <c r="AG277" i="50"/>
  <c r="BS277" i="50" s="1"/>
  <c r="BE201" i="50"/>
  <c r="BS195" i="50"/>
  <c r="BE213" i="50"/>
  <c r="S220" i="82"/>
  <c r="AN220" i="82" s="1"/>
  <c r="M220" i="82"/>
  <c r="AH220" i="82" s="1"/>
  <c r="S273" i="50"/>
  <c r="BE273" i="50" s="1"/>
  <c r="AG271" i="50"/>
  <c r="BS271" i="50" s="1"/>
  <c r="S265" i="50"/>
  <c r="BE265" i="50" s="1"/>
  <c r="S279" i="50"/>
  <c r="BE279" i="50" s="1"/>
  <c r="L260" i="50"/>
  <c r="AX260" i="50" s="1"/>
  <c r="Z276" i="50"/>
  <c r="BL276" i="50" s="1"/>
  <c r="AG86" i="50"/>
  <c r="BS86" i="50" s="1"/>
  <c r="Z109" i="50"/>
  <c r="BL109" i="50" s="1"/>
  <c r="K220" i="82"/>
  <c r="AF220" i="82" s="1"/>
  <c r="N220" i="82"/>
  <c r="AI220" i="82" s="1"/>
  <c r="S263" i="50"/>
  <c r="BE263" i="50" s="1"/>
  <c r="L151" i="50"/>
  <c r="AX151" i="50" s="1"/>
  <c r="B31" i="85" s="1"/>
  <c r="L272" i="50"/>
  <c r="AX272" i="50" s="1"/>
  <c r="AG279" i="50"/>
  <c r="BS279" i="50" s="1"/>
  <c r="AG186" i="50"/>
  <c r="BS186" i="50" s="1"/>
  <c r="BS211" i="50"/>
  <c r="I220" i="82"/>
  <c r="AD220" i="82" s="1"/>
  <c r="L105" i="50"/>
  <c r="AX105" i="50" s="1"/>
  <c r="J220" i="82"/>
  <c r="AE220" i="82" s="1"/>
  <c r="BS205" i="50"/>
  <c r="BE199" i="50"/>
  <c r="Z278" i="50"/>
  <c r="BL278" i="50" s="1"/>
  <c r="BE205" i="50"/>
  <c r="R220" i="82"/>
  <c r="AM220" i="82" s="1"/>
  <c r="S86" i="50"/>
  <c r="BE86" i="50" s="1"/>
  <c r="AG265" i="50"/>
  <c r="BS265" i="50" s="1"/>
  <c r="S151" i="50"/>
  <c r="BE151" i="50" s="1"/>
  <c r="B49" i="85" s="1"/>
  <c r="V220" i="82"/>
  <c r="AQ220" i="82" s="1"/>
  <c r="W220" i="82"/>
  <c r="AR220" i="82" s="1"/>
  <c r="Z262" i="50"/>
  <c r="BL262" i="50" s="1"/>
  <c r="Z270" i="50"/>
  <c r="BL270" i="50" s="1"/>
  <c r="L268" i="50"/>
  <c r="AX268" i="50" s="1"/>
  <c r="L264" i="50"/>
  <c r="AX264" i="50" s="1"/>
  <c r="E151" i="50"/>
  <c r="AQ151" i="50" s="1"/>
  <c r="B13" i="85" s="1"/>
  <c r="Z151" i="50"/>
  <c r="BL151" i="50" s="1"/>
  <c r="B67" i="85" s="1"/>
  <c r="AG269" i="50"/>
  <c r="BS269" i="50" s="1"/>
  <c r="G220" i="82"/>
  <c r="AB220" i="82" s="1"/>
  <c r="B113" i="85"/>
  <c r="O220" i="82"/>
  <c r="AJ220" i="82" s="1"/>
  <c r="L259" i="50"/>
  <c r="AX259" i="50" s="1"/>
  <c r="B108" i="85"/>
  <c r="Q220" i="82"/>
  <c r="AL220" i="82" s="1"/>
  <c r="L276" i="50"/>
  <c r="AX276" i="50" s="1"/>
  <c r="AG261" i="50"/>
  <c r="BS261" i="50" s="1"/>
  <c r="AG151" i="50"/>
  <c r="BS151" i="50" s="1"/>
  <c r="B91" i="85" s="1"/>
  <c r="S63" i="50"/>
  <c r="BE63" i="50" s="1"/>
  <c r="E277" i="50"/>
  <c r="AQ277" i="50" s="1"/>
  <c r="Z274" i="50"/>
  <c r="BL274" i="50" s="1"/>
  <c r="L278" i="50"/>
  <c r="AX278" i="50" s="1"/>
  <c r="S261" i="50"/>
  <c r="BE261" i="50" s="1"/>
  <c r="S275" i="50"/>
  <c r="BE275" i="50" s="1"/>
  <c r="S259" i="50"/>
  <c r="BE259" i="50" s="1"/>
  <c r="AG273" i="50"/>
  <c r="BS273" i="50" s="1"/>
  <c r="S267" i="50"/>
  <c r="BE267" i="50" s="1"/>
  <c r="AG185" i="50"/>
  <c r="BS185" i="50" s="1"/>
  <c r="BS125" i="50"/>
  <c r="S178" i="50"/>
  <c r="BE178" i="50" s="1"/>
  <c r="BE118" i="50"/>
  <c r="S93" i="50"/>
  <c r="BE93" i="50" s="1"/>
  <c r="BE18" i="50"/>
  <c r="S97" i="50"/>
  <c r="BE97" i="50" s="1"/>
  <c r="BE22" i="50"/>
  <c r="L181" i="50"/>
  <c r="AX181" i="50" s="1"/>
  <c r="AX121" i="50"/>
  <c r="E102" i="50"/>
  <c r="AQ102" i="50" s="1"/>
  <c r="AQ27" i="50"/>
  <c r="U219" i="82"/>
  <c r="AP219" i="82" s="1"/>
  <c r="AP11" i="82"/>
  <c r="E262" i="50"/>
  <c r="AQ262" i="50" s="1"/>
  <c r="AQ196" i="50"/>
  <c r="E184" i="50"/>
  <c r="AQ184" i="50" s="1"/>
  <c r="AQ124" i="50"/>
  <c r="L188" i="50"/>
  <c r="AX188" i="50" s="1"/>
  <c r="AX128" i="50"/>
  <c r="E185" i="50"/>
  <c r="AQ185" i="50" s="1"/>
  <c r="AQ125" i="50"/>
  <c r="AG181" i="50"/>
  <c r="BS181" i="50" s="1"/>
  <c r="BS121" i="50"/>
  <c r="Z178" i="50"/>
  <c r="BL178" i="50" s="1"/>
  <c r="BL118" i="50"/>
  <c r="S175" i="50"/>
  <c r="BE175" i="50" s="1"/>
  <c r="BE115" i="50"/>
  <c r="L172" i="50"/>
  <c r="AX172" i="50" s="1"/>
  <c r="AX112" i="50"/>
  <c r="L274" i="50"/>
  <c r="AX274" i="50" s="1"/>
  <c r="AX252" i="50"/>
  <c r="AG188" i="50"/>
  <c r="BS188" i="50" s="1"/>
  <c r="BS128" i="50"/>
  <c r="Z181" i="50"/>
  <c r="BL181" i="50" s="1"/>
  <c r="BL121" i="50"/>
  <c r="S174" i="50"/>
  <c r="BE174" i="50" s="1"/>
  <c r="BE114" i="50"/>
  <c r="AG100" i="50"/>
  <c r="BS100" i="50" s="1"/>
  <c r="BS75" i="50"/>
  <c r="Z97" i="50"/>
  <c r="BL97" i="50" s="1"/>
  <c r="BL72" i="50"/>
  <c r="E220" i="82"/>
  <c r="Z220" i="82" s="1"/>
  <c r="Z40" i="82"/>
  <c r="E106" i="50"/>
  <c r="AQ106" i="50" s="1"/>
  <c r="AQ31" i="50"/>
  <c r="Z106" i="50"/>
  <c r="BL106" i="50" s="1"/>
  <c r="BL31" i="50"/>
  <c r="S189" i="50"/>
  <c r="BE189" i="50" s="1"/>
  <c r="BE129" i="50"/>
  <c r="L186" i="50"/>
  <c r="AX186" i="50" s="1"/>
  <c r="AX126" i="50"/>
  <c r="E183" i="50"/>
  <c r="AQ183" i="50" s="1"/>
  <c r="AQ123" i="50"/>
  <c r="AG179" i="50"/>
  <c r="BS179" i="50" s="1"/>
  <c r="BS119" i="50"/>
  <c r="Z176" i="50"/>
  <c r="BL176" i="50" s="1"/>
  <c r="BL116" i="50"/>
  <c r="S173" i="50"/>
  <c r="BE173" i="50" s="1"/>
  <c r="BE113" i="50"/>
  <c r="E109" i="50"/>
  <c r="AQ109" i="50" s="1"/>
  <c r="AQ34" i="50"/>
  <c r="L84" i="82"/>
  <c r="AG84" i="82" s="1"/>
  <c r="AG30" i="82"/>
  <c r="X84" i="82"/>
  <c r="AS84" i="82" s="1"/>
  <c r="AS30" i="82"/>
  <c r="E265" i="50"/>
  <c r="AQ265" i="50" s="1"/>
  <c r="AQ199" i="50"/>
  <c r="E269" i="50"/>
  <c r="AQ269" i="50" s="1"/>
  <c r="AQ203" i="50"/>
  <c r="S179" i="50"/>
  <c r="BE179" i="50" s="1"/>
  <c r="BE119" i="50"/>
  <c r="S182" i="50"/>
  <c r="BE182" i="50" s="1"/>
  <c r="BE122" i="50"/>
  <c r="S69" i="50"/>
  <c r="BE69" i="50" s="1"/>
  <c r="BE73" i="50"/>
  <c r="S107" i="50"/>
  <c r="BE107" i="50" s="1"/>
  <c r="BE32" i="50"/>
  <c r="E87" i="50"/>
  <c r="AQ87" i="50" s="1"/>
  <c r="AQ12" i="50"/>
  <c r="E176" i="50"/>
  <c r="AQ176" i="50" s="1"/>
  <c r="AQ116" i="50"/>
  <c r="E268" i="50"/>
  <c r="AQ268" i="50" s="1"/>
  <c r="AQ202" i="50"/>
  <c r="S269" i="50"/>
  <c r="BE269" i="50" s="1"/>
  <c r="BE247" i="50"/>
  <c r="Z264" i="50"/>
  <c r="BL264" i="50" s="1"/>
  <c r="BL242" i="50"/>
  <c r="AG184" i="50"/>
  <c r="BS184" i="50" s="1"/>
  <c r="BS124" i="50"/>
  <c r="Z177" i="50"/>
  <c r="BL177" i="50" s="1"/>
  <c r="BL117" i="50"/>
  <c r="L93" i="50"/>
  <c r="AX93" i="50" s="1"/>
  <c r="AX68" i="50"/>
  <c r="L63" i="50"/>
  <c r="AX63" i="50" s="1"/>
  <c r="AX64" i="50"/>
  <c r="L100" i="50"/>
  <c r="AX100" i="50" s="1"/>
  <c r="AX25" i="50"/>
  <c r="E97" i="50"/>
  <c r="AQ97" i="50" s="1"/>
  <c r="AQ22" i="50"/>
  <c r="Z92" i="50"/>
  <c r="BL92" i="50" s="1"/>
  <c r="BL17" i="50"/>
  <c r="S89" i="50"/>
  <c r="BE89" i="50" s="1"/>
  <c r="BE14" i="50"/>
  <c r="Z87" i="50"/>
  <c r="BL87" i="50" s="1"/>
  <c r="BL62" i="50"/>
  <c r="L107" i="50"/>
  <c r="AX107" i="50" s="1"/>
  <c r="AX32" i="50"/>
  <c r="E103" i="50"/>
  <c r="AQ103" i="50" s="1"/>
  <c r="AQ28" i="50"/>
  <c r="AG99" i="50"/>
  <c r="BS99" i="50" s="1"/>
  <c r="BS24" i="50"/>
  <c r="Z96" i="50"/>
  <c r="BL96" i="50" s="1"/>
  <c r="BL21" i="50"/>
  <c r="E93" i="50"/>
  <c r="AQ93" i="50" s="1"/>
  <c r="AQ18" i="50"/>
  <c r="AG89" i="50"/>
  <c r="BS89" i="50" s="1"/>
  <c r="BS14" i="50"/>
  <c r="E190" i="50"/>
  <c r="AQ190" i="50" s="1"/>
  <c r="AQ130" i="50"/>
  <c r="Z183" i="50"/>
  <c r="BL183" i="50" s="1"/>
  <c r="BL123" i="50"/>
  <c r="S180" i="50"/>
  <c r="BE180" i="50" s="1"/>
  <c r="BE120" i="50"/>
  <c r="L177" i="50"/>
  <c r="AX177" i="50" s="1"/>
  <c r="AX117" i="50"/>
  <c r="E174" i="50"/>
  <c r="AQ174" i="50" s="1"/>
  <c r="AQ114" i="50"/>
  <c r="S105" i="50"/>
  <c r="BE105" i="50" s="1"/>
  <c r="BE30" i="50"/>
  <c r="L101" i="50"/>
  <c r="AX101" i="50" s="1"/>
  <c r="AX26" i="50"/>
  <c r="E98" i="50"/>
  <c r="AQ98" i="50" s="1"/>
  <c r="AQ23" i="50"/>
  <c r="Z93" i="50"/>
  <c r="BL93" i="50" s="1"/>
  <c r="BL18" i="50"/>
  <c r="S90" i="50"/>
  <c r="BE90" i="50" s="1"/>
  <c r="BE15" i="50"/>
  <c r="L86" i="50"/>
  <c r="AX86" i="50" s="1"/>
  <c r="AX11" i="50"/>
  <c r="R219" i="82"/>
  <c r="AM219" i="82" s="1"/>
  <c r="AM11" i="82"/>
  <c r="Z182" i="50"/>
  <c r="BL182" i="50" s="1"/>
  <c r="BL122" i="50"/>
  <c r="E275" i="50"/>
  <c r="AQ275" i="50" s="1"/>
  <c r="AQ253" i="50"/>
  <c r="L95" i="50"/>
  <c r="AX95" i="50" s="1"/>
  <c r="AX70" i="50"/>
  <c r="Z86" i="50"/>
  <c r="BL86" i="50" s="1"/>
  <c r="BL11" i="50"/>
  <c r="E187" i="50"/>
  <c r="AQ187" i="50" s="1"/>
  <c r="AQ127" i="50"/>
  <c r="L174" i="50"/>
  <c r="AX174" i="50" s="1"/>
  <c r="AX114" i="50"/>
  <c r="L262" i="50"/>
  <c r="AX262" i="50" s="1"/>
  <c r="AX240" i="50"/>
  <c r="AG97" i="50"/>
  <c r="BS97" i="50" s="1"/>
  <c r="BS22" i="50"/>
  <c r="AG93" i="50"/>
  <c r="BS93" i="50" s="1"/>
  <c r="BS18" i="50"/>
  <c r="L91" i="50"/>
  <c r="AX91" i="50" s="1"/>
  <c r="AX16" i="50"/>
  <c r="E274" i="50"/>
  <c r="AQ274" i="50" s="1"/>
  <c r="AQ208" i="50"/>
  <c r="Z190" i="50"/>
  <c r="BL190" i="50" s="1"/>
  <c r="BL130" i="50"/>
  <c r="S187" i="50"/>
  <c r="BE187" i="50" s="1"/>
  <c r="BE127" i="50"/>
  <c r="L184" i="50"/>
  <c r="AX184" i="50" s="1"/>
  <c r="AX124" i="50"/>
  <c r="E181" i="50"/>
  <c r="AQ181" i="50" s="1"/>
  <c r="AQ121" i="50"/>
  <c r="AG177" i="50"/>
  <c r="BS177" i="50" s="1"/>
  <c r="BS117" i="50"/>
  <c r="Z174" i="50"/>
  <c r="BL174" i="50" s="1"/>
  <c r="BL114" i="50"/>
  <c r="E278" i="50"/>
  <c r="AQ278" i="50" s="1"/>
  <c r="AQ212" i="50"/>
  <c r="S277" i="50"/>
  <c r="BE277" i="50" s="1"/>
  <c r="BE255" i="50"/>
  <c r="AG180" i="50"/>
  <c r="BS180" i="50" s="1"/>
  <c r="BS120" i="50"/>
  <c r="Z173" i="50"/>
  <c r="BL173" i="50" s="1"/>
  <c r="BL113" i="50"/>
  <c r="L103" i="50"/>
  <c r="AX103" i="50" s="1"/>
  <c r="AX78" i="50"/>
  <c r="E100" i="50"/>
  <c r="AQ100" i="50" s="1"/>
  <c r="AQ75" i="50"/>
  <c r="AG96" i="50"/>
  <c r="BS96" i="50" s="1"/>
  <c r="BS71" i="50"/>
  <c r="AG105" i="50"/>
  <c r="BS105" i="50" s="1"/>
  <c r="BS30" i="50"/>
  <c r="Z188" i="50"/>
  <c r="BL188" i="50" s="1"/>
  <c r="BL128" i="50"/>
  <c r="S185" i="50"/>
  <c r="BE185" i="50" s="1"/>
  <c r="BE125" i="50"/>
  <c r="L182" i="50"/>
  <c r="AX182" i="50" s="1"/>
  <c r="AX122" i="50"/>
  <c r="E179" i="50"/>
  <c r="AQ179" i="50" s="1"/>
  <c r="AQ119" i="50"/>
  <c r="AG175" i="50"/>
  <c r="BS175" i="50" s="1"/>
  <c r="BS115" i="50"/>
  <c r="Z172" i="50"/>
  <c r="BL172" i="50" s="1"/>
  <c r="BL112" i="50"/>
  <c r="W219" i="82"/>
  <c r="AR219" i="82" s="1"/>
  <c r="AR11" i="82"/>
  <c r="S219" i="82"/>
  <c r="AN219" i="82" s="1"/>
  <c r="AN11" i="82"/>
  <c r="BS207" i="50"/>
  <c r="L176" i="50"/>
  <c r="AX176" i="50" s="1"/>
  <c r="AX116" i="50"/>
  <c r="Z189" i="50"/>
  <c r="BL189" i="50" s="1"/>
  <c r="BL129" i="50"/>
  <c r="Z101" i="50"/>
  <c r="BL101" i="50" s="1"/>
  <c r="BL76" i="50"/>
  <c r="AG183" i="50"/>
  <c r="BS183" i="50" s="1"/>
  <c r="BS123" i="50"/>
  <c r="E279" i="50"/>
  <c r="AQ279" i="50" s="1"/>
  <c r="AQ257" i="50"/>
  <c r="E90" i="50"/>
  <c r="AQ90" i="50" s="1"/>
  <c r="AQ65" i="50"/>
  <c r="L109" i="50"/>
  <c r="AX109" i="50" s="1"/>
  <c r="AX34" i="50"/>
  <c r="Z90" i="50"/>
  <c r="BL90" i="50" s="1"/>
  <c r="BL15" i="50"/>
  <c r="S184" i="50"/>
  <c r="BE184" i="50" s="1"/>
  <c r="BE124" i="50"/>
  <c r="E178" i="50"/>
  <c r="AQ178" i="50" s="1"/>
  <c r="AQ118" i="50"/>
  <c r="AG98" i="50"/>
  <c r="BS98" i="50" s="1"/>
  <c r="BS23" i="50"/>
  <c r="G219" i="82"/>
  <c r="AB219" i="82" s="1"/>
  <c r="AB11" i="82"/>
  <c r="I219" i="82"/>
  <c r="AD219" i="82" s="1"/>
  <c r="AD11" i="82"/>
  <c r="E180" i="50"/>
  <c r="AQ180" i="50" s="1"/>
  <c r="AQ120" i="50"/>
  <c r="E264" i="50"/>
  <c r="AQ264" i="50" s="1"/>
  <c r="AQ198" i="50"/>
  <c r="E266" i="50"/>
  <c r="AQ266" i="50" s="1"/>
  <c r="AQ200" i="50"/>
  <c r="Z272" i="50"/>
  <c r="BL272" i="50" s="1"/>
  <c r="BL250" i="50"/>
  <c r="Z268" i="50"/>
  <c r="BL268" i="50" s="1"/>
  <c r="BL246" i="50"/>
  <c r="AG263" i="50"/>
  <c r="BS263" i="50" s="1"/>
  <c r="BS241" i="50"/>
  <c r="L187" i="50"/>
  <c r="AX187" i="50" s="1"/>
  <c r="AX127" i="50"/>
  <c r="AG176" i="50"/>
  <c r="BS176" i="50" s="1"/>
  <c r="BS116" i="50"/>
  <c r="Z63" i="50"/>
  <c r="BL63" i="50" s="1"/>
  <c r="BL66" i="50"/>
  <c r="S103" i="50"/>
  <c r="BE103" i="50" s="1"/>
  <c r="BE28" i="50"/>
  <c r="S99" i="50"/>
  <c r="BE99" i="50" s="1"/>
  <c r="BE24" i="50"/>
  <c r="L96" i="50"/>
  <c r="AX96" i="50" s="1"/>
  <c r="AX21" i="50"/>
  <c r="AG91" i="50"/>
  <c r="BS91" i="50" s="1"/>
  <c r="BS16" i="50"/>
  <c r="S106" i="50"/>
  <c r="BE106" i="50" s="1"/>
  <c r="BE31" i="50"/>
  <c r="L102" i="50"/>
  <c r="AX102" i="50" s="1"/>
  <c r="AX27" i="50"/>
  <c r="E99" i="50"/>
  <c r="AQ99" i="50" s="1"/>
  <c r="AQ24" i="50"/>
  <c r="AG95" i="50"/>
  <c r="BS95" i="50" s="1"/>
  <c r="BS20" i="50"/>
  <c r="L92" i="50"/>
  <c r="AX92" i="50" s="1"/>
  <c r="AX17" i="50"/>
  <c r="E89" i="50"/>
  <c r="AQ89" i="50" s="1"/>
  <c r="AQ14" i="50"/>
  <c r="L189" i="50"/>
  <c r="AX189" i="50" s="1"/>
  <c r="AX129" i="50"/>
  <c r="E186" i="50"/>
  <c r="AQ186" i="50" s="1"/>
  <c r="AQ126" i="50"/>
  <c r="AG182" i="50"/>
  <c r="BS182" i="50" s="1"/>
  <c r="BS122" i="50"/>
  <c r="Z179" i="50"/>
  <c r="BL179" i="50" s="1"/>
  <c r="BL119" i="50"/>
  <c r="S176" i="50"/>
  <c r="BE176" i="50" s="1"/>
  <c r="BE116" i="50"/>
  <c r="L173" i="50"/>
  <c r="AX173" i="50" s="1"/>
  <c r="AX113" i="50"/>
  <c r="Z103" i="50"/>
  <c r="BL103" i="50" s="1"/>
  <c r="BL28" i="50"/>
  <c r="S100" i="50"/>
  <c r="BE100" i="50" s="1"/>
  <c r="BE25" i="50"/>
  <c r="L97" i="50"/>
  <c r="AX97" i="50" s="1"/>
  <c r="AX22" i="50"/>
  <c r="AG92" i="50"/>
  <c r="BS92" i="50" s="1"/>
  <c r="BS17" i="50"/>
  <c r="Z89" i="50"/>
  <c r="BL89" i="50" s="1"/>
  <c r="BL14" i="50"/>
  <c r="L88" i="82"/>
  <c r="AG88" i="82" s="1"/>
  <c r="AG36" i="82"/>
  <c r="L175" i="50"/>
  <c r="AX175" i="50" s="1"/>
  <c r="AX115" i="50"/>
  <c r="AG106" i="50"/>
  <c r="BS106" i="50" s="1"/>
  <c r="BS31" i="50"/>
  <c r="S177" i="50"/>
  <c r="BE177" i="50" s="1"/>
  <c r="BE117" i="50"/>
  <c r="E270" i="50"/>
  <c r="AQ270" i="50" s="1"/>
  <c r="AQ204" i="50"/>
  <c r="E272" i="50"/>
  <c r="AQ272" i="50" s="1"/>
  <c r="AQ206" i="50"/>
  <c r="L266" i="50"/>
  <c r="AX266" i="50" s="1"/>
  <c r="AX244" i="50"/>
  <c r="L90" i="50"/>
  <c r="AX90" i="50" s="1"/>
  <c r="AX15" i="50"/>
  <c r="S92" i="50"/>
  <c r="BE92" i="50" s="1"/>
  <c r="BE17" i="50"/>
  <c r="Z100" i="50"/>
  <c r="BL100" i="50" s="1"/>
  <c r="BL25" i="50"/>
  <c r="Z187" i="50"/>
  <c r="BL187" i="50" s="1"/>
  <c r="BL127" i="50"/>
  <c r="L106" i="50"/>
  <c r="AX106" i="50" s="1"/>
  <c r="AX31" i="50"/>
  <c r="M219" i="82"/>
  <c r="AH219" i="82" s="1"/>
  <c r="AH11" i="82"/>
  <c r="E188" i="50"/>
  <c r="AQ188" i="50" s="1"/>
  <c r="AQ128" i="50"/>
  <c r="E172" i="50"/>
  <c r="AQ172" i="50" s="1"/>
  <c r="AQ112" i="50"/>
  <c r="AG189" i="50"/>
  <c r="BS189" i="50" s="1"/>
  <c r="BS129" i="50"/>
  <c r="Z186" i="50"/>
  <c r="BL186" i="50" s="1"/>
  <c r="BL126" i="50"/>
  <c r="S183" i="50"/>
  <c r="BE183" i="50" s="1"/>
  <c r="BE123" i="50"/>
  <c r="L180" i="50"/>
  <c r="AX180" i="50" s="1"/>
  <c r="AX120" i="50"/>
  <c r="E177" i="50"/>
  <c r="AQ177" i="50" s="1"/>
  <c r="AQ117" i="50"/>
  <c r="AG173" i="50"/>
  <c r="BS173" i="50" s="1"/>
  <c r="BS113" i="50"/>
  <c r="AG275" i="50"/>
  <c r="BS275" i="50" s="1"/>
  <c r="BS253" i="50"/>
  <c r="S190" i="50"/>
  <c r="BE190" i="50" s="1"/>
  <c r="BE130" i="50"/>
  <c r="L183" i="50"/>
  <c r="AX183" i="50" s="1"/>
  <c r="AX123" i="50"/>
  <c r="S102" i="50"/>
  <c r="BE102" i="50" s="1"/>
  <c r="BE77" i="50"/>
  <c r="L99" i="50"/>
  <c r="AX99" i="50" s="1"/>
  <c r="AX74" i="50"/>
  <c r="E69" i="50"/>
  <c r="AQ69" i="50" s="1"/>
  <c r="AQ71" i="50"/>
  <c r="Z107" i="50"/>
  <c r="BL107" i="50" s="1"/>
  <c r="BL32" i="50"/>
  <c r="S87" i="50"/>
  <c r="BE87" i="50" s="1"/>
  <c r="BE12" i="50"/>
  <c r="S109" i="50"/>
  <c r="BE109" i="50" s="1"/>
  <c r="BE34" i="50"/>
  <c r="E105" i="50"/>
  <c r="AQ105" i="50" s="1"/>
  <c r="AQ30" i="50"/>
  <c r="AG187" i="50"/>
  <c r="BS187" i="50" s="1"/>
  <c r="BS127" i="50"/>
  <c r="Z184" i="50"/>
  <c r="BL184" i="50" s="1"/>
  <c r="BL124" i="50"/>
  <c r="S181" i="50"/>
  <c r="BE181" i="50" s="1"/>
  <c r="BE121" i="50"/>
  <c r="L178" i="50"/>
  <c r="AX178" i="50" s="1"/>
  <c r="AX118" i="50"/>
  <c r="E175" i="50"/>
  <c r="AQ175" i="50" s="1"/>
  <c r="AQ115" i="50"/>
  <c r="AG107" i="50"/>
  <c r="BS107" i="50" s="1"/>
  <c r="BS32" i="50"/>
  <c r="V219" i="82"/>
  <c r="AQ219" i="82" s="1"/>
  <c r="AQ11" i="82"/>
  <c r="K219" i="82"/>
  <c r="AF219" i="82" s="1"/>
  <c r="AF11" i="82"/>
  <c r="E189" i="50"/>
  <c r="AQ189" i="50" s="1"/>
  <c r="AQ129" i="50"/>
  <c r="E173" i="50"/>
  <c r="AQ173" i="50" s="1"/>
  <c r="AQ113" i="50"/>
  <c r="L190" i="50"/>
  <c r="AX190" i="50" s="1"/>
  <c r="AX130" i="50"/>
  <c r="Z180" i="50"/>
  <c r="BL180" i="50" s="1"/>
  <c r="BL120" i="50"/>
  <c r="E261" i="50"/>
  <c r="AQ261" i="50" s="1"/>
  <c r="AQ195" i="50"/>
  <c r="L270" i="50"/>
  <c r="AX270" i="50" s="1"/>
  <c r="AX248" i="50"/>
  <c r="Z185" i="50"/>
  <c r="BL185" i="50" s="1"/>
  <c r="BL125" i="50"/>
  <c r="E101" i="50"/>
  <c r="AQ101" i="50" s="1"/>
  <c r="AQ26" i="50"/>
  <c r="AG103" i="50"/>
  <c r="BS103" i="50" s="1"/>
  <c r="BS28" i="50"/>
  <c r="AG190" i="50"/>
  <c r="BS190" i="50" s="1"/>
  <c r="BS130" i="50"/>
  <c r="AG174" i="50"/>
  <c r="BS174" i="50" s="1"/>
  <c r="BS114" i="50"/>
  <c r="Z95" i="50"/>
  <c r="BL95" i="50" s="1"/>
  <c r="BL20" i="50"/>
  <c r="Q219" i="82"/>
  <c r="AL219" i="82" s="1"/>
  <c r="AL11" i="82"/>
  <c r="E219" i="82"/>
  <c r="Z219" i="82" s="1"/>
  <c r="Z11" i="82"/>
  <c r="Z102" i="50"/>
  <c r="BL102" i="50" s="1"/>
  <c r="BL27" i="50"/>
  <c r="E276" i="50"/>
  <c r="AQ276" i="50" s="1"/>
  <c r="AQ210" i="50"/>
  <c r="E260" i="50"/>
  <c r="AQ260" i="50" s="1"/>
  <c r="AQ194" i="50"/>
  <c r="E271" i="50"/>
  <c r="AQ271" i="50" s="1"/>
  <c r="AQ249" i="50"/>
  <c r="AG267" i="50"/>
  <c r="BS267" i="50" s="1"/>
  <c r="BS245" i="50"/>
  <c r="E263" i="50"/>
  <c r="AQ263" i="50" s="1"/>
  <c r="AQ241" i="50"/>
  <c r="S186" i="50"/>
  <c r="BE186" i="50" s="1"/>
  <c r="BE126" i="50"/>
  <c r="L179" i="50"/>
  <c r="AX179" i="50" s="1"/>
  <c r="AX119" i="50"/>
  <c r="AG63" i="50"/>
  <c r="BS63" i="50" s="1"/>
  <c r="BS65" i="50"/>
  <c r="AG101" i="50"/>
  <c r="BS101" i="50" s="1"/>
  <c r="BS26" i="50"/>
  <c r="Z98" i="50"/>
  <c r="BL98" i="50" s="1"/>
  <c r="BL23" i="50"/>
  <c r="S95" i="50"/>
  <c r="BE95" i="50" s="1"/>
  <c r="BE20" i="50"/>
  <c r="E91" i="50"/>
  <c r="AQ91" i="50" s="1"/>
  <c r="AQ16" i="50"/>
  <c r="E86" i="50"/>
  <c r="AQ86" i="50" s="1"/>
  <c r="AQ61" i="50"/>
  <c r="Z105" i="50"/>
  <c r="BL105" i="50" s="1"/>
  <c r="BL30" i="50"/>
  <c r="S101" i="50"/>
  <c r="BE101" i="50" s="1"/>
  <c r="BE26" i="50"/>
  <c r="L98" i="50"/>
  <c r="AX98" i="50" s="1"/>
  <c r="AX23" i="50"/>
  <c r="E95" i="50"/>
  <c r="AQ95" i="50" s="1"/>
  <c r="AQ20" i="50"/>
  <c r="S91" i="50"/>
  <c r="BE91" i="50" s="1"/>
  <c r="BE16" i="50"/>
  <c r="L87" i="50"/>
  <c r="AX87" i="50" s="1"/>
  <c r="AX12" i="50"/>
  <c r="S188" i="50"/>
  <c r="BE188" i="50" s="1"/>
  <c r="BE128" i="50"/>
  <c r="L185" i="50"/>
  <c r="AX185" i="50" s="1"/>
  <c r="AX125" i="50"/>
  <c r="E182" i="50"/>
  <c r="AQ182" i="50" s="1"/>
  <c r="AQ122" i="50"/>
  <c r="AG178" i="50"/>
  <c r="BS178" i="50" s="1"/>
  <c r="BS118" i="50"/>
  <c r="Z175" i="50"/>
  <c r="BL175" i="50" s="1"/>
  <c r="BL115" i="50"/>
  <c r="S172" i="50"/>
  <c r="BE172" i="50" s="1"/>
  <c r="BE112" i="50"/>
  <c r="E107" i="50"/>
  <c r="AQ107" i="50" s="1"/>
  <c r="AQ32" i="50"/>
  <c r="AG102" i="50"/>
  <c r="BS102" i="50" s="1"/>
  <c r="BS27" i="50"/>
  <c r="Z99" i="50"/>
  <c r="BL99" i="50" s="1"/>
  <c r="BL24" i="50"/>
  <c r="S96" i="50"/>
  <c r="BE96" i="50" s="1"/>
  <c r="BE21" i="50"/>
  <c r="E92" i="50"/>
  <c r="AQ92" i="50" s="1"/>
  <c r="AQ17" i="50"/>
  <c r="AG87" i="50"/>
  <c r="BS87" i="50" s="1"/>
  <c r="BS12" i="50"/>
  <c r="AG109" i="50"/>
  <c r="BS109" i="50" s="1"/>
  <c r="O219" i="82"/>
  <c r="AJ219" i="82" s="1"/>
  <c r="AJ11" i="82"/>
  <c r="U220" i="82"/>
  <c r="AP220" i="82" s="1"/>
  <c r="N219" i="82"/>
  <c r="AI219" i="82" s="1"/>
  <c r="AI11" i="82"/>
  <c r="J219" i="82"/>
  <c r="AE219" i="82" s="1"/>
  <c r="AE11" i="82"/>
  <c r="H88" i="82"/>
  <c r="AC88" i="82" s="1"/>
  <c r="AC36" i="82"/>
  <c r="E267" i="50"/>
  <c r="AQ267" i="50" s="1"/>
  <c r="AQ201" i="50"/>
  <c r="E273" i="50"/>
  <c r="AQ273" i="50" s="1"/>
  <c r="AQ207" i="50"/>
  <c r="S99" i="62"/>
  <c r="BJ99" i="62" s="1"/>
  <c r="S94" i="62"/>
  <c r="BJ94" i="62" s="1"/>
  <c r="L99" i="62"/>
  <c r="BC99" i="62" s="1"/>
  <c r="Z279" i="50"/>
  <c r="BL279" i="50" s="1"/>
  <c r="BL213" i="50"/>
  <c r="Z263" i="50"/>
  <c r="BL263" i="50" s="1"/>
  <c r="BL197" i="50"/>
  <c r="S270" i="50"/>
  <c r="BE270" i="50" s="1"/>
  <c r="BE204" i="50"/>
  <c r="AG260" i="50"/>
  <c r="BS260" i="50" s="1"/>
  <c r="BS194" i="50"/>
  <c r="BQ71" i="62"/>
  <c r="Z67" i="62"/>
  <c r="BQ67" i="62" s="1"/>
  <c r="S71" i="62"/>
  <c r="BJ71" i="62" s="1"/>
  <c r="AG274" i="50"/>
  <c r="BS274" i="50" s="1"/>
  <c r="BS208" i="50"/>
  <c r="AG262" i="50"/>
  <c r="BS262" i="50" s="1"/>
  <c r="BS196" i="50"/>
  <c r="S266" i="50"/>
  <c r="BE266" i="50" s="1"/>
  <c r="BE200" i="50"/>
  <c r="S83" i="62"/>
  <c r="BJ83" i="62" s="1"/>
  <c r="L74" i="62"/>
  <c r="BC74" i="62" s="1"/>
  <c r="L61" i="62"/>
  <c r="BC61" i="62" s="1"/>
  <c r="Z275" i="50"/>
  <c r="BL275" i="50" s="1"/>
  <c r="BL209" i="50"/>
  <c r="Z267" i="50"/>
  <c r="BL267" i="50" s="1"/>
  <c r="BL201" i="50"/>
  <c r="AG276" i="50"/>
  <c r="BS276" i="50" s="1"/>
  <c r="BS210" i="50"/>
  <c r="L267" i="50"/>
  <c r="AX267" i="50" s="1"/>
  <c r="AX201" i="50"/>
  <c r="AG278" i="50"/>
  <c r="BS278" i="50" s="1"/>
  <c r="BS212" i="50"/>
  <c r="AG266" i="50"/>
  <c r="BS266" i="50" s="1"/>
  <c r="BS200" i="50"/>
  <c r="L279" i="50"/>
  <c r="AX279" i="50" s="1"/>
  <c r="AX213" i="50"/>
  <c r="AG272" i="50"/>
  <c r="BS272" i="50" s="1"/>
  <c r="BS206" i="50"/>
  <c r="Z269" i="50"/>
  <c r="BL269" i="50" s="1"/>
  <c r="BL203" i="50"/>
  <c r="L263" i="50"/>
  <c r="AX263" i="50" s="1"/>
  <c r="AX197" i="50"/>
  <c r="L94" i="62"/>
  <c r="BC94" i="62" s="1"/>
  <c r="L277" i="50"/>
  <c r="AX277" i="50" s="1"/>
  <c r="AX211" i="50"/>
  <c r="L273" i="50"/>
  <c r="AX273" i="50" s="1"/>
  <c r="AX207" i="50"/>
  <c r="L269" i="50"/>
  <c r="AX269" i="50" s="1"/>
  <c r="AX203" i="50"/>
  <c r="L261" i="50"/>
  <c r="AX261" i="50" s="1"/>
  <c r="AX195" i="50"/>
  <c r="S278" i="50"/>
  <c r="BE278" i="50" s="1"/>
  <c r="BE212" i="50"/>
  <c r="L275" i="50"/>
  <c r="AX275" i="50" s="1"/>
  <c r="AX209" i="50"/>
  <c r="AG268" i="50"/>
  <c r="BS268" i="50" s="1"/>
  <c r="BS202" i="50"/>
  <c r="S262" i="50"/>
  <c r="BE262" i="50" s="1"/>
  <c r="BE196" i="50"/>
  <c r="S61" i="62"/>
  <c r="BJ61" i="62" s="1"/>
  <c r="AG259" i="50"/>
  <c r="BS259" i="50" s="1"/>
  <c r="BS193" i="50"/>
  <c r="L83" i="62"/>
  <c r="BC83" i="62" s="1"/>
  <c r="S64" i="62"/>
  <c r="BJ64" i="62" s="1"/>
  <c r="Z271" i="50"/>
  <c r="BL271" i="50" s="1"/>
  <c r="BL205" i="50"/>
  <c r="Z273" i="50"/>
  <c r="BL273" i="50" s="1"/>
  <c r="BL207" i="50"/>
  <c r="AG270" i="50"/>
  <c r="BS270" i="50" s="1"/>
  <c r="BS204" i="50"/>
  <c r="S74" i="62"/>
  <c r="BJ74" i="62" s="1"/>
  <c r="L265" i="50"/>
  <c r="AX265" i="50" s="1"/>
  <c r="AX199" i="50"/>
  <c r="Z265" i="50"/>
  <c r="BL265" i="50" s="1"/>
  <c r="BL199" i="50"/>
  <c r="S276" i="50"/>
  <c r="BE276" i="50" s="1"/>
  <c r="BE210" i="50"/>
  <c r="S272" i="50"/>
  <c r="BE272" i="50" s="1"/>
  <c r="BE206" i="50"/>
  <c r="S268" i="50"/>
  <c r="BE268" i="50" s="1"/>
  <c r="BE202" i="50"/>
  <c r="S264" i="50"/>
  <c r="BE264" i="50" s="1"/>
  <c r="BE198" i="50"/>
  <c r="S260" i="50"/>
  <c r="BE260" i="50" s="1"/>
  <c r="BE194" i="50"/>
  <c r="Z277" i="50"/>
  <c r="BL277" i="50" s="1"/>
  <c r="BL211" i="50"/>
  <c r="S274" i="50"/>
  <c r="BE274" i="50" s="1"/>
  <c r="BE208" i="50"/>
  <c r="L271" i="50"/>
  <c r="AX271" i="50" s="1"/>
  <c r="AX205" i="50"/>
  <c r="AG264" i="50"/>
  <c r="BS264" i="50" s="1"/>
  <c r="BS198" i="50"/>
  <c r="Z261" i="50"/>
  <c r="BL261" i="50" s="1"/>
  <c r="BL195" i="50"/>
  <c r="L71" i="62"/>
  <c r="BC71" i="62" s="1"/>
  <c r="L64" i="62"/>
  <c r="BC64" i="62" s="1"/>
  <c r="L29" i="50"/>
  <c r="E33" i="50"/>
  <c r="L35" i="50"/>
  <c r="L33" i="50"/>
  <c r="AG29" i="50"/>
  <c r="AG19" i="50"/>
  <c r="BS19" i="50" s="1"/>
  <c r="E35" i="50"/>
  <c r="T74" i="82"/>
  <c r="AO74" i="82" s="1"/>
  <c r="L13" i="50"/>
  <c r="AX13" i="50" s="1"/>
  <c r="S35" i="50"/>
  <c r="X40" i="82"/>
  <c r="T68" i="82"/>
  <c r="AO68" i="82" s="1"/>
  <c r="E19" i="50"/>
  <c r="AQ19" i="50" s="1"/>
  <c r="S13" i="50"/>
  <c r="BE13" i="50" s="1"/>
  <c r="Z19" i="50"/>
  <c r="BL19" i="50" s="1"/>
  <c r="L11" i="82"/>
  <c r="AG13" i="50"/>
  <c r="BS13" i="50" s="1"/>
  <c r="E65" i="82"/>
  <c r="T11" i="82"/>
  <c r="AG69" i="50"/>
  <c r="BS69" i="50" s="1"/>
  <c r="U65" i="82"/>
  <c r="T197" i="82"/>
  <c r="AO197" i="82" s="1"/>
  <c r="X74" i="82"/>
  <c r="AS74" i="82" s="1"/>
  <c r="S19" i="50"/>
  <c r="BE19" i="50" s="1"/>
  <c r="E13" i="50"/>
  <c r="AQ13" i="50" s="1"/>
  <c r="L131" i="82"/>
  <c r="AG131" i="82" s="1"/>
  <c r="L68" i="82"/>
  <c r="AG68" i="82" s="1"/>
  <c r="H74" i="82"/>
  <c r="AC74" i="82" s="1"/>
  <c r="H68" i="82"/>
  <c r="AC68" i="82" s="1"/>
  <c r="S111" i="50"/>
  <c r="BE111" i="50" s="1"/>
  <c r="B47" i="85" s="1"/>
  <c r="P131" i="82"/>
  <c r="AK131" i="82" s="1"/>
  <c r="P68" i="82"/>
  <c r="AK68" i="82" s="1"/>
  <c r="Z111" i="50"/>
  <c r="BL111" i="50" s="1"/>
  <c r="B65" i="85" s="1"/>
  <c r="T40" i="82"/>
  <c r="H40" i="82"/>
  <c r="L236" i="50"/>
  <c r="AX236" i="50" s="1"/>
  <c r="B36" i="85" s="1"/>
  <c r="Z236" i="50"/>
  <c r="BL236" i="50" s="1"/>
  <c r="B72" i="85" s="1"/>
  <c r="AG35" i="50"/>
  <c r="Z35" i="50"/>
  <c r="L192" i="50"/>
  <c r="AX192" i="50" s="1"/>
  <c r="B34" i="85" s="1"/>
  <c r="B121" i="85" s="1"/>
  <c r="X68" i="82"/>
  <c r="AS68" i="82" s="1"/>
  <c r="T131" i="82"/>
  <c r="AO131" i="82" s="1"/>
  <c r="Z13" i="50"/>
  <c r="BL13" i="50" s="1"/>
  <c r="S192" i="50"/>
  <c r="BE192" i="50" s="1"/>
  <c r="B52" i="85" s="1"/>
  <c r="B123" i="85" s="1"/>
  <c r="P197" i="82"/>
  <c r="AK197" i="82" s="1"/>
  <c r="L111" i="50"/>
  <c r="AX111" i="50" s="1"/>
  <c r="B29" i="85" s="1"/>
  <c r="L74" i="82"/>
  <c r="I65" i="82"/>
  <c r="L19" i="50"/>
  <c r="AX19" i="50" s="1"/>
  <c r="H197" i="82"/>
  <c r="AC197" i="82" s="1"/>
  <c r="E236" i="50"/>
  <c r="AQ236" i="50" s="1"/>
  <c r="B18" i="85" s="1"/>
  <c r="L197" i="82"/>
  <c r="AG197" i="82" s="1"/>
  <c r="X197" i="82"/>
  <c r="AS197" i="82" s="1"/>
  <c r="X11" i="82"/>
  <c r="AG192" i="50"/>
  <c r="BS192" i="50" s="1"/>
  <c r="B94" i="85" s="1"/>
  <c r="B127" i="85" s="1"/>
  <c r="Q65" i="82"/>
  <c r="Z69" i="50"/>
  <c r="P40" i="82"/>
  <c r="P11" i="82"/>
  <c r="E192" i="50"/>
  <c r="AQ192" i="50" s="1"/>
  <c r="B16" i="85" s="1"/>
  <c r="S236" i="50"/>
  <c r="BE236" i="50" s="1"/>
  <c r="B54" i="85" s="1"/>
  <c r="Z192" i="50"/>
  <c r="BL192" i="50" s="1"/>
  <c r="B70" i="85" s="1"/>
  <c r="B125" i="85" s="1"/>
  <c r="AG236" i="50"/>
  <c r="BS236" i="50" s="1"/>
  <c r="B96" i="85" s="1"/>
  <c r="P84" i="82"/>
  <c r="AK84" i="82" s="1"/>
  <c r="S29" i="50"/>
  <c r="E111" i="50"/>
  <c r="AQ111" i="50" s="1"/>
  <c r="B11" i="85" s="1"/>
  <c r="K69" i="7"/>
  <c r="K47" i="7"/>
  <c r="Z259" i="50"/>
  <c r="BL259" i="50" s="1"/>
  <c r="L40" i="82"/>
  <c r="P74" i="82"/>
  <c r="AK74" i="82" s="1"/>
  <c r="E63" i="50"/>
  <c r="L69" i="50"/>
  <c r="T88" i="82"/>
  <c r="AO88" i="82" s="1"/>
  <c r="Z33" i="50"/>
  <c r="S58" i="7"/>
  <c r="S36" i="7"/>
  <c r="AG172" i="50"/>
  <c r="AG111" i="50"/>
  <c r="BS111" i="50" s="1"/>
  <c r="B89" i="85" s="1"/>
  <c r="P88" i="82"/>
  <c r="AK88" i="82" s="1"/>
  <c r="S33" i="50"/>
  <c r="E96" i="50"/>
  <c r="X131" i="82"/>
  <c r="AS131" i="82" s="1"/>
  <c r="S98" i="50"/>
  <c r="Z91" i="50"/>
  <c r="L89" i="50"/>
  <c r="X88" i="82"/>
  <c r="AS88" i="82" s="1"/>
  <c r="AG33" i="50"/>
  <c r="Z260" i="50"/>
  <c r="BL260" i="50" s="1"/>
  <c r="E259" i="50"/>
  <c r="H131" i="82"/>
  <c r="AC131" i="82" s="1"/>
  <c r="T84" i="82"/>
  <c r="AO84" i="82" s="1"/>
  <c r="Z29" i="50"/>
  <c r="AG90" i="50"/>
  <c r="M65" i="82"/>
  <c r="S60" i="50" l="1"/>
  <c r="BE60" i="50" s="1"/>
  <c r="B44" i="85" s="1"/>
  <c r="B109" i="85"/>
  <c r="AG94" i="50"/>
  <c r="BS94" i="50" s="1"/>
  <c r="Z94" i="50"/>
  <c r="BL94" i="50" s="1"/>
  <c r="B112" i="85"/>
  <c r="B119" i="85"/>
  <c r="B129" i="85" s="1"/>
  <c r="B114" i="85"/>
  <c r="L94" i="50"/>
  <c r="AX94" i="50" s="1"/>
  <c r="B107" i="85"/>
  <c r="S171" i="50"/>
  <c r="BE171" i="50" s="1"/>
  <c r="B50" i="85" s="1"/>
  <c r="AG60" i="50"/>
  <c r="E94" i="50"/>
  <c r="AQ94" i="50" s="1"/>
  <c r="AQ96" i="50"/>
  <c r="Z171" i="50"/>
  <c r="BL171" i="50" s="1"/>
  <c r="B68" i="85" s="1"/>
  <c r="H220" i="82"/>
  <c r="AC220" i="82" s="1"/>
  <c r="AC40" i="82"/>
  <c r="T219" i="82"/>
  <c r="AO219" i="82" s="1"/>
  <c r="AO11" i="82"/>
  <c r="L108" i="50"/>
  <c r="AX108" i="50" s="1"/>
  <c r="AX33" i="50"/>
  <c r="L171" i="50"/>
  <c r="AX171" i="50" s="1"/>
  <c r="B32" i="85" s="1"/>
  <c r="AG108" i="50"/>
  <c r="BS108" i="50" s="1"/>
  <c r="BS33" i="50"/>
  <c r="S108" i="50"/>
  <c r="BE108" i="50" s="1"/>
  <c r="BE33" i="50"/>
  <c r="L60" i="50"/>
  <c r="AX60" i="50" s="1"/>
  <c r="B26" i="85" s="1"/>
  <c r="AX69" i="50"/>
  <c r="E171" i="50"/>
  <c r="AQ171" i="50" s="1"/>
  <c r="B14" i="85" s="1"/>
  <c r="T220" i="82"/>
  <c r="AO220" i="82" s="1"/>
  <c r="AO40" i="82"/>
  <c r="E221" i="82"/>
  <c r="Z65" i="82"/>
  <c r="X220" i="82"/>
  <c r="AS220" i="82" s="1"/>
  <c r="AS40" i="82"/>
  <c r="E258" i="50"/>
  <c r="AQ258" i="50" s="1"/>
  <c r="B19" i="85" s="1"/>
  <c r="AQ259" i="50"/>
  <c r="U221" i="82"/>
  <c r="AP65" i="82"/>
  <c r="AG104" i="50"/>
  <c r="BS104" i="50" s="1"/>
  <c r="BS29" i="50"/>
  <c r="L220" i="82"/>
  <c r="AG220" i="82" s="1"/>
  <c r="AG40" i="82"/>
  <c r="M221" i="82"/>
  <c r="AH65" i="82"/>
  <c r="Q221" i="82"/>
  <c r="AL65" i="82"/>
  <c r="I221" i="82"/>
  <c r="AD65" i="82"/>
  <c r="S104" i="50"/>
  <c r="BE104" i="50" s="1"/>
  <c r="BE29" i="50"/>
  <c r="X219" i="82"/>
  <c r="AS219" i="82" s="1"/>
  <c r="AS11" i="82"/>
  <c r="L219" i="82"/>
  <c r="AG219" i="82" s="1"/>
  <c r="AG11" i="82"/>
  <c r="L104" i="50"/>
  <c r="AX104" i="50" s="1"/>
  <c r="AX29" i="50"/>
  <c r="P219" i="82"/>
  <c r="AK219" i="82" s="1"/>
  <c r="AK11" i="82"/>
  <c r="Z104" i="50"/>
  <c r="BL104" i="50" s="1"/>
  <c r="BL29" i="50"/>
  <c r="L88" i="50"/>
  <c r="AX88" i="50" s="1"/>
  <c r="AX89" i="50"/>
  <c r="P220" i="82"/>
  <c r="AK220" i="82" s="1"/>
  <c r="AK40" i="82"/>
  <c r="L65" i="82"/>
  <c r="AG65" i="82" s="1"/>
  <c r="AG74" i="82"/>
  <c r="Z88" i="50"/>
  <c r="BL88" i="50" s="1"/>
  <c r="BL91" i="50"/>
  <c r="AG171" i="50"/>
  <c r="BS171" i="50" s="1"/>
  <c r="B92" i="85" s="1"/>
  <c r="BS172" i="50"/>
  <c r="Z60" i="50"/>
  <c r="BL60" i="50" s="1"/>
  <c r="B62" i="85" s="1"/>
  <c r="BL69" i="50"/>
  <c r="S88" i="50"/>
  <c r="BE88" i="50" s="1"/>
  <c r="Z108" i="50"/>
  <c r="BL108" i="50" s="1"/>
  <c r="BL33" i="50"/>
  <c r="AG88" i="50"/>
  <c r="BS88" i="50" s="1"/>
  <c r="BS90" i="50"/>
  <c r="E60" i="50"/>
  <c r="AQ60" i="50" s="1"/>
  <c r="B8" i="85" s="1"/>
  <c r="AQ63" i="50"/>
  <c r="E108" i="50"/>
  <c r="AQ108" i="50" s="1"/>
  <c r="AQ33" i="50"/>
  <c r="S94" i="50"/>
  <c r="BE94" i="50" s="1"/>
  <c r="BE98" i="50"/>
  <c r="E88" i="50"/>
  <c r="AQ88" i="50" s="1"/>
  <c r="E281" i="50"/>
  <c r="AQ281" i="50" s="1"/>
  <c r="AQ35" i="50"/>
  <c r="B7" i="85" s="1"/>
  <c r="S258" i="50"/>
  <c r="BE258" i="50" s="1"/>
  <c r="B55" i="85" s="1"/>
  <c r="L281" i="50"/>
  <c r="AX281" i="50" s="1"/>
  <c r="AX35" i="50"/>
  <c r="B25" i="85" s="1"/>
  <c r="AG258" i="50"/>
  <c r="BS258" i="50" s="1"/>
  <c r="B97" i="85" s="1"/>
  <c r="S281" i="50"/>
  <c r="BE281" i="50" s="1"/>
  <c r="BE35" i="50"/>
  <c r="B43" i="85" s="1"/>
  <c r="Z281" i="50"/>
  <c r="BL281" i="50" s="1"/>
  <c r="BL35" i="50"/>
  <c r="B61" i="85" s="1"/>
  <c r="S67" i="62"/>
  <c r="BJ67" i="62" s="1"/>
  <c r="L258" i="50"/>
  <c r="AX258" i="50" s="1"/>
  <c r="B37" i="85" s="1"/>
  <c r="AG281" i="50"/>
  <c r="BS281" i="50" s="1"/>
  <c r="BS35" i="50"/>
  <c r="B85" i="85" s="1"/>
  <c r="L67" i="62"/>
  <c r="BC67" i="62" s="1"/>
  <c r="L10" i="50"/>
  <c r="S282" i="50"/>
  <c r="BE282" i="50" s="1"/>
  <c r="X65" i="82"/>
  <c r="T65" i="82"/>
  <c r="S10" i="50"/>
  <c r="AG10" i="50"/>
  <c r="P65" i="82"/>
  <c r="Z10" i="50"/>
  <c r="S69" i="7"/>
  <c r="S47" i="7"/>
  <c r="Z258" i="50"/>
  <c r="BL258" i="50" s="1"/>
  <c r="B73" i="85" s="1"/>
  <c r="AA58" i="7"/>
  <c r="AA36" i="7"/>
  <c r="E36" i="58"/>
  <c r="E27" i="58"/>
  <c r="O27" i="58" s="1"/>
  <c r="E19" i="58"/>
  <c r="E39" i="58" s="1"/>
  <c r="E42" i="58" s="1"/>
  <c r="O42" i="58" s="1"/>
  <c r="E14" i="58"/>
  <c r="E38" i="58" s="1"/>
  <c r="Z282" i="50" l="1"/>
  <c r="BL282" i="50" s="1"/>
  <c r="L221" i="82"/>
  <c r="L282" i="50"/>
  <c r="AX282" i="50" s="1"/>
  <c r="B103" i="85"/>
  <c r="S85" i="50"/>
  <c r="BE85" i="50" s="1"/>
  <c r="B45" i="85" s="1"/>
  <c r="L85" i="50"/>
  <c r="AX85" i="50" s="1"/>
  <c r="B27" i="85" s="1"/>
  <c r="B110" i="85"/>
  <c r="B115" i="85"/>
  <c r="Z280" i="50"/>
  <c r="BL280" i="50" s="1"/>
  <c r="BL10" i="50"/>
  <c r="B60" i="85" s="1"/>
  <c r="P221" i="82"/>
  <c r="AK65" i="82"/>
  <c r="Z85" i="50"/>
  <c r="BL85" i="50" s="1"/>
  <c r="B63" i="85" s="1"/>
  <c r="AG85" i="50"/>
  <c r="L280" i="50"/>
  <c r="AX280" i="50" s="1"/>
  <c r="AX10" i="50"/>
  <c r="B24" i="85" s="1"/>
  <c r="I223" i="82"/>
  <c r="AD223" i="82" s="1"/>
  <c r="AD221" i="82"/>
  <c r="E223" i="82"/>
  <c r="Z223" i="82" s="1"/>
  <c r="Z221" i="82"/>
  <c r="X221" i="82"/>
  <c r="AS65" i="82"/>
  <c r="Q223" i="82"/>
  <c r="AL223" i="82" s="1"/>
  <c r="AL221" i="82"/>
  <c r="U223" i="82"/>
  <c r="AP223" i="82" s="1"/>
  <c r="AP221" i="82"/>
  <c r="E282" i="50"/>
  <c r="AQ282" i="50" s="1"/>
  <c r="T221" i="82"/>
  <c r="AO65" i="82"/>
  <c r="S280" i="50"/>
  <c r="BE280" i="50" s="1"/>
  <c r="BE10" i="50"/>
  <c r="B42" i="85" s="1"/>
  <c r="M223" i="82"/>
  <c r="AH223" i="82" s="1"/>
  <c r="AH221" i="82"/>
  <c r="AG282" i="50"/>
  <c r="BS282" i="50" s="1"/>
  <c r="BS60" i="50"/>
  <c r="B86" i="85" s="1"/>
  <c r="B104" i="85" s="1"/>
  <c r="AG280" i="50"/>
  <c r="BS280" i="50" s="1"/>
  <c r="BS10" i="50"/>
  <c r="B84" i="85" s="1"/>
  <c r="Z283" i="50"/>
  <c r="BL283" i="50" s="1"/>
  <c r="AI36" i="7"/>
  <c r="AI58" i="7"/>
  <c r="E32" i="58"/>
  <c r="O32" i="58" s="1"/>
  <c r="AA69" i="7"/>
  <c r="AA47" i="7"/>
  <c r="E37" i="58"/>
  <c r="E41" i="58"/>
  <c r="L223" i="82" l="1"/>
  <c r="AG223" i="82" s="1"/>
  <c r="AG221" i="82"/>
  <c r="S283" i="50"/>
  <c r="BE283" i="50" s="1"/>
  <c r="L283" i="50"/>
  <c r="AX283" i="50" s="1"/>
  <c r="AG283" i="50"/>
  <c r="BS283" i="50" s="1"/>
  <c r="BS85" i="50"/>
  <c r="B87" i="85" s="1"/>
  <c r="X223" i="82"/>
  <c r="AS223" i="82" s="1"/>
  <c r="AS221" i="82"/>
  <c r="T223" i="82"/>
  <c r="AO223" i="82" s="1"/>
  <c r="AO221" i="82"/>
  <c r="E40" i="58"/>
  <c r="O40" i="58" s="1"/>
  <c r="O41" i="58"/>
  <c r="P223" i="82"/>
  <c r="AK223" i="82" s="1"/>
  <c r="AK221" i="82"/>
  <c r="AQ58" i="7"/>
  <c r="AQ36" i="7"/>
  <c r="AI69" i="7"/>
  <c r="AI47" i="7"/>
  <c r="S150" i="67"/>
  <c r="AQ69" i="7" l="1"/>
  <c r="AQ47" i="7"/>
  <c r="C13" i="39"/>
  <c r="H76" i="39"/>
  <c r="G76" i="39"/>
  <c r="F76" i="39"/>
  <c r="E76" i="39"/>
  <c r="D76" i="39"/>
  <c r="C76" i="39"/>
  <c r="H60" i="39"/>
  <c r="G60" i="39"/>
  <c r="F60" i="39"/>
  <c r="E60" i="39"/>
  <c r="D60" i="39"/>
  <c r="C60" i="39"/>
  <c r="H44" i="39"/>
  <c r="G44" i="39"/>
  <c r="F44" i="39"/>
  <c r="E44" i="39"/>
  <c r="D44" i="39"/>
  <c r="C44" i="39"/>
  <c r="H29" i="39"/>
  <c r="G29" i="39"/>
  <c r="F29" i="39"/>
  <c r="E29" i="39"/>
  <c r="D29" i="39"/>
  <c r="C29" i="39"/>
  <c r="D13" i="39"/>
  <c r="E13" i="39"/>
  <c r="F13" i="39"/>
  <c r="G13" i="39"/>
  <c r="H13" i="39"/>
  <c r="AA133" i="77" l="1"/>
  <c r="Z133" i="77"/>
  <c r="Y133" i="77"/>
  <c r="X133" i="77"/>
  <c r="W133" i="77"/>
  <c r="V133" i="77"/>
  <c r="U133" i="77"/>
  <c r="T133" i="77"/>
  <c r="S133" i="77"/>
  <c r="R133" i="77"/>
  <c r="Q133" i="77"/>
  <c r="P133" i="77"/>
  <c r="O133" i="77"/>
  <c r="N133" i="77"/>
  <c r="M133" i="77"/>
  <c r="L133" i="77"/>
  <c r="K133" i="77"/>
  <c r="J133" i="77"/>
  <c r="I133" i="77"/>
  <c r="H133" i="77"/>
  <c r="G133" i="77"/>
  <c r="F133" i="77"/>
  <c r="E133" i="77"/>
  <c r="D133" i="77"/>
  <c r="C133" i="77"/>
  <c r="AA110" i="77"/>
  <c r="Z110" i="77"/>
  <c r="Y110" i="77"/>
  <c r="X110" i="77"/>
  <c r="W110" i="77"/>
  <c r="V110" i="77"/>
  <c r="U110" i="77"/>
  <c r="T110" i="77"/>
  <c r="S110" i="77"/>
  <c r="R110" i="77"/>
  <c r="Q110" i="77"/>
  <c r="P110" i="77"/>
  <c r="O110" i="77"/>
  <c r="N110" i="77"/>
  <c r="M110" i="77"/>
  <c r="L110" i="77"/>
  <c r="K110" i="77"/>
  <c r="J110" i="77"/>
  <c r="I110" i="77"/>
  <c r="H110" i="77"/>
  <c r="G110" i="77"/>
  <c r="F110" i="77"/>
  <c r="E110" i="77"/>
  <c r="D110" i="77"/>
  <c r="C110" i="77"/>
  <c r="AA86" i="77"/>
  <c r="Z86" i="77"/>
  <c r="Y86" i="77"/>
  <c r="X86" i="77"/>
  <c r="W86" i="77"/>
  <c r="V86" i="77"/>
  <c r="U86" i="77"/>
  <c r="T86" i="77"/>
  <c r="S86" i="77"/>
  <c r="R86" i="77"/>
  <c r="Q86" i="77"/>
  <c r="P86" i="77"/>
  <c r="O86" i="77"/>
  <c r="N86" i="77"/>
  <c r="M86" i="77"/>
  <c r="L86" i="77"/>
  <c r="K86" i="77"/>
  <c r="J86" i="77"/>
  <c r="I86" i="77"/>
  <c r="H86" i="77"/>
  <c r="G86" i="77"/>
  <c r="F86" i="77"/>
  <c r="E86" i="77"/>
  <c r="D86" i="77"/>
  <c r="C86" i="77"/>
  <c r="AA63" i="77"/>
  <c r="Z63" i="77"/>
  <c r="Y63" i="77"/>
  <c r="X63" i="77"/>
  <c r="W63" i="77"/>
  <c r="V63" i="77"/>
  <c r="U63" i="77"/>
  <c r="T63" i="77"/>
  <c r="S63" i="77"/>
  <c r="R63" i="77"/>
  <c r="Q63" i="77"/>
  <c r="P63" i="77"/>
  <c r="O63" i="77"/>
  <c r="N63" i="77"/>
  <c r="M63" i="77"/>
  <c r="L63" i="77"/>
  <c r="K63" i="77"/>
  <c r="J63" i="77"/>
  <c r="I63" i="77"/>
  <c r="H63" i="77"/>
  <c r="G63" i="77"/>
  <c r="F63" i="77"/>
  <c r="E63" i="77"/>
  <c r="D63" i="77"/>
  <c r="C63" i="77"/>
  <c r="AA39" i="77"/>
  <c r="Z39" i="77"/>
  <c r="Y39" i="77"/>
  <c r="X39" i="77"/>
  <c r="W39" i="77"/>
  <c r="V39" i="77"/>
  <c r="U39" i="77"/>
  <c r="T39" i="77"/>
  <c r="S39" i="77"/>
  <c r="R39" i="77"/>
  <c r="Q39" i="77"/>
  <c r="P39" i="77"/>
  <c r="O39" i="77"/>
  <c r="N39" i="77"/>
  <c r="M39" i="77"/>
  <c r="L39" i="77"/>
  <c r="K39" i="77"/>
  <c r="J39" i="77"/>
  <c r="I39" i="77"/>
  <c r="H39" i="77"/>
  <c r="G39" i="77"/>
  <c r="F39" i="77"/>
  <c r="E39" i="77"/>
  <c r="D39" i="77"/>
  <c r="C39" i="77"/>
  <c r="AA16" i="77"/>
  <c r="Z16" i="77"/>
  <c r="Y16" i="77"/>
  <c r="X16" i="77"/>
  <c r="W16" i="77"/>
  <c r="V16" i="77"/>
  <c r="U16" i="77"/>
  <c r="T16" i="77"/>
  <c r="S16" i="77"/>
  <c r="R16" i="77"/>
  <c r="Q16" i="77"/>
  <c r="P16" i="77"/>
  <c r="O16" i="77"/>
  <c r="N16" i="77"/>
  <c r="M16" i="77"/>
  <c r="L16" i="77"/>
  <c r="K16" i="77"/>
  <c r="J16" i="77"/>
  <c r="I16" i="77"/>
  <c r="H16" i="77"/>
  <c r="G16" i="77"/>
  <c r="F16" i="77"/>
  <c r="E16" i="77"/>
  <c r="D16" i="77"/>
  <c r="C16" i="77"/>
  <c r="U114" i="67"/>
  <c r="V114" i="67"/>
  <c r="W114" i="67"/>
  <c r="X114" i="67"/>
  <c r="Y114" i="67"/>
  <c r="U116" i="67"/>
  <c r="V116" i="67"/>
  <c r="W116" i="67"/>
  <c r="X116" i="67"/>
  <c r="Y116" i="67"/>
  <c r="T116" i="67"/>
  <c r="T114" i="67"/>
  <c r="U92" i="67"/>
  <c r="V92" i="67"/>
  <c r="W92" i="67"/>
  <c r="X92" i="67"/>
  <c r="Y92" i="67"/>
  <c r="T92" i="67"/>
  <c r="U90" i="67"/>
  <c r="V90" i="67"/>
  <c r="W90" i="67"/>
  <c r="X90" i="67"/>
  <c r="Y90" i="67"/>
  <c r="T90" i="67"/>
  <c r="Z92" i="67" l="1"/>
  <c r="AA92" i="67"/>
  <c r="Z116" i="67"/>
  <c r="Z114" i="67"/>
  <c r="AA114" i="67"/>
  <c r="AA116" i="67"/>
  <c r="AA90" i="67"/>
  <c r="Z90" i="67"/>
  <c r="S48" i="79" l="1"/>
  <c r="S49" i="79"/>
  <c r="S50" i="79"/>
  <c r="S51" i="79"/>
  <c r="S52" i="79"/>
  <c r="S53" i="79"/>
  <c r="S54" i="79"/>
  <c r="S47" i="79"/>
  <c r="S35" i="79"/>
  <c r="S36" i="79"/>
  <c r="S37" i="79"/>
  <c r="S38" i="79"/>
  <c r="S39" i="79"/>
  <c r="S40" i="79"/>
  <c r="S41" i="79"/>
  <c r="S42" i="79"/>
  <c r="S43" i="79"/>
  <c r="S44" i="79"/>
  <c r="S45" i="79"/>
  <c r="S34" i="79"/>
  <c r="E8" i="22" l="1"/>
  <c r="I8" i="46" l="1"/>
  <c r="H8" i="46"/>
  <c r="G8" i="46"/>
  <c r="F8" i="46"/>
  <c r="E8" i="46"/>
  <c r="A165" i="46" s="1"/>
  <c r="D8" i="46"/>
  <c r="N95" i="39"/>
  <c r="AA95" i="39" s="1"/>
  <c r="W21" i="83" s="1"/>
  <c r="M95" i="39"/>
  <c r="Z95" i="39" s="1"/>
  <c r="V21" i="83" s="1"/>
  <c r="L95" i="39"/>
  <c r="Y95" i="39" s="1"/>
  <c r="U21" i="83" s="1"/>
  <c r="K95" i="39"/>
  <c r="X95" i="39" s="1"/>
  <c r="T21" i="83" s="1"/>
  <c r="J95" i="39"/>
  <c r="W95" i="39" s="1"/>
  <c r="S21" i="83" s="1"/>
  <c r="I95" i="39"/>
  <c r="V95" i="39" s="1"/>
  <c r="R21" i="83" s="1"/>
  <c r="N94" i="39"/>
  <c r="AA94" i="39" s="1"/>
  <c r="W17" i="83" s="1"/>
  <c r="M94" i="39"/>
  <c r="Z94" i="39" s="1"/>
  <c r="V17" i="83" s="1"/>
  <c r="L94" i="39"/>
  <c r="Y94" i="39" s="1"/>
  <c r="U17" i="83" s="1"/>
  <c r="K94" i="39"/>
  <c r="X94" i="39" s="1"/>
  <c r="T17" i="83" s="1"/>
  <c r="J94" i="39"/>
  <c r="W94" i="39" s="1"/>
  <c r="S17" i="83" s="1"/>
  <c r="I94" i="39"/>
  <c r="V94" i="39" s="1"/>
  <c r="R17" i="83" s="1"/>
  <c r="N79" i="39"/>
  <c r="AA79" i="39" s="1"/>
  <c r="M79" i="39"/>
  <c r="Z79" i="39" s="1"/>
  <c r="L79" i="39"/>
  <c r="Y79" i="39" s="1"/>
  <c r="K79" i="39"/>
  <c r="X79" i="39" s="1"/>
  <c r="J79" i="39"/>
  <c r="W79" i="39" s="1"/>
  <c r="I79" i="39"/>
  <c r="V79" i="39" s="1"/>
  <c r="N78" i="39"/>
  <c r="AA78" i="39" s="1"/>
  <c r="M78" i="39"/>
  <c r="Z78" i="39" s="1"/>
  <c r="L78" i="39"/>
  <c r="Y78" i="39" s="1"/>
  <c r="K78" i="39"/>
  <c r="X78" i="39" s="1"/>
  <c r="J78" i="39"/>
  <c r="W78" i="39" s="1"/>
  <c r="I78" i="39"/>
  <c r="V78" i="39" s="1"/>
  <c r="N77" i="39"/>
  <c r="AA77" i="39" s="1"/>
  <c r="M77" i="39"/>
  <c r="L77" i="39"/>
  <c r="Y77" i="39" s="1"/>
  <c r="K77" i="39"/>
  <c r="X77" i="39" s="1"/>
  <c r="J77" i="39"/>
  <c r="W77" i="39" s="1"/>
  <c r="I77" i="39"/>
  <c r="V77" i="39" s="1"/>
  <c r="N75" i="39"/>
  <c r="AA75" i="39" s="1"/>
  <c r="M75" i="39"/>
  <c r="Z75" i="39" s="1"/>
  <c r="L75" i="39"/>
  <c r="Y75" i="39" s="1"/>
  <c r="K75" i="39"/>
  <c r="X75" i="39" s="1"/>
  <c r="J75" i="39"/>
  <c r="W75" i="39" s="1"/>
  <c r="I75" i="39"/>
  <c r="V75" i="39" s="1"/>
  <c r="N74" i="39"/>
  <c r="AA74" i="39" s="1"/>
  <c r="M74" i="39"/>
  <c r="Z74" i="39" s="1"/>
  <c r="L74" i="39"/>
  <c r="Y74" i="39" s="1"/>
  <c r="K74" i="39"/>
  <c r="X74" i="39" s="1"/>
  <c r="J74" i="39"/>
  <c r="W74" i="39" s="1"/>
  <c r="I74" i="39"/>
  <c r="V74" i="39" s="1"/>
  <c r="N73" i="39"/>
  <c r="AA73" i="39" s="1"/>
  <c r="M73" i="39"/>
  <c r="Z73" i="39" s="1"/>
  <c r="L73" i="39"/>
  <c r="Y73" i="39" s="1"/>
  <c r="K73" i="39"/>
  <c r="X73" i="39" s="1"/>
  <c r="J73" i="39"/>
  <c r="W73" i="39" s="1"/>
  <c r="I73" i="39"/>
  <c r="V73" i="39" s="1"/>
  <c r="N63" i="39"/>
  <c r="AA63" i="39" s="1"/>
  <c r="M63" i="39"/>
  <c r="Z63" i="39" s="1"/>
  <c r="L63" i="39"/>
  <c r="Y63" i="39" s="1"/>
  <c r="K63" i="39"/>
  <c r="X63" i="39" s="1"/>
  <c r="J63" i="39"/>
  <c r="W63" i="39" s="1"/>
  <c r="I63" i="39"/>
  <c r="V63" i="39" s="1"/>
  <c r="N62" i="39"/>
  <c r="AA62" i="39" s="1"/>
  <c r="M62" i="39"/>
  <c r="Z62" i="39" s="1"/>
  <c r="L62" i="39"/>
  <c r="Y62" i="39" s="1"/>
  <c r="K62" i="39"/>
  <c r="X62" i="39" s="1"/>
  <c r="J62" i="39"/>
  <c r="W62" i="39" s="1"/>
  <c r="I62" i="39"/>
  <c r="V62" i="39" s="1"/>
  <c r="N61" i="39"/>
  <c r="AA61" i="39" s="1"/>
  <c r="M61" i="39"/>
  <c r="Z61" i="39" s="1"/>
  <c r="L61" i="39"/>
  <c r="Y61" i="39" s="1"/>
  <c r="K61" i="39"/>
  <c r="X61" i="39" s="1"/>
  <c r="J61" i="39"/>
  <c r="W61" i="39" s="1"/>
  <c r="I61" i="39"/>
  <c r="V61" i="39" s="1"/>
  <c r="N59" i="39"/>
  <c r="AA59" i="39" s="1"/>
  <c r="M59" i="39"/>
  <c r="Z59" i="39" s="1"/>
  <c r="L59" i="39"/>
  <c r="Y59" i="39" s="1"/>
  <c r="K59" i="39"/>
  <c r="X59" i="39" s="1"/>
  <c r="J59" i="39"/>
  <c r="W59" i="39" s="1"/>
  <c r="I59" i="39"/>
  <c r="V59" i="39" s="1"/>
  <c r="N58" i="39"/>
  <c r="AA58" i="39" s="1"/>
  <c r="M58" i="39"/>
  <c r="Z58" i="39" s="1"/>
  <c r="L58" i="39"/>
  <c r="Y58" i="39" s="1"/>
  <c r="K58" i="39"/>
  <c r="X58" i="39" s="1"/>
  <c r="J58" i="39"/>
  <c r="W58" i="39" s="1"/>
  <c r="I58" i="39"/>
  <c r="V58" i="39" s="1"/>
  <c r="N57" i="39"/>
  <c r="AA57" i="39" s="1"/>
  <c r="M57" i="39"/>
  <c r="Z57" i="39" s="1"/>
  <c r="L57" i="39"/>
  <c r="Y57" i="39" s="1"/>
  <c r="K57" i="39"/>
  <c r="X57" i="39" s="1"/>
  <c r="J57" i="39"/>
  <c r="W57" i="39" s="1"/>
  <c r="I57" i="39"/>
  <c r="V57" i="39" s="1"/>
  <c r="N47" i="39"/>
  <c r="AA47" i="39" s="1"/>
  <c r="M47" i="39"/>
  <c r="Z47" i="39" s="1"/>
  <c r="L47" i="39"/>
  <c r="Y47" i="39" s="1"/>
  <c r="K47" i="39"/>
  <c r="X47" i="39" s="1"/>
  <c r="J47" i="39"/>
  <c r="W47" i="39" s="1"/>
  <c r="I47" i="39"/>
  <c r="V47" i="39" s="1"/>
  <c r="N46" i="39"/>
  <c r="AA46" i="39" s="1"/>
  <c r="M46" i="39"/>
  <c r="Z46" i="39" s="1"/>
  <c r="L46" i="39"/>
  <c r="Y46" i="39" s="1"/>
  <c r="K46" i="39"/>
  <c r="X46" i="39" s="1"/>
  <c r="J46" i="39"/>
  <c r="W46" i="39" s="1"/>
  <c r="I46" i="39"/>
  <c r="V46" i="39" s="1"/>
  <c r="N45" i="39"/>
  <c r="AA45" i="39" s="1"/>
  <c r="M45" i="39"/>
  <c r="Z45" i="39" s="1"/>
  <c r="L45" i="39"/>
  <c r="Y45" i="39" s="1"/>
  <c r="K45" i="39"/>
  <c r="X45" i="39" s="1"/>
  <c r="J45" i="39"/>
  <c r="W45" i="39" s="1"/>
  <c r="I45" i="39"/>
  <c r="V45" i="39" s="1"/>
  <c r="C49" i="39"/>
  <c r="L10" i="83" s="1"/>
  <c r="N43" i="39"/>
  <c r="AA43" i="39" s="1"/>
  <c r="M43" i="39"/>
  <c r="Z43" i="39" s="1"/>
  <c r="L43" i="39"/>
  <c r="Y43" i="39" s="1"/>
  <c r="K43" i="39"/>
  <c r="X43" i="39" s="1"/>
  <c r="J43" i="39"/>
  <c r="W43" i="39" s="1"/>
  <c r="I43" i="39"/>
  <c r="V43" i="39" s="1"/>
  <c r="N42" i="39"/>
  <c r="AA42" i="39" s="1"/>
  <c r="M42" i="39"/>
  <c r="Z42" i="39" s="1"/>
  <c r="L42" i="39"/>
  <c r="Y42" i="39" s="1"/>
  <c r="K42" i="39"/>
  <c r="X42" i="39" s="1"/>
  <c r="J42" i="39"/>
  <c r="W42" i="39" s="1"/>
  <c r="I42" i="39"/>
  <c r="V42" i="39" s="1"/>
  <c r="N41" i="39"/>
  <c r="AA41" i="39" s="1"/>
  <c r="M41" i="39"/>
  <c r="Z41" i="39" s="1"/>
  <c r="L41" i="39"/>
  <c r="Y41" i="39" s="1"/>
  <c r="K41" i="39"/>
  <c r="X41" i="39" s="1"/>
  <c r="J41" i="39"/>
  <c r="W41" i="39" s="1"/>
  <c r="I41" i="39"/>
  <c r="V41" i="39" s="1"/>
  <c r="N32" i="39"/>
  <c r="AA32" i="39" s="1"/>
  <c r="M32" i="39"/>
  <c r="Z32" i="39" s="1"/>
  <c r="L32" i="39"/>
  <c r="Y32" i="39" s="1"/>
  <c r="K32" i="39"/>
  <c r="X32" i="39" s="1"/>
  <c r="J32" i="39"/>
  <c r="W32" i="39" s="1"/>
  <c r="I32" i="39"/>
  <c r="V32" i="39" s="1"/>
  <c r="N31" i="39"/>
  <c r="AA31" i="39" s="1"/>
  <c r="M31" i="39"/>
  <c r="Z31" i="39" s="1"/>
  <c r="L31" i="39"/>
  <c r="Y31" i="39" s="1"/>
  <c r="K31" i="39"/>
  <c r="X31" i="39" s="1"/>
  <c r="J31" i="39"/>
  <c r="W31" i="39" s="1"/>
  <c r="I31" i="39"/>
  <c r="V31" i="39" s="1"/>
  <c r="N30" i="39"/>
  <c r="AA30" i="39" s="1"/>
  <c r="M30" i="39"/>
  <c r="Z30" i="39" s="1"/>
  <c r="L30" i="39"/>
  <c r="Y30" i="39" s="1"/>
  <c r="K30" i="39"/>
  <c r="X30" i="39" s="1"/>
  <c r="J30" i="39"/>
  <c r="W30" i="39" s="1"/>
  <c r="I30" i="39"/>
  <c r="V30" i="39" s="1"/>
  <c r="N28" i="39"/>
  <c r="AA28" i="39" s="1"/>
  <c r="M28" i="39"/>
  <c r="Z28" i="39" s="1"/>
  <c r="L28" i="39"/>
  <c r="Y28" i="39" s="1"/>
  <c r="K28" i="39"/>
  <c r="X28" i="39" s="1"/>
  <c r="J28" i="39"/>
  <c r="W28" i="39" s="1"/>
  <c r="I28" i="39"/>
  <c r="V28" i="39" s="1"/>
  <c r="N27" i="39"/>
  <c r="AA27" i="39" s="1"/>
  <c r="M27" i="39"/>
  <c r="Z27" i="39" s="1"/>
  <c r="L27" i="39"/>
  <c r="Y27" i="39" s="1"/>
  <c r="K27" i="39"/>
  <c r="X27" i="39" s="1"/>
  <c r="J27" i="39"/>
  <c r="W27" i="39" s="1"/>
  <c r="I27" i="39"/>
  <c r="V27" i="39" s="1"/>
  <c r="N26" i="39"/>
  <c r="AA26" i="39" s="1"/>
  <c r="M26" i="39"/>
  <c r="Z26" i="39" s="1"/>
  <c r="L26" i="39"/>
  <c r="Y26" i="39" s="1"/>
  <c r="K26" i="39"/>
  <c r="X26" i="39" s="1"/>
  <c r="J26" i="39"/>
  <c r="W26" i="39" s="1"/>
  <c r="I26" i="39"/>
  <c r="V26" i="39" s="1"/>
  <c r="N16" i="39"/>
  <c r="AA16" i="39" s="1"/>
  <c r="M16" i="39"/>
  <c r="Z16" i="39" s="1"/>
  <c r="L16" i="39"/>
  <c r="Y16" i="39" s="1"/>
  <c r="K16" i="39"/>
  <c r="X16" i="39" s="1"/>
  <c r="J16" i="39"/>
  <c r="W16" i="39" s="1"/>
  <c r="I16" i="39"/>
  <c r="V16" i="39" s="1"/>
  <c r="N15" i="39"/>
  <c r="AA15" i="39" s="1"/>
  <c r="M15" i="39"/>
  <c r="Z15" i="39" s="1"/>
  <c r="L15" i="39"/>
  <c r="Y15" i="39" s="1"/>
  <c r="K15" i="39"/>
  <c r="X15" i="39" s="1"/>
  <c r="J15" i="39"/>
  <c r="W15" i="39" s="1"/>
  <c r="I15" i="39"/>
  <c r="V15" i="39" s="1"/>
  <c r="N14" i="39"/>
  <c r="AA14" i="39" s="1"/>
  <c r="M14" i="39"/>
  <c r="Z14" i="39" s="1"/>
  <c r="L14" i="39"/>
  <c r="Y14" i="39" s="1"/>
  <c r="K14" i="39"/>
  <c r="X14" i="39" s="1"/>
  <c r="J14" i="39"/>
  <c r="W14" i="39" s="1"/>
  <c r="I14" i="39"/>
  <c r="V14" i="39" s="1"/>
  <c r="C18" i="39"/>
  <c r="L5" i="83" s="1"/>
  <c r="N12" i="39"/>
  <c r="AA12" i="39" s="1"/>
  <c r="M12" i="39"/>
  <c r="Z12" i="39" s="1"/>
  <c r="L12" i="39"/>
  <c r="Y12" i="39" s="1"/>
  <c r="K12" i="39"/>
  <c r="X12" i="39" s="1"/>
  <c r="J12" i="39"/>
  <c r="W12" i="39" s="1"/>
  <c r="I12" i="39"/>
  <c r="V12" i="39" s="1"/>
  <c r="N11" i="39"/>
  <c r="AA11" i="39" s="1"/>
  <c r="M11" i="39"/>
  <c r="Z11" i="39" s="1"/>
  <c r="L11" i="39"/>
  <c r="Y11" i="39" s="1"/>
  <c r="K11" i="39"/>
  <c r="X11" i="39" s="1"/>
  <c r="J11" i="39"/>
  <c r="W11" i="39" s="1"/>
  <c r="N10" i="39"/>
  <c r="AA10" i="39" s="1"/>
  <c r="M10" i="39"/>
  <c r="Z10" i="39" s="1"/>
  <c r="L10" i="39"/>
  <c r="Y10" i="39" s="1"/>
  <c r="K10" i="39"/>
  <c r="X10" i="39" s="1"/>
  <c r="J10" i="39"/>
  <c r="W10" i="39" s="1"/>
  <c r="I10" i="39"/>
  <c r="V10" i="39" s="1"/>
  <c r="I111" i="76"/>
  <c r="Q111" i="76" s="1"/>
  <c r="H111" i="76"/>
  <c r="P111" i="76" s="1"/>
  <c r="G111" i="76"/>
  <c r="O111" i="76" s="1"/>
  <c r="F111" i="76"/>
  <c r="N111" i="76" s="1"/>
  <c r="E111" i="76"/>
  <c r="M111" i="76" s="1"/>
  <c r="D111" i="76"/>
  <c r="L111" i="76" s="1"/>
  <c r="M76" i="39" l="1"/>
  <c r="Z76" i="39" s="1"/>
  <c r="Z77" i="39"/>
  <c r="I60" i="39"/>
  <c r="J60" i="39"/>
  <c r="W60" i="39" s="1"/>
  <c r="N76" i="39"/>
  <c r="AA76" i="39" s="1"/>
  <c r="M60" i="39"/>
  <c r="I76" i="39"/>
  <c r="J76" i="39"/>
  <c r="N29" i="39"/>
  <c r="I44" i="39"/>
  <c r="M44" i="39"/>
  <c r="J44" i="39"/>
  <c r="N44" i="39"/>
  <c r="N60" i="39"/>
  <c r="K44" i="39"/>
  <c r="K60" i="39"/>
  <c r="K76" i="39"/>
  <c r="X76" i="39" s="1"/>
  <c r="I13" i="39"/>
  <c r="M13" i="39"/>
  <c r="L44" i="39"/>
  <c r="L60" i="39"/>
  <c r="L76" i="39"/>
  <c r="J29" i="39"/>
  <c r="L13" i="39"/>
  <c r="K29" i="39"/>
  <c r="N13" i="39"/>
  <c r="L29" i="39"/>
  <c r="J13" i="39"/>
  <c r="K13" i="39"/>
  <c r="I29" i="39"/>
  <c r="M29" i="39"/>
  <c r="T76" i="39" l="1"/>
  <c r="AG76" i="39" s="1"/>
  <c r="P60" i="39"/>
  <c r="AC60" i="39" s="1"/>
  <c r="S76" i="39"/>
  <c r="AF76" i="39" s="1"/>
  <c r="Q76" i="39"/>
  <c r="AD76" i="39" s="1"/>
  <c r="P29" i="39"/>
  <c r="AC29" i="39" s="1"/>
  <c r="W29" i="39"/>
  <c r="S13" i="39"/>
  <c r="AF13" i="39" s="1"/>
  <c r="Z13" i="39"/>
  <c r="Q44" i="39"/>
  <c r="AD44" i="39" s="1"/>
  <c r="X44" i="39"/>
  <c r="S44" i="39"/>
  <c r="AF44" i="39" s="1"/>
  <c r="Z44" i="39"/>
  <c r="O76" i="39"/>
  <c r="AB76" i="39" s="1"/>
  <c r="V76" i="39"/>
  <c r="O60" i="39"/>
  <c r="AB60" i="39" s="1"/>
  <c r="V60" i="39"/>
  <c r="P13" i="39"/>
  <c r="AC13" i="39" s="1"/>
  <c r="W13" i="39"/>
  <c r="R13" i="39"/>
  <c r="AE13" i="39" s="1"/>
  <c r="Y13" i="39"/>
  <c r="Q60" i="39"/>
  <c r="AD60" i="39" s="1"/>
  <c r="X60" i="39"/>
  <c r="R29" i="39"/>
  <c r="AE29" i="39" s="1"/>
  <c r="Y29" i="39"/>
  <c r="O29" i="39"/>
  <c r="AB29" i="39" s="1"/>
  <c r="V29" i="39"/>
  <c r="T13" i="39"/>
  <c r="AG13" i="39" s="1"/>
  <c r="AA13" i="39"/>
  <c r="R76" i="39"/>
  <c r="AE76" i="39" s="1"/>
  <c r="Y76" i="39"/>
  <c r="O13" i="39"/>
  <c r="AB13" i="39" s="1"/>
  <c r="V13" i="39"/>
  <c r="T60" i="39"/>
  <c r="AG60" i="39" s="1"/>
  <c r="AA60" i="39"/>
  <c r="I49" i="39"/>
  <c r="V49" i="39" s="1"/>
  <c r="R10" i="83" s="1"/>
  <c r="V44" i="39"/>
  <c r="S60" i="39"/>
  <c r="AF60" i="39" s="1"/>
  <c r="Z60" i="39"/>
  <c r="R44" i="39"/>
  <c r="AE44" i="39" s="1"/>
  <c r="Y44" i="39"/>
  <c r="P44" i="39"/>
  <c r="AC44" i="39" s="1"/>
  <c r="W44" i="39"/>
  <c r="P76" i="39"/>
  <c r="AC76" i="39" s="1"/>
  <c r="W76" i="39"/>
  <c r="S29" i="39"/>
  <c r="AF29" i="39" s="1"/>
  <c r="Z29" i="39"/>
  <c r="Q13" i="39"/>
  <c r="AD13" i="39" s="1"/>
  <c r="X13" i="39"/>
  <c r="Q29" i="39"/>
  <c r="AD29" i="39" s="1"/>
  <c r="X29" i="39"/>
  <c r="R60" i="39"/>
  <c r="AE60" i="39" s="1"/>
  <c r="Y60" i="39"/>
  <c r="T44" i="39"/>
  <c r="AG44" i="39" s="1"/>
  <c r="AA44" i="39"/>
  <c r="T29" i="39"/>
  <c r="AG29" i="39" s="1"/>
  <c r="AA29" i="39"/>
  <c r="O44" i="39"/>
  <c r="AB44" i="39" s="1"/>
  <c r="I25" i="65"/>
  <c r="H25" i="65"/>
  <c r="G25" i="65"/>
  <c r="F25" i="65"/>
  <c r="E25" i="65"/>
  <c r="G12" i="74" l="1"/>
  <c r="J102" i="74" l="1"/>
  <c r="J98" i="74"/>
  <c r="J94" i="74"/>
  <c r="J85" i="74"/>
  <c r="J81" i="74"/>
  <c r="J69" i="74"/>
  <c r="J65" i="74"/>
  <c r="J61" i="74"/>
  <c r="J52" i="74"/>
  <c r="J48" i="74"/>
  <c r="J33" i="74"/>
  <c r="J29" i="74"/>
  <c r="J25" i="74"/>
  <c r="J16" i="74"/>
  <c r="J12" i="74"/>
  <c r="K102" i="74" l="1"/>
  <c r="K103" i="74" s="1"/>
  <c r="J103" i="74"/>
  <c r="I102" i="74"/>
  <c r="I103" i="74" s="1"/>
  <c r="H102" i="74"/>
  <c r="H103" i="74" s="1"/>
  <c r="G102" i="74"/>
  <c r="K98" i="74"/>
  <c r="K99" i="74" s="1"/>
  <c r="J106" i="74"/>
  <c r="I98" i="74"/>
  <c r="I99" i="74" s="1"/>
  <c r="H98" i="74"/>
  <c r="H99" i="74" s="1"/>
  <c r="G98" i="74"/>
  <c r="K94" i="74"/>
  <c r="I94" i="74"/>
  <c r="H94" i="74"/>
  <c r="G94" i="74"/>
  <c r="K85" i="74"/>
  <c r="K86" i="74" s="1"/>
  <c r="J86" i="74"/>
  <c r="I85" i="74"/>
  <c r="I86" i="74" s="1"/>
  <c r="H85" i="74"/>
  <c r="H86" i="74" s="1"/>
  <c r="G85" i="74"/>
  <c r="G86" i="74" s="1"/>
  <c r="K81" i="74"/>
  <c r="K82" i="74" s="1"/>
  <c r="J82" i="74"/>
  <c r="I81" i="74"/>
  <c r="I82" i="74" s="1"/>
  <c r="H81" i="74"/>
  <c r="H82" i="74" s="1"/>
  <c r="G12" i="1" s="1"/>
  <c r="E6" i="83" s="1"/>
  <c r="G81" i="74"/>
  <c r="G82" i="74" s="1"/>
  <c r="J70" i="74"/>
  <c r="K69" i="74"/>
  <c r="K70" i="74" s="1"/>
  <c r="I69" i="74"/>
  <c r="I70" i="74" s="1"/>
  <c r="H69" i="74"/>
  <c r="H70" i="74" s="1"/>
  <c r="G69" i="74"/>
  <c r="K65" i="74"/>
  <c r="K66" i="74" s="1"/>
  <c r="J66" i="74"/>
  <c r="I65" i="74"/>
  <c r="I66" i="74" s="1"/>
  <c r="H65" i="74"/>
  <c r="H66" i="74" s="1"/>
  <c r="G65" i="74"/>
  <c r="K61" i="74"/>
  <c r="I61" i="74"/>
  <c r="H61" i="74"/>
  <c r="G61" i="74"/>
  <c r="K52" i="74"/>
  <c r="K53" i="74" s="1"/>
  <c r="J53" i="74"/>
  <c r="I52" i="74"/>
  <c r="I53" i="74" s="1"/>
  <c r="H52" i="74"/>
  <c r="H53" i="74" s="1"/>
  <c r="G52" i="74"/>
  <c r="G53" i="74" s="1"/>
  <c r="K48" i="74"/>
  <c r="K49" i="74" s="1"/>
  <c r="J49" i="74"/>
  <c r="I48" i="74"/>
  <c r="I49" i="74" s="1"/>
  <c r="H48" i="74"/>
  <c r="H49" i="74" s="1"/>
  <c r="G48" i="74"/>
  <c r="G49" i="74" s="1"/>
  <c r="K33" i="74"/>
  <c r="I33" i="74"/>
  <c r="H33" i="74"/>
  <c r="G33" i="74"/>
  <c r="K29" i="74"/>
  <c r="I29" i="74"/>
  <c r="H29" i="74"/>
  <c r="G29" i="74"/>
  <c r="K25" i="74"/>
  <c r="I25" i="74"/>
  <c r="H25" i="74"/>
  <c r="G25" i="74"/>
  <c r="K16" i="74"/>
  <c r="K17" i="74" s="1"/>
  <c r="K21" i="74" s="1"/>
  <c r="J17" i="74"/>
  <c r="J21" i="74" s="1"/>
  <c r="I16" i="74"/>
  <c r="I17" i="74" s="1"/>
  <c r="I21" i="74" s="1"/>
  <c r="H16" i="74"/>
  <c r="H17" i="74" s="1"/>
  <c r="H21" i="74" s="1"/>
  <c r="G16" i="74"/>
  <c r="G17" i="74" s="1"/>
  <c r="G21" i="74" s="1"/>
  <c r="K12" i="74"/>
  <c r="K13" i="74" s="1"/>
  <c r="J13" i="74"/>
  <c r="I12" i="74"/>
  <c r="I13" i="74" s="1"/>
  <c r="H12" i="74"/>
  <c r="H13" i="74" s="1"/>
  <c r="G13" i="74"/>
  <c r="L88" i="74"/>
  <c r="K89" i="74" l="1"/>
  <c r="K87" i="74"/>
  <c r="K88" i="74"/>
  <c r="J89" i="74"/>
  <c r="J87" i="74"/>
  <c r="J88" i="74"/>
  <c r="I88" i="74"/>
  <c r="I87" i="74"/>
  <c r="I89" i="74"/>
  <c r="H87" i="74"/>
  <c r="H88" i="74"/>
  <c r="H89" i="74"/>
  <c r="G89" i="74"/>
  <c r="G87" i="74"/>
  <c r="G88" i="74"/>
  <c r="H37" i="74"/>
  <c r="K73" i="74"/>
  <c r="I106" i="74"/>
  <c r="G106" i="74"/>
  <c r="K106" i="74"/>
  <c r="J99" i="74"/>
  <c r="H106" i="74"/>
  <c r="I73" i="74"/>
  <c r="G73" i="74"/>
  <c r="J73" i="74"/>
  <c r="H73" i="74"/>
  <c r="J37" i="74"/>
  <c r="G37" i="74"/>
  <c r="K37" i="74"/>
  <c r="I37" i="74"/>
  <c r="AL151" i="41" l="1"/>
  <c r="CF151" i="41" s="1"/>
  <c r="AK151" i="41"/>
  <c r="CE151" i="41" s="1"/>
  <c r="AJ151" i="41"/>
  <c r="CD151" i="41" s="1"/>
  <c r="AI151" i="41"/>
  <c r="CC151" i="41" s="1"/>
  <c r="AH151" i="41"/>
  <c r="CB151" i="41" s="1"/>
  <c r="AG151" i="41"/>
  <c r="CA151" i="41" s="1"/>
  <c r="AF151" i="41"/>
  <c r="BZ151" i="41" s="1"/>
  <c r="AD151" i="41"/>
  <c r="BX151" i="41" s="1"/>
  <c r="AC151" i="41"/>
  <c r="BW151" i="41" s="1"/>
  <c r="AB151" i="41"/>
  <c r="BV151" i="41" s="1"/>
  <c r="AA151" i="41"/>
  <c r="BU151" i="41" s="1"/>
  <c r="Z151" i="41"/>
  <c r="BT151" i="41" s="1"/>
  <c r="Y151" i="41"/>
  <c r="BS151" i="41" s="1"/>
  <c r="X151" i="41"/>
  <c r="BR151" i="41" s="1"/>
  <c r="V151" i="41"/>
  <c r="BP151" i="41" s="1"/>
  <c r="U151" i="41"/>
  <c r="BO151" i="41" s="1"/>
  <c r="T151" i="41"/>
  <c r="BN151" i="41" s="1"/>
  <c r="S151" i="41"/>
  <c r="BM151" i="41" s="1"/>
  <c r="R151" i="41"/>
  <c r="BL151" i="41" s="1"/>
  <c r="Q151" i="41"/>
  <c r="BK151" i="41" s="1"/>
  <c r="P151" i="41"/>
  <c r="BJ151" i="41" s="1"/>
  <c r="AL150" i="41"/>
  <c r="CF150" i="41" s="1"/>
  <c r="AK150" i="41"/>
  <c r="CE150" i="41" s="1"/>
  <c r="AJ150" i="41"/>
  <c r="CD150" i="41" s="1"/>
  <c r="AI150" i="41"/>
  <c r="CC150" i="41" s="1"/>
  <c r="AH150" i="41"/>
  <c r="CB150" i="41" s="1"/>
  <c r="AG150" i="41"/>
  <c r="CA150" i="41" s="1"/>
  <c r="AF150" i="41"/>
  <c r="BZ150" i="41" s="1"/>
  <c r="AD150" i="41"/>
  <c r="BX150" i="41" s="1"/>
  <c r="AC150" i="41"/>
  <c r="BW150" i="41" s="1"/>
  <c r="AB150" i="41"/>
  <c r="BV150" i="41" s="1"/>
  <c r="AA150" i="41"/>
  <c r="BU150" i="41" s="1"/>
  <c r="Z150" i="41"/>
  <c r="BT150" i="41" s="1"/>
  <c r="Y150" i="41"/>
  <c r="BS150" i="41" s="1"/>
  <c r="X150" i="41"/>
  <c r="BR150" i="41" s="1"/>
  <c r="V150" i="41"/>
  <c r="BP150" i="41" s="1"/>
  <c r="U150" i="41"/>
  <c r="BO150" i="41" s="1"/>
  <c r="T150" i="41"/>
  <c r="BN150" i="41" s="1"/>
  <c r="S150" i="41"/>
  <c r="BM150" i="41" s="1"/>
  <c r="R150" i="41"/>
  <c r="BL150" i="41" s="1"/>
  <c r="Q150" i="41"/>
  <c r="BK150" i="41" s="1"/>
  <c r="P150" i="41"/>
  <c r="BJ150" i="41" s="1"/>
  <c r="F60" i="1" l="1"/>
  <c r="G60" i="1"/>
  <c r="H60" i="1"/>
  <c r="I60" i="1"/>
  <c r="J60" i="1"/>
  <c r="F61" i="1"/>
  <c r="G61" i="1"/>
  <c r="H61" i="1"/>
  <c r="I61" i="1"/>
  <c r="J61" i="1"/>
  <c r="E61" i="1"/>
  <c r="E60" i="1"/>
  <c r="AF43" i="60" l="1"/>
  <c r="CC43" i="60" s="1"/>
  <c r="AF39" i="60"/>
  <c r="CC39" i="60" s="1"/>
  <c r="AE43" i="60"/>
  <c r="CB43" i="60" s="1"/>
  <c r="AD43" i="60"/>
  <c r="CA43" i="60" s="1"/>
  <c r="AC43" i="60"/>
  <c r="BZ43" i="60" s="1"/>
  <c r="AB43" i="60"/>
  <c r="BY43" i="60" s="1"/>
  <c r="AE39" i="60"/>
  <c r="CB39" i="60" s="1"/>
  <c r="AD39" i="60"/>
  <c r="CA39" i="60" s="1"/>
  <c r="AC39" i="60"/>
  <c r="BZ39" i="60" s="1"/>
  <c r="AB39" i="60"/>
  <c r="BY39" i="60" s="1"/>
  <c r="AA43" i="60"/>
  <c r="BX43" i="60" s="1"/>
  <c r="AA39" i="60"/>
  <c r="BX39" i="60" s="1"/>
  <c r="Z39" i="60"/>
  <c r="BW39" i="60" s="1"/>
  <c r="W43" i="60"/>
  <c r="BT43" i="60" s="1"/>
  <c r="Z43" i="60"/>
  <c r="BW43" i="60" s="1"/>
  <c r="Y43" i="60"/>
  <c r="BV43" i="60" s="1"/>
  <c r="X43" i="60"/>
  <c r="BU43" i="60" s="1"/>
  <c r="V43" i="60"/>
  <c r="BS43" i="60" s="1"/>
  <c r="Y39" i="60"/>
  <c r="BV39" i="60" s="1"/>
  <c r="X39" i="60"/>
  <c r="BU39" i="60" s="1"/>
  <c r="W39" i="60"/>
  <c r="BT39" i="60" s="1"/>
  <c r="V39" i="60"/>
  <c r="BS39" i="60" s="1"/>
  <c r="U43" i="60"/>
  <c r="BR43" i="60" s="1"/>
  <c r="U39" i="60"/>
  <c r="BR39" i="60" s="1"/>
  <c r="T43" i="60"/>
  <c r="BQ43" i="60" s="1"/>
  <c r="S43" i="60"/>
  <c r="BP43" i="60" s="1"/>
  <c r="R43" i="60"/>
  <c r="BO43" i="60" s="1"/>
  <c r="Q43" i="60"/>
  <c r="BN43" i="60" s="1"/>
  <c r="P43" i="60"/>
  <c r="BM43" i="60" s="1"/>
  <c r="T39" i="60"/>
  <c r="BQ39" i="60" s="1"/>
  <c r="S39" i="60"/>
  <c r="BP39" i="60" s="1"/>
  <c r="R39" i="60"/>
  <c r="BO39" i="60" s="1"/>
  <c r="Q39" i="60"/>
  <c r="BN39" i="60" s="1"/>
  <c r="P39" i="60"/>
  <c r="BM39" i="60" s="1"/>
  <c r="O43" i="60"/>
  <c r="BL43" i="60" s="1"/>
  <c r="O39" i="60"/>
  <c r="BL39" i="60" s="1"/>
  <c r="N43" i="60"/>
  <c r="BK43" i="60" s="1"/>
  <c r="M43" i="60"/>
  <c r="BJ43" i="60" s="1"/>
  <c r="L43" i="60"/>
  <c r="BI43" i="60" s="1"/>
  <c r="K43" i="60"/>
  <c r="BH43" i="60" s="1"/>
  <c r="J43" i="60"/>
  <c r="BG43" i="60" s="1"/>
  <c r="N39" i="60"/>
  <c r="BK39" i="60" s="1"/>
  <c r="M39" i="60"/>
  <c r="BJ39" i="60" s="1"/>
  <c r="L39" i="60"/>
  <c r="BI39" i="60" s="1"/>
  <c r="K39" i="60"/>
  <c r="BH39" i="60" s="1"/>
  <c r="J39" i="60"/>
  <c r="BG39" i="60" s="1"/>
  <c r="I43" i="60"/>
  <c r="BF43" i="60" s="1"/>
  <c r="I39" i="60"/>
  <c r="BF39" i="60" s="1"/>
  <c r="H39" i="60"/>
  <c r="BE39" i="60" s="1"/>
  <c r="G39" i="60"/>
  <c r="BD39" i="60" s="1"/>
  <c r="F39" i="60"/>
  <c r="BC39" i="60" s="1"/>
  <c r="E39" i="60"/>
  <c r="BB39" i="60" s="1"/>
  <c r="D39" i="60"/>
  <c r="BA39" i="60" s="1"/>
  <c r="H43" i="60"/>
  <c r="BE43" i="60" s="1"/>
  <c r="G43" i="60"/>
  <c r="BD43" i="60" s="1"/>
  <c r="F43" i="60"/>
  <c r="BC43" i="60" s="1"/>
  <c r="E43" i="60"/>
  <c r="BB43" i="60" s="1"/>
  <c r="D43" i="60"/>
  <c r="BA43" i="60" s="1"/>
  <c r="C43" i="60"/>
  <c r="AZ43" i="60" s="1"/>
  <c r="C39" i="60"/>
  <c r="AZ39" i="60" s="1"/>
  <c r="AJ94" i="73"/>
  <c r="BY94" i="73" s="1"/>
  <c r="AK94" i="73"/>
  <c r="BZ94" i="73" s="1"/>
  <c r="AL94" i="73"/>
  <c r="AM94" i="73"/>
  <c r="CA94" i="73" s="1"/>
  <c r="AN94" i="73"/>
  <c r="AO94" i="73"/>
  <c r="CB94" i="73" s="1"/>
  <c r="AP94" i="73"/>
  <c r="AQ94" i="73"/>
  <c r="CC94" i="73" s="1"/>
  <c r="AR94" i="73"/>
  <c r="AS94" i="73"/>
  <c r="CD94" i="73" s="1"/>
  <c r="AT94" i="73"/>
  <c r="AU94" i="73"/>
  <c r="CE94" i="73" s="1"/>
  <c r="AV94" i="73"/>
  <c r="CF94" i="73" s="1"/>
  <c r="AW94" i="73"/>
  <c r="AX94" i="73"/>
  <c r="CG94" i="73" s="1"/>
  <c r="AY94" i="73"/>
  <c r="AZ94" i="73"/>
  <c r="CH94" i="73" s="1"/>
  <c r="BA94" i="73"/>
  <c r="BB94" i="73"/>
  <c r="CI94" i="73" s="1"/>
  <c r="BC94" i="73"/>
  <c r="BD94" i="73"/>
  <c r="CJ94" i="73" s="1"/>
  <c r="BE94" i="73"/>
  <c r="AR69" i="53"/>
  <c r="CT69" i="53" s="1"/>
  <c r="AS69" i="53"/>
  <c r="CU69" i="53" s="1"/>
  <c r="AT69" i="53"/>
  <c r="CV69" i="53" s="1"/>
  <c r="AU69" i="53"/>
  <c r="CW69" i="53" s="1"/>
  <c r="AV69" i="53"/>
  <c r="CX69" i="53" s="1"/>
  <c r="AV66" i="53"/>
  <c r="CX66" i="53" s="1"/>
  <c r="AU66" i="53"/>
  <c r="CW66" i="53" s="1"/>
  <c r="AT66" i="53"/>
  <c r="CV66" i="53" s="1"/>
  <c r="AS66" i="53"/>
  <c r="CU66" i="53" s="1"/>
  <c r="AR66" i="53"/>
  <c r="CT66" i="53" s="1"/>
  <c r="AQ69" i="53"/>
  <c r="CS69" i="53" s="1"/>
  <c r="AQ66" i="53"/>
  <c r="CS66" i="53" s="1"/>
  <c r="AQ62" i="53"/>
  <c r="CS62" i="53" s="1"/>
  <c r="AN69" i="53"/>
  <c r="CQ69" i="53" s="1"/>
  <c r="AM69" i="53"/>
  <c r="CP69" i="53" s="1"/>
  <c r="AL69" i="53"/>
  <c r="CO69" i="53" s="1"/>
  <c r="AK69" i="53"/>
  <c r="CN69" i="53" s="1"/>
  <c r="AJ69" i="53"/>
  <c r="CM69" i="53" s="1"/>
  <c r="AN66" i="53"/>
  <c r="CQ66" i="53" s="1"/>
  <c r="AM66" i="53"/>
  <c r="CP66" i="53" s="1"/>
  <c r="AL66" i="53"/>
  <c r="CO66" i="53" s="1"/>
  <c r="AK66" i="53"/>
  <c r="CN66" i="53" s="1"/>
  <c r="AJ66" i="53"/>
  <c r="CM66" i="53" s="1"/>
  <c r="AI69" i="53"/>
  <c r="AI66" i="53"/>
  <c r="AF69" i="53"/>
  <c r="CJ69" i="53" s="1"/>
  <c r="AE69" i="53"/>
  <c r="CI69" i="53" s="1"/>
  <c r="AD69" i="53"/>
  <c r="CH69" i="53" s="1"/>
  <c r="AC69" i="53"/>
  <c r="CG69" i="53" s="1"/>
  <c r="AB69" i="53"/>
  <c r="CF69" i="53" s="1"/>
  <c r="AF66" i="53"/>
  <c r="CJ66" i="53" s="1"/>
  <c r="AE66" i="53"/>
  <c r="CI66" i="53" s="1"/>
  <c r="AD66" i="53"/>
  <c r="CH66" i="53" s="1"/>
  <c r="AC66" i="53"/>
  <c r="CG66" i="53" s="1"/>
  <c r="AB66" i="53"/>
  <c r="CF66" i="53" s="1"/>
  <c r="AA69" i="53"/>
  <c r="AA66" i="53"/>
  <c r="X69" i="53"/>
  <c r="CC69" i="53" s="1"/>
  <c r="W69" i="53"/>
  <c r="CB69" i="53" s="1"/>
  <c r="V69" i="53"/>
  <c r="CA69" i="53" s="1"/>
  <c r="U69" i="53"/>
  <c r="BZ69" i="53" s="1"/>
  <c r="T69" i="53"/>
  <c r="BY69" i="53" s="1"/>
  <c r="X66" i="53"/>
  <c r="CC66" i="53" s="1"/>
  <c r="W66" i="53"/>
  <c r="CB66" i="53" s="1"/>
  <c r="V66" i="53"/>
  <c r="CA66" i="53" s="1"/>
  <c r="U66" i="53"/>
  <c r="BZ66" i="53" s="1"/>
  <c r="T66" i="53"/>
  <c r="BY66" i="53" s="1"/>
  <c r="S69" i="53"/>
  <c r="S66" i="53"/>
  <c r="P69" i="53"/>
  <c r="BV69" i="53" s="1"/>
  <c r="O69" i="53"/>
  <c r="BU69" i="53" s="1"/>
  <c r="N69" i="53"/>
  <c r="BT69" i="53" s="1"/>
  <c r="M69" i="53"/>
  <c r="BS69" i="53" s="1"/>
  <c r="L69" i="53"/>
  <c r="BR69" i="53" s="1"/>
  <c r="P66" i="53"/>
  <c r="BV66" i="53" s="1"/>
  <c r="O66" i="53"/>
  <c r="BU66" i="53" s="1"/>
  <c r="N66" i="53"/>
  <c r="BT66" i="53" s="1"/>
  <c r="M66" i="53"/>
  <c r="BS66" i="53" s="1"/>
  <c r="L66" i="53"/>
  <c r="BR66" i="53" s="1"/>
  <c r="K69" i="53"/>
  <c r="K66" i="53"/>
  <c r="BQ66" i="53" s="1"/>
  <c r="H66" i="53"/>
  <c r="BO66" i="53" s="1"/>
  <c r="G66" i="53"/>
  <c r="BN66" i="53" s="1"/>
  <c r="F66" i="53"/>
  <c r="BM66" i="53" s="1"/>
  <c r="E66" i="53"/>
  <c r="BL66" i="53" s="1"/>
  <c r="D66" i="53"/>
  <c r="BK66" i="53" s="1"/>
  <c r="C66" i="53"/>
  <c r="BJ66" i="53" s="1"/>
  <c r="H69" i="53"/>
  <c r="BO69" i="53" s="1"/>
  <c r="G69" i="53"/>
  <c r="BN69" i="53" s="1"/>
  <c r="F69" i="53"/>
  <c r="BM69" i="53" s="1"/>
  <c r="E69" i="53"/>
  <c r="BL69" i="53" s="1"/>
  <c r="D69" i="53"/>
  <c r="BK69" i="53" s="1"/>
  <c r="C69" i="53"/>
  <c r="AJ66" i="73" l="1"/>
  <c r="BY66" i="73" s="1"/>
  <c r="CE66" i="53"/>
  <c r="N69" i="73"/>
  <c r="BM69" i="73" s="1"/>
  <c r="BQ69" i="53"/>
  <c r="AJ69" i="73"/>
  <c r="BY69" i="73" s="1"/>
  <c r="CE69" i="53"/>
  <c r="C69" i="73"/>
  <c r="BG69" i="73" s="1"/>
  <c r="BJ69" i="53"/>
  <c r="Y66" i="73"/>
  <c r="BS66" i="73" s="1"/>
  <c r="BX66" i="53"/>
  <c r="AU66" i="73"/>
  <c r="CE66" i="73" s="1"/>
  <c r="CL66" i="53"/>
  <c r="Y69" i="73"/>
  <c r="BS69" i="73" s="1"/>
  <c r="BX69" i="53"/>
  <c r="AU69" i="73"/>
  <c r="CE69" i="73" s="1"/>
  <c r="CL69" i="53"/>
  <c r="AW39" i="60"/>
  <c r="Q69" i="53"/>
  <c r="BW69" i="53" s="1"/>
  <c r="R69" i="53"/>
  <c r="AH69" i="53"/>
  <c r="AG69" i="53"/>
  <c r="CK69" i="53" s="1"/>
  <c r="AV39" i="60"/>
  <c r="J66" i="53"/>
  <c r="I66" i="53"/>
  <c r="BP66" i="53" s="1"/>
  <c r="Y69" i="53"/>
  <c r="CD69" i="53" s="1"/>
  <c r="Z69" i="53"/>
  <c r="AP69" i="53"/>
  <c r="AO69" i="53"/>
  <c r="CR69" i="53" s="1"/>
  <c r="AG66" i="53"/>
  <c r="CK66" i="53" s="1"/>
  <c r="AH66" i="53"/>
  <c r="J69" i="53"/>
  <c r="I69" i="53"/>
  <c r="BP69" i="53" s="1"/>
  <c r="AV43" i="60"/>
  <c r="R66" i="53"/>
  <c r="Q66" i="53"/>
  <c r="BW66" i="53" s="1"/>
  <c r="Z66" i="53"/>
  <c r="Y66" i="53"/>
  <c r="CD66" i="53" s="1"/>
  <c r="AP66" i="53"/>
  <c r="AO66" i="53"/>
  <c r="CR66" i="53" s="1"/>
  <c r="AW43" i="60"/>
  <c r="BB69" i="73"/>
  <c r="CI69" i="73" s="1"/>
  <c r="V69" i="73"/>
  <c r="O66" i="73"/>
  <c r="BN66" i="73" s="1"/>
  <c r="R69" i="73"/>
  <c r="AB69" i="73"/>
  <c r="BU69" i="73" s="1"/>
  <c r="AM69" i="73"/>
  <c r="CA69" i="73" s="1"/>
  <c r="AY69" i="73"/>
  <c r="AE69" i="73"/>
  <c r="AP69" i="73"/>
  <c r="AZ69" i="73"/>
  <c r="CH69" i="73" s="1"/>
  <c r="BE66" i="53"/>
  <c r="DG66" i="53" s="1"/>
  <c r="K69" i="73"/>
  <c r="D69" i="73"/>
  <c r="BH69" i="73" s="1"/>
  <c r="U66" i="73"/>
  <c r="BQ66" i="73" s="1"/>
  <c r="S69" i="73"/>
  <c r="BP69" i="73" s="1"/>
  <c r="AZ69" i="53"/>
  <c r="DB69" i="53" s="1"/>
  <c r="AX69" i="73"/>
  <c r="CG69" i="73" s="1"/>
  <c r="G69" i="73"/>
  <c r="AW66" i="53"/>
  <c r="CY66" i="53" s="1"/>
  <c r="BA66" i="53"/>
  <c r="DC66" i="53" s="1"/>
  <c r="U69" i="73"/>
  <c r="BQ69" i="73" s="1"/>
  <c r="Z66" i="73"/>
  <c r="BT66" i="73" s="1"/>
  <c r="AH66" i="73"/>
  <c r="BX66" i="73" s="1"/>
  <c r="AF69" i="73"/>
  <c r="BW69" i="73" s="1"/>
  <c r="AK66" i="73"/>
  <c r="BZ66" i="73" s="1"/>
  <c r="AS66" i="73"/>
  <c r="CD66" i="73" s="1"/>
  <c r="AQ69" i="73"/>
  <c r="CC69" i="73" s="1"/>
  <c r="AV66" i="73"/>
  <c r="CF66" i="73" s="1"/>
  <c r="BC69" i="73"/>
  <c r="J69" i="73"/>
  <c r="BK69" i="73" s="1"/>
  <c r="AO69" i="73"/>
  <c r="CB69" i="73" s="1"/>
  <c r="H69" i="73"/>
  <c r="BJ69" i="73" s="1"/>
  <c r="Q66" i="73"/>
  <c r="BO66" i="73" s="1"/>
  <c r="O69" i="73"/>
  <c r="BN69" i="73" s="1"/>
  <c r="W69" i="73"/>
  <c r="BR69" i="73" s="1"/>
  <c r="AA69" i="73"/>
  <c r="AI69" i="73"/>
  <c r="AK69" i="73"/>
  <c r="BZ69" i="73" s="1"/>
  <c r="AV69" i="73"/>
  <c r="CF69" i="73" s="1"/>
  <c r="BD69" i="73"/>
  <c r="CJ69" i="73" s="1"/>
  <c r="AD69" i="73"/>
  <c r="BV69" i="73" s="1"/>
  <c r="F69" i="73"/>
  <c r="BI69" i="73" s="1"/>
  <c r="AD66" i="73"/>
  <c r="BV66" i="73" s="1"/>
  <c r="AO66" i="73"/>
  <c r="CB66" i="73" s="1"/>
  <c r="AZ66" i="73"/>
  <c r="CH66" i="73" s="1"/>
  <c r="BC66" i="53"/>
  <c r="DE66" i="53" s="1"/>
  <c r="AA66" i="73"/>
  <c r="D66" i="73"/>
  <c r="BH66" i="73" s="1"/>
  <c r="P66" i="73"/>
  <c r="AF66" i="73"/>
  <c r="BW66" i="73" s="1"/>
  <c r="AR66" i="73"/>
  <c r="BB66" i="73"/>
  <c r="CI66" i="73" s="1"/>
  <c r="AQ66" i="73"/>
  <c r="CC66" i="73" s="1"/>
  <c r="K66" i="73"/>
  <c r="L66" i="73"/>
  <c r="BL66" i="73" s="1"/>
  <c r="BD66" i="73"/>
  <c r="CJ66" i="73" s="1"/>
  <c r="AI66" i="73"/>
  <c r="G66" i="73"/>
  <c r="H66" i="73"/>
  <c r="BJ66" i="73" s="1"/>
  <c r="T66" i="73"/>
  <c r="AB66" i="73"/>
  <c r="BU66" i="73" s="1"/>
  <c r="AN66" i="73"/>
  <c r="AY66" i="73"/>
  <c r="BG66" i="53"/>
  <c r="DI66" i="53" s="1"/>
  <c r="BC66" i="73"/>
  <c r="AE66" i="73"/>
  <c r="C66" i="73"/>
  <c r="BG66" i="73" s="1"/>
  <c r="BH69" i="53"/>
  <c r="DJ69" i="53" s="1"/>
  <c r="AY66" i="53"/>
  <c r="DA66" i="53" s="1"/>
  <c r="W66" i="73"/>
  <c r="BR66" i="73" s="1"/>
  <c r="AT69" i="73"/>
  <c r="AL69" i="73"/>
  <c r="BG69" i="53"/>
  <c r="DI69" i="53" s="1"/>
  <c r="BC69" i="53"/>
  <c r="DE69" i="53" s="1"/>
  <c r="AX69" i="53"/>
  <c r="CZ69" i="53" s="1"/>
  <c r="BF66" i="53"/>
  <c r="DH66" i="53" s="1"/>
  <c r="BB66" i="53"/>
  <c r="DD66" i="53" s="1"/>
  <c r="AX66" i="53"/>
  <c r="CZ66" i="53" s="1"/>
  <c r="AX66" i="73"/>
  <c r="CG66" i="73" s="1"/>
  <c r="AT66" i="73"/>
  <c r="AP66" i="73"/>
  <c r="AL66" i="73"/>
  <c r="V66" i="73"/>
  <c r="R66" i="73"/>
  <c r="N66" i="73"/>
  <c r="BM66" i="73" s="1"/>
  <c r="J66" i="73"/>
  <c r="BK66" i="73" s="1"/>
  <c r="F66" i="73"/>
  <c r="BI66" i="73" s="1"/>
  <c r="BE69" i="73"/>
  <c r="BA69" i="73"/>
  <c r="AW69" i="73"/>
  <c r="AS69" i="73"/>
  <c r="CD69" i="73" s="1"/>
  <c r="AG69" i="73"/>
  <c r="AC69" i="73"/>
  <c r="Q69" i="73"/>
  <c r="BO69" i="73" s="1"/>
  <c r="M69" i="73"/>
  <c r="I69" i="73"/>
  <c r="E69" i="73"/>
  <c r="BD69" i="53"/>
  <c r="DF69" i="53" s="1"/>
  <c r="BF69" i="53"/>
  <c r="DH69" i="53" s="1"/>
  <c r="BB69" i="53"/>
  <c r="DD69" i="53" s="1"/>
  <c r="AW69" i="53"/>
  <c r="CY69" i="53" s="1"/>
  <c r="BE66" i="73"/>
  <c r="BA66" i="73"/>
  <c r="AW66" i="73"/>
  <c r="AG66" i="73"/>
  <c r="AC66" i="73"/>
  <c r="M66" i="73"/>
  <c r="I66" i="73"/>
  <c r="E66" i="73"/>
  <c r="AR69" i="73"/>
  <c r="AN69" i="73"/>
  <c r="X69" i="73"/>
  <c r="T69" i="73"/>
  <c r="P69" i="73"/>
  <c r="L69" i="73"/>
  <c r="BL69" i="73" s="1"/>
  <c r="AM66" i="73"/>
  <c r="CA66" i="73" s="1"/>
  <c r="S66" i="73"/>
  <c r="BP66" i="73" s="1"/>
  <c r="AH69" i="73"/>
  <c r="BX69" i="73" s="1"/>
  <c r="Z69" i="73"/>
  <c r="BT69" i="73" s="1"/>
  <c r="BE69" i="53"/>
  <c r="DG69" i="53" s="1"/>
  <c r="BA69" i="53"/>
  <c r="DC69" i="53" s="1"/>
  <c r="BH66" i="53"/>
  <c r="DJ66" i="53" s="1"/>
  <c r="BD66" i="53"/>
  <c r="DF66" i="53" s="1"/>
  <c r="AZ66" i="53"/>
  <c r="DB66" i="53" s="1"/>
  <c r="AY69" i="53"/>
  <c r="DA69" i="53" s="1"/>
  <c r="X66" i="73"/>
  <c r="J42" i="2" l="1"/>
  <c r="AG39" i="83" s="1"/>
  <c r="I42" i="2"/>
  <c r="AF39" i="83" s="1"/>
  <c r="H42" i="2"/>
  <c r="AE39" i="83" s="1"/>
  <c r="G42" i="2"/>
  <c r="AD39" i="83" s="1"/>
  <c r="F42" i="2"/>
  <c r="AC39" i="83" s="1"/>
  <c r="E42" i="2"/>
  <c r="AB39" i="83" s="1"/>
  <c r="S42" i="2" l="1"/>
  <c r="U42" i="2"/>
  <c r="T42" i="2"/>
  <c r="R42" i="2"/>
  <c r="Q42" i="2"/>
  <c r="C92" i="39" l="1"/>
  <c r="C90" i="39"/>
  <c r="C89" i="39"/>
  <c r="AP48" i="60" l="1"/>
  <c r="CM48" i="60" s="1"/>
  <c r="AJ10" i="73" l="1"/>
  <c r="AU10" i="73" s="1"/>
  <c r="Y10" i="73"/>
  <c r="N10" i="73"/>
  <c r="C11" i="5" l="1"/>
  <c r="AO24" i="79" l="1"/>
  <c r="AP24" i="79"/>
  <c r="AN24" i="79"/>
  <c r="AM23" i="79"/>
  <c r="AN21" i="79"/>
  <c r="AO21" i="79"/>
  <c r="AP21" i="79"/>
  <c r="AQ21" i="79"/>
  <c r="AR21" i="79"/>
  <c r="AS21" i="79"/>
  <c r="AM21" i="79"/>
  <c r="D110" i="46" l="1"/>
  <c r="S7" i="84" s="1"/>
  <c r="D79" i="46"/>
  <c r="S6" i="84" s="1"/>
  <c r="D53" i="46"/>
  <c r="S5" i="84" s="1"/>
  <c r="V18" i="46"/>
  <c r="AI18" i="46" s="1"/>
  <c r="AW74" i="53" l="1"/>
  <c r="CY74" i="53" s="1"/>
  <c r="AW73" i="53"/>
  <c r="CY73" i="53" s="1"/>
  <c r="AW72" i="53"/>
  <c r="CY72" i="53" s="1"/>
  <c r="BC49" i="53"/>
  <c r="DE49" i="53" s="1"/>
  <c r="BD49" i="53"/>
  <c r="DF49" i="53" s="1"/>
  <c r="BE49" i="53"/>
  <c r="DG49" i="53" s="1"/>
  <c r="BF49" i="53"/>
  <c r="DH49" i="53" s="1"/>
  <c r="BG49" i="53"/>
  <c r="DI49" i="53" s="1"/>
  <c r="BH49" i="53"/>
  <c r="DJ49" i="53" s="1"/>
  <c r="BC50" i="53"/>
  <c r="DE50" i="53" s="1"/>
  <c r="BD50" i="53"/>
  <c r="DF50" i="53" s="1"/>
  <c r="BE50" i="53"/>
  <c r="DG50" i="53" s="1"/>
  <c r="BF50" i="53"/>
  <c r="DH50" i="53" s="1"/>
  <c r="BG50" i="53"/>
  <c r="DI50" i="53" s="1"/>
  <c r="BH50" i="53"/>
  <c r="DJ50" i="53" s="1"/>
  <c r="BD72" i="53"/>
  <c r="DF72" i="53" s="1"/>
  <c r="BD74" i="53"/>
  <c r="DF74" i="53" s="1"/>
  <c r="BH74" i="53"/>
  <c r="DJ74" i="53" s="1"/>
  <c r="BG74" i="53"/>
  <c r="DI74" i="53" s="1"/>
  <c r="BF74" i="53"/>
  <c r="DH74" i="53" s="1"/>
  <c r="BE74" i="53"/>
  <c r="DG74" i="53" s="1"/>
  <c r="BH72" i="53"/>
  <c r="DJ72" i="53" s="1"/>
  <c r="BG72" i="53"/>
  <c r="DI72" i="53" s="1"/>
  <c r="BF72" i="53"/>
  <c r="DH72" i="53" s="1"/>
  <c r="BE72" i="53"/>
  <c r="DG72" i="53" s="1"/>
  <c r="BC74" i="53"/>
  <c r="DE74" i="53" s="1"/>
  <c r="BB74" i="53"/>
  <c r="DD74" i="53" s="1"/>
  <c r="BA74" i="53"/>
  <c r="DC74" i="53" s="1"/>
  <c r="AZ74" i="53"/>
  <c r="DB74" i="53" s="1"/>
  <c r="AY74" i="53"/>
  <c r="DA74" i="53" s="1"/>
  <c r="AX74" i="53"/>
  <c r="CZ74" i="53" s="1"/>
  <c r="BC72" i="53"/>
  <c r="DE72" i="53" s="1"/>
  <c r="BB72" i="53"/>
  <c r="DD72" i="53" s="1"/>
  <c r="BA72" i="53"/>
  <c r="DC72" i="53" s="1"/>
  <c r="AZ72" i="53"/>
  <c r="DB72" i="53" s="1"/>
  <c r="AY72" i="53"/>
  <c r="DA72" i="53" s="1"/>
  <c r="AX72" i="53"/>
  <c r="CZ72" i="53" s="1"/>
  <c r="E142" i="46" l="1"/>
  <c r="I142" i="46"/>
  <c r="H142" i="46"/>
  <c r="G142" i="46"/>
  <c r="F142" i="46"/>
  <c r="AJ65" i="53"/>
  <c r="CM65" i="53" s="1"/>
  <c r="AK65" i="53"/>
  <c r="CN65" i="53" s="1"/>
  <c r="AL65" i="53"/>
  <c r="CO65" i="53" s="1"/>
  <c r="AM65" i="53"/>
  <c r="CP65" i="53" s="1"/>
  <c r="AN65" i="53"/>
  <c r="CQ65" i="53" s="1"/>
  <c r="AI65" i="53"/>
  <c r="CL65" i="53" s="1"/>
  <c r="AJ61" i="53"/>
  <c r="CM61" i="53" s="1"/>
  <c r="AK61" i="53"/>
  <c r="CN61" i="53" s="1"/>
  <c r="AL61" i="53"/>
  <c r="CO61" i="53" s="1"/>
  <c r="AM61" i="53"/>
  <c r="CP61" i="53" s="1"/>
  <c r="AN61" i="53"/>
  <c r="CQ61" i="53" s="1"/>
  <c r="AI61" i="53"/>
  <c r="CL61" i="53" s="1"/>
  <c r="AJ48" i="53"/>
  <c r="CM48" i="53" s="1"/>
  <c r="AK48" i="53"/>
  <c r="CN48" i="53" s="1"/>
  <c r="AL48" i="53"/>
  <c r="CO48" i="53" s="1"/>
  <c r="AM48" i="53"/>
  <c r="CP48" i="53" s="1"/>
  <c r="AN48" i="53"/>
  <c r="CQ48" i="53" s="1"/>
  <c r="AI48" i="53"/>
  <c r="CL48" i="53" s="1"/>
  <c r="AJ24" i="53"/>
  <c r="CM24" i="53" s="1"/>
  <c r="AK24" i="53"/>
  <c r="CN24" i="53" s="1"/>
  <c r="AL24" i="53"/>
  <c r="CO24" i="53" s="1"/>
  <c r="AM24" i="53"/>
  <c r="CP24" i="53" s="1"/>
  <c r="AN24" i="53"/>
  <c r="CQ24" i="53" s="1"/>
  <c r="AI24" i="53"/>
  <c r="CL24" i="53" s="1"/>
  <c r="AJ21" i="53"/>
  <c r="CM21" i="53" s="1"/>
  <c r="AK21" i="53"/>
  <c r="CN21" i="53" s="1"/>
  <c r="AL21" i="53"/>
  <c r="CO21" i="53" s="1"/>
  <c r="AM21" i="53"/>
  <c r="CP21" i="53" s="1"/>
  <c r="AN21" i="53"/>
  <c r="CQ21" i="53" s="1"/>
  <c r="AI21" i="53"/>
  <c r="CL21" i="53" s="1"/>
  <c r="AB65" i="53"/>
  <c r="CF65" i="53" s="1"/>
  <c r="AC65" i="53"/>
  <c r="CG65" i="53" s="1"/>
  <c r="AD65" i="53"/>
  <c r="CH65" i="53" s="1"/>
  <c r="AE65" i="53"/>
  <c r="CI65" i="53" s="1"/>
  <c r="AF65" i="53"/>
  <c r="CJ65" i="53" s="1"/>
  <c r="AA65" i="53"/>
  <c r="CE65" i="53" s="1"/>
  <c r="AB61" i="53"/>
  <c r="CF61" i="53" s="1"/>
  <c r="AC61" i="53"/>
  <c r="CG61" i="53" s="1"/>
  <c r="AD61" i="53"/>
  <c r="CH61" i="53" s="1"/>
  <c r="AE61" i="53"/>
  <c r="CI61" i="53" s="1"/>
  <c r="AF61" i="53"/>
  <c r="CJ61" i="53" s="1"/>
  <c r="AA61" i="53"/>
  <c r="CE61" i="53" s="1"/>
  <c r="AB48" i="53"/>
  <c r="CF48" i="53" s="1"/>
  <c r="AC48" i="53"/>
  <c r="CG48" i="53" s="1"/>
  <c r="AD48" i="53"/>
  <c r="CH48" i="53" s="1"/>
  <c r="AE48" i="53"/>
  <c r="CI48" i="53" s="1"/>
  <c r="AF48" i="53"/>
  <c r="CJ48" i="53" s="1"/>
  <c r="AA48" i="53"/>
  <c r="CE48" i="53" s="1"/>
  <c r="AB24" i="53"/>
  <c r="CF24" i="53" s="1"/>
  <c r="AC24" i="53"/>
  <c r="CG24" i="53" s="1"/>
  <c r="AD24" i="53"/>
  <c r="CH24" i="53" s="1"/>
  <c r="AE24" i="53"/>
  <c r="CI24" i="53" s="1"/>
  <c r="AF24" i="53"/>
  <c r="CJ24" i="53" s="1"/>
  <c r="AA24" i="53"/>
  <c r="CE24" i="53" s="1"/>
  <c r="AB21" i="53"/>
  <c r="CF21" i="53" s="1"/>
  <c r="AC21" i="53"/>
  <c r="CG21" i="53" s="1"/>
  <c r="AD21" i="53"/>
  <c r="CH21" i="53" s="1"/>
  <c r="AE21" i="53"/>
  <c r="CI21" i="53" s="1"/>
  <c r="AF21" i="53"/>
  <c r="CJ21" i="53" s="1"/>
  <c r="AA21" i="53"/>
  <c r="CE21" i="53" s="1"/>
  <c r="T65" i="53"/>
  <c r="BY65" i="53" s="1"/>
  <c r="U65" i="53"/>
  <c r="BZ65" i="53" s="1"/>
  <c r="V65" i="53"/>
  <c r="CA65" i="53" s="1"/>
  <c r="W65" i="53"/>
  <c r="CB65" i="53" s="1"/>
  <c r="X65" i="53"/>
  <c r="CC65" i="53" s="1"/>
  <c r="S65" i="53"/>
  <c r="BX65" i="53" s="1"/>
  <c r="T61" i="53"/>
  <c r="BY61" i="53" s="1"/>
  <c r="U61" i="53"/>
  <c r="BZ61" i="53" s="1"/>
  <c r="V61" i="53"/>
  <c r="CA61" i="53" s="1"/>
  <c r="W61" i="53"/>
  <c r="CB61" i="53" s="1"/>
  <c r="X61" i="53"/>
  <c r="CC61" i="53" s="1"/>
  <c r="S61" i="53"/>
  <c r="BX61" i="53" s="1"/>
  <c r="T48" i="53"/>
  <c r="BY48" i="53" s="1"/>
  <c r="U48" i="53"/>
  <c r="BZ48" i="53" s="1"/>
  <c r="V48" i="53"/>
  <c r="CA48" i="53" s="1"/>
  <c r="W48" i="53"/>
  <c r="CB48" i="53" s="1"/>
  <c r="X48" i="53"/>
  <c r="CC48" i="53" s="1"/>
  <c r="S48" i="53"/>
  <c r="BX48" i="53" s="1"/>
  <c r="T24" i="53"/>
  <c r="BY24" i="53" s="1"/>
  <c r="U24" i="53"/>
  <c r="BZ24" i="53" s="1"/>
  <c r="V24" i="53"/>
  <c r="CA24" i="53" s="1"/>
  <c r="W24" i="53"/>
  <c r="CB24" i="53" s="1"/>
  <c r="X24" i="53"/>
  <c r="CC24" i="53" s="1"/>
  <c r="S24" i="53"/>
  <c r="BX24" i="53" s="1"/>
  <c r="T21" i="53"/>
  <c r="BY21" i="53" s="1"/>
  <c r="U21" i="53"/>
  <c r="BZ21" i="53" s="1"/>
  <c r="V21" i="53"/>
  <c r="CA21" i="53" s="1"/>
  <c r="W21" i="53"/>
  <c r="CB21" i="53" s="1"/>
  <c r="X21" i="53"/>
  <c r="CC21" i="53" s="1"/>
  <c r="S21" i="53"/>
  <c r="BX21" i="53" s="1"/>
  <c r="L65" i="53"/>
  <c r="BR65" i="53" s="1"/>
  <c r="M65" i="53"/>
  <c r="BS65" i="53" s="1"/>
  <c r="N65" i="53"/>
  <c r="BT65" i="53" s="1"/>
  <c r="O65" i="53"/>
  <c r="BU65" i="53" s="1"/>
  <c r="P65" i="53"/>
  <c r="BV65" i="53" s="1"/>
  <c r="K65" i="53"/>
  <c r="BQ65" i="53" s="1"/>
  <c r="L61" i="53"/>
  <c r="BR61" i="53" s="1"/>
  <c r="M61" i="53"/>
  <c r="BS61" i="53" s="1"/>
  <c r="N61" i="53"/>
  <c r="BT61" i="53" s="1"/>
  <c r="O61" i="53"/>
  <c r="BU61" i="53" s="1"/>
  <c r="P61" i="53"/>
  <c r="BV61" i="53" s="1"/>
  <c r="K61" i="53"/>
  <c r="BQ61" i="53" s="1"/>
  <c r="L48" i="53"/>
  <c r="BR48" i="53" s="1"/>
  <c r="M48" i="53"/>
  <c r="BS48" i="53" s="1"/>
  <c r="N48" i="53"/>
  <c r="BT48" i="53" s="1"/>
  <c r="O48" i="53"/>
  <c r="BU48" i="53" s="1"/>
  <c r="P48" i="53"/>
  <c r="BV48" i="53" s="1"/>
  <c r="K48" i="53"/>
  <c r="BQ48" i="53" s="1"/>
  <c r="L24" i="53"/>
  <c r="BR24" i="53" s="1"/>
  <c r="M24" i="53"/>
  <c r="BS24" i="53" s="1"/>
  <c r="N24" i="53"/>
  <c r="BT24" i="53" s="1"/>
  <c r="O24" i="53"/>
  <c r="BU24" i="53" s="1"/>
  <c r="P24" i="53"/>
  <c r="BV24" i="53" s="1"/>
  <c r="K24" i="53"/>
  <c r="BQ24" i="53" s="1"/>
  <c r="L21" i="53"/>
  <c r="BR21" i="53" s="1"/>
  <c r="M21" i="53"/>
  <c r="BS21" i="53" s="1"/>
  <c r="N21" i="53"/>
  <c r="BT21" i="53" s="1"/>
  <c r="O21" i="53"/>
  <c r="BU21" i="53" s="1"/>
  <c r="P21" i="53"/>
  <c r="BV21" i="53" s="1"/>
  <c r="K21" i="53"/>
  <c r="BQ21" i="53" s="1"/>
  <c r="D65" i="53"/>
  <c r="BK65" i="53" s="1"/>
  <c r="E65" i="53"/>
  <c r="BL65" i="53" s="1"/>
  <c r="F65" i="53"/>
  <c r="BM65" i="53" s="1"/>
  <c r="G65" i="53"/>
  <c r="BN65" i="53" s="1"/>
  <c r="H65" i="53"/>
  <c r="BO65" i="53" s="1"/>
  <c r="C65" i="53"/>
  <c r="BJ65" i="53" s="1"/>
  <c r="D61" i="53"/>
  <c r="BK61" i="53" s="1"/>
  <c r="E61" i="53"/>
  <c r="BL61" i="53" s="1"/>
  <c r="F61" i="53"/>
  <c r="BM61" i="53" s="1"/>
  <c r="G61" i="53"/>
  <c r="BN61" i="53" s="1"/>
  <c r="H61" i="53"/>
  <c r="BO61" i="53" s="1"/>
  <c r="C61" i="53"/>
  <c r="BJ61" i="53" s="1"/>
  <c r="D24" i="53"/>
  <c r="BK24" i="53" s="1"/>
  <c r="E24" i="53"/>
  <c r="BL24" i="53" s="1"/>
  <c r="F24" i="53"/>
  <c r="BM24" i="53" s="1"/>
  <c r="G24" i="53"/>
  <c r="BN24" i="53" s="1"/>
  <c r="H24" i="53"/>
  <c r="BO24" i="53" s="1"/>
  <c r="C24" i="53"/>
  <c r="BJ24" i="53" s="1"/>
  <c r="D48" i="53"/>
  <c r="BK48" i="53" s="1"/>
  <c r="E48" i="53"/>
  <c r="BL48" i="53" s="1"/>
  <c r="F48" i="53"/>
  <c r="BM48" i="53" s="1"/>
  <c r="G48" i="53"/>
  <c r="BN48" i="53" s="1"/>
  <c r="H48" i="53"/>
  <c r="BO48" i="53" s="1"/>
  <c r="C48" i="53"/>
  <c r="BJ48" i="53" s="1"/>
  <c r="E21" i="53"/>
  <c r="BL21" i="53" s="1"/>
  <c r="F21" i="53"/>
  <c r="BM21" i="53" s="1"/>
  <c r="G21" i="53"/>
  <c r="BN21" i="53" s="1"/>
  <c r="H21" i="53"/>
  <c r="BO21" i="53" s="1"/>
  <c r="D21" i="53"/>
  <c r="BK21" i="53" s="1"/>
  <c r="C21" i="53"/>
  <c r="BJ21" i="53" s="1"/>
  <c r="O153" i="46"/>
  <c r="N153" i="46"/>
  <c r="M153" i="46"/>
  <c r="L153" i="46"/>
  <c r="K153" i="46"/>
  <c r="O151" i="46"/>
  <c r="N151" i="46"/>
  <c r="M151" i="46"/>
  <c r="L151" i="46"/>
  <c r="K151" i="46"/>
  <c r="O149" i="46"/>
  <c r="N149" i="46"/>
  <c r="M149" i="46"/>
  <c r="L149" i="46"/>
  <c r="K149" i="46"/>
  <c r="O147" i="46"/>
  <c r="N147" i="46"/>
  <c r="M147" i="46"/>
  <c r="L147" i="46"/>
  <c r="K147" i="46"/>
  <c r="O145" i="46"/>
  <c r="N145" i="46"/>
  <c r="M145" i="46"/>
  <c r="L145" i="46"/>
  <c r="K145" i="46"/>
  <c r="O141" i="46"/>
  <c r="AC141" i="46" s="1"/>
  <c r="X14" i="84" s="1"/>
  <c r="N141" i="46"/>
  <c r="M141" i="46"/>
  <c r="AA141" i="46" s="1"/>
  <c r="V14" i="84" s="1"/>
  <c r="L141" i="46"/>
  <c r="K141" i="46"/>
  <c r="Y141" i="46" s="1"/>
  <c r="T14" i="84" s="1"/>
  <c r="J141" i="46"/>
  <c r="O122" i="46"/>
  <c r="N122" i="46"/>
  <c r="M122" i="46"/>
  <c r="L122" i="46"/>
  <c r="K122" i="46"/>
  <c r="O120" i="46"/>
  <c r="N120" i="46"/>
  <c r="M120" i="46"/>
  <c r="L120" i="46"/>
  <c r="K120" i="46"/>
  <c r="O118" i="46"/>
  <c r="N118" i="46"/>
  <c r="M118" i="46"/>
  <c r="L118" i="46"/>
  <c r="K118" i="46"/>
  <c r="O116" i="46"/>
  <c r="N116" i="46"/>
  <c r="M116" i="46"/>
  <c r="L116" i="46"/>
  <c r="K116" i="46"/>
  <c r="O114" i="46"/>
  <c r="N114" i="46"/>
  <c r="M114" i="46"/>
  <c r="L114" i="46"/>
  <c r="K114" i="46"/>
  <c r="O110" i="46"/>
  <c r="AC110" i="46" s="1"/>
  <c r="X13" i="84" s="1"/>
  <c r="N110" i="46"/>
  <c r="M110" i="46"/>
  <c r="L110" i="46"/>
  <c r="K110" i="46"/>
  <c r="J110" i="46"/>
  <c r="I110" i="46"/>
  <c r="H110" i="46"/>
  <c r="G110" i="46"/>
  <c r="F110" i="46"/>
  <c r="E110" i="46"/>
  <c r="T7" i="84" s="1"/>
  <c r="Y7" i="84" s="1"/>
  <c r="S7" i="79"/>
  <c r="V108" i="46"/>
  <c r="AI108" i="46" s="1"/>
  <c r="U108" i="46"/>
  <c r="AH108" i="46" s="1"/>
  <c r="T108" i="46"/>
  <c r="AG108" i="46" s="1"/>
  <c r="S108" i="46"/>
  <c r="AF108" i="46" s="1"/>
  <c r="R108" i="46"/>
  <c r="AE108" i="46" s="1"/>
  <c r="Q108" i="46"/>
  <c r="AD108" i="46" s="1"/>
  <c r="V107" i="46"/>
  <c r="AI107" i="46" s="1"/>
  <c r="U107" i="46"/>
  <c r="AH107" i="46" s="1"/>
  <c r="T107" i="46"/>
  <c r="AG107" i="46" s="1"/>
  <c r="S107" i="46"/>
  <c r="AF107" i="46" s="1"/>
  <c r="R107" i="46"/>
  <c r="AE107" i="46" s="1"/>
  <c r="Q107" i="46"/>
  <c r="AD107" i="46" s="1"/>
  <c r="V106" i="46"/>
  <c r="AI106" i="46" s="1"/>
  <c r="U106" i="46"/>
  <c r="AH106" i="46" s="1"/>
  <c r="T106" i="46"/>
  <c r="AG106" i="46" s="1"/>
  <c r="S106" i="46"/>
  <c r="AF106" i="46" s="1"/>
  <c r="R106" i="46"/>
  <c r="AE106" i="46" s="1"/>
  <c r="Q106" i="46"/>
  <c r="AD106" i="46" s="1"/>
  <c r="V105" i="46"/>
  <c r="AI105" i="46" s="1"/>
  <c r="U105" i="46"/>
  <c r="AH105" i="46" s="1"/>
  <c r="T105" i="46"/>
  <c r="AG105" i="46" s="1"/>
  <c r="S105" i="46"/>
  <c r="AF105" i="46" s="1"/>
  <c r="R105" i="46"/>
  <c r="AE105" i="46" s="1"/>
  <c r="Q105" i="46"/>
  <c r="AD105" i="46" s="1"/>
  <c r="V104" i="46"/>
  <c r="AI104" i="46" s="1"/>
  <c r="U104" i="46"/>
  <c r="AH104" i="46" s="1"/>
  <c r="T104" i="46"/>
  <c r="AG104" i="46" s="1"/>
  <c r="S104" i="46"/>
  <c r="AF104" i="46" s="1"/>
  <c r="R104" i="46"/>
  <c r="AE104" i="46" s="1"/>
  <c r="Q104" i="46"/>
  <c r="AD104" i="46" s="1"/>
  <c r="V103" i="46"/>
  <c r="AI103" i="46" s="1"/>
  <c r="U103" i="46"/>
  <c r="AH103" i="46" s="1"/>
  <c r="T103" i="46"/>
  <c r="AG103" i="46" s="1"/>
  <c r="S103" i="46"/>
  <c r="AF103" i="46" s="1"/>
  <c r="R103" i="46"/>
  <c r="AE103" i="46" s="1"/>
  <c r="Q103" i="46"/>
  <c r="AD103" i="46" s="1"/>
  <c r="V102" i="46"/>
  <c r="AI102" i="46" s="1"/>
  <c r="U102" i="46"/>
  <c r="AH102" i="46" s="1"/>
  <c r="T102" i="46"/>
  <c r="AG102" i="46" s="1"/>
  <c r="S102" i="46"/>
  <c r="AF102" i="46" s="1"/>
  <c r="R102" i="46"/>
  <c r="AE102" i="46" s="1"/>
  <c r="Q102" i="46"/>
  <c r="AD102" i="46" s="1"/>
  <c r="V101" i="46"/>
  <c r="AI101" i="46" s="1"/>
  <c r="U101" i="46"/>
  <c r="AH101" i="46" s="1"/>
  <c r="T101" i="46"/>
  <c r="AG101" i="46" s="1"/>
  <c r="S101" i="46"/>
  <c r="AF101" i="46" s="1"/>
  <c r="R101" i="46"/>
  <c r="AE101" i="46" s="1"/>
  <c r="Q101" i="46"/>
  <c r="AD101" i="46" s="1"/>
  <c r="V100" i="46"/>
  <c r="AI100" i="46" s="1"/>
  <c r="U100" i="46"/>
  <c r="AH100" i="46" s="1"/>
  <c r="T100" i="46"/>
  <c r="AG100" i="46" s="1"/>
  <c r="S100" i="46"/>
  <c r="AF100" i="46" s="1"/>
  <c r="R100" i="46"/>
  <c r="AE100" i="46" s="1"/>
  <c r="Q100" i="46"/>
  <c r="AD100" i="46" s="1"/>
  <c r="V99" i="46"/>
  <c r="AI99" i="46" s="1"/>
  <c r="U99" i="46"/>
  <c r="AH99" i="46" s="1"/>
  <c r="T99" i="46"/>
  <c r="AG99" i="46" s="1"/>
  <c r="S99" i="46"/>
  <c r="AF99" i="46" s="1"/>
  <c r="R99" i="46"/>
  <c r="AE99" i="46" s="1"/>
  <c r="Q99" i="46"/>
  <c r="AD99" i="46" s="1"/>
  <c r="V98" i="46"/>
  <c r="AI98" i="46" s="1"/>
  <c r="U98" i="46"/>
  <c r="AH98" i="46" s="1"/>
  <c r="T98" i="46"/>
  <c r="AG98" i="46" s="1"/>
  <c r="S98" i="46"/>
  <c r="AF98" i="46" s="1"/>
  <c r="R98" i="46"/>
  <c r="AE98" i="46" s="1"/>
  <c r="Q98" i="46"/>
  <c r="AD98" i="46" s="1"/>
  <c r="V97" i="46"/>
  <c r="AI97" i="46" s="1"/>
  <c r="U97" i="46"/>
  <c r="AH97" i="46" s="1"/>
  <c r="T97" i="46"/>
  <c r="AG97" i="46" s="1"/>
  <c r="S97" i="46"/>
  <c r="AF97" i="46" s="1"/>
  <c r="R97" i="46"/>
  <c r="AE97" i="46" s="1"/>
  <c r="Q97" i="46"/>
  <c r="AD97" i="46" s="1"/>
  <c r="V96" i="46"/>
  <c r="AI96" i="46" s="1"/>
  <c r="U96" i="46"/>
  <c r="AH96" i="46" s="1"/>
  <c r="T96" i="46"/>
  <c r="AG96" i="46" s="1"/>
  <c r="S96" i="46"/>
  <c r="AF96" i="46" s="1"/>
  <c r="R96" i="46"/>
  <c r="AE96" i="46" s="1"/>
  <c r="Q96" i="46"/>
  <c r="AD96" i="46" s="1"/>
  <c r="O91" i="46"/>
  <c r="N91" i="46"/>
  <c r="M91" i="46"/>
  <c r="L91" i="46"/>
  <c r="K91" i="46"/>
  <c r="O89" i="46"/>
  <c r="N89" i="46"/>
  <c r="M89" i="46"/>
  <c r="L89" i="46"/>
  <c r="K89" i="46"/>
  <c r="O87" i="46"/>
  <c r="N87" i="46"/>
  <c r="M87" i="46"/>
  <c r="L87" i="46"/>
  <c r="K87" i="46"/>
  <c r="O85" i="46"/>
  <c r="N85" i="46"/>
  <c r="M85" i="46"/>
  <c r="L85" i="46"/>
  <c r="K85" i="46"/>
  <c r="O83" i="46"/>
  <c r="N83" i="46"/>
  <c r="M83" i="46"/>
  <c r="L83" i="46"/>
  <c r="K83" i="46"/>
  <c r="O79" i="46"/>
  <c r="N79" i="46"/>
  <c r="M79" i="46"/>
  <c r="L79" i="46"/>
  <c r="K79" i="46"/>
  <c r="J79" i="46"/>
  <c r="I79" i="46"/>
  <c r="H79" i="46"/>
  <c r="W6" i="84" s="1"/>
  <c r="G79" i="46"/>
  <c r="F79" i="46"/>
  <c r="E79" i="46"/>
  <c r="T6" i="84" s="1"/>
  <c r="Y6" i="84" s="1"/>
  <c r="S6" i="79"/>
  <c r="V77" i="46"/>
  <c r="AI77" i="46" s="1"/>
  <c r="U77" i="46"/>
  <c r="AH77" i="46" s="1"/>
  <c r="T77" i="46"/>
  <c r="AG77" i="46" s="1"/>
  <c r="S77" i="46"/>
  <c r="AF77" i="46" s="1"/>
  <c r="R77" i="46"/>
  <c r="AE77" i="46" s="1"/>
  <c r="Q77" i="46"/>
  <c r="AD77" i="46" s="1"/>
  <c r="V76" i="46"/>
  <c r="AI76" i="46" s="1"/>
  <c r="U76" i="46"/>
  <c r="AH76" i="46" s="1"/>
  <c r="T76" i="46"/>
  <c r="AG76" i="46" s="1"/>
  <c r="S76" i="46"/>
  <c r="AF76" i="46" s="1"/>
  <c r="R76" i="46"/>
  <c r="AE76" i="46" s="1"/>
  <c r="Q76" i="46"/>
  <c r="AD76" i="46" s="1"/>
  <c r="V75" i="46"/>
  <c r="AI75" i="46" s="1"/>
  <c r="U75" i="46"/>
  <c r="AH75" i="46" s="1"/>
  <c r="T75" i="46"/>
  <c r="AG75" i="46" s="1"/>
  <c r="S75" i="46"/>
  <c r="AF75" i="46" s="1"/>
  <c r="R75" i="46"/>
  <c r="AE75" i="46" s="1"/>
  <c r="Q75" i="46"/>
  <c r="AD75" i="46" s="1"/>
  <c r="V74" i="46"/>
  <c r="AI74" i="46" s="1"/>
  <c r="U74" i="46"/>
  <c r="AH74" i="46" s="1"/>
  <c r="T74" i="46"/>
  <c r="AG74" i="46" s="1"/>
  <c r="S74" i="46"/>
  <c r="AF74" i="46" s="1"/>
  <c r="R74" i="46"/>
  <c r="AE74" i="46" s="1"/>
  <c r="Q74" i="46"/>
  <c r="AD74" i="46" s="1"/>
  <c r="V73" i="46"/>
  <c r="AI73" i="46" s="1"/>
  <c r="U73" i="46"/>
  <c r="AH73" i="46" s="1"/>
  <c r="T73" i="46"/>
  <c r="AG73" i="46" s="1"/>
  <c r="S73" i="46"/>
  <c r="AF73" i="46" s="1"/>
  <c r="R73" i="46"/>
  <c r="AE73" i="46" s="1"/>
  <c r="Q73" i="46"/>
  <c r="AD73" i="46" s="1"/>
  <c r="V72" i="46"/>
  <c r="AI72" i="46" s="1"/>
  <c r="U72" i="46"/>
  <c r="AH72" i="46" s="1"/>
  <c r="T72" i="46"/>
  <c r="AG72" i="46" s="1"/>
  <c r="S72" i="46"/>
  <c r="AF72" i="46" s="1"/>
  <c r="R72" i="46"/>
  <c r="AE72" i="46" s="1"/>
  <c r="Q72" i="46"/>
  <c r="AD72" i="46" s="1"/>
  <c r="V71" i="46"/>
  <c r="AI71" i="46" s="1"/>
  <c r="U71" i="46"/>
  <c r="AH71" i="46" s="1"/>
  <c r="T71" i="46"/>
  <c r="AG71" i="46" s="1"/>
  <c r="S71" i="46"/>
  <c r="AF71" i="46" s="1"/>
  <c r="R71" i="46"/>
  <c r="AE71" i="46" s="1"/>
  <c r="Q71" i="46"/>
  <c r="AD71" i="46" s="1"/>
  <c r="V70" i="46"/>
  <c r="AI70" i="46" s="1"/>
  <c r="U70" i="46"/>
  <c r="AH70" i="46" s="1"/>
  <c r="T70" i="46"/>
  <c r="AG70" i="46" s="1"/>
  <c r="S70" i="46"/>
  <c r="AF70" i="46" s="1"/>
  <c r="R70" i="46"/>
  <c r="AE70" i="46" s="1"/>
  <c r="Q70" i="46"/>
  <c r="AD70" i="46" s="1"/>
  <c r="O65" i="46"/>
  <c r="N65" i="46"/>
  <c r="M65" i="46"/>
  <c r="L65" i="46"/>
  <c r="K65" i="46"/>
  <c r="O63" i="46"/>
  <c r="N63" i="46"/>
  <c r="M63" i="46"/>
  <c r="L63" i="46"/>
  <c r="K63" i="46"/>
  <c r="O61" i="46"/>
  <c r="N61" i="46"/>
  <c r="M61" i="46"/>
  <c r="L61" i="46"/>
  <c r="K61" i="46"/>
  <c r="O59" i="46"/>
  <c r="N59" i="46"/>
  <c r="M59" i="46"/>
  <c r="L59" i="46"/>
  <c r="K59" i="46"/>
  <c r="O57" i="46"/>
  <c r="N57" i="46"/>
  <c r="M57" i="46"/>
  <c r="L57" i="46"/>
  <c r="K57" i="46"/>
  <c r="O53" i="46"/>
  <c r="AC53" i="46" s="1"/>
  <c r="X11" i="84" s="1"/>
  <c r="N53" i="46"/>
  <c r="M53" i="46"/>
  <c r="L53" i="46"/>
  <c r="K53" i="46"/>
  <c r="Y53" i="46" s="1"/>
  <c r="T11" i="84" s="1"/>
  <c r="J53" i="46"/>
  <c r="I53" i="46"/>
  <c r="X5" i="84" s="1"/>
  <c r="H53" i="46"/>
  <c r="G53" i="46"/>
  <c r="F53" i="46"/>
  <c r="U5" i="84" s="1"/>
  <c r="E53" i="46"/>
  <c r="S5" i="79"/>
  <c r="V51" i="46"/>
  <c r="AI51" i="46" s="1"/>
  <c r="U51" i="46"/>
  <c r="AH51" i="46" s="1"/>
  <c r="T51" i="46"/>
  <c r="AG51" i="46" s="1"/>
  <c r="S51" i="46"/>
  <c r="AF51" i="46" s="1"/>
  <c r="R51" i="46"/>
  <c r="AE51" i="46" s="1"/>
  <c r="Q51" i="46"/>
  <c r="AD51" i="46" s="1"/>
  <c r="V50" i="46"/>
  <c r="AI50" i="46" s="1"/>
  <c r="U50" i="46"/>
  <c r="AH50" i="46" s="1"/>
  <c r="T50" i="46"/>
  <c r="AG50" i="46" s="1"/>
  <c r="S50" i="46"/>
  <c r="AF50" i="46" s="1"/>
  <c r="R50" i="46"/>
  <c r="AE50" i="46" s="1"/>
  <c r="Q50" i="46"/>
  <c r="AD50" i="46" s="1"/>
  <c r="V49" i="46"/>
  <c r="AI49" i="46" s="1"/>
  <c r="U49" i="46"/>
  <c r="AH49" i="46" s="1"/>
  <c r="T49" i="46"/>
  <c r="AG49" i="46" s="1"/>
  <c r="S49" i="46"/>
  <c r="AF49" i="46" s="1"/>
  <c r="R49" i="46"/>
  <c r="AE49" i="46" s="1"/>
  <c r="Q49" i="46"/>
  <c r="AD49" i="46" s="1"/>
  <c r="V48" i="46"/>
  <c r="AI48" i="46" s="1"/>
  <c r="U48" i="46"/>
  <c r="AH48" i="46" s="1"/>
  <c r="T48" i="46"/>
  <c r="AG48" i="46" s="1"/>
  <c r="S48" i="46"/>
  <c r="AF48" i="46" s="1"/>
  <c r="R48" i="46"/>
  <c r="AE48" i="46" s="1"/>
  <c r="Q48" i="46"/>
  <c r="AD48" i="46" s="1"/>
  <c r="V47" i="46"/>
  <c r="AI47" i="46" s="1"/>
  <c r="U47" i="46"/>
  <c r="AH47" i="46" s="1"/>
  <c r="T47" i="46"/>
  <c r="AG47" i="46" s="1"/>
  <c r="S47" i="46"/>
  <c r="AF47" i="46" s="1"/>
  <c r="R47" i="46"/>
  <c r="AE47" i="46" s="1"/>
  <c r="Q47" i="46"/>
  <c r="AD47" i="46" s="1"/>
  <c r="V46" i="46"/>
  <c r="AI46" i="46" s="1"/>
  <c r="U46" i="46"/>
  <c r="AH46" i="46" s="1"/>
  <c r="T46" i="46"/>
  <c r="AG46" i="46" s="1"/>
  <c r="S46" i="46"/>
  <c r="AF46" i="46" s="1"/>
  <c r="R46" i="46"/>
  <c r="AE46" i="46" s="1"/>
  <c r="Q46" i="46"/>
  <c r="AD46" i="46" s="1"/>
  <c r="V45" i="46"/>
  <c r="AI45" i="46" s="1"/>
  <c r="U45" i="46"/>
  <c r="AH45" i="46" s="1"/>
  <c r="T45" i="46"/>
  <c r="AG45" i="46" s="1"/>
  <c r="S45" i="46"/>
  <c r="AF45" i="46" s="1"/>
  <c r="R45" i="46"/>
  <c r="AE45" i="46" s="1"/>
  <c r="Q45" i="46"/>
  <c r="AD45" i="46" s="1"/>
  <c r="V44" i="46"/>
  <c r="AI44" i="46" s="1"/>
  <c r="U44" i="46"/>
  <c r="AH44" i="46" s="1"/>
  <c r="T44" i="46"/>
  <c r="AG44" i="46" s="1"/>
  <c r="S44" i="46"/>
  <c r="AF44" i="46" s="1"/>
  <c r="R44" i="46"/>
  <c r="AE44" i="46" s="1"/>
  <c r="Q44" i="46"/>
  <c r="AD44" i="46" s="1"/>
  <c r="V43" i="46"/>
  <c r="AI43" i="46" s="1"/>
  <c r="U43" i="46"/>
  <c r="AH43" i="46" s="1"/>
  <c r="T43" i="46"/>
  <c r="AG43" i="46" s="1"/>
  <c r="S43" i="46"/>
  <c r="AF43" i="46" s="1"/>
  <c r="R43" i="46"/>
  <c r="AE43" i="46" s="1"/>
  <c r="Q43" i="46"/>
  <c r="AD43" i="46" s="1"/>
  <c r="V42" i="46"/>
  <c r="AI42" i="46" s="1"/>
  <c r="U42" i="46"/>
  <c r="AH42" i="46" s="1"/>
  <c r="T42" i="46"/>
  <c r="AG42" i="46" s="1"/>
  <c r="S42" i="46"/>
  <c r="AF42" i="46" s="1"/>
  <c r="R42" i="46"/>
  <c r="AE42" i="46" s="1"/>
  <c r="Q42" i="46"/>
  <c r="AD42" i="46" s="1"/>
  <c r="V41" i="46"/>
  <c r="AI41" i="46" s="1"/>
  <c r="U41" i="46"/>
  <c r="AH41" i="46" s="1"/>
  <c r="T41" i="46"/>
  <c r="AG41" i="46" s="1"/>
  <c r="S41" i="46"/>
  <c r="AF41" i="46" s="1"/>
  <c r="R41" i="46"/>
  <c r="AE41" i="46" s="1"/>
  <c r="Q41" i="46"/>
  <c r="AD41" i="46" s="1"/>
  <c r="O36" i="46"/>
  <c r="N36" i="46"/>
  <c r="M36" i="46"/>
  <c r="L36" i="46"/>
  <c r="K36" i="46"/>
  <c r="O34" i="46"/>
  <c r="N34" i="46"/>
  <c r="M34" i="46"/>
  <c r="L34" i="46"/>
  <c r="K34" i="46"/>
  <c r="O32" i="46"/>
  <c r="N32" i="46"/>
  <c r="M32" i="46"/>
  <c r="L32" i="46"/>
  <c r="K32" i="46"/>
  <c r="O30" i="46"/>
  <c r="N30" i="46"/>
  <c r="M30" i="46"/>
  <c r="L30" i="46"/>
  <c r="K30" i="46"/>
  <c r="O28" i="46"/>
  <c r="N28" i="46"/>
  <c r="M28" i="46"/>
  <c r="L28" i="46"/>
  <c r="K28" i="46"/>
  <c r="O24" i="46"/>
  <c r="N24" i="46"/>
  <c r="M24" i="46"/>
  <c r="L24" i="46"/>
  <c r="K24" i="46"/>
  <c r="J24" i="46"/>
  <c r="I24" i="46"/>
  <c r="X4" i="84" s="1"/>
  <c r="H24" i="46"/>
  <c r="W4" i="84" s="1"/>
  <c r="G24" i="46"/>
  <c r="V4" i="84" s="1"/>
  <c r="F24" i="46"/>
  <c r="U4" i="84" s="1"/>
  <c r="E24" i="46"/>
  <c r="T4" i="84" s="1"/>
  <c r="D24" i="46"/>
  <c r="S4" i="84" s="1"/>
  <c r="V22" i="46"/>
  <c r="AI22" i="46" s="1"/>
  <c r="U22" i="46"/>
  <c r="AH22" i="46" s="1"/>
  <c r="T22" i="46"/>
  <c r="AG22" i="46" s="1"/>
  <c r="S22" i="46"/>
  <c r="AF22" i="46" s="1"/>
  <c r="R22" i="46"/>
  <c r="AE22" i="46" s="1"/>
  <c r="Q22" i="46"/>
  <c r="AD22" i="46" s="1"/>
  <c r="V21" i="46"/>
  <c r="AI21" i="46" s="1"/>
  <c r="U21" i="46"/>
  <c r="AH21" i="46" s="1"/>
  <c r="T21" i="46"/>
  <c r="AG21" i="46" s="1"/>
  <c r="S21" i="46"/>
  <c r="AF21" i="46" s="1"/>
  <c r="R21" i="46"/>
  <c r="AE21" i="46" s="1"/>
  <c r="Q21" i="46"/>
  <c r="AD21" i="46" s="1"/>
  <c r="V20" i="46"/>
  <c r="AI20" i="46" s="1"/>
  <c r="U20" i="46"/>
  <c r="AH20" i="46" s="1"/>
  <c r="T20" i="46"/>
  <c r="AG20" i="46" s="1"/>
  <c r="S20" i="46"/>
  <c r="AF20" i="46" s="1"/>
  <c r="R20" i="46"/>
  <c r="AE20" i="46" s="1"/>
  <c r="Q20" i="46"/>
  <c r="AD20" i="46" s="1"/>
  <c r="V19" i="46"/>
  <c r="AI19" i="46" s="1"/>
  <c r="U19" i="46"/>
  <c r="AH19" i="46" s="1"/>
  <c r="T19" i="46"/>
  <c r="AG19" i="46" s="1"/>
  <c r="S19" i="46"/>
  <c r="AF19" i="46" s="1"/>
  <c r="R19" i="46"/>
  <c r="AE19" i="46" s="1"/>
  <c r="Q19" i="46"/>
  <c r="AD19" i="46" s="1"/>
  <c r="U18" i="46"/>
  <c r="AH18" i="46" s="1"/>
  <c r="T18" i="46"/>
  <c r="AG18" i="46" s="1"/>
  <c r="S18" i="46"/>
  <c r="AF18" i="46" s="1"/>
  <c r="R18" i="46"/>
  <c r="AE18" i="46" s="1"/>
  <c r="Q18" i="46"/>
  <c r="AD18" i="46" s="1"/>
  <c r="V17" i="46"/>
  <c r="AI17" i="46" s="1"/>
  <c r="U17" i="46"/>
  <c r="AH17" i="46" s="1"/>
  <c r="T17" i="46"/>
  <c r="AG17" i="46" s="1"/>
  <c r="S17" i="46"/>
  <c r="AF17" i="46" s="1"/>
  <c r="R17" i="46"/>
  <c r="AE17" i="46" s="1"/>
  <c r="Q17" i="46"/>
  <c r="AD17" i="46" s="1"/>
  <c r="V16" i="46"/>
  <c r="AI16" i="46" s="1"/>
  <c r="U16" i="46"/>
  <c r="AH16" i="46" s="1"/>
  <c r="T16" i="46"/>
  <c r="AG16" i="46" s="1"/>
  <c r="S16" i="46"/>
  <c r="AF16" i="46" s="1"/>
  <c r="R16" i="46"/>
  <c r="AE16" i="46" s="1"/>
  <c r="Q16" i="46"/>
  <c r="AD16" i="46" s="1"/>
  <c r="V15" i="46"/>
  <c r="AI15" i="46" s="1"/>
  <c r="U15" i="46"/>
  <c r="AH15" i="46" s="1"/>
  <c r="T15" i="46"/>
  <c r="AG15" i="46" s="1"/>
  <c r="S15" i="46"/>
  <c r="AF15" i="46" s="1"/>
  <c r="R15" i="46"/>
  <c r="AE15" i="46" s="1"/>
  <c r="Q15" i="46"/>
  <c r="AD15" i="46" s="1"/>
  <c r="V14" i="46"/>
  <c r="AI14" i="46" s="1"/>
  <c r="U14" i="46"/>
  <c r="AH14" i="46" s="1"/>
  <c r="T14" i="46"/>
  <c r="AG14" i="46" s="1"/>
  <c r="S14" i="46"/>
  <c r="AF14" i="46" s="1"/>
  <c r="R14" i="46"/>
  <c r="AE14" i="46" s="1"/>
  <c r="Q14" i="46"/>
  <c r="AD14" i="46" s="1"/>
  <c r="V13" i="46"/>
  <c r="AI13" i="46" s="1"/>
  <c r="U13" i="46"/>
  <c r="AH13" i="46" s="1"/>
  <c r="T13" i="46"/>
  <c r="AG13" i="46" s="1"/>
  <c r="S13" i="46"/>
  <c r="AF13" i="46" s="1"/>
  <c r="R13" i="46"/>
  <c r="AE13" i="46" s="1"/>
  <c r="Q13" i="46"/>
  <c r="AD13" i="46" s="1"/>
  <c r="V12" i="46"/>
  <c r="AI12" i="46" s="1"/>
  <c r="U12" i="46"/>
  <c r="AH12" i="46" s="1"/>
  <c r="T12" i="46"/>
  <c r="AG12" i="46" s="1"/>
  <c r="S12" i="46"/>
  <c r="AF12" i="46" s="1"/>
  <c r="R12" i="46"/>
  <c r="AE12" i="46" s="1"/>
  <c r="Q12" i="46"/>
  <c r="AD12" i="46" s="1"/>
  <c r="V11" i="46"/>
  <c r="AI11" i="46" s="1"/>
  <c r="U11" i="46"/>
  <c r="AH11" i="46" s="1"/>
  <c r="T11" i="46"/>
  <c r="AG11" i="46" s="1"/>
  <c r="S11" i="46"/>
  <c r="AF11" i="46" s="1"/>
  <c r="R11" i="46"/>
  <c r="AE11" i="46" s="1"/>
  <c r="Q11" i="46"/>
  <c r="AD11" i="46" s="1"/>
  <c r="V10" i="46"/>
  <c r="AI10" i="46" s="1"/>
  <c r="U10" i="46"/>
  <c r="AH10" i="46" s="1"/>
  <c r="T10" i="46"/>
  <c r="AG10" i="46" s="1"/>
  <c r="S10" i="46"/>
  <c r="AF10" i="46" s="1"/>
  <c r="R10" i="46"/>
  <c r="AE10" i="46" s="1"/>
  <c r="O8" i="46"/>
  <c r="AC8" i="46" s="1"/>
  <c r="AI8" i="46" s="1"/>
  <c r="N8" i="46"/>
  <c r="M8" i="46"/>
  <c r="L8" i="46"/>
  <c r="K8" i="46"/>
  <c r="Y8" i="46" s="1"/>
  <c r="AE8" i="46" s="1"/>
  <c r="J8" i="46"/>
  <c r="Z11" i="84" l="1"/>
  <c r="Z4" i="84"/>
  <c r="Z14" i="84"/>
  <c r="S29" i="84"/>
  <c r="S21" i="84"/>
  <c r="S26" i="84"/>
  <c r="S20" i="84"/>
  <c r="S30" i="84"/>
  <c r="S27" i="84"/>
  <c r="S17" i="84"/>
  <c r="S25" i="84"/>
  <c r="S24" i="84"/>
  <c r="S18" i="84"/>
  <c r="S23" i="84"/>
  <c r="S22" i="84"/>
  <c r="S19" i="84"/>
  <c r="S28" i="84"/>
  <c r="U6" i="79"/>
  <c r="U6" i="84"/>
  <c r="AB79" i="46"/>
  <c r="W12" i="84" s="1"/>
  <c r="T5" i="79"/>
  <c r="T5" i="84"/>
  <c r="Y5" i="84" s="1"/>
  <c r="Y24" i="46"/>
  <c r="T10" i="84" s="1"/>
  <c r="T26" i="84"/>
  <c r="Y26" i="84" s="1"/>
  <c r="T20" i="84"/>
  <c r="T30" i="84"/>
  <c r="T27" i="84"/>
  <c r="T17" i="84"/>
  <c r="Y17" i="84" s="1"/>
  <c r="T25" i="84"/>
  <c r="T24" i="84"/>
  <c r="T28" i="84"/>
  <c r="T22" i="84"/>
  <c r="Y22" i="84" s="1"/>
  <c r="T21" i="84"/>
  <c r="T29" i="84"/>
  <c r="T23" i="84"/>
  <c r="T19" i="84"/>
  <c r="T18" i="84"/>
  <c r="V6" i="79"/>
  <c r="V6" i="84"/>
  <c r="AC79" i="46"/>
  <c r="X12" i="84" s="1"/>
  <c r="Y4" i="84"/>
  <c r="AA24" i="46"/>
  <c r="V10" i="84" s="1"/>
  <c r="V30" i="84"/>
  <c r="V27" i="84"/>
  <c r="V17" i="84"/>
  <c r="V25" i="84"/>
  <c r="V24" i="84"/>
  <c r="V28" i="84"/>
  <c r="V22" i="84"/>
  <c r="V23" i="84"/>
  <c r="V19" i="84"/>
  <c r="V18" i="84"/>
  <c r="V26" i="84"/>
  <c r="V21" i="84"/>
  <c r="V29" i="84"/>
  <c r="V20" i="84"/>
  <c r="X6" i="79"/>
  <c r="X6" i="84"/>
  <c r="Z6" i="84" s="1"/>
  <c r="U7" i="79"/>
  <c r="U7" i="84"/>
  <c r="AB24" i="46"/>
  <c r="W10" i="84" s="1"/>
  <c r="W25" i="84"/>
  <c r="W24" i="84"/>
  <c r="W28" i="84"/>
  <c r="W22" i="84"/>
  <c r="W23" i="84"/>
  <c r="W19" i="84"/>
  <c r="W18" i="84"/>
  <c r="W29" i="84"/>
  <c r="W21" i="84"/>
  <c r="W17" i="84"/>
  <c r="W30" i="84"/>
  <c r="W27" i="84"/>
  <c r="W26" i="84"/>
  <c r="W20" i="84"/>
  <c r="V5" i="79"/>
  <c r="V5" i="84"/>
  <c r="X79" i="46"/>
  <c r="S12" i="84" s="1"/>
  <c r="S55" i="84"/>
  <c r="V7" i="79"/>
  <c r="V7" i="84"/>
  <c r="AC24" i="46"/>
  <c r="X10" i="84" s="1"/>
  <c r="X28" i="84"/>
  <c r="X22" i="84"/>
  <c r="X23" i="84"/>
  <c r="X19" i="84"/>
  <c r="X18" i="84"/>
  <c r="Z18" i="84" s="1"/>
  <c r="X29" i="84"/>
  <c r="Z29" i="84" s="1"/>
  <c r="X21" i="84"/>
  <c r="Z21" i="84" s="1"/>
  <c r="X27" i="84"/>
  <c r="X26" i="84"/>
  <c r="X25" i="84"/>
  <c r="Z25" i="84" s="1"/>
  <c r="X30" i="84"/>
  <c r="X20" i="84"/>
  <c r="X17" i="84"/>
  <c r="X24" i="84"/>
  <c r="Z24" i="84" s="1"/>
  <c r="W5" i="79"/>
  <c r="W5" i="84"/>
  <c r="Y79" i="46"/>
  <c r="T12" i="84" s="1"/>
  <c r="W7" i="79"/>
  <c r="W7" i="84"/>
  <c r="Z24" i="46"/>
  <c r="U10" i="84" s="1"/>
  <c r="U26" i="84"/>
  <c r="U20" i="84"/>
  <c r="U30" i="84"/>
  <c r="U27" i="84"/>
  <c r="U17" i="84"/>
  <c r="U25" i="84"/>
  <c r="U24" i="84"/>
  <c r="U28" i="84"/>
  <c r="U22" i="84"/>
  <c r="U29" i="84"/>
  <c r="U23" i="84"/>
  <c r="U21" i="84"/>
  <c r="U19" i="84"/>
  <c r="U18" i="84"/>
  <c r="Z79" i="46"/>
  <c r="U12" i="84" s="1"/>
  <c r="X7" i="79"/>
  <c r="X7" i="84"/>
  <c r="Z7" i="84" s="1"/>
  <c r="AA79" i="46"/>
  <c r="V12" i="84" s="1"/>
  <c r="W14" i="79"/>
  <c r="AB141" i="46"/>
  <c r="W14" i="84" s="1"/>
  <c r="P110" i="46"/>
  <c r="Y110" i="46"/>
  <c r="T13" i="84" s="1"/>
  <c r="U14" i="79"/>
  <c r="Z141" i="46"/>
  <c r="U14" i="84" s="1"/>
  <c r="U13" i="79"/>
  <c r="Z110" i="46"/>
  <c r="U13" i="84" s="1"/>
  <c r="V13" i="79"/>
  <c r="AA110" i="46"/>
  <c r="V13" i="84" s="1"/>
  <c r="W13" i="79"/>
  <c r="AB110" i="46"/>
  <c r="W13" i="84" s="1"/>
  <c r="S14" i="79"/>
  <c r="X141" i="46"/>
  <c r="S14" i="84" s="1"/>
  <c r="Y14" i="84" s="1"/>
  <c r="S13" i="79"/>
  <c r="X110" i="46"/>
  <c r="S13" i="84" s="1"/>
  <c r="W11" i="79"/>
  <c r="AB53" i="46"/>
  <c r="W11" i="84" s="1"/>
  <c r="U11" i="79"/>
  <c r="Z53" i="46"/>
  <c r="U11" i="84" s="1"/>
  <c r="J37" i="46"/>
  <c r="X37" i="46" s="1"/>
  <c r="X24" i="46"/>
  <c r="S10" i="84" s="1"/>
  <c r="V11" i="79"/>
  <c r="AA53" i="46"/>
  <c r="V11" i="84" s="1"/>
  <c r="S11" i="79"/>
  <c r="X53" i="46"/>
  <c r="S11" i="84" s="1"/>
  <c r="Y11" i="84" s="1"/>
  <c r="S8" i="46"/>
  <c r="Z8" i="46"/>
  <c r="AF8" i="46" s="1"/>
  <c r="T8" i="46"/>
  <c r="AA8" i="46"/>
  <c r="AG8" i="46" s="1"/>
  <c r="Q8" i="46"/>
  <c r="X8" i="46"/>
  <c r="AD8" i="46" s="1"/>
  <c r="U8" i="46"/>
  <c r="AB8" i="46"/>
  <c r="AH8" i="46" s="1"/>
  <c r="P79" i="46"/>
  <c r="P141" i="46"/>
  <c r="T11" i="79"/>
  <c r="P53" i="46"/>
  <c r="J48" i="53"/>
  <c r="I48" i="53"/>
  <c r="BP48" i="53" s="1"/>
  <c r="R21" i="53"/>
  <c r="Q21" i="53"/>
  <c r="BW21" i="53" s="1"/>
  <c r="Q65" i="53"/>
  <c r="BW65" i="53" s="1"/>
  <c r="R65" i="53"/>
  <c r="Y61" i="53"/>
  <c r="CD61" i="53" s="1"/>
  <c r="Z61" i="53"/>
  <c r="AG48" i="53"/>
  <c r="CK48" i="53" s="1"/>
  <c r="AH48" i="53"/>
  <c r="AP24" i="53"/>
  <c r="AO24" i="53"/>
  <c r="CR24" i="53" s="1"/>
  <c r="P24" i="46"/>
  <c r="Q61" i="53"/>
  <c r="BW61" i="53" s="1"/>
  <c r="R61" i="53"/>
  <c r="AG24" i="53"/>
  <c r="CK24" i="53" s="1"/>
  <c r="AH24" i="53"/>
  <c r="AP21" i="53"/>
  <c r="AO21" i="53"/>
  <c r="CR21" i="53" s="1"/>
  <c r="R8" i="46"/>
  <c r="P7" i="46"/>
  <c r="J61" i="53"/>
  <c r="I61" i="53"/>
  <c r="BP61" i="53" s="1"/>
  <c r="R48" i="53"/>
  <c r="Q48" i="53"/>
  <c r="BW48" i="53" s="1"/>
  <c r="Y24" i="53"/>
  <c r="CD24" i="53" s="1"/>
  <c r="Z24" i="53"/>
  <c r="AH21" i="53"/>
  <c r="AG21" i="53"/>
  <c r="CK21" i="53" s="1"/>
  <c r="AH65" i="53"/>
  <c r="AG65" i="53"/>
  <c r="CK65" i="53" s="1"/>
  <c r="AP61" i="53"/>
  <c r="AO61" i="53"/>
  <c r="CR61" i="53" s="1"/>
  <c r="J65" i="53"/>
  <c r="I65" i="53"/>
  <c r="BP65" i="53" s="1"/>
  <c r="Z48" i="53"/>
  <c r="Y48" i="53"/>
  <c r="CD48" i="53" s="1"/>
  <c r="AP65" i="53"/>
  <c r="AO65" i="53"/>
  <c r="CR65" i="53" s="1"/>
  <c r="I21" i="53"/>
  <c r="BP21" i="53" s="1"/>
  <c r="J21" i="53"/>
  <c r="J24" i="53"/>
  <c r="I24" i="53"/>
  <c r="BP24" i="53" s="1"/>
  <c r="R24" i="53"/>
  <c r="Q24" i="53"/>
  <c r="BW24" i="53" s="1"/>
  <c r="Z21" i="53"/>
  <c r="Y21" i="53"/>
  <c r="CD21" i="53" s="1"/>
  <c r="Y65" i="53"/>
  <c r="CD65" i="53" s="1"/>
  <c r="Z65" i="53"/>
  <c r="AH61" i="53"/>
  <c r="AG61" i="53"/>
  <c r="CK61" i="53" s="1"/>
  <c r="AP48" i="53"/>
  <c r="AO48" i="53"/>
  <c r="CR48" i="53" s="1"/>
  <c r="T13" i="79"/>
  <c r="K123" i="46"/>
  <c r="Y123" i="46" s="1"/>
  <c r="V10" i="79"/>
  <c r="V18" i="79"/>
  <c r="V20" i="79"/>
  <c r="V22" i="79"/>
  <c r="V24" i="79"/>
  <c r="V17" i="79"/>
  <c r="V21" i="79"/>
  <c r="V30" i="79"/>
  <c r="V25" i="79"/>
  <c r="V19" i="79"/>
  <c r="V26" i="79"/>
  <c r="V28" i="79"/>
  <c r="V23" i="79"/>
  <c r="V27" i="79"/>
  <c r="V29" i="79"/>
  <c r="V12" i="79"/>
  <c r="V8" i="46"/>
  <c r="S18" i="79"/>
  <c r="S20" i="79"/>
  <c r="S22" i="79"/>
  <c r="S24" i="79"/>
  <c r="S26" i="79"/>
  <c r="S28" i="79"/>
  <c r="S30" i="79"/>
  <c r="S27" i="79"/>
  <c r="S19" i="79"/>
  <c r="S23" i="79"/>
  <c r="S29" i="79"/>
  <c r="S17" i="79"/>
  <c r="S25" i="79"/>
  <c r="S21" i="79"/>
  <c r="W10" i="79"/>
  <c r="W18" i="79"/>
  <c r="W20" i="79"/>
  <c r="W22" i="79"/>
  <c r="W24" i="79"/>
  <c r="W26" i="79"/>
  <c r="W28" i="79"/>
  <c r="W30" i="79"/>
  <c r="W29" i="79"/>
  <c r="W17" i="79"/>
  <c r="W21" i="79"/>
  <c r="W19" i="79"/>
  <c r="W25" i="79"/>
  <c r="W23" i="79"/>
  <c r="W27" i="79"/>
  <c r="S12" i="79"/>
  <c r="S55" i="79"/>
  <c r="T10" i="79"/>
  <c r="T19" i="79"/>
  <c r="T21" i="79"/>
  <c r="T23" i="79"/>
  <c r="T20" i="79"/>
  <c r="T24" i="79"/>
  <c r="T25" i="79"/>
  <c r="T26" i="79"/>
  <c r="T27" i="79"/>
  <c r="T28" i="79"/>
  <c r="T22" i="79"/>
  <c r="T30" i="79"/>
  <c r="T18" i="79"/>
  <c r="T29" i="79"/>
  <c r="T17" i="79"/>
  <c r="X19" i="79"/>
  <c r="X21" i="79"/>
  <c r="X23" i="79"/>
  <c r="X18" i="79"/>
  <c r="X22" i="79"/>
  <c r="X27" i="79"/>
  <c r="X28" i="79"/>
  <c r="X29" i="79"/>
  <c r="X30" i="79"/>
  <c r="X17" i="79"/>
  <c r="X24" i="79"/>
  <c r="X26" i="79"/>
  <c r="X20" i="79"/>
  <c r="X25" i="79"/>
  <c r="T12" i="79"/>
  <c r="U10" i="79"/>
  <c r="U19" i="79"/>
  <c r="U21" i="79"/>
  <c r="U23" i="79"/>
  <c r="U25" i="79"/>
  <c r="U27" i="79"/>
  <c r="U29" i="79"/>
  <c r="U20" i="79"/>
  <c r="U24" i="79"/>
  <c r="U26" i="79"/>
  <c r="U28" i="79"/>
  <c r="U22" i="79"/>
  <c r="U30" i="79"/>
  <c r="U17" i="79"/>
  <c r="U18" i="79"/>
  <c r="U12" i="79"/>
  <c r="X10" i="79"/>
  <c r="X12" i="79"/>
  <c r="X11" i="79"/>
  <c r="X13" i="79"/>
  <c r="X14" i="79"/>
  <c r="AX65" i="53"/>
  <c r="CZ65" i="53" s="1"/>
  <c r="AW65" i="53"/>
  <c r="CY65" i="53" s="1"/>
  <c r="G111" i="46"/>
  <c r="S10" i="79"/>
  <c r="N142" i="46"/>
  <c r="V14" i="79"/>
  <c r="K154" i="46"/>
  <c r="Y154" i="46" s="1"/>
  <c r="T14" i="79"/>
  <c r="L111" i="46"/>
  <c r="F111" i="46"/>
  <c r="T7" i="79"/>
  <c r="O80" i="46"/>
  <c r="W12" i="79"/>
  <c r="F80" i="46"/>
  <c r="T6" i="79"/>
  <c r="H80" i="46"/>
  <c r="I80" i="46"/>
  <c r="W6" i="79"/>
  <c r="G80" i="46"/>
  <c r="I54" i="46"/>
  <c r="X5" i="79"/>
  <c r="Z5" i="79" s="1"/>
  <c r="H54" i="46"/>
  <c r="G54" i="46"/>
  <c r="U5" i="79"/>
  <c r="F25" i="46"/>
  <c r="O154" i="46"/>
  <c r="AC154" i="46" s="1"/>
  <c r="O142" i="46"/>
  <c r="N154" i="46"/>
  <c r="AB154" i="46" s="1"/>
  <c r="M142" i="46"/>
  <c r="M154" i="46"/>
  <c r="AA154" i="46" s="1"/>
  <c r="L154" i="46"/>
  <c r="Z154" i="46" s="1"/>
  <c r="O123" i="46"/>
  <c r="AC123" i="46" s="1"/>
  <c r="N123" i="46"/>
  <c r="AB123" i="46" s="1"/>
  <c r="O111" i="46"/>
  <c r="M123" i="46"/>
  <c r="AA123" i="46" s="1"/>
  <c r="N111" i="46"/>
  <c r="M111" i="46"/>
  <c r="L123" i="46"/>
  <c r="Z123" i="46" s="1"/>
  <c r="I111" i="46"/>
  <c r="H111" i="46"/>
  <c r="E111" i="46"/>
  <c r="O92" i="46"/>
  <c r="AC92" i="46" s="1"/>
  <c r="N80" i="46"/>
  <c r="N92" i="46"/>
  <c r="M92" i="46"/>
  <c r="L92" i="46"/>
  <c r="M80" i="46"/>
  <c r="V55" i="84" s="1"/>
  <c r="K92" i="46"/>
  <c r="Y92" i="46" s="1"/>
  <c r="L80" i="46"/>
  <c r="U55" i="84" s="1"/>
  <c r="E80" i="46"/>
  <c r="F54" i="46"/>
  <c r="E54" i="46"/>
  <c r="O37" i="46"/>
  <c r="AC37" i="46" s="1"/>
  <c r="N37" i="46"/>
  <c r="AB37" i="46" s="1"/>
  <c r="M37" i="46"/>
  <c r="AA37" i="46" s="1"/>
  <c r="L37" i="46"/>
  <c r="Z37" i="46" s="1"/>
  <c r="I25" i="46"/>
  <c r="J154" i="46"/>
  <c r="X154" i="46" s="1"/>
  <c r="J123" i="46"/>
  <c r="X123" i="46" s="1"/>
  <c r="J92" i="46"/>
  <c r="X92" i="46" s="1"/>
  <c r="J66" i="46"/>
  <c r="X66" i="46" s="1"/>
  <c r="K142" i="46"/>
  <c r="L142" i="46"/>
  <c r="K111" i="46"/>
  <c r="M66" i="46"/>
  <c r="AA66" i="46" s="1"/>
  <c r="N66" i="46"/>
  <c r="AB66" i="46" s="1"/>
  <c r="K66" i="46"/>
  <c r="Y66" i="46" s="1"/>
  <c r="O66" i="46"/>
  <c r="AC66" i="46" s="1"/>
  <c r="L66" i="46"/>
  <c r="K37" i="46"/>
  <c r="K80" i="46"/>
  <c r="T55" i="84" s="1"/>
  <c r="O54" i="46"/>
  <c r="N54" i="46"/>
  <c r="M54" i="46"/>
  <c r="L54" i="46"/>
  <c r="K54" i="46"/>
  <c r="K25" i="46"/>
  <c r="L25" i="46"/>
  <c r="O25" i="46"/>
  <c r="G25" i="46"/>
  <c r="H25" i="46"/>
  <c r="M25" i="46"/>
  <c r="E25" i="46"/>
  <c r="N25" i="46"/>
  <c r="Z7" i="79" l="1"/>
  <c r="Y18" i="84"/>
  <c r="Y21" i="84"/>
  <c r="Z27" i="84"/>
  <c r="Z19" i="84"/>
  <c r="Y24" i="84"/>
  <c r="Y25" i="84"/>
  <c r="Y20" i="84"/>
  <c r="Z26" i="84"/>
  <c r="Y29" i="84"/>
  <c r="Z17" i="84"/>
  <c r="Z10" i="84"/>
  <c r="Z20" i="84"/>
  <c r="Z5" i="84"/>
  <c r="Z6" i="79"/>
  <c r="Z22" i="84"/>
  <c r="Y19" i="84"/>
  <c r="T44" i="84"/>
  <c r="Y44" i="84" s="1"/>
  <c r="T42" i="84"/>
  <c r="Y42" i="84" s="1"/>
  <c r="T38" i="84"/>
  <c r="Y38" i="84" s="1"/>
  <c r="T34" i="84"/>
  <c r="Y34" i="84" s="1"/>
  <c r="T43" i="84"/>
  <c r="Y43" i="84" s="1"/>
  <c r="T39" i="84"/>
  <c r="Y39" i="84" s="1"/>
  <c r="T40" i="84"/>
  <c r="Y40" i="84" s="1"/>
  <c r="T41" i="84"/>
  <c r="Y41" i="84" s="1"/>
  <c r="T36" i="84"/>
  <c r="Y36" i="84" s="1"/>
  <c r="T35" i="84"/>
  <c r="Y35" i="84" s="1"/>
  <c r="T37" i="84"/>
  <c r="Y37" i="84" s="1"/>
  <c r="T45" i="84"/>
  <c r="Y45" i="84" s="1"/>
  <c r="X48" i="84"/>
  <c r="X53" i="84"/>
  <c r="X49" i="84"/>
  <c r="X54" i="84"/>
  <c r="X50" i="84"/>
  <c r="X51" i="84"/>
  <c r="X52" i="84"/>
  <c r="X47" i="84"/>
  <c r="Z13" i="84"/>
  <c r="Y13" i="84"/>
  <c r="X55" i="84"/>
  <c r="Z55" i="84" s="1"/>
  <c r="Y55" i="84"/>
  <c r="Z12" i="84"/>
  <c r="W52" i="84"/>
  <c r="W48" i="84"/>
  <c r="W53" i="84"/>
  <c r="W49" i="84"/>
  <c r="W54" i="84"/>
  <c r="W47" i="84"/>
  <c r="W51" i="84"/>
  <c r="W50" i="84"/>
  <c r="W40" i="84"/>
  <c r="W35" i="84"/>
  <c r="W45" i="84"/>
  <c r="W41" i="84"/>
  <c r="W36" i="84"/>
  <c r="W37" i="84"/>
  <c r="W34" i="84"/>
  <c r="W38" i="84"/>
  <c r="W44" i="84"/>
  <c r="W43" i="84"/>
  <c r="W39" i="84"/>
  <c r="W42" i="84"/>
  <c r="U55" i="79"/>
  <c r="U51" i="84"/>
  <c r="U47" i="84"/>
  <c r="U52" i="84"/>
  <c r="U48" i="84"/>
  <c r="U53" i="84"/>
  <c r="U49" i="84"/>
  <c r="U50" i="84"/>
  <c r="U54" i="84"/>
  <c r="X40" i="84"/>
  <c r="Z40" i="84" s="1"/>
  <c r="X35" i="84"/>
  <c r="X45" i="84"/>
  <c r="X41" i="84"/>
  <c r="X36" i="84"/>
  <c r="X37" i="84"/>
  <c r="Z37" i="84" s="1"/>
  <c r="X44" i="84"/>
  <c r="Z44" i="84" s="1"/>
  <c r="X42" i="84"/>
  <c r="Z42" i="84" s="1"/>
  <c r="X38" i="84"/>
  <c r="Z38" i="84" s="1"/>
  <c r="X34" i="84"/>
  <c r="Z34" i="84" s="1"/>
  <c r="X43" i="84"/>
  <c r="X39" i="84"/>
  <c r="V43" i="84"/>
  <c r="V39" i="84"/>
  <c r="V40" i="84"/>
  <c r="V35" i="84"/>
  <c r="V45" i="84"/>
  <c r="V41" i="84"/>
  <c r="V36" i="84"/>
  <c r="V38" i="84"/>
  <c r="V44" i="84"/>
  <c r="V34" i="84"/>
  <c r="V37" i="84"/>
  <c r="V42" i="84"/>
  <c r="T50" i="84"/>
  <c r="Y50" i="84" s="1"/>
  <c r="T51" i="84"/>
  <c r="Y51" i="84" s="1"/>
  <c r="T47" i="84"/>
  <c r="Y47" i="84" s="1"/>
  <c r="T52" i="84"/>
  <c r="Y52" i="84" s="1"/>
  <c r="T48" i="84"/>
  <c r="Y48" i="84" s="1"/>
  <c r="T49" i="84"/>
  <c r="Y49" i="84" s="1"/>
  <c r="T54" i="84"/>
  <c r="Y54" i="84" s="1"/>
  <c r="T53" i="84"/>
  <c r="Y53" i="84" s="1"/>
  <c r="V47" i="84"/>
  <c r="V52" i="84"/>
  <c r="V48" i="84"/>
  <c r="V53" i="84"/>
  <c r="V49" i="84"/>
  <c r="V50" i="84"/>
  <c r="V54" i="84"/>
  <c r="V51" i="84"/>
  <c r="Y12" i="84"/>
  <c r="Z28" i="84"/>
  <c r="W55" i="84"/>
  <c r="U43" i="84"/>
  <c r="U39" i="84"/>
  <c r="U40" i="84"/>
  <c r="U35" i="84"/>
  <c r="U42" i="84"/>
  <c r="U38" i="84"/>
  <c r="U36" i="84"/>
  <c r="U41" i="84"/>
  <c r="U45" i="84"/>
  <c r="U44" i="84"/>
  <c r="U34" i="84"/>
  <c r="U37" i="84"/>
  <c r="Y28" i="84"/>
  <c r="Y10" i="84"/>
  <c r="Z23" i="84"/>
  <c r="Y23" i="84"/>
  <c r="Y27" i="84"/>
  <c r="Z30" i="84"/>
  <c r="Y30" i="84"/>
  <c r="U68" i="53"/>
  <c r="BZ68" i="53" s="1"/>
  <c r="Z92" i="46"/>
  <c r="R47" i="60"/>
  <c r="BO47" i="60" s="1"/>
  <c r="AA92" i="46"/>
  <c r="S47" i="60"/>
  <c r="BP47" i="60" s="1"/>
  <c r="AB92" i="46"/>
  <c r="M68" i="53"/>
  <c r="BS68" i="53" s="1"/>
  <c r="Z66" i="46"/>
  <c r="Z27" i="79"/>
  <c r="P37" i="46"/>
  <c r="Y37" i="46"/>
  <c r="Z24" i="79"/>
  <c r="Z12" i="79"/>
  <c r="Z29" i="79"/>
  <c r="P92" i="46"/>
  <c r="Z26" i="79"/>
  <c r="Z13" i="79"/>
  <c r="Z14" i="79"/>
  <c r="Z11" i="79"/>
  <c r="Z25" i="79"/>
  <c r="Z17" i="79"/>
  <c r="Z20" i="79"/>
  <c r="Z22" i="79"/>
  <c r="P154" i="46"/>
  <c r="Z23" i="79"/>
  <c r="Z21" i="79"/>
  <c r="Z30" i="79"/>
  <c r="Z19" i="79"/>
  <c r="P123" i="46"/>
  <c r="Z18" i="79"/>
  <c r="Z10" i="79"/>
  <c r="P66" i="46"/>
  <c r="Z28" i="79"/>
  <c r="Y17" i="79"/>
  <c r="U34" i="79"/>
  <c r="U36" i="79"/>
  <c r="U38" i="79"/>
  <c r="U40" i="79"/>
  <c r="U42" i="79"/>
  <c r="U44" i="79"/>
  <c r="U37" i="79"/>
  <c r="U45" i="79"/>
  <c r="U35" i="79"/>
  <c r="U43" i="79"/>
  <c r="U39" i="79"/>
  <c r="U41" i="79"/>
  <c r="T49" i="79"/>
  <c r="T51" i="79"/>
  <c r="T53" i="79"/>
  <c r="T47" i="79"/>
  <c r="T48" i="79"/>
  <c r="T54" i="79"/>
  <c r="T50" i="79"/>
  <c r="T52" i="79"/>
  <c r="V48" i="79"/>
  <c r="V50" i="79"/>
  <c r="V52" i="79"/>
  <c r="V54" i="79"/>
  <c r="V49" i="79"/>
  <c r="V47" i="79"/>
  <c r="V51" i="79"/>
  <c r="V53" i="79"/>
  <c r="W47" i="79"/>
  <c r="W48" i="79"/>
  <c r="W50" i="79"/>
  <c r="W52" i="79"/>
  <c r="W54" i="79"/>
  <c r="W51" i="79"/>
  <c r="W49" i="79"/>
  <c r="W53" i="79"/>
  <c r="X49" i="79"/>
  <c r="X51" i="79"/>
  <c r="X53" i="79"/>
  <c r="X47" i="79"/>
  <c r="X52" i="79"/>
  <c r="X50" i="79"/>
  <c r="X48" i="79"/>
  <c r="X54" i="79"/>
  <c r="X55" i="79"/>
  <c r="W55" i="79"/>
  <c r="T36" i="79"/>
  <c r="T38" i="79"/>
  <c r="T40" i="79"/>
  <c r="T42" i="79"/>
  <c r="T44" i="79"/>
  <c r="T35" i="79"/>
  <c r="T43" i="79"/>
  <c r="T41" i="79"/>
  <c r="T37" i="79"/>
  <c r="T39" i="79"/>
  <c r="T45" i="79"/>
  <c r="T34" i="79"/>
  <c r="V35" i="79"/>
  <c r="V37" i="79"/>
  <c r="V39" i="79"/>
  <c r="V41" i="79"/>
  <c r="V43" i="79"/>
  <c r="V45" i="79"/>
  <c r="V34" i="79"/>
  <c r="V36" i="79"/>
  <c r="V44" i="79"/>
  <c r="V42" i="79"/>
  <c r="V38" i="79"/>
  <c r="V40" i="79"/>
  <c r="T55" i="79"/>
  <c r="P54" i="46"/>
  <c r="X36" i="79"/>
  <c r="X38" i="79"/>
  <c r="X40" i="79"/>
  <c r="X42" i="79"/>
  <c r="X44" i="79"/>
  <c r="X39" i="79"/>
  <c r="X34" i="79"/>
  <c r="X37" i="79"/>
  <c r="X45" i="79"/>
  <c r="X35" i="79"/>
  <c r="X43" i="79"/>
  <c r="X41" i="79"/>
  <c r="W35" i="79"/>
  <c r="W37" i="79"/>
  <c r="W39" i="79"/>
  <c r="W41" i="79"/>
  <c r="W43" i="79"/>
  <c r="W45" i="79"/>
  <c r="W38" i="79"/>
  <c r="W36" i="79"/>
  <c r="W44" i="79"/>
  <c r="W40" i="79"/>
  <c r="W34" i="79"/>
  <c r="W42" i="79"/>
  <c r="U49" i="79"/>
  <c r="U51" i="79"/>
  <c r="U53" i="79"/>
  <c r="U50" i="79"/>
  <c r="U48" i="79"/>
  <c r="U52" i="79"/>
  <c r="U47" i="79"/>
  <c r="U54" i="79"/>
  <c r="V55" i="79"/>
  <c r="AN68" i="53"/>
  <c r="CQ68" i="53" s="1"/>
  <c r="AF47" i="60"/>
  <c r="CC47" i="60" s="1"/>
  <c r="AA47" i="60"/>
  <c r="BX47" i="60" s="1"/>
  <c r="AE47" i="60"/>
  <c r="CB47" i="60" s="1"/>
  <c r="AC47" i="60"/>
  <c r="BZ47" i="60" s="1"/>
  <c r="AD47" i="60"/>
  <c r="CA47" i="60" s="1"/>
  <c r="AB47" i="60"/>
  <c r="BY47" i="60" s="1"/>
  <c r="V47" i="60"/>
  <c r="BS47" i="60" s="1"/>
  <c r="W47" i="60"/>
  <c r="BT47" i="60" s="1"/>
  <c r="Z47" i="60"/>
  <c r="BW47" i="60" s="1"/>
  <c r="X47" i="60"/>
  <c r="BU47" i="60" s="1"/>
  <c r="AA68" i="53"/>
  <c r="U47" i="60"/>
  <c r="BR47" i="60" s="1"/>
  <c r="AE68" i="53"/>
  <c r="CI68" i="53" s="1"/>
  <c r="Y47" i="60"/>
  <c r="BV47" i="60" s="1"/>
  <c r="O47" i="60"/>
  <c r="BL47" i="60" s="1"/>
  <c r="P47" i="60"/>
  <c r="BM47" i="60" s="1"/>
  <c r="X68" i="53"/>
  <c r="CC68" i="53" s="1"/>
  <c r="T47" i="60"/>
  <c r="BQ47" i="60" s="1"/>
  <c r="Q47" i="60"/>
  <c r="BN47" i="60" s="1"/>
  <c r="K47" i="60"/>
  <c r="BH47" i="60" s="1"/>
  <c r="O68" i="53"/>
  <c r="BU68" i="53" s="1"/>
  <c r="M47" i="60"/>
  <c r="BJ47" i="60" s="1"/>
  <c r="N47" i="60"/>
  <c r="BK47" i="60" s="1"/>
  <c r="L47" i="60"/>
  <c r="BI47" i="60" s="1"/>
  <c r="I47" i="60"/>
  <c r="BF47" i="60" s="1"/>
  <c r="J47" i="60"/>
  <c r="BG47" i="60" s="1"/>
  <c r="H47" i="60"/>
  <c r="BE47" i="60" s="1"/>
  <c r="F47" i="60"/>
  <c r="BC47" i="60" s="1"/>
  <c r="G47" i="60"/>
  <c r="BD47" i="60" s="1"/>
  <c r="E47" i="60"/>
  <c r="BB47" i="60" s="1"/>
  <c r="D47" i="60"/>
  <c r="BA47" i="60" s="1"/>
  <c r="C68" i="53"/>
  <c r="BJ68" i="53" s="1"/>
  <c r="C47" i="60"/>
  <c r="AZ47" i="60" s="1"/>
  <c r="AM68" i="53"/>
  <c r="CP68" i="53" s="1"/>
  <c r="F68" i="53"/>
  <c r="BM68" i="53" s="1"/>
  <c r="AK68" i="53"/>
  <c r="CN68" i="53" s="1"/>
  <c r="K68" i="53"/>
  <c r="AD68" i="53"/>
  <c r="CH68" i="53" s="1"/>
  <c r="H68" i="53"/>
  <c r="BO68" i="53" s="1"/>
  <c r="G68" i="53"/>
  <c r="BN68" i="53" s="1"/>
  <c r="AI68" i="53"/>
  <c r="S68" i="53"/>
  <c r="N124" i="46"/>
  <c r="L155" i="46"/>
  <c r="AL68" i="53"/>
  <c r="CO68" i="53" s="1"/>
  <c r="K155" i="46"/>
  <c r="AJ68" i="53"/>
  <c r="CM68" i="53" s="1"/>
  <c r="AF68" i="53"/>
  <c r="CJ68" i="53" s="1"/>
  <c r="O124" i="46"/>
  <c r="L124" i="46"/>
  <c r="AC68" i="53"/>
  <c r="CG68" i="53" s="1"/>
  <c r="K124" i="46"/>
  <c r="AB68" i="53"/>
  <c r="CF68" i="53" s="1"/>
  <c r="K93" i="46"/>
  <c r="T68" i="53"/>
  <c r="BY68" i="53" s="1"/>
  <c r="V68" i="53"/>
  <c r="CA68" i="53" s="1"/>
  <c r="W68" i="53"/>
  <c r="CB68" i="53" s="1"/>
  <c r="P68" i="53"/>
  <c r="BV68" i="53" s="1"/>
  <c r="N68" i="53"/>
  <c r="BT68" i="53" s="1"/>
  <c r="K67" i="46"/>
  <c r="L68" i="53"/>
  <c r="BR68" i="53" s="1"/>
  <c r="O38" i="46"/>
  <c r="N38" i="46"/>
  <c r="M38" i="46"/>
  <c r="E68" i="53"/>
  <c r="BL68" i="53" s="1"/>
  <c r="K38" i="46"/>
  <c r="D68" i="53"/>
  <c r="BK68" i="53" s="1"/>
  <c r="L38" i="46"/>
  <c r="N155" i="46"/>
  <c r="M155" i="46"/>
  <c r="O93" i="46"/>
  <c r="L93" i="46"/>
  <c r="N93" i="46"/>
  <c r="N67" i="46"/>
  <c r="M67" i="46"/>
  <c r="L67" i="46"/>
  <c r="M93" i="46"/>
  <c r="O155" i="46"/>
  <c r="O67" i="46"/>
  <c r="M124" i="46"/>
  <c r="Z51" i="79" l="1"/>
  <c r="Z53" i="79"/>
  <c r="Z47" i="79"/>
  <c r="Z45" i="84"/>
  <c r="Z39" i="84"/>
  <c r="Z45" i="79"/>
  <c r="Z35" i="84"/>
  <c r="Z36" i="84"/>
  <c r="Z43" i="84"/>
  <c r="Z54" i="84"/>
  <c r="Z49" i="84"/>
  <c r="Z53" i="84"/>
  <c r="Z48" i="84"/>
  <c r="Z47" i="84"/>
  <c r="Z52" i="84"/>
  <c r="Z41" i="84"/>
  <c r="Z51" i="84"/>
  <c r="Z50" i="84"/>
  <c r="AJ68" i="73"/>
  <c r="BY68" i="73" s="1"/>
  <c r="CE68" i="53"/>
  <c r="Y68" i="73"/>
  <c r="BS68" i="73" s="1"/>
  <c r="BX68" i="53"/>
  <c r="AU68" i="73"/>
  <c r="CE68" i="73" s="1"/>
  <c r="CL68" i="53"/>
  <c r="N68" i="73"/>
  <c r="BM68" i="73" s="1"/>
  <c r="BQ68" i="53"/>
  <c r="Z49" i="79"/>
  <c r="AW47" i="60"/>
  <c r="Z40" i="79"/>
  <c r="Z43" i="79"/>
  <c r="Z48" i="79"/>
  <c r="AV47" i="60"/>
  <c r="Z35" i="79"/>
  <c r="Z38" i="79"/>
  <c r="Z36" i="79"/>
  <c r="Z52" i="79"/>
  <c r="Z50" i="79"/>
  <c r="J68" i="53"/>
  <c r="I68" i="53"/>
  <c r="BP68" i="53" s="1"/>
  <c r="Z37" i="79"/>
  <c r="Z34" i="79"/>
  <c r="Z39" i="79"/>
  <c r="Z44" i="79"/>
  <c r="Z55" i="79"/>
  <c r="Z68" i="53"/>
  <c r="Y68" i="53"/>
  <c r="CD68" i="53" s="1"/>
  <c r="AO68" i="53"/>
  <c r="CR68" i="53" s="1"/>
  <c r="AP68" i="53"/>
  <c r="R68" i="53"/>
  <c r="Q68" i="53"/>
  <c r="BW68" i="53" s="1"/>
  <c r="AH68" i="53"/>
  <c r="AG68" i="53"/>
  <c r="CK68" i="53" s="1"/>
  <c r="Z41" i="79"/>
  <c r="Z42" i="79"/>
  <c r="Z54" i="79"/>
  <c r="AX68" i="73"/>
  <c r="CG68" i="73" s="1"/>
  <c r="AY68" i="73"/>
  <c r="AW68" i="73"/>
  <c r="AV68" i="73"/>
  <c r="CF68" i="73" s="1"/>
  <c r="BC68" i="73"/>
  <c r="BB68" i="73"/>
  <c r="CI68" i="73" s="1"/>
  <c r="BA68" i="73"/>
  <c r="AZ68" i="73"/>
  <c r="CH68" i="73" s="1"/>
  <c r="BE68" i="73"/>
  <c r="BD68" i="73"/>
  <c r="CJ68" i="73" s="1"/>
  <c r="AR68" i="73"/>
  <c r="AQ68" i="73"/>
  <c r="CC68" i="73" s="1"/>
  <c r="AT68" i="73"/>
  <c r="AS68" i="73"/>
  <c r="CD68" i="73" s="1"/>
  <c r="AN68" i="73"/>
  <c r="AM68" i="73"/>
  <c r="CA68" i="73" s="1"/>
  <c r="AO68" i="73"/>
  <c r="CB68" i="73" s="1"/>
  <c r="AP68" i="73"/>
  <c r="AL68" i="73"/>
  <c r="AK68" i="73"/>
  <c r="BZ68" i="73" s="1"/>
  <c r="AF68" i="73"/>
  <c r="BW68" i="73" s="1"/>
  <c r="AG68" i="73"/>
  <c r="AE68" i="73"/>
  <c r="AD68" i="73"/>
  <c r="BV68" i="73" s="1"/>
  <c r="AI68" i="73"/>
  <c r="AH68" i="73"/>
  <c r="BX68" i="73" s="1"/>
  <c r="AB68" i="73"/>
  <c r="BU68" i="73" s="1"/>
  <c r="AA68" i="73"/>
  <c r="Z68" i="73"/>
  <c r="BT68" i="73" s="1"/>
  <c r="AC68" i="73"/>
  <c r="O68" i="73"/>
  <c r="BN68" i="73" s="1"/>
  <c r="P68" i="73"/>
  <c r="Q68" i="73"/>
  <c r="BO68" i="73" s="1"/>
  <c r="V68" i="73"/>
  <c r="U68" i="73"/>
  <c r="BQ68" i="73" s="1"/>
  <c r="R68" i="73"/>
  <c r="S68" i="73"/>
  <c r="BP68" i="73" s="1"/>
  <c r="T68" i="73"/>
  <c r="W68" i="73"/>
  <c r="BR68" i="73" s="1"/>
  <c r="X68" i="73"/>
  <c r="BB68" i="53"/>
  <c r="DD68" i="53" s="1"/>
  <c r="BH68" i="53"/>
  <c r="DJ68" i="53" s="1"/>
  <c r="AY68" i="53"/>
  <c r="DA68" i="53" s="1"/>
  <c r="BE68" i="53"/>
  <c r="DG68" i="53" s="1"/>
  <c r="BD68" i="53"/>
  <c r="DF68" i="53" s="1"/>
  <c r="AX68" i="53"/>
  <c r="CZ68" i="53" s="1"/>
  <c r="BF68" i="53"/>
  <c r="DH68" i="53" s="1"/>
  <c r="AZ68" i="53"/>
  <c r="DB68" i="53" s="1"/>
  <c r="BA68" i="53"/>
  <c r="DC68" i="53" s="1"/>
  <c r="BG68" i="53"/>
  <c r="DI68" i="53" s="1"/>
  <c r="E68" i="73"/>
  <c r="F68" i="73"/>
  <c r="BI68" i="73" s="1"/>
  <c r="J68" i="73"/>
  <c r="BK68" i="73" s="1"/>
  <c r="G68" i="73"/>
  <c r="K68" i="73"/>
  <c r="AW68" i="53"/>
  <c r="CY68" i="53" s="1"/>
  <c r="C68" i="73"/>
  <c r="BG68" i="73" s="1"/>
  <c r="D68" i="73"/>
  <c r="BH68" i="73" s="1"/>
  <c r="H68" i="73"/>
  <c r="BJ68" i="73" s="1"/>
  <c r="L68" i="73"/>
  <c r="BL68" i="73" s="1"/>
  <c r="I68" i="73"/>
  <c r="M68" i="73"/>
  <c r="BC68" i="53"/>
  <c r="DE68" i="53" s="1"/>
  <c r="AH33" i="50"/>
  <c r="AH32" i="50"/>
  <c r="AH29" i="50"/>
  <c r="AA33" i="50"/>
  <c r="AA32" i="50"/>
  <c r="AA29" i="50"/>
  <c r="AI29" i="50" l="1"/>
  <c r="BT29" i="50"/>
  <c r="AI32" i="50"/>
  <c r="BT32" i="50"/>
  <c r="AB33" i="50"/>
  <c r="BM33" i="50"/>
  <c r="AI33" i="50"/>
  <c r="BT33" i="50"/>
  <c r="AB29" i="50"/>
  <c r="BM29" i="50"/>
  <c r="AB32" i="50"/>
  <c r="BM32" i="50"/>
  <c r="AE33" i="79"/>
  <c r="AF33" i="79"/>
  <c r="AG33" i="79"/>
  <c r="AE34" i="79"/>
  <c r="AF34" i="79"/>
  <c r="AG34" i="79"/>
  <c r="AE35" i="79"/>
  <c r="AF35" i="79"/>
  <c r="AG35" i="79"/>
  <c r="AD34" i="79"/>
  <c r="AD35" i="79"/>
  <c r="AD33" i="79"/>
  <c r="AC29" i="50" l="1"/>
  <c r="BN29" i="50"/>
  <c r="AJ33" i="50"/>
  <c r="BU33" i="50"/>
  <c r="AJ29" i="50"/>
  <c r="BU29" i="50"/>
  <c r="AC33" i="50"/>
  <c r="BN33" i="50"/>
  <c r="AJ32" i="50"/>
  <c r="BU32" i="50"/>
  <c r="AC32" i="50"/>
  <c r="BN32" i="50"/>
  <c r="AD36" i="79"/>
  <c r="AE36" i="79"/>
  <c r="AF36" i="79"/>
  <c r="AD33" i="50" l="1"/>
  <c r="BO33" i="50"/>
  <c r="AK32" i="50"/>
  <c r="BV32" i="50"/>
  <c r="AK29" i="50"/>
  <c r="BV29" i="50"/>
  <c r="AK33" i="50"/>
  <c r="BV33" i="50"/>
  <c r="AD32" i="50"/>
  <c r="BO32" i="50"/>
  <c r="AD29" i="50"/>
  <c r="BO29" i="50"/>
  <c r="E67" i="17"/>
  <c r="G50" i="17" s="1"/>
  <c r="AF28" i="84" s="1"/>
  <c r="E68" i="17"/>
  <c r="H51" i="17" s="1"/>
  <c r="AG29" i="84" s="1"/>
  <c r="E66" i="17"/>
  <c r="F49" i="17" s="1"/>
  <c r="AE27" i="84" s="1"/>
  <c r="AL33" i="50" l="1"/>
  <c r="BW33" i="50"/>
  <c r="AL29" i="50"/>
  <c r="BW29" i="50"/>
  <c r="AL32" i="50"/>
  <c r="BW32" i="50"/>
  <c r="AE32" i="50"/>
  <c r="BP32" i="50"/>
  <c r="AE29" i="50"/>
  <c r="BP29" i="50"/>
  <c r="AE33" i="50"/>
  <c r="BP33" i="50"/>
  <c r="E50" i="17"/>
  <c r="AD28" i="84" s="1"/>
  <c r="AC28" i="84"/>
  <c r="E51" i="17"/>
  <c r="AD29" i="84" s="1"/>
  <c r="AC27" i="84"/>
  <c r="F51" i="17"/>
  <c r="AE29" i="84" s="1"/>
  <c r="H49" i="17"/>
  <c r="AG27" i="84" s="1"/>
  <c r="E49" i="17"/>
  <c r="AD27" i="84" s="1"/>
  <c r="F50" i="17"/>
  <c r="AE28" i="84" s="1"/>
  <c r="G51" i="17"/>
  <c r="AF29" i="84" s="1"/>
  <c r="G49" i="17"/>
  <c r="AF27" i="84" s="1"/>
  <c r="H50" i="17"/>
  <c r="AG28" i="84" s="1"/>
  <c r="AC29" i="84"/>
  <c r="AC35" i="79"/>
  <c r="AC34" i="79"/>
  <c r="AC33" i="79"/>
  <c r="AG36" i="79"/>
  <c r="AF32" i="50" l="1"/>
  <c r="BR32" i="50" s="1"/>
  <c r="BQ32" i="50"/>
  <c r="AM32" i="50"/>
  <c r="BY32" i="50" s="1"/>
  <c r="BX32" i="50"/>
  <c r="AF29" i="50"/>
  <c r="BR29" i="50" s="1"/>
  <c r="BQ29" i="50"/>
  <c r="AM29" i="50"/>
  <c r="BY29" i="50" s="1"/>
  <c r="BX29" i="50"/>
  <c r="AF33" i="50"/>
  <c r="BR33" i="50" s="1"/>
  <c r="BQ33" i="50"/>
  <c r="AM33" i="50"/>
  <c r="BY33" i="50" s="1"/>
  <c r="BX33" i="50"/>
  <c r="AC36" i="79"/>
  <c r="AD27" i="79" l="1"/>
  <c r="AE27" i="79"/>
  <c r="AF27" i="79"/>
  <c r="AG27" i="79"/>
  <c r="AD28" i="79"/>
  <c r="AE28" i="79"/>
  <c r="AF28" i="79"/>
  <c r="AG28" i="79"/>
  <c r="AD29" i="79"/>
  <c r="AE29" i="79"/>
  <c r="AF29" i="79"/>
  <c r="AG29" i="79"/>
  <c r="AC28" i="79"/>
  <c r="AC29" i="79"/>
  <c r="AC27" i="79"/>
  <c r="AD20" i="79"/>
  <c r="AE20" i="79"/>
  <c r="AF20" i="79"/>
  <c r="AG20" i="79"/>
  <c r="AC20" i="79"/>
  <c r="AG15" i="79"/>
  <c r="AG16" i="79"/>
  <c r="AG17" i="79"/>
  <c r="AC21" i="79"/>
  <c r="AC18" i="79"/>
  <c r="AK14" i="79" s="1"/>
  <c r="AN47" i="67"/>
  <c r="AO47" i="67"/>
  <c r="AP47" i="67"/>
  <c r="AQ47" i="67"/>
  <c r="AM51" i="67"/>
  <c r="AM50" i="67"/>
  <c r="AM47" i="67"/>
  <c r="T100" i="67"/>
  <c r="AL35" i="67" s="1"/>
  <c r="AS27" i="67" s="1"/>
  <c r="AL27" i="67"/>
  <c r="AS21" i="67" s="1"/>
  <c r="AL19" i="67"/>
  <c r="AL11" i="67"/>
  <c r="AL3" i="67"/>
  <c r="AE17" i="67"/>
  <c r="AD17" i="67"/>
  <c r="S165" i="67"/>
  <c r="S164" i="67"/>
  <c r="S163" i="67"/>
  <c r="S162" i="67"/>
  <c r="S161" i="67"/>
  <c r="S160" i="67"/>
  <c r="S159" i="67"/>
  <c r="S158" i="67"/>
  <c r="S157" i="67"/>
  <c r="S156" i="67"/>
  <c r="S178" i="67"/>
  <c r="S177" i="67"/>
  <c r="S176" i="67"/>
  <c r="S175" i="67"/>
  <c r="S174" i="67"/>
  <c r="S173" i="67"/>
  <c r="S172" i="67"/>
  <c r="S171" i="67"/>
  <c r="S170" i="67"/>
  <c r="S169" i="67"/>
  <c r="S152" i="67"/>
  <c r="S151" i="67"/>
  <c r="S149" i="67"/>
  <c r="S148" i="67"/>
  <c r="S147" i="67"/>
  <c r="S146" i="67"/>
  <c r="S145" i="67"/>
  <c r="S144" i="67"/>
  <c r="S143" i="67"/>
  <c r="U59" i="67"/>
  <c r="V59" i="67"/>
  <c r="W59" i="67"/>
  <c r="X59" i="67"/>
  <c r="Y59" i="67"/>
  <c r="U61" i="67"/>
  <c r="V61" i="67"/>
  <c r="W61" i="67"/>
  <c r="X61" i="67"/>
  <c r="Y61" i="67"/>
  <c r="T61" i="67"/>
  <c r="T59" i="67"/>
  <c r="U38" i="67"/>
  <c r="V38" i="67"/>
  <c r="W38" i="67"/>
  <c r="X38" i="67"/>
  <c r="Y38" i="67"/>
  <c r="U40" i="67"/>
  <c r="V40" i="67"/>
  <c r="W40" i="67"/>
  <c r="X40" i="67"/>
  <c r="Y40" i="67"/>
  <c r="T40" i="67"/>
  <c r="T38" i="67"/>
  <c r="V19" i="67"/>
  <c r="W19" i="67"/>
  <c r="X19" i="67"/>
  <c r="Y19" i="67"/>
  <c r="T19" i="67"/>
  <c r="T17" i="67"/>
  <c r="AA59" i="67" l="1"/>
  <c r="AA40" i="67"/>
  <c r="AA61" i="67"/>
  <c r="AA38" i="67"/>
  <c r="T134" i="67"/>
  <c r="X136" i="67"/>
  <c r="Y136" i="67"/>
  <c r="V136" i="67"/>
  <c r="T136" i="67"/>
  <c r="W136" i="67"/>
  <c r="AK16" i="79"/>
  <c r="AG14" i="79"/>
  <c r="Z38" i="67"/>
  <c r="Z61" i="67"/>
  <c r="Z59" i="67"/>
  <c r="Z40" i="67"/>
  <c r="AA136" i="67" l="1"/>
  <c r="J7" i="67" l="1"/>
  <c r="O5" i="67"/>
  <c r="O4" i="67"/>
  <c r="O6" i="67"/>
  <c r="O7" i="67" l="1"/>
  <c r="N7" i="67"/>
  <c r="M7" i="67"/>
  <c r="L7" i="67"/>
  <c r="K7" i="67"/>
  <c r="AH5" i="78" l="1"/>
  <c r="AH6" i="78"/>
  <c r="AH7" i="78"/>
  <c r="AH8" i="78"/>
  <c r="AH9" i="78"/>
  <c r="AH10" i="78"/>
  <c r="AH11" i="78"/>
  <c r="AH12" i="78"/>
  <c r="AH13" i="78"/>
  <c r="AH14" i="78"/>
  <c r="AH15" i="78"/>
  <c r="AH16" i="78"/>
  <c r="AH17" i="78"/>
  <c r="AH18" i="78"/>
  <c r="AH19" i="78"/>
  <c r="AH20" i="78"/>
  <c r="AH21" i="78"/>
  <c r="AH22" i="78"/>
  <c r="AH23" i="78"/>
  <c r="AH24" i="78"/>
  <c r="AH25" i="78"/>
  <c r="AH26" i="78"/>
  <c r="AH27" i="78"/>
  <c r="AH28" i="78"/>
  <c r="AH29" i="78"/>
  <c r="AH30" i="78"/>
  <c r="AH31" i="78"/>
  <c r="AH32" i="78"/>
  <c r="AH33" i="78"/>
  <c r="AH4" i="78"/>
  <c r="Y50" i="79"/>
  <c r="Y51" i="79"/>
  <c r="Y54" i="79"/>
  <c r="V4" i="79"/>
  <c r="W4" i="79"/>
  <c r="X4" i="79"/>
  <c r="L17" i="78"/>
  <c r="M17" i="78"/>
  <c r="N17" i="78"/>
  <c r="O17" i="78"/>
  <c r="P17" i="78"/>
  <c r="Q17" i="78"/>
  <c r="R17" i="78"/>
  <c r="L21" i="78"/>
  <c r="M21" i="78"/>
  <c r="N21" i="78"/>
  <c r="O21" i="78"/>
  <c r="P21" i="78"/>
  <c r="Q21" i="78"/>
  <c r="R21" i="78"/>
  <c r="D64" i="78"/>
  <c r="E64" i="78"/>
  <c r="F64" i="78"/>
  <c r="G64" i="78"/>
  <c r="H64" i="78"/>
  <c r="C64" i="78"/>
  <c r="H59" i="78"/>
  <c r="H60" i="78"/>
  <c r="H61" i="78"/>
  <c r="D21" i="78"/>
  <c r="E21" i="78"/>
  <c r="F21" i="78"/>
  <c r="G21" i="78"/>
  <c r="H21" i="78"/>
  <c r="D22" i="78"/>
  <c r="E22" i="78"/>
  <c r="F22" i="78"/>
  <c r="G22" i="78"/>
  <c r="H22" i="78"/>
  <c r="D23" i="78"/>
  <c r="E23" i="78"/>
  <c r="F23" i="78"/>
  <c r="G23" i="78"/>
  <c r="H23" i="78"/>
  <c r="D24" i="78"/>
  <c r="E24" i="78"/>
  <c r="F24" i="78"/>
  <c r="G24" i="78"/>
  <c r="H24" i="78"/>
  <c r="D25" i="78"/>
  <c r="E25" i="78"/>
  <c r="F25" i="78"/>
  <c r="G25" i="78"/>
  <c r="H25" i="78"/>
  <c r="D26" i="78"/>
  <c r="E26" i="78"/>
  <c r="F26" i="78"/>
  <c r="G26" i="78"/>
  <c r="H26" i="78"/>
  <c r="C22" i="78"/>
  <c r="C23" i="78"/>
  <c r="C24" i="78"/>
  <c r="C25" i="78"/>
  <c r="C26" i="78"/>
  <c r="C21" i="78"/>
  <c r="D20" i="78"/>
  <c r="E20" i="78"/>
  <c r="F20" i="78"/>
  <c r="G20" i="78"/>
  <c r="H20" i="78"/>
  <c r="C20" i="78"/>
  <c r="C19" i="78"/>
  <c r="D19" i="78"/>
  <c r="E19" i="78"/>
  <c r="F19" i="78"/>
  <c r="G19" i="78"/>
  <c r="H19" i="78"/>
  <c r="D15" i="78"/>
  <c r="E15" i="78"/>
  <c r="F15" i="78"/>
  <c r="G15" i="78"/>
  <c r="H15" i="78"/>
  <c r="D16" i="78"/>
  <c r="E16" i="78"/>
  <c r="F16" i="78"/>
  <c r="G16" i="78"/>
  <c r="H16" i="78"/>
  <c r="D17" i="78"/>
  <c r="E17" i="78"/>
  <c r="F17" i="78"/>
  <c r="G17" i="78"/>
  <c r="H17" i="78"/>
  <c r="D18" i="78"/>
  <c r="E18" i="78"/>
  <c r="F18" i="78"/>
  <c r="G18" i="78"/>
  <c r="H18" i="78"/>
  <c r="C16" i="78"/>
  <c r="C17" i="78"/>
  <c r="C18" i="78"/>
  <c r="C15" i="78"/>
  <c r="D8" i="78"/>
  <c r="E8" i="78"/>
  <c r="F8" i="78"/>
  <c r="G8" i="78"/>
  <c r="H8" i="78"/>
  <c r="D9" i="78"/>
  <c r="E9" i="78"/>
  <c r="F9" i="78"/>
  <c r="G9" i="78"/>
  <c r="H9" i="78"/>
  <c r="D10" i="78"/>
  <c r="E10" i="78"/>
  <c r="F10" i="78"/>
  <c r="G10" i="78"/>
  <c r="H10" i="78"/>
  <c r="D11" i="78"/>
  <c r="E11" i="78"/>
  <c r="F11" i="78"/>
  <c r="G11" i="78"/>
  <c r="H11" i="78"/>
  <c r="C9" i="78"/>
  <c r="C10" i="78"/>
  <c r="C11" i="78"/>
  <c r="C8" i="78"/>
  <c r="D7" i="78"/>
  <c r="E7" i="78"/>
  <c r="F7" i="78"/>
  <c r="G7" i="78"/>
  <c r="H7" i="78"/>
  <c r="C7" i="78"/>
  <c r="Y49" i="79" l="1"/>
  <c r="Y55" i="79"/>
  <c r="Y34" i="79"/>
  <c r="Y47" i="79"/>
  <c r="Y44" i="79"/>
  <c r="Y38" i="79"/>
  <c r="Y40" i="79"/>
  <c r="Y36" i="79"/>
  <c r="Y45" i="79"/>
  <c r="Y41" i="79"/>
  <c r="Y37" i="79"/>
  <c r="Y43" i="79"/>
  <c r="Y39" i="79"/>
  <c r="Y35" i="79"/>
  <c r="Y42" i="79"/>
  <c r="Y53" i="79"/>
  <c r="Y48" i="79"/>
  <c r="Y52" i="79"/>
  <c r="Y14" i="79"/>
  <c r="Y7" i="79"/>
  <c r="Y6" i="79"/>
  <c r="Y12" i="79"/>
  <c r="Y11" i="79"/>
  <c r="Y5" i="79"/>
  <c r="Y13" i="79"/>
  <c r="AW94" i="53" l="1"/>
  <c r="CY94" i="53" s="1"/>
  <c r="BB94" i="53"/>
  <c r="DD94" i="53" s="1"/>
  <c r="BA94" i="53"/>
  <c r="DC94" i="53" s="1"/>
  <c r="AZ94" i="53"/>
  <c r="DB94" i="53" s="1"/>
  <c r="AY94" i="53"/>
  <c r="DA94" i="53" s="1"/>
  <c r="Y94" i="73"/>
  <c r="BS94" i="73" s="1"/>
  <c r="Z94" i="73"/>
  <c r="BT94" i="73" s="1"/>
  <c r="AA94" i="73"/>
  <c r="AB94" i="73"/>
  <c r="BU94" i="73" s="1"/>
  <c r="AC94" i="73"/>
  <c r="AD94" i="73"/>
  <c r="BV94" i="73" s="1"/>
  <c r="AE94" i="73"/>
  <c r="AF94" i="73"/>
  <c r="BW94" i="73" s="1"/>
  <c r="AG94" i="73"/>
  <c r="AH94" i="73"/>
  <c r="BX94" i="73" s="1"/>
  <c r="AI94" i="73"/>
  <c r="N94" i="73"/>
  <c r="BM94" i="73" s="1"/>
  <c r="O94" i="73"/>
  <c r="BN94" i="73" s="1"/>
  <c r="P94" i="73"/>
  <c r="Q94" i="73"/>
  <c r="BO94" i="73" s="1"/>
  <c r="R94" i="73"/>
  <c r="S94" i="73"/>
  <c r="BP94" i="73" s="1"/>
  <c r="T94" i="73"/>
  <c r="U94" i="73"/>
  <c r="BQ94" i="73" s="1"/>
  <c r="V94" i="73"/>
  <c r="W94" i="73"/>
  <c r="BR94" i="73" s="1"/>
  <c r="X94" i="73"/>
  <c r="C94" i="73"/>
  <c r="BG94" i="73" s="1"/>
  <c r="F94" i="73"/>
  <c r="BI94" i="73" s="1"/>
  <c r="G94" i="73"/>
  <c r="H94" i="73"/>
  <c r="BJ94" i="73" s="1"/>
  <c r="I94" i="73"/>
  <c r="J94" i="73"/>
  <c r="BK94" i="73" s="1"/>
  <c r="K94" i="73"/>
  <c r="L94" i="73"/>
  <c r="BL94" i="73" s="1"/>
  <c r="M94" i="73"/>
  <c r="C27" i="60"/>
  <c r="L44" i="2" l="1"/>
  <c r="K44" i="2"/>
  <c r="L43" i="2"/>
  <c r="K43" i="2"/>
  <c r="L42" i="2"/>
  <c r="K42" i="2"/>
  <c r="L41" i="2"/>
  <c r="K41" i="2"/>
  <c r="L40" i="2"/>
  <c r="K40" i="2"/>
  <c r="L38" i="2"/>
  <c r="K38" i="2"/>
  <c r="L37" i="2"/>
  <c r="K37" i="2"/>
  <c r="L36" i="2"/>
  <c r="K36" i="2"/>
  <c r="L35" i="2"/>
  <c r="K35" i="2"/>
  <c r="L34" i="2"/>
  <c r="K34" i="2"/>
  <c r="L33" i="2"/>
  <c r="K33" i="2"/>
  <c r="L32" i="2"/>
  <c r="K32" i="2"/>
  <c r="L31" i="2"/>
  <c r="K31" i="2"/>
  <c r="L30" i="2"/>
  <c r="K30" i="2"/>
  <c r="L29" i="2"/>
  <c r="K29" i="2"/>
  <c r="L28" i="2"/>
  <c r="K28" i="2"/>
  <c r="L27" i="2"/>
  <c r="K27" i="2"/>
  <c r="L26" i="2"/>
  <c r="K26" i="2"/>
  <c r="L25" i="2"/>
  <c r="K25" i="2"/>
  <c r="L24" i="2"/>
  <c r="K24" i="2"/>
  <c r="L23" i="2"/>
  <c r="K23" i="2"/>
  <c r="L22" i="2"/>
  <c r="K22" i="2"/>
  <c r="L21" i="2"/>
  <c r="K21" i="2"/>
  <c r="L20" i="2"/>
  <c r="K20" i="2"/>
  <c r="L17" i="2"/>
  <c r="K17" i="2"/>
  <c r="L16" i="2"/>
  <c r="K16" i="2"/>
  <c r="L15" i="2"/>
  <c r="K15" i="2"/>
  <c r="L14" i="2"/>
  <c r="K14" i="2"/>
  <c r="L13" i="2"/>
  <c r="K13" i="2"/>
  <c r="L12" i="2"/>
  <c r="K12" i="2"/>
  <c r="P49" i="1"/>
  <c r="O49" i="1"/>
  <c r="N49" i="1"/>
  <c r="M49" i="1"/>
  <c r="L49" i="1"/>
  <c r="K49" i="1"/>
  <c r="P44" i="1"/>
  <c r="O44" i="1"/>
  <c r="N44" i="1"/>
  <c r="M44" i="1"/>
  <c r="L44" i="1"/>
  <c r="K44" i="1"/>
  <c r="P39" i="1"/>
  <c r="O39" i="1"/>
  <c r="N39" i="1"/>
  <c r="M39" i="1"/>
  <c r="L39" i="1"/>
  <c r="K39" i="1"/>
  <c r="P34" i="1"/>
  <c r="O34" i="1"/>
  <c r="N34" i="1"/>
  <c r="M34" i="1"/>
  <c r="L34" i="1"/>
  <c r="K34" i="1"/>
  <c r="AM58" i="50"/>
  <c r="BY58" i="50" s="1"/>
  <c r="AL58" i="50"/>
  <c r="BX58" i="50" s="1"/>
  <c r="AK58" i="50"/>
  <c r="BW58" i="50" s="1"/>
  <c r="AJ58" i="50"/>
  <c r="BV58" i="50" s="1"/>
  <c r="AI58" i="50"/>
  <c r="BU58" i="50" s="1"/>
  <c r="AH58" i="50"/>
  <c r="BT58" i="50" s="1"/>
  <c r="AM57" i="50"/>
  <c r="BY57" i="50" s="1"/>
  <c r="AL57" i="50"/>
  <c r="BX57" i="50" s="1"/>
  <c r="AK57" i="50"/>
  <c r="BW57" i="50" s="1"/>
  <c r="AJ57" i="50"/>
  <c r="BV57" i="50" s="1"/>
  <c r="AI57" i="50"/>
  <c r="BU57" i="50" s="1"/>
  <c r="AH57" i="50"/>
  <c r="BT57" i="50" s="1"/>
  <c r="AM54" i="50"/>
  <c r="BY54" i="50" s="1"/>
  <c r="AL54" i="50"/>
  <c r="BX54" i="50" s="1"/>
  <c r="AK54" i="50"/>
  <c r="BW54" i="50" s="1"/>
  <c r="AJ54" i="50"/>
  <c r="BV54" i="50" s="1"/>
  <c r="AI54" i="50"/>
  <c r="BU54" i="50" s="1"/>
  <c r="AH54" i="50"/>
  <c r="BT54" i="50" s="1"/>
  <c r="E25" i="2" l="1"/>
  <c r="H82" i="1"/>
  <c r="G82" i="1"/>
  <c r="G83" i="1"/>
  <c r="H83" i="1"/>
  <c r="K79" i="74"/>
  <c r="J79" i="74"/>
  <c r="I79" i="74"/>
  <c r="H79" i="74"/>
  <c r="K46" i="74"/>
  <c r="J46" i="74"/>
  <c r="I46" i="74"/>
  <c r="H46" i="74"/>
  <c r="K10" i="74"/>
  <c r="J10" i="74"/>
  <c r="I10" i="74"/>
  <c r="H10" i="74"/>
  <c r="AB20" i="78" l="1"/>
  <c r="AB20" i="83"/>
  <c r="H25" i="2"/>
  <c r="G25" i="2"/>
  <c r="AD20" i="83" s="1"/>
  <c r="AR12" i="60"/>
  <c r="AS12" i="60"/>
  <c r="AT12" i="60"/>
  <c r="AQ12" i="60"/>
  <c r="AP12" i="60"/>
  <c r="AM12" i="60"/>
  <c r="AM13" i="60"/>
  <c r="AT26" i="60"/>
  <c r="AS26" i="60"/>
  <c r="AR26" i="60"/>
  <c r="AQ26" i="60"/>
  <c r="AP26" i="60"/>
  <c r="AM26" i="60"/>
  <c r="AE20" i="78" l="1"/>
  <c r="AE20" i="83"/>
  <c r="AU12" i="60"/>
  <c r="AU26" i="60"/>
  <c r="S25" i="2"/>
  <c r="AD20" i="78"/>
  <c r="E90" i="1" l="1"/>
  <c r="U90" i="1" s="1"/>
  <c r="F93" i="1"/>
  <c r="F98" i="1"/>
  <c r="F103" i="1"/>
  <c r="E93" i="1"/>
  <c r="E98" i="1"/>
  <c r="E103" i="1"/>
  <c r="J43" i="2" l="1"/>
  <c r="AG40" i="83" s="1"/>
  <c r="I43" i="2"/>
  <c r="AF40" i="83" s="1"/>
  <c r="H43" i="2"/>
  <c r="AE40" i="83" s="1"/>
  <c r="G43" i="2"/>
  <c r="AD40" i="83" s="1"/>
  <c r="F43" i="2"/>
  <c r="AC40" i="83" s="1"/>
  <c r="E43" i="2"/>
  <c r="AG39" i="78"/>
  <c r="AF39" i="78"/>
  <c r="AE39" i="78"/>
  <c r="AD39" i="78"/>
  <c r="AC39" i="78"/>
  <c r="AB39" i="78"/>
  <c r="J36" i="2"/>
  <c r="AG31" i="83" s="1"/>
  <c r="I36" i="2"/>
  <c r="AF31" i="83" s="1"/>
  <c r="H36" i="2"/>
  <c r="AE31" i="83" s="1"/>
  <c r="G36" i="2"/>
  <c r="AD31" i="83" s="1"/>
  <c r="F36" i="2"/>
  <c r="AC31" i="83" s="1"/>
  <c r="E36" i="2"/>
  <c r="J35" i="2"/>
  <c r="I35" i="2"/>
  <c r="H35" i="2"/>
  <c r="G35" i="2"/>
  <c r="F35" i="2"/>
  <c r="E35" i="2"/>
  <c r="J33" i="2"/>
  <c r="I33" i="2"/>
  <c r="H33" i="2"/>
  <c r="G33" i="2"/>
  <c r="F33" i="2"/>
  <c r="E33" i="2"/>
  <c r="J32" i="2"/>
  <c r="I32" i="2"/>
  <c r="H32" i="2"/>
  <c r="G32" i="2"/>
  <c r="F32" i="2"/>
  <c r="E32" i="2"/>
  <c r="E31" i="2"/>
  <c r="J27" i="2"/>
  <c r="AG22" i="83" s="1"/>
  <c r="I27" i="2"/>
  <c r="AF22" i="83" s="1"/>
  <c r="H27" i="2"/>
  <c r="AE22" i="83" s="1"/>
  <c r="G27" i="2"/>
  <c r="AD22" i="83" s="1"/>
  <c r="F27" i="2"/>
  <c r="AC22" i="83" s="1"/>
  <c r="E27" i="2"/>
  <c r="J26" i="2"/>
  <c r="AG21" i="83" s="1"/>
  <c r="I26" i="2"/>
  <c r="AF21" i="83" s="1"/>
  <c r="H26" i="2"/>
  <c r="AE21" i="83" s="1"/>
  <c r="G26" i="2"/>
  <c r="AD21" i="83" s="1"/>
  <c r="F26" i="2"/>
  <c r="AC21" i="83" s="1"/>
  <c r="E26" i="2"/>
  <c r="J20" i="2"/>
  <c r="AG15" i="83" s="1"/>
  <c r="I20" i="2"/>
  <c r="AF15" i="83" s="1"/>
  <c r="H20" i="2"/>
  <c r="AE15" i="83" s="1"/>
  <c r="G20" i="2"/>
  <c r="AD15" i="83" s="1"/>
  <c r="F20" i="2"/>
  <c r="AC15" i="83" s="1"/>
  <c r="E20" i="2"/>
  <c r="J17" i="2"/>
  <c r="I17" i="2"/>
  <c r="H17" i="2"/>
  <c r="G17" i="2"/>
  <c r="F17" i="2"/>
  <c r="E17" i="2"/>
  <c r="J16" i="2"/>
  <c r="I16" i="2"/>
  <c r="H16" i="2"/>
  <c r="G16" i="2"/>
  <c r="F16" i="2"/>
  <c r="E16" i="2"/>
  <c r="J12" i="2"/>
  <c r="I12" i="2"/>
  <c r="H12" i="2"/>
  <c r="G12" i="2"/>
  <c r="F12" i="2"/>
  <c r="E12" i="2"/>
  <c r="D33" i="65"/>
  <c r="D112" i="74"/>
  <c r="K122" i="74"/>
  <c r="J122" i="74"/>
  <c r="I122" i="74"/>
  <c r="H122" i="74"/>
  <c r="G122" i="74"/>
  <c r="F125" i="74"/>
  <c r="E125" i="74"/>
  <c r="D125" i="74"/>
  <c r="F124" i="74"/>
  <c r="E124" i="74"/>
  <c r="D124" i="74"/>
  <c r="F121" i="74"/>
  <c r="E121" i="74"/>
  <c r="D121" i="74"/>
  <c r="D120" i="74"/>
  <c r="F120" i="74"/>
  <c r="E120" i="74"/>
  <c r="F119" i="74"/>
  <c r="E119" i="74"/>
  <c r="D119" i="74"/>
  <c r="F118" i="74"/>
  <c r="E118" i="74"/>
  <c r="D118" i="74"/>
  <c r="F117" i="74"/>
  <c r="E117" i="74"/>
  <c r="D117" i="74"/>
  <c r="F116" i="74"/>
  <c r="E116" i="74"/>
  <c r="F112" i="74"/>
  <c r="E112" i="74"/>
  <c r="D110" i="74"/>
  <c r="D116" i="74"/>
  <c r="F115" i="74"/>
  <c r="E115" i="74"/>
  <c r="D115" i="74"/>
  <c r="F114" i="74"/>
  <c r="E114" i="74"/>
  <c r="D114" i="74"/>
  <c r="F113" i="74"/>
  <c r="E113" i="74"/>
  <c r="D113" i="74"/>
  <c r="F111" i="74"/>
  <c r="E111" i="74"/>
  <c r="D111" i="74"/>
  <c r="F110" i="74"/>
  <c r="E110" i="74"/>
  <c r="AG12" i="78" l="1"/>
  <c r="AG12" i="83"/>
  <c r="AB30" i="78"/>
  <c r="AB30" i="83"/>
  <c r="AD7" i="78"/>
  <c r="AD7" i="83"/>
  <c r="AF11" i="78"/>
  <c r="AF11" i="83"/>
  <c r="AB15" i="78"/>
  <c r="AB15" i="83"/>
  <c r="AG27" i="78"/>
  <c r="AG27" i="83"/>
  <c r="AC30" i="78"/>
  <c r="AC30" i="83"/>
  <c r="AE11" i="78"/>
  <c r="AE11" i="83"/>
  <c r="AF7" i="78"/>
  <c r="AF7" i="83"/>
  <c r="AB12" i="78"/>
  <c r="AB12" i="83"/>
  <c r="AB26" i="78"/>
  <c r="AB26" i="83"/>
  <c r="AC28" i="78"/>
  <c r="AC28" i="83"/>
  <c r="AE30" i="78"/>
  <c r="AE30" i="83"/>
  <c r="AF27" i="78"/>
  <c r="AF27" i="83"/>
  <c r="AE7" i="78"/>
  <c r="AE7" i="83"/>
  <c r="AB40" i="78"/>
  <c r="AB40" i="83"/>
  <c r="AG7" i="78"/>
  <c r="AG7" i="83"/>
  <c r="AC12" i="78"/>
  <c r="AC12" i="83"/>
  <c r="AB27" i="78"/>
  <c r="AB27" i="83"/>
  <c r="AD28" i="78"/>
  <c r="AD28" i="83"/>
  <c r="AF30" i="78"/>
  <c r="AF30" i="83"/>
  <c r="AC7" i="78"/>
  <c r="AC7" i="83"/>
  <c r="AD30" i="78"/>
  <c r="AD30" i="83"/>
  <c r="AB11" i="78"/>
  <c r="AB11" i="83"/>
  <c r="AD12" i="78"/>
  <c r="AD12" i="83"/>
  <c r="AB22" i="78"/>
  <c r="AB22" i="83"/>
  <c r="AC27" i="78"/>
  <c r="AC27" i="83"/>
  <c r="AE28" i="78"/>
  <c r="AE28" i="83"/>
  <c r="AG30" i="78"/>
  <c r="AG30" i="83"/>
  <c r="AG11" i="78"/>
  <c r="AG11" i="83"/>
  <c r="AB28" i="78"/>
  <c r="AB28" i="83"/>
  <c r="C42" i="78"/>
  <c r="C42" i="83"/>
  <c r="AC11" i="78"/>
  <c r="AC11" i="83"/>
  <c r="AE12" i="78"/>
  <c r="AE12" i="83"/>
  <c r="AD27" i="78"/>
  <c r="AD27" i="83"/>
  <c r="AF28" i="78"/>
  <c r="AF28" i="83"/>
  <c r="AB31" i="78"/>
  <c r="AB31" i="83"/>
  <c r="AB7" i="78"/>
  <c r="AB7" i="83"/>
  <c r="AD11" i="78"/>
  <c r="AD11" i="83"/>
  <c r="AF12" i="78"/>
  <c r="AF12" i="83"/>
  <c r="AB21" i="78"/>
  <c r="AB21" i="83"/>
  <c r="AE27" i="78"/>
  <c r="AE27" i="83"/>
  <c r="AG28" i="78"/>
  <c r="AG28" i="83"/>
  <c r="AD40" i="78"/>
  <c r="R43" i="2"/>
  <c r="AE40" i="78"/>
  <c r="S43" i="2"/>
  <c r="AF40" i="78"/>
  <c r="T43" i="2"/>
  <c r="AC40" i="78"/>
  <c r="Q43" i="2"/>
  <c r="AG40" i="78"/>
  <c r="U43" i="2"/>
  <c r="AF15" i="78"/>
  <c r="T20" i="2"/>
  <c r="AD21" i="78"/>
  <c r="R26" i="2"/>
  <c r="AF22" i="78"/>
  <c r="T27" i="2"/>
  <c r="AE31" i="78"/>
  <c r="S36" i="2"/>
  <c r="J21" i="2"/>
  <c r="F21" i="2"/>
  <c r="AC15" i="78"/>
  <c r="Q20" i="2"/>
  <c r="AG15" i="78"/>
  <c r="V20" i="2"/>
  <c r="U20" i="2"/>
  <c r="AE21" i="78"/>
  <c r="S26" i="2"/>
  <c r="AC22" i="78"/>
  <c r="Q27" i="2"/>
  <c r="AG22" i="78"/>
  <c r="U27" i="2"/>
  <c r="V27" i="2"/>
  <c r="AF31" i="78"/>
  <c r="T36" i="2"/>
  <c r="AD15" i="78"/>
  <c r="R20" i="2"/>
  <c r="AF21" i="78"/>
  <c r="T26" i="2"/>
  <c r="AD22" i="78"/>
  <c r="R27" i="2"/>
  <c r="AC31" i="78"/>
  <c r="Q36" i="2"/>
  <c r="AG31" i="78"/>
  <c r="V36" i="2"/>
  <c r="U36" i="2"/>
  <c r="AE15" i="78"/>
  <c r="S20" i="2"/>
  <c r="AC21" i="78"/>
  <c r="Q26" i="2"/>
  <c r="AG21" i="78"/>
  <c r="V26" i="2"/>
  <c r="U26" i="2"/>
  <c r="AE22" i="78"/>
  <c r="S27" i="2"/>
  <c r="AD31" i="78"/>
  <c r="R36" i="2"/>
  <c r="E21" i="2"/>
  <c r="G21" i="2"/>
  <c r="I21" i="2"/>
  <c r="H21" i="2"/>
  <c r="AE16" i="83" s="1"/>
  <c r="V1" i="2"/>
  <c r="AB16" i="78" l="1"/>
  <c r="AB16" i="83"/>
  <c r="AC16" i="78"/>
  <c r="AC16" i="83"/>
  <c r="AD16" i="78"/>
  <c r="AD16" i="83"/>
  <c r="AF16" i="78"/>
  <c r="AF16" i="83"/>
  <c r="V21" i="2"/>
  <c r="AG16" i="83"/>
  <c r="AG16" i="78"/>
  <c r="U21" i="2"/>
  <c r="Q21" i="2"/>
  <c r="R21" i="2"/>
  <c r="AE16" i="78"/>
  <c r="S21" i="2"/>
  <c r="T21" i="2"/>
  <c r="I100" i="65"/>
  <c r="H100" i="65"/>
  <c r="G100" i="65"/>
  <c r="F100" i="65"/>
  <c r="E100" i="65"/>
  <c r="D100" i="65"/>
  <c r="C58" i="78"/>
  <c r="C57" i="78"/>
  <c r="C53" i="78"/>
  <c r="C52" i="78"/>
  <c r="F74" i="74"/>
  <c r="E74" i="74"/>
  <c r="D74" i="74"/>
  <c r="C71" i="78" l="1"/>
  <c r="C71" i="83"/>
  <c r="AC23" i="84"/>
  <c r="D71" i="83"/>
  <c r="AF23" i="84"/>
  <c r="G71" i="83"/>
  <c r="AD23" i="84"/>
  <c r="E71" i="83"/>
  <c r="H71" i="83"/>
  <c r="AG23" i="84"/>
  <c r="F71" i="83"/>
  <c r="AE23" i="84"/>
  <c r="AE23" i="79"/>
  <c r="F71" i="78"/>
  <c r="AF23" i="79"/>
  <c r="G71" i="78"/>
  <c r="AG23" i="79"/>
  <c r="H71" i="78"/>
  <c r="AC23" i="79"/>
  <c r="D71" i="78"/>
  <c r="AD23" i="79"/>
  <c r="E71" i="78"/>
  <c r="E14" i="21"/>
  <c r="AN50" i="85" s="1"/>
  <c r="E15" i="21"/>
  <c r="D12" i="21"/>
  <c r="AM48" i="85" s="1"/>
  <c r="G7" i="47"/>
  <c r="F7" i="47"/>
  <c r="E7" i="47"/>
  <c r="D7" i="47"/>
  <c r="C7" i="47"/>
  <c r="B7" i="47"/>
  <c r="G16" i="47"/>
  <c r="F16" i="47"/>
  <c r="E16" i="47"/>
  <c r="D16" i="47"/>
  <c r="C16" i="47"/>
  <c r="B16" i="47"/>
  <c r="B9" i="47"/>
  <c r="I9" i="47" s="1"/>
  <c r="AD4" i="85" s="1"/>
  <c r="H9" i="60"/>
  <c r="BE9" i="60" s="1"/>
  <c r="BK9" i="60" s="1"/>
  <c r="BQ9" i="60" s="1"/>
  <c r="CI9" i="60" s="1"/>
  <c r="BW9" i="60" s="1"/>
  <c r="CC9" i="60" s="1"/>
  <c r="G9" i="60"/>
  <c r="BD9" i="60" s="1"/>
  <c r="BJ9" i="60" s="1"/>
  <c r="BP9" i="60" s="1"/>
  <c r="CH9" i="60" s="1"/>
  <c r="BV9" i="60" s="1"/>
  <c r="CB9" i="60" s="1"/>
  <c r="F9" i="60"/>
  <c r="BC9" i="60" s="1"/>
  <c r="BI9" i="60" s="1"/>
  <c r="BO9" i="60" s="1"/>
  <c r="CG9" i="60" s="1"/>
  <c r="BU9" i="60" s="1"/>
  <c r="CA9" i="60" s="1"/>
  <c r="E9" i="60"/>
  <c r="BB9" i="60" s="1"/>
  <c r="BH9" i="60" s="1"/>
  <c r="BN9" i="60" s="1"/>
  <c r="CF9" i="60" s="1"/>
  <c r="BT9" i="60" s="1"/>
  <c r="BZ9" i="60" s="1"/>
  <c r="D9" i="60"/>
  <c r="BA9" i="60" s="1"/>
  <c r="BG9" i="60" s="1"/>
  <c r="BM9" i="60" s="1"/>
  <c r="CE9" i="60" s="1"/>
  <c r="BS9" i="60" s="1"/>
  <c r="BY9" i="60" s="1"/>
  <c r="C9" i="60"/>
  <c r="K7" i="74"/>
  <c r="J7" i="74"/>
  <c r="I7" i="74"/>
  <c r="F7" i="74" s="1"/>
  <c r="H7" i="74"/>
  <c r="E7" i="74" s="1"/>
  <c r="G7" i="74"/>
  <c r="D7" i="74" s="1"/>
  <c r="H72" i="39"/>
  <c r="G72" i="39"/>
  <c r="F72" i="39"/>
  <c r="E72" i="39"/>
  <c r="D72" i="39"/>
  <c r="C72" i="39"/>
  <c r="H56" i="39"/>
  <c r="G56" i="39"/>
  <c r="F56" i="39"/>
  <c r="E56" i="39"/>
  <c r="D56" i="39"/>
  <c r="C56" i="39"/>
  <c r="H25" i="39"/>
  <c r="G25" i="39"/>
  <c r="F25" i="39"/>
  <c r="E25" i="39"/>
  <c r="D25" i="39"/>
  <c r="C25" i="39"/>
  <c r="H9" i="39"/>
  <c r="G9" i="39"/>
  <c r="F9" i="39"/>
  <c r="E9" i="39"/>
  <c r="D9" i="39"/>
  <c r="C9" i="39"/>
  <c r="AW132" i="41"/>
  <c r="AV132" i="41"/>
  <c r="AU132" i="41"/>
  <c r="AT132" i="41"/>
  <c r="AS132" i="41"/>
  <c r="AW131" i="41"/>
  <c r="AV131" i="41"/>
  <c r="AU131" i="41"/>
  <c r="AT131" i="41"/>
  <c r="AW130" i="41"/>
  <c r="AV130" i="41"/>
  <c r="AU130" i="41"/>
  <c r="AT130" i="41"/>
  <c r="AS130" i="41"/>
  <c r="M9" i="41"/>
  <c r="L9" i="41"/>
  <c r="K9" i="41"/>
  <c r="J9" i="41"/>
  <c r="I9" i="41"/>
  <c r="AO20" i="84" s="1"/>
  <c r="H9" i="41"/>
  <c r="AR48" i="7"/>
  <c r="AR52" i="7" s="1"/>
  <c r="AR37" i="7"/>
  <c r="AR38" i="7"/>
  <c r="CO38" i="7" s="1"/>
  <c r="AX75" i="7"/>
  <c r="CU75" i="7" s="1"/>
  <c r="AW75" i="7"/>
  <c r="CT75" i="7" s="1"/>
  <c r="AV75" i="7"/>
  <c r="CS75" i="7" s="1"/>
  <c r="AU75" i="7"/>
  <c r="CR75" i="7" s="1"/>
  <c r="AT75" i="7"/>
  <c r="CQ75" i="7" s="1"/>
  <c r="AS75" i="7"/>
  <c r="CP75" i="7" s="1"/>
  <c r="AS70" i="7"/>
  <c r="CP70" i="7" s="1"/>
  <c r="AK70" i="7"/>
  <c r="CH70" i="7" s="1"/>
  <c r="AC70" i="7"/>
  <c r="BZ70" i="7" s="1"/>
  <c r="U70" i="7"/>
  <c r="BR70" i="7" s="1"/>
  <c r="M70" i="7"/>
  <c r="BJ70" i="7" s="1"/>
  <c r="E70" i="7"/>
  <c r="BB70" i="7" s="1"/>
  <c r="AX64" i="7"/>
  <c r="CU64" i="7" s="1"/>
  <c r="AW64" i="7"/>
  <c r="CT64" i="7" s="1"/>
  <c r="AV64" i="7"/>
  <c r="CS64" i="7" s="1"/>
  <c r="AU64" i="7"/>
  <c r="CR64" i="7" s="1"/>
  <c r="AT64" i="7"/>
  <c r="CQ64" i="7" s="1"/>
  <c r="AS64" i="7"/>
  <c r="CP64" i="7" s="1"/>
  <c r="AS59" i="7"/>
  <c r="CP59" i="7" s="1"/>
  <c r="AK59" i="7"/>
  <c r="CH59" i="7" s="1"/>
  <c r="AC59" i="7"/>
  <c r="BZ59" i="7" s="1"/>
  <c r="U59" i="7"/>
  <c r="BR59" i="7" s="1"/>
  <c r="M59" i="7"/>
  <c r="BJ59" i="7" s="1"/>
  <c r="E59" i="7"/>
  <c r="BB59" i="7" s="1"/>
  <c r="AJ54" i="7"/>
  <c r="AK48" i="7" s="1"/>
  <c r="AB54" i="7"/>
  <c r="AC48" i="7" s="1"/>
  <c r="AC54" i="7" s="1"/>
  <c r="AD48" i="7" s="1"/>
  <c r="AD54" i="7" s="1"/>
  <c r="AE48" i="7" s="1"/>
  <c r="AE54" i="7" s="1"/>
  <c r="AF48" i="7" s="1"/>
  <c r="T54" i="7"/>
  <c r="U48" i="7" s="1"/>
  <c r="L54" i="7"/>
  <c r="M48" i="7" s="1"/>
  <c r="M54" i="7" s="1"/>
  <c r="N48" i="7" s="1"/>
  <c r="D54" i="7"/>
  <c r="E48" i="7" s="1"/>
  <c r="AP53" i="7"/>
  <c r="AO53" i="7"/>
  <c r="AN53" i="7"/>
  <c r="AM53" i="7"/>
  <c r="AL53" i="7"/>
  <c r="AK53" i="7"/>
  <c r="AJ53" i="7"/>
  <c r="AH53" i="7"/>
  <c r="AG53" i="7"/>
  <c r="AF53" i="7"/>
  <c r="AE53" i="7"/>
  <c r="AD53" i="7"/>
  <c r="AC53" i="7"/>
  <c r="AB53" i="7"/>
  <c r="Z53" i="7"/>
  <c r="Y53" i="7"/>
  <c r="X53" i="7"/>
  <c r="W53" i="7"/>
  <c r="V53" i="7"/>
  <c r="U53" i="7"/>
  <c r="T53" i="7"/>
  <c r="R53" i="7"/>
  <c r="Q53" i="7"/>
  <c r="P53" i="7"/>
  <c r="O53" i="7"/>
  <c r="N53" i="7"/>
  <c r="M53" i="7"/>
  <c r="L53" i="7"/>
  <c r="J53" i="7"/>
  <c r="I53" i="7"/>
  <c r="H53" i="7"/>
  <c r="G53" i="7"/>
  <c r="F53" i="7"/>
  <c r="E53" i="7"/>
  <c r="D53" i="7"/>
  <c r="AJ52" i="7"/>
  <c r="AB52" i="7"/>
  <c r="T52" i="7"/>
  <c r="L52" i="7"/>
  <c r="D52" i="7"/>
  <c r="AX51" i="7"/>
  <c r="AW51" i="7"/>
  <c r="AV51" i="7"/>
  <c r="AU51" i="7"/>
  <c r="AT51" i="7"/>
  <c r="AS51" i="7"/>
  <c r="AR51" i="7"/>
  <c r="AX50" i="7"/>
  <c r="AW50" i="7"/>
  <c r="AV50" i="7"/>
  <c r="AU50" i="7"/>
  <c r="AT50" i="7"/>
  <c r="AS50" i="7"/>
  <c r="AR50" i="7"/>
  <c r="AX49" i="7"/>
  <c r="AW49" i="7"/>
  <c r="AV49" i="7"/>
  <c r="AU49" i="7"/>
  <c r="AT49" i="7"/>
  <c r="AS49" i="7"/>
  <c r="AR49" i="7"/>
  <c r="AJ43" i="7"/>
  <c r="AB43" i="7"/>
  <c r="T43" i="7"/>
  <c r="L43" i="7"/>
  <c r="D43" i="7"/>
  <c r="D41" i="7" s="1"/>
  <c r="AP42" i="7"/>
  <c r="CM42" i="7" s="1"/>
  <c r="AO42" i="7"/>
  <c r="CL42" i="7" s="1"/>
  <c r="AN42" i="7"/>
  <c r="CK42" i="7" s="1"/>
  <c r="AM42" i="7"/>
  <c r="CJ42" i="7" s="1"/>
  <c r="AL42" i="7"/>
  <c r="CI42" i="7" s="1"/>
  <c r="AK42" i="7"/>
  <c r="CH42" i="7" s="1"/>
  <c r="AJ42" i="7"/>
  <c r="CG42" i="7" s="1"/>
  <c r="AH42" i="7"/>
  <c r="CE42" i="7" s="1"/>
  <c r="AG42" i="7"/>
  <c r="CD42" i="7" s="1"/>
  <c r="AF42" i="7"/>
  <c r="CC42" i="7" s="1"/>
  <c r="AE42" i="7"/>
  <c r="CB42" i="7" s="1"/>
  <c r="AD42" i="7"/>
  <c r="CA42" i="7" s="1"/>
  <c r="AC42" i="7"/>
  <c r="BZ42" i="7" s="1"/>
  <c r="AB42" i="7"/>
  <c r="BY42" i="7" s="1"/>
  <c r="Z42" i="7"/>
  <c r="BW42" i="7" s="1"/>
  <c r="Y42" i="7"/>
  <c r="BV42" i="7" s="1"/>
  <c r="X42" i="7"/>
  <c r="BU42" i="7" s="1"/>
  <c r="W42" i="7"/>
  <c r="BT42" i="7" s="1"/>
  <c r="V42" i="7"/>
  <c r="BS42" i="7" s="1"/>
  <c r="U42" i="7"/>
  <c r="BR42" i="7" s="1"/>
  <c r="T42" i="7"/>
  <c r="BQ42" i="7" s="1"/>
  <c r="R42" i="7"/>
  <c r="BO42" i="7" s="1"/>
  <c r="Q42" i="7"/>
  <c r="BN42" i="7" s="1"/>
  <c r="P42" i="7"/>
  <c r="BM42" i="7" s="1"/>
  <c r="O42" i="7"/>
  <c r="BL42" i="7" s="1"/>
  <c r="N42" i="7"/>
  <c r="BK42" i="7" s="1"/>
  <c r="M42" i="7"/>
  <c r="BJ42" i="7" s="1"/>
  <c r="L42" i="7"/>
  <c r="BI42" i="7" s="1"/>
  <c r="J42" i="7"/>
  <c r="BG42" i="7" s="1"/>
  <c r="I42" i="7"/>
  <c r="BF42" i="7" s="1"/>
  <c r="H42" i="7"/>
  <c r="BE42" i="7" s="1"/>
  <c r="G42" i="7"/>
  <c r="BD42" i="7" s="1"/>
  <c r="F42" i="7"/>
  <c r="BC42" i="7" s="1"/>
  <c r="E42" i="7"/>
  <c r="BB42" i="7" s="1"/>
  <c r="D42" i="7"/>
  <c r="BA42" i="7" s="1"/>
  <c r="AJ41" i="7"/>
  <c r="AB41" i="7"/>
  <c r="T41" i="7"/>
  <c r="L41" i="7"/>
  <c r="AX40" i="7"/>
  <c r="CU40" i="7" s="1"/>
  <c r="AW40" i="7"/>
  <c r="CT40" i="7" s="1"/>
  <c r="AV40" i="7"/>
  <c r="CS40" i="7" s="1"/>
  <c r="AU40" i="7"/>
  <c r="CR40" i="7" s="1"/>
  <c r="AT40" i="7"/>
  <c r="CQ40" i="7" s="1"/>
  <c r="AS40" i="7"/>
  <c r="CP40" i="7" s="1"/>
  <c r="AR40" i="7"/>
  <c r="CO40" i="7" s="1"/>
  <c r="AX39" i="7"/>
  <c r="CU39" i="7" s="1"/>
  <c r="AW39" i="7"/>
  <c r="CT39" i="7" s="1"/>
  <c r="AV39" i="7"/>
  <c r="CS39" i="7" s="1"/>
  <c r="AU39" i="7"/>
  <c r="CR39" i="7" s="1"/>
  <c r="AT39" i="7"/>
  <c r="CQ39" i="7" s="1"/>
  <c r="AS39" i="7"/>
  <c r="CP39" i="7" s="1"/>
  <c r="AR39" i="7"/>
  <c r="CO39" i="7" s="1"/>
  <c r="AX38" i="7"/>
  <c r="CU38" i="7" s="1"/>
  <c r="AW38" i="7"/>
  <c r="CT38" i="7" s="1"/>
  <c r="AV38" i="7"/>
  <c r="CS38" i="7" s="1"/>
  <c r="AU38" i="7"/>
  <c r="CR38" i="7" s="1"/>
  <c r="AT38" i="7"/>
  <c r="CQ38" i="7" s="1"/>
  <c r="AS38" i="7"/>
  <c r="CP38" i="7" s="1"/>
  <c r="BG9" i="41" l="1"/>
  <c r="BP9" i="41" s="1"/>
  <c r="BX9" i="41" s="1"/>
  <c r="CF9" i="41" s="1"/>
  <c r="AS20" i="84"/>
  <c r="BB9" i="41"/>
  <c r="BK9" i="41" s="1"/>
  <c r="CA9" i="41" s="1"/>
  <c r="AN20" i="84"/>
  <c r="AN51" i="67"/>
  <c r="AN51" i="85"/>
  <c r="BD9" i="41"/>
  <c r="BM9" i="41" s="1"/>
  <c r="BU9" i="41" s="1"/>
  <c r="AP20" i="84"/>
  <c r="BE9" i="41"/>
  <c r="BN9" i="41" s="1"/>
  <c r="BV9" i="41" s="1"/>
  <c r="AQ20" i="84"/>
  <c r="BF9" i="41"/>
  <c r="BO9" i="41" s="1"/>
  <c r="BW9" i="41" s="1"/>
  <c r="AR20" i="84"/>
  <c r="AF5" i="67"/>
  <c r="K16" i="47"/>
  <c r="AF5" i="85" s="1"/>
  <c r="AG5" i="67"/>
  <c r="L16" i="47"/>
  <c r="AG5" i="85" s="1"/>
  <c r="AH5" i="67"/>
  <c r="M16" i="47"/>
  <c r="AH5" i="85" s="1"/>
  <c r="AE5" i="67"/>
  <c r="J16" i="47"/>
  <c r="AE5" i="85" s="1"/>
  <c r="AI5" i="67"/>
  <c r="N16" i="47"/>
  <c r="AI5" i="85" s="1"/>
  <c r="F8" i="7"/>
  <c r="F58" i="7" s="1"/>
  <c r="BC9" i="41"/>
  <c r="AK37" i="7"/>
  <c r="CG43" i="7"/>
  <c r="E37" i="7"/>
  <c r="BA43" i="7"/>
  <c r="CO37" i="7"/>
  <c r="M37" i="7"/>
  <c r="BJ37" i="7" s="1"/>
  <c r="BI43" i="7"/>
  <c r="AC37" i="7"/>
  <c r="BZ37" i="7" s="1"/>
  <c r="BY43" i="7"/>
  <c r="U37" i="7"/>
  <c r="U41" i="7" s="1"/>
  <c r="BQ43" i="7"/>
  <c r="AD5" i="67"/>
  <c r="I16" i="47"/>
  <c r="AD5" i="85" s="1"/>
  <c r="AD6" i="85" s="1"/>
  <c r="B52" i="60"/>
  <c r="AZ9" i="60"/>
  <c r="BF9" i="60" s="1"/>
  <c r="BL9" i="60" s="1"/>
  <c r="CD9" i="60" s="1"/>
  <c r="BR9" i="60" s="1"/>
  <c r="BX9" i="60" s="1"/>
  <c r="AO9" i="60"/>
  <c r="CL9" i="60" s="1"/>
  <c r="E8" i="7"/>
  <c r="AP20" i="79"/>
  <c r="G8" i="7"/>
  <c r="AQ20" i="79"/>
  <c r="H8" i="7"/>
  <c r="AN20" i="79"/>
  <c r="AR20" i="79"/>
  <c r="I8" i="7"/>
  <c r="I58" i="7" s="1"/>
  <c r="AS20" i="79"/>
  <c r="J8" i="7"/>
  <c r="L7" i="74"/>
  <c r="AO20" i="79"/>
  <c r="N8" i="41"/>
  <c r="E8" i="20"/>
  <c r="D9" i="20"/>
  <c r="AR43" i="7"/>
  <c r="F35" i="47"/>
  <c r="F14" i="21"/>
  <c r="AO50" i="85" s="1"/>
  <c r="AN50" i="67"/>
  <c r="B8" i="47"/>
  <c r="I8" i="47" s="1"/>
  <c r="AD4" i="67"/>
  <c r="AD6" i="67" s="1"/>
  <c r="AU53" i="7"/>
  <c r="D35" i="47"/>
  <c r="F15" i="21"/>
  <c r="AO51" i="85" s="1"/>
  <c r="E12" i="21"/>
  <c r="AN48" i="85" s="1"/>
  <c r="AM48" i="67"/>
  <c r="AS42" i="7"/>
  <c r="CP42" i="7" s="1"/>
  <c r="AW42" i="7"/>
  <c r="CT42" i="7" s="1"/>
  <c r="AT42" i="7"/>
  <c r="CQ42" i="7" s="1"/>
  <c r="AX42" i="7"/>
  <c r="CU42" i="7" s="1"/>
  <c r="AR53" i="7"/>
  <c r="AV53" i="7"/>
  <c r="AS53" i="7"/>
  <c r="AW53" i="7"/>
  <c r="AR42" i="7"/>
  <c r="CO42" i="7" s="1"/>
  <c r="AV42" i="7"/>
  <c r="CS42" i="7" s="1"/>
  <c r="AT53" i="7"/>
  <c r="AX53" i="7"/>
  <c r="AR54" i="7"/>
  <c r="AS48" i="7" s="1"/>
  <c r="AS52" i="7" s="1"/>
  <c r="B35" i="47"/>
  <c r="C35" i="47"/>
  <c r="G35" i="47"/>
  <c r="AC52" i="7"/>
  <c r="M52" i="7"/>
  <c r="E35" i="47"/>
  <c r="D13" i="21"/>
  <c r="AM49" i="85" s="1"/>
  <c r="AU42" i="7"/>
  <c r="CR42" i="7" s="1"/>
  <c r="AK41" i="7"/>
  <c r="M43" i="7"/>
  <c r="M41" i="7"/>
  <c r="AC43" i="7"/>
  <c r="AC41" i="7"/>
  <c r="AF54" i="7"/>
  <c r="AG48" i="7" s="1"/>
  <c r="AF52" i="7"/>
  <c r="N54" i="7"/>
  <c r="O48" i="7" s="1"/>
  <c r="N52" i="7"/>
  <c r="AK54" i="7"/>
  <c r="AL48" i="7" s="1"/>
  <c r="AK52" i="7"/>
  <c r="E54" i="7"/>
  <c r="F48" i="7" s="1"/>
  <c r="E52" i="7"/>
  <c r="U54" i="7"/>
  <c r="V48" i="7" s="1"/>
  <c r="U52" i="7"/>
  <c r="AE52" i="7"/>
  <c r="AD52" i="7"/>
  <c r="AR41" i="7" l="1"/>
  <c r="I36" i="7"/>
  <c r="N8" i="7"/>
  <c r="N36" i="7" s="1"/>
  <c r="CE9" i="41"/>
  <c r="CD9" i="41"/>
  <c r="CC9" i="41"/>
  <c r="BS9" i="41"/>
  <c r="G34" i="47"/>
  <c r="N35" i="47"/>
  <c r="C34" i="47"/>
  <c r="J35" i="47"/>
  <c r="J36" i="7"/>
  <c r="BG8" i="7"/>
  <c r="BO8" i="7" s="1"/>
  <c r="BW8" i="7" s="1"/>
  <c r="CE8" i="7" s="1"/>
  <c r="CM8" i="7" s="1"/>
  <c r="CU8" i="7" s="1"/>
  <c r="F36" i="7"/>
  <c r="BC8" i="7"/>
  <c r="BK8" i="7" s="1"/>
  <c r="BS8" i="7" s="1"/>
  <c r="CA8" i="7" s="1"/>
  <c r="CI8" i="7" s="1"/>
  <c r="CQ8" i="7" s="1"/>
  <c r="BL9" i="41"/>
  <c r="BH8" i="41"/>
  <c r="F34" i="47"/>
  <c r="M35" i="47"/>
  <c r="M8" i="7"/>
  <c r="U8" i="7" s="1"/>
  <c r="AC8" i="7" s="1"/>
  <c r="AK8" i="7" s="1"/>
  <c r="BB8" i="7"/>
  <c r="BJ8" i="7" s="1"/>
  <c r="BR8" i="7" s="1"/>
  <c r="BZ8" i="7" s="1"/>
  <c r="CH8" i="7" s="1"/>
  <c r="CP8" i="7" s="1"/>
  <c r="AD37" i="7"/>
  <c r="AD41" i="7" s="1"/>
  <c r="BZ43" i="7"/>
  <c r="B34" i="47"/>
  <c r="I35" i="47"/>
  <c r="AS37" i="7"/>
  <c r="CO43" i="7"/>
  <c r="Q8" i="7"/>
  <c r="Q58" i="7" s="1"/>
  <c r="BF8" i="7"/>
  <c r="BN8" i="7" s="1"/>
  <c r="BV8" i="7" s="1"/>
  <c r="CD8" i="7" s="1"/>
  <c r="CL8" i="7" s="1"/>
  <c r="CT8" i="7" s="1"/>
  <c r="U43" i="7"/>
  <c r="BR37" i="7"/>
  <c r="E43" i="7"/>
  <c r="E41" i="7" s="1"/>
  <c r="BB37" i="7"/>
  <c r="D34" i="47"/>
  <c r="K35" i="47"/>
  <c r="N37" i="7"/>
  <c r="N41" i="7" s="1"/>
  <c r="BJ43" i="7"/>
  <c r="E34" i="47"/>
  <c r="L35" i="47"/>
  <c r="G36" i="7"/>
  <c r="G47" i="7" s="1"/>
  <c r="BD8" i="7"/>
  <c r="BL8" i="7" s="1"/>
  <c r="BT8" i="7" s="1"/>
  <c r="CB8" i="7" s="1"/>
  <c r="CJ8" i="7" s="1"/>
  <c r="CR8" i="7" s="1"/>
  <c r="H36" i="7"/>
  <c r="H69" i="7" s="1"/>
  <c r="BE8" i="7"/>
  <c r="BM8" i="7" s="1"/>
  <c r="BU8" i="7" s="1"/>
  <c r="CC8" i="7" s="1"/>
  <c r="CK8" i="7" s="1"/>
  <c r="CS8" i="7" s="1"/>
  <c r="AK43" i="7"/>
  <c r="CH37" i="7"/>
  <c r="E36" i="7"/>
  <c r="E69" i="7" s="1"/>
  <c r="E58" i="7"/>
  <c r="J58" i="7"/>
  <c r="R8" i="7"/>
  <c r="Z8" i="7" s="1"/>
  <c r="Z36" i="7" s="1"/>
  <c r="O8" i="7"/>
  <c r="W8" i="7" s="1"/>
  <c r="G58" i="7"/>
  <c r="H58" i="7"/>
  <c r="P8" i="7"/>
  <c r="F8" i="20"/>
  <c r="E9" i="20"/>
  <c r="N58" i="7"/>
  <c r="G15" i="21"/>
  <c r="AP51" i="85" s="1"/>
  <c r="AO51" i="67"/>
  <c r="G14" i="21"/>
  <c r="AP50" i="85" s="1"/>
  <c r="AO50" i="67"/>
  <c r="D16" i="21"/>
  <c r="AM49" i="67"/>
  <c r="F12" i="21"/>
  <c r="AO48" i="85" s="1"/>
  <c r="AN48" i="67"/>
  <c r="AS54" i="7"/>
  <c r="AT48" i="7" s="1"/>
  <c r="AT54" i="7" s="1"/>
  <c r="AU48" i="7" s="1"/>
  <c r="E13" i="21"/>
  <c r="AN49" i="85" s="1"/>
  <c r="V8" i="7"/>
  <c r="AD8" i="7" s="1"/>
  <c r="V54" i="7"/>
  <c r="W48" i="7" s="1"/>
  <c r="V52" i="7"/>
  <c r="N69" i="7"/>
  <c r="N47" i="7"/>
  <c r="AL54" i="7"/>
  <c r="AM48" i="7" s="1"/>
  <c r="AL52" i="7"/>
  <c r="AG54" i="7"/>
  <c r="AH48" i="7" s="1"/>
  <c r="AG52" i="7"/>
  <c r="F54" i="7"/>
  <c r="G48" i="7" s="1"/>
  <c r="F52" i="7"/>
  <c r="O54" i="7"/>
  <c r="P48" i="7" s="1"/>
  <c r="O52" i="7"/>
  <c r="I69" i="7"/>
  <c r="I47" i="7"/>
  <c r="H47" i="7" l="1"/>
  <c r="G69" i="7"/>
  <c r="M58" i="7"/>
  <c r="E47" i="7"/>
  <c r="AD43" i="7"/>
  <c r="CA43" i="7" s="1"/>
  <c r="Y8" i="7"/>
  <c r="Y36" i="7" s="1"/>
  <c r="Q36" i="7"/>
  <c r="Q69" i="7" s="1"/>
  <c r="R58" i="7"/>
  <c r="N43" i="7"/>
  <c r="BK43" i="7" s="1"/>
  <c r="M36" i="7"/>
  <c r="M69" i="7" s="1"/>
  <c r="AM52" i="67"/>
  <c r="AM52" i="85"/>
  <c r="C59" i="49"/>
  <c r="I59" i="49" s="1"/>
  <c r="CA37" i="7"/>
  <c r="AL37" i="7"/>
  <c r="CH43" i="7"/>
  <c r="C31" i="49"/>
  <c r="I31" i="49" s="1"/>
  <c r="BK37" i="7"/>
  <c r="J47" i="7"/>
  <c r="J69" i="7"/>
  <c r="AG8" i="67"/>
  <c r="L34" i="47"/>
  <c r="AG8" i="85" s="1"/>
  <c r="V37" i="7"/>
  <c r="BR43" i="7"/>
  <c r="AF8" i="67"/>
  <c r="K34" i="47"/>
  <c r="AF8" i="85" s="1"/>
  <c r="CP37" i="7"/>
  <c r="AS43" i="7"/>
  <c r="AS41" i="7" s="1"/>
  <c r="AH8" i="67"/>
  <c r="M34" i="47"/>
  <c r="AH8" i="85" s="1"/>
  <c r="AE8" i="67"/>
  <c r="J34" i="47"/>
  <c r="AE8" i="85" s="1"/>
  <c r="F47" i="7"/>
  <c r="F69" i="7"/>
  <c r="F37" i="7"/>
  <c r="BB43" i="7"/>
  <c r="AD8" i="67"/>
  <c r="I34" i="47"/>
  <c r="AD8" i="85" s="1"/>
  <c r="CB9" i="41"/>
  <c r="BT9" i="41"/>
  <c r="AI8" i="67"/>
  <c r="N34" i="47"/>
  <c r="AI8" i="85" s="1"/>
  <c r="AH8" i="7"/>
  <c r="AP8" i="7" s="1"/>
  <c r="Z58" i="7"/>
  <c r="O36" i="7"/>
  <c r="O69" i="7" s="1"/>
  <c r="O58" i="7"/>
  <c r="R36" i="7"/>
  <c r="R69" i="7" s="1"/>
  <c r="P36" i="7"/>
  <c r="P58" i="7"/>
  <c r="X8" i="7"/>
  <c r="AT52" i="7"/>
  <c r="G8" i="20"/>
  <c r="F9" i="20"/>
  <c r="H15" i="21"/>
  <c r="AP51" i="67"/>
  <c r="H14" i="21"/>
  <c r="AP50" i="67"/>
  <c r="F13" i="21"/>
  <c r="AN49" i="67"/>
  <c r="G12" i="21"/>
  <c r="AP48" i="85" s="1"/>
  <c r="AO48" i="67"/>
  <c r="E16" i="21"/>
  <c r="V36" i="7"/>
  <c r="V69" i="7" s="1"/>
  <c r="V58" i="7"/>
  <c r="W58" i="7"/>
  <c r="W36" i="7"/>
  <c r="AE8" i="7"/>
  <c r="G54" i="7"/>
  <c r="H48" i="7" s="1"/>
  <c r="G52" i="7"/>
  <c r="AH54" i="7"/>
  <c r="AH52" i="7"/>
  <c r="Z69" i="7"/>
  <c r="Z47" i="7"/>
  <c r="P54" i="7"/>
  <c r="Q48" i="7" s="1"/>
  <c r="P52" i="7"/>
  <c r="AD36" i="7"/>
  <c r="AD58" i="7"/>
  <c r="AL8" i="7"/>
  <c r="AU54" i="7"/>
  <c r="AV48" i="7" s="1"/>
  <c r="AU52" i="7"/>
  <c r="U36" i="7"/>
  <c r="U58" i="7"/>
  <c r="AM54" i="7"/>
  <c r="AN48" i="7" s="1"/>
  <c r="AM52" i="7"/>
  <c r="W54" i="7"/>
  <c r="X48" i="7" s="1"/>
  <c r="W52" i="7"/>
  <c r="AE37" i="7" l="1"/>
  <c r="C60" i="49"/>
  <c r="I60" i="49" s="1"/>
  <c r="C32" i="49"/>
  <c r="Y58" i="7"/>
  <c r="AG8" i="7"/>
  <c r="Q47" i="7"/>
  <c r="M47" i="7"/>
  <c r="O37" i="7"/>
  <c r="O43" i="7" s="1"/>
  <c r="BL43" i="7" s="1"/>
  <c r="AQ50" i="67"/>
  <c r="AQ50" i="85"/>
  <c r="AN52" i="67"/>
  <c r="AN52" i="85"/>
  <c r="O47" i="7"/>
  <c r="AQ51" i="67"/>
  <c r="AQ51" i="85"/>
  <c r="AO49" i="67"/>
  <c r="AO49" i="85"/>
  <c r="AH58" i="7"/>
  <c r="AH36" i="7"/>
  <c r="AH69" i="7" s="1"/>
  <c r="AT37" i="7"/>
  <c r="CP43" i="7"/>
  <c r="C30" i="49"/>
  <c r="I30" i="49" s="1"/>
  <c r="AL15" i="85" s="1"/>
  <c r="CB37" i="7"/>
  <c r="C45" i="49"/>
  <c r="I45" i="49" s="1"/>
  <c r="BS37" i="7"/>
  <c r="V43" i="7"/>
  <c r="V41" i="7"/>
  <c r="C73" i="49"/>
  <c r="I73" i="49" s="1"/>
  <c r="CI37" i="7"/>
  <c r="AL41" i="7"/>
  <c r="AL43" i="7"/>
  <c r="C17" i="49"/>
  <c r="I17" i="49" s="1"/>
  <c r="BC37" i="7"/>
  <c r="F43" i="7"/>
  <c r="F41" i="7" s="1"/>
  <c r="R47" i="7"/>
  <c r="AF8" i="7"/>
  <c r="X58" i="7"/>
  <c r="X36" i="7"/>
  <c r="P47" i="7"/>
  <c r="P69" i="7"/>
  <c r="AE41" i="7"/>
  <c r="AE43" i="7"/>
  <c r="H8" i="20"/>
  <c r="H9" i="20" s="1"/>
  <c r="G9" i="20"/>
  <c r="V47" i="7"/>
  <c r="D32" i="49"/>
  <c r="F16" i="21"/>
  <c r="G13" i="21"/>
  <c r="H12" i="21"/>
  <c r="AP48" i="67"/>
  <c r="U69" i="7"/>
  <c r="U47" i="7"/>
  <c r="AD69" i="7"/>
  <c r="AD47" i="7"/>
  <c r="AP58" i="7"/>
  <c r="AX8" i="7"/>
  <c r="AP36" i="7"/>
  <c r="AV54" i="7"/>
  <c r="AW48" i="7" s="1"/>
  <c r="AV52" i="7"/>
  <c r="X54" i="7"/>
  <c r="Y48" i="7" s="1"/>
  <c r="X52" i="7"/>
  <c r="H54" i="7"/>
  <c r="I48" i="7" s="1"/>
  <c r="H52" i="7"/>
  <c r="AE58" i="7"/>
  <c r="AE36" i="7"/>
  <c r="AM8" i="7"/>
  <c r="Y69" i="7"/>
  <c r="Y47" i="7"/>
  <c r="AC36" i="7"/>
  <c r="AC58" i="7"/>
  <c r="AG58" i="7"/>
  <c r="AG36" i="7"/>
  <c r="AO8" i="7"/>
  <c r="AN54" i="7"/>
  <c r="AO48" i="7" s="1"/>
  <c r="AN52" i="7"/>
  <c r="AL58" i="7"/>
  <c r="AL36" i="7"/>
  <c r="AT8" i="7"/>
  <c r="Q54" i="7"/>
  <c r="R48" i="7" s="1"/>
  <c r="Q52" i="7"/>
  <c r="W69" i="7"/>
  <c r="W47" i="7"/>
  <c r="P37" i="7" l="1"/>
  <c r="I32" i="49"/>
  <c r="D31" i="49"/>
  <c r="J31" i="49" s="1"/>
  <c r="BL37" i="7"/>
  <c r="D59" i="49"/>
  <c r="J59" i="49" s="1"/>
  <c r="O41" i="7"/>
  <c r="AH47" i="7"/>
  <c r="AO52" i="67"/>
  <c r="AO52" i="85"/>
  <c r="AQ48" i="67"/>
  <c r="AQ48" i="85"/>
  <c r="AP49" i="67"/>
  <c r="AP49" i="85"/>
  <c r="CI43" i="7"/>
  <c r="AM37" i="7"/>
  <c r="C74" i="49"/>
  <c r="I74" i="49" s="1"/>
  <c r="BC43" i="7"/>
  <c r="C18" i="49"/>
  <c r="G37" i="7"/>
  <c r="BS43" i="7"/>
  <c r="W37" i="7"/>
  <c r="C46" i="49"/>
  <c r="I46" i="49" s="1"/>
  <c r="D30" i="49"/>
  <c r="J30" i="49" s="1"/>
  <c r="AM15" i="85" s="1"/>
  <c r="J32" i="49"/>
  <c r="D60" i="49"/>
  <c r="J60" i="49" s="1"/>
  <c r="CB43" i="7"/>
  <c r="E31" i="49"/>
  <c r="K31" i="49" s="1"/>
  <c r="BM37" i="7"/>
  <c r="CQ37" i="7"/>
  <c r="AT43" i="7"/>
  <c r="AT41" i="7" s="1"/>
  <c r="X69" i="7"/>
  <c r="X47" i="7"/>
  <c r="AF58" i="7"/>
  <c r="AN8" i="7"/>
  <c r="AF36" i="7"/>
  <c r="AF37" i="7"/>
  <c r="G16" i="21"/>
  <c r="H13" i="21"/>
  <c r="AO58" i="7"/>
  <c r="AO36" i="7"/>
  <c r="AW8" i="7"/>
  <c r="AC47" i="7"/>
  <c r="AC69" i="7"/>
  <c r="AM36" i="7"/>
  <c r="AM58" i="7"/>
  <c r="AU8" i="7"/>
  <c r="AP69" i="7"/>
  <c r="AP47" i="7"/>
  <c r="AO54" i="7"/>
  <c r="AP48" i="7" s="1"/>
  <c r="AO52" i="7"/>
  <c r="AG69" i="7"/>
  <c r="AG47" i="7"/>
  <c r="AE69" i="7"/>
  <c r="AE47" i="7"/>
  <c r="Y54" i="7"/>
  <c r="Z48" i="7" s="1"/>
  <c r="Y52" i="7"/>
  <c r="AX58" i="7"/>
  <c r="AX36" i="7"/>
  <c r="R54" i="7"/>
  <c r="R52" i="7"/>
  <c r="AK58" i="7"/>
  <c r="AK36" i="7"/>
  <c r="AS8" i="7"/>
  <c r="I54" i="7"/>
  <c r="J48" i="7" s="1"/>
  <c r="I52" i="7"/>
  <c r="AL69" i="7"/>
  <c r="AL47" i="7"/>
  <c r="AT36" i="7"/>
  <c r="AT58" i="7"/>
  <c r="AW54" i="7"/>
  <c r="AX48" i="7" s="1"/>
  <c r="AW52" i="7"/>
  <c r="P43" i="7" l="1"/>
  <c r="P41" i="7"/>
  <c r="AQ49" i="67"/>
  <c r="AQ49" i="85"/>
  <c r="AP52" i="67"/>
  <c r="AP52" i="85"/>
  <c r="D45" i="49"/>
  <c r="J45" i="49" s="1"/>
  <c r="BT37" i="7"/>
  <c r="W43" i="7"/>
  <c r="W41" i="7"/>
  <c r="Q37" i="7"/>
  <c r="BM43" i="7"/>
  <c r="D17" i="49"/>
  <c r="J17" i="49" s="1"/>
  <c r="BD37" i="7"/>
  <c r="G43" i="7"/>
  <c r="G41" i="7" s="1"/>
  <c r="C16" i="49"/>
  <c r="I16" i="49" s="1"/>
  <c r="AL7" i="85" s="1"/>
  <c r="I18" i="49"/>
  <c r="E59" i="49"/>
  <c r="K59" i="49" s="1"/>
  <c r="CC37" i="7"/>
  <c r="D73" i="49"/>
  <c r="J73" i="49" s="1"/>
  <c r="CJ37" i="7"/>
  <c r="AM43" i="7"/>
  <c r="AM41" i="7"/>
  <c r="AU37" i="7"/>
  <c r="CQ43" i="7"/>
  <c r="AF43" i="7"/>
  <c r="AF69" i="7"/>
  <c r="AF47" i="7"/>
  <c r="AV8" i="7"/>
  <c r="AN58" i="7"/>
  <c r="AN36" i="7"/>
  <c r="AF41" i="7"/>
  <c r="H16" i="21"/>
  <c r="AT69" i="7"/>
  <c r="AT47" i="7"/>
  <c r="AW58" i="7"/>
  <c r="AW36" i="7"/>
  <c r="AK69" i="7"/>
  <c r="AK47" i="7"/>
  <c r="AX69" i="7"/>
  <c r="AX47" i="7"/>
  <c r="AM69" i="7"/>
  <c r="AM47" i="7"/>
  <c r="AO69" i="7"/>
  <c r="AO47" i="7"/>
  <c r="AS58" i="7"/>
  <c r="AS36" i="7"/>
  <c r="AX54" i="7"/>
  <c r="AX52" i="7"/>
  <c r="J54" i="7"/>
  <c r="J52" i="7"/>
  <c r="Z54" i="7"/>
  <c r="Z52" i="7"/>
  <c r="AP54" i="7"/>
  <c r="AP52" i="7"/>
  <c r="AU58" i="7"/>
  <c r="AU36" i="7"/>
  <c r="E32" i="49" l="1"/>
  <c r="K32" i="49" s="1"/>
  <c r="Q41" i="7"/>
  <c r="Q43" i="7"/>
  <c r="E60" i="49"/>
  <c r="K60" i="49" s="1"/>
  <c r="AQ52" i="67"/>
  <c r="AQ52" i="85"/>
  <c r="AG37" i="7"/>
  <c r="CD37" i="7" s="1"/>
  <c r="CC43" i="7"/>
  <c r="F31" i="49"/>
  <c r="L31" i="49" s="1"/>
  <c r="BN37" i="7"/>
  <c r="F32" i="49"/>
  <c r="L32" i="49" s="1"/>
  <c r="BN43" i="7"/>
  <c r="CR37" i="7"/>
  <c r="AU43" i="7"/>
  <c r="AU41" i="7" s="1"/>
  <c r="D46" i="49"/>
  <c r="J46" i="49" s="1"/>
  <c r="BT43" i="7"/>
  <c r="X37" i="7"/>
  <c r="H37" i="7"/>
  <c r="BD43" i="7"/>
  <c r="D18" i="49"/>
  <c r="J18" i="49" s="1"/>
  <c r="AN37" i="7"/>
  <c r="CJ43" i="7"/>
  <c r="D74" i="49"/>
  <c r="J74" i="49" s="1"/>
  <c r="AN47" i="7"/>
  <c r="AN69" i="7"/>
  <c r="AV36" i="7"/>
  <c r="AV58" i="7"/>
  <c r="R37" i="7"/>
  <c r="AW69" i="7"/>
  <c r="AW47" i="7"/>
  <c r="AS69" i="7"/>
  <c r="AS47" i="7"/>
  <c r="AU47" i="7"/>
  <c r="AU69" i="7"/>
  <c r="AG43" i="7" l="1"/>
  <c r="CD43" i="7" s="1"/>
  <c r="AG41" i="7"/>
  <c r="F59" i="49"/>
  <c r="L59" i="49" s="1"/>
  <c r="BE37" i="7"/>
  <c r="E17" i="49"/>
  <c r="K17" i="49" s="1"/>
  <c r="H43" i="7"/>
  <c r="H41" i="7" s="1"/>
  <c r="AV37" i="7"/>
  <c r="CR43" i="7"/>
  <c r="E45" i="49"/>
  <c r="K45" i="49" s="1"/>
  <c r="BU37" i="7"/>
  <c r="X41" i="7"/>
  <c r="X43" i="7"/>
  <c r="E73" i="49"/>
  <c r="K73" i="49" s="1"/>
  <c r="CK37" i="7"/>
  <c r="AN43" i="7"/>
  <c r="AN41" i="7"/>
  <c r="G31" i="49"/>
  <c r="M31" i="49" s="1"/>
  <c r="BO37" i="7"/>
  <c r="AV47" i="7"/>
  <c r="AV69" i="7"/>
  <c r="R41" i="7"/>
  <c r="R43" i="7"/>
  <c r="AH37" i="7"/>
  <c r="CE37" i="7" s="1"/>
  <c r="F60" i="49"/>
  <c r="L60" i="49" s="1"/>
  <c r="H114" i="41"/>
  <c r="BB114" i="41" s="1"/>
  <c r="AP15" i="7"/>
  <c r="CM15" i="7" s="1"/>
  <c r="AO15" i="7"/>
  <c r="CL15" i="7" s="1"/>
  <c r="AN15" i="7"/>
  <c r="CK15" i="7" s="1"/>
  <c r="AM15" i="7"/>
  <c r="CJ15" i="7" s="1"/>
  <c r="AL15" i="7"/>
  <c r="CI15" i="7" s="1"/>
  <c r="AH15" i="7"/>
  <c r="CE15" i="7" s="1"/>
  <c r="AG15" i="7"/>
  <c r="CD15" i="7" s="1"/>
  <c r="AF15" i="7"/>
  <c r="CC15" i="7" s="1"/>
  <c r="AE15" i="7"/>
  <c r="CB15" i="7" s="1"/>
  <c r="AD15" i="7"/>
  <c r="CA15" i="7" s="1"/>
  <c r="E144" i="41"/>
  <c r="E143" i="41"/>
  <c r="E142" i="41"/>
  <c r="E141" i="41"/>
  <c r="E140" i="41"/>
  <c r="M123" i="41"/>
  <c r="BG123" i="41" s="1"/>
  <c r="L123" i="41"/>
  <c r="BF123" i="41" s="1"/>
  <c r="K123" i="41"/>
  <c r="BE123" i="41" s="1"/>
  <c r="J123" i="41"/>
  <c r="BD123" i="41" s="1"/>
  <c r="I123" i="41"/>
  <c r="BC123" i="41" s="1"/>
  <c r="H123" i="41"/>
  <c r="BB123" i="41" s="1"/>
  <c r="G123" i="41"/>
  <c r="BA123" i="41" s="1"/>
  <c r="M122" i="41"/>
  <c r="BG122" i="41" s="1"/>
  <c r="L122" i="41"/>
  <c r="BF122" i="41" s="1"/>
  <c r="K122" i="41"/>
  <c r="BE122" i="41" s="1"/>
  <c r="J122" i="41"/>
  <c r="BD122" i="41" s="1"/>
  <c r="I122" i="41"/>
  <c r="BC122" i="41" s="1"/>
  <c r="H122" i="41"/>
  <c r="BB122" i="41" s="1"/>
  <c r="G122" i="41"/>
  <c r="BA122" i="41" s="1"/>
  <c r="M121" i="41"/>
  <c r="BG121" i="41" s="1"/>
  <c r="L121" i="41"/>
  <c r="BF121" i="41" s="1"/>
  <c r="K121" i="41"/>
  <c r="BE121" i="41" s="1"/>
  <c r="J121" i="41"/>
  <c r="BD121" i="41" s="1"/>
  <c r="I121" i="41"/>
  <c r="BC121" i="41" s="1"/>
  <c r="H121" i="41"/>
  <c r="BB121" i="41" s="1"/>
  <c r="G121" i="41"/>
  <c r="BA121" i="41" s="1"/>
  <c r="M120" i="41"/>
  <c r="BG120" i="41" s="1"/>
  <c r="L120" i="41"/>
  <c r="BF120" i="41" s="1"/>
  <c r="K120" i="41"/>
  <c r="BE120" i="41" s="1"/>
  <c r="J120" i="41"/>
  <c r="BD120" i="41" s="1"/>
  <c r="I120" i="41"/>
  <c r="BC120" i="41" s="1"/>
  <c r="H120" i="41"/>
  <c r="BB120" i="41" s="1"/>
  <c r="G120" i="41"/>
  <c r="BA120" i="41" s="1"/>
  <c r="M119" i="41"/>
  <c r="BG119" i="41" s="1"/>
  <c r="L119" i="41"/>
  <c r="BF119" i="41" s="1"/>
  <c r="K119" i="41"/>
  <c r="BE119" i="41" s="1"/>
  <c r="J119" i="41"/>
  <c r="BD119" i="41" s="1"/>
  <c r="I119" i="41"/>
  <c r="BC119" i="41" s="1"/>
  <c r="H119" i="41"/>
  <c r="BB119" i="41" s="1"/>
  <c r="G119" i="41"/>
  <c r="BA119" i="41" s="1"/>
  <c r="M118" i="41"/>
  <c r="BG118" i="41" s="1"/>
  <c r="L118" i="41"/>
  <c r="BF118" i="41" s="1"/>
  <c r="K118" i="41"/>
  <c r="BE118" i="41" s="1"/>
  <c r="J118" i="41"/>
  <c r="BD118" i="41" s="1"/>
  <c r="I118" i="41"/>
  <c r="BC118" i="41" s="1"/>
  <c r="H118" i="41"/>
  <c r="BB118" i="41" s="1"/>
  <c r="G118" i="41"/>
  <c r="BA118" i="41" s="1"/>
  <c r="M117" i="41"/>
  <c r="BG117" i="41" s="1"/>
  <c r="L117" i="41"/>
  <c r="BF117" i="41" s="1"/>
  <c r="K117" i="41"/>
  <c r="BE117" i="41" s="1"/>
  <c r="J117" i="41"/>
  <c r="BD117" i="41" s="1"/>
  <c r="I117" i="41"/>
  <c r="BC117" i="41" s="1"/>
  <c r="H117" i="41"/>
  <c r="BB117" i="41" s="1"/>
  <c r="G117" i="41"/>
  <c r="BA117" i="41" s="1"/>
  <c r="M116" i="41"/>
  <c r="BG116" i="41" s="1"/>
  <c r="L116" i="41"/>
  <c r="BF116" i="41" s="1"/>
  <c r="K116" i="41"/>
  <c r="BE116" i="41" s="1"/>
  <c r="J116" i="41"/>
  <c r="BD116" i="41" s="1"/>
  <c r="I116" i="41"/>
  <c r="BC116" i="41" s="1"/>
  <c r="H116" i="41"/>
  <c r="BB116" i="41" s="1"/>
  <c r="G116" i="41"/>
  <c r="BA116" i="41" s="1"/>
  <c r="M115" i="41"/>
  <c r="BG115" i="41" s="1"/>
  <c r="L115" i="41"/>
  <c r="BF115" i="41" s="1"/>
  <c r="K115" i="41"/>
  <c r="BE115" i="41" s="1"/>
  <c r="J115" i="41"/>
  <c r="BD115" i="41" s="1"/>
  <c r="I115" i="41"/>
  <c r="BC115" i="41" s="1"/>
  <c r="H115" i="41"/>
  <c r="BB115" i="41" s="1"/>
  <c r="G115" i="41"/>
  <c r="BA115" i="41" s="1"/>
  <c r="M114" i="41"/>
  <c r="BG114" i="41" s="1"/>
  <c r="L114" i="41"/>
  <c r="BF114" i="41" s="1"/>
  <c r="K114" i="41"/>
  <c r="BE114" i="41" s="1"/>
  <c r="J114" i="41"/>
  <c r="BD114" i="41" s="1"/>
  <c r="I114" i="41"/>
  <c r="BC114" i="41" s="1"/>
  <c r="G114" i="41"/>
  <c r="BA114" i="41" s="1"/>
  <c r="M113" i="41"/>
  <c r="BG113" i="41" s="1"/>
  <c r="L113" i="41"/>
  <c r="BF113" i="41" s="1"/>
  <c r="K113" i="41"/>
  <c r="BE113" i="41" s="1"/>
  <c r="J113" i="41"/>
  <c r="BD113" i="41" s="1"/>
  <c r="I113" i="41"/>
  <c r="BC113" i="41" s="1"/>
  <c r="H113" i="41"/>
  <c r="BB113" i="41" s="1"/>
  <c r="G113" i="41"/>
  <c r="BA113" i="41" s="1"/>
  <c r="M112" i="41"/>
  <c r="BG112" i="41" s="1"/>
  <c r="L112" i="41"/>
  <c r="BF112" i="41" s="1"/>
  <c r="K112" i="41"/>
  <c r="BE112" i="41" s="1"/>
  <c r="J112" i="41"/>
  <c r="BD112" i="41" s="1"/>
  <c r="I112" i="41"/>
  <c r="BC112" i="41" s="1"/>
  <c r="H112" i="41"/>
  <c r="BB112" i="41" s="1"/>
  <c r="G112" i="41"/>
  <c r="BA112" i="41" s="1"/>
  <c r="M111" i="41"/>
  <c r="BG111" i="41" s="1"/>
  <c r="L111" i="41"/>
  <c r="BF111" i="41" s="1"/>
  <c r="K111" i="41"/>
  <c r="BE111" i="41" s="1"/>
  <c r="J111" i="41"/>
  <c r="BD111" i="41" s="1"/>
  <c r="I111" i="41"/>
  <c r="BC111" i="41" s="1"/>
  <c r="H111" i="41"/>
  <c r="BB111" i="41" s="1"/>
  <c r="G111" i="41"/>
  <c r="BA111" i="41" s="1"/>
  <c r="M110" i="41"/>
  <c r="BG110" i="41" s="1"/>
  <c r="L110" i="41"/>
  <c r="BF110" i="41" s="1"/>
  <c r="K110" i="41"/>
  <c r="BE110" i="41" s="1"/>
  <c r="J110" i="41"/>
  <c r="BD110" i="41" s="1"/>
  <c r="I110" i="41"/>
  <c r="BC110" i="41" s="1"/>
  <c r="H110" i="41"/>
  <c r="BB110" i="41" s="1"/>
  <c r="G110" i="41"/>
  <c r="BA110" i="41" s="1"/>
  <c r="M109" i="41"/>
  <c r="BG109" i="41" s="1"/>
  <c r="L109" i="41"/>
  <c r="BF109" i="41" s="1"/>
  <c r="K109" i="41"/>
  <c r="BE109" i="41" s="1"/>
  <c r="J109" i="41"/>
  <c r="BD109" i="41" s="1"/>
  <c r="I109" i="41"/>
  <c r="BC109" i="41" s="1"/>
  <c r="H109" i="41"/>
  <c r="BB109" i="41" s="1"/>
  <c r="G109" i="41"/>
  <c r="BA109" i="41" s="1"/>
  <c r="M108" i="41"/>
  <c r="BG108" i="41" s="1"/>
  <c r="L108" i="41"/>
  <c r="BF108" i="41" s="1"/>
  <c r="K108" i="41"/>
  <c r="BE108" i="41" s="1"/>
  <c r="J108" i="41"/>
  <c r="BD108" i="41" s="1"/>
  <c r="I108" i="41"/>
  <c r="BC108" i="41" s="1"/>
  <c r="H108" i="41"/>
  <c r="BB108" i="41" s="1"/>
  <c r="G108" i="41"/>
  <c r="BA108" i="41" s="1"/>
  <c r="M107" i="41"/>
  <c r="BG107" i="41" s="1"/>
  <c r="L107" i="41"/>
  <c r="BF107" i="41" s="1"/>
  <c r="K107" i="41"/>
  <c r="BE107" i="41" s="1"/>
  <c r="J107" i="41"/>
  <c r="BD107" i="41" s="1"/>
  <c r="I107" i="41"/>
  <c r="BC107" i="41" s="1"/>
  <c r="H107" i="41"/>
  <c r="BB107" i="41" s="1"/>
  <c r="G107" i="41"/>
  <c r="BA107" i="41" s="1"/>
  <c r="M106" i="41"/>
  <c r="BG106" i="41" s="1"/>
  <c r="L106" i="41"/>
  <c r="BF106" i="41" s="1"/>
  <c r="K106" i="41"/>
  <c r="BE106" i="41" s="1"/>
  <c r="J106" i="41"/>
  <c r="BD106" i="41" s="1"/>
  <c r="I106" i="41"/>
  <c r="BC106" i="41" s="1"/>
  <c r="H106" i="41"/>
  <c r="BB106" i="41" s="1"/>
  <c r="G106" i="41"/>
  <c r="BA106" i="41" s="1"/>
  <c r="M105" i="41"/>
  <c r="BG105" i="41" s="1"/>
  <c r="L105" i="41"/>
  <c r="BF105" i="41" s="1"/>
  <c r="K105" i="41"/>
  <c r="BE105" i="41" s="1"/>
  <c r="J105" i="41"/>
  <c r="BD105" i="41" s="1"/>
  <c r="I105" i="41"/>
  <c r="BC105" i="41" s="1"/>
  <c r="H105" i="41"/>
  <c r="BB105" i="41" s="1"/>
  <c r="G105" i="41"/>
  <c r="BA105" i="41" s="1"/>
  <c r="M104" i="41"/>
  <c r="BG104" i="41" s="1"/>
  <c r="L104" i="41"/>
  <c r="BF104" i="41" s="1"/>
  <c r="K104" i="41"/>
  <c r="BE104" i="41" s="1"/>
  <c r="J104" i="41"/>
  <c r="BD104" i="41" s="1"/>
  <c r="I104" i="41"/>
  <c r="BC104" i="41" s="1"/>
  <c r="H104" i="41"/>
  <c r="BB104" i="41" s="1"/>
  <c r="G104" i="41"/>
  <c r="BA104" i="41" s="1"/>
  <c r="M103" i="41"/>
  <c r="BG103" i="41" s="1"/>
  <c r="L103" i="41"/>
  <c r="BF103" i="41" s="1"/>
  <c r="K103" i="41"/>
  <c r="BE103" i="41" s="1"/>
  <c r="J103" i="41"/>
  <c r="BD103" i="41" s="1"/>
  <c r="I103" i="41"/>
  <c r="BC103" i="41" s="1"/>
  <c r="H103" i="41"/>
  <c r="BB103" i="41" s="1"/>
  <c r="G103" i="41"/>
  <c r="BA103" i="41" s="1"/>
  <c r="M102" i="41"/>
  <c r="BG102" i="41" s="1"/>
  <c r="L102" i="41"/>
  <c r="BF102" i="41" s="1"/>
  <c r="K102" i="41"/>
  <c r="BE102" i="41" s="1"/>
  <c r="J102" i="41"/>
  <c r="BD102" i="41" s="1"/>
  <c r="I102" i="41"/>
  <c r="BC102" i="41" s="1"/>
  <c r="H102" i="41"/>
  <c r="BB102" i="41" s="1"/>
  <c r="G102" i="41"/>
  <c r="BA102" i="41" s="1"/>
  <c r="M101" i="41"/>
  <c r="BG101" i="41" s="1"/>
  <c r="L101" i="41"/>
  <c r="BF101" i="41" s="1"/>
  <c r="K101" i="41"/>
  <c r="BE101" i="41" s="1"/>
  <c r="J101" i="41"/>
  <c r="BD101" i="41" s="1"/>
  <c r="I101" i="41"/>
  <c r="BC101" i="41" s="1"/>
  <c r="H101" i="41"/>
  <c r="BB101" i="41" s="1"/>
  <c r="G101" i="41"/>
  <c r="BA101" i="41" s="1"/>
  <c r="M100" i="41"/>
  <c r="BG100" i="41" s="1"/>
  <c r="L100" i="41"/>
  <c r="BF100" i="41" s="1"/>
  <c r="K100" i="41"/>
  <c r="BE100" i="41" s="1"/>
  <c r="J100" i="41"/>
  <c r="BD100" i="41" s="1"/>
  <c r="I100" i="41"/>
  <c r="BC100" i="41" s="1"/>
  <c r="H100" i="41"/>
  <c r="BB100" i="41" s="1"/>
  <c r="G100" i="41"/>
  <c r="BA100" i="41" s="1"/>
  <c r="AL99" i="41"/>
  <c r="AK99" i="41"/>
  <c r="AJ99" i="41"/>
  <c r="AI99" i="41"/>
  <c r="AH99" i="41"/>
  <c r="AG99" i="41"/>
  <c r="AF99" i="41"/>
  <c r="AD99" i="41"/>
  <c r="AC99" i="41"/>
  <c r="AB99" i="41"/>
  <c r="AA99" i="41"/>
  <c r="Z99" i="41"/>
  <c r="Y99" i="41"/>
  <c r="X99" i="41"/>
  <c r="V99" i="41"/>
  <c r="U99" i="41"/>
  <c r="T99" i="41"/>
  <c r="S99" i="41"/>
  <c r="R99" i="41"/>
  <c r="Q99" i="41"/>
  <c r="P99" i="41"/>
  <c r="M97" i="41"/>
  <c r="BG97" i="41" s="1"/>
  <c r="L97" i="41"/>
  <c r="BF97" i="41" s="1"/>
  <c r="K97" i="41"/>
  <c r="BE97" i="41" s="1"/>
  <c r="J97" i="41"/>
  <c r="BD97" i="41" s="1"/>
  <c r="I97" i="41"/>
  <c r="BC97" i="41" s="1"/>
  <c r="H97" i="41"/>
  <c r="BB97" i="41" s="1"/>
  <c r="G97" i="41"/>
  <c r="BA97" i="41" s="1"/>
  <c r="M96" i="41"/>
  <c r="BG96" i="41" s="1"/>
  <c r="L96" i="41"/>
  <c r="BF96" i="41" s="1"/>
  <c r="K96" i="41"/>
  <c r="BE96" i="41" s="1"/>
  <c r="J96" i="41"/>
  <c r="BD96" i="41" s="1"/>
  <c r="I96" i="41"/>
  <c r="BC96" i="41" s="1"/>
  <c r="H96" i="41"/>
  <c r="BB96" i="41" s="1"/>
  <c r="G96" i="41"/>
  <c r="BA96" i="41" s="1"/>
  <c r="M95" i="41"/>
  <c r="BG95" i="41" s="1"/>
  <c r="L95" i="41"/>
  <c r="BF95" i="41" s="1"/>
  <c r="K95" i="41"/>
  <c r="BE95" i="41" s="1"/>
  <c r="J95" i="41"/>
  <c r="BD95" i="41" s="1"/>
  <c r="I95" i="41"/>
  <c r="BC95" i="41" s="1"/>
  <c r="H95" i="41"/>
  <c r="BB95" i="41" s="1"/>
  <c r="G95" i="41"/>
  <c r="BA95" i="41" s="1"/>
  <c r="M94" i="41"/>
  <c r="BG94" i="41" s="1"/>
  <c r="L94" i="41"/>
  <c r="BF94" i="41" s="1"/>
  <c r="K94" i="41"/>
  <c r="BE94" i="41" s="1"/>
  <c r="J94" i="41"/>
  <c r="BD94" i="41" s="1"/>
  <c r="I94" i="41"/>
  <c r="BC94" i="41" s="1"/>
  <c r="H94" i="41"/>
  <c r="BB94" i="41" s="1"/>
  <c r="G94" i="41"/>
  <c r="BA94" i="41" s="1"/>
  <c r="M93" i="41"/>
  <c r="BG93" i="41" s="1"/>
  <c r="L93" i="41"/>
  <c r="BF93" i="41" s="1"/>
  <c r="K93" i="41"/>
  <c r="BE93" i="41" s="1"/>
  <c r="J93" i="41"/>
  <c r="BD93" i="41" s="1"/>
  <c r="I93" i="41"/>
  <c r="BC93" i="41" s="1"/>
  <c r="H93" i="41"/>
  <c r="BB93" i="41" s="1"/>
  <c r="G93" i="41"/>
  <c r="BA93" i="41" s="1"/>
  <c r="M92" i="41"/>
  <c r="BG92" i="41" s="1"/>
  <c r="L92" i="41"/>
  <c r="BF92" i="41" s="1"/>
  <c r="K92" i="41"/>
  <c r="BE92" i="41" s="1"/>
  <c r="J92" i="41"/>
  <c r="BD92" i="41" s="1"/>
  <c r="I92" i="41"/>
  <c r="BC92" i="41" s="1"/>
  <c r="H92" i="41"/>
  <c r="BB92" i="41" s="1"/>
  <c r="G92" i="41"/>
  <c r="BA92" i="41" s="1"/>
  <c r="M91" i="41"/>
  <c r="BG91" i="41" s="1"/>
  <c r="L91" i="41"/>
  <c r="BF91" i="41" s="1"/>
  <c r="K91" i="41"/>
  <c r="BE91" i="41" s="1"/>
  <c r="J91" i="41"/>
  <c r="BD91" i="41" s="1"/>
  <c r="I91" i="41"/>
  <c r="BC91" i="41" s="1"/>
  <c r="H91" i="41"/>
  <c r="BB91" i="41" s="1"/>
  <c r="G91" i="41"/>
  <c r="BA91" i="41" s="1"/>
  <c r="M90" i="41"/>
  <c r="BG90" i="41" s="1"/>
  <c r="L90" i="41"/>
  <c r="BF90" i="41" s="1"/>
  <c r="K90" i="41"/>
  <c r="BE90" i="41" s="1"/>
  <c r="J90" i="41"/>
  <c r="BD90" i="41" s="1"/>
  <c r="I90" i="41"/>
  <c r="BC90" i="41" s="1"/>
  <c r="H90" i="41"/>
  <c r="BB90" i="41" s="1"/>
  <c r="G90" i="41"/>
  <c r="BA90" i="41" s="1"/>
  <c r="M89" i="41"/>
  <c r="BG89" i="41" s="1"/>
  <c r="L89" i="41"/>
  <c r="BF89" i="41" s="1"/>
  <c r="K89" i="41"/>
  <c r="BE89" i="41" s="1"/>
  <c r="J89" i="41"/>
  <c r="BD89" i="41" s="1"/>
  <c r="I89" i="41"/>
  <c r="BC89" i="41" s="1"/>
  <c r="H89" i="41"/>
  <c r="BB89" i="41" s="1"/>
  <c r="G89" i="41"/>
  <c r="BA89" i="41" s="1"/>
  <c r="M88" i="41"/>
  <c r="BG88" i="41" s="1"/>
  <c r="L88" i="41"/>
  <c r="BF88" i="41" s="1"/>
  <c r="K88" i="41"/>
  <c r="BE88" i="41" s="1"/>
  <c r="J88" i="41"/>
  <c r="BD88" i="41" s="1"/>
  <c r="I88" i="41"/>
  <c r="BC88" i="41" s="1"/>
  <c r="H88" i="41"/>
  <c r="BB88" i="41" s="1"/>
  <c r="G88" i="41"/>
  <c r="BA88" i="41" s="1"/>
  <c r="M87" i="41"/>
  <c r="BG87" i="41" s="1"/>
  <c r="L87" i="41"/>
  <c r="BF87" i="41" s="1"/>
  <c r="K87" i="41"/>
  <c r="BE87" i="41" s="1"/>
  <c r="J87" i="41"/>
  <c r="BD87" i="41" s="1"/>
  <c r="I87" i="41"/>
  <c r="BC87" i="41" s="1"/>
  <c r="H87" i="41"/>
  <c r="BB87" i="41" s="1"/>
  <c r="G87" i="41"/>
  <c r="BA87" i="41" s="1"/>
  <c r="M86" i="41"/>
  <c r="BG86" i="41" s="1"/>
  <c r="L86" i="41"/>
  <c r="BF86" i="41" s="1"/>
  <c r="K86" i="41"/>
  <c r="BE86" i="41" s="1"/>
  <c r="J86" i="41"/>
  <c r="BD86" i="41" s="1"/>
  <c r="I86" i="41"/>
  <c r="BC86" i="41" s="1"/>
  <c r="H86" i="41"/>
  <c r="BB86" i="41" s="1"/>
  <c r="G86" i="41"/>
  <c r="BA86" i="41" s="1"/>
  <c r="M85" i="41"/>
  <c r="BG85" i="41" s="1"/>
  <c r="L85" i="41"/>
  <c r="BF85" i="41" s="1"/>
  <c r="K85" i="41"/>
  <c r="BE85" i="41" s="1"/>
  <c r="J85" i="41"/>
  <c r="BD85" i="41" s="1"/>
  <c r="I85" i="41"/>
  <c r="BC85" i="41" s="1"/>
  <c r="H85" i="41"/>
  <c r="BB85" i="41" s="1"/>
  <c r="G85" i="41"/>
  <c r="BA85" i="41" s="1"/>
  <c r="M84" i="41"/>
  <c r="BG84" i="41" s="1"/>
  <c r="L84" i="41"/>
  <c r="BF84" i="41" s="1"/>
  <c r="K84" i="41"/>
  <c r="BE84" i="41" s="1"/>
  <c r="J84" i="41"/>
  <c r="BD84" i="41" s="1"/>
  <c r="I84" i="41"/>
  <c r="BC84" i="41" s="1"/>
  <c r="H84" i="41"/>
  <c r="BB84" i="41" s="1"/>
  <c r="G84" i="41"/>
  <c r="BA84" i="41" s="1"/>
  <c r="M83" i="41"/>
  <c r="BG83" i="41" s="1"/>
  <c r="L83" i="41"/>
  <c r="BF83" i="41" s="1"/>
  <c r="K83" i="41"/>
  <c r="BE83" i="41" s="1"/>
  <c r="J83" i="41"/>
  <c r="BD83" i="41" s="1"/>
  <c r="I83" i="41"/>
  <c r="BC83" i="41" s="1"/>
  <c r="H83" i="41"/>
  <c r="BB83" i="41" s="1"/>
  <c r="G83" i="41"/>
  <c r="BA83" i="41" s="1"/>
  <c r="M82" i="41"/>
  <c r="BG82" i="41" s="1"/>
  <c r="L82" i="41"/>
  <c r="BF82" i="41" s="1"/>
  <c r="K82" i="41"/>
  <c r="BE82" i="41" s="1"/>
  <c r="J82" i="41"/>
  <c r="BD82" i="41" s="1"/>
  <c r="I82" i="41"/>
  <c r="BC82" i="41" s="1"/>
  <c r="H82" i="41"/>
  <c r="BB82" i="41" s="1"/>
  <c r="G82" i="41"/>
  <c r="BA82" i="41" s="1"/>
  <c r="M81" i="41"/>
  <c r="BG81" i="41" s="1"/>
  <c r="L81" i="41"/>
  <c r="BF81" i="41" s="1"/>
  <c r="K81" i="41"/>
  <c r="BE81" i="41" s="1"/>
  <c r="J81" i="41"/>
  <c r="BD81" i="41" s="1"/>
  <c r="I81" i="41"/>
  <c r="BC81" i="41" s="1"/>
  <c r="H81" i="41"/>
  <c r="BB81" i="41" s="1"/>
  <c r="G81" i="41"/>
  <c r="BA81" i="41" s="1"/>
  <c r="M80" i="41"/>
  <c r="BG80" i="41" s="1"/>
  <c r="L80" i="41"/>
  <c r="BF80" i="41" s="1"/>
  <c r="K80" i="41"/>
  <c r="BE80" i="41" s="1"/>
  <c r="J80" i="41"/>
  <c r="BD80" i="41" s="1"/>
  <c r="I80" i="41"/>
  <c r="BC80" i="41" s="1"/>
  <c r="H80" i="41"/>
  <c r="BB80" i="41" s="1"/>
  <c r="G80" i="41"/>
  <c r="BA80" i="41" s="1"/>
  <c r="M79" i="41"/>
  <c r="BG79" i="41" s="1"/>
  <c r="L79" i="41"/>
  <c r="BF79" i="41" s="1"/>
  <c r="K79" i="41"/>
  <c r="BE79" i="41" s="1"/>
  <c r="J79" i="41"/>
  <c r="BD79" i="41" s="1"/>
  <c r="I79" i="41"/>
  <c r="BC79" i="41" s="1"/>
  <c r="H79" i="41"/>
  <c r="BB79" i="41" s="1"/>
  <c r="G79" i="41"/>
  <c r="BA79" i="41" s="1"/>
  <c r="M78" i="41"/>
  <c r="BG78" i="41" s="1"/>
  <c r="L78" i="41"/>
  <c r="BF78" i="41" s="1"/>
  <c r="K78" i="41"/>
  <c r="BE78" i="41" s="1"/>
  <c r="J78" i="41"/>
  <c r="BD78" i="41" s="1"/>
  <c r="I78" i="41"/>
  <c r="BC78" i="41" s="1"/>
  <c r="H78" i="41"/>
  <c r="BB78" i="41" s="1"/>
  <c r="G78" i="41"/>
  <c r="BA78" i="41" s="1"/>
  <c r="M77" i="41"/>
  <c r="BG77" i="41" s="1"/>
  <c r="L77" i="41"/>
  <c r="BF77" i="41" s="1"/>
  <c r="K77" i="41"/>
  <c r="BE77" i="41" s="1"/>
  <c r="J77" i="41"/>
  <c r="BD77" i="41" s="1"/>
  <c r="I77" i="41"/>
  <c r="BC77" i="41" s="1"/>
  <c r="H77" i="41"/>
  <c r="BB77" i="41" s="1"/>
  <c r="G77" i="41"/>
  <c r="BA77" i="41" s="1"/>
  <c r="M76" i="41"/>
  <c r="BG76" i="41" s="1"/>
  <c r="L76" i="41"/>
  <c r="BF76" i="41" s="1"/>
  <c r="K76" i="41"/>
  <c r="BE76" i="41" s="1"/>
  <c r="J76" i="41"/>
  <c r="BD76" i="41" s="1"/>
  <c r="I76" i="41"/>
  <c r="BC76" i="41" s="1"/>
  <c r="H76" i="41"/>
  <c r="BB76" i="41" s="1"/>
  <c r="G76" i="41"/>
  <c r="BA76" i="41" s="1"/>
  <c r="M75" i="41"/>
  <c r="BG75" i="41" s="1"/>
  <c r="L75" i="41"/>
  <c r="BF75" i="41" s="1"/>
  <c r="K75" i="41"/>
  <c r="BE75" i="41" s="1"/>
  <c r="J75" i="41"/>
  <c r="BD75" i="41" s="1"/>
  <c r="I75" i="41"/>
  <c r="BC75" i="41" s="1"/>
  <c r="H75" i="41"/>
  <c r="BB75" i="41" s="1"/>
  <c r="G75" i="41"/>
  <c r="BA75" i="41" s="1"/>
  <c r="M74" i="41"/>
  <c r="BG74" i="41" s="1"/>
  <c r="L74" i="41"/>
  <c r="BF74" i="41" s="1"/>
  <c r="K74" i="41"/>
  <c r="BE74" i="41" s="1"/>
  <c r="J74" i="41"/>
  <c r="BD74" i="41" s="1"/>
  <c r="I74" i="41"/>
  <c r="BC74" i="41" s="1"/>
  <c r="H74" i="41"/>
  <c r="BB74" i="41" s="1"/>
  <c r="G74" i="41"/>
  <c r="BA74" i="41" s="1"/>
  <c r="AL73" i="41"/>
  <c r="AK73" i="41"/>
  <c r="AJ73" i="41"/>
  <c r="AI73" i="41"/>
  <c r="AH73" i="41"/>
  <c r="AG73" i="41"/>
  <c r="AF73" i="41"/>
  <c r="AD73" i="41"/>
  <c r="AC73" i="41"/>
  <c r="AB73" i="41"/>
  <c r="AA73" i="41"/>
  <c r="Z73" i="41"/>
  <c r="Y73" i="41"/>
  <c r="X73" i="41"/>
  <c r="V73" i="41"/>
  <c r="U73" i="41"/>
  <c r="T73" i="41"/>
  <c r="S73" i="41"/>
  <c r="R73" i="41"/>
  <c r="Q73" i="41"/>
  <c r="P73" i="41"/>
  <c r="M71" i="41"/>
  <c r="BG71" i="41" s="1"/>
  <c r="L71" i="41"/>
  <c r="BF71" i="41" s="1"/>
  <c r="K71" i="41"/>
  <c r="BE71" i="41" s="1"/>
  <c r="J71" i="41"/>
  <c r="BD71" i="41" s="1"/>
  <c r="I71" i="41"/>
  <c r="BC71" i="41" s="1"/>
  <c r="H71" i="41"/>
  <c r="BB71" i="41" s="1"/>
  <c r="G71" i="41"/>
  <c r="BA71" i="41" s="1"/>
  <c r="M70" i="41"/>
  <c r="L70" i="41"/>
  <c r="K70" i="41"/>
  <c r="J70" i="41"/>
  <c r="I70" i="41"/>
  <c r="H70" i="41"/>
  <c r="BB70" i="41" s="1"/>
  <c r="G70" i="41"/>
  <c r="BA70" i="41" s="1"/>
  <c r="M69" i="41"/>
  <c r="L69" i="41"/>
  <c r="K69" i="41"/>
  <c r="J69" i="41"/>
  <c r="I69" i="41"/>
  <c r="H69" i="41"/>
  <c r="BB69" i="41" s="1"/>
  <c r="G69" i="41"/>
  <c r="BA69" i="41" s="1"/>
  <c r="M68" i="41"/>
  <c r="BG68" i="41" s="1"/>
  <c r="L68" i="41"/>
  <c r="BF68" i="41" s="1"/>
  <c r="M77" i="85" s="1"/>
  <c r="K68" i="41"/>
  <c r="BE68" i="41" s="1"/>
  <c r="J68" i="41"/>
  <c r="BD68" i="41" s="1"/>
  <c r="I68" i="41"/>
  <c r="BC68" i="41" s="1"/>
  <c r="H68" i="41"/>
  <c r="BB68" i="41" s="1"/>
  <c r="G68" i="41"/>
  <c r="BA68" i="41" s="1"/>
  <c r="M67" i="41"/>
  <c r="BG67" i="41" s="1"/>
  <c r="L67" i="41"/>
  <c r="BF67" i="41" s="1"/>
  <c r="K67" i="41"/>
  <c r="BE67" i="41" s="1"/>
  <c r="J67" i="41"/>
  <c r="BD67" i="41" s="1"/>
  <c r="I67" i="41"/>
  <c r="BC67" i="41" s="1"/>
  <c r="H67" i="41"/>
  <c r="BB67" i="41" s="1"/>
  <c r="G67" i="41"/>
  <c r="BA67" i="41" s="1"/>
  <c r="M66" i="41"/>
  <c r="BG66" i="41" s="1"/>
  <c r="L66" i="41"/>
  <c r="BF66" i="41" s="1"/>
  <c r="K66" i="41"/>
  <c r="BE66" i="41" s="1"/>
  <c r="J66" i="41"/>
  <c r="BD66" i="41" s="1"/>
  <c r="I66" i="41"/>
  <c r="BC66" i="41" s="1"/>
  <c r="H66" i="41"/>
  <c r="BB66" i="41" s="1"/>
  <c r="G66" i="41"/>
  <c r="BA66" i="41" s="1"/>
  <c r="M65" i="41"/>
  <c r="BG65" i="41" s="1"/>
  <c r="L65" i="41"/>
  <c r="BF65" i="41" s="1"/>
  <c r="K65" i="41"/>
  <c r="BE65" i="41" s="1"/>
  <c r="J65" i="41"/>
  <c r="BD65" i="41" s="1"/>
  <c r="I65" i="41"/>
  <c r="BC65" i="41" s="1"/>
  <c r="H65" i="41"/>
  <c r="BB65" i="41" s="1"/>
  <c r="G65" i="41"/>
  <c r="BA65" i="41" s="1"/>
  <c r="M64" i="41"/>
  <c r="BG64" i="41" s="1"/>
  <c r="L64" i="41"/>
  <c r="BF64" i="41" s="1"/>
  <c r="K64" i="41"/>
  <c r="BE64" i="41" s="1"/>
  <c r="J64" i="41"/>
  <c r="BD64" i="41" s="1"/>
  <c r="I64" i="41"/>
  <c r="BC64" i="41" s="1"/>
  <c r="H64" i="41"/>
  <c r="BB64" i="41" s="1"/>
  <c r="G64" i="41"/>
  <c r="BA64" i="41" s="1"/>
  <c r="M63" i="41"/>
  <c r="BG63" i="41" s="1"/>
  <c r="L63" i="41"/>
  <c r="BF63" i="41" s="1"/>
  <c r="K63" i="41"/>
  <c r="BE63" i="41" s="1"/>
  <c r="J63" i="41"/>
  <c r="BD63" i="41" s="1"/>
  <c r="I63" i="41"/>
  <c r="BC63" i="41" s="1"/>
  <c r="H63" i="41"/>
  <c r="BB63" i="41" s="1"/>
  <c r="G63" i="41"/>
  <c r="BA63" i="41" s="1"/>
  <c r="M62" i="41"/>
  <c r="BG62" i="41" s="1"/>
  <c r="L62" i="41"/>
  <c r="BF62" i="41" s="1"/>
  <c r="K62" i="41"/>
  <c r="BE62" i="41" s="1"/>
  <c r="J62" i="41"/>
  <c r="BD62" i="41" s="1"/>
  <c r="I62" i="41"/>
  <c r="BC62" i="41" s="1"/>
  <c r="H62" i="41"/>
  <c r="BB62" i="41" s="1"/>
  <c r="G62" i="41"/>
  <c r="BA62" i="41" s="1"/>
  <c r="M61" i="41"/>
  <c r="BG61" i="41" s="1"/>
  <c r="L61" i="41"/>
  <c r="BF61" i="41" s="1"/>
  <c r="K61" i="41"/>
  <c r="BE61" i="41" s="1"/>
  <c r="J61" i="41"/>
  <c r="BD61" i="41" s="1"/>
  <c r="I61" i="41"/>
  <c r="BC61" i="41" s="1"/>
  <c r="H61" i="41"/>
  <c r="BB61" i="41" s="1"/>
  <c r="G61" i="41"/>
  <c r="BA61" i="41" s="1"/>
  <c r="AL60" i="41"/>
  <c r="CF60" i="41" s="1"/>
  <c r="AK60" i="41"/>
  <c r="CE60" i="41" s="1"/>
  <c r="AJ60" i="41"/>
  <c r="CD60" i="41" s="1"/>
  <c r="AI60" i="41"/>
  <c r="CC60" i="41" s="1"/>
  <c r="AH60" i="41"/>
  <c r="CB60" i="41" s="1"/>
  <c r="AG60" i="41"/>
  <c r="CA60" i="41" s="1"/>
  <c r="AF60" i="41"/>
  <c r="BZ60" i="41" s="1"/>
  <c r="AD60" i="41"/>
  <c r="BX60" i="41" s="1"/>
  <c r="AC60" i="41"/>
  <c r="BW60" i="41" s="1"/>
  <c r="AB60" i="41"/>
  <c r="BV60" i="41" s="1"/>
  <c r="AA60" i="41"/>
  <c r="BU60" i="41" s="1"/>
  <c r="Z60" i="41"/>
  <c r="BT60" i="41" s="1"/>
  <c r="Y60" i="41"/>
  <c r="BS60" i="41" s="1"/>
  <c r="X60" i="41"/>
  <c r="BR60" i="41" s="1"/>
  <c r="V60" i="41"/>
  <c r="BP60" i="41" s="1"/>
  <c r="U60" i="41"/>
  <c r="BO60" i="41" s="1"/>
  <c r="T60" i="41"/>
  <c r="BN60" i="41" s="1"/>
  <c r="S60" i="41"/>
  <c r="BM60" i="41" s="1"/>
  <c r="R60" i="41"/>
  <c r="BL60" i="41" s="1"/>
  <c r="Q60" i="41"/>
  <c r="BK60" i="41" s="1"/>
  <c r="P60" i="41"/>
  <c r="BJ60" i="41" s="1"/>
  <c r="M59" i="41"/>
  <c r="BG59" i="41" s="1"/>
  <c r="L59" i="41"/>
  <c r="BF59" i="41" s="1"/>
  <c r="K59" i="41"/>
  <c r="BE59" i="41" s="1"/>
  <c r="J59" i="41"/>
  <c r="BD59" i="41" s="1"/>
  <c r="I59" i="41"/>
  <c r="BC59" i="41" s="1"/>
  <c r="H59" i="41"/>
  <c r="BB59" i="41" s="1"/>
  <c r="G59" i="41"/>
  <c r="BA59" i="41" s="1"/>
  <c r="M58" i="41"/>
  <c r="BG58" i="41" s="1"/>
  <c r="L58" i="41"/>
  <c r="BF58" i="41" s="1"/>
  <c r="K58" i="41"/>
  <c r="BE58" i="41" s="1"/>
  <c r="J58" i="41"/>
  <c r="BD58" i="41" s="1"/>
  <c r="I58" i="41"/>
  <c r="BC58" i="41" s="1"/>
  <c r="H58" i="41"/>
  <c r="BB58" i="41" s="1"/>
  <c r="G58" i="41"/>
  <c r="BA58" i="41" s="1"/>
  <c r="AL57" i="41"/>
  <c r="CF57" i="41" s="1"/>
  <c r="AK57" i="41"/>
  <c r="CE57" i="41" s="1"/>
  <c r="AJ57" i="41"/>
  <c r="CD57" i="41" s="1"/>
  <c r="AI57" i="41"/>
  <c r="CC57" i="41" s="1"/>
  <c r="AH57" i="41"/>
  <c r="CB57" i="41" s="1"/>
  <c r="AG57" i="41"/>
  <c r="CA57" i="41" s="1"/>
  <c r="AF57" i="41"/>
  <c r="BZ57" i="41" s="1"/>
  <c r="AD57" i="41"/>
  <c r="BX57" i="41" s="1"/>
  <c r="AC57" i="41"/>
  <c r="BW57" i="41" s="1"/>
  <c r="AB57" i="41"/>
  <c r="BV57" i="41" s="1"/>
  <c r="AA57" i="41"/>
  <c r="BU57" i="41" s="1"/>
  <c r="Z57" i="41"/>
  <c r="BT57" i="41" s="1"/>
  <c r="Y57" i="41"/>
  <c r="BS57" i="41" s="1"/>
  <c r="X57" i="41"/>
  <c r="BR57" i="41" s="1"/>
  <c r="V57" i="41"/>
  <c r="BP57" i="41" s="1"/>
  <c r="U57" i="41"/>
  <c r="BO57" i="41" s="1"/>
  <c r="T57" i="41"/>
  <c r="BN57" i="41" s="1"/>
  <c r="S57" i="41"/>
  <c r="BM57" i="41" s="1"/>
  <c r="R57" i="41"/>
  <c r="BL57" i="41" s="1"/>
  <c r="Q57" i="41"/>
  <c r="BK57" i="41" s="1"/>
  <c r="P57" i="41"/>
  <c r="BJ57" i="41" s="1"/>
  <c r="M56" i="41"/>
  <c r="BG56" i="41" s="1"/>
  <c r="L56" i="41"/>
  <c r="BF56" i="41" s="1"/>
  <c r="K56" i="41"/>
  <c r="BE56" i="41" s="1"/>
  <c r="J56" i="41"/>
  <c r="BD56" i="41" s="1"/>
  <c r="I56" i="41"/>
  <c r="BC56" i="41" s="1"/>
  <c r="H56" i="41"/>
  <c r="BB56" i="41" s="1"/>
  <c r="G56" i="41"/>
  <c r="BA56" i="41" s="1"/>
  <c r="M55" i="41"/>
  <c r="BG55" i="41" s="1"/>
  <c r="L55" i="41"/>
  <c r="BF55" i="41" s="1"/>
  <c r="K55" i="41"/>
  <c r="BE55" i="41" s="1"/>
  <c r="J55" i="41"/>
  <c r="BD55" i="41" s="1"/>
  <c r="I55" i="41"/>
  <c r="BC55" i="41" s="1"/>
  <c r="H55" i="41"/>
  <c r="BB55" i="41" s="1"/>
  <c r="G55" i="41"/>
  <c r="BA55" i="41" s="1"/>
  <c r="M54" i="41"/>
  <c r="BG54" i="41" s="1"/>
  <c r="L54" i="41"/>
  <c r="BF54" i="41" s="1"/>
  <c r="K54" i="41"/>
  <c r="BE54" i="41" s="1"/>
  <c r="J54" i="41"/>
  <c r="BD54" i="41" s="1"/>
  <c r="I54" i="41"/>
  <c r="BC54" i="41" s="1"/>
  <c r="H54" i="41"/>
  <c r="BB54" i="41" s="1"/>
  <c r="G54" i="41"/>
  <c r="BA54" i="41" s="1"/>
  <c r="M53" i="41"/>
  <c r="BG53" i="41" s="1"/>
  <c r="L53" i="41"/>
  <c r="BF53" i="41" s="1"/>
  <c r="K53" i="41"/>
  <c r="BE53" i="41" s="1"/>
  <c r="J53" i="41"/>
  <c r="BD53" i="41" s="1"/>
  <c r="I53" i="41"/>
  <c r="BC53" i="41" s="1"/>
  <c r="H53" i="41"/>
  <c r="BB53" i="41" s="1"/>
  <c r="G53" i="41"/>
  <c r="BA53" i="41" s="1"/>
  <c r="M52" i="41"/>
  <c r="BG52" i="41" s="1"/>
  <c r="L52" i="41"/>
  <c r="BF52" i="41" s="1"/>
  <c r="K52" i="41"/>
  <c r="BE52" i="41" s="1"/>
  <c r="J52" i="41"/>
  <c r="BD52" i="41" s="1"/>
  <c r="I52" i="41"/>
  <c r="BC52" i="41" s="1"/>
  <c r="H52" i="41"/>
  <c r="BB52" i="41" s="1"/>
  <c r="G52" i="41"/>
  <c r="BA52" i="41" s="1"/>
  <c r="M51" i="41"/>
  <c r="L51" i="41"/>
  <c r="K51" i="41"/>
  <c r="J51" i="41"/>
  <c r="BD51" i="41" s="1"/>
  <c r="K70" i="85" s="1"/>
  <c r="I51" i="41"/>
  <c r="H51" i="41"/>
  <c r="BB51" i="41" s="1"/>
  <c r="G51" i="41"/>
  <c r="BA51" i="41" s="1"/>
  <c r="M50" i="41"/>
  <c r="BG50" i="41" s="1"/>
  <c r="L50" i="41"/>
  <c r="BF50" i="41" s="1"/>
  <c r="K50" i="41"/>
  <c r="BE50" i="41" s="1"/>
  <c r="J50" i="41"/>
  <c r="BD50" i="41" s="1"/>
  <c r="I50" i="41"/>
  <c r="BC50" i="41" s="1"/>
  <c r="H50" i="41"/>
  <c r="BB50" i="41" s="1"/>
  <c r="G50" i="41"/>
  <c r="BA50" i="41" s="1"/>
  <c r="M49" i="41"/>
  <c r="L49" i="41"/>
  <c r="K49" i="41"/>
  <c r="J49" i="41"/>
  <c r="I49" i="41"/>
  <c r="H49" i="41"/>
  <c r="BB49" i="41" s="1"/>
  <c r="G49" i="41"/>
  <c r="BA49" i="41" s="1"/>
  <c r="AL48" i="41"/>
  <c r="CF48" i="41" s="1"/>
  <c r="AK48" i="41"/>
  <c r="CE48" i="41" s="1"/>
  <c r="AJ48" i="41"/>
  <c r="CD48" i="41" s="1"/>
  <c r="AI48" i="41"/>
  <c r="CC48" i="41" s="1"/>
  <c r="AH48" i="41"/>
  <c r="CB48" i="41" s="1"/>
  <c r="AG48" i="41"/>
  <c r="CA48" i="41" s="1"/>
  <c r="AF48" i="41"/>
  <c r="BZ48" i="41" s="1"/>
  <c r="AD48" i="41"/>
  <c r="BX48" i="41" s="1"/>
  <c r="AC48" i="41"/>
  <c r="BW48" i="41" s="1"/>
  <c r="AB48" i="41"/>
  <c r="BV48" i="41" s="1"/>
  <c r="AA48" i="41"/>
  <c r="BU48" i="41" s="1"/>
  <c r="Z48" i="41"/>
  <c r="BT48" i="41" s="1"/>
  <c r="Y48" i="41"/>
  <c r="BS48" i="41" s="1"/>
  <c r="X48" i="41"/>
  <c r="BR48" i="41" s="1"/>
  <c r="V48" i="41"/>
  <c r="BP48" i="41" s="1"/>
  <c r="U48" i="41"/>
  <c r="BO48" i="41" s="1"/>
  <c r="T48" i="41"/>
  <c r="BN48" i="41" s="1"/>
  <c r="S48" i="41"/>
  <c r="BM48" i="41" s="1"/>
  <c r="R48" i="41"/>
  <c r="BL48" i="41" s="1"/>
  <c r="Q48" i="41"/>
  <c r="BK48" i="41" s="1"/>
  <c r="P48" i="41"/>
  <c r="BJ48" i="41" s="1"/>
  <c r="M47" i="41"/>
  <c r="BG47" i="41" s="1"/>
  <c r="L47" i="41"/>
  <c r="BF47" i="41" s="1"/>
  <c r="K47" i="41"/>
  <c r="BE47" i="41" s="1"/>
  <c r="J47" i="41"/>
  <c r="BD47" i="41" s="1"/>
  <c r="I47" i="41"/>
  <c r="BC47" i="41" s="1"/>
  <c r="H47" i="41"/>
  <c r="BB47" i="41" s="1"/>
  <c r="G47" i="41"/>
  <c r="BA47" i="41" s="1"/>
  <c r="M46" i="41"/>
  <c r="BG46" i="41" s="1"/>
  <c r="L46" i="41"/>
  <c r="BF46" i="41" s="1"/>
  <c r="K46" i="41"/>
  <c r="BE46" i="41" s="1"/>
  <c r="J46" i="41"/>
  <c r="BD46" i="41" s="1"/>
  <c r="I46" i="41"/>
  <c r="BC46" i="41" s="1"/>
  <c r="H46" i="41"/>
  <c r="BB46" i="41" s="1"/>
  <c r="G46" i="41"/>
  <c r="BA46" i="41" s="1"/>
  <c r="M45" i="41"/>
  <c r="BG45" i="41" s="1"/>
  <c r="L45" i="41"/>
  <c r="BF45" i="41" s="1"/>
  <c r="K45" i="41"/>
  <c r="BE45" i="41" s="1"/>
  <c r="J45" i="41"/>
  <c r="BD45" i="41" s="1"/>
  <c r="I45" i="41"/>
  <c r="BC45" i="41" s="1"/>
  <c r="H45" i="41"/>
  <c r="BB45" i="41" s="1"/>
  <c r="G45" i="41"/>
  <c r="BA45" i="41" s="1"/>
  <c r="M44" i="41"/>
  <c r="BG44" i="41" s="1"/>
  <c r="L44" i="41"/>
  <c r="BF44" i="41" s="1"/>
  <c r="K44" i="41"/>
  <c r="BE44" i="41" s="1"/>
  <c r="J44" i="41"/>
  <c r="BD44" i="41" s="1"/>
  <c r="I44" i="41"/>
  <c r="BC44" i="41" s="1"/>
  <c r="H44" i="41"/>
  <c r="BB44" i="41" s="1"/>
  <c r="G44" i="41"/>
  <c r="BA44" i="41" s="1"/>
  <c r="M43" i="41"/>
  <c r="BG43" i="41" s="1"/>
  <c r="L43" i="41"/>
  <c r="BF43" i="41" s="1"/>
  <c r="K43" i="41"/>
  <c r="BE43" i="41" s="1"/>
  <c r="J43" i="41"/>
  <c r="BD43" i="41" s="1"/>
  <c r="I43" i="41"/>
  <c r="BC43" i="41" s="1"/>
  <c r="H43" i="41"/>
  <c r="BB43" i="41" s="1"/>
  <c r="G43" i="41"/>
  <c r="BA43" i="41" s="1"/>
  <c r="M42" i="41"/>
  <c r="L42" i="41"/>
  <c r="K42" i="41"/>
  <c r="J42" i="41"/>
  <c r="I42" i="41"/>
  <c r="H42" i="41"/>
  <c r="BB42" i="41" s="1"/>
  <c r="G42" i="41"/>
  <c r="BA42" i="41" s="1"/>
  <c r="M41" i="41"/>
  <c r="L41" i="41"/>
  <c r="K41" i="41"/>
  <c r="J41" i="41"/>
  <c r="I41" i="41"/>
  <c r="H41" i="41"/>
  <c r="BB41" i="41" s="1"/>
  <c r="G41" i="41"/>
  <c r="BA41" i="41" s="1"/>
  <c r="M40" i="41"/>
  <c r="L40" i="41"/>
  <c r="K40" i="41"/>
  <c r="J40" i="41"/>
  <c r="BD40" i="41" s="1"/>
  <c r="K63" i="85" s="1"/>
  <c r="I40" i="41"/>
  <c r="H40" i="41"/>
  <c r="BB40" i="41" s="1"/>
  <c r="G40" i="41"/>
  <c r="BA40" i="41" s="1"/>
  <c r="M39" i="41"/>
  <c r="BG39" i="41" s="1"/>
  <c r="N62" i="85" s="1"/>
  <c r="L39" i="41"/>
  <c r="K39" i="41"/>
  <c r="J39" i="41"/>
  <c r="I39" i="41"/>
  <c r="BC39" i="41" s="1"/>
  <c r="J62" i="85" s="1"/>
  <c r="H39" i="41"/>
  <c r="BB39" i="41" s="1"/>
  <c r="G39" i="41"/>
  <c r="BA39" i="41" s="1"/>
  <c r="M38" i="41"/>
  <c r="L38" i="41"/>
  <c r="BF38" i="41" s="1"/>
  <c r="M61" i="85" s="1"/>
  <c r="K38" i="41"/>
  <c r="J38" i="41"/>
  <c r="I38" i="41"/>
  <c r="H38" i="41"/>
  <c r="BB38" i="41" s="1"/>
  <c r="G38" i="41"/>
  <c r="BA38" i="41" s="1"/>
  <c r="M37" i="41"/>
  <c r="L37" i="41"/>
  <c r="K37" i="41"/>
  <c r="BE37" i="41" s="1"/>
  <c r="L60" i="85" s="1"/>
  <c r="J37" i="41"/>
  <c r="I37" i="41"/>
  <c r="H37" i="41"/>
  <c r="BB37" i="41" s="1"/>
  <c r="G37" i="41"/>
  <c r="BA37" i="41" s="1"/>
  <c r="AL36" i="41"/>
  <c r="CF36" i="41" s="1"/>
  <c r="AK36" i="41"/>
  <c r="CE36" i="41" s="1"/>
  <c r="AJ36" i="41"/>
  <c r="CD36" i="41" s="1"/>
  <c r="AI36" i="41"/>
  <c r="CC36" i="41" s="1"/>
  <c r="AH36" i="41"/>
  <c r="CB36" i="41" s="1"/>
  <c r="AG36" i="41"/>
  <c r="CA36" i="41" s="1"/>
  <c r="AF36" i="41"/>
  <c r="BZ36" i="41" s="1"/>
  <c r="AD36" i="41"/>
  <c r="BX36" i="41" s="1"/>
  <c r="AC36" i="41"/>
  <c r="BW36" i="41" s="1"/>
  <c r="AB36" i="41"/>
  <c r="BV36" i="41" s="1"/>
  <c r="AA36" i="41"/>
  <c r="BU36" i="41" s="1"/>
  <c r="Z36" i="41"/>
  <c r="BT36" i="41" s="1"/>
  <c r="Y36" i="41"/>
  <c r="BS36" i="41" s="1"/>
  <c r="X36" i="41"/>
  <c r="BR36" i="41" s="1"/>
  <c r="V36" i="41"/>
  <c r="BP36" i="41" s="1"/>
  <c r="U36" i="41"/>
  <c r="BO36" i="41" s="1"/>
  <c r="T36" i="41"/>
  <c r="BN36" i="41" s="1"/>
  <c r="S36" i="41"/>
  <c r="BM36" i="41" s="1"/>
  <c r="R36" i="41"/>
  <c r="BL36" i="41" s="1"/>
  <c r="Q36" i="41"/>
  <c r="BK36" i="41" s="1"/>
  <c r="P36" i="41"/>
  <c r="BJ36" i="41" s="1"/>
  <c r="M35" i="41"/>
  <c r="BG35" i="41" s="1"/>
  <c r="L35" i="41"/>
  <c r="BF35" i="41" s="1"/>
  <c r="K35" i="41"/>
  <c r="BE35" i="41" s="1"/>
  <c r="J35" i="41"/>
  <c r="BD35" i="41" s="1"/>
  <c r="I35" i="41"/>
  <c r="BC35" i="41" s="1"/>
  <c r="H35" i="41"/>
  <c r="BB35" i="41" s="1"/>
  <c r="G35" i="41"/>
  <c r="BA35" i="41" s="1"/>
  <c r="M34" i="41"/>
  <c r="BG34" i="41" s="1"/>
  <c r="L34" i="41"/>
  <c r="BF34" i="41" s="1"/>
  <c r="K34" i="41"/>
  <c r="BE34" i="41" s="1"/>
  <c r="J34" i="41"/>
  <c r="BD34" i="41" s="1"/>
  <c r="I34" i="41"/>
  <c r="BC34" i="41" s="1"/>
  <c r="H34" i="41"/>
  <c r="BB34" i="41" s="1"/>
  <c r="G34" i="41"/>
  <c r="BA34" i="41" s="1"/>
  <c r="M33" i="41"/>
  <c r="BG33" i="41" s="1"/>
  <c r="L33" i="41"/>
  <c r="BF33" i="41" s="1"/>
  <c r="K33" i="41"/>
  <c r="BE33" i="41" s="1"/>
  <c r="J33" i="41"/>
  <c r="BD33" i="41" s="1"/>
  <c r="I33" i="41"/>
  <c r="BC33" i="41" s="1"/>
  <c r="H33" i="41"/>
  <c r="BB33" i="41" s="1"/>
  <c r="G33" i="41"/>
  <c r="BA33" i="41" s="1"/>
  <c r="M32" i="41"/>
  <c r="BG32" i="41" s="1"/>
  <c r="L32" i="41"/>
  <c r="BF32" i="41" s="1"/>
  <c r="K32" i="41"/>
  <c r="BE32" i="41" s="1"/>
  <c r="J32" i="41"/>
  <c r="BD32" i="41" s="1"/>
  <c r="I32" i="41"/>
  <c r="BC32" i="41" s="1"/>
  <c r="H32" i="41"/>
  <c r="BB32" i="41" s="1"/>
  <c r="G32" i="41"/>
  <c r="BA32" i="41" s="1"/>
  <c r="M31" i="41"/>
  <c r="BG31" i="41" s="1"/>
  <c r="L31" i="41"/>
  <c r="BF31" i="41" s="1"/>
  <c r="K31" i="41"/>
  <c r="BE31" i="41" s="1"/>
  <c r="J31" i="41"/>
  <c r="BD31" i="41" s="1"/>
  <c r="I31" i="41"/>
  <c r="BC31" i="41" s="1"/>
  <c r="H31" i="41"/>
  <c r="BB31" i="41" s="1"/>
  <c r="G31" i="41"/>
  <c r="BA31" i="41" s="1"/>
  <c r="M30" i="41"/>
  <c r="BG30" i="41" s="1"/>
  <c r="L30" i="41"/>
  <c r="BF30" i="41" s="1"/>
  <c r="K30" i="41"/>
  <c r="BE30" i="41" s="1"/>
  <c r="J30" i="41"/>
  <c r="BD30" i="41" s="1"/>
  <c r="I30" i="41"/>
  <c r="BC30" i="41" s="1"/>
  <c r="H30" i="41"/>
  <c r="BB30" i="41" s="1"/>
  <c r="G30" i="41"/>
  <c r="BA30" i="41" s="1"/>
  <c r="M29" i="41"/>
  <c r="L29" i="41"/>
  <c r="K29" i="41"/>
  <c r="J29" i="41"/>
  <c r="I29" i="41"/>
  <c r="H29" i="41"/>
  <c r="BB29" i="41" s="1"/>
  <c r="G29" i="41"/>
  <c r="BA29" i="41" s="1"/>
  <c r="M28" i="41"/>
  <c r="BG28" i="41" s="1"/>
  <c r="L28" i="41"/>
  <c r="BF28" i="41" s="1"/>
  <c r="K28" i="41"/>
  <c r="BE28" i="41" s="1"/>
  <c r="J28" i="41"/>
  <c r="BD28" i="41" s="1"/>
  <c r="I28" i="41"/>
  <c r="BC28" i="41" s="1"/>
  <c r="H28" i="41"/>
  <c r="BB28" i="41" s="1"/>
  <c r="G28" i="41"/>
  <c r="BA28" i="41" s="1"/>
  <c r="M27" i="41"/>
  <c r="BG27" i="41" s="1"/>
  <c r="L27" i="41"/>
  <c r="BF27" i="41" s="1"/>
  <c r="K27" i="41"/>
  <c r="BE27" i="41" s="1"/>
  <c r="J27" i="41"/>
  <c r="BD27" i="41" s="1"/>
  <c r="I27" i="41"/>
  <c r="BC27" i="41" s="1"/>
  <c r="H27" i="41"/>
  <c r="BB27" i="41" s="1"/>
  <c r="G27" i="41"/>
  <c r="BA27" i="41" s="1"/>
  <c r="M26" i="41"/>
  <c r="BG26" i="41" s="1"/>
  <c r="L26" i="41"/>
  <c r="BF26" i="41" s="1"/>
  <c r="K26" i="41"/>
  <c r="BE26" i="41" s="1"/>
  <c r="J26" i="41"/>
  <c r="BD26" i="41" s="1"/>
  <c r="I26" i="41"/>
  <c r="BC26" i="41" s="1"/>
  <c r="H26" i="41"/>
  <c r="BB26" i="41" s="1"/>
  <c r="G26" i="41"/>
  <c r="BA26" i="41" s="1"/>
  <c r="M25" i="41"/>
  <c r="BG25" i="41" s="1"/>
  <c r="L25" i="41"/>
  <c r="BF25" i="41" s="1"/>
  <c r="K25" i="41"/>
  <c r="BE25" i="41" s="1"/>
  <c r="J25" i="41"/>
  <c r="BD25" i="41" s="1"/>
  <c r="I25" i="41"/>
  <c r="BC25" i="41" s="1"/>
  <c r="H25" i="41"/>
  <c r="BB25" i="41" s="1"/>
  <c r="G25" i="41"/>
  <c r="BA25" i="41" s="1"/>
  <c r="M24" i="41"/>
  <c r="BG24" i="41" s="1"/>
  <c r="L24" i="41"/>
  <c r="BF24" i="41" s="1"/>
  <c r="K24" i="41"/>
  <c r="BE24" i="41" s="1"/>
  <c r="J24" i="41"/>
  <c r="BD24" i="41" s="1"/>
  <c r="I24" i="41"/>
  <c r="BC24" i="41" s="1"/>
  <c r="H24" i="41"/>
  <c r="BB24" i="41" s="1"/>
  <c r="G24" i="41"/>
  <c r="BA24" i="41" s="1"/>
  <c r="M23" i="41"/>
  <c r="BG23" i="41" s="1"/>
  <c r="N53" i="85" s="1"/>
  <c r="L23" i="41"/>
  <c r="BF23" i="41" s="1"/>
  <c r="K23" i="41"/>
  <c r="BE23" i="41" s="1"/>
  <c r="J23" i="41"/>
  <c r="BD23" i="41" s="1"/>
  <c r="I23" i="41"/>
  <c r="BC23" i="41" s="1"/>
  <c r="H23" i="41"/>
  <c r="BB23" i="41" s="1"/>
  <c r="G23" i="41"/>
  <c r="BA23" i="41" s="1"/>
  <c r="M22" i="41"/>
  <c r="L22" i="41"/>
  <c r="K22" i="41"/>
  <c r="J22" i="41"/>
  <c r="I22" i="41"/>
  <c r="H22" i="41"/>
  <c r="BB22" i="41" s="1"/>
  <c r="G22" i="41"/>
  <c r="BA22" i="41" s="1"/>
  <c r="M21" i="41"/>
  <c r="BG21" i="41" s="1"/>
  <c r="L21" i="41"/>
  <c r="BF21" i="41" s="1"/>
  <c r="K21" i="41"/>
  <c r="BE21" i="41" s="1"/>
  <c r="J21" i="41"/>
  <c r="BD21" i="41" s="1"/>
  <c r="I21" i="41"/>
  <c r="BC21" i="41" s="1"/>
  <c r="H21" i="41"/>
  <c r="BB21" i="41" s="1"/>
  <c r="G21" i="41"/>
  <c r="BA21" i="41" s="1"/>
  <c r="M20" i="41"/>
  <c r="BG20" i="41" s="1"/>
  <c r="L20" i="41"/>
  <c r="BF20" i="41" s="1"/>
  <c r="K20" i="41"/>
  <c r="BE20" i="41" s="1"/>
  <c r="J20" i="41"/>
  <c r="BD20" i="41" s="1"/>
  <c r="I20" i="41"/>
  <c r="BC20" i="41" s="1"/>
  <c r="H20" i="41"/>
  <c r="BB20" i="41" s="1"/>
  <c r="G20" i="41"/>
  <c r="BA20" i="41" s="1"/>
  <c r="M19" i="41"/>
  <c r="BG19" i="41" s="1"/>
  <c r="L19" i="41"/>
  <c r="BF19" i="41" s="1"/>
  <c r="K19" i="41"/>
  <c r="BE19" i="41" s="1"/>
  <c r="J19" i="41"/>
  <c r="BD19" i="41" s="1"/>
  <c r="I19" i="41"/>
  <c r="BC19" i="41" s="1"/>
  <c r="H19" i="41"/>
  <c r="BB19" i="41" s="1"/>
  <c r="G19" i="41"/>
  <c r="BA19" i="41" s="1"/>
  <c r="M18" i="41"/>
  <c r="BG18" i="41" s="1"/>
  <c r="L18" i="41"/>
  <c r="BF18" i="41" s="1"/>
  <c r="K18" i="41"/>
  <c r="BE18" i="41" s="1"/>
  <c r="J18" i="41"/>
  <c r="BD18" i="41" s="1"/>
  <c r="I18" i="41"/>
  <c r="BC18" i="41" s="1"/>
  <c r="H18" i="41"/>
  <c r="BB18" i="41" s="1"/>
  <c r="G18" i="41"/>
  <c r="BA18" i="41" s="1"/>
  <c r="M17" i="41"/>
  <c r="L17" i="41"/>
  <c r="K17" i="41"/>
  <c r="J17" i="41"/>
  <c r="I17" i="41"/>
  <c r="H17" i="41"/>
  <c r="BB17" i="41" s="1"/>
  <c r="G17" i="41"/>
  <c r="BA17" i="41" s="1"/>
  <c r="M16" i="41"/>
  <c r="L16" i="41"/>
  <c r="K16" i="41"/>
  <c r="J16" i="41"/>
  <c r="I16" i="41"/>
  <c r="H16" i="41"/>
  <c r="BB16" i="41" s="1"/>
  <c r="G16" i="41"/>
  <c r="BA16" i="41" s="1"/>
  <c r="M15" i="41"/>
  <c r="BG15" i="41" s="1"/>
  <c r="L15" i="41"/>
  <c r="BF15" i="41" s="1"/>
  <c r="K15" i="41"/>
  <c r="BE15" i="41" s="1"/>
  <c r="J15" i="41"/>
  <c r="BD15" i="41" s="1"/>
  <c r="I15" i="41"/>
  <c r="BC15" i="41" s="1"/>
  <c r="H15" i="41"/>
  <c r="BB15" i="41" s="1"/>
  <c r="G15" i="41"/>
  <c r="BA15" i="41" s="1"/>
  <c r="M14" i="41"/>
  <c r="BG14" i="41" s="1"/>
  <c r="L14" i="41"/>
  <c r="BF14" i="41" s="1"/>
  <c r="K14" i="41"/>
  <c r="BE14" i="41" s="1"/>
  <c r="J14" i="41"/>
  <c r="BD14" i="41" s="1"/>
  <c r="I14" i="41"/>
  <c r="BC14" i="41" s="1"/>
  <c r="H14" i="41"/>
  <c r="BB14" i="41" s="1"/>
  <c r="G14" i="41"/>
  <c r="BA14" i="41" s="1"/>
  <c r="M13" i="41"/>
  <c r="BG13" i="41" s="1"/>
  <c r="L13" i="41"/>
  <c r="BF13" i="41" s="1"/>
  <c r="K13" i="41"/>
  <c r="BE13" i="41" s="1"/>
  <c r="J13" i="41"/>
  <c r="BD13" i="41" s="1"/>
  <c r="I13" i="41"/>
  <c r="BC13" i="41" s="1"/>
  <c r="H13" i="41"/>
  <c r="BB13" i="41" s="1"/>
  <c r="M12" i="41"/>
  <c r="BG12" i="41" s="1"/>
  <c r="L12" i="41"/>
  <c r="BF12" i="41" s="1"/>
  <c r="K12" i="41"/>
  <c r="BE12" i="41" s="1"/>
  <c r="J12" i="41"/>
  <c r="BD12" i="41" s="1"/>
  <c r="I12" i="41"/>
  <c r="BC12" i="41" s="1"/>
  <c r="H12" i="41"/>
  <c r="BB12" i="41" s="1"/>
  <c r="G12" i="41"/>
  <c r="BA12" i="41" s="1"/>
  <c r="AL11" i="41"/>
  <c r="CF11" i="41" s="1"/>
  <c r="AK11" i="41"/>
  <c r="CE11" i="41" s="1"/>
  <c r="AJ11" i="41"/>
  <c r="CD11" i="41" s="1"/>
  <c r="AI11" i="41"/>
  <c r="CC11" i="41" s="1"/>
  <c r="AH11" i="41"/>
  <c r="CB11" i="41" s="1"/>
  <c r="AG11" i="41"/>
  <c r="CA11" i="41" s="1"/>
  <c r="AF11" i="41"/>
  <c r="BZ11" i="41" s="1"/>
  <c r="AD11" i="41"/>
  <c r="BX11" i="41" s="1"/>
  <c r="AC11" i="41"/>
  <c r="BW11" i="41" s="1"/>
  <c r="AB11" i="41"/>
  <c r="BV11" i="41" s="1"/>
  <c r="AA11" i="41"/>
  <c r="BU11" i="41" s="1"/>
  <c r="Z11" i="41"/>
  <c r="BT11" i="41" s="1"/>
  <c r="Y11" i="41"/>
  <c r="BS11" i="41" s="1"/>
  <c r="X11" i="41"/>
  <c r="BR11" i="41" s="1"/>
  <c r="V11" i="41"/>
  <c r="BP11" i="41" s="1"/>
  <c r="U11" i="41"/>
  <c r="BO11" i="41" s="1"/>
  <c r="T11" i="41"/>
  <c r="BN11" i="41" s="1"/>
  <c r="S11" i="41"/>
  <c r="BM11" i="41" s="1"/>
  <c r="R11" i="41"/>
  <c r="BL11" i="41" s="1"/>
  <c r="Q11" i="41"/>
  <c r="BK11" i="41" s="1"/>
  <c r="P11" i="41"/>
  <c r="BJ11" i="41" s="1"/>
  <c r="AW9" i="41"/>
  <c r="AV9" i="41"/>
  <c r="AU9" i="41"/>
  <c r="AT9" i="41"/>
  <c r="AS9" i="41"/>
  <c r="AR9" i="41"/>
  <c r="L53" i="85" l="1"/>
  <c r="L55" i="85"/>
  <c r="J67" i="85"/>
  <c r="N84" i="85"/>
  <c r="J54" i="85"/>
  <c r="J77" i="85"/>
  <c r="N54" i="85"/>
  <c r="J81" i="85"/>
  <c r="J48" i="85"/>
  <c r="J55" i="85"/>
  <c r="M58" i="85"/>
  <c r="L67" i="85"/>
  <c r="L78" i="85"/>
  <c r="K77" i="85"/>
  <c r="J80" i="85"/>
  <c r="L81" i="85"/>
  <c r="M83" i="85"/>
  <c r="J53" i="85"/>
  <c r="L54" i="85"/>
  <c r="N55" i="85"/>
  <c r="K53" i="85"/>
  <c r="M54" i="85"/>
  <c r="K58" i="85"/>
  <c r="K48" i="85"/>
  <c r="J51" i="85"/>
  <c r="K55" i="85"/>
  <c r="N58" i="85"/>
  <c r="M67" i="85"/>
  <c r="M78" i="85"/>
  <c r="L77" i="85"/>
  <c r="K80" i="85"/>
  <c r="M81" i="85"/>
  <c r="N83" i="85"/>
  <c r="N67" i="85"/>
  <c r="N78" i="85"/>
  <c r="L80" i="85"/>
  <c r="L82" i="85" s="1"/>
  <c r="N81" i="85"/>
  <c r="J84" i="85"/>
  <c r="I27" i="67"/>
  <c r="I4" i="67" s="1"/>
  <c r="I27" i="85"/>
  <c r="I4" i="85" s="1"/>
  <c r="M48" i="85"/>
  <c r="L51" i="85"/>
  <c r="K54" i="85"/>
  <c r="O54" i="85" s="1"/>
  <c r="M55" i="85"/>
  <c r="J72" i="85"/>
  <c r="N77" i="85"/>
  <c r="M80" i="85"/>
  <c r="K84" i="85"/>
  <c r="I30" i="67"/>
  <c r="I5" i="67" s="1"/>
  <c r="I30" i="85"/>
  <c r="I5" i="85" s="1"/>
  <c r="N48" i="85"/>
  <c r="M51" i="85"/>
  <c r="K72" i="85"/>
  <c r="N80" i="85"/>
  <c r="N82" i="85" s="1"/>
  <c r="L84" i="85"/>
  <c r="I33" i="67"/>
  <c r="I6" i="67" s="1"/>
  <c r="I33" i="85"/>
  <c r="I6" i="85" s="1"/>
  <c r="L48" i="85"/>
  <c r="K51" i="85"/>
  <c r="N51" i="85"/>
  <c r="J58" i="85"/>
  <c r="L72" i="85"/>
  <c r="J83" i="85"/>
  <c r="M84" i="85"/>
  <c r="M85" i="85" s="1"/>
  <c r="I36" i="67"/>
  <c r="I36" i="85"/>
  <c r="K83" i="85"/>
  <c r="I39" i="67"/>
  <c r="I39" i="85"/>
  <c r="M72" i="85"/>
  <c r="J78" i="85"/>
  <c r="M53" i="85"/>
  <c r="L58" i="85"/>
  <c r="K67" i="85"/>
  <c r="O67" i="85" s="1"/>
  <c r="N72" i="85"/>
  <c r="K78" i="85"/>
  <c r="K81" i="85"/>
  <c r="L83" i="85"/>
  <c r="L85" i="85" s="1"/>
  <c r="N60" i="67"/>
  <c r="BG37" i="41"/>
  <c r="N60" i="85" s="1"/>
  <c r="K64" i="67"/>
  <c r="BD42" i="41"/>
  <c r="K64" i="85" s="1"/>
  <c r="L76" i="67"/>
  <c r="BE69" i="41"/>
  <c r="L76" i="85" s="1"/>
  <c r="R144" i="41"/>
  <c r="BL144" i="41" s="1"/>
  <c r="BL99" i="41"/>
  <c r="J63" i="67"/>
  <c r="BC40" i="41"/>
  <c r="J63" i="85" s="1"/>
  <c r="Y143" i="41"/>
  <c r="BS143" i="41" s="1"/>
  <c r="BS73" i="41"/>
  <c r="J50" i="67"/>
  <c r="BC17" i="41"/>
  <c r="J50" i="85" s="1"/>
  <c r="N56" i="67"/>
  <c r="BG29" i="41"/>
  <c r="N56" i="85" s="1"/>
  <c r="L65" i="67"/>
  <c r="BE41" i="41"/>
  <c r="L65" i="85" s="1"/>
  <c r="M64" i="67"/>
  <c r="BF42" i="41"/>
  <c r="M64" i="85" s="1"/>
  <c r="N69" i="67"/>
  <c r="BG49" i="41"/>
  <c r="N69" i="85" s="1"/>
  <c r="N76" i="67"/>
  <c r="BG69" i="41"/>
  <c r="N76" i="85" s="1"/>
  <c r="Q143" i="41"/>
  <c r="BK143" i="41" s="1"/>
  <c r="BK73" i="41"/>
  <c r="Z143" i="41"/>
  <c r="BT143" i="41" s="1"/>
  <c r="BT73" i="41"/>
  <c r="AI143" i="41"/>
  <c r="CC143" i="41" s="1"/>
  <c r="CC73" i="41"/>
  <c r="T144" i="41"/>
  <c r="BN144" i="41" s="1"/>
  <c r="BN99" i="41"/>
  <c r="AC144" i="41"/>
  <c r="BW144" i="41" s="1"/>
  <c r="BW99" i="41"/>
  <c r="AL144" i="41"/>
  <c r="CF144" i="41" s="1"/>
  <c r="CF99" i="41"/>
  <c r="M60" i="67"/>
  <c r="BF37" i="41"/>
  <c r="M60" i="85" s="1"/>
  <c r="J64" i="67"/>
  <c r="BC42" i="41"/>
  <c r="J64" i="85" s="1"/>
  <c r="J65" i="67"/>
  <c r="BC41" i="41"/>
  <c r="J65" i="85" s="1"/>
  <c r="L69" i="67"/>
  <c r="BE49" i="41"/>
  <c r="L69" i="85" s="1"/>
  <c r="AG143" i="41"/>
  <c r="CA143" i="41" s="1"/>
  <c r="CA73" i="41"/>
  <c r="K65" i="67"/>
  <c r="BD41" i="41"/>
  <c r="K65" i="85" s="1"/>
  <c r="P143" i="41"/>
  <c r="BJ73" i="41"/>
  <c r="AK144" i="41"/>
  <c r="CE144" i="41" s="1"/>
  <c r="CE99" i="41"/>
  <c r="J49" i="67"/>
  <c r="BC16" i="41"/>
  <c r="J49" i="85" s="1"/>
  <c r="K50" i="67"/>
  <c r="BD17" i="41"/>
  <c r="K50" i="85" s="1"/>
  <c r="J61" i="67"/>
  <c r="BC38" i="41"/>
  <c r="J61" i="85" s="1"/>
  <c r="K62" i="67"/>
  <c r="BD39" i="41"/>
  <c r="K62" i="85" s="1"/>
  <c r="L63" i="67"/>
  <c r="BE40" i="41"/>
  <c r="L63" i="85" s="1"/>
  <c r="M65" i="67"/>
  <c r="BF41" i="41"/>
  <c r="M65" i="85" s="1"/>
  <c r="N64" i="67"/>
  <c r="BG42" i="41"/>
  <c r="N64" i="85" s="1"/>
  <c r="R143" i="41"/>
  <c r="BL143" i="41" s="1"/>
  <c r="BL73" i="41"/>
  <c r="AA143" i="41"/>
  <c r="BU73" i="41"/>
  <c r="AJ143" i="41"/>
  <c r="CD73" i="41"/>
  <c r="U144" i="41"/>
  <c r="BO99" i="41"/>
  <c r="AD144" i="41"/>
  <c r="BX144" i="41" s="1"/>
  <c r="BX99" i="41"/>
  <c r="E74" i="49"/>
  <c r="K74" i="49" s="1"/>
  <c r="CK43" i="7"/>
  <c r="AO37" i="7"/>
  <c r="CS37" i="7"/>
  <c r="AV43" i="7"/>
  <c r="AV41" i="7"/>
  <c r="N49" i="67"/>
  <c r="BG16" i="41"/>
  <c r="N49" i="85" s="1"/>
  <c r="M52" i="67"/>
  <c r="BF22" i="41"/>
  <c r="M52" i="85" s="1"/>
  <c r="N70" i="67"/>
  <c r="N71" i="67" s="1"/>
  <c r="BG51" i="41"/>
  <c r="N70" i="85" s="1"/>
  <c r="AA144" i="41"/>
  <c r="BU144" i="41" s="1"/>
  <c r="BU99" i="41"/>
  <c r="M56" i="67"/>
  <c r="BF29" i="41"/>
  <c r="M56" i="85" s="1"/>
  <c r="M76" i="67"/>
  <c r="BF69" i="41"/>
  <c r="M76" i="85" s="1"/>
  <c r="S144" i="41"/>
  <c r="BM144" i="41" s="1"/>
  <c r="BM99" i="41"/>
  <c r="K49" i="67"/>
  <c r="BD16" i="41"/>
  <c r="K49" i="85" s="1"/>
  <c r="L50" i="67"/>
  <c r="BE17" i="41"/>
  <c r="L50" i="85" s="1"/>
  <c r="J60" i="67"/>
  <c r="BC37" i="41"/>
  <c r="J60" i="85" s="1"/>
  <c r="K61" i="67"/>
  <c r="BD38" i="41"/>
  <c r="K61" i="85" s="1"/>
  <c r="L62" i="67"/>
  <c r="BE39" i="41"/>
  <c r="L62" i="85" s="1"/>
  <c r="M63" i="67"/>
  <c r="BF40" i="41"/>
  <c r="M63" i="85" s="1"/>
  <c r="N65" i="67"/>
  <c r="BG41" i="41"/>
  <c r="N65" i="85" s="1"/>
  <c r="J70" i="67"/>
  <c r="BC51" i="41"/>
  <c r="J70" i="85" s="1"/>
  <c r="S143" i="41"/>
  <c r="BM73" i="41"/>
  <c r="AB143" i="41"/>
  <c r="BV143" i="41" s="1"/>
  <c r="BV73" i="41"/>
  <c r="AK143" i="41"/>
  <c r="CE143" i="41" s="1"/>
  <c r="CE73" i="41"/>
  <c r="V144" i="41"/>
  <c r="BP144" i="41" s="1"/>
  <c r="BP99" i="41"/>
  <c r="AF144" i="41"/>
  <c r="BZ144" i="41" s="1"/>
  <c r="BZ99" i="41"/>
  <c r="G32" i="49"/>
  <c r="M32" i="49" s="1"/>
  <c r="BO43" i="7"/>
  <c r="E18" i="49"/>
  <c r="K18" i="49" s="1"/>
  <c r="BE43" i="7"/>
  <c r="I37" i="7"/>
  <c r="L56" i="67"/>
  <c r="BE29" i="41"/>
  <c r="L56" i="85" s="1"/>
  <c r="X143" i="41"/>
  <c r="BR73" i="41"/>
  <c r="N52" i="67"/>
  <c r="BG22" i="41"/>
  <c r="N52" i="85" s="1"/>
  <c r="L64" i="67"/>
  <c r="BE42" i="41"/>
  <c r="L64" i="85" s="1"/>
  <c r="M69" i="67"/>
  <c r="BF49" i="41"/>
  <c r="M69" i="85" s="1"/>
  <c r="N75" i="67"/>
  <c r="BG70" i="41"/>
  <c r="N75" i="85" s="1"/>
  <c r="AB144" i="41"/>
  <c r="BV144" i="41" s="1"/>
  <c r="BV99" i="41"/>
  <c r="L49" i="67"/>
  <c r="BE16" i="41"/>
  <c r="L49" i="85" s="1"/>
  <c r="M50" i="67"/>
  <c r="BF17" i="41"/>
  <c r="M50" i="85" s="1"/>
  <c r="J52" i="67"/>
  <c r="BC22" i="41"/>
  <c r="J52" i="85" s="1"/>
  <c r="K60" i="67"/>
  <c r="BD37" i="41"/>
  <c r="K60" i="85" s="1"/>
  <c r="L61" i="67"/>
  <c r="BE38" i="41"/>
  <c r="L61" i="85" s="1"/>
  <c r="M62" i="67"/>
  <c r="BF39" i="41"/>
  <c r="M62" i="85" s="1"/>
  <c r="N63" i="67"/>
  <c r="BG40" i="41"/>
  <c r="N63" i="85" s="1"/>
  <c r="J75" i="67"/>
  <c r="BC70" i="41"/>
  <c r="J75" i="85" s="1"/>
  <c r="T143" i="41"/>
  <c r="BN73" i="41"/>
  <c r="AC143" i="41"/>
  <c r="BW143" i="41" s="1"/>
  <c r="BW73" i="41"/>
  <c r="AL143" i="41"/>
  <c r="CF143" i="41" s="1"/>
  <c r="CF73" i="41"/>
  <c r="X144" i="41"/>
  <c r="BR144" i="41" s="1"/>
  <c r="BR99" i="41"/>
  <c r="AG144" i="41"/>
  <c r="CA144" i="41" s="1"/>
  <c r="CA99" i="41"/>
  <c r="L52" i="67"/>
  <c r="BE22" i="41"/>
  <c r="L52" i="85" s="1"/>
  <c r="K56" i="67"/>
  <c r="BD29" i="41"/>
  <c r="K56" i="85" s="1"/>
  <c r="N61" i="67"/>
  <c r="BG38" i="41"/>
  <c r="N61" i="85" s="1"/>
  <c r="M75" i="67"/>
  <c r="BF70" i="41"/>
  <c r="M75" i="85" s="1"/>
  <c r="AJ144" i="41"/>
  <c r="CD144" i="41" s="1"/>
  <c r="CD99" i="41"/>
  <c r="AH143" i="41"/>
  <c r="CB143" i="41" s="1"/>
  <c r="CB73" i="41"/>
  <c r="M49" i="67"/>
  <c r="BF16" i="41"/>
  <c r="M49" i="85" s="1"/>
  <c r="N50" i="67"/>
  <c r="BG17" i="41"/>
  <c r="N50" i="85" s="1"/>
  <c r="K52" i="67"/>
  <c r="BD22" i="41"/>
  <c r="K52" i="85" s="1"/>
  <c r="J56" i="67"/>
  <c r="BC29" i="41"/>
  <c r="J56" i="85" s="1"/>
  <c r="J69" i="67"/>
  <c r="BC49" i="41"/>
  <c r="J69" i="85" s="1"/>
  <c r="L70" i="67"/>
  <c r="BE51" i="41"/>
  <c r="L70" i="85" s="1"/>
  <c r="J76" i="67"/>
  <c r="BC69" i="41"/>
  <c r="J76" i="85" s="1"/>
  <c r="K75" i="67"/>
  <c r="BD70" i="41"/>
  <c r="K75" i="85" s="1"/>
  <c r="U143" i="41"/>
  <c r="BO143" i="41" s="1"/>
  <c r="BO73" i="41"/>
  <c r="AD143" i="41"/>
  <c r="BX143" i="41" s="1"/>
  <c r="BX73" i="41"/>
  <c r="P144" i="41"/>
  <c r="BJ144" i="41" s="1"/>
  <c r="BJ99" i="41"/>
  <c r="Y144" i="41"/>
  <c r="BS144" i="41" s="1"/>
  <c r="BS99" i="41"/>
  <c r="AH144" i="41"/>
  <c r="CB144" i="41" s="1"/>
  <c r="CB99" i="41"/>
  <c r="Y37" i="7"/>
  <c r="BU43" i="7"/>
  <c r="E46" i="49"/>
  <c r="K46" i="49" s="1"/>
  <c r="K69" i="67"/>
  <c r="BD49" i="41"/>
  <c r="K69" i="85" s="1"/>
  <c r="M70" i="67"/>
  <c r="BF51" i="41"/>
  <c r="M70" i="85" s="1"/>
  <c r="K76" i="67"/>
  <c r="BD69" i="41"/>
  <c r="K76" i="85" s="1"/>
  <c r="L75" i="67"/>
  <c r="BE70" i="41"/>
  <c r="L75" i="85" s="1"/>
  <c r="V143" i="41"/>
  <c r="BP143" i="41" s="1"/>
  <c r="BP73" i="41"/>
  <c r="AF143" i="41"/>
  <c r="BZ143" i="41" s="1"/>
  <c r="BZ73" i="41"/>
  <c r="Q144" i="41"/>
  <c r="BK99" i="41"/>
  <c r="Z144" i="41"/>
  <c r="BT144" i="41" s="1"/>
  <c r="BT99" i="41"/>
  <c r="AI144" i="41"/>
  <c r="CC144" i="41" s="1"/>
  <c r="CC99" i="41"/>
  <c r="L77" i="67"/>
  <c r="N53" i="67"/>
  <c r="L54" i="67"/>
  <c r="J55" i="67"/>
  <c r="H151" i="41"/>
  <c r="BB151" i="41" s="1"/>
  <c r="L151" i="41"/>
  <c r="BF151" i="41" s="1"/>
  <c r="M41" i="85" s="1"/>
  <c r="J53" i="67"/>
  <c r="N55" i="67"/>
  <c r="I151" i="41"/>
  <c r="BC151" i="41" s="1"/>
  <c r="J41" i="85" s="1"/>
  <c r="M151" i="41"/>
  <c r="BG151" i="41" s="1"/>
  <c r="N41" i="85" s="1"/>
  <c r="J150" i="41"/>
  <c r="BD150" i="41" s="1"/>
  <c r="K38" i="85" s="1"/>
  <c r="J151" i="41"/>
  <c r="BD151" i="41" s="1"/>
  <c r="K41" i="85" s="1"/>
  <c r="G151" i="41"/>
  <c r="BA151" i="41" s="1"/>
  <c r="M83" i="67"/>
  <c r="K73" i="41"/>
  <c r="H150" i="41"/>
  <c r="BB150" i="41" s="1"/>
  <c r="L150" i="41"/>
  <c r="BF150" i="41" s="1"/>
  <c r="M38" i="85" s="1"/>
  <c r="I150" i="41"/>
  <c r="BC150" i="41" s="1"/>
  <c r="J38" i="85" s="1"/>
  <c r="M150" i="41"/>
  <c r="BG150" i="41" s="1"/>
  <c r="N38" i="85" s="1"/>
  <c r="N80" i="67"/>
  <c r="G150" i="41"/>
  <c r="BA150" i="41" s="1"/>
  <c r="L84" i="67"/>
  <c r="K151" i="41"/>
  <c r="BE151" i="41" s="1"/>
  <c r="L41" i="85" s="1"/>
  <c r="L81" i="67"/>
  <c r="K150" i="41"/>
  <c r="J80" i="67"/>
  <c r="AG134" i="41"/>
  <c r="CA134" i="41" s="1"/>
  <c r="I57" i="41"/>
  <c r="M78" i="67"/>
  <c r="J77" i="67"/>
  <c r="N77" i="67"/>
  <c r="M53" i="67"/>
  <c r="K54" i="67"/>
  <c r="M55" i="67"/>
  <c r="M57" i="41"/>
  <c r="M77" i="67"/>
  <c r="M58" i="67"/>
  <c r="L67" i="67"/>
  <c r="K72" i="67"/>
  <c r="M51" i="67"/>
  <c r="P134" i="41"/>
  <c r="BJ134" i="41" s="1"/>
  <c r="T134" i="41"/>
  <c r="BN134" i="41" s="1"/>
  <c r="Y134" i="41"/>
  <c r="BS134" i="41" s="1"/>
  <c r="AC134" i="41"/>
  <c r="BW134" i="41" s="1"/>
  <c r="AH134" i="41"/>
  <c r="CB134" i="41" s="1"/>
  <c r="AL134" i="41"/>
  <c r="CF134" i="41" s="1"/>
  <c r="J51" i="67"/>
  <c r="N51" i="67"/>
  <c r="K53" i="67"/>
  <c r="M54" i="67"/>
  <c r="K55" i="67"/>
  <c r="J58" i="67"/>
  <c r="N58" i="67"/>
  <c r="M67" i="67"/>
  <c r="L72" i="67"/>
  <c r="L60" i="41"/>
  <c r="BF60" i="41" s="1"/>
  <c r="J78" i="67"/>
  <c r="N78" i="67"/>
  <c r="K80" i="67"/>
  <c r="G73" i="41"/>
  <c r="M81" i="67"/>
  <c r="J83" i="67"/>
  <c r="N83" i="67"/>
  <c r="M84" i="67"/>
  <c r="M48" i="67"/>
  <c r="K51" i="67"/>
  <c r="L53" i="67"/>
  <c r="J54" i="67"/>
  <c r="N54" i="67"/>
  <c r="L55" i="67"/>
  <c r="K58" i="67"/>
  <c r="G36" i="41"/>
  <c r="BA36" i="41" s="1"/>
  <c r="K36" i="41"/>
  <c r="BE36" i="41" s="1"/>
  <c r="L60" i="67"/>
  <c r="H36" i="41"/>
  <c r="BB36" i="41" s="1"/>
  <c r="L36" i="41"/>
  <c r="BF36" i="41" s="1"/>
  <c r="M61" i="67"/>
  <c r="N39" i="41"/>
  <c r="BH39" i="41" s="1"/>
  <c r="J62" i="67"/>
  <c r="M36" i="41"/>
  <c r="BG36" i="41" s="1"/>
  <c r="N62" i="67"/>
  <c r="J36" i="41"/>
  <c r="BD36" i="41" s="1"/>
  <c r="K63" i="67"/>
  <c r="N43" i="41"/>
  <c r="BH43" i="41" s="1"/>
  <c r="J67" i="67"/>
  <c r="N67" i="67"/>
  <c r="N47" i="41"/>
  <c r="BH47" i="41" s="1"/>
  <c r="M72" i="67"/>
  <c r="J57" i="41"/>
  <c r="G57" i="41"/>
  <c r="K57" i="41"/>
  <c r="K78" i="67"/>
  <c r="H60" i="41"/>
  <c r="BB60" i="41" s="1"/>
  <c r="L80" i="67"/>
  <c r="J81" i="67"/>
  <c r="N81" i="67"/>
  <c r="K83" i="67"/>
  <c r="J84" i="67"/>
  <c r="N84" i="67"/>
  <c r="K11" i="41"/>
  <c r="BE11" i="41" s="1"/>
  <c r="L48" i="67"/>
  <c r="J48" i="67"/>
  <c r="N48" i="67"/>
  <c r="L51" i="67"/>
  <c r="L58" i="67"/>
  <c r="K67" i="67"/>
  <c r="J72" i="67"/>
  <c r="N72" i="67"/>
  <c r="H57" i="41"/>
  <c r="BB57" i="41" s="1"/>
  <c r="L57" i="41"/>
  <c r="L78" i="67"/>
  <c r="K77" i="67"/>
  <c r="M80" i="67"/>
  <c r="K81" i="67"/>
  <c r="G99" i="41"/>
  <c r="K99" i="41"/>
  <c r="L83" i="67"/>
  <c r="K84" i="67"/>
  <c r="G59" i="49"/>
  <c r="M59" i="49" s="1"/>
  <c r="AH43" i="7"/>
  <c r="AH41" i="7"/>
  <c r="J48" i="41"/>
  <c r="BD48" i="41" s="1"/>
  <c r="K70" i="67"/>
  <c r="K48" i="67"/>
  <c r="L99" i="41"/>
  <c r="M99" i="41"/>
  <c r="N121" i="41"/>
  <c r="BH121" i="41" s="1"/>
  <c r="AN16" i="7"/>
  <c r="AO16" i="7"/>
  <c r="CL16" i="7" s="1"/>
  <c r="AM16" i="7"/>
  <c r="H99" i="41"/>
  <c r="N102" i="41"/>
  <c r="BH102" i="41" s="1"/>
  <c r="J99" i="41"/>
  <c r="N106" i="41"/>
  <c r="BH106" i="41" s="1"/>
  <c r="N110" i="41"/>
  <c r="BH110" i="41" s="1"/>
  <c r="N117" i="41"/>
  <c r="BH117" i="41" s="1"/>
  <c r="AL16" i="7"/>
  <c r="CI16" i="7" s="1"/>
  <c r="AP16" i="7"/>
  <c r="CM16" i="7" s="1"/>
  <c r="AF16" i="7"/>
  <c r="H73" i="41"/>
  <c r="L73" i="41"/>
  <c r="N76" i="41"/>
  <c r="BH76" i="41" s="1"/>
  <c r="M73" i="41"/>
  <c r="J73" i="41"/>
  <c r="N80" i="41"/>
  <c r="BH80" i="41" s="1"/>
  <c r="N84" i="41"/>
  <c r="BH84" i="41" s="1"/>
  <c r="N88" i="41"/>
  <c r="BH88" i="41" s="1"/>
  <c r="N92" i="41"/>
  <c r="BH92" i="41" s="1"/>
  <c r="N96" i="41"/>
  <c r="BH96" i="41" s="1"/>
  <c r="AD16" i="7"/>
  <c r="AH16" i="7"/>
  <c r="AG16" i="7"/>
  <c r="CD16" i="7" s="1"/>
  <c r="AE16" i="7"/>
  <c r="CB16" i="7" s="1"/>
  <c r="S134" i="41"/>
  <c r="BM134" i="41" s="1"/>
  <c r="X134" i="41"/>
  <c r="BR134" i="41" s="1"/>
  <c r="AB134" i="41"/>
  <c r="BV134" i="41" s="1"/>
  <c r="AK134" i="41"/>
  <c r="CE134" i="41" s="1"/>
  <c r="I60" i="41"/>
  <c r="M60" i="41"/>
  <c r="BG60" i="41" s="1"/>
  <c r="N63" i="41"/>
  <c r="BH63" i="41" s="1"/>
  <c r="G60" i="41"/>
  <c r="K60" i="41"/>
  <c r="BE60" i="41" s="1"/>
  <c r="N67" i="41"/>
  <c r="BH67" i="41" s="1"/>
  <c r="N71" i="41"/>
  <c r="BH71" i="41" s="1"/>
  <c r="G48" i="41"/>
  <c r="BA48" i="41" s="1"/>
  <c r="K48" i="41"/>
  <c r="BE48" i="41" s="1"/>
  <c r="H48" i="41"/>
  <c r="BB48" i="41" s="1"/>
  <c r="L48" i="41"/>
  <c r="BF48" i="41" s="1"/>
  <c r="N52" i="41"/>
  <c r="BH52" i="41" s="1"/>
  <c r="M48" i="41"/>
  <c r="BG48" i="41" s="1"/>
  <c r="N56" i="41"/>
  <c r="BH56" i="41" s="1"/>
  <c r="G11" i="41"/>
  <c r="BA11" i="41" s="1"/>
  <c r="H11" i="41"/>
  <c r="BB11" i="41" s="1"/>
  <c r="I11" i="41"/>
  <c r="BC11" i="41" s="1"/>
  <c r="N15" i="41"/>
  <c r="BH15" i="41" s="1"/>
  <c r="N19" i="41"/>
  <c r="BH19" i="41" s="1"/>
  <c r="N23" i="41"/>
  <c r="BH23" i="41" s="1"/>
  <c r="N27" i="41"/>
  <c r="BH27" i="41" s="1"/>
  <c r="N31" i="41"/>
  <c r="BH31" i="41" s="1"/>
  <c r="N35" i="41"/>
  <c r="BH35" i="41" s="1"/>
  <c r="L11" i="41"/>
  <c r="BF11" i="41" s="1"/>
  <c r="M11" i="41"/>
  <c r="BG11" i="41" s="1"/>
  <c r="N14" i="41"/>
  <c r="BH14" i="41" s="1"/>
  <c r="N18" i="41"/>
  <c r="BH18" i="41" s="1"/>
  <c r="N22" i="41"/>
  <c r="BH22" i="41" s="1"/>
  <c r="N26" i="41"/>
  <c r="BH26" i="41" s="1"/>
  <c r="N30" i="41"/>
  <c r="BH30" i="41" s="1"/>
  <c r="N34" i="41"/>
  <c r="BH34" i="41" s="1"/>
  <c r="N38" i="41"/>
  <c r="BH38" i="41" s="1"/>
  <c r="N42" i="41"/>
  <c r="BH42" i="41" s="1"/>
  <c r="N46" i="41"/>
  <c r="BH46" i="41" s="1"/>
  <c r="N51" i="41"/>
  <c r="BH51" i="41" s="1"/>
  <c r="N55" i="41"/>
  <c r="BH55" i="41" s="1"/>
  <c r="Q134" i="41"/>
  <c r="BK134" i="41" s="1"/>
  <c r="U134" i="41"/>
  <c r="BO134" i="41" s="1"/>
  <c r="Z134" i="41"/>
  <c r="BT134" i="41" s="1"/>
  <c r="AD134" i="41"/>
  <c r="BX134" i="41" s="1"/>
  <c r="AI134" i="41"/>
  <c r="CC134" i="41" s="1"/>
  <c r="X124" i="41"/>
  <c r="BR124" i="41" s="1"/>
  <c r="AB124" i="41"/>
  <c r="BV124" i="41" s="1"/>
  <c r="AG124" i="41"/>
  <c r="CA124" i="41" s="1"/>
  <c r="AK124" i="41"/>
  <c r="CE124" i="41" s="1"/>
  <c r="N62" i="41"/>
  <c r="BH62" i="41" s="1"/>
  <c r="N66" i="41"/>
  <c r="BH66" i="41" s="1"/>
  <c r="N70" i="41"/>
  <c r="BH70" i="41" s="1"/>
  <c r="N75" i="41"/>
  <c r="BH75" i="41" s="1"/>
  <c r="N79" i="41"/>
  <c r="BH79" i="41" s="1"/>
  <c r="N83" i="41"/>
  <c r="BH83" i="41" s="1"/>
  <c r="N87" i="41"/>
  <c r="BH87" i="41" s="1"/>
  <c r="N91" i="41"/>
  <c r="BH91" i="41" s="1"/>
  <c r="N95" i="41"/>
  <c r="BH95" i="41" s="1"/>
  <c r="N101" i="41"/>
  <c r="BH101" i="41" s="1"/>
  <c r="N105" i="41"/>
  <c r="BH105" i="41" s="1"/>
  <c r="N109" i="41"/>
  <c r="BH109" i="41" s="1"/>
  <c r="N113" i="41"/>
  <c r="BH113" i="41" s="1"/>
  <c r="N116" i="41"/>
  <c r="BH116" i="41" s="1"/>
  <c r="N120" i="41"/>
  <c r="BH120" i="41" s="1"/>
  <c r="N13" i="41"/>
  <c r="BH13" i="41" s="1"/>
  <c r="N17" i="41"/>
  <c r="BH17" i="41" s="1"/>
  <c r="N21" i="41"/>
  <c r="BH21" i="41" s="1"/>
  <c r="N25" i="41"/>
  <c r="BH25" i="41" s="1"/>
  <c r="N29" i="41"/>
  <c r="BH29" i="41" s="1"/>
  <c r="N33" i="41"/>
  <c r="BH33" i="41" s="1"/>
  <c r="I36" i="41"/>
  <c r="BC36" i="41" s="1"/>
  <c r="N37" i="41"/>
  <c r="BH37" i="41" s="1"/>
  <c r="N41" i="41"/>
  <c r="BH41" i="41" s="1"/>
  <c r="N45" i="41"/>
  <c r="BH45" i="41" s="1"/>
  <c r="N54" i="41"/>
  <c r="BH54" i="41" s="1"/>
  <c r="R134" i="41"/>
  <c r="BL134" i="41" s="1"/>
  <c r="V134" i="41"/>
  <c r="BP134" i="41" s="1"/>
  <c r="AA134" i="41"/>
  <c r="BU134" i="41" s="1"/>
  <c r="AF134" i="41"/>
  <c r="BZ134" i="41" s="1"/>
  <c r="AJ134" i="41"/>
  <c r="CD134" i="41" s="1"/>
  <c r="N59" i="41"/>
  <c r="BH59" i="41" s="1"/>
  <c r="J60" i="41"/>
  <c r="BD60" i="41" s="1"/>
  <c r="N61" i="41"/>
  <c r="BH61" i="41" s="1"/>
  <c r="N65" i="41"/>
  <c r="BH65" i="41" s="1"/>
  <c r="N69" i="41"/>
  <c r="BH69" i="41" s="1"/>
  <c r="I73" i="41"/>
  <c r="N74" i="41"/>
  <c r="BH74" i="41" s="1"/>
  <c r="N78" i="41"/>
  <c r="BH78" i="41" s="1"/>
  <c r="N82" i="41"/>
  <c r="BH82" i="41" s="1"/>
  <c r="N86" i="41"/>
  <c r="BH86" i="41" s="1"/>
  <c r="N90" i="41"/>
  <c r="BH90" i="41" s="1"/>
  <c r="N94" i="41"/>
  <c r="BH94" i="41" s="1"/>
  <c r="I99" i="41"/>
  <c r="N100" i="41"/>
  <c r="BH100" i="41" s="1"/>
  <c r="N104" i="41"/>
  <c r="BH104" i="41" s="1"/>
  <c r="N108" i="41"/>
  <c r="BH108" i="41" s="1"/>
  <c r="N112" i="41"/>
  <c r="BH112" i="41" s="1"/>
  <c r="N115" i="41"/>
  <c r="BH115" i="41" s="1"/>
  <c r="N123" i="41"/>
  <c r="BH123" i="41" s="1"/>
  <c r="N12" i="41"/>
  <c r="BH12" i="41" s="1"/>
  <c r="N16" i="41"/>
  <c r="BH16" i="41" s="1"/>
  <c r="N20" i="41"/>
  <c r="BH20" i="41" s="1"/>
  <c r="N24" i="41"/>
  <c r="BH24" i="41" s="1"/>
  <c r="N28" i="41"/>
  <c r="BH28" i="41" s="1"/>
  <c r="N32" i="41"/>
  <c r="BH32" i="41" s="1"/>
  <c r="N40" i="41"/>
  <c r="BH40" i="41" s="1"/>
  <c r="N44" i="41"/>
  <c r="BH44" i="41" s="1"/>
  <c r="I48" i="41"/>
  <c r="BC48" i="41" s="1"/>
  <c r="N53" i="41"/>
  <c r="BH53" i="41" s="1"/>
  <c r="N58" i="41"/>
  <c r="BH58" i="41" s="1"/>
  <c r="N64" i="41"/>
  <c r="BH64" i="41" s="1"/>
  <c r="N68" i="41"/>
  <c r="BH68" i="41" s="1"/>
  <c r="N77" i="41"/>
  <c r="BH77" i="41" s="1"/>
  <c r="N81" i="41"/>
  <c r="BH81" i="41" s="1"/>
  <c r="N85" i="41"/>
  <c r="BH85" i="41" s="1"/>
  <c r="N89" i="41"/>
  <c r="BH89" i="41" s="1"/>
  <c r="N97" i="41"/>
  <c r="BH97" i="41" s="1"/>
  <c r="N103" i="41"/>
  <c r="BH103" i="41" s="1"/>
  <c r="N107" i="41"/>
  <c r="BH107" i="41" s="1"/>
  <c r="N111" i="41"/>
  <c r="BH111" i="41" s="1"/>
  <c r="N114" i="41"/>
  <c r="BH114" i="41" s="1"/>
  <c r="N118" i="41"/>
  <c r="BH118" i="41" s="1"/>
  <c r="N122" i="41"/>
  <c r="BH122" i="41" s="1"/>
  <c r="R9" i="41"/>
  <c r="T9" i="41"/>
  <c r="AB9" i="41" s="1"/>
  <c r="V9" i="41"/>
  <c r="AD9" i="41" s="1"/>
  <c r="AL9" i="41" s="1"/>
  <c r="S9" i="41"/>
  <c r="J11" i="41"/>
  <c r="BD11" i="41" s="1"/>
  <c r="S124" i="41"/>
  <c r="BM124" i="41" s="1"/>
  <c r="P124" i="41"/>
  <c r="BJ124" i="41" s="1"/>
  <c r="T124" i="41"/>
  <c r="BN124" i="41" s="1"/>
  <c r="Y124" i="41"/>
  <c r="BS124" i="41" s="1"/>
  <c r="AC124" i="41"/>
  <c r="BW124" i="41" s="1"/>
  <c r="AH124" i="41"/>
  <c r="CB124" i="41" s="1"/>
  <c r="AL124" i="41"/>
  <c r="CF124" i="41" s="1"/>
  <c r="Q9" i="41"/>
  <c r="U9" i="41"/>
  <c r="Q124" i="41"/>
  <c r="BK124" i="41" s="1"/>
  <c r="U124" i="41"/>
  <c r="BO124" i="41" s="1"/>
  <c r="Z124" i="41"/>
  <c r="BT124" i="41" s="1"/>
  <c r="AD124" i="41"/>
  <c r="BX124" i="41" s="1"/>
  <c r="AI124" i="41"/>
  <c r="CC124" i="41" s="1"/>
  <c r="N49" i="41"/>
  <c r="BH49" i="41" s="1"/>
  <c r="N50" i="41"/>
  <c r="BH50" i="41" s="1"/>
  <c r="N119" i="41"/>
  <c r="BH119" i="41" s="1"/>
  <c r="R125" i="41"/>
  <c r="BL125" i="41" s="1"/>
  <c r="V125" i="41"/>
  <c r="BP125" i="41" s="1"/>
  <c r="AA125" i="41"/>
  <c r="BU125" i="41" s="1"/>
  <c r="AF125" i="41"/>
  <c r="BZ125" i="41" s="1"/>
  <c r="AJ125" i="41"/>
  <c r="CD125" i="41" s="1"/>
  <c r="Q126" i="41"/>
  <c r="BK126" i="41" s="1"/>
  <c r="U126" i="41"/>
  <c r="BO126" i="41" s="1"/>
  <c r="Z126" i="41"/>
  <c r="BT126" i="41" s="1"/>
  <c r="AD126" i="41"/>
  <c r="BX126" i="41" s="1"/>
  <c r="AI126" i="41"/>
  <c r="CC126" i="41" s="1"/>
  <c r="S125" i="41"/>
  <c r="BM125" i="41" s="1"/>
  <c r="X125" i="41"/>
  <c r="BR125" i="41" s="1"/>
  <c r="AB125" i="41"/>
  <c r="BV125" i="41" s="1"/>
  <c r="AG125" i="41"/>
  <c r="CA125" i="41" s="1"/>
  <c r="AK125" i="41"/>
  <c r="CE125" i="41" s="1"/>
  <c r="R126" i="41"/>
  <c r="BL126" i="41" s="1"/>
  <c r="V126" i="41"/>
  <c r="BP126" i="41" s="1"/>
  <c r="AA126" i="41"/>
  <c r="BU126" i="41" s="1"/>
  <c r="AF126" i="41"/>
  <c r="BZ126" i="41" s="1"/>
  <c r="AJ126" i="41"/>
  <c r="CD126" i="41" s="1"/>
  <c r="P125" i="41"/>
  <c r="BJ125" i="41" s="1"/>
  <c r="T125" i="41"/>
  <c r="BN125" i="41" s="1"/>
  <c r="Y125" i="41"/>
  <c r="BS125" i="41" s="1"/>
  <c r="AC125" i="41"/>
  <c r="BW125" i="41" s="1"/>
  <c r="AH125" i="41"/>
  <c r="CB125" i="41" s="1"/>
  <c r="AL125" i="41"/>
  <c r="CF125" i="41" s="1"/>
  <c r="S126" i="41"/>
  <c r="BM126" i="41" s="1"/>
  <c r="X126" i="41"/>
  <c r="BR126" i="41" s="1"/>
  <c r="AB126" i="41"/>
  <c r="BV126" i="41" s="1"/>
  <c r="AG126" i="41"/>
  <c r="CA126" i="41" s="1"/>
  <c r="AK126" i="41"/>
  <c r="CE126" i="41" s="1"/>
  <c r="N93" i="41"/>
  <c r="BH93" i="41" s="1"/>
  <c r="R124" i="41"/>
  <c r="BL124" i="41" s="1"/>
  <c r="V124" i="41"/>
  <c r="BP124" i="41" s="1"/>
  <c r="AA124" i="41"/>
  <c r="BU124" i="41" s="1"/>
  <c r="AF124" i="41"/>
  <c r="BZ124" i="41" s="1"/>
  <c r="AJ124" i="41"/>
  <c r="CD124" i="41" s="1"/>
  <c r="Q125" i="41"/>
  <c r="BK125" i="41" s="1"/>
  <c r="U125" i="41"/>
  <c r="BO125" i="41" s="1"/>
  <c r="Z125" i="41"/>
  <c r="BT125" i="41" s="1"/>
  <c r="AD125" i="41"/>
  <c r="BX125" i="41" s="1"/>
  <c r="AI125" i="41"/>
  <c r="CC125" i="41" s="1"/>
  <c r="P126" i="41"/>
  <c r="BJ126" i="41" s="1"/>
  <c r="T126" i="41"/>
  <c r="BN126" i="41" s="1"/>
  <c r="Y126" i="41"/>
  <c r="BS126" i="41" s="1"/>
  <c r="AC126" i="41"/>
  <c r="BW126" i="41" s="1"/>
  <c r="AH126" i="41"/>
  <c r="CB126" i="41" s="1"/>
  <c r="AL126" i="41"/>
  <c r="CF126" i="41" s="1"/>
  <c r="E154" i="41"/>
  <c r="E148" i="41"/>
  <c r="E153" i="41"/>
  <c r="E147" i="41"/>
  <c r="E155" i="41"/>
  <c r="E149" i="41"/>
  <c r="O53" i="85" l="1"/>
  <c r="O55" i="85"/>
  <c r="Y157" i="41"/>
  <c r="BS157" i="41" s="1"/>
  <c r="AK60" i="7"/>
  <c r="CH60" i="7" s="1"/>
  <c r="AL71" i="7"/>
  <c r="CI71" i="7" s="1"/>
  <c r="AN60" i="7"/>
  <c r="CK60" i="7" s="1"/>
  <c r="AG157" i="41"/>
  <c r="CA157" i="41" s="1"/>
  <c r="AK71" i="7"/>
  <c r="CH71" i="7" s="1"/>
  <c r="AL156" i="41"/>
  <c r="CF156" i="41" s="1"/>
  <c r="AH71" i="7"/>
  <c r="CE71" i="7" s="1"/>
  <c r="AD156" i="41"/>
  <c r="BX156" i="41" s="1"/>
  <c r="AH60" i="7"/>
  <c r="CE60" i="7" s="1"/>
  <c r="AH156" i="41"/>
  <c r="CB156" i="41" s="1"/>
  <c r="AD71" i="7"/>
  <c r="CA71" i="7" s="1"/>
  <c r="V156" i="41"/>
  <c r="M87" i="85"/>
  <c r="J82" i="85"/>
  <c r="O48" i="85"/>
  <c r="M79" i="85"/>
  <c r="K79" i="85"/>
  <c r="L79" i="85"/>
  <c r="L66" i="67"/>
  <c r="Q156" i="41"/>
  <c r="BK156" i="41" s="1"/>
  <c r="AC157" i="41"/>
  <c r="BW157" i="41" s="1"/>
  <c r="AO60" i="7"/>
  <c r="CL60" i="7" s="1"/>
  <c r="AP71" i="7"/>
  <c r="CM71" i="7" s="1"/>
  <c r="AA157" i="41"/>
  <c r="BU157" i="41" s="1"/>
  <c r="AM60" i="7"/>
  <c r="CJ60" i="7" s="1"/>
  <c r="AF157" i="41"/>
  <c r="BZ157" i="41" s="1"/>
  <c r="AI157" i="41"/>
  <c r="CC157" i="41" s="1"/>
  <c r="AM71" i="7"/>
  <c r="CJ71" i="7" s="1"/>
  <c r="AK157" i="41"/>
  <c r="CE157" i="41" s="1"/>
  <c r="AO71" i="7"/>
  <c r="CL71" i="7" s="1"/>
  <c r="AG156" i="41"/>
  <c r="CA156" i="41" s="1"/>
  <c r="AC71" i="7"/>
  <c r="BZ71" i="7" s="1"/>
  <c r="AD60" i="7"/>
  <c r="CA60" i="7" s="1"/>
  <c r="AI156" i="41"/>
  <c r="CC156" i="41" s="1"/>
  <c r="AE71" i="7"/>
  <c r="CB71" i="7" s="1"/>
  <c r="AK156" i="41"/>
  <c r="CE156" i="41" s="1"/>
  <c r="AG71" i="7"/>
  <c r="CD71" i="7" s="1"/>
  <c r="Y156" i="41"/>
  <c r="BS156" i="41" s="1"/>
  <c r="AA156" i="41"/>
  <c r="BU156" i="41" s="1"/>
  <c r="N41" i="67"/>
  <c r="N38" i="67"/>
  <c r="O65" i="67"/>
  <c r="O81" i="85"/>
  <c r="M82" i="85"/>
  <c r="AB157" i="41"/>
  <c r="BV157" i="41" s="1"/>
  <c r="X157" i="41"/>
  <c r="BR157" i="41" s="1"/>
  <c r="AH157" i="41"/>
  <c r="CB157" i="41" s="1"/>
  <c r="O75" i="67"/>
  <c r="T157" i="41"/>
  <c r="AN18" i="7" s="1"/>
  <c r="CK18" i="7" s="1"/>
  <c r="U156" i="41"/>
  <c r="O78" i="85"/>
  <c r="N85" i="85"/>
  <c r="M71" i="85"/>
  <c r="M73" i="85" s="1"/>
  <c r="O76" i="67"/>
  <c r="M71" i="67"/>
  <c r="O70" i="85"/>
  <c r="K87" i="85"/>
  <c r="O77" i="85"/>
  <c r="O72" i="85"/>
  <c r="O62" i="85"/>
  <c r="K85" i="85"/>
  <c r="L87" i="85"/>
  <c r="J66" i="67"/>
  <c r="O65" i="85"/>
  <c r="O63" i="85"/>
  <c r="O83" i="85"/>
  <c r="K82" i="85"/>
  <c r="O82" i="85" s="1"/>
  <c r="O52" i="67"/>
  <c r="O56" i="67"/>
  <c r="O64" i="85"/>
  <c r="O76" i="85"/>
  <c r="J87" i="85"/>
  <c r="O58" i="85"/>
  <c r="O84" i="85"/>
  <c r="O80" i="85"/>
  <c r="AL60" i="7"/>
  <c r="CI60" i="7" s="1"/>
  <c r="O60" i="85"/>
  <c r="J66" i="85"/>
  <c r="O49" i="85"/>
  <c r="M66" i="85"/>
  <c r="M68" i="85" s="1"/>
  <c r="N71" i="85"/>
  <c r="N73" i="85" s="1"/>
  <c r="O50" i="85"/>
  <c r="Z157" i="41"/>
  <c r="BT157" i="41" s="1"/>
  <c r="J71" i="85"/>
  <c r="O75" i="85"/>
  <c r="J79" i="85"/>
  <c r="K66" i="85"/>
  <c r="K68" i="85" s="1"/>
  <c r="N79" i="85"/>
  <c r="N87" i="85"/>
  <c r="N66" i="67"/>
  <c r="L71" i="85"/>
  <c r="L73" i="85" s="1"/>
  <c r="L57" i="85"/>
  <c r="N57" i="85"/>
  <c r="M57" i="85"/>
  <c r="V157" i="41"/>
  <c r="AP18" i="7" s="1"/>
  <c r="CM18" i="7" s="1"/>
  <c r="O41" i="85"/>
  <c r="O56" i="85"/>
  <c r="O52" i="85"/>
  <c r="J57" i="85"/>
  <c r="J85" i="85"/>
  <c r="O51" i="85"/>
  <c r="O69" i="85"/>
  <c r="K71" i="85"/>
  <c r="K73" i="85" s="1"/>
  <c r="L66" i="85"/>
  <c r="L68" i="85" s="1"/>
  <c r="O61" i="85"/>
  <c r="N66" i="85"/>
  <c r="N68" i="85" s="1"/>
  <c r="K57" i="85"/>
  <c r="AN71" i="7"/>
  <c r="CK71" i="7" s="1"/>
  <c r="J71" i="67"/>
  <c r="O50" i="67"/>
  <c r="O64" i="67"/>
  <c r="O49" i="67"/>
  <c r="L71" i="67"/>
  <c r="L73" i="67" s="1"/>
  <c r="H143" i="41"/>
  <c r="BB143" i="41" s="1"/>
  <c r="BB73" i="41"/>
  <c r="AG60" i="7"/>
  <c r="CD60" i="7" s="1"/>
  <c r="P157" i="41"/>
  <c r="BJ157" i="41" s="1"/>
  <c r="F17" i="49"/>
  <c r="L17" i="49" s="1"/>
  <c r="BF37" i="7"/>
  <c r="I43" i="7"/>
  <c r="I41" i="7" s="1"/>
  <c r="AF71" i="7"/>
  <c r="CC71" i="7" s="1"/>
  <c r="CD143" i="41"/>
  <c r="AJ156" i="41"/>
  <c r="CD156" i="41" s="1"/>
  <c r="AC156" i="41"/>
  <c r="BW156" i="41" s="1"/>
  <c r="AM14" i="7"/>
  <c r="CJ14" i="7" s="1"/>
  <c r="CJ16" i="7"/>
  <c r="L144" i="41"/>
  <c r="BF99" i="41"/>
  <c r="G144" i="41"/>
  <c r="BA144" i="41" s="1"/>
  <c r="BA99" i="41"/>
  <c r="G126" i="41"/>
  <c r="BA126" i="41" s="1"/>
  <c r="BA57" i="41"/>
  <c r="O61" i="67"/>
  <c r="N74" i="67"/>
  <c r="BG57" i="41"/>
  <c r="N74" i="85" s="1"/>
  <c r="J74" i="67"/>
  <c r="BC57" i="41"/>
  <c r="J74" i="85" s="1"/>
  <c r="F45" i="49"/>
  <c r="L45" i="49" s="1"/>
  <c r="BV37" i="7"/>
  <c r="Y41" i="7"/>
  <c r="Y43" i="7"/>
  <c r="T156" i="41"/>
  <c r="BN143" i="41"/>
  <c r="I144" i="41"/>
  <c r="BC144" i="41" s="1"/>
  <c r="BC99" i="41"/>
  <c r="AJ157" i="41"/>
  <c r="CD157" i="41" s="1"/>
  <c r="AF156" i="41"/>
  <c r="BZ156" i="41" s="1"/>
  <c r="G125" i="41"/>
  <c r="BA125" i="41" s="1"/>
  <c r="BA60" i="41"/>
  <c r="AF60" i="7"/>
  <c r="CC60" i="7" s="1"/>
  <c r="AF14" i="7"/>
  <c r="CC14" i="7" s="1"/>
  <c r="CC16" i="7"/>
  <c r="J144" i="41"/>
  <c r="BD99" i="41"/>
  <c r="AP60" i="7"/>
  <c r="CM60" i="7" s="1"/>
  <c r="K74" i="67"/>
  <c r="BD57" i="41"/>
  <c r="K74" i="85" s="1"/>
  <c r="Q157" i="41"/>
  <c r="BK157" i="41" s="1"/>
  <c r="BK144" i="41"/>
  <c r="AE60" i="7"/>
  <c r="CB60" i="7" s="1"/>
  <c r="BU143" i="41"/>
  <c r="M144" i="41"/>
  <c r="BG99" i="41"/>
  <c r="K144" i="41"/>
  <c r="BE144" i="41" s="1"/>
  <c r="BE99" i="41"/>
  <c r="L74" i="67"/>
  <c r="BE57" i="41"/>
  <c r="L74" i="85" s="1"/>
  <c r="F73" i="49"/>
  <c r="L73" i="49" s="1"/>
  <c r="CL37" i="7"/>
  <c r="AO43" i="7"/>
  <c r="AO41" i="7"/>
  <c r="AB156" i="41"/>
  <c r="BV156" i="41" s="1"/>
  <c r="J143" i="41"/>
  <c r="BD143" i="41" s="1"/>
  <c r="BD73" i="41"/>
  <c r="AD157" i="41"/>
  <c r="BX157" i="41" s="1"/>
  <c r="O63" i="67"/>
  <c r="M143" i="41"/>
  <c r="M156" i="41" s="1"/>
  <c r="BG156" i="41" s="1"/>
  <c r="N37" i="85" s="1"/>
  <c r="BG73" i="41"/>
  <c r="I143" i="41"/>
  <c r="BC143" i="41" s="1"/>
  <c r="BC73" i="41"/>
  <c r="AH14" i="7"/>
  <c r="CE14" i="7" s="1"/>
  <c r="CE16" i="7"/>
  <c r="G60" i="49"/>
  <c r="M60" i="49" s="1"/>
  <c r="CE43" i="7"/>
  <c r="G143" i="41"/>
  <c r="BA143" i="41" s="1"/>
  <c r="BA73" i="41"/>
  <c r="R156" i="41"/>
  <c r="I125" i="41"/>
  <c r="BC125" i="41" s="1"/>
  <c r="BC60" i="41"/>
  <c r="AD14" i="7"/>
  <c r="CA14" i="7" s="1"/>
  <c r="CA16" i="7"/>
  <c r="Z156" i="41"/>
  <c r="BT156" i="41" s="1"/>
  <c r="R157" i="41"/>
  <c r="AL157" i="41"/>
  <c r="CF157" i="41" s="1"/>
  <c r="L79" i="67"/>
  <c r="O69" i="67"/>
  <c r="X156" i="41"/>
  <c r="BR156" i="41" s="1"/>
  <c r="BR143" i="41"/>
  <c r="H144" i="41"/>
  <c r="BB144" i="41" s="1"/>
  <c r="BB99" i="41"/>
  <c r="L38" i="67"/>
  <c r="BE150" i="41"/>
  <c r="L38" i="85" s="1"/>
  <c r="O38" i="85" s="1"/>
  <c r="AC60" i="7"/>
  <c r="BZ60" i="7" s="1"/>
  <c r="L143" i="41"/>
  <c r="BF73" i="41"/>
  <c r="S157" i="41"/>
  <c r="AN14" i="7"/>
  <c r="CK14" i="7" s="1"/>
  <c r="CK16" i="7"/>
  <c r="M74" i="67"/>
  <c r="BF57" i="41"/>
  <c r="M74" i="85" s="1"/>
  <c r="K143" i="41"/>
  <c r="K156" i="41" s="1"/>
  <c r="BE156" i="41" s="1"/>
  <c r="L37" i="85" s="1"/>
  <c r="L13" i="85" s="1"/>
  <c r="BE73" i="41"/>
  <c r="S156" i="41"/>
  <c r="BM143" i="41"/>
  <c r="AW37" i="7"/>
  <c r="CS43" i="7"/>
  <c r="U157" i="41"/>
  <c r="BO144" i="41"/>
  <c r="P156" i="41"/>
  <c r="BJ156" i="41" s="1"/>
  <c r="BJ143" i="41"/>
  <c r="I126" i="41"/>
  <c r="BC126" i="41" s="1"/>
  <c r="L87" i="67"/>
  <c r="N87" i="67"/>
  <c r="K87" i="67"/>
  <c r="M87" i="67"/>
  <c r="M85" i="67"/>
  <c r="O53" i="67"/>
  <c r="L82" i="67"/>
  <c r="N82" i="67"/>
  <c r="O55" i="67"/>
  <c r="L85" i="67"/>
  <c r="AK77" i="7"/>
  <c r="AK78" i="7"/>
  <c r="AL77" i="7"/>
  <c r="AL78" i="7" s="1"/>
  <c r="J82" i="67"/>
  <c r="K126" i="41"/>
  <c r="O77" i="67"/>
  <c r="I134" i="41"/>
  <c r="BC134" i="41" s="1"/>
  <c r="J126" i="41"/>
  <c r="N57" i="41"/>
  <c r="BH57" i="41" s="1"/>
  <c r="L126" i="41"/>
  <c r="M79" i="67"/>
  <c r="L125" i="41"/>
  <c r="BF125" i="41" s="1"/>
  <c r="M125" i="41"/>
  <c r="BG125" i="41" s="1"/>
  <c r="H125" i="41"/>
  <c r="BB125" i="41" s="1"/>
  <c r="K134" i="41"/>
  <c r="BE134" i="41" s="1"/>
  <c r="M57" i="67"/>
  <c r="N79" i="67"/>
  <c r="O60" i="67"/>
  <c r="G124" i="41"/>
  <c r="BA124" i="41" s="1"/>
  <c r="M126" i="41"/>
  <c r="L134" i="41"/>
  <c r="BF134" i="41" s="1"/>
  <c r="AE19" i="7"/>
  <c r="G134" i="41"/>
  <c r="BA134" i="41" s="1"/>
  <c r="K57" i="67"/>
  <c r="K157" i="41"/>
  <c r="H134" i="41"/>
  <c r="BB134" i="41" s="1"/>
  <c r="O62" i="67"/>
  <c r="J57" i="67"/>
  <c r="J59" i="67" s="1"/>
  <c r="M134" i="41"/>
  <c r="BG134" i="41" s="1"/>
  <c r="M66" i="67"/>
  <c r="M68" i="67" s="1"/>
  <c r="O72" i="67"/>
  <c r="O78" i="67"/>
  <c r="M82" i="67"/>
  <c r="L57" i="67"/>
  <c r="K82" i="67"/>
  <c r="K66" i="67"/>
  <c r="K68" i="67" s="1"/>
  <c r="AG10" i="7"/>
  <c r="CD10" i="7" s="1"/>
  <c r="M38" i="67"/>
  <c r="AN10" i="7"/>
  <c r="CK10" i="7" s="1"/>
  <c r="L41" i="67"/>
  <c r="J87" i="67"/>
  <c r="O58" i="67"/>
  <c r="K125" i="41"/>
  <c r="BE125" i="41" s="1"/>
  <c r="O84" i="67"/>
  <c r="O54" i="67"/>
  <c r="J85" i="67"/>
  <c r="O83" i="67"/>
  <c r="K79" i="67"/>
  <c r="O80" i="67"/>
  <c r="AL10" i="7"/>
  <c r="CI10" i="7" s="1"/>
  <c r="J41" i="67"/>
  <c r="K124" i="41"/>
  <c r="BE124" i="41" s="1"/>
  <c r="H126" i="41"/>
  <c r="BB126" i="41" s="1"/>
  <c r="L124" i="41"/>
  <c r="BF124" i="41" s="1"/>
  <c r="N57" i="67"/>
  <c r="J79" i="67"/>
  <c r="K85" i="67"/>
  <c r="O81" i="67"/>
  <c r="N73" i="67"/>
  <c r="O51" i="67"/>
  <c r="N85" i="67"/>
  <c r="AM10" i="7"/>
  <c r="CJ10" i="7" s="1"/>
  <c r="K41" i="67"/>
  <c r="AD10" i="7"/>
  <c r="CA10" i="7" s="1"/>
  <c r="J38" i="67"/>
  <c r="J134" i="41"/>
  <c r="BD134" i="41" s="1"/>
  <c r="AO10" i="7"/>
  <c r="CL10" i="7" s="1"/>
  <c r="M41" i="67"/>
  <c r="AE10" i="7"/>
  <c r="CB10" i="7" s="1"/>
  <c r="K38" i="67"/>
  <c r="O67" i="67"/>
  <c r="O48" i="67"/>
  <c r="O70" i="67"/>
  <c r="K71" i="67"/>
  <c r="AP10" i="7"/>
  <c r="CM10" i="7" s="1"/>
  <c r="AL14" i="7"/>
  <c r="CI14" i="7" s="1"/>
  <c r="AP14" i="7"/>
  <c r="CM14" i="7" s="1"/>
  <c r="AO14" i="7"/>
  <c r="CL14" i="7" s="1"/>
  <c r="AH10" i="7"/>
  <c r="CE10" i="7" s="1"/>
  <c r="AE14" i="7"/>
  <c r="CB14" i="7" s="1"/>
  <c r="H124" i="41"/>
  <c r="BB124" i="41" s="1"/>
  <c r="AF10" i="7"/>
  <c r="CC10" i="7" s="1"/>
  <c r="AG14" i="7"/>
  <c r="CD14" i="7" s="1"/>
  <c r="I124" i="41"/>
  <c r="BC124" i="41" s="1"/>
  <c r="M124" i="41"/>
  <c r="BG124" i="41" s="1"/>
  <c r="J125" i="41"/>
  <c r="BD125" i="41" s="1"/>
  <c r="AJ9" i="41"/>
  <c r="N60" i="41"/>
  <c r="BH60" i="41" s="1"/>
  <c r="N73" i="41"/>
  <c r="BH73" i="41" s="1"/>
  <c r="N36" i="41"/>
  <c r="BH36" i="41" s="1"/>
  <c r="N99" i="41"/>
  <c r="BH99" i="41" s="1"/>
  <c r="N11" i="41"/>
  <c r="BH11" i="41" s="1"/>
  <c r="J124" i="41"/>
  <c r="BD124" i="41" s="1"/>
  <c r="N150" i="41"/>
  <c r="BH150" i="41" s="1"/>
  <c r="N151" i="41"/>
  <c r="BH151" i="41" s="1"/>
  <c r="Z9" i="41"/>
  <c r="AH9" i="41"/>
  <c r="AI9" i="41"/>
  <c r="AA9" i="41"/>
  <c r="N48" i="41"/>
  <c r="BH48" i="41" s="1"/>
  <c r="AC9" i="41"/>
  <c r="AK9" i="41"/>
  <c r="Y9" i="41"/>
  <c r="AG9" i="41"/>
  <c r="AH18" i="7" l="1"/>
  <c r="CE18" i="7" s="1"/>
  <c r="BP156" i="41"/>
  <c r="AN77" i="7"/>
  <c r="AN78" i="7" s="1"/>
  <c r="AM77" i="7"/>
  <c r="AM78" i="7" s="1"/>
  <c r="AC78" i="7"/>
  <c r="AD77" i="7"/>
  <c r="AD78" i="7" s="1"/>
  <c r="AF77" i="7"/>
  <c r="AF78" i="7" s="1"/>
  <c r="AE77" i="7"/>
  <c r="AE78" i="7" s="1"/>
  <c r="L157" i="41"/>
  <c r="AK66" i="7"/>
  <c r="AK67" i="7" s="1"/>
  <c r="AM19" i="7"/>
  <c r="AO19" i="7"/>
  <c r="AC66" i="7"/>
  <c r="AC67" i="7" s="1"/>
  <c r="AH19" i="7"/>
  <c r="L156" i="41"/>
  <c r="BF156" i="41" s="1"/>
  <c r="M37" i="85" s="1"/>
  <c r="AG19" i="7"/>
  <c r="O85" i="85"/>
  <c r="M73" i="67"/>
  <c r="N68" i="67"/>
  <c r="C13" i="47"/>
  <c r="J13" i="47" s="1"/>
  <c r="J73" i="67"/>
  <c r="L68" i="67"/>
  <c r="C29" i="47"/>
  <c r="J29" i="47" s="1"/>
  <c r="BP157" i="41"/>
  <c r="AG18" i="7"/>
  <c r="CD18" i="7" s="1"/>
  <c r="BO156" i="41"/>
  <c r="AL66" i="7"/>
  <c r="AL67" i="7" s="1"/>
  <c r="H157" i="41"/>
  <c r="BB157" i="41" s="1"/>
  <c r="AN9" i="7"/>
  <c r="CK9" i="7" s="1"/>
  <c r="AC77" i="7"/>
  <c r="N86" i="67"/>
  <c r="J68" i="67"/>
  <c r="M157" i="41"/>
  <c r="BG157" i="41" s="1"/>
  <c r="N40" i="85" s="1"/>
  <c r="J157" i="41"/>
  <c r="BD157" i="41" s="1"/>
  <c r="K40" i="85" s="1"/>
  <c r="AD9" i="7"/>
  <c r="CA9" i="7" s="1"/>
  <c r="AD19" i="7"/>
  <c r="J156" i="41"/>
  <c r="BD156" i="41" s="1"/>
  <c r="K37" i="85" s="1"/>
  <c r="AE9" i="7"/>
  <c r="CB9" i="7" s="1"/>
  <c r="I156" i="41"/>
  <c r="BC156" i="41" s="1"/>
  <c r="J37" i="85" s="1"/>
  <c r="G156" i="41"/>
  <c r="BA156" i="41" s="1"/>
  <c r="AO66" i="7"/>
  <c r="AO67" i="7" s="1"/>
  <c r="BN157" i="41"/>
  <c r="N143" i="41"/>
  <c r="BH143" i="41" s="1"/>
  <c r="AL19" i="7"/>
  <c r="CI19" i="7" s="1"/>
  <c r="AP19" i="7"/>
  <c r="AD66" i="7"/>
  <c r="AD67" i="7" s="1"/>
  <c r="AP66" i="7"/>
  <c r="AP67" i="7" s="1"/>
  <c r="AP77" i="7"/>
  <c r="AP78" i="7" s="1"/>
  <c r="AO77" i="7"/>
  <c r="AO78" i="7" s="1"/>
  <c r="AF19" i="7"/>
  <c r="AN66" i="7"/>
  <c r="AN67" i="7" s="1"/>
  <c r="AM66" i="7"/>
  <c r="AM67" i="7" s="1"/>
  <c r="Q22" i="85"/>
  <c r="N36" i="85"/>
  <c r="N22" i="85" s="1"/>
  <c r="N13" i="85"/>
  <c r="J73" i="85"/>
  <c r="O73" i="85" s="1"/>
  <c r="O71" i="85"/>
  <c r="O57" i="85"/>
  <c r="J59" i="85"/>
  <c r="J86" i="85"/>
  <c r="J88" i="85" s="1"/>
  <c r="J36" i="85"/>
  <c r="O37" i="85"/>
  <c r="J13" i="85"/>
  <c r="K14" i="85"/>
  <c r="K39" i="85"/>
  <c r="K23" i="85" s="1"/>
  <c r="N14" i="85"/>
  <c r="N39" i="85"/>
  <c r="N23" i="85" s="1"/>
  <c r="Q23" i="85"/>
  <c r="M59" i="85"/>
  <c r="M92" i="85" s="1"/>
  <c r="M86" i="85"/>
  <c r="M88" i="85" s="1"/>
  <c r="AE66" i="7"/>
  <c r="AE67" i="7" s="1"/>
  <c r="L36" i="85"/>
  <c r="L22" i="85" s="1"/>
  <c r="K86" i="85"/>
  <c r="K88" i="85" s="1"/>
  <c r="K59" i="85"/>
  <c r="K92" i="85" s="1"/>
  <c r="N86" i="85"/>
  <c r="N88" i="85" s="1"/>
  <c r="N59" i="85"/>
  <c r="N92" i="85" s="1"/>
  <c r="O87" i="85"/>
  <c r="O74" i="67"/>
  <c r="O74" i="85"/>
  <c r="L59" i="85"/>
  <c r="L92" i="85" s="1"/>
  <c r="L86" i="85"/>
  <c r="L88" i="85" s="1"/>
  <c r="O79" i="85"/>
  <c r="O66" i="85"/>
  <c r="J68" i="85"/>
  <c r="O68" i="85" s="1"/>
  <c r="AH78" i="7"/>
  <c r="H156" i="41"/>
  <c r="BB156" i="41" s="1"/>
  <c r="AG77" i="7"/>
  <c r="AG78" i="7" s="1"/>
  <c r="G157" i="41"/>
  <c r="BA157" i="41" s="1"/>
  <c r="AN19" i="7"/>
  <c r="AH77" i="7"/>
  <c r="AF66" i="7"/>
  <c r="AF67" i="7" s="1"/>
  <c r="CT37" i="7"/>
  <c r="AW43" i="7"/>
  <c r="AW41" i="7" s="1"/>
  <c r="AD18" i="7"/>
  <c r="CA18" i="7" s="1"/>
  <c r="BL156" i="41"/>
  <c r="AO9" i="7"/>
  <c r="CL9" i="7" s="1"/>
  <c r="BF144" i="41"/>
  <c r="AL9" i="7"/>
  <c r="CI9" i="7" s="1"/>
  <c r="G13" i="47"/>
  <c r="N13" i="47" s="1"/>
  <c r="BG126" i="41"/>
  <c r="AN17" i="7"/>
  <c r="CK19" i="7"/>
  <c r="AG66" i="7"/>
  <c r="AG67" i="7" s="1"/>
  <c r="AM18" i="7"/>
  <c r="CJ18" i="7" s="1"/>
  <c r="BM157" i="41"/>
  <c r="AF18" i="7"/>
  <c r="CC18" i="7" s="1"/>
  <c r="BN156" i="41"/>
  <c r="N144" i="41"/>
  <c r="BH144" i="41" s="1"/>
  <c r="AE18" i="7"/>
  <c r="CB18" i="7" s="1"/>
  <c r="BM156" i="41"/>
  <c r="AL18" i="7"/>
  <c r="CI18" i="7" s="1"/>
  <c r="BL157" i="41"/>
  <c r="BV43" i="7"/>
  <c r="Z37" i="7"/>
  <c r="F46" i="49"/>
  <c r="L46" i="49" s="1"/>
  <c r="J37" i="7"/>
  <c r="BF43" i="7"/>
  <c r="F18" i="49"/>
  <c r="L18" i="49" s="1"/>
  <c r="AN11" i="7"/>
  <c r="CK11" i="7" s="1"/>
  <c r="BE157" i="41"/>
  <c r="L40" i="85" s="1"/>
  <c r="AO11" i="7"/>
  <c r="CL11" i="7" s="1"/>
  <c r="BF157" i="41"/>
  <c r="M40" i="85" s="1"/>
  <c r="D29" i="47"/>
  <c r="K29" i="47" s="1"/>
  <c r="BD126" i="41"/>
  <c r="AH66" i="7"/>
  <c r="AH67" i="7" s="1"/>
  <c r="AG9" i="7"/>
  <c r="CD9" i="7" s="1"/>
  <c r="BF143" i="41"/>
  <c r="AF9" i="7"/>
  <c r="CC9" i="7" s="1"/>
  <c r="BE143" i="41"/>
  <c r="AH9" i="7"/>
  <c r="CE9" i="7" s="1"/>
  <c r="BG143" i="41"/>
  <c r="AH17" i="7"/>
  <c r="CE19" i="7"/>
  <c r="AP37" i="7"/>
  <c r="CL43" i="7"/>
  <c r="F74" i="49"/>
  <c r="L74" i="49" s="1"/>
  <c r="AP9" i="7"/>
  <c r="CM9" i="7" s="1"/>
  <c r="BG144" i="41"/>
  <c r="CB19" i="7"/>
  <c r="I157" i="41"/>
  <c r="BC157" i="41" s="1"/>
  <c r="J40" i="85" s="1"/>
  <c r="E13" i="47"/>
  <c r="L13" i="47" s="1"/>
  <c r="BE126" i="41"/>
  <c r="AO18" i="7"/>
  <c r="CL18" i="7" s="1"/>
  <c r="BO157" i="41"/>
  <c r="AM9" i="7"/>
  <c r="CJ9" i="7" s="1"/>
  <c r="BD144" i="41"/>
  <c r="F29" i="47"/>
  <c r="M29" i="47" s="1"/>
  <c r="BF126" i="41"/>
  <c r="L59" i="67"/>
  <c r="L86" i="67"/>
  <c r="L88" i="67" s="1"/>
  <c r="K59" i="67"/>
  <c r="K86" i="67"/>
  <c r="K88" i="67" s="1"/>
  <c r="O79" i="67"/>
  <c r="M59" i="67"/>
  <c r="M86" i="67"/>
  <c r="M88" i="67" s="1"/>
  <c r="O87" i="67"/>
  <c r="O82" i="67"/>
  <c r="E29" i="47"/>
  <c r="L29" i="47" s="1"/>
  <c r="L40" i="67"/>
  <c r="L39" i="67" s="1"/>
  <c r="L23" i="67" s="1"/>
  <c r="D13" i="47"/>
  <c r="K13" i="47" s="1"/>
  <c r="N134" i="41"/>
  <c r="BH134" i="41" s="1"/>
  <c r="AE22" i="7"/>
  <c r="CB22" i="7" s="1"/>
  <c r="J86" i="67"/>
  <c r="J88" i="67" s="1"/>
  <c r="N126" i="41"/>
  <c r="BH126" i="41" s="1"/>
  <c r="F13" i="47"/>
  <c r="M13" i="47" s="1"/>
  <c r="N125" i="41"/>
  <c r="BH125" i="41" s="1"/>
  <c r="O57" i="67"/>
  <c r="G29" i="47"/>
  <c r="N29" i="47" s="1"/>
  <c r="O66" i="67"/>
  <c r="O38" i="67"/>
  <c r="Q22" i="67" s="1"/>
  <c r="N59" i="67"/>
  <c r="O41" i="67"/>
  <c r="Q23" i="67" s="1"/>
  <c r="AF11" i="7"/>
  <c r="CC11" i="7" s="1"/>
  <c r="L37" i="67"/>
  <c r="AH11" i="7"/>
  <c r="CE11" i="7" s="1"/>
  <c r="N37" i="67"/>
  <c r="O85" i="67"/>
  <c r="O71" i="67"/>
  <c r="K73" i="67"/>
  <c r="N124" i="41"/>
  <c r="BH124" i="41" s="1"/>
  <c r="AW28" i="53"/>
  <c r="CY28" i="53" s="1"/>
  <c r="AX28" i="53"/>
  <c r="CZ28" i="53" s="1"/>
  <c r="AY28" i="53"/>
  <c r="DA28" i="53" s="1"/>
  <c r="AZ28" i="53"/>
  <c r="DB28" i="53" s="1"/>
  <c r="BA28" i="53"/>
  <c r="DC28" i="53" s="1"/>
  <c r="BB28" i="53"/>
  <c r="DD28" i="53" s="1"/>
  <c r="BC28" i="53"/>
  <c r="DE28" i="53" s="1"/>
  <c r="BD28" i="53"/>
  <c r="DF28" i="53" s="1"/>
  <c r="BE28" i="53"/>
  <c r="DG28" i="53" s="1"/>
  <c r="BF28" i="53"/>
  <c r="DH28" i="53" s="1"/>
  <c r="BG28" i="53"/>
  <c r="DI28" i="53" s="1"/>
  <c r="BH28" i="53"/>
  <c r="DJ28" i="53" s="1"/>
  <c r="M36" i="85" l="1"/>
  <c r="M22" i="85" s="1"/>
  <c r="M13" i="85"/>
  <c r="CL19" i="7"/>
  <c r="AG17" i="7"/>
  <c r="CD17" i="7" s="1"/>
  <c r="CD19" i="7"/>
  <c r="CJ19" i="7"/>
  <c r="AD22" i="7"/>
  <c r="CA22" i="7" s="1"/>
  <c r="CA19" i="7"/>
  <c r="AP22" i="7"/>
  <c r="CM22" i="7" s="1"/>
  <c r="CM19" i="7"/>
  <c r="AN22" i="7"/>
  <c r="CK22" i="7" s="1"/>
  <c r="AH22" i="7"/>
  <c r="CE22" i="7" s="1"/>
  <c r="M40" i="67"/>
  <c r="M39" i="67" s="1"/>
  <c r="M23" i="67" s="1"/>
  <c r="AO22" i="7"/>
  <c r="CL22" i="7" s="1"/>
  <c r="AG11" i="7"/>
  <c r="CD11" i="7" s="1"/>
  <c r="M37" i="67"/>
  <c r="AE11" i="7"/>
  <c r="CB11" i="7" s="1"/>
  <c r="K37" i="67"/>
  <c r="AG22" i="7"/>
  <c r="CD22" i="7" s="1"/>
  <c r="AP11" i="7"/>
  <c r="CM11" i="7" s="1"/>
  <c r="N40" i="67"/>
  <c r="AM22" i="7"/>
  <c r="CJ22" i="7" s="1"/>
  <c r="AD17" i="7"/>
  <c r="N156" i="41"/>
  <c r="BH156" i="41" s="1"/>
  <c r="N92" i="67"/>
  <c r="K36" i="85"/>
  <c r="K22" i="85" s="1"/>
  <c r="K13" i="85"/>
  <c r="AM11" i="7"/>
  <c r="CJ11" i="7" s="1"/>
  <c r="K40" i="67"/>
  <c r="AD11" i="7"/>
  <c r="CA11" i="7" s="1"/>
  <c r="J37" i="67"/>
  <c r="L92" i="67"/>
  <c r="M92" i="67"/>
  <c r="N88" i="67"/>
  <c r="O68" i="67"/>
  <c r="J92" i="67"/>
  <c r="AF17" i="7"/>
  <c r="CC19" i="7"/>
  <c r="AF22" i="7"/>
  <c r="CC22" i="7" s="1"/>
  <c r="AP17" i="7"/>
  <c r="AL22" i="7"/>
  <c r="CI22" i="7" s="1"/>
  <c r="AL11" i="7"/>
  <c r="CI11" i="7" s="1"/>
  <c r="J40" i="67"/>
  <c r="J39" i="67" s="1"/>
  <c r="N157" i="41"/>
  <c r="BH157" i="41" s="1"/>
  <c r="M39" i="85"/>
  <c r="M23" i="85" s="1"/>
  <c r="M14" i="85"/>
  <c r="P22" i="85"/>
  <c r="AE17" i="7"/>
  <c r="CB17" i="7" s="1"/>
  <c r="J22" i="85"/>
  <c r="L14" i="85"/>
  <c r="L39" i="85"/>
  <c r="L23" i="85" s="1"/>
  <c r="O88" i="85"/>
  <c r="P73" i="85" s="1"/>
  <c r="J39" i="85"/>
  <c r="O40" i="85"/>
  <c r="J14" i="85"/>
  <c r="J92" i="85"/>
  <c r="O59" i="85"/>
  <c r="AL17" i="7"/>
  <c r="O86" i="85"/>
  <c r="AM17" i="7"/>
  <c r="BW37" i="7"/>
  <c r="Z43" i="7"/>
  <c r="Z41" i="7"/>
  <c r="G45" i="49"/>
  <c r="M45" i="49" s="1"/>
  <c r="AM13" i="7"/>
  <c r="CJ17" i="7"/>
  <c r="AX37" i="7"/>
  <c r="CT43" i="7"/>
  <c r="AN13" i="7"/>
  <c r="CK17" i="7"/>
  <c r="AP41" i="7"/>
  <c r="CM37" i="7"/>
  <c r="AP43" i="7"/>
  <c r="G73" i="49"/>
  <c r="M73" i="49" s="1"/>
  <c r="AH13" i="7"/>
  <c r="CE17" i="7"/>
  <c r="G17" i="49"/>
  <c r="M17" i="49" s="1"/>
  <c r="BG37" i="7"/>
  <c r="J43" i="7"/>
  <c r="J41" i="7" s="1"/>
  <c r="AO17" i="7"/>
  <c r="O86" i="67"/>
  <c r="M14" i="67"/>
  <c r="L14" i="67"/>
  <c r="N13" i="67"/>
  <c r="N36" i="67"/>
  <c r="N22" i="67" s="1"/>
  <c r="O59" i="67"/>
  <c r="L36" i="67"/>
  <c r="L22" i="67" s="1"/>
  <c r="L13" i="67"/>
  <c r="O73" i="67"/>
  <c r="K92" i="67"/>
  <c r="Q53" i="60"/>
  <c r="BN53" i="60" s="1"/>
  <c r="O13" i="85" l="1"/>
  <c r="O36" i="85"/>
  <c r="O22" i="85"/>
  <c r="AG13" i="7"/>
  <c r="AG21" i="7" s="1"/>
  <c r="CD21" i="7" s="1"/>
  <c r="AF13" i="7"/>
  <c r="CC17" i="7"/>
  <c r="AP13" i="7"/>
  <c r="CM17" i="7"/>
  <c r="AD13" i="7"/>
  <c r="CA17" i="7"/>
  <c r="K13" i="67"/>
  <c r="K36" i="67"/>
  <c r="K22" i="67" s="1"/>
  <c r="J13" i="67"/>
  <c r="J36" i="67"/>
  <c r="O37" i="67"/>
  <c r="P22" i="67" s="1"/>
  <c r="K39" i="67"/>
  <c r="K23" i="67" s="1"/>
  <c r="K14" i="67"/>
  <c r="N14" i="67"/>
  <c r="N39" i="67"/>
  <c r="N23" i="67" s="1"/>
  <c r="M36" i="67"/>
  <c r="M22" i="67" s="1"/>
  <c r="M13" i="67"/>
  <c r="J14" i="67"/>
  <c r="P57" i="85"/>
  <c r="O88" i="67"/>
  <c r="P57" i="67" s="1"/>
  <c r="CD13" i="7"/>
  <c r="O40" i="67"/>
  <c r="P23" i="67" s="1"/>
  <c r="P86" i="85"/>
  <c r="AE13" i="7"/>
  <c r="AE21" i="7" s="1"/>
  <c r="CB21" i="7" s="1"/>
  <c r="J23" i="85"/>
  <c r="O23" i="85" s="1"/>
  <c r="O39" i="85"/>
  <c r="CI17" i="7"/>
  <c r="AL13" i="7"/>
  <c r="P87" i="85"/>
  <c r="P88" i="85"/>
  <c r="P81" i="85"/>
  <c r="P78" i="85"/>
  <c r="P77" i="85"/>
  <c r="P48" i="85"/>
  <c r="P62" i="85"/>
  <c r="P67" i="85"/>
  <c r="P72" i="85"/>
  <c r="P55" i="85"/>
  <c r="P63" i="85"/>
  <c r="P54" i="85"/>
  <c r="P53" i="85"/>
  <c r="P65" i="85"/>
  <c r="P70" i="85"/>
  <c r="P80" i="85"/>
  <c r="P82" i="85"/>
  <c r="P83" i="85"/>
  <c r="P64" i="85"/>
  <c r="P50" i="85"/>
  <c r="P84" i="85"/>
  <c r="P49" i="85"/>
  <c r="P85" i="85"/>
  <c r="P75" i="85"/>
  <c r="P52" i="85"/>
  <c r="P60" i="85"/>
  <c r="P58" i="85"/>
  <c r="P69" i="85"/>
  <c r="P61" i="85"/>
  <c r="P76" i="85"/>
  <c r="P56" i="85"/>
  <c r="P51" i="85"/>
  <c r="P71" i="85"/>
  <c r="P59" i="85"/>
  <c r="O92" i="85"/>
  <c r="P79" i="85"/>
  <c r="P66" i="85"/>
  <c r="P23" i="85"/>
  <c r="P74" i="85"/>
  <c r="O14" i="85"/>
  <c r="P68" i="85"/>
  <c r="AH21" i="7"/>
  <c r="CE21" i="7" s="1"/>
  <c r="CE13" i="7"/>
  <c r="CK13" i="7"/>
  <c r="AN21" i="7"/>
  <c r="CK21" i="7" s="1"/>
  <c r="G18" i="49"/>
  <c r="M18" i="49" s="1"/>
  <c r="BG43" i="7"/>
  <c r="G46" i="49"/>
  <c r="M46" i="49" s="1"/>
  <c r="BW43" i="7"/>
  <c r="G74" i="49"/>
  <c r="M74" i="49" s="1"/>
  <c r="CM43" i="7"/>
  <c r="CU37" i="7"/>
  <c r="AX43" i="7"/>
  <c r="CU43" i="7" s="1"/>
  <c r="AP21" i="7"/>
  <c r="CM21" i="7" s="1"/>
  <c r="CM13" i="7"/>
  <c r="AF21" i="7"/>
  <c r="CC21" i="7" s="1"/>
  <c r="CC13" i="7"/>
  <c r="CL17" i="7"/>
  <c r="AO13" i="7"/>
  <c r="AD21" i="7"/>
  <c r="CA21" i="7" s="1"/>
  <c r="CA13" i="7"/>
  <c r="AM21" i="7"/>
  <c r="CJ21" i="7" s="1"/>
  <c r="CJ13" i="7"/>
  <c r="J23" i="67"/>
  <c r="O23" i="67" s="1"/>
  <c r="O39" i="67"/>
  <c r="O13" i="67"/>
  <c r="J22" i="67"/>
  <c r="O22" i="67" s="1"/>
  <c r="O36" i="67"/>
  <c r="O92" i="67"/>
  <c r="D101" i="73"/>
  <c r="BH101" i="73" s="1"/>
  <c r="D100" i="73"/>
  <c r="BH100" i="73" s="1"/>
  <c r="O14" i="67" l="1"/>
  <c r="AX41" i="7"/>
  <c r="P65" i="67"/>
  <c r="P51" i="67"/>
  <c r="P84" i="67"/>
  <c r="P85" i="67"/>
  <c r="P68" i="67"/>
  <c r="P71" i="67"/>
  <c r="P78" i="67"/>
  <c r="P81" i="67"/>
  <c r="P58" i="67"/>
  <c r="P50" i="67"/>
  <c r="P61" i="67"/>
  <c r="P79" i="67"/>
  <c r="P64" i="67"/>
  <c r="P80" i="67"/>
  <c r="P63" i="67"/>
  <c r="P72" i="67"/>
  <c r="P67" i="67"/>
  <c r="P75" i="67"/>
  <c r="P52" i="67"/>
  <c r="P73" i="67"/>
  <c r="P59" i="67"/>
  <c r="P60" i="67"/>
  <c r="P82" i="67"/>
  <c r="P53" i="67"/>
  <c r="P88" i="67"/>
  <c r="P69" i="67"/>
  <c r="P70" i="67"/>
  <c r="P74" i="67"/>
  <c r="P77" i="67"/>
  <c r="P54" i="67"/>
  <c r="P86" i="67"/>
  <c r="P48" i="67"/>
  <c r="P56" i="67"/>
  <c r="P55" i="67"/>
  <c r="P83" i="67"/>
  <c r="P66" i="67"/>
  <c r="P49" i="67"/>
  <c r="P62" i="67"/>
  <c r="P76" i="67"/>
  <c r="P87" i="67"/>
  <c r="CB13" i="7"/>
  <c r="AL21" i="7"/>
  <c r="CI21" i="7" s="1"/>
  <c r="CI13" i="7"/>
  <c r="AO21" i="7"/>
  <c r="CL21" i="7" s="1"/>
  <c r="CL13" i="7"/>
  <c r="AH105" i="73"/>
  <c r="BX105" i="73" s="1"/>
  <c r="AH104" i="73"/>
  <c r="BX104" i="73" s="1"/>
  <c r="AH103" i="73"/>
  <c r="BX103" i="73" s="1"/>
  <c r="AH102" i="73"/>
  <c r="BX102" i="73" s="1"/>
  <c r="AF105" i="73"/>
  <c r="BW105" i="73" s="1"/>
  <c r="AF104" i="73"/>
  <c r="BW104" i="73" s="1"/>
  <c r="AF103" i="73"/>
  <c r="BW103" i="73" s="1"/>
  <c r="AF102" i="73"/>
  <c r="BW102" i="73" s="1"/>
  <c r="AD105" i="73"/>
  <c r="BV105" i="73" s="1"/>
  <c r="AD104" i="73"/>
  <c r="BV104" i="73" s="1"/>
  <c r="AD103" i="73"/>
  <c r="BV103" i="73" s="1"/>
  <c r="AD102" i="73"/>
  <c r="BV102" i="73" s="1"/>
  <c r="AB105" i="73"/>
  <c r="BU105" i="73" s="1"/>
  <c r="AB104" i="73"/>
  <c r="BU104" i="73" s="1"/>
  <c r="AB103" i="73"/>
  <c r="BU103" i="73" s="1"/>
  <c r="AB102" i="73"/>
  <c r="BU102" i="73" s="1"/>
  <c r="Z105" i="73"/>
  <c r="BT105" i="73" s="1"/>
  <c r="Z104" i="73"/>
  <c r="BT104" i="73" s="1"/>
  <c r="Z103" i="73"/>
  <c r="BT103" i="73" s="1"/>
  <c r="Z102" i="73"/>
  <c r="BT102" i="73" s="1"/>
  <c r="AH101" i="73"/>
  <c r="BX101" i="73" s="1"/>
  <c r="AF101" i="73"/>
  <c r="BW101" i="73" s="1"/>
  <c r="AD101" i="73"/>
  <c r="BV101" i="73" s="1"/>
  <c r="AB101" i="73"/>
  <c r="BU101" i="73" s="1"/>
  <c r="Z101" i="73"/>
  <c r="BT101" i="73" s="1"/>
  <c r="AH100" i="73"/>
  <c r="AF100" i="73"/>
  <c r="AD100" i="73"/>
  <c r="BV100" i="73" s="1"/>
  <c r="AB100" i="73"/>
  <c r="BU100" i="73" s="1"/>
  <c r="Z100" i="73"/>
  <c r="BT100" i="73" s="1"/>
  <c r="W105" i="73"/>
  <c r="BR105" i="73" s="1"/>
  <c r="U105" i="73"/>
  <c r="BQ105" i="73" s="1"/>
  <c r="S105" i="73"/>
  <c r="BP105" i="73" s="1"/>
  <c r="Q105" i="73"/>
  <c r="BO105" i="73" s="1"/>
  <c r="O105" i="73"/>
  <c r="BN105" i="73" s="1"/>
  <c r="W104" i="73"/>
  <c r="BR104" i="73" s="1"/>
  <c r="U104" i="73"/>
  <c r="BQ104" i="73" s="1"/>
  <c r="S104" i="73"/>
  <c r="BP104" i="73" s="1"/>
  <c r="Q104" i="73"/>
  <c r="BO104" i="73" s="1"/>
  <c r="O104" i="73"/>
  <c r="BN104" i="73" s="1"/>
  <c r="W103" i="73"/>
  <c r="BR103" i="73" s="1"/>
  <c r="U103" i="73"/>
  <c r="BQ103" i="73" s="1"/>
  <c r="S103" i="73"/>
  <c r="BP103" i="73" s="1"/>
  <c r="Q103" i="73"/>
  <c r="BO103" i="73" s="1"/>
  <c r="O103" i="73"/>
  <c r="BN103" i="73" s="1"/>
  <c r="W102" i="73"/>
  <c r="BR102" i="73" s="1"/>
  <c r="U102" i="73"/>
  <c r="BQ102" i="73" s="1"/>
  <c r="S102" i="73"/>
  <c r="BP102" i="73" s="1"/>
  <c r="Q102" i="73"/>
  <c r="BO102" i="73" s="1"/>
  <c r="O102" i="73"/>
  <c r="BN102" i="73" s="1"/>
  <c r="W101" i="73"/>
  <c r="BR101" i="73" s="1"/>
  <c r="U101" i="73"/>
  <c r="BQ101" i="73" s="1"/>
  <c r="S101" i="73"/>
  <c r="BP101" i="73" s="1"/>
  <c r="Q101" i="73"/>
  <c r="BO101" i="73" s="1"/>
  <c r="O101" i="73"/>
  <c r="BN101" i="73" s="1"/>
  <c r="W100" i="73"/>
  <c r="U100" i="73"/>
  <c r="BQ100" i="73" s="1"/>
  <c r="S100" i="73"/>
  <c r="BP100" i="73" s="1"/>
  <c r="Q100" i="73"/>
  <c r="BO100" i="73" s="1"/>
  <c r="O100" i="73"/>
  <c r="BN100" i="73" s="1"/>
  <c r="L106" i="73"/>
  <c r="BL106" i="73" s="1"/>
  <c r="J106" i="73"/>
  <c r="BK106" i="73" s="1"/>
  <c r="H106" i="73"/>
  <c r="BJ106" i="73" s="1"/>
  <c r="F106" i="73"/>
  <c r="BI106" i="73" s="1"/>
  <c r="L105" i="73"/>
  <c r="BL105" i="73" s="1"/>
  <c r="J105" i="73"/>
  <c r="BK105" i="73" s="1"/>
  <c r="H105" i="73"/>
  <c r="BJ105" i="73" s="1"/>
  <c r="F105" i="73"/>
  <c r="BI105" i="73" s="1"/>
  <c r="L104" i="73"/>
  <c r="BL104" i="73" s="1"/>
  <c r="J104" i="73"/>
  <c r="BK104" i="73" s="1"/>
  <c r="H104" i="73"/>
  <c r="BJ104" i="73" s="1"/>
  <c r="F104" i="73"/>
  <c r="BI104" i="73" s="1"/>
  <c r="L103" i="73"/>
  <c r="BL103" i="73" s="1"/>
  <c r="J103" i="73"/>
  <c r="BK103" i="73" s="1"/>
  <c r="H103" i="73"/>
  <c r="BJ103" i="73" s="1"/>
  <c r="F103" i="73"/>
  <c r="BI103" i="73" s="1"/>
  <c r="L102" i="73"/>
  <c r="BL102" i="73" s="1"/>
  <c r="J102" i="73"/>
  <c r="BK102" i="73" s="1"/>
  <c r="H102" i="73"/>
  <c r="BJ102" i="73" s="1"/>
  <c r="F102" i="73"/>
  <c r="BI102" i="73" s="1"/>
  <c r="L101" i="73"/>
  <c r="BL101" i="73" s="1"/>
  <c r="J101" i="73"/>
  <c r="BK101" i="73" s="1"/>
  <c r="H101" i="73"/>
  <c r="BJ101" i="73" s="1"/>
  <c r="F101" i="73"/>
  <c r="BI101" i="73" s="1"/>
  <c r="D105" i="73"/>
  <c r="BH105" i="73" s="1"/>
  <c r="D104" i="73"/>
  <c r="BH104" i="73" s="1"/>
  <c r="D103" i="73"/>
  <c r="BH103" i="73" s="1"/>
  <c r="D102" i="73"/>
  <c r="BH102" i="73" s="1"/>
  <c r="BE87" i="73"/>
  <c r="BD87" i="73"/>
  <c r="CJ87" i="73" s="1"/>
  <c r="BC87" i="73"/>
  <c r="BB87" i="73"/>
  <c r="CI87" i="73" s="1"/>
  <c r="BA87" i="73"/>
  <c r="AZ87" i="73"/>
  <c r="CH87" i="73" s="1"/>
  <c r="AY87" i="73"/>
  <c r="AX87" i="73"/>
  <c r="CG87" i="73" s="1"/>
  <c r="AW87" i="73"/>
  <c r="AV87" i="73"/>
  <c r="CF87" i="73" s="1"/>
  <c r="BE86" i="73"/>
  <c r="BD86" i="73"/>
  <c r="CJ86" i="73" s="1"/>
  <c r="BC86" i="73"/>
  <c r="BB86" i="73"/>
  <c r="CI86" i="73" s="1"/>
  <c r="BA86" i="73"/>
  <c r="AZ86" i="73"/>
  <c r="CH86" i="73" s="1"/>
  <c r="AY86" i="73"/>
  <c r="AX86" i="73"/>
  <c r="CG86" i="73" s="1"/>
  <c r="AW86" i="73"/>
  <c r="AV86" i="73"/>
  <c r="CF86" i="73" s="1"/>
  <c r="BE85" i="73"/>
  <c r="BD85" i="73"/>
  <c r="CJ85" i="73" s="1"/>
  <c r="BC85" i="73"/>
  <c r="BB85" i="73"/>
  <c r="CI85" i="73" s="1"/>
  <c r="BA85" i="73"/>
  <c r="AZ85" i="73"/>
  <c r="CH85" i="73" s="1"/>
  <c r="AY85" i="73"/>
  <c r="AX85" i="73"/>
  <c r="CG85" i="73" s="1"/>
  <c r="AW85" i="73"/>
  <c r="AV85" i="73"/>
  <c r="CF85" i="73" s="1"/>
  <c r="BE84" i="73"/>
  <c r="BD84" i="73"/>
  <c r="CJ84" i="73" s="1"/>
  <c r="BC84" i="73"/>
  <c r="BB84" i="73"/>
  <c r="CI84" i="73" s="1"/>
  <c r="BA84" i="73"/>
  <c r="AZ84" i="73"/>
  <c r="CH84" i="73" s="1"/>
  <c r="AY84" i="73"/>
  <c r="AX84" i="73"/>
  <c r="CG84" i="73" s="1"/>
  <c r="AW84" i="73"/>
  <c r="AV84" i="73"/>
  <c r="CF84" i="73" s="1"/>
  <c r="BE82" i="73"/>
  <c r="BD82" i="73"/>
  <c r="CJ82" i="73" s="1"/>
  <c r="BC82" i="73"/>
  <c r="BB82" i="73"/>
  <c r="CI82" i="73" s="1"/>
  <c r="BA82" i="73"/>
  <c r="AZ82" i="73"/>
  <c r="CH82" i="73" s="1"/>
  <c r="AY82" i="73"/>
  <c r="AX82" i="73"/>
  <c r="CG82" i="73" s="1"/>
  <c r="AW82" i="73"/>
  <c r="AV82" i="73"/>
  <c r="CF82" i="73" s="1"/>
  <c r="BE81" i="73"/>
  <c r="BD81" i="73"/>
  <c r="CJ81" i="73" s="1"/>
  <c r="BC81" i="73"/>
  <c r="BB81" i="73"/>
  <c r="CI81" i="73" s="1"/>
  <c r="BA81" i="73"/>
  <c r="AZ81" i="73"/>
  <c r="CH81" i="73" s="1"/>
  <c r="AY81" i="73"/>
  <c r="AX81" i="73"/>
  <c r="CG81" i="73" s="1"/>
  <c r="AW81" i="73"/>
  <c r="AV81" i="73"/>
  <c r="CF81" i="73" s="1"/>
  <c r="BE80" i="73"/>
  <c r="BD80" i="73"/>
  <c r="CJ80" i="73" s="1"/>
  <c r="BC80" i="73"/>
  <c r="BB80" i="73"/>
  <c r="CI80" i="73" s="1"/>
  <c r="BA80" i="73"/>
  <c r="AZ80" i="73"/>
  <c r="CH80" i="73" s="1"/>
  <c r="AY80" i="73"/>
  <c r="AX80" i="73"/>
  <c r="CG80" i="73" s="1"/>
  <c r="AW80" i="73"/>
  <c r="AV80" i="73"/>
  <c r="CF80" i="73" s="1"/>
  <c r="BE79" i="73"/>
  <c r="BD79" i="73"/>
  <c r="CJ79" i="73" s="1"/>
  <c r="BC79" i="73"/>
  <c r="BB79" i="73"/>
  <c r="CI79" i="73" s="1"/>
  <c r="BA79" i="73"/>
  <c r="AZ79" i="73"/>
  <c r="CH79" i="73" s="1"/>
  <c r="AY79" i="73"/>
  <c r="AX79" i="73"/>
  <c r="CG79" i="73" s="1"/>
  <c r="AW79" i="73"/>
  <c r="AV79" i="73"/>
  <c r="CF79" i="73" s="1"/>
  <c r="BE78" i="73"/>
  <c r="BD78" i="73"/>
  <c r="CJ78" i="73" s="1"/>
  <c r="BC78" i="73"/>
  <c r="BB78" i="73"/>
  <c r="CI78" i="73" s="1"/>
  <c r="BA78" i="73"/>
  <c r="AZ78" i="73"/>
  <c r="CH78" i="73" s="1"/>
  <c r="AY78" i="73"/>
  <c r="AX78" i="73"/>
  <c r="CG78" i="73" s="1"/>
  <c r="AW78" i="73"/>
  <c r="AV78" i="73"/>
  <c r="CF78" i="73" s="1"/>
  <c r="BE77" i="73"/>
  <c r="BD77" i="73"/>
  <c r="CJ77" i="73" s="1"/>
  <c r="BC77" i="73"/>
  <c r="BB77" i="73"/>
  <c r="CI77" i="73" s="1"/>
  <c r="BA77" i="73"/>
  <c r="AZ77" i="73"/>
  <c r="CH77" i="73" s="1"/>
  <c r="AY77" i="73"/>
  <c r="AX77" i="73"/>
  <c r="CG77" i="73" s="1"/>
  <c r="AW77" i="73"/>
  <c r="AV77" i="73"/>
  <c r="CF77" i="73" s="1"/>
  <c r="BE75" i="73"/>
  <c r="BD75" i="73"/>
  <c r="CJ75" i="73" s="1"/>
  <c r="BC75" i="73"/>
  <c r="BB75" i="73"/>
  <c r="CI75" i="73" s="1"/>
  <c r="BA75" i="73"/>
  <c r="AZ75" i="73"/>
  <c r="CH75" i="73" s="1"/>
  <c r="AY75" i="73"/>
  <c r="AX75" i="73"/>
  <c r="CG75" i="73" s="1"/>
  <c r="AW75" i="73"/>
  <c r="AV75" i="73"/>
  <c r="CF75" i="73" s="1"/>
  <c r="BE73" i="73"/>
  <c r="BD73" i="73"/>
  <c r="CJ73" i="73" s="1"/>
  <c r="BC73" i="73"/>
  <c r="BB73" i="73"/>
  <c r="CI73" i="73" s="1"/>
  <c r="BA73" i="73"/>
  <c r="AZ73" i="73"/>
  <c r="CH73" i="73" s="1"/>
  <c r="AY73" i="73"/>
  <c r="AX73" i="73"/>
  <c r="CG73" i="73" s="1"/>
  <c r="AW73" i="73"/>
  <c r="AV73" i="73"/>
  <c r="CF73" i="73" s="1"/>
  <c r="BE71" i="73"/>
  <c r="BD71" i="73"/>
  <c r="CJ71" i="73" s="1"/>
  <c r="BC71" i="73"/>
  <c r="BB71" i="73"/>
  <c r="CI71" i="73" s="1"/>
  <c r="BA71" i="73"/>
  <c r="AZ71" i="73"/>
  <c r="CH71" i="73" s="1"/>
  <c r="AY71" i="73"/>
  <c r="AX71" i="73"/>
  <c r="CG71" i="73" s="1"/>
  <c r="AW71" i="73"/>
  <c r="AV71" i="73"/>
  <c r="CF71" i="73" s="1"/>
  <c r="BE54" i="73"/>
  <c r="BD54" i="73"/>
  <c r="CJ54" i="73" s="1"/>
  <c r="BC54" i="73"/>
  <c r="BB54" i="73"/>
  <c r="CI54" i="73" s="1"/>
  <c r="BA54" i="73"/>
  <c r="AZ54" i="73"/>
  <c r="CH54" i="73" s="1"/>
  <c r="AY54" i="73"/>
  <c r="AX54" i="73"/>
  <c r="CG54" i="73" s="1"/>
  <c r="AW54" i="73"/>
  <c r="AV54" i="73"/>
  <c r="CF54" i="73" s="1"/>
  <c r="BE53" i="73"/>
  <c r="BD53" i="73"/>
  <c r="CJ53" i="73" s="1"/>
  <c r="BC53" i="73"/>
  <c r="BB53" i="73"/>
  <c r="CI53" i="73" s="1"/>
  <c r="BA53" i="73"/>
  <c r="AZ53" i="73"/>
  <c r="CH53" i="73" s="1"/>
  <c r="AY53" i="73"/>
  <c r="AX53" i="73"/>
  <c r="CG53" i="73" s="1"/>
  <c r="AW53" i="73"/>
  <c r="AV53" i="73"/>
  <c r="CF53" i="73" s="1"/>
  <c r="BE52" i="73"/>
  <c r="BD52" i="73"/>
  <c r="CJ52" i="73" s="1"/>
  <c r="BC52" i="73"/>
  <c r="BB52" i="73"/>
  <c r="CI52" i="73" s="1"/>
  <c r="BA52" i="73"/>
  <c r="AZ52" i="73"/>
  <c r="CH52" i="73" s="1"/>
  <c r="AY52" i="73"/>
  <c r="AX52" i="73"/>
  <c r="CG52" i="73" s="1"/>
  <c r="AW52" i="73"/>
  <c r="AV52" i="73"/>
  <c r="CF52" i="73" s="1"/>
  <c r="BE47" i="73"/>
  <c r="BD47" i="73"/>
  <c r="CJ47" i="73" s="1"/>
  <c r="BC47" i="73"/>
  <c r="BB47" i="73"/>
  <c r="CI47" i="73" s="1"/>
  <c r="BA47" i="73"/>
  <c r="AZ47" i="73"/>
  <c r="CH47" i="73" s="1"/>
  <c r="AY47" i="73"/>
  <c r="AX47" i="73"/>
  <c r="CG47" i="73" s="1"/>
  <c r="AW47" i="73"/>
  <c r="AV47" i="73"/>
  <c r="CF47" i="73" s="1"/>
  <c r="BE46" i="73"/>
  <c r="BD46" i="73"/>
  <c r="CJ46" i="73" s="1"/>
  <c r="BC46" i="73"/>
  <c r="BB46" i="73"/>
  <c r="CI46" i="73" s="1"/>
  <c r="BA46" i="73"/>
  <c r="AZ46" i="73"/>
  <c r="CH46" i="73" s="1"/>
  <c r="AY46" i="73"/>
  <c r="AX46" i="73"/>
  <c r="CG46" i="73" s="1"/>
  <c r="AW46" i="73"/>
  <c r="AV46" i="73"/>
  <c r="CF46" i="73" s="1"/>
  <c r="BE45" i="73"/>
  <c r="BD45" i="73"/>
  <c r="CJ45" i="73" s="1"/>
  <c r="BC45" i="73"/>
  <c r="BB45" i="73"/>
  <c r="CI45" i="73" s="1"/>
  <c r="BA45" i="73"/>
  <c r="AZ45" i="73"/>
  <c r="CH45" i="73" s="1"/>
  <c r="AY45" i="73"/>
  <c r="AX45" i="73"/>
  <c r="CG45" i="73" s="1"/>
  <c r="AW45" i="73"/>
  <c r="AV45" i="73"/>
  <c r="CF45" i="73" s="1"/>
  <c r="BE44" i="73"/>
  <c r="BD44" i="73"/>
  <c r="CJ44" i="73" s="1"/>
  <c r="BC44" i="73"/>
  <c r="BB44" i="73"/>
  <c r="CI44" i="73" s="1"/>
  <c r="BA44" i="73"/>
  <c r="AZ44" i="73"/>
  <c r="CH44" i="73" s="1"/>
  <c r="AY44" i="73"/>
  <c r="AX44" i="73"/>
  <c r="CG44" i="73" s="1"/>
  <c r="AW44" i="73"/>
  <c r="AV44" i="73"/>
  <c r="CF44" i="73" s="1"/>
  <c r="BE43" i="73"/>
  <c r="BD43" i="73"/>
  <c r="CJ43" i="73" s="1"/>
  <c r="BC43" i="73"/>
  <c r="BB43" i="73"/>
  <c r="CI43" i="73" s="1"/>
  <c r="BA43" i="73"/>
  <c r="AZ43" i="73"/>
  <c r="CH43" i="73" s="1"/>
  <c r="AY43" i="73"/>
  <c r="AX43" i="73"/>
  <c r="CG43" i="73" s="1"/>
  <c r="AW43" i="73"/>
  <c r="AV43" i="73"/>
  <c r="CF43" i="73" s="1"/>
  <c r="BE42" i="73"/>
  <c r="BD42" i="73"/>
  <c r="CJ42" i="73" s="1"/>
  <c r="BC42" i="73"/>
  <c r="BB42" i="73"/>
  <c r="CI42" i="73" s="1"/>
  <c r="BA42" i="73"/>
  <c r="AZ42" i="73"/>
  <c r="CH42" i="73" s="1"/>
  <c r="AY42" i="73"/>
  <c r="AX42" i="73"/>
  <c r="CG42" i="73" s="1"/>
  <c r="AW42" i="73"/>
  <c r="AV42" i="73"/>
  <c r="CF42" i="73" s="1"/>
  <c r="BE41" i="73"/>
  <c r="BD41" i="73"/>
  <c r="CJ41" i="73" s="1"/>
  <c r="BC41" i="73"/>
  <c r="BB41" i="73"/>
  <c r="CI41" i="73" s="1"/>
  <c r="BA41" i="73"/>
  <c r="AZ41" i="73"/>
  <c r="CH41" i="73" s="1"/>
  <c r="AY41" i="73"/>
  <c r="AX41" i="73"/>
  <c r="CG41" i="73" s="1"/>
  <c r="AW41" i="73"/>
  <c r="AV41" i="73"/>
  <c r="CF41" i="73" s="1"/>
  <c r="BE40" i="73"/>
  <c r="BD40" i="73"/>
  <c r="CJ40" i="73" s="1"/>
  <c r="BC40" i="73"/>
  <c r="BB40" i="73"/>
  <c r="CI40" i="73" s="1"/>
  <c r="BA40" i="73"/>
  <c r="AZ40" i="73"/>
  <c r="CH40" i="73" s="1"/>
  <c r="AY40" i="73"/>
  <c r="AX40" i="73"/>
  <c r="CG40" i="73" s="1"/>
  <c r="AW40" i="73"/>
  <c r="AV40" i="73"/>
  <c r="CF40" i="73" s="1"/>
  <c r="BE39" i="73"/>
  <c r="BD39" i="73"/>
  <c r="CJ39" i="73" s="1"/>
  <c r="BC39" i="73"/>
  <c r="BB39" i="73"/>
  <c r="CI39" i="73" s="1"/>
  <c r="BA39" i="73"/>
  <c r="AZ39" i="73"/>
  <c r="CH39" i="73" s="1"/>
  <c r="AY39" i="73"/>
  <c r="AX39" i="73"/>
  <c r="CG39" i="73" s="1"/>
  <c r="AW39" i="73"/>
  <c r="AV39" i="73"/>
  <c r="CF39" i="73" s="1"/>
  <c r="BE37" i="73"/>
  <c r="BD37" i="73"/>
  <c r="CJ37" i="73" s="1"/>
  <c r="BC37" i="73"/>
  <c r="BB37" i="73"/>
  <c r="CI37" i="73" s="1"/>
  <c r="BA37" i="73"/>
  <c r="AZ37" i="73"/>
  <c r="CH37" i="73" s="1"/>
  <c r="AY37" i="73"/>
  <c r="AX37" i="73"/>
  <c r="CG37" i="73" s="1"/>
  <c r="AW37" i="73"/>
  <c r="AV37" i="73"/>
  <c r="CF37" i="73" s="1"/>
  <c r="BE36" i="73"/>
  <c r="BD36" i="73"/>
  <c r="CJ36" i="73" s="1"/>
  <c r="BC36" i="73"/>
  <c r="BB36" i="73"/>
  <c r="CI36" i="73" s="1"/>
  <c r="BA36" i="73"/>
  <c r="AZ36" i="73"/>
  <c r="CH36" i="73" s="1"/>
  <c r="AY36" i="73"/>
  <c r="AX36" i="73"/>
  <c r="CG36" i="73" s="1"/>
  <c r="AW36" i="73"/>
  <c r="AV36" i="73"/>
  <c r="CF36" i="73" s="1"/>
  <c r="BE35" i="73"/>
  <c r="BD35" i="73"/>
  <c r="CJ35" i="73" s="1"/>
  <c r="BC35" i="73"/>
  <c r="BB35" i="73"/>
  <c r="CI35" i="73" s="1"/>
  <c r="BA35" i="73"/>
  <c r="AZ35" i="73"/>
  <c r="CH35" i="73" s="1"/>
  <c r="AY35" i="73"/>
  <c r="AX35" i="73"/>
  <c r="CG35" i="73" s="1"/>
  <c r="AW35" i="73"/>
  <c r="AV35" i="73"/>
  <c r="CF35" i="73" s="1"/>
  <c r="BE34" i="73"/>
  <c r="BD34" i="73"/>
  <c r="CJ34" i="73" s="1"/>
  <c r="BC34" i="73"/>
  <c r="BB34" i="73"/>
  <c r="CI34" i="73" s="1"/>
  <c r="BA34" i="73"/>
  <c r="AZ34" i="73"/>
  <c r="CH34" i="73" s="1"/>
  <c r="AY34" i="73"/>
  <c r="AX34" i="73"/>
  <c r="CG34" i="73" s="1"/>
  <c r="AW34" i="73"/>
  <c r="AV34" i="73"/>
  <c r="CF34" i="73" s="1"/>
  <c r="BE33" i="73"/>
  <c r="BD33" i="73"/>
  <c r="CJ33" i="73" s="1"/>
  <c r="BC33" i="73"/>
  <c r="BB33" i="73"/>
  <c r="CI33" i="73" s="1"/>
  <c r="BA33" i="73"/>
  <c r="AZ33" i="73"/>
  <c r="CH33" i="73" s="1"/>
  <c r="AY33" i="73"/>
  <c r="AX33" i="73"/>
  <c r="CG33" i="73" s="1"/>
  <c r="AW33" i="73"/>
  <c r="AV33" i="73"/>
  <c r="CF33" i="73" s="1"/>
  <c r="BE32" i="73"/>
  <c r="BD32" i="73"/>
  <c r="CJ32" i="73" s="1"/>
  <c r="BC32" i="73"/>
  <c r="BB32" i="73"/>
  <c r="CI32" i="73" s="1"/>
  <c r="BA32" i="73"/>
  <c r="AZ32" i="73"/>
  <c r="CH32" i="73" s="1"/>
  <c r="AY32" i="73"/>
  <c r="AX32" i="73"/>
  <c r="CG32" i="73" s="1"/>
  <c r="AW32" i="73"/>
  <c r="AV32" i="73"/>
  <c r="CF32" i="73" s="1"/>
  <c r="BE31" i="73"/>
  <c r="BD31" i="73"/>
  <c r="CJ31" i="73" s="1"/>
  <c r="BC31" i="73"/>
  <c r="BB31" i="73"/>
  <c r="CI31" i="73" s="1"/>
  <c r="BA31" i="73"/>
  <c r="AZ31" i="73"/>
  <c r="CH31" i="73" s="1"/>
  <c r="AY31" i="73"/>
  <c r="AX31" i="73"/>
  <c r="CG31" i="73" s="1"/>
  <c r="AW31" i="73"/>
  <c r="AV31" i="73"/>
  <c r="CF31" i="73" s="1"/>
  <c r="BE30" i="73"/>
  <c r="BD30" i="73"/>
  <c r="CJ30" i="73" s="1"/>
  <c r="BC30" i="73"/>
  <c r="BB30" i="73"/>
  <c r="CI30" i="73" s="1"/>
  <c r="BA30" i="73"/>
  <c r="AZ30" i="73"/>
  <c r="CH30" i="73" s="1"/>
  <c r="AY30" i="73"/>
  <c r="AX30" i="73"/>
  <c r="CG30" i="73" s="1"/>
  <c r="AW30" i="73"/>
  <c r="AV30" i="73"/>
  <c r="CF30" i="73" s="1"/>
  <c r="BE28" i="73"/>
  <c r="BD28" i="73"/>
  <c r="CJ28" i="73" s="1"/>
  <c r="BC28" i="73"/>
  <c r="BB28" i="73"/>
  <c r="CI28" i="73" s="1"/>
  <c r="BA28" i="73"/>
  <c r="AZ28" i="73"/>
  <c r="CH28" i="73" s="1"/>
  <c r="AY28" i="73"/>
  <c r="AX28" i="73"/>
  <c r="CG28" i="73" s="1"/>
  <c r="AW28" i="73"/>
  <c r="AV28" i="73"/>
  <c r="CF28" i="73" s="1"/>
  <c r="BE27" i="73"/>
  <c r="BD27" i="73"/>
  <c r="CJ27" i="73" s="1"/>
  <c r="BC27" i="73"/>
  <c r="BB27" i="73"/>
  <c r="CI27" i="73" s="1"/>
  <c r="BA27" i="73"/>
  <c r="AZ27" i="73"/>
  <c r="CH27" i="73" s="1"/>
  <c r="AY27" i="73"/>
  <c r="AX27" i="73"/>
  <c r="CG27" i="73" s="1"/>
  <c r="AW27" i="73"/>
  <c r="AV27" i="73"/>
  <c r="CF27" i="73" s="1"/>
  <c r="BE26" i="73"/>
  <c r="BD26" i="73"/>
  <c r="CJ26" i="73" s="1"/>
  <c r="BC26" i="73"/>
  <c r="BB26" i="73"/>
  <c r="CI26" i="73" s="1"/>
  <c r="BA26" i="73"/>
  <c r="AZ26" i="73"/>
  <c r="CH26" i="73" s="1"/>
  <c r="AY26" i="73"/>
  <c r="AX26" i="73"/>
  <c r="CG26" i="73" s="1"/>
  <c r="AW26" i="73"/>
  <c r="AV26" i="73"/>
  <c r="CF26" i="73" s="1"/>
  <c r="BE23" i="73"/>
  <c r="BD23" i="73"/>
  <c r="CJ23" i="73" s="1"/>
  <c r="BC23" i="73"/>
  <c r="BB23" i="73"/>
  <c r="CI23" i="73" s="1"/>
  <c r="BA23" i="73"/>
  <c r="AZ23" i="73"/>
  <c r="CH23" i="73" s="1"/>
  <c r="AY23" i="73"/>
  <c r="AX23" i="73"/>
  <c r="CG23" i="73" s="1"/>
  <c r="AW23" i="73"/>
  <c r="AV23" i="73"/>
  <c r="CF23" i="73" s="1"/>
  <c r="BE22" i="73"/>
  <c r="BD22" i="73"/>
  <c r="CJ22" i="73" s="1"/>
  <c r="BC22" i="73"/>
  <c r="BB22" i="73"/>
  <c r="CI22" i="73" s="1"/>
  <c r="BA22" i="73"/>
  <c r="AZ22" i="73"/>
  <c r="CH22" i="73" s="1"/>
  <c r="AY22" i="73"/>
  <c r="AX22" i="73"/>
  <c r="CG22" i="73" s="1"/>
  <c r="AW22" i="73"/>
  <c r="AV22" i="73"/>
  <c r="CF22" i="73" s="1"/>
  <c r="BE20" i="73"/>
  <c r="BD20" i="73"/>
  <c r="CJ20" i="73" s="1"/>
  <c r="BC20" i="73"/>
  <c r="BB20" i="73"/>
  <c r="CI20" i="73" s="1"/>
  <c r="BA20" i="73"/>
  <c r="AZ20" i="73"/>
  <c r="CH20" i="73" s="1"/>
  <c r="AY20" i="73"/>
  <c r="AX20" i="73"/>
  <c r="CG20" i="73" s="1"/>
  <c r="AW20" i="73"/>
  <c r="AV20" i="73"/>
  <c r="CF20" i="73" s="1"/>
  <c r="BE19" i="73"/>
  <c r="BD19" i="73"/>
  <c r="CJ19" i="73" s="1"/>
  <c r="BC19" i="73"/>
  <c r="BB19" i="73"/>
  <c r="CI19" i="73" s="1"/>
  <c r="BA19" i="73"/>
  <c r="AZ19" i="73"/>
  <c r="CH19" i="73" s="1"/>
  <c r="AY19" i="73"/>
  <c r="AX19" i="73"/>
  <c r="CG19" i="73" s="1"/>
  <c r="AW19" i="73"/>
  <c r="AV19" i="73"/>
  <c r="CF19" i="73" s="1"/>
  <c r="BE16" i="73"/>
  <c r="BD16" i="73"/>
  <c r="CJ16" i="73" s="1"/>
  <c r="BC16" i="73"/>
  <c r="BB16" i="73"/>
  <c r="CI16" i="73" s="1"/>
  <c r="BA16" i="73"/>
  <c r="AZ16" i="73"/>
  <c r="CH16" i="73" s="1"/>
  <c r="AY16" i="73"/>
  <c r="AX16" i="73"/>
  <c r="CG16" i="73" s="1"/>
  <c r="AW16" i="73"/>
  <c r="AV16" i="73"/>
  <c r="CF16" i="73" s="1"/>
  <c r="BE15" i="73"/>
  <c r="BD15" i="73"/>
  <c r="CJ15" i="73" s="1"/>
  <c r="BC15" i="73"/>
  <c r="BB15" i="73"/>
  <c r="CI15" i="73" s="1"/>
  <c r="BA15" i="73"/>
  <c r="AZ15" i="73"/>
  <c r="CH15" i="73" s="1"/>
  <c r="AY15" i="73"/>
  <c r="AX15" i="73"/>
  <c r="CG15" i="73" s="1"/>
  <c r="AW15" i="73"/>
  <c r="AV15" i="73"/>
  <c r="CF15" i="73" s="1"/>
  <c r="BE14" i="73"/>
  <c r="BD14" i="73"/>
  <c r="CJ14" i="73" s="1"/>
  <c r="BC14" i="73"/>
  <c r="BB14" i="73"/>
  <c r="CI14" i="73" s="1"/>
  <c r="BA14" i="73"/>
  <c r="AZ14" i="73"/>
  <c r="CH14" i="73" s="1"/>
  <c r="AY14" i="73"/>
  <c r="AX14" i="73"/>
  <c r="CG14" i="73" s="1"/>
  <c r="AW14" i="73"/>
  <c r="AV14" i="73"/>
  <c r="CF14" i="73" s="1"/>
  <c r="BE13" i="73"/>
  <c r="BD13" i="73"/>
  <c r="CJ13" i="73" s="1"/>
  <c r="BC13" i="73"/>
  <c r="BB13" i="73"/>
  <c r="CI13" i="73" s="1"/>
  <c r="BA13" i="73"/>
  <c r="AZ13" i="73"/>
  <c r="CH13" i="73" s="1"/>
  <c r="AY13" i="73"/>
  <c r="AX13" i="73"/>
  <c r="CG13" i="73" s="1"/>
  <c r="AW13" i="73"/>
  <c r="AV13" i="73"/>
  <c r="CF13" i="73" s="1"/>
  <c r="AT87" i="73"/>
  <c r="AS87" i="73"/>
  <c r="CD87" i="73" s="1"/>
  <c r="AR87" i="73"/>
  <c r="AQ87" i="73"/>
  <c r="CC87" i="73" s="1"/>
  <c r="AP87" i="73"/>
  <c r="AO87" i="73"/>
  <c r="CB87" i="73" s="1"/>
  <c r="AN87" i="73"/>
  <c r="AM87" i="73"/>
  <c r="CA87" i="73" s="1"/>
  <c r="AL87" i="73"/>
  <c r="AK87" i="73"/>
  <c r="BZ87" i="73" s="1"/>
  <c r="AT86" i="73"/>
  <c r="AS86" i="73"/>
  <c r="CD86" i="73" s="1"/>
  <c r="AR86" i="73"/>
  <c r="AQ86" i="73"/>
  <c r="CC86" i="73" s="1"/>
  <c r="AP86" i="73"/>
  <c r="AO86" i="73"/>
  <c r="CB86" i="73" s="1"/>
  <c r="AN86" i="73"/>
  <c r="AM86" i="73"/>
  <c r="CA86" i="73" s="1"/>
  <c r="AL86" i="73"/>
  <c r="AK86" i="73"/>
  <c r="BZ86" i="73" s="1"/>
  <c r="AT85" i="73"/>
  <c r="AS85" i="73"/>
  <c r="CD85" i="73" s="1"/>
  <c r="AR85" i="73"/>
  <c r="AQ85" i="73"/>
  <c r="CC85" i="73" s="1"/>
  <c r="AP85" i="73"/>
  <c r="AO85" i="73"/>
  <c r="CB85" i="73" s="1"/>
  <c r="AN85" i="73"/>
  <c r="AM85" i="73"/>
  <c r="CA85" i="73" s="1"/>
  <c r="AL85" i="73"/>
  <c r="AK85" i="73"/>
  <c r="BZ85" i="73" s="1"/>
  <c r="AT84" i="73"/>
  <c r="AS84" i="73"/>
  <c r="CD84" i="73" s="1"/>
  <c r="AR84" i="73"/>
  <c r="AQ84" i="73"/>
  <c r="CC84" i="73" s="1"/>
  <c r="AP84" i="73"/>
  <c r="AO84" i="73"/>
  <c r="CB84" i="73" s="1"/>
  <c r="AN84" i="73"/>
  <c r="AM84" i="73"/>
  <c r="CA84" i="73" s="1"/>
  <c r="AL84" i="73"/>
  <c r="AK84" i="73"/>
  <c r="BZ84" i="73" s="1"/>
  <c r="AT82" i="73"/>
  <c r="AS82" i="73"/>
  <c r="CD82" i="73" s="1"/>
  <c r="AR82" i="73"/>
  <c r="AQ82" i="73"/>
  <c r="CC82" i="73" s="1"/>
  <c r="AP82" i="73"/>
  <c r="AO82" i="73"/>
  <c r="CB82" i="73" s="1"/>
  <c r="AN82" i="73"/>
  <c r="AM82" i="73"/>
  <c r="CA82" i="73" s="1"/>
  <c r="AL82" i="73"/>
  <c r="AK82" i="73"/>
  <c r="BZ82" i="73" s="1"/>
  <c r="AT81" i="73"/>
  <c r="AS81" i="73"/>
  <c r="CD81" i="73" s="1"/>
  <c r="AR81" i="73"/>
  <c r="AQ81" i="73"/>
  <c r="CC81" i="73" s="1"/>
  <c r="AP81" i="73"/>
  <c r="AO81" i="73"/>
  <c r="CB81" i="73" s="1"/>
  <c r="AN81" i="73"/>
  <c r="AM81" i="73"/>
  <c r="CA81" i="73" s="1"/>
  <c r="AL81" i="73"/>
  <c r="AK81" i="73"/>
  <c r="BZ81" i="73" s="1"/>
  <c r="AT80" i="73"/>
  <c r="AS80" i="73"/>
  <c r="CD80" i="73" s="1"/>
  <c r="AR80" i="73"/>
  <c r="AQ80" i="73"/>
  <c r="CC80" i="73" s="1"/>
  <c r="AP80" i="73"/>
  <c r="AO80" i="73"/>
  <c r="CB80" i="73" s="1"/>
  <c r="AN80" i="73"/>
  <c r="AM80" i="73"/>
  <c r="CA80" i="73" s="1"/>
  <c r="AL80" i="73"/>
  <c r="AK80" i="73"/>
  <c r="BZ80" i="73" s="1"/>
  <c r="AT79" i="73"/>
  <c r="AS79" i="73"/>
  <c r="CD79" i="73" s="1"/>
  <c r="AR79" i="73"/>
  <c r="AQ79" i="73"/>
  <c r="CC79" i="73" s="1"/>
  <c r="AP79" i="73"/>
  <c r="AO79" i="73"/>
  <c r="CB79" i="73" s="1"/>
  <c r="AN79" i="73"/>
  <c r="AM79" i="73"/>
  <c r="CA79" i="73" s="1"/>
  <c r="AL79" i="73"/>
  <c r="AK79" i="73"/>
  <c r="BZ79" i="73" s="1"/>
  <c r="AT78" i="73"/>
  <c r="AS78" i="73"/>
  <c r="CD78" i="73" s="1"/>
  <c r="AR78" i="73"/>
  <c r="AQ78" i="73"/>
  <c r="CC78" i="73" s="1"/>
  <c r="AP78" i="73"/>
  <c r="AO78" i="73"/>
  <c r="CB78" i="73" s="1"/>
  <c r="AN78" i="73"/>
  <c r="AM78" i="73"/>
  <c r="CA78" i="73" s="1"/>
  <c r="AL78" i="73"/>
  <c r="AK78" i="73"/>
  <c r="BZ78" i="73" s="1"/>
  <c r="AT77" i="73"/>
  <c r="AS77" i="73"/>
  <c r="CD77" i="73" s="1"/>
  <c r="AR77" i="73"/>
  <c r="AQ77" i="73"/>
  <c r="CC77" i="73" s="1"/>
  <c r="AP77" i="73"/>
  <c r="AO77" i="73"/>
  <c r="CB77" i="73" s="1"/>
  <c r="AN77" i="73"/>
  <c r="AM77" i="73"/>
  <c r="CA77" i="73" s="1"/>
  <c r="AL77" i="73"/>
  <c r="AK77" i="73"/>
  <c r="BZ77" i="73" s="1"/>
  <c r="AT75" i="73"/>
  <c r="AS75" i="73"/>
  <c r="CD75" i="73" s="1"/>
  <c r="AR75" i="73"/>
  <c r="AQ75" i="73"/>
  <c r="CC75" i="73" s="1"/>
  <c r="AP75" i="73"/>
  <c r="AO75" i="73"/>
  <c r="CB75" i="73" s="1"/>
  <c r="AN75" i="73"/>
  <c r="AM75" i="73"/>
  <c r="CA75" i="73" s="1"/>
  <c r="AL75" i="73"/>
  <c r="AK75" i="73"/>
  <c r="BZ75" i="73" s="1"/>
  <c r="AT73" i="73"/>
  <c r="AS73" i="73"/>
  <c r="CD73" i="73" s="1"/>
  <c r="AR73" i="73"/>
  <c r="AQ73" i="73"/>
  <c r="CC73" i="73" s="1"/>
  <c r="AP73" i="73"/>
  <c r="AO73" i="73"/>
  <c r="CB73" i="73" s="1"/>
  <c r="AN73" i="73"/>
  <c r="AM73" i="73"/>
  <c r="CA73" i="73" s="1"/>
  <c r="AL73" i="73"/>
  <c r="AK73" i="73"/>
  <c r="BZ73" i="73" s="1"/>
  <c r="AT71" i="73"/>
  <c r="AS71" i="73"/>
  <c r="CD71" i="73" s="1"/>
  <c r="AR71" i="73"/>
  <c r="AQ71" i="73"/>
  <c r="CC71" i="73" s="1"/>
  <c r="AP71" i="73"/>
  <c r="AO71" i="73"/>
  <c r="CB71" i="73" s="1"/>
  <c r="AN71" i="73"/>
  <c r="AM71" i="73"/>
  <c r="CA71" i="73" s="1"/>
  <c r="AL71" i="73"/>
  <c r="AK71" i="73"/>
  <c r="BZ71" i="73" s="1"/>
  <c r="AT54" i="73"/>
  <c r="AS54" i="73"/>
  <c r="CD54" i="73" s="1"/>
  <c r="AR54" i="73"/>
  <c r="AQ54" i="73"/>
  <c r="CC54" i="73" s="1"/>
  <c r="AP54" i="73"/>
  <c r="AO54" i="73"/>
  <c r="CB54" i="73" s="1"/>
  <c r="AN54" i="73"/>
  <c r="AM54" i="73"/>
  <c r="CA54" i="73" s="1"/>
  <c r="AL54" i="73"/>
  <c r="AK54" i="73"/>
  <c r="BZ54" i="73" s="1"/>
  <c r="AT53" i="73"/>
  <c r="AS53" i="73"/>
  <c r="CD53" i="73" s="1"/>
  <c r="AR53" i="73"/>
  <c r="AQ53" i="73"/>
  <c r="CC53" i="73" s="1"/>
  <c r="AP53" i="73"/>
  <c r="AO53" i="73"/>
  <c r="CB53" i="73" s="1"/>
  <c r="AN53" i="73"/>
  <c r="AM53" i="73"/>
  <c r="CA53" i="73" s="1"/>
  <c r="AL53" i="73"/>
  <c r="AK53" i="73"/>
  <c r="BZ53" i="73" s="1"/>
  <c r="AT52" i="73"/>
  <c r="AS52" i="73"/>
  <c r="CD52" i="73" s="1"/>
  <c r="AR52" i="73"/>
  <c r="AQ52" i="73"/>
  <c r="CC52" i="73" s="1"/>
  <c r="AP52" i="73"/>
  <c r="AO52" i="73"/>
  <c r="CB52" i="73" s="1"/>
  <c r="AN52" i="73"/>
  <c r="AM52" i="73"/>
  <c r="CA52" i="73" s="1"/>
  <c r="AL52" i="73"/>
  <c r="AK52" i="73"/>
  <c r="BZ52" i="73" s="1"/>
  <c r="AT47" i="73"/>
  <c r="AS47" i="73"/>
  <c r="CD47" i="73" s="1"/>
  <c r="AR47" i="73"/>
  <c r="AQ47" i="73"/>
  <c r="CC47" i="73" s="1"/>
  <c r="AP47" i="73"/>
  <c r="AO47" i="73"/>
  <c r="CB47" i="73" s="1"/>
  <c r="AN47" i="73"/>
  <c r="AM47" i="73"/>
  <c r="CA47" i="73" s="1"/>
  <c r="AL47" i="73"/>
  <c r="AK47" i="73"/>
  <c r="BZ47" i="73" s="1"/>
  <c r="AT46" i="73"/>
  <c r="AS46" i="73"/>
  <c r="CD46" i="73" s="1"/>
  <c r="AR46" i="73"/>
  <c r="AQ46" i="73"/>
  <c r="CC46" i="73" s="1"/>
  <c r="AP46" i="73"/>
  <c r="AO46" i="73"/>
  <c r="CB46" i="73" s="1"/>
  <c r="AN46" i="73"/>
  <c r="AM46" i="73"/>
  <c r="CA46" i="73" s="1"/>
  <c r="AL46" i="73"/>
  <c r="AK46" i="73"/>
  <c r="BZ46" i="73" s="1"/>
  <c r="AT45" i="73"/>
  <c r="AS45" i="73"/>
  <c r="CD45" i="73" s="1"/>
  <c r="AR45" i="73"/>
  <c r="AQ45" i="73"/>
  <c r="CC45" i="73" s="1"/>
  <c r="AP45" i="73"/>
  <c r="AO45" i="73"/>
  <c r="CB45" i="73" s="1"/>
  <c r="AN45" i="73"/>
  <c r="AM45" i="73"/>
  <c r="CA45" i="73" s="1"/>
  <c r="AL45" i="73"/>
  <c r="AK45" i="73"/>
  <c r="BZ45" i="73" s="1"/>
  <c r="AT44" i="73"/>
  <c r="AS44" i="73"/>
  <c r="CD44" i="73" s="1"/>
  <c r="AR44" i="73"/>
  <c r="AQ44" i="73"/>
  <c r="CC44" i="73" s="1"/>
  <c r="AP44" i="73"/>
  <c r="AO44" i="73"/>
  <c r="CB44" i="73" s="1"/>
  <c r="AN44" i="73"/>
  <c r="AM44" i="73"/>
  <c r="CA44" i="73" s="1"/>
  <c r="AL44" i="73"/>
  <c r="AK44" i="73"/>
  <c r="BZ44" i="73" s="1"/>
  <c r="AT43" i="73"/>
  <c r="AS43" i="73"/>
  <c r="CD43" i="73" s="1"/>
  <c r="AR43" i="73"/>
  <c r="AQ43" i="73"/>
  <c r="CC43" i="73" s="1"/>
  <c r="AP43" i="73"/>
  <c r="AO43" i="73"/>
  <c r="CB43" i="73" s="1"/>
  <c r="AN43" i="73"/>
  <c r="AM43" i="73"/>
  <c r="CA43" i="73" s="1"/>
  <c r="AL43" i="73"/>
  <c r="AK43" i="73"/>
  <c r="BZ43" i="73" s="1"/>
  <c r="AT42" i="73"/>
  <c r="AS42" i="73"/>
  <c r="CD42" i="73" s="1"/>
  <c r="AR42" i="73"/>
  <c r="AQ42" i="73"/>
  <c r="CC42" i="73" s="1"/>
  <c r="AP42" i="73"/>
  <c r="AO42" i="73"/>
  <c r="CB42" i="73" s="1"/>
  <c r="AN42" i="73"/>
  <c r="AM42" i="73"/>
  <c r="CA42" i="73" s="1"/>
  <c r="AL42" i="73"/>
  <c r="AK42" i="73"/>
  <c r="BZ42" i="73" s="1"/>
  <c r="AT41" i="73"/>
  <c r="AS41" i="73"/>
  <c r="CD41" i="73" s="1"/>
  <c r="AR41" i="73"/>
  <c r="AQ41" i="73"/>
  <c r="CC41" i="73" s="1"/>
  <c r="AP41" i="73"/>
  <c r="AO41" i="73"/>
  <c r="CB41" i="73" s="1"/>
  <c r="AN41" i="73"/>
  <c r="AM41" i="73"/>
  <c r="CA41" i="73" s="1"/>
  <c r="AL41" i="73"/>
  <c r="AK41" i="73"/>
  <c r="BZ41" i="73" s="1"/>
  <c r="AT40" i="73"/>
  <c r="AS40" i="73"/>
  <c r="CD40" i="73" s="1"/>
  <c r="AR40" i="73"/>
  <c r="AQ40" i="73"/>
  <c r="CC40" i="73" s="1"/>
  <c r="AP40" i="73"/>
  <c r="AO40" i="73"/>
  <c r="CB40" i="73" s="1"/>
  <c r="AN40" i="73"/>
  <c r="AM40" i="73"/>
  <c r="CA40" i="73" s="1"/>
  <c r="AL40" i="73"/>
  <c r="AK40" i="73"/>
  <c r="BZ40" i="73" s="1"/>
  <c r="AT39" i="73"/>
  <c r="AS39" i="73"/>
  <c r="CD39" i="73" s="1"/>
  <c r="AR39" i="73"/>
  <c r="AQ39" i="73"/>
  <c r="CC39" i="73" s="1"/>
  <c r="AP39" i="73"/>
  <c r="AO39" i="73"/>
  <c r="CB39" i="73" s="1"/>
  <c r="AN39" i="73"/>
  <c r="AM39" i="73"/>
  <c r="CA39" i="73" s="1"/>
  <c r="AL39" i="73"/>
  <c r="AK39" i="73"/>
  <c r="BZ39" i="73" s="1"/>
  <c r="AT37" i="73"/>
  <c r="AS37" i="73"/>
  <c r="CD37" i="73" s="1"/>
  <c r="AR37" i="73"/>
  <c r="AQ37" i="73"/>
  <c r="CC37" i="73" s="1"/>
  <c r="AP37" i="73"/>
  <c r="AO37" i="73"/>
  <c r="CB37" i="73" s="1"/>
  <c r="AN37" i="73"/>
  <c r="AM37" i="73"/>
  <c r="CA37" i="73" s="1"/>
  <c r="AL37" i="73"/>
  <c r="AK37" i="73"/>
  <c r="BZ37" i="73" s="1"/>
  <c r="AT36" i="73"/>
  <c r="AS36" i="73"/>
  <c r="CD36" i="73" s="1"/>
  <c r="AR36" i="73"/>
  <c r="AQ36" i="73"/>
  <c r="CC36" i="73" s="1"/>
  <c r="AP36" i="73"/>
  <c r="AO36" i="73"/>
  <c r="CB36" i="73" s="1"/>
  <c r="AN36" i="73"/>
  <c r="AM36" i="73"/>
  <c r="CA36" i="73" s="1"/>
  <c r="AL36" i="73"/>
  <c r="AK36" i="73"/>
  <c r="BZ36" i="73" s="1"/>
  <c r="AT35" i="73"/>
  <c r="AS35" i="73"/>
  <c r="CD35" i="73" s="1"/>
  <c r="AR35" i="73"/>
  <c r="AQ35" i="73"/>
  <c r="CC35" i="73" s="1"/>
  <c r="AP35" i="73"/>
  <c r="AO35" i="73"/>
  <c r="CB35" i="73" s="1"/>
  <c r="AN35" i="73"/>
  <c r="AM35" i="73"/>
  <c r="CA35" i="73" s="1"/>
  <c r="AL35" i="73"/>
  <c r="AK35" i="73"/>
  <c r="BZ35" i="73" s="1"/>
  <c r="AT34" i="73"/>
  <c r="AS34" i="73"/>
  <c r="CD34" i="73" s="1"/>
  <c r="AR34" i="73"/>
  <c r="AQ34" i="73"/>
  <c r="CC34" i="73" s="1"/>
  <c r="AP34" i="73"/>
  <c r="AO34" i="73"/>
  <c r="CB34" i="73" s="1"/>
  <c r="AN34" i="73"/>
  <c r="AM34" i="73"/>
  <c r="CA34" i="73" s="1"/>
  <c r="AL34" i="73"/>
  <c r="AK34" i="73"/>
  <c r="BZ34" i="73" s="1"/>
  <c r="AT33" i="73"/>
  <c r="AS33" i="73"/>
  <c r="CD33" i="73" s="1"/>
  <c r="AR33" i="73"/>
  <c r="AQ33" i="73"/>
  <c r="CC33" i="73" s="1"/>
  <c r="AP33" i="73"/>
  <c r="AO33" i="73"/>
  <c r="CB33" i="73" s="1"/>
  <c r="AN33" i="73"/>
  <c r="AM33" i="73"/>
  <c r="CA33" i="73" s="1"/>
  <c r="AL33" i="73"/>
  <c r="AK33" i="73"/>
  <c r="BZ33" i="73" s="1"/>
  <c r="AT32" i="73"/>
  <c r="AS32" i="73"/>
  <c r="CD32" i="73" s="1"/>
  <c r="AR32" i="73"/>
  <c r="AQ32" i="73"/>
  <c r="CC32" i="73" s="1"/>
  <c r="AP32" i="73"/>
  <c r="AO32" i="73"/>
  <c r="CB32" i="73" s="1"/>
  <c r="AN32" i="73"/>
  <c r="AM32" i="73"/>
  <c r="CA32" i="73" s="1"/>
  <c r="AL32" i="73"/>
  <c r="AK32" i="73"/>
  <c r="BZ32" i="73" s="1"/>
  <c r="AT31" i="73"/>
  <c r="AS31" i="73"/>
  <c r="CD31" i="73" s="1"/>
  <c r="AR31" i="73"/>
  <c r="AQ31" i="73"/>
  <c r="CC31" i="73" s="1"/>
  <c r="AP31" i="73"/>
  <c r="AO31" i="73"/>
  <c r="CB31" i="73" s="1"/>
  <c r="AN31" i="73"/>
  <c r="AM31" i="73"/>
  <c r="CA31" i="73" s="1"/>
  <c r="AL31" i="73"/>
  <c r="AK31" i="73"/>
  <c r="BZ31" i="73" s="1"/>
  <c r="AT30" i="73"/>
  <c r="AS30" i="73"/>
  <c r="CD30" i="73" s="1"/>
  <c r="AR30" i="73"/>
  <c r="AQ30" i="73"/>
  <c r="CC30" i="73" s="1"/>
  <c r="AP30" i="73"/>
  <c r="AO30" i="73"/>
  <c r="CB30" i="73" s="1"/>
  <c r="AN30" i="73"/>
  <c r="AM30" i="73"/>
  <c r="CA30" i="73" s="1"/>
  <c r="AL30" i="73"/>
  <c r="AK30" i="73"/>
  <c r="BZ30" i="73" s="1"/>
  <c r="AT28" i="73"/>
  <c r="AS28" i="73"/>
  <c r="CD28" i="73" s="1"/>
  <c r="AR28" i="73"/>
  <c r="AQ28" i="73"/>
  <c r="CC28" i="73" s="1"/>
  <c r="AP28" i="73"/>
  <c r="AO28" i="73"/>
  <c r="CB28" i="73" s="1"/>
  <c r="AN28" i="73"/>
  <c r="AM28" i="73"/>
  <c r="CA28" i="73" s="1"/>
  <c r="AL28" i="73"/>
  <c r="AK28" i="73"/>
  <c r="BZ28" i="73" s="1"/>
  <c r="AT27" i="73"/>
  <c r="AS27" i="73"/>
  <c r="CD27" i="73" s="1"/>
  <c r="AR27" i="73"/>
  <c r="AQ27" i="73"/>
  <c r="CC27" i="73" s="1"/>
  <c r="AP27" i="73"/>
  <c r="AO27" i="73"/>
  <c r="CB27" i="73" s="1"/>
  <c r="AN27" i="73"/>
  <c r="AM27" i="73"/>
  <c r="CA27" i="73" s="1"/>
  <c r="AL27" i="73"/>
  <c r="AK27" i="73"/>
  <c r="BZ27" i="73" s="1"/>
  <c r="AT26" i="73"/>
  <c r="AS26" i="73"/>
  <c r="CD26" i="73" s="1"/>
  <c r="AR26" i="73"/>
  <c r="AQ26" i="73"/>
  <c r="CC26" i="73" s="1"/>
  <c r="AP26" i="73"/>
  <c r="AO26" i="73"/>
  <c r="CB26" i="73" s="1"/>
  <c r="AN26" i="73"/>
  <c r="AM26" i="73"/>
  <c r="CA26" i="73" s="1"/>
  <c r="AL26" i="73"/>
  <c r="AK26" i="73"/>
  <c r="BZ26" i="73" s="1"/>
  <c r="AT23" i="73"/>
  <c r="AS23" i="73"/>
  <c r="CD23" i="73" s="1"/>
  <c r="AR23" i="73"/>
  <c r="AQ23" i="73"/>
  <c r="CC23" i="73" s="1"/>
  <c r="AP23" i="73"/>
  <c r="AO23" i="73"/>
  <c r="CB23" i="73" s="1"/>
  <c r="AN23" i="73"/>
  <c r="AM23" i="73"/>
  <c r="CA23" i="73" s="1"/>
  <c r="AL23" i="73"/>
  <c r="AK23" i="73"/>
  <c r="BZ23" i="73" s="1"/>
  <c r="AT22" i="73"/>
  <c r="AS22" i="73"/>
  <c r="CD22" i="73" s="1"/>
  <c r="AR22" i="73"/>
  <c r="AQ22" i="73"/>
  <c r="CC22" i="73" s="1"/>
  <c r="AP22" i="73"/>
  <c r="AO22" i="73"/>
  <c r="CB22" i="73" s="1"/>
  <c r="AN22" i="73"/>
  <c r="AM22" i="73"/>
  <c r="CA22" i="73" s="1"/>
  <c r="AL22" i="73"/>
  <c r="AK22" i="73"/>
  <c r="BZ22" i="73" s="1"/>
  <c r="AT20" i="73"/>
  <c r="AS20" i="73"/>
  <c r="CD20" i="73" s="1"/>
  <c r="AR20" i="73"/>
  <c r="AQ20" i="73"/>
  <c r="CC20" i="73" s="1"/>
  <c r="AP20" i="73"/>
  <c r="AO20" i="73"/>
  <c r="CB20" i="73" s="1"/>
  <c r="AN20" i="73"/>
  <c r="AM20" i="73"/>
  <c r="CA20" i="73" s="1"/>
  <c r="AL20" i="73"/>
  <c r="AK20" i="73"/>
  <c r="BZ20" i="73" s="1"/>
  <c r="AT19" i="73"/>
  <c r="AS19" i="73"/>
  <c r="CD19" i="73" s="1"/>
  <c r="AR19" i="73"/>
  <c r="AQ19" i="73"/>
  <c r="CC19" i="73" s="1"/>
  <c r="AP19" i="73"/>
  <c r="AO19" i="73"/>
  <c r="CB19" i="73" s="1"/>
  <c r="AN19" i="73"/>
  <c r="AM19" i="73"/>
  <c r="CA19" i="73" s="1"/>
  <c r="AL19" i="73"/>
  <c r="AK19" i="73"/>
  <c r="BZ19" i="73" s="1"/>
  <c r="AT16" i="73"/>
  <c r="AS16" i="73"/>
  <c r="CD16" i="73" s="1"/>
  <c r="AR16" i="73"/>
  <c r="AQ16" i="73"/>
  <c r="CC16" i="73" s="1"/>
  <c r="AP16" i="73"/>
  <c r="AO16" i="73"/>
  <c r="CB16" i="73" s="1"/>
  <c r="AN16" i="73"/>
  <c r="AM16" i="73"/>
  <c r="CA16" i="73" s="1"/>
  <c r="AL16" i="73"/>
  <c r="AK16" i="73"/>
  <c r="BZ16" i="73" s="1"/>
  <c r="AT15" i="73"/>
  <c r="AS15" i="73"/>
  <c r="CD15" i="73" s="1"/>
  <c r="AR15" i="73"/>
  <c r="AQ15" i="73"/>
  <c r="CC15" i="73" s="1"/>
  <c r="AP15" i="73"/>
  <c r="AO15" i="73"/>
  <c r="CB15" i="73" s="1"/>
  <c r="AN15" i="73"/>
  <c r="AM15" i="73"/>
  <c r="CA15" i="73" s="1"/>
  <c r="AL15" i="73"/>
  <c r="AK15" i="73"/>
  <c r="BZ15" i="73" s="1"/>
  <c r="AT14" i="73"/>
  <c r="AS14" i="73"/>
  <c r="CD14" i="73" s="1"/>
  <c r="AR14" i="73"/>
  <c r="AQ14" i="73"/>
  <c r="CC14" i="73" s="1"/>
  <c r="AP14" i="73"/>
  <c r="AO14" i="73"/>
  <c r="CB14" i="73" s="1"/>
  <c r="AN14" i="73"/>
  <c r="AM14" i="73"/>
  <c r="CA14" i="73" s="1"/>
  <c r="AL14" i="73"/>
  <c r="AK14" i="73"/>
  <c r="BZ14" i="73" s="1"/>
  <c r="AT13" i="73"/>
  <c r="AS13" i="73"/>
  <c r="CD13" i="73" s="1"/>
  <c r="AR13" i="73"/>
  <c r="AQ13" i="73"/>
  <c r="CC13" i="73" s="1"/>
  <c r="AP13" i="73"/>
  <c r="AO13" i="73"/>
  <c r="CB13" i="73" s="1"/>
  <c r="AN13" i="73"/>
  <c r="AM13" i="73"/>
  <c r="CA13" i="73" s="1"/>
  <c r="AL13" i="73"/>
  <c r="AK13" i="73"/>
  <c r="BZ13" i="73" s="1"/>
  <c r="AU87" i="73"/>
  <c r="CE87" i="73" s="1"/>
  <c r="AU86" i="73"/>
  <c r="CE86" i="73" s="1"/>
  <c r="AU85" i="73"/>
  <c r="CE85" i="73" s="1"/>
  <c r="AU84" i="73"/>
  <c r="CE84" i="73" s="1"/>
  <c r="AU82" i="73"/>
  <c r="CE82" i="73" s="1"/>
  <c r="AU81" i="73"/>
  <c r="CE81" i="73" s="1"/>
  <c r="AU80" i="73"/>
  <c r="CE80" i="73" s="1"/>
  <c r="AU79" i="73"/>
  <c r="CE79" i="73" s="1"/>
  <c r="AU78" i="73"/>
  <c r="CE78" i="73" s="1"/>
  <c r="AU77" i="73"/>
  <c r="CE77" i="73" s="1"/>
  <c r="AU75" i="73"/>
  <c r="CE75" i="73" s="1"/>
  <c r="AU73" i="73"/>
  <c r="CE73" i="73" s="1"/>
  <c r="AU71" i="73"/>
  <c r="CE71" i="73" s="1"/>
  <c r="AU54" i="73"/>
  <c r="CE54" i="73" s="1"/>
  <c r="AU53" i="73"/>
  <c r="CE53" i="73" s="1"/>
  <c r="AU52" i="73"/>
  <c r="CE52" i="73" s="1"/>
  <c r="AU47" i="73"/>
  <c r="CE47" i="73" s="1"/>
  <c r="AU46" i="73"/>
  <c r="CE46" i="73" s="1"/>
  <c r="AU45" i="73"/>
  <c r="CE45" i="73" s="1"/>
  <c r="AU44" i="73"/>
  <c r="CE44" i="73" s="1"/>
  <c r="AU43" i="73"/>
  <c r="CE43" i="73" s="1"/>
  <c r="AU42" i="73"/>
  <c r="CE42" i="73" s="1"/>
  <c r="AU41" i="73"/>
  <c r="CE41" i="73" s="1"/>
  <c r="AU40" i="73"/>
  <c r="CE40" i="73" s="1"/>
  <c r="AU39" i="73"/>
  <c r="CE39" i="73" s="1"/>
  <c r="AU37" i="73"/>
  <c r="CE37" i="73" s="1"/>
  <c r="AU36" i="73"/>
  <c r="CE36" i="73" s="1"/>
  <c r="AU35" i="73"/>
  <c r="CE35" i="73" s="1"/>
  <c r="AU34" i="73"/>
  <c r="CE34" i="73" s="1"/>
  <c r="AU33" i="73"/>
  <c r="CE33" i="73" s="1"/>
  <c r="AU32" i="73"/>
  <c r="CE32" i="73" s="1"/>
  <c r="AU31" i="73"/>
  <c r="CE31" i="73" s="1"/>
  <c r="AU30" i="73"/>
  <c r="CE30" i="73" s="1"/>
  <c r="AU28" i="73"/>
  <c r="CE28" i="73" s="1"/>
  <c r="AU27" i="73"/>
  <c r="CE27" i="73" s="1"/>
  <c r="AU26" i="73"/>
  <c r="CE26" i="73" s="1"/>
  <c r="AU23" i="73"/>
  <c r="CE23" i="73" s="1"/>
  <c r="AU22" i="73"/>
  <c r="CE22" i="73" s="1"/>
  <c r="AU20" i="73"/>
  <c r="CE20" i="73" s="1"/>
  <c r="AU19" i="73"/>
  <c r="CE19" i="73" s="1"/>
  <c r="AU16" i="73"/>
  <c r="CE16" i="73" s="1"/>
  <c r="AU15" i="73"/>
  <c r="CE15" i="73" s="1"/>
  <c r="AU14" i="73"/>
  <c r="CE14" i="73" s="1"/>
  <c r="AU13" i="73"/>
  <c r="CE13" i="73" s="1"/>
  <c r="AJ87" i="73"/>
  <c r="BY87" i="73" s="1"/>
  <c r="AJ86" i="73"/>
  <c r="BY86" i="73" s="1"/>
  <c r="AJ85" i="73"/>
  <c r="BY85" i="73" s="1"/>
  <c r="AJ84" i="73"/>
  <c r="BY84" i="73" s="1"/>
  <c r="AJ82" i="73"/>
  <c r="BY82" i="73" s="1"/>
  <c r="AJ81" i="73"/>
  <c r="BY81" i="73" s="1"/>
  <c r="AJ80" i="73"/>
  <c r="BY80" i="73" s="1"/>
  <c r="AJ79" i="73"/>
  <c r="BY79" i="73" s="1"/>
  <c r="AJ78" i="73"/>
  <c r="BY78" i="73" s="1"/>
  <c r="AJ77" i="73"/>
  <c r="BY77" i="73" s="1"/>
  <c r="AJ75" i="73"/>
  <c r="BY75" i="73" s="1"/>
  <c r="AJ73" i="73"/>
  <c r="BY73" i="73" s="1"/>
  <c r="AJ71" i="73"/>
  <c r="BY71" i="73" s="1"/>
  <c r="AJ54" i="73"/>
  <c r="BY54" i="73" s="1"/>
  <c r="AJ53" i="73"/>
  <c r="BY53" i="73" s="1"/>
  <c r="AJ52" i="73"/>
  <c r="BY52" i="73" s="1"/>
  <c r="AJ47" i="73"/>
  <c r="BY47" i="73" s="1"/>
  <c r="AJ46" i="73"/>
  <c r="BY46" i="73" s="1"/>
  <c r="AJ45" i="73"/>
  <c r="BY45" i="73" s="1"/>
  <c r="AJ44" i="73"/>
  <c r="BY44" i="73" s="1"/>
  <c r="AJ43" i="73"/>
  <c r="BY43" i="73" s="1"/>
  <c r="AJ42" i="73"/>
  <c r="BY42" i="73" s="1"/>
  <c r="AJ41" i="73"/>
  <c r="BY41" i="73" s="1"/>
  <c r="AJ40" i="73"/>
  <c r="BY40" i="73" s="1"/>
  <c r="AJ39" i="73"/>
  <c r="BY39" i="73" s="1"/>
  <c r="AJ37" i="73"/>
  <c r="BY37" i="73" s="1"/>
  <c r="AJ36" i="73"/>
  <c r="BY36" i="73" s="1"/>
  <c r="AJ35" i="73"/>
  <c r="BY35" i="73" s="1"/>
  <c r="AJ34" i="73"/>
  <c r="BY34" i="73" s="1"/>
  <c r="AJ33" i="73"/>
  <c r="BY33" i="73" s="1"/>
  <c r="AJ32" i="73"/>
  <c r="BY32" i="73" s="1"/>
  <c r="AJ31" i="73"/>
  <c r="BY31" i="73" s="1"/>
  <c r="AJ30" i="73"/>
  <c r="BY30" i="73" s="1"/>
  <c r="AJ28" i="73"/>
  <c r="BY28" i="73" s="1"/>
  <c r="AJ27" i="73"/>
  <c r="BY27" i="73" s="1"/>
  <c r="AJ26" i="73"/>
  <c r="BY26" i="73" s="1"/>
  <c r="AJ23" i="73"/>
  <c r="BY23" i="73" s="1"/>
  <c r="AJ22" i="73"/>
  <c r="BY22" i="73" s="1"/>
  <c r="AJ20" i="73"/>
  <c r="BY20" i="73" s="1"/>
  <c r="AJ19" i="73"/>
  <c r="BY19" i="73" s="1"/>
  <c r="AJ16" i="73"/>
  <c r="BY16" i="73" s="1"/>
  <c r="AJ15" i="73"/>
  <c r="BY15" i="73" s="1"/>
  <c r="AJ14" i="73"/>
  <c r="BY14" i="73" s="1"/>
  <c r="AJ13" i="73"/>
  <c r="BY13" i="73" s="1"/>
  <c r="AI92" i="73"/>
  <c r="AH92" i="73"/>
  <c r="BX92" i="73" s="1"/>
  <c r="AG92" i="73"/>
  <c r="AF92" i="73"/>
  <c r="BW92" i="73" s="1"/>
  <c r="AE92" i="73"/>
  <c r="AD92" i="73"/>
  <c r="BV92" i="73" s="1"/>
  <c r="AC92" i="73"/>
  <c r="AB92" i="73"/>
  <c r="BU92" i="73" s="1"/>
  <c r="AA92" i="73"/>
  <c r="Z92" i="73"/>
  <c r="BT92" i="73" s="1"/>
  <c r="AI87" i="73"/>
  <c r="AH87" i="73"/>
  <c r="BX87" i="73" s="1"/>
  <c r="AG87" i="73"/>
  <c r="AF87" i="73"/>
  <c r="BW87" i="73" s="1"/>
  <c r="AE87" i="73"/>
  <c r="AD87" i="73"/>
  <c r="BV87" i="73" s="1"/>
  <c r="AC87" i="73"/>
  <c r="AB87" i="73"/>
  <c r="BU87" i="73" s="1"/>
  <c r="AA87" i="73"/>
  <c r="Z87" i="73"/>
  <c r="BT87" i="73" s="1"/>
  <c r="AI86" i="73"/>
  <c r="AH86" i="73"/>
  <c r="BX86" i="73" s="1"/>
  <c r="AG86" i="73"/>
  <c r="AF86" i="73"/>
  <c r="BW86" i="73" s="1"/>
  <c r="AE86" i="73"/>
  <c r="AD86" i="73"/>
  <c r="BV86" i="73" s="1"/>
  <c r="AC86" i="73"/>
  <c r="AB86" i="73"/>
  <c r="BU86" i="73" s="1"/>
  <c r="AA86" i="73"/>
  <c r="Z86" i="73"/>
  <c r="BT86" i="73" s="1"/>
  <c r="AI85" i="73"/>
  <c r="AH85" i="73"/>
  <c r="BX85" i="73" s="1"/>
  <c r="AG85" i="73"/>
  <c r="AF85" i="73"/>
  <c r="BW85" i="73" s="1"/>
  <c r="AE85" i="73"/>
  <c r="AD85" i="73"/>
  <c r="BV85" i="73" s="1"/>
  <c r="AC85" i="73"/>
  <c r="AB85" i="73"/>
  <c r="BU85" i="73" s="1"/>
  <c r="AA85" i="73"/>
  <c r="Z85" i="73"/>
  <c r="BT85" i="73" s="1"/>
  <c r="AI84" i="73"/>
  <c r="AH84" i="73"/>
  <c r="BX84" i="73" s="1"/>
  <c r="AG84" i="73"/>
  <c r="AF84" i="73"/>
  <c r="BW84" i="73" s="1"/>
  <c r="AE84" i="73"/>
  <c r="AD84" i="73"/>
  <c r="BV84" i="73" s="1"/>
  <c r="AC84" i="73"/>
  <c r="AB84" i="73"/>
  <c r="BU84" i="73" s="1"/>
  <c r="AA84" i="73"/>
  <c r="Z84" i="73"/>
  <c r="BT84" i="73" s="1"/>
  <c r="AI82" i="73"/>
  <c r="AH82" i="73"/>
  <c r="BX82" i="73" s="1"/>
  <c r="AG82" i="73"/>
  <c r="AF82" i="73"/>
  <c r="BW82" i="73" s="1"/>
  <c r="AE82" i="73"/>
  <c r="AD82" i="73"/>
  <c r="BV82" i="73" s="1"/>
  <c r="AC82" i="73"/>
  <c r="AB82" i="73"/>
  <c r="BU82" i="73" s="1"/>
  <c r="AA82" i="73"/>
  <c r="Z82" i="73"/>
  <c r="BT82" i="73" s="1"/>
  <c r="AI81" i="73"/>
  <c r="AH81" i="73"/>
  <c r="BX81" i="73" s="1"/>
  <c r="AG81" i="73"/>
  <c r="AF81" i="73"/>
  <c r="BW81" i="73" s="1"/>
  <c r="AE81" i="73"/>
  <c r="AD81" i="73"/>
  <c r="BV81" i="73" s="1"/>
  <c r="AC81" i="73"/>
  <c r="AB81" i="73"/>
  <c r="BU81" i="73" s="1"/>
  <c r="AA81" i="73"/>
  <c r="Z81" i="73"/>
  <c r="BT81" i="73" s="1"/>
  <c r="AI80" i="73"/>
  <c r="AH80" i="73"/>
  <c r="BX80" i="73" s="1"/>
  <c r="AG80" i="73"/>
  <c r="AF80" i="73"/>
  <c r="BW80" i="73" s="1"/>
  <c r="AE80" i="73"/>
  <c r="AD80" i="73"/>
  <c r="BV80" i="73" s="1"/>
  <c r="AC80" i="73"/>
  <c r="AB80" i="73"/>
  <c r="BU80" i="73" s="1"/>
  <c r="AA80" i="73"/>
  <c r="Z80" i="73"/>
  <c r="BT80" i="73" s="1"/>
  <c r="AI79" i="73"/>
  <c r="AH79" i="73"/>
  <c r="BX79" i="73" s="1"/>
  <c r="AG79" i="73"/>
  <c r="AF79" i="73"/>
  <c r="BW79" i="73" s="1"/>
  <c r="AE79" i="73"/>
  <c r="AD79" i="73"/>
  <c r="BV79" i="73" s="1"/>
  <c r="AC79" i="73"/>
  <c r="AB79" i="73"/>
  <c r="BU79" i="73" s="1"/>
  <c r="AA79" i="73"/>
  <c r="Z79" i="73"/>
  <c r="BT79" i="73" s="1"/>
  <c r="AI78" i="73"/>
  <c r="AH78" i="73"/>
  <c r="BX78" i="73" s="1"/>
  <c r="AG78" i="73"/>
  <c r="AF78" i="73"/>
  <c r="BW78" i="73" s="1"/>
  <c r="AE78" i="73"/>
  <c r="AD78" i="73"/>
  <c r="BV78" i="73" s="1"/>
  <c r="AC78" i="73"/>
  <c r="AB78" i="73"/>
  <c r="BU78" i="73" s="1"/>
  <c r="AA78" i="73"/>
  <c r="Z78" i="73"/>
  <c r="BT78" i="73" s="1"/>
  <c r="AI77" i="73"/>
  <c r="AH77" i="73"/>
  <c r="BX77" i="73" s="1"/>
  <c r="AG77" i="73"/>
  <c r="AF77" i="73"/>
  <c r="BW77" i="73" s="1"/>
  <c r="AE77" i="73"/>
  <c r="AD77" i="73"/>
  <c r="BV77" i="73" s="1"/>
  <c r="AC77" i="73"/>
  <c r="AB77" i="73"/>
  <c r="BU77" i="73" s="1"/>
  <c r="AA77" i="73"/>
  <c r="Z77" i="73"/>
  <c r="BT77" i="73" s="1"/>
  <c r="AI75" i="73"/>
  <c r="AH75" i="73"/>
  <c r="BX75" i="73" s="1"/>
  <c r="AG75" i="73"/>
  <c r="AF75" i="73"/>
  <c r="BW75" i="73" s="1"/>
  <c r="AE75" i="73"/>
  <c r="AD75" i="73"/>
  <c r="BV75" i="73" s="1"/>
  <c r="AC75" i="73"/>
  <c r="AB75" i="73"/>
  <c r="BU75" i="73" s="1"/>
  <c r="AA75" i="73"/>
  <c r="Z75" i="73"/>
  <c r="BT75" i="73" s="1"/>
  <c r="AI74" i="73"/>
  <c r="AH74" i="73"/>
  <c r="BX74" i="73" s="1"/>
  <c r="AG74" i="73"/>
  <c r="AF74" i="73"/>
  <c r="BW74" i="73" s="1"/>
  <c r="AE74" i="73"/>
  <c r="AD74" i="73"/>
  <c r="BV74" i="73" s="1"/>
  <c r="AC74" i="73"/>
  <c r="AB74" i="73"/>
  <c r="BU74" i="73" s="1"/>
  <c r="AA74" i="73"/>
  <c r="Z74" i="73"/>
  <c r="BT74" i="73" s="1"/>
  <c r="AI72" i="73"/>
  <c r="AH72" i="73"/>
  <c r="BX72" i="73" s="1"/>
  <c r="AG72" i="73"/>
  <c r="AF72" i="73"/>
  <c r="BW72" i="73" s="1"/>
  <c r="AE72" i="73"/>
  <c r="AD72" i="73"/>
  <c r="BV72" i="73" s="1"/>
  <c r="AC72" i="73"/>
  <c r="AB72" i="73"/>
  <c r="BU72" i="73" s="1"/>
  <c r="AA72" i="73"/>
  <c r="Z72" i="73"/>
  <c r="BT72" i="73" s="1"/>
  <c r="AI71" i="73"/>
  <c r="AH71" i="73"/>
  <c r="BX71" i="73" s="1"/>
  <c r="AG71" i="73"/>
  <c r="AF71" i="73"/>
  <c r="BW71" i="73" s="1"/>
  <c r="AE71" i="73"/>
  <c r="AD71" i="73"/>
  <c r="BV71" i="73" s="1"/>
  <c r="AC71" i="73"/>
  <c r="AB71" i="73"/>
  <c r="BU71" i="73" s="1"/>
  <c r="AA71" i="73"/>
  <c r="Z71" i="73"/>
  <c r="BT71" i="73" s="1"/>
  <c r="AI54" i="73"/>
  <c r="AH54" i="73"/>
  <c r="BX54" i="73" s="1"/>
  <c r="AG54" i="73"/>
  <c r="AF54" i="73"/>
  <c r="BW54" i="73" s="1"/>
  <c r="AE54" i="73"/>
  <c r="AD54" i="73"/>
  <c r="BV54" i="73" s="1"/>
  <c r="AC54" i="73"/>
  <c r="AB54" i="73"/>
  <c r="BU54" i="73" s="1"/>
  <c r="AA54" i="73"/>
  <c r="Z54" i="73"/>
  <c r="BT54" i="73" s="1"/>
  <c r="AI53" i="73"/>
  <c r="AH53" i="73"/>
  <c r="BX53" i="73" s="1"/>
  <c r="AG53" i="73"/>
  <c r="AF53" i="73"/>
  <c r="BW53" i="73" s="1"/>
  <c r="AE53" i="73"/>
  <c r="AD53" i="73"/>
  <c r="BV53" i="73" s="1"/>
  <c r="AC53" i="73"/>
  <c r="AB53" i="73"/>
  <c r="BU53" i="73" s="1"/>
  <c r="AA53" i="73"/>
  <c r="Z53" i="73"/>
  <c r="BT53" i="73" s="1"/>
  <c r="AI52" i="73"/>
  <c r="AH52" i="73"/>
  <c r="BX52" i="73" s="1"/>
  <c r="AG52" i="73"/>
  <c r="AF52" i="73"/>
  <c r="BW52" i="73" s="1"/>
  <c r="AE52" i="73"/>
  <c r="AD52" i="73"/>
  <c r="BV52" i="73" s="1"/>
  <c r="AC52" i="73"/>
  <c r="AB52" i="73"/>
  <c r="BU52" i="73" s="1"/>
  <c r="AA52" i="73"/>
  <c r="Z52" i="73"/>
  <c r="BT52" i="73" s="1"/>
  <c r="AI47" i="73"/>
  <c r="AH47" i="73"/>
  <c r="BX47" i="73" s="1"/>
  <c r="AG47" i="73"/>
  <c r="AF47" i="73"/>
  <c r="BW47" i="73" s="1"/>
  <c r="AE47" i="73"/>
  <c r="AD47" i="73"/>
  <c r="BV47" i="73" s="1"/>
  <c r="AC47" i="73"/>
  <c r="AB47" i="73"/>
  <c r="BU47" i="73" s="1"/>
  <c r="AA47" i="73"/>
  <c r="Z47" i="73"/>
  <c r="BT47" i="73" s="1"/>
  <c r="AI46" i="73"/>
  <c r="AH46" i="73"/>
  <c r="BX46" i="73" s="1"/>
  <c r="AG46" i="73"/>
  <c r="AF46" i="73"/>
  <c r="BW46" i="73" s="1"/>
  <c r="AE46" i="73"/>
  <c r="AD46" i="73"/>
  <c r="BV46" i="73" s="1"/>
  <c r="AC46" i="73"/>
  <c r="AB46" i="73"/>
  <c r="BU46" i="73" s="1"/>
  <c r="AA46" i="73"/>
  <c r="Z46" i="73"/>
  <c r="BT46" i="73" s="1"/>
  <c r="AI45" i="73"/>
  <c r="AH45" i="73"/>
  <c r="BX45" i="73" s="1"/>
  <c r="AG45" i="73"/>
  <c r="AF45" i="73"/>
  <c r="BW45" i="73" s="1"/>
  <c r="AE45" i="73"/>
  <c r="AD45" i="73"/>
  <c r="BV45" i="73" s="1"/>
  <c r="AC45" i="73"/>
  <c r="AB45" i="73"/>
  <c r="BU45" i="73" s="1"/>
  <c r="AA45" i="73"/>
  <c r="Z45" i="73"/>
  <c r="BT45" i="73" s="1"/>
  <c r="AI44" i="73"/>
  <c r="AH44" i="73"/>
  <c r="BX44" i="73" s="1"/>
  <c r="AG44" i="73"/>
  <c r="AF44" i="73"/>
  <c r="BW44" i="73" s="1"/>
  <c r="AE44" i="73"/>
  <c r="AD44" i="73"/>
  <c r="BV44" i="73" s="1"/>
  <c r="AC44" i="73"/>
  <c r="AB44" i="73"/>
  <c r="BU44" i="73" s="1"/>
  <c r="AA44" i="73"/>
  <c r="Z44" i="73"/>
  <c r="BT44" i="73" s="1"/>
  <c r="AI43" i="73"/>
  <c r="AH43" i="73"/>
  <c r="BX43" i="73" s="1"/>
  <c r="AG43" i="73"/>
  <c r="AF43" i="73"/>
  <c r="BW43" i="73" s="1"/>
  <c r="AE43" i="73"/>
  <c r="AD43" i="73"/>
  <c r="BV43" i="73" s="1"/>
  <c r="AC43" i="73"/>
  <c r="AB43" i="73"/>
  <c r="BU43" i="73" s="1"/>
  <c r="AA43" i="73"/>
  <c r="Z43" i="73"/>
  <c r="BT43" i="73" s="1"/>
  <c r="AI42" i="73"/>
  <c r="AH42" i="73"/>
  <c r="BX42" i="73" s="1"/>
  <c r="AG42" i="73"/>
  <c r="AF42" i="73"/>
  <c r="BW42" i="73" s="1"/>
  <c r="AE42" i="73"/>
  <c r="AD42" i="73"/>
  <c r="BV42" i="73" s="1"/>
  <c r="AC42" i="73"/>
  <c r="AB42" i="73"/>
  <c r="BU42" i="73" s="1"/>
  <c r="AA42" i="73"/>
  <c r="Z42" i="73"/>
  <c r="BT42" i="73" s="1"/>
  <c r="AI41" i="73"/>
  <c r="AH41" i="73"/>
  <c r="BX41" i="73" s="1"/>
  <c r="AG41" i="73"/>
  <c r="AF41" i="73"/>
  <c r="BW41" i="73" s="1"/>
  <c r="AE41" i="73"/>
  <c r="AD41" i="73"/>
  <c r="BV41" i="73" s="1"/>
  <c r="AC41" i="73"/>
  <c r="AB41" i="73"/>
  <c r="BU41" i="73" s="1"/>
  <c r="AA41" i="73"/>
  <c r="Z41" i="73"/>
  <c r="BT41" i="73" s="1"/>
  <c r="AI40" i="73"/>
  <c r="AH40" i="73"/>
  <c r="BX40" i="73" s="1"/>
  <c r="AG40" i="73"/>
  <c r="AF40" i="73"/>
  <c r="BW40" i="73" s="1"/>
  <c r="AE40" i="73"/>
  <c r="AD40" i="73"/>
  <c r="BV40" i="73" s="1"/>
  <c r="AC40" i="73"/>
  <c r="AB40" i="73"/>
  <c r="BU40" i="73" s="1"/>
  <c r="AA40" i="73"/>
  <c r="Z40" i="73"/>
  <c r="BT40" i="73" s="1"/>
  <c r="AI39" i="73"/>
  <c r="AH39" i="73"/>
  <c r="BX39" i="73" s="1"/>
  <c r="AG39" i="73"/>
  <c r="AF39" i="73"/>
  <c r="BW39" i="73" s="1"/>
  <c r="AE39" i="73"/>
  <c r="AD39" i="73"/>
  <c r="BV39" i="73" s="1"/>
  <c r="AC39" i="73"/>
  <c r="AB39" i="73"/>
  <c r="BU39" i="73" s="1"/>
  <c r="AA39" i="73"/>
  <c r="Z39" i="73"/>
  <c r="BT39" i="73" s="1"/>
  <c r="AI37" i="73"/>
  <c r="AH37" i="73"/>
  <c r="BX37" i="73" s="1"/>
  <c r="AG37" i="73"/>
  <c r="AF37" i="73"/>
  <c r="BW37" i="73" s="1"/>
  <c r="AE37" i="73"/>
  <c r="AD37" i="73"/>
  <c r="BV37" i="73" s="1"/>
  <c r="AC37" i="73"/>
  <c r="AB37" i="73"/>
  <c r="BU37" i="73" s="1"/>
  <c r="AA37" i="73"/>
  <c r="Z37" i="73"/>
  <c r="BT37" i="73" s="1"/>
  <c r="AI36" i="73"/>
  <c r="AH36" i="73"/>
  <c r="BX36" i="73" s="1"/>
  <c r="AG36" i="73"/>
  <c r="AF36" i="73"/>
  <c r="BW36" i="73" s="1"/>
  <c r="AE36" i="73"/>
  <c r="AD36" i="73"/>
  <c r="BV36" i="73" s="1"/>
  <c r="AC36" i="73"/>
  <c r="AB36" i="73"/>
  <c r="BU36" i="73" s="1"/>
  <c r="AA36" i="73"/>
  <c r="Z36" i="73"/>
  <c r="BT36" i="73" s="1"/>
  <c r="AI35" i="73"/>
  <c r="AH35" i="73"/>
  <c r="BX35" i="73" s="1"/>
  <c r="AG35" i="73"/>
  <c r="AF35" i="73"/>
  <c r="BW35" i="73" s="1"/>
  <c r="AE35" i="73"/>
  <c r="AD35" i="73"/>
  <c r="BV35" i="73" s="1"/>
  <c r="AC35" i="73"/>
  <c r="AB35" i="73"/>
  <c r="BU35" i="73" s="1"/>
  <c r="AA35" i="73"/>
  <c r="Z35" i="73"/>
  <c r="BT35" i="73" s="1"/>
  <c r="AI34" i="73"/>
  <c r="AH34" i="73"/>
  <c r="BX34" i="73" s="1"/>
  <c r="AG34" i="73"/>
  <c r="AF34" i="73"/>
  <c r="BW34" i="73" s="1"/>
  <c r="AE34" i="73"/>
  <c r="AD34" i="73"/>
  <c r="BV34" i="73" s="1"/>
  <c r="AC34" i="73"/>
  <c r="AB34" i="73"/>
  <c r="BU34" i="73" s="1"/>
  <c r="AA34" i="73"/>
  <c r="Z34" i="73"/>
  <c r="BT34" i="73" s="1"/>
  <c r="AI33" i="73"/>
  <c r="AH33" i="73"/>
  <c r="BX33" i="73" s="1"/>
  <c r="AG33" i="73"/>
  <c r="AF33" i="73"/>
  <c r="BW33" i="73" s="1"/>
  <c r="AE33" i="73"/>
  <c r="AD33" i="73"/>
  <c r="BV33" i="73" s="1"/>
  <c r="AC33" i="73"/>
  <c r="AB33" i="73"/>
  <c r="BU33" i="73" s="1"/>
  <c r="AA33" i="73"/>
  <c r="Z33" i="73"/>
  <c r="BT33" i="73" s="1"/>
  <c r="AI32" i="73"/>
  <c r="AH32" i="73"/>
  <c r="BX32" i="73" s="1"/>
  <c r="AG32" i="73"/>
  <c r="AF32" i="73"/>
  <c r="BW32" i="73" s="1"/>
  <c r="AE32" i="73"/>
  <c r="AD32" i="73"/>
  <c r="BV32" i="73" s="1"/>
  <c r="AC32" i="73"/>
  <c r="AB32" i="73"/>
  <c r="BU32" i="73" s="1"/>
  <c r="AA32" i="73"/>
  <c r="Z32" i="73"/>
  <c r="BT32" i="73" s="1"/>
  <c r="AI31" i="73"/>
  <c r="AH31" i="73"/>
  <c r="BX31" i="73" s="1"/>
  <c r="AG31" i="73"/>
  <c r="AF31" i="73"/>
  <c r="BW31" i="73" s="1"/>
  <c r="AE31" i="73"/>
  <c r="AD31" i="73"/>
  <c r="BV31" i="73" s="1"/>
  <c r="AC31" i="73"/>
  <c r="AB31" i="73"/>
  <c r="BU31" i="73" s="1"/>
  <c r="AA31" i="73"/>
  <c r="Z31" i="73"/>
  <c r="BT31" i="73" s="1"/>
  <c r="AI30" i="73"/>
  <c r="AH30" i="73"/>
  <c r="BX30" i="73" s="1"/>
  <c r="AG30" i="73"/>
  <c r="AF30" i="73"/>
  <c r="BW30" i="73" s="1"/>
  <c r="AE30" i="73"/>
  <c r="AD30" i="73"/>
  <c r="BV30" i="73" s="1"/>
  <c r="AC30" i="73"/>
  <c r="AB30" i="73"/>
  <c r="BU30" i="73" s="1"/>
  <c r="AA30" i="73"/>
  <c r="Z30" i="73"/>
  <c r="BT30" i="73" s="1"/>
  <c r="AI28" i="73"/>
  <c r="AH28" i="73"/>
  <c r="BX28" i="73" s="1"/>
  <c r="AG28" i="73"/>
  <c r="AF28" i="73"/>
  <c r="BW28" i="73" s="1"/>
  <c r="AE28" i="73"/>
  <c r="AD28" i="73"/>
  <c r="BV28" i="73" s="1"/>
  <c r="AC28" i="73"/>
  <c r="AB28" i="73"/>
  <c r="BU28" i="73" s="1"/>
  <c r="AA28" i="73"/>
  <c r="Z28" i="73"/>
  <c r="BT28" i="73" s="1"/>
  <c r="AI27" i="73"/>
  <c r="AH27" i="73"/>
  <c r="BX27" i="73" s="1"/>
  <c r="AG27" i="73"/>
  <c r="AF27" i="73"/>
  <c r="BW27" i="73" s="1"/>
  <c r="AE27" i="73"/>
  <c r="AD27" i="73"/>
  <c r="BV27" i="73" s="1"/>
  <c r="AC27" i="73"/>
  <c r="AB27" i="73"/>
  <c r="BU27" i="73" s="1"/>
  <c r="AA27" i="73"/>
  <c r="Z27" i="73"/>
  <c r="BT27" i="73" s="1"/>
  <c r="AI26" i="73"/>
  <c r="AH26" i="73"/>
  <c r="BX26" i="73" s="1"/>
  <c r="AG26" i="73"/>
  <c r="AF26" i="73"/>
  <c r="BW26" i="73" s="1"/>
  <c r="AE26" i="73"/>
  <c r="AD26" i="73"/>
  <c r="BV26" i="73" s="1"/>
  <c r="AC26" i="73"/>
  <c r="AB26" i="73"/>
  <c r="BU26" i="73" s="1"/>
  <c r="AA26" i="73"/>
  <c r="Z26" i="73"/>
  <c r="BT26" i="73" s="1"/>
  <c r="AI23" i="73"/>
  <c r="AH23" i="73"/>
  <c r="BX23" i="73" s="1"/>
  <c r="AG23" i="73"/>
  <c r="AF23" i="73"/>
  <c r="BW23" i="73" s="1"/>
  <c r="AE23" i="73"/>
  <c r="AD23" i="73"/>
  <c r="BV23" i="73" s="1"/>
  <c r="AC23" i="73"/>
  <c r="AB23" i="73"/>
  <c r="BU23" i="73" s="1"/>
  <c r="AA23" i="73"/>
  <c r="Z23" i="73"/>
  <c r="BT23" i="73" s="1"/>
  <c r="AI22" i="73"/>
  <c r="AH22" i="73"/>
  <c r="BX22" i="73" s="1"/>
  <c r="AG22" i="73"/>
  <c r="AF22" i="73"/>
  <c r="BW22" i="73" s="1"/>
  <c r="AE22" i="73"/>
  <c r="AD22" i="73"/>
  <c r="BV22" i="73" s="1"/>
  <c r="AC22" i="73"/>
  <c r="AB22" i="73"/>
  <c r="BU22" i="73" s="1"/>
  <c r="AA22" i="73"/>
  <c r="Z22" i="73"/>
  <c r="BT22" i="73" s="1"/>
  <c r="AI20" i="73"/>
  <c r="AH20" i="73"/>
  <c r="BX20" i="73" s="1"/>
  <c r="AG20" i="73"/>
  <c r="AF20" i="73"/>
  <c r="BW20" i="73" s="1"/>
  <c r="AE20" i="73"/>
  <c r="AD20" i="73"/>
  <c r="BV20" i="73" s="1"/>
  <c r="AC20" i="73"/>
  <c r="AB20" i="73"/>
  <c r="BU20" i="73" s="1"/>
  <c r="AA20" i="73"/>
  <c r="Z20" i="73"/>
  <c r="BT20" i="73" s="1"/>
  <c r="AI19" i="73"/>
  <c r="AH19" i="73"/>
  <c r="BX19" i="73" s="1"/>
  <c r="AG19" i="73"/>
  <c r="AF19" i="73"/>
  <c r="BW19" i="73" s="1"/>
  <c r="AE19" i="73"/>
  <c r="AD19" i="73"/>
  <c r="BV19" i="73" s="1"/>
  <c r="AC19" i="73"/>
  <c r="AB19" i="73"/>
  <c r="BU19" i="73" s="1"/>
  <c r="AA19" i="73"/>
  <c r="Z19" i="73"/>
  <c r="BT19" i="73" s="1"/>
  <c r="AI16" i="73"/>
  <c r="AH16" i="73"/>
  <c r="BX16" i="73" s="1"/>
  <c r="AG16" i="73"/>
  <c r="AF16" i="73"/>
  <c r="BW16" i="73" s="1"/>
  <c r="AE16" i="73"/>
  <c r="AD16" i="73"/>
  <c r="BV16" i="73" s="1"/>
  <c r="AC16" i="73"/>
  <c r="AB16" i="73"/>
  <c r="BU16" i="73" s="1"/>
  <c r="AA16" i="73"/>
  <c r="Z16" i="73"/>
  <c r="BT16" i="73" s="1"/>
  <c r="AI15" i="73"/>
  <c r="AH15" i="73"/>
  <c r="BX15" i="73" s="1"/>
  <c r="AG15" i="73"/>
  <c r="AF15" i="73"/>
  <c r="BW15" i="73" s="1"/>
  <c r="AE15" i="73"/>
  <c r="AD15" i="73"/>
  <c r="BV15" i="73" s="1"/>
  <c r="AC15" i="73"/>
  <c r="AB15" i="73"/>
  <c r="BU15" i="73" s="1"/>
  <c r="AA15" i="73"/>
  <c r="Z15" i="73"/>
  <c r="BT15" i="73" s="1"/>
  <c r="AI14" i="73"/>
  <c r="AH14" i="73"/>
  <c r="BX14" i="73" s="1"/>
  <c r="AG14" i="73"/>
  <c r="AF14" i="73"/>
  <c r="BW14" i="73" s="1"/>
  <c r="AE14" i="73"/>
  <c r="AD14" i="73"/>
  <c r="BV14" i="73" s="1"/>
  <c r="AC14" i="73"/>
  <c r="AB14" i="73"/>
  <c r="BU14" i="73" s="1"/>
  <c r="AA14" i="73"/>
  <c r="Z14" i="73"/>
  <c r="BT14" i="73" s="1"/>
  <c r="AI13" i="73"/>
  <c r="AH13" i="73"/>
  <c r="BX13" i="73" s="1"/>
  <c r="AG13" i="73"/>
  <c r="AF13" i="73"/>
  <c r="BW13" i="73" s="1"/>
  <c r="AE13" i="73"/>
  <c r="AD13" i="73"/>
  <c r="BV13" i="73" s="1"/>
  <c r="AC13" i="73"/>
  <c r="AB13" i="73"/>
  <c r="BU13" i="73" s="1"/>
  <c r="AA13" i="73"/>
  <c r="Z13" i="73"/>
  <c r="BT13" i="73" s="1"/>
  <c r="Y92" i="73"/>
  <c r="BS92" i="73" s="1"/>
  <c r="Y87" i="73"/>
  <c r="BS87" i="73" s="1"/>
  <c r="Y86" i="73"/>
  <c r="BS86" i="73" s="1"/>
  <c r="Y85" i="73"/>
  <c r="BS85" i="73" s="1"/>
  <c r="Y84" i="73"/>
  <c r="BS84" i="73" s="1"/>
  <c r="Y82" i="73"/>
  <c r="BS82" i="73" s="1"/>
  <c r="Y81" i="73"/>
  <c r="BS81" i="73" s="1"/>
  <c r="Y80" i="73"/>
  <c r="BS80" i="73" s="1"/>
  <c r="Y79" i="73"/>
  <c r="BS79" i="73" s="1"/>
  <c r="Y78" i="73"/>
  <c r="BS78" i="73" s="1"/>
  <c r="Y77" i="73"/>
  <c r="BS77" i="73" s="1"/>
  <c r="Y75" i="73"/>
  <c r="BS75" i="73" s="1"/>
  <c r="Y74" i="73"/>
  <c r="BS74" i="73" s="1"/>
  <c r="Y72" i="73"/>
  <c r="BS72" i="73" s="1"/>
  <c r="Y71" i="73"/>
  <c r="BS71" i="73" s="1"/>
  <c r="Y54" i="73"/>
  <c r="BS54" i="73" s="1"/>
  <c r="Y53" i="73"/>
  <c r="BS53" i="73" s="1"/>
  <c r="Y52" i="73"/>
  <c r="BS52" i="73" s="1"/>
  <c r="Y47" i="73"/>
  <c r="BS47" i="73" s="1"/>
  <c r="Y46" i="73"/>
  <c r="BS46" i="73" s="1"/>
  <c r="Y45" i="73"/>
  <c r="BS45" i="73" s="1"/>
  <c r="Y44" i="73"/>
  <c r="BS44" i="73" s="1"/>
  <c r="Y43" i="73"/>
  <c r="BS43" i="73" s="1"/>
  <c r="Y42" i="73"/>
  <c r="BS42" i="73" s="1"/>
  <c r="Y41" i="73"/>
  <c r="BS41" i="73" s="1"/>
  <c r="Y40" i="73"/>
  <c r="BS40" i="73" s="1"/>
  <c r="Y39" i="73"/>
  <c r="BS39" i="73" s="1"/>
  <c r="Y37" i="73"/>
  <c r="BS37" i="73" s="1"/>
  <c r="Y36" i="73"/>
  <c r="BS36" i="73" s="1"/>
  <c r="Y35" i="73"/>
  <c r="BS35" i="73" s="1"/>
  <c r="Y34" i="73"/>
  <c r="BS34" i="73" s="1"/>
  <c r="Y33" i="73"/>
  <c r="BS33" i="73" s="1"/>
  <c r="Y32" i="73"/>
  <c r="BS32" i="73" s="1"/>
  <c r="Y31" i="73"/>
  <c r="BS31" i="73" s="1"/>
  <c r="Y30" i="73"/>
  <c r="BS30" i="73" s="1"/>
  <c r="Y28" i="73"/>
  <c r="BS28" i="73" s="1"/>
  <c r="Y27" i="73"/>
  <c r="BS27" i="73" s="1"/>
  <c r="Y26" i="73"/>
  <c r="BS26" i="73" s="1"/>
  <c r="Y23" i="73"/>
  <c r="BS23" i="73" s="1"/>
  <c r="Y22" i="73"/>
  <c r="BS22" i="73" s="1"/>
  <c r="Y20" i="73"/>
  <c r="BS20" i="73" s="1"/>
  <c r="Y19" i="73"/>
  <c r="BS19" i="73" s="1"/>
  <c r="Y16" i="73"/>
  <c r="BS16" i="73" s="1"/>
  <c r="Y15" i="73"/>
  <c r="BS15" i="73" s="1"/>
  <c r="Y14" i="73"/>
  <c r="BS14" i="73" s="1"/>
  <c r="Y13" i="73"/>
  <c r="BS13" i="73" s="1"/>
  <c r="X92" i="73"/>
  <c r="X87" i="73"/>
  <c r="X86" i="73"/>
  <c r="X85" i="73"/>
  <c r="X84" i="73"/>
  <c r="X82" i="73"/>
  <c r="X81" i="73"/>
  <c r="X80" i="73"/>
  <c r="X79" i="73"/>
  <c r="X78" i="73"/>
  <c r="X77" i="73"/>
  <c r="X75" i="73"/>
  <c r="X74" i="73"/>
  <c r="X72" i="73"/>
  <c r="X71" i="73"/>
  <c r="X54" i="73"/>
  <c r="X53" i="73"/>
  <c r="X52" i="73"/>
  <c r="X47" i="73"/>
  <c r="X46" i="73"/>
  <c r="X45" i="73"/>
  <c r="X44" i="73"/>
  <c r="X43" i="73"/>
  <c r="X42" i="73"/>
  <c r="X41" i="73"/>
  <c r="X40" i="73"/>
  <c r="X39" i="73"/>
  <c r="X37" i="73"/>
  <c r="X36" i="73"/>
  <c r="X35" i="73"/>
  <c r="X34" i="73"/>
  <c r="X33" i="73"/>
  <c r="X32" i="73"/>
  <c r="X31" i="73"/>
  <c r="X30" i="73"/>
  <c r="X28" i="73"/>
  <c r="X27" i="73"/>
  <c r="X26" i="73"/>
  <c r="X23" i="73"/>
  <c r="X22" i="73"/>
  <c r="X20" i="73"/>
  <c r="X19" i="73"/>
  <c r="X16" i="73"/>
  <c r="X15" i="73"/>
  <c r="X14" i="73"/>
  <c r="X13" i="73"/>
  <c r="V92" i="73"/>
  <c r="V87" i="73"/>
  <c r="V86" i="73"/>
  <c r="V85" i="73"/>
  <c r="V84" i="73"/>
  <c r="V82" i="73"/>
  <c r="V81" i="73"/>
  <c r="V80" i="73"/>
  <c r="V79" i="73"/>
  <c r="V78" i="73"/>
  <c r="V77" i="73"/>
  <c r="V75" i="73"/>
  <c r="V74" i="73"/>
  <c r="V72" i="73"/>
  <c r="V71" i="73"/>
  <c r="V54" i="73"/>
  <c r="V53" i="73"/>
  <c r="V52" i="73"/>
  <c r="V47" i="73"/>
  <c r="V46" i="73"/>
  <c r="V45" i="73"/>
  <c r="V44" i="73"/>
  <c r="V43" i="73"/>
  <c r="V42" i="73"/>
  <c r="V41" i="73"/>
  <c r="V40" i="73"/>
  <c r="V39" i="73"/>
  <c r="V37" i="73"/>
  <c r="V36" i="73"/>
  <c r="V35" i="73"/>
  <c r="V34" i="73"/>
  <c r="V33" i="73"/>
  <c r="V32" i="73"/>
  <c r="V31" i="73"/>
  <c r="V30" i="73"/>
  <c r="V28" i="73"/>
  <c r="V27" i="73"/>
  <c r="V26" i="73"/>
  <c r="V23" i="73"/>
  <c r="V22" i="73"/>
  <c r="V20" i="73"/>
  <c r="V19" i="73"/>
  <c r="V16" i="73"/>
  <c r="V15" i="73"/>
  <c r="V14" i="73"/>
  <c r="V13" i="73"/>
  <c r="T92" i="73"/>
  <c r="T87" i="73"/>
  <c r="T86" i="73"/>
  <c r="T85" i="73"/>
  <c r="T84" i="73"/>
  <c r="T82" i="73"/>
  <c r="T81" i="73"/>
  <c r="T80" i="73"/>
  <c r="T79" i="73"/>
  <c r="T78" i="73"/>
  <c r="T77" i="73"/>
  <c r="T75" i="73"/>
  <c r="T74" i="73"/>
  <c r="T72" i="73"/>
  <c r="T71" i="73"/>
  <c r="T54" i="73"/>
  <c r="T53" i="73"/>
  <c r="T52" i="73"/>
  <c r="T47" i="73"/>
  <c r="T46" i="73"/>
  <c r="T45" i="73"/>
  <c r="T44" i="73"/>
  <c r="T43" i="73"/>
  <c r="T42" i="73"/>
  <c r="T41" i="73"/>
  <c r="T40" i="73"/>
  <c r="T39" i="73"/>
  <c r="T37" i="73"/>
  <c r="T36" i="73"/>
  <c r="T35" i="73"/>
  <c r="T34" i="73"/>
  <c r="T33" i="73"/>
  <c r="T32" i="73"/>
  <c r="T31" i="73"/>
  <c r="T30" i="73"/>
  <c r="T28" i="73"/>
  <c r="T27" i="73"/>
  <c r="T26" i="73"/>
  <c r="T23" i="73"/>
  <c r="T22" i="73"/>
  <c r="T20" i="73"/>
  <c r="T19" i="73"/>
  <c r="T16" i="73"/>
  <c r="T15" i="73"/>
  <c r="T14" i="73"/>
  <c r="T13" i="73"/>
  <c r="R92" i="73"/>
  <c r="R87" i="73"/>
  <c r="R86" i="73"/>
  <c r="R85" i="73"/>
  <c r="R84" i="73"/>
  <c r="R82" i="73"/>
  <c r="R81" i="73"/>
  <c r="R80" i="73"/>
  <c r="R79" i="73"/>
  <c r="R78" i="73"/>
  <c r="R77" i="73"/>
  <c r="R75" i="73"/>
  <c r="R74" i="73"/>
  <c r="R72" i="73"/>
  <c r="R71" i="73"/>
  <c r="R54" i="73"/>
  <c r="R53" i="73"/>
  <c r="R52" i="73"/>
  <c r="R47" i="73"/>
  <c r="R46" i="73"/>
  <c r="R45" i="73"/>
  <c r="R44" i="73"/>
  <c r="R43" i="73"/>
  <c r="R42" i="73"/>
  <c r="R41" i="73"/>
  <c r="R40" i="73"/>
  <c r="R39" i="73"/>
  <c r="R37" i="73"/>
  <c r="R36" i="73"/>
  <c r="R35" i="73"/>
  <c r="R34" i="73"/>
  <c r="R33" i="73"/>
  <c r="R32" i="73"/>
  <c r="R31" i="73"/>
  <c r="R30" i="73"/>
  <c r="R28" i="73"/>
  <c r="R27" i="73"/>
  <c r="R26" i="73"/>
  <c r="R23" i="73"/>
  <c r="R22" i="73"/>
  <c r="R20" i="73"/>
  <c r="R19" i="73"/>
  <c r="R16" i="73"/>
  <c r="R15" i="73"/>
  <c r="R14" i="73"/>
  <c r="R13" i="73"/>
  <c r="P92" i="73"/>
  <c r="P87" i="73"/>
  <c r="P86" i="73"/>
  <c r="P85" i="73"/>
  <c r="P84" i="73"/>
  <c r="P82" i="73"/>
  <c r="P81" i="73"/>
  <c r="P80" i="73"/>
  <c r="P79" i="73"/>
  <c r="P78" i="73"/>
  <c r="P77" i="73"/>
  <c r="P75" i="73"/>
  <c r="P74" i="73"/>
  <c r="P72" i="73"/>
  <c r="P71" i="73"/>
  <c r="P54" i="73"/>
  <c r="P53" i="73"/>
  <c r="P52" i="73"/>
  <c r="P47" i="73"/>
  <c r="P46" i="73"/>
  <c r="P45" i="73"/>
  <c r="P44" i="73"/>
  <c r="P43" i="73"/>
  <c r="P42" i="73"/>
  <c r="P41" i="73"/>
  <c r="P40" i="73"/>
  <c r="P39" i="73"/>
  <c r="P37" i="73"/>
  <c r="P36" i="73"/>
  <c r="P35" i="73"/>
  <c r="P34" i="73"/>
  <c r="P33" i="73"/>
  <c r="P32" i="73"/>
  <c r="P31" i="73"/>
  <c r="P30" i="73"/>
  <c r="P28" i="73"/>
  <c r="P27" i="73"/>
  <c r="P26" i="73"/>
  <c r="P23" i="73"/>
  <c r="P22" i="73"/>
  <c r="P20" i="73"/>
  <c r="P19" i="73"/>
  <c r="P16" i="73"/>
  <c r="P15" i="73"/>
  <c r="P14" i="73"/>
  <c r="P13" i="73"/>
  <c r="W92" i="73"/>
  <c r="BR92" i="73" s="1"/>
  <c r="W87" i="73"/>
  <c r="BR87" i="73" s="1"/>
  <c r="W86" i="73"/>
  <c r="BR86" i="73" s="1"/>
  <c r="W85" i="73"/>
  <c r="BR85" i="73" s="1"/>
  <c r="W84" i="73"/>
  <c r="BR84" i="73" s="1"/>
  <c r="W82" i="73"/>
  <c r="BR82" i="73" s="1"/>
  <c r="W81" i="73"/>
  <c r="BR81" i="73" s="1"/>
  <c r="W80" i="73"/>
  <c r="BR80" i="73" s="1"/>
  <c r="W79" i="73"/>
  <c r="BR79" i="73" s="1"/>
  <c r="W78" i="73"/>
  <c r="BR78" i="73" s="1"/>
  <c r="W77" i="73"/>
  <c r="BR77" i="73" s="1"/>
  <c r="W75" i="73"/>
  <c r="BR75" i="73" s="1"/>
  <c r="W74" i="73"/>
  <c r="BR74" i="73" s="1"/>
  <c r="W72" i="73"/>
  <c r="BR72" i="73" s="1"/>
  <c r="W71" i="73"/>
  <c r="BR71" i="73" s="1"/>
  <c r="W54" i="73"/>
  <c r="BR54" i="73" s="1"/>
  <c r="W53" i="73"/>
  <c r="BR53" i="73" s="1"/>
  <c r="W52" i="73"/>
  <c r="BR52" i="73" s="1"/>
  <c r="W47" i="73"/>
  <c r="BR47" i="73" s="1"/>
  <c r="W46" i="73"/>
  <c r="BR46" i="73" s="1"/>
  <c r="W45" i="73"/>
  <c r="BR45" i="73" s="1"/>
  <c r="W44" i="73"/>
  <c r="BR44" i="73" s="1"/>
  <c r="W43" i="73"/>
  <c r="BR43" i="73" s="1"/>
  <c r="W42" i="73"/>
  <c r="BR42" i="73" s="1"/>
  <c r="W41" i="73"/>
  <c r="BR41" i="73" s="1"/>
  <c r="W40" i="73"/>
  <c r="BR40" i="73" s="1"/>
  <c r="W39" i="73"/>
  <c r="BR39" i="73" s="1"/>
  <c r="W37" i="73"/>
  <c r="BR37" i="73" s="1"/>
  <c r="W36" i="73"/>
  <c r="BR36" i="73" s="1"/>
  <c r="W35" i="73"/>
  <c r="BR35" i="73" s="1"/>
  <c r="W34" i="73"/>
  <c r="BR34" i="73" s="1"/>
  <c r="W33" i="73"/>
  <c r="BR33" i="73" s="1"/>
  <c r="W32" i="73"/>
  <c r="BR32" i="73" s="1"/>
  <c r="W31" i="73"/>
  <c r="BR31" i="73" s="1"/>
  <c r="W30" i="73"/>
  <c r="BR30" i="73" s="1"/>
  <c r="W28" i="73"/>
  <c r="BR28" i="73" s="1"/>
  <c r="W27" i="73"/>
  <c r="BR27" i="73" s="1"/>
  <c r="W26" i="73"/>
  <c r="BR26" i="73" s="1"/>
  <c r="W23" i="73"/>
  <c r="BR23" i="73" s="1"/>
  <c r="W22" i="73"/>
  <c r="BR22" i="73" s="1"/>
  <c r="W20" i="73"/>
  <c r="BR20" i="73" s="1"/>
  <c r="W19" i="73"/>
  <c r="BR19" i="73" s="1"/>
  <c r="W16" i="73"/>
  <c r="BR16" i="73" s="1"/>
  <c r="W15" i="73"/>
  <c r="BR15" i="73" s="1"/>
  <c r="W14" i="73"/>
  <c r="BR14" i="73" s="1"/>
  <c r="W13" i="73"/>
  <c r="BR13" i="73" s="1"/>
  <c r="U92" i="73"/>
  <c r="BQ92" i="73" s="1"/>
  <c r="U87" i="73"/>
  <c r="BQ87" i="73" s="1"/>
  <c r="U86" i="73"/>
  <c r="BQ86" i="73" s="1"/>
  <c r="U85" i="73"/>
  <c r="BQ85" i="73" s="1"/>
  <c r="U84" i="73"/>
  <c r="BQ84" i="73" s="1"/>
  <c r="U82" i="73"/>
  <c r="BQ82" i="73" s="1"/>
  <c r="U81" i="73"/>
  <c r="BQ81" i="73" s="1"/>
  <c r="U80" i="73"/>
  <c r="BQ80" i="73" s="1"/>
  <c r="U79" i="73"/>
  <c r="BQ79" i="73" s="1"/>
  <c r="U78" i="73"/>
  <c r="BQ78" i="73" s="1"/>
  <c r="U77" i="73"/>
  <c r="BQ77" i="73" s="1"/>
  <c r="U75" i="73"/>
  <c r="BQ75" i="73" s="1"/>
  <c r="U74" i="73"/>
  <c r="BQ74" i="73" s="1"/>
  <c r="U72" i="73"/>
  <c r="BQ72" i="73" s="1"/>
  <c r="U71" i="73"/>
  <c r="BQ71" i="73" s="1"/>
  <c r="U54" i="73"/>
  <c r="BQ54" i="73" s="1"/>
  <c r="U53" i="73"/>
  <c r="BQ53" i="73" s="1"/>
  <c r="U52" i="73"/>
  <c r="BQ52" i="73" s="1"/>
  <c r="U47" i="73"/>
  <c r="BQ47" i="73" s="1"/>
  <c r="U46" i="73"/>
  <c r="BQ46" i="73" s="1"/>
  <c r="U45" i="73"/>
  <c r="BQ45" i="73" s="1"/>
  <c r="U44" i="73"/>
  <c r="BQ44" i="73" s="1"/>
  <c r="U43" i="73"/>
  <c r="BQ43" i="73" s="1"/>
  <c r="U42" i="73"/>
  <c r="BQ42" i="73" s="1"/>
  <c r="U41" i="73"/>
  <c r="BQ41" i="73" s="1"/>
  <c r="U40" i="73"/>
  <c r="BQ40" i="73" s="1"/>
  <c r="U39" i="73"/>
  <c r="BQ39" i="73" s="1"/>
  <c r="U37" i="73"/>
  <c r="BQ37" i="73" s="1"/>
  <c r="U36" i="73"/>
  <c r="BQ36" i="73" s="1"/>
  <c r="U35" i="73"/>
  <c r="BQ35" i="73" s="1"/>
  <c r="U34" i="73"/>
  <c r="BQ34" i="73" s="1"/>
  <c r="U33" i="73"/>
  <c r="BQ33" i="73" s="1"/>
  <c r="U32" i="73"/>
  <c r="BQ32" i="73" s="1"/>
  <c r="U31" i="73"/>
  <c r="BQ31" i="73" s="1"/>
  <c r="U30" i="73"/>
  <c r="BQ30" i="73" s="1"/>
  <c r="U28" i="73"/>
  <c r="BQ28" i="73" s="1"/>
  <c r="U27" i="73"/>
  <c r="BQ27" i="73" s="1"/>
  <c r="U26" i="73"/>
  <c r="BQ26" i="73" s="1"/>
  <c r="U23" i="73"/>
  <c r="BQ23" i="73" s="1"/>
  <c r="U22" i="73"/>
  <c r="BQ22" i="73" s="1"/>
  <c r="U20" i="73"/>
  <c r="BQ20" i="73" s="1"/>
  <c r="U19" i="73"/>
  <c r="BQ19" i="73" s="1"/>
  <c r="U16" i="73"/>
  <c r="BQ16" i="73" s="1"/>
  <c r="U15" i="73"/>
  <c r="BQ15" i="73" s="1"/>
  <c r="U14" i="73"/>
  <c r="BQ14" i="73" s="1"/>
  <c r="U13" i="73"/>
  <c r="BQ13" i="73" s="1"/>
  <c r="S92" i="73"/>
  <c r="BP92" i="73" s="1"/>
  <c r="S87" i="73"/>
  <c r="BP87" i="73" s="1"/>
  <c r="S86" i="73"/>
  <c r="BP86" i="73" s="1"/>
  <c r="S85" i="73"/>
  <c r="BP85" i="73" s="1"/>
  <c r="S84" i="73"/>
  <c r="BP84" i="73" s="1"/>
  <c r="S82" i="73"/>
  <c r="BP82" i="73" s="1"/>
  <c r="S81" i="73"/>
  <c r="BP81" i="73" s="1"/>
  <c r="S80" i="73"/>
  <c r="BP80" i="73" s="1"/>
  <c r="S79" i="73"/>
  <c r="BP79" i="73" s="1"/>
  <c r="S78" i="73"/>
  <c r="BP78" i="73" s="1"/>
  <c r="S77" i="73"/>
  <c r="BP77" i="73" s="1"/>
  <c r="S75" i="73"/>
  <c r="BP75" i="73" s="1"/>
  <c r="S74" i="73"/>
  <c r="BP74" i="73" s="1"/>
  <c r="S72" i="73"/>
  <c r="BP72" i="73" s="1"/>
  <c r="S71" i="73"/>
  <c r="BP71" i="73" s="1"/>
  <c r="S54" i="73"/>
  <c r="BP54" i="73" s="1"/>
  <c r="S53" i="73"/>
  <c r="BP53" i="73" s="1"/>
  <c r="S52" i="73"/>
  <c r="BP52" i="73" s="1"/>
  <c r="S47" i="73"/>
  <c r="BP47" i="73" s="1"/>
  <c r="S46" i="73"/>
  <c r="BP46" i="73" s="1"/>
  <c r="S45" i="73"/>
  <c r="BP45" i="73" s="1"/>
  <c r="S44" i="73"/>
  <c r="BP44" i="73" s="1"/>
  <c r="S43" i="73"/>
  <c r="BP43" i="73" s="1"/>
  <c r="S42" i="73"/>
  <c r="BP42" i="73" s="1"/>
  <c r="S41" i="73"/>
  <c r="BP41" i="73" s="1"/>
  <c r="S40" i="73"/>
  <c r="BP40" i="73" s="1"/>
  <c r="S39" i="73"/>
  <c r="BP39" i="73" s="1"/>
  <c r="S37" i="73"/>
  <c r="BP37" i="73" s="1"/>
  <c r="S36" i="73"/>
  <c r="BP36" i="73" s="1"/>
  <c r="S35" i="73"/>
  <c r="BP35" i="73" s="1"/>
  <c r="S34" i="73"/>
  <c r="BP34" i="73" s="1"/>
  <c r="S33" i="73"/>
  <c r="BP33" i="73" s="1"/>
  <c r="S32" i="73"/>
  <c r="BP32" i="73" s="1"/>
  <c r="S31" i="73"/>
  <c r="BP31" i="73" s="1"/>
  <c r="S30" i="73"/>
  <c r="BP30" i="73" s="1"/>
  <c r="S28" i="73"/>
  <c r="BP28" i="73" s="1"/>
  <c r="S27" i="73"/>
  <c r="BP27" i="73" s="1"/>
  <c r="S26" i="73"/>
  <c r="BP26" i="73" s="1"/>
  <c r="S23" i="73"/>
  <c r="BP23" i="73" s="1"/>
  <c r="S22" i="73"/>
  <c r="BP22" i="73" s="1"/>
  <c r="S20" i="73"/>
  <c r="BP20" i="73" s="1"/>
  <c r="S19" i="73"/>
  <c r="BP19" i="73" s="1"/>
  <c r="S16" i="73"/>
  <c r="BP16" i="73" s="1"/>
  <c r="S15" i="73"/>
  <c r="BP15" i="73" s="1"/>
  <c r="S14" i="73"/>
  <c r="BP14" i="73" s="1"/>
  <c r="S13" i="73"/>
  <c r="BP13" i="73" s="1"/>
  <c r="Q92" i="73"/>
  <c r="BO92" i="73" s="1"/>
  <c r="Q87" i="73"/>
  <c r="BO87" i="73" s="1"/>
  <c r="Q86" i="73"/>
  <c r="BO86" i="73" s="1"/>
  <c r="Q85" i="73"/>
  <c r="BO85" i="73" s="1"/>
  <c r="Q84" i="73"/>
  <c r="BO84" i="73" s="1"/>
  <c r="Q82" i="73"/>
  <c r="BO82" i="73" s="1"/>
  <c r="Q81" i="73"/>
  <c r="BO81" i="73" s="1"/>
  <c r="Q80" i="73"/>
  <c r="BO80" i="73" s="1"/>
  <c r="Q79" i="73"/>
  <c r="BO79" i="73" s="1"/>
  <c r="Q78" i="73"/>
  <c r="BO78" i="73" s="1"/>
  <c r="Q77" i="73"/>
  <c r="BO77" i="73" s="1"/>
  <c r="Q75" i="73"/>
  <c r="BO75" i="73" s="1"/>
  <c r="Q74" i="73"/>
  <c r="BO74" i="73" s="1"/>
  <c r="Q72" i="73"/>
  <c r="BO72" i="73" s="1"/>
  <c r="Q71" i="73"/>
  <c r="BO71" i="73" s="1"/>
  <c r="Q54" i="73"/>
  <c r="BO54" i="73" s="1"/>
  <c r="Q53" i="73"/>
  <c r="BO53" i="73" s="1"/>
  <c r="Q52" i="73"/>
  <c r="BO52" i="73" s="1"/>
  <c r="Q47" i="73"/>
  <c r="BO47" i="73" s="1"/>
  <c r="Q46" i="73"/>
  <c r="BO46" i="73" s="1"/>
  <c r="Q45" i="73"/>
  <c r="BO45" i="73" s="1"/>
  <c r="Q44" i="73"/>
  <c r="BO44" i="73" s="1"/>
  <c r="Q43" i="73"/>
  <c r="BO43" i="73" s="1"/>
  <c r="Q42" i="73"/>
  <c r="BO42" i="73" s="1"/>
  <c r="Q41" i="73"/>
  <c r="BO41" i="73" s="1"/>
  <c r="Q40" i="73"/>
  <c r="BO40" i="73" s="1"/>
  <c r="Q39" i="73"/>
  <c r="BO39" i="73" s="1"/>
  <c r="Q37" i="73"/>
  <c r="BO37" i="73" s="1"/>
  <c r="Q36" i="73"/>
  <c r="BO36" i="73" s="1"/>
  <c r="Q35" i="73"/>
  <c r="BO35" i="73" s="1"/>
  <c r="Q34" i="73"/>
  <c r="BO34" i="73" s="1"/>
  <c r="Q33" i="73"/>
  <c r="BO33" i="73" s="1"/>
  <c r="Q32" i="73"/>
  <c r="BO32" i="73" s="1"/>
  <c r="Q31" i="73"/>
  <c r="BO31" i="73" s="1"/>
  <c r="Q30" i="73"/>
  <c r="BO30" i="73" s="1"/>
  <c r="Q28" i="73"/>
  <c r="BO28" i="73" s="1"/>
  <c r="Q27" i="73"/>
  <c r="BO27" i="73" s="1"/>
  <c r="Q26" i="73"/>
  <c r="BO26" i="73" s="1"/>
  <c r="Q23" i="73"/>
  <c r="BO23" i="73" s="1"/>
  <c r="Q22" i="73"/>
  <c r="BO22" i="73" s="1"/>
  <c r="Q20" i="73"/>
  <c r="BO20" i="73" s="1"/>
  <c r="Q19" i="73"/>
  <c r="BO19" i="73" s="1"/>
  <c r="Q16" i="73"/>
  <c r="BO16" i="73" s="1"/>
  <c r="Q15" i="73"/>
  <c r="BO15" i="73" s="1"/>
  <c r="Q14" i="73"/>
  <c r="BO14" i="73" s="1"/>
  <c r="Q13" i="73"/>
  <c r="BO13" i="73" s="1"/>
  <c r="O92" i="73"/>
  <c r="BN92" i="73" s="1"/>
  <c r="O87" i="73"/>
  <c r="BN87" i="73" s="1"/>
  <c r="O86" i="73"/>
  <c r="BN86" i="73" s="1"/>
  <c r="O85" i="73"/>
  <c r="BN85" i="73" s="1"/>
  <c r="O84" i="73"/>
  <c r="BN84" i="73" s="1"/>
  <c r="O82" i="73"/>
  <c r="BN82" i="73" s="1"/>
  <c r="O81" i="73"/>
  <c r="BN81" i="73" s="1"/>
  <c r="O80" i="73"/>
  <c r="BN80" i="73" s="1"/>
  <c r="O79" i="73"/>
  <c r="BN79" i="73" s="1"/>
  <c r="O78" i="73"/>
  <c r="BN78" i="73" s="1"/>
  <c r="O77" i="73"/>
  <c r="BN77" i="73" s="1"/>
  <c r="O75" i="73"/>
  <c r="BN75" i="73" s="1"/>
  <c r="O74" i="73"/>
  <c r="BN74" i="73" s="1"/>
  <c r="O72" i="73"/>
  <c r="BN72" i="73" s="1"/>
  <c r="O71" i="73"/>
  <c r="BN71" i="73" s="1"/>
  <c r="O54" i="73"/>
  <c r="BN54" i="73" s="1"/>
  <c r="O53" i="73"/>
  <c r="BN53" i="73" s="1"/>
  <c r="O52" i="73"/>
  <c r="BN52" i="73" s="1"/>
  <c r="O47" i="73"/>
  <c r="BN47" i="73" s="1"/>
  <c r="O46" i="73"/>
  <c r="BN46" i="73" s="1"/>
  <c r="O45" i="73"/>
  <c r="BN45" i="73" s="1"/>
  <c r="O44" i="73"/>
  <c r="BN44" i="73" s="1"/>
  <c r="O43" i="73"/>
  <c r="BN43" i="73" s="1"/>
  <c r="O42" i="73"/>
  <c r="BN42" i="73" s="1"/>
  <c r="O41" i="73"/>
  <c r="BN41" i="73" s="1"/>
  <c r="O40" i="73"/>
  <c r="BN40" i="73" s="1"/>
  <c r="O39" i="73"/>
  <c r="BN39" i="73" s="1"/>
  <c r="O37" i="73"/>
  <c r="BN37" i="73" s="1"/>
  <c r="O36" i="73"/>
  <c r="BN36" i="73" s="1"/>
  <c r="O35" i="73"/>
  <c r="BN35" i="73" s="1"/>
  <c r="O34" i="73"/>
  <c r="BN34" i="73" s="1"/>
  <c r="O33" i="73"/>
  <c r="BN33" i="73" s="1"/>
  <c r="O32" i="73"/>
  <c r="BN32" i="73" s="1"/>
  <c r="O31" i="73"/>
  <c r="BN31" i="73" s="1"/>
  <c r="O30" i="73"/>
  <c r="BN30" i="73" s="1"/>
  <c r="O28" i="73"/>
  <c r="BN28" i="73" s="1"/>
  <c r="O27" i="73"/>
  <c r="BN27" i="73" s="1"/>
  <c r="O26" i="73"/>
  <c r="BN26" i="73" s="1"/>
  <c r="O23" i="73"/>
  <c r="BN23" i="73" s="1"/>
  <c r="O22" i="73"/>
  <c r="BN22" i="73" s="1"/>
  <c r="O20" i="73"/>
  <c r="BN20" i="73" s="1"/>
  <c r="O19" i="73"/>
  <c r="BN19" i="73" s="1"/>
  <c r="O16" i="73"/>
  <c r="BN16" i="73" s="1"/>
  <c r="O15" i="73"/>
  <c r="BN15" i="73" s="1"/>
  <c r="O14" i="73"/>
  <c r="BN14" i="73" s="1"/>
  <c r="O13" i="73"/>
  <c r="BN13" i="73" s="1"/>
  <c r="N92" i="73"/>
  <c r="BM92" i="73" s="1"/>
  <c r="N87" i="73"/>
  <c r="BM87" i="73" s="1"/>
  <c r="N86" i="73"/>
  <c r="BM86" i="73" s="1"/>
  <c r="N85" i="73"/>
  <c r="BM85" i="73" s="1"/>
  <c r="N84" i="73"/>
  <c r="BM84" i="73" s="1"/>
  <c r="N82" i="73"/>
  <c r="BM82" i="73" s="1"/>
  <c r="N81" i="73"/>
  <c r="BM81" i="73" s="1"/>
  <c r="N80" i="73"/>
  <c r="BM80" i="73" s="1"/>
  <c r="N79" i="73"/>
  <c r="BM79" i="73" s="1"/>
  <c r="N78" i="73"/>
  <c r="BM78" i="73" s="1"/>
  <c r="N77" i="73"/>
  <c r="BM77" i="73" s="1"/>
  <c r="N75" i="73"/>
  <c r="BM75" i="73" s="1"/>
  <c r="N74" i="73"/>
  <c r="BM74" i="73" s="1"/>
  <c r="N72" i="73"/>
  <c r="BM72" i="73" s="1"/>
  <c r="N71" i="73"/>
  <c r="BM71" i="73" s="1"/>
  <c r="N54" i="73"/>
  <c r="BM54" i="73" s="1"/>
  <c r="N53" i="73"/>
  <c r="BM53" i="73" s="1"/>
  <c r="N52" i="73"/>
  <c r="BM52" i="73" s="1"/>
  <c r="N47" i="73"/>
  <c r="BM47" i="73" s="1"/>
  <c r="N46" i="73"/>
  <c r="BM46" i="73" s="1"/>
  <c r="N45" i="73"/>
  <c r="BM45" i="73" s="1"/>
  <c r="N44" i="73"/>
  <c r="BM44" i="73" s="1"/>
  <c r="N43" i="73"/>
  <c r="BM43" i="73" s="1"/>
  <c r="N42" i="73"/>
  <c r="BM42" i="73" s="1"/>
  <c r="N41" i="73"/>
  <c r="BM41" i="73" s="1"/>
  <c r="N40" i="73"/>
  <c r="BM40" i="73" s="1"/>
  <c r="N39" i="73"/>
  <c r="BM39" i="73" s="1"/>
  <c r="N37" i="73"/>
  <c r="BM37" i="73" s="1"/>
  <c r="N36" i="73"/>
  <c r="BM36" i="73" s="1"/>
  <c r="N35" i="73"/>
  <c r="BM35" i="73" s="1"/>
  <c r="N34" i="73"/>
  <c r="BM34" i="73" s="1"/>
  <c r="N33" i="73"/>
  <c r="BM33" i="73" s="1"/>
  <c r="N32" i="73"/>
  <c r="BM32" i="73" s="1"/>
  <c r="N31" i="73"/>
  <c r="BM31" i="73" s="1"/>
  <c r="N30" i="73"/>
  <c r="BM30" i="73" s="1"/>
  <c r="N28" i="73"/>
  <c r="BM28" i="73" s="1"/>
  <c r="N27" i="73"/>
  <c r="BM27" i="73" s="1"/>
  <c r="N26" i="73"/>
  <c r="BM26" i="73" s="1"/>
  <c r="N23" i="73"/>
  <c r="BM23" i="73" s="1"/>
  <c r="N22" i="73"/>
  <c r="BM22" i="73" s="1"/>
  <c r="N20" i="73"/>
  <c r="BM20" i="73" s="1"/>
  <c r="N19" i="73"/>
  <c r="BM19" i="73" s="1"/>
  <c r="N16" i="73"/>
  <c r="BM16" i="73" s="1"/>
  <c r="N15" i="73"/>
  <c r="BM15" i="73" s="1"/>
  <c r="N14" i="73"/>
  <c r="BM14" i="73" s="1"/>
  <c r="N13" i="73"/>
  <c r="BM13" i="73" s="1"/>
  <c r="M87" i="73"/>
  <c r="L87" i="73"/>
  <c r="BL87" i="73" s="1"/>
  <c r="K87" i="73"/>
  <c r="J87" i="73"/>
  <c r="BK87" i="73" s="1"/>
  <c r="I87" i="73"/>
  <c r="H87" i="73"/>
  <c r="BJ87" i="73" s="1"/>
  <c r="G87" i="73"/>
  <c r="F87" i="73"/>
  <c r="BI87" i="73" s="1"/>
  <c r="E87" i="73"/>
  <c r="D87" i="73"/>
  <c r="BH87" i="73" s="1"/>
  <c r="M86" i="73"/>
  <c r="L86" i="73"/>
  <c r="BL86" i="73" s="1"/>
  <c r="K86" i="73"/>
  <c r="J86" i="73"/>
  <c r="BK86" i="73" s="1"/>
  <c r="I86" i="73"/>
  <c r="H86" i="73"/>
  <c r="BJ86" i="73" s="1"/>
  <c r="G86" i="73"/>
  <c r="F86" i="73"/>
  <c r="BI86" i="73" s="1"/>
  <c r="E86" i="73"/>
  <c r="D86" i="73"/>
  <c r="BH86" i="73" s="1"/>
  <c r="M85" i="73"/>
  <c r="L85" i="73"/>
  <c r="BL85" i="73" s="1"/>
  <c r="K85" i="73"/>
  <c r="J85" i="73"/>
  <c r="BK85" i="73" s="1"/>
  <c r="I85" i="73"/>
  <c r="H85" i="73"/>
  <c r="BJ85" i="73" s="1"/>
  <c r="G85" i="73"/>
  <c r="F85" i="73"/>
  <c r="BI85" i="73" s="1"/>
  <c r="E85" i="73"/>
  <c r="D85" i="73"/>
  <c r="BH85" i="73" s="1"/>
  <c r="M84" i="73"/>
  <c r="L84" i="73"/>
  <c r="BL84" i="73" s="1"/>
  <c r="K84" i="73"/>
  <c r="J84" i="73"/>
  <c r="BK84" i="73" s="1"/>
  <c r="I84" i="73"/>
  <c r="H84" i="73"/>
  <c r="BJ84" i="73" s="1"/>
  <c r="G84" i="73"/>
  <c r="F84" i="73"/>
  <c r="BI84" i="73" s="1"/>
  <c r="E84" i="73"/>
  <c r="D84" i="73"/>
  <c r="BH84" i="73" s="1"/>
  <c r="M82" i="73"/>
  <c r="L82" i="73"/>
  <c r="BL82" i="73" s="1"/>
  <c r="K82" i="73"/>
  <c r="J82" i="73"/>
  <c r="BK82" i="73" s="1"/>
  <c r="I82" i="73"/>
  <c r="H82" i="73"/>
  <c r="BJ82" i="73" s="1"/>
  <c r="G82" i="73"/>
  <c r="F82" i="73"/>
  <c r="BI82" i="73" s="1"/>
  <c r="E82" i="73"/>
  <c r="D82" i="73"/>
  <c r="BH82" i="73" s="1"/>
  <c r="M81" i="73"/>
  <c r="L81" i="73"/>
  <c r="BL81" i="73" s="1"/>
  <c r="K81" i="73"/>
  <c r="J81" i="73"/>
  <c r="BK81" i="73" s="1"/>
  <c r="I81" i="73"/>
  <c r="H81" i="73"/>
  <c r="BJ81" i="73" s="1"/>
  <c r="G81" i="73"/>
  <c r="F81" i="73"/>
  <c r="BI81" i="73" s="1"/>
  <c r="E81" i="73"/>
  <c r="D81" i="73"/>
  <c r="BH81" i="73" s="1"/>
  <c r="M80" i="73"/>
  <c r="L80" i="73"/>
  <c r="BL80" i="73" s="1"/>
  <c r="K80" i="73"/>
  <c r="J80" i="73"/>
  <c r="BK80" i="73" s="1"/>
  <c r="I80" i="73"/>
  <c r="H80" i="73"/>
  <c r="BJ80" i="73" s="1"/>
  <c r="G80" i="73"/>
  <c r="F80" i="73"/>
  <c r="BI80" i="73" s="1"/>
  <c r="E80" i="73"/>
  <c r="D80" i="73"/>
  <c r="BH80" i="73" s="1"/>
  <c r="M79" i="73"/>
  <c r="L79" i="73"/>
  <c r="BL79" i="73" s="1"/>
  <c r="K79" i="73"/>
  <c r="J79" i="73"/>
  <c r="BK79" i="73" s="1"/>
  <c r="I79" i="73"/>
  <c r="H79" i="73"/>
  <c r="BJ79" i="73" s="1"/>
  <c r="G79" i="73"/>
  <c r="F79" i="73"/>
  <c r="BI79" i="73" s="1"/>
  <c r="E79" i="73"/>
  <c r="D79" i="73"/>
  <c r="BH79" i="73" s="1"/>
  <c r="M78" i="73"/>
  <c r="L78" i="73"/>
  <c r="BL78" i="73" s="1"/>
  <c r="K78" i="73"/>
  <c r="J78" i="73"/>
  <c r="BK78" i="73" s="1"/>
  <c r="I78" i="73"/>
  <c r="H78" i="73"/>
  <c r="BJ78" i="73" s="1"/>
  <c r="G78" i="73"/>
  <c r="F78" i="73"/>
  <c r="BI78" i="73" s="1"/>
  <c r="E78" i="73"/>
  <c r="D78" i="73"/>
  <c r="BH78" i="73" s="1"/>
  <c r="M77" i="73"/>
  <c r="L77" i="73"/>
  <c r="BL77" i="73" s="1"/>
  <c r="K77" i="73"/>
  <c r="J77" i="73"/>
  <c r="BK77" i="73" s="1"/>
  <c r="I77" i="73"/>
  <c r="H77" i="73"/>
  <c r="BJ77" i="73" s="1"/>
  <c r="G77" i="73"/>
  <c r="F77" i="73"/>
  <c r="BI77" i="73" s="1"/>
  <c r="E77" i="73"/>
  <c r="D77" i="73"/>
  <c r="BH77" i="73" s="1"/>
  <c r="M75" i="73"/>
  <c r="L75" i="73"/>
  <c r="BL75" i="73" s="1"/>
  <c r="K75" i="73"/>
  <c r="J75" i="73"/>
  <c r="BK75" i="73" s="1"/>
  <c r="I75" i="73"/>
  <c r="H75" i="73"/>
  <c r="BJ75" i="73" s="1"/>
  <c r="G75" i="73"/>
  <c r="F75" i="73"/>
  <c r="BI75" i="73" s="1"/>
  <c r="E75" i="73"/>
  <c r="D75" i="73"/>
  <c r="BH75" i="73" s="1"/>
  <c r="M73" i="73"/>
  <c r="L73" i="73"/>
  <c r="BL73" i="73" s="1"/>
  <c r="K73" i="73"/>
  <c r="J73" i="73"/>
  <c r="BK73" i="73" s="1"/>
  <c r="I73" i="73"/>
  <c r="H73" i="73"/>
  <c r="BJ73" i="73" s="1"/>
  <c r="G73" i="73"/>
  <c r="F73" i="73"/>
  <c r="BI73" i="73" s="1"/>
  <c r="E73" i="73"/>
  <c r="D73" i="73"/>
  <c r="BH73" i="73" s="1"/>
  <c r="M72" i="73"/>
  <c r="L72" i="73"/>
  <c r="BL72" i="73" s="1"/>
  <c r="K72" i="73"/>
  <c r="J72" i="73"/>
  <c r="BK72" i="73" s="1"/>
  <c r="I72" i="73"/>
  <c r="H72" i="73"/>
  <c r="BJ72" i="73" s="1"/>
  <c r="G72" i="73"/>
  <c r="F72" i="73"/>
  <c r="BI72" i="73" s="1"/>
  <c r="E72" i="73"/>
  <c r="D72" i="73"/>
  <c r="BH72" i="73" s="1"/>
  <c r="M71" i="73"/>
  <c r="L71" i="73"/>
  <c r="BL71" i="73" s="1"/>
  <c r="K71" i="73"/>
  <c r="J71" i="73"/>
  <c r="BK71" i="73" s="1"/>
  <c r="I71" i="73"/>
  <c r="H71" i="73"/>
  <c r="BJ71" i="73" s="1"/>
  <c r="G71" i="73"/>
  <c r="F71" i="73"/>
  <c r="BI71" i="73" s="1"/>
  <c r="E71" i="73"/>
  <c r="D71" i="73"/>
  <c r="BH71" i="73" s="1"/>
  <c r="M54" i="73"/>
  <c r="L54" i="73"/>
  <c r="BL54" i="73" s="1"/>
  <c r="K54" i="73"/>
  <c r="J54" i="73"/>
  <c r="BK54" i="73" s="1"/>
  <c r="I54" i="73"/>
  <c r="H54" i="73"/>
  <c r="BJ54" i="73" s="1"/>
  <c r="G54" i="73"/>
  <c r="F54" i="73"/>
  <c r="BI54" i="73" s="1"/>
  <c r="E54" i="73"/>
  <c r="D54" i="73"/>
  <c r="BH54" i="73" s="1"/>
  <c r="M53" i="73"/>
  <c r="L53" i="73"/>
  <c r="BL53" i="73" s="1"/>
  <c r="K53" i="73"/>
  <c r="J53" i="73"/>
  <c r="BK53" i="73" s="1"/>
  <c r="I53" i="73"/>
  <c r="H53" i="73"/>
  <c r="BJ53" i="73" s="1"/>
  <c r="G53" i="73"/>
  <c r="F53" i="73"/>
  <c r="BI53" i="73" s="1"/>
  <c r="E53" i="73"/>
  <c r="D53" i="73"/>
  <c r="BH53" i="73" s="1"/>
  <c r="M52" i="73"/>
  <c r="L52" i="73"/>
  <c r="BL52" i="73" s="1"/>
  <c r="K52" i="73"/>
  <c r="J52" i="73"/>
  <c r="BK52" i="73" s="1"/>
  <c r="I52" i="73"/>
  <c r="H52" i="73"/>
  <c r="BJ52" i="73" s="1"/>
  <c r="G52" i="73"/>
  <c r="F52" i="73"/>
  <c r="BI52" i="73" s="1"/>
  <c r="E52" i="73"/>
  <c r="D52" i="73"/>
  <c r="BH52" i="73" s="1"/>
  <c r="M47" i="73"/>
  <c r="L47" i="73"/>
  <c r="BL47" i="73" s="1"/>
  <c r="K47" i="73"/>
  <c r="J47" i="73"/>
  <c r="BK47" i="73" s="1"/>
  <c r="I47" i="73"/>
  <c r="H47" i="73"/>
  <c r="BJ47" i="73" s="1"/>
  <c r="G47" i="73"/>
  <c r="F47" i="73"/>
  <c r="BI47" i="73" s="1"/>
  <c r="E47" i="73"/>
  <c r="D47" i="73"/>
  <c r="BH47" i="73" s="1"/>
  <c r="M46" i="73"/>
  <c r="L46" i="73"/>
  <c r="BL46" i="73" s="1"/>
  <c r="K46" i="73"/>
  <c r="J46" i="73"/>
  <c r="BK46" i="73" s="1"/>
  <c r="I46" i="73"/>
  <c r="H46" i="73"/>
  <c r="BJ46" i="73" s="1"/>
  <c r="G46" i="73"/>
  <c r="F46" i="73"/>
  <c r="BI46" i="73" s="1"/>
  <c r="E46" i="73"/>
  <c r="D46" i="73"/>
  <c r="BH46" i="73" s="1"/>
  <c r="M45" i="73"/>
  <c r="L45" i="73"/>
  <c r="BL45" i="73" s="1"/>
  <c r="K45" i="73"/>
  <c r="J45" i="73"/>
  <c r="BK45" i="73" s="1"/>
  <c r="I45" i="73"/>
  <c r="H45" i="73"/>
  <c r="BJ45" i="73" s="1"/>
  <c r="G45" i="73"/>
  <c r="F45" i="73"/>
  <c r="BI45" i="73" s="1"/>
  <c r="E45" i="73"/>
  <c r="D45" i="73"/>
  <c r="BH45" i="73" s="1"/>
  <c r="M44" i="73"/>
  <c r="L44" i="73"/>
  <c r="BL44" i="73" s="1"/>
  <c r="K44" i="73"/>
  <c r="J44" i="73"/>
  <c r="BK44" i="73" s="1"/>
  <c r="I44" i="73"/>
  <c r="H44" i="73"/>
  <c r="BJ44" i="73" s="1"/>
  <c r="G44" i="73"/>
  <c r="F44" i="73"/>
  <c r="BI44" i="73" s="1"/>
  <c r="E44" i="73"/>
  <c r="D44" i="73"/>
  <c r="BH44" i="73" s="1"/>
  <c r="M43" i="73"/>
  <c r="L43" i="73"/>
  <c r="BL43" i="73" s="1"/>
  <c r="K43" i="73"/>
  <c r="J43" i="73"/>
  <c r="BK43" i="73" s="1"/>
  <c r="I43" i="73"/>
  <c r="H43" i="73"/>
  <c r="BJ43" i="73" s="1"/>
  <c r="G43" i="73"/>
  <c r="F43" i="73"/>
  <c r="BI43" i="73" s="1"/>
  <c r="E43" i="73"/>
  <c r="D43" i="73"/>
  <c r="BH43" i="73" s="1"/>
  <c r="M42" i="73"/>
  <c r="L42" i="73"/>
  <c r="BL42" i="73" s="1"/>
  <c r="K42" i="73"/>
  <c r="J42" i="73"/>
  <c r="BK42" i="73" s="1"/>
  <c r="I42" i="73"/>
  <c r="H42" i="73"/>
  <c r="BJ42" i="73" s="1"/>
  <c r="G42" i="73"/>
  <c r="F42" i="73"/>
  <c r="BI42" i="73" s="1"/>
  <c r="E42" i="73"/>
  <c r="D42" i="73"/>
  <c r="BH42" i="73" s="1"/>
  <c r="M41" i="73"/>
  <c r="L41" i="73"/>
  <c r="BL41" i="73" s="1"/>
  <c r="K41" i="73"/>
  <c r="J41" i="73"/>
  <c r="BK41" i="73" s="1"/>
  <c r="I41" i="73"/>
  <c r="H41" i="73"/>
  <c r="BJ41" i="73" s="1"/>
  <c r="G41" i="73"/>
  <c r="F41" i="73"/>
  <c r="BI41" i="73" s="1"/>
  <c r="E41" i="73"/>
  <c r="D41" i="73"/>
  <c r="BH41" i="73" s="1"/>
  <c r="M40" i="73"/>
  <c r="L40" i="73"/>
  <c r="BL40" i="73" s="1"/>
  <c r="K40" i="73"/>
  <c r="J40" i="73"/>
  <c r="BK40" i="73" s="1"/>
  <c r="I40" i="73"/>
  <c r="H40" i="73"/>
  <c r="BJ40" i="73" s="1"/>
  <c r="G40" i="73"/>
  <c r="F40" i="73"/>
  <c r="BI40" i="73" s="1"/>
  <c r="E40" i="73"/>
  <c r="D40" i="73"/>
  <c r="BH40" i="73" s="1"/>
  <c r="M39" i="73"/>
  <c r="L39" i="73"/>
  <c r="BL39" i="73" s="1"/>
  <c r="K39" i="73"/>
  <c r="J39" i="73"/>
  <c r="BK39" i="73" s="1"/>
  <c r="I39" i="73"/>
  <c r="H39" i="73"/>
  <c r="BJ39" i="73" s="1"/>
  <c r="G39" i="73"/>
  <c r="F39" i="73"/>
  <c r="BI39" i="73" s="1"/>
  <c r="E39" i="73"/>
  <c r="D39" i="73"/>
  <c r="BH39" i="73" s="1"/>
  <c r="M37" i="73"/>
  <c r="L37" i="73"/>
  <c r="BL37" i="73" s="1"/>
  <c r="K37" i="73"/>
  <c r="J37" i="73"/>
  <c r="BK37" i="73" s="1"/>
  <c r="I37" i="73"/>
  <c r="H37" i="73"/>
  <c r="BJ37" i="73" s="1"/>
  <c r="G37" i="73"/>
  <c r="F37" i="73"/>
  <c r="BI37" i="73" s="1"/>
  <c r="E37" i="73"/>
  <c r="D37" i="73"/>
  <c r="BH37" i="73" s="1"/>
  <c r="M36" i="73"/>
  <c r="L36" i="73"/>
  <c r="BL36" i="73" s="1"/>
  <c r="K36" i="73"/>
  <c r="J36" i="73"/>
  <c r="BK36" i="73" s="1"/>
  <c r="I36" i="73"/>
  <c r="H36" i="73"/>
  <c r="BJ36" i="73" s="1"/>
  <c r="G36" i="73"/>
  <c r="F36" i="73"/>
  <c r="BI36" i="73" s="1"/>
  <c r="E36" i="73"/>
  <c r="D36" i="73"/>
  <c r="BH36" i="73" s="1"/>
  <c r="M35" i="73"/>
  <c r="L35" i="73"/>
  <c r="BL35" i="73" s="1"/>
  <c r="K35" i="73"/>
  <c r="J35" i="73"/>
  <c r="BK35" i="73" s="1"/>
  <c r="I35" i="73"/>
  <c r="H35" i="73"/>
  <c r="BJ35" i="73" s="1"/>
  <c r="G35" i="73"/>
  <c r="F35" i="73"/>
  <c r="BI35" i="73" s="1"/>
  <c r="E35" i="73"/>
  <c r="D35" i="73"/>
  <c r="BH35" i="73" s="1"/>
  <c r="M34" i="73"/>
  <c r="L34" i="73"/>
  <c r="BL34" i="73" s="1"/>
  <c r="K34" i="73"/>
  <c r="J34" i="73"/>
  <c r="BK34" i="73" s="1"/>
  <c r="I34" i="73"/>
  <c r="H34" i="73"/>
  <c r="BJ34" i="73" s="1"/>
  <c r="G34" i="73"/>
  <c r="F34" i="73"/>
  <c r="BI34" i="73" s="1"/>
  <c r="E34" i="73"/>
  <c r="D34" i="73"/>
  <c r="BH34" i="73" s="1"/>
  <c r="M33" i="73"/>
  <c r="L33" i="73"/>
  <c r="BL33" i="73" s="1"/>
  <c r="K33" i="73"/>
  <c r="J33" i="73"/>
  <c r="BK33" i="73" s="1"/>
  <c r="I33" i="73"/>
  <c r="H33" i="73"/>
  <c r="BJ33" i="73" s="1"/>
  <c r="G33" i="73"/>
  <c r="F33" i="73"/>
  <c r="BI33" i="73" s="1"/>
  <c r="E33" i="73"/>
  <c r="D33" i="73"/>
  <c r="BH33" i="73" s="1"/>
  <c r="M32" i="73"/>
  <c r="L32" i="73"/>
  <c r="BL32" i="73" s="1"/>
  <c r="K32" i="73"/>
  <c r="J32" i="73"/>
  <c r="BK32" i="73" s="1"/>
  <c r="I32" i="73"/>
  <c r="H32" i="73"/>
  <c r="BJ32" i="73" s="1"/>
  <c r="G32" i="73"/>
  <c r="F32" i="73"/>
  <c r="BI32" i="73" s="1"/>
  <c r="E32" i="73"/>
  <c r="D32" i="73"/>
  <c r="BH32" i="73" s="1"/>
  <c r="M31" i="73"/>
  <c r="L31" i="73"/>
  <c r="BL31" i="73" s="1"/>
  <c r="K31" i="73"/>
  <c r="J31" i="73"/>
  <c r="BK31" i="73" s="1"/>
  <c r="I31" i="73"/>
  <c r="H31" i="73"/>
  <c r="BJ31" i="73" s="1"/>
  <c r="G31" i="73"/>
  <c r="F31" i="73"/>
  <c r="BI31" i="73" s="1"/>
  <c r="E31" i="73"/>
  <c r="D31" i="73"/>
  <c r="BH31" i="73" s="1"/>
  <c r="M30" i="73"/>
  <c r="L30" i="73"/>
  <c r="BL30" i="73" s="1"/>
  <c r="K30" i="73"/>
  <c r="J30" i="73"/>
  <c r="BK30" i="73" s="1"/>
  <c r="I30" i="73"/>
  <c r="H30" i="73"/>
  <c r="BJ30" i="73" s="1"/>
  <c r="G30" i="73"/>
  <c r="F30" i="73"/>
  <c r="BI30" i="73" s="1"/>
  <c r="E30" i="73"/>
  <c r="D30" i="73"/>
  <c r="BH30" i="73" s="1"/>
  <c r="BW100" i="73" l="1"/>
  <c r="BX100" i="73"/>
  <c r="X100" i="73"/>
  <c r="BR100" i="73"/>
  <c r="T4" i="79"/>
  <c r="Z4" i="79" s="1"/>
  <c r="U4" i="79"/>
  <c r="S4" i="79"/>
  <c r="Y4" i="79" l="1"/>
  <c r="AQ24" i="79" l="1"/>
  <c r="D109" i="74"/>
  <c r="E109" i="74"/>
  <c r="I108" i="65"/>
  <c r="H108" i="65"/>
  <c r="G108" i="65"/>
  <c r="F108" i="65"/>
  <c r="E108" i="65"/>
  <c r="D108" i="65"/>
  <c r="I106" i="65"/>
  <c r="H106" i="65"/>
  <c r="G106" i="65"/>
  <c r="F106" i="65"/>
  <c r="E106" i="65"/>
  <c r="D106" i="65"/>
  <c r="I102" i="65"/>
  <c r="H102" i="65"/>
  <c r="G102" i="65"/>
  <c r="F102" i="65"/>
  <c r="E102" i="65"/>
  <c r="D102" i="65"/>
  <c r="I57" i="76"/>
  <c r="H57" i="76"/>
  <c r="H63" i="76" s="1"/>
  <c r="G57" i="76"/>
  <c r="G63" i="76" s="1"/>
  <c r="F57" i="76"/>
  <c r="F63" i="76" s="1"/>
  <c r="E57" i="76"/>
  <c r="E63" i="76" s="1"/>
  <c r="D57" i="76"/>
  <c r="I38" i="76"/>
  <c r="I44" i="76" s="1"/>
  <c r="H38" i="76"/>
  <c r="H44" i="76" s="1"/>
  <c r="G38" i="76"/>
  <c r="G44" i="76" s="1"/>
  <c r="F38" i="76"/>
  <c r="F44" i="76" s="1"/>
  <c r="E38" i="76"/>
  <c r="E44" i="76" s="1"/>
  <c r="D38" i="76"/>
  <c r="I19" i="76"/>
  <c r="H19" i="76"/>
  <c r="G19" i="76"/>
  <c r="F19" i="76"/>
  <c r="E19" i="76"/>
  <c r="D19" i="76"/>
  <c r="F109" i="74"/>
  <c r="G109" i="74"/>
  <c r="H109" i="74"/>
  <c r="I109" i="74"/>
  <c r="J109" i="74"/>
  <c r="K109" i="74"/>
  <c r="AS24" i="79" l="1"/>
  <c r="AR24" i="79"/>
  <c r="D63" i="76"/>
  <c r="I63" i="76"/>
  <c r="D25" i="76"/>
  <c r="D44" i="76"/>
  <c r="C92" i="73" l="1"/>
  <c r="BG92" i="73" s="1"/>
  <c r="C87" i="73"/>
  <c r="BG87" i="73" s="1"/>
  <c r="C86" i="73"/>
  <c r="BG86" i="73" s="1"/>
  <c r="C85" i="73"/>
  <c r="BG85" i="73" s="1"/>
  <c r="C84" i="73"/>
  <c r="BG84" i="73" s="1"/>
  <c r="C82" i="73"/>
  <c r="BG82" i="73" s="1"/>
  <c r="C81" i="73"/>
  <c r="BG81" i="73" s="1"/>
  <c r="C80" i="73"/>
  <c r="BG80" i="73" s="1"/>
  <c r="C79" i="73"/>
  <c r="BG79" i="73" s="1"/>
  <c r="C78" i="73"/>
  <c r="BG78" i="73" s="1"/>
  <c r="C77" i="73"/>
  <c r="BG77" i="73" s="1"/>
  <c r="C75" i="73"/>
  <c r="BG75" i="73" s="1"/>
  <c r="C73" i="73"/>
  <c r="BG73" i="73" s="1"/>
  <c r="C72" i="73"/>
  <c r="BG72" i="73" s="1"/>
  <c r="C71" i="73"/>
  <c r="BG71" i="73" s="1"/>
  <c r="C54" i="73"/>
  <c r="BG54" i="73" s="1"/>
  <c r="C53" i="73"/>
  <c r="BG53" i="73" s="1"/>
  <c r="C52" i="73"/>
  <c r="BG52" i="73" s="1"/>
  <c r="C47" i="73"/>
  <c r="BG47" i="73" s="1"/>
  <c r="C46" i="73"/>
  <c r="BG46" i="73" s="1"/>
  <c r="C45" i="73"/>
  <c r="BG45" i="73" s="1"/>
  <c r="C44" i="73"/>
  <c r="BG44" i="73" s="1"/>
  <c r="C43" i="73"/>
  <c r="BG43" i="73" s="1"/>
  <c r="C42" i="73"/>
  <c r="BG42" i="73" s="1"/>
  <c r="C41" i="73"/>
  <c r="BG41" i="73" s="1"/>
  <c r="C40" i="73"/>
  <c r="BG40" i="73" s="1"/>
  <c r="C39" i="73"/>
  <c r="BG39" i="73" s="1"/>
  <c r="C37" i="73"/>
  <c r="BG37" i="73" s="1"/>
  <c r="C36" i="73"/>
  <c r="BG36" i="73" s="1"/>
  <c r="C35" i="73"/>
  <c r="BG35" i="73" s="1"/>
  <c r="C34" i="73"/>
  <c r="BG34" i="73" s="1"/>
  <c r="C33" i="73"/>
  <c r="BG33" i="73" s="1"/>
  <c r="C32" i="73"/>
  <c r="BG32" i="73" s="1"/>
  <c r="C31" i="73"/>
  <c r="BG31" i="73" s="1"/>
  <c r="C30" i="73"/>
  <c r="BG30" i="73" s="1"/>
  <c r="C28" i="73"/>
  <c r="BG28" i="73" s="1"/>
  <c r="C27" i="73"/>
  <c r="BG27" i="73" s="1"/>
  <c r="C26" i="73"/>
  <c r="BG26" i="73" s="1"/>
  <c r="C23" i="73"/>
  <c r="BG23" i="73" s="1"/>
  <c r="C22" i="73"/>
  <c r="BG22" i="73" s="1"/>
  <c r="C20" i="73"/>
  <c r="BG20" i="73" s="1"/>
  <c r="C19" i="73"/>
  <c r="BG19" i="73" s="1"/>
  <c r="C16" i="73"/>
  <c r="BG16" i="73" s="1"/>
  <c r="C15" i="73"/>
  <c r="BG15" i="73" s="1"/>
  <c r="C14" i="73"/>
  <c r="BG14" i="73" s="1"/>
  <c r="C13" i="73"/>
  <c r="BG13" i="73" s="1"/>
  <c r="AU9" i="73"/>
  <c r="AJ9" i="73"/>
  <c r="Y9" i="73"/>
  <c r="N9" i="73"/>
  <c r="C9" i="73"/>
  <c r="L100" i="73"/>
  <c r="BL100" i="73" s="1"/>
  <c r="J100" i="73"/>
  <c r="BK100" i="73" s="1"/>
  <c r="H100" i="73"/>
  <c r="BJ100" i="73" s="1"/>
  <c r="F100" i="73"/>
  <c r="BI100" i="73" s="1"/>
  <c r="AA138" i="77"/>
  <c r="Z138" i="77"/>
  <c r="Y138" i="77"/>
  <c r="X138" i="77"/>
  <c r="W138" i="77"/>
  <c r="V138" i="77"/>
  <c r="U138" i="77"/>
  <c r="T138" i="77"/>
  <c r="S138" i="77"/>
  <c r="R138" i="77"/>
  <c r="Q138" i="77"/>
  <c r="P138" i="77"/>
  <c r="O138" i="77"/>
  <c r="N138" i="77"/>
  <c r="M138" i="77"/>
  <c r="L138" i="77"/>
  <c r="K138" i="77"/>
  <c r="J138" i="77"/>
  <c r="I138" i="77"/>
  <c r="H138" i="77"/>
  <c r="G138" i="77"/>
  <c r="F138" i="77"/>
  <c r="E138" i="77"/>
  <c r="D138" i="77"/>
  <c r="C138" i="77"/>
  <c r="AA115" i="77"/>
  <c r="Z115" i="77"/>
  <c r="Y115" i="77"/>
  <c r="X115" i="77"/>
  <c r="W115" i="77"/>
  <c r="V115" i="77"/>
  <c r="U115" i="77"/>
  <c r="T115" i="77"/>
  <c r="S115" i="77"/>
  <c r="R115" i="77"/>
  <c r="Q115" i="77"/>
  <c r="P115" i="77"/>
  <c r="O115" i="77"/>
  <c r="N115" i="77"/>
  <c r="M115" i="77"/>
  <c r="L115" i="77"/>
  <c r="K115" i="77"/>
  <c r="J115" i="77"/>
  <c r="I115" i="77"/>
  <c r="H115" i="77"/>
  <c r="G115" i="77"/>
  <c r="F115" i="77"/>
  <c r="E115" i="77"/>
  <c r="D115" i="77"/>
  <c r="C115" i="77"/>
  <c r="AA91" i="77"/>
  <c r="Z91" i="77"/>
  <c r="Y91" i="77"/>
  <c r="X91" i="77"/>
  <c r="W91" i="77"/>
  <c r="V91" i="77"/>
  <c r="U91" i="77"/>
  <c r="T91" i="77"/>
  <c r="S91" i="77"/>
  <c r="R91" i="77"/>
  <c r="Q91" i="77"/>
  <c r="P91" i="77"/>
  <c r="O91" i="77"/>
  <c r="N91" i="77"/>
  <c r="M91" i="77"/>
  <c r="L91" i="77"/>
  <c r="K91" i="77"/>
  <c r="J91" i="77"/>
  <c r="I91" i="77"/>
  <c r="H91" i="77"/>
  <c r="G91" i="77"/>
  <c r="F91" i="77"/>
  <c r="E91" i="77"/>
  <c r="D91" i="77"/>
  <c r="C91" i="77"/>
  <c r="AA68" i="77"/>
  <c r="Z68" i="77"/>
  <c r="Y68" i="77"/>
  <c r="X68" i="77"/>
  <c r="W68" i="77"/>
  <c r="V68" i="77"/>
  <c r="U68" i="77"/>
  <c r="T68" i="77"/>
  <c r="S68" i="77"/>
  <c r="R68" i="77"/>
  <c r="Q68" i="77"/>
  <c r="P68" i="77"/>
  <c r="O68" i="77"/>
  <c r="N68" i="77"/>
  <c r="M68" i="77"/>
  <c r="L68" i="77"/>
  <c r="K68" i="77"/>
  <c r="J68" i="77"/>
  <c r="I68" i="77"/>
  <c r="H68" i="77"/>
  <c r="G68" i="77"/>
  <c r="F68" i="77"/>
  <c r="E68" i="77"/>
  <c r="D68" i="77"/>
  <c r="C68" i="77"/>
  <c r="AA44" i="77"/>
  <c r="Z44" i="77"/>
  <c r="Y44" i="77"/>
  <c r="X44" i="77"/>
  <c r="W44" i="77"/>
  <c r="V44" i="77"/>
  <c r="U44" i="77"/>
  <c r="T44" i="77"/>
  <c r="S44" i="77"/>
  <c r="R44" i="77"/>
  <c r="Q44" i="77"/>
  <c r="P44" i="77"/>
  <c r="O44" i="77"/>
  <c r="N44" i="77"/>
  <c r="M44" i="77"/>
  <c r="L44" i="77"/>
  <c r="K44" i="77"/>
  <c r="J44" i="77"/>
  <c r="I44" i="77"/>
  <c r="H44" i="77"/>
  <c r="G44" i="77"/>
  <c r="F44" i="77"/>
  <c r="E44" i="77"/>
  <c r="D44" i="77"/>
  <c r="C44" i="77"/>
  <c r="C21" i="77"/>
  <c r="AG61" i="60"/>
  <c r="CD61" i="60" s="1"/>
  <c r="AG60" i="60"/>
  <c r="CD60" i="60" s="1"/>
  <c r="AG59" i="60"/>
  <c r="CD59" i="60" s="1"/>
  <c r="AG58" i="60"/>
  <c r="CD58" i="60" s="1"/>
  <c r="AG57" i="60"/>
  <c r="CD57" i="60" s="1"/>
  <c r="AG56" i="60"/>
  <c r="CD56" i="60" s="1"/>
  <c r="AG55" i="60"/>
  <c r="CD55" i="60" s="1"/>
  <c r="AG54" i="60"/>
  <c r="CD54" i="60" s="1"/>
  <c r="AG53" i="60"/>
  <c r="CD53" i="60" s="1"/>
  <c r="AA61" i="60"/>
  <c r="BX61" i="60" s="1"/>
  <c r="AA60" i="60"/>
  <c r="BX60" i="60" s="1"/>
  <c r="AA59" i="60"/>
  <c r="BX59" i="60" s="1"/>
  <c r="AA58" i="60"/>
  <c r="BX58" i="60" s="1"/>
  <c r="AA57" i="60"/>
  <c r="BX57" i="60" s="1"/>
  <c r="AA56" i="60"/>
  <c r="BX56" i="60" s="1"/>
  <c r="AA55" i="60"/>
  <c r="BX55" i="60" s="1"/>
  <c r="AA54" i="60"/>
  <c r="BX54" i="60" s="1"/>
  <c r="AA53" i="60"/>
  <c r="BX53" i="60" s="1"/>
  <c r="U61" i="60"/>
  <c r="BR61" i="60" s="1"/>
  <c r="U60" i="60"/>
  <c r="BR60" i="60" s="1"/>
  <c r="U59" i="60"/>
  <c r="BR59" i="60" s="1"/>
  <c r="U58" i="60"/>
  <c r="BR58" i="60" s="1"/>
  <c r="U57" i="60"/>
  <c r="BR57" i="60" s="1"/>
  <c r="U56" i="60"/>
  <c r="BR56" i="60" s="1"/>
  <c r="U55" i="60"/>
  <c r="BR55" i="60" s="1"/>
  <c r="U54" i="60"/>
  <c r="BR54" i="60" s="1"/>
  <c r="U53" i="60"/>
  <c r="BR53" i="60" s="1"/>
  <c r="O61" i="60"/>
  <c r="BL61" i="60" s="1"/>
  <c r="O60" i="60"/>
  <c r="BL60" i="60" s="1"/>
  <c r="O59" i="60"/>
  <c r="BL59" i="60" s="1"/>
  <c r="O58" i="60"/>
  <c r="BL58" i="60" s="1"/>
  <c r="O57" i="60"/>
  <c r="BL57" i="60" s="1"/>
  <c r="O56" i="60"/>
  <c r="BL56" i="60" s="1"/>
  <c r="O55" i="60"/>
  <c r="BL55" i="60" s="1"/>
  <c r="O54" i="60"/>
  <c r="BL54" i="60" s="1"/>
  <c r="O53" i="60"/>
  <c r="BL53" i="60" s="1"/>
  <c r="I61" i="60"/>
  <c r="BF61" i="60" s="1"/>
  <c r="I60" i="60"/>
  <c r="BF60" i="60" s="1"/>
  <c r="I59" i="60"/>
  <c r="BF59" i="60" s="1"/>
  <c r="I58" i="60"/>
  <c r="BF58" i="60" s="1"/>
  <c r="I57" i="60"/>
  <c r="BF57" i="60" s="1"/>
  <c r="I56" i="60"/>
  <c r="BF56" i="60" s="1"/>
  <c r="I55" i="60"/>
  <c r="BF55" i="60" s="1"/>
  <c r="I54" i="60"/>
  <c r="BF54" i="60" s="1"/>
  <c r="I53" i="60"/>
  <c r="BF53" i="60" s="1"/>
  <c r="C57" i="60"/>
  <c r="AZ57" i="60" s="1"/>
  <c r="C53" i="60"/>
  <c r="AZ53" i="60" s="1"/>
  <c r="C61" i="60"/>
  <c r="AZ61" i="60" s="1"/>
  <c r="C60" i="60"/>
  <c r="AZ60" i="60" s="1"/>
  <c r="C59" i="60"/>
  <c r="AZ59" i="60" s="1"/>
  <c r="C58" i="60"/>
  <c r="AZ58" i="60" s="1"/>
  <c r="C56" i="60"/>
  <c r="AZ56" i="60" s="1"/>
  <c r="C55" i="60"/>
  <c r="AZ55" i="60" s="1"/>
  <c r="C54" i="60"/>
  <c r="AZ54" i="60" s="1"/>
  <c r="D53" i="60"/>
  <c r="BA53" i="60" s="1"/>
  <c r="T152" i="67" l="1"/>
  <c r="AW44" i="77"/>
  <c r="T152" i="85" s="1"/>
  <c r="V172" i="67"/>
  <c r="AT115" i="77"/>
  <c r="V172" i="85" s="1"/>
  <c r="T149" i="67"/>
  <c r="AH44" i="77"/>
  <c r="T149" i="85" s="1"/>
  <c r="W150" i="67"/>
  <c r="AP44" i="77"/>
  <c r="W150" i="85" s="1"/>
  <c r="U152" i="67"/>
  <c r="AX44" i="77"/>
  <c r="U152" i="85" s="1"/>
  <c r="X156" i="67"/>
  <c r="AG68" i="77"/>
  <c r="X156" i="85" s="1"/>
  <c r="V158" i="67"/>
  <c r="AO68" i="77"/>
  <c r="V158" i="85" s="1"/>
  <c r="T160" i="67"/>
  <c r="AW68" i="77"/>
  <c r="T160" i="85" s="1"/>
  <c r="W161" i="67"/>
  <c r="AF91" i="77"/>
  <c r="W161" i="85" s="1"/>
  <c r="U163" i="67"/>
  <c r="AN91" i="77"/>
  <c r="U163" i="85" s="1"/>
  <c r="X164" i="67"/>
  <c r="AV91" i="77"/>
  <c r="X164" i="85" s="1"/>
  <c r="V169" i="67"/>
  <c r="AE115" i="77"/>
  <c r="V169" i="85" s="1"/>
  <c r="T171" i="67"/>
  <c r="AM115" i="77"/>
  <c r="T171" i="85" s="1"/>
  <c r="W172" i="67"/>
  <c r="AU115" i="77"/>
  <c r="W172" i="85" s="1"/>
  <c r="U174" i="67"/>
  <c r="AD138" i="77"/>
  <c r="U174" i="85" s="1"/>
  <c r="X175" i="67"/>
  <c r="AL138" i="77"/>
  <c r="X175" i="85" s="1"/>
  <c r="V177" i="67"/>
  <c r="AT138" i="77"/>
  <c r="V177" i="85" s="1"/>
  <c r="V150" i="67"/>
  <c r="AO44" i="77"/>
  <c r="V150" i="85" s="1"/>
  <c r="T163" i="67"/>
  <c r="AM91" i="77"/>
  <c r="T163" i="85" s="1"/>
  <c r="W175" i="67"/>
  <c r="AK138" i="77"/>
  <c r="W175" i="85" s="1"/>
  <c r="U149" i="67"/>
  <c r="AI44" i="77"/>
  <c r="U149" i="85" s="1"/>
  <c r="X150" i="67"/>
  <c r="AQ44" i="77"/>
  <c r="X150" i="85" s="1"/>
  <c r="V152" i="67"/>
  <c r="AY44" i="77"/>
  <c r="V152" i="85" s="1"/>
  <c r="T157" i="67"/>
  <c r="AH68" i="77"/>
  <c r="T157" i="85" s="1"/>
  <c r="W158" i="67"/>
  <c r="AP68" i="77"/>
  <c r="W158" i="85" s="1"/>
  <c r="U160" i="67"/>
  <c r="AX68" i="77"/>
  <c r="U160" i="85" s="1"/>
  <c r="X161" i="67"/>
  <c r="AG91" i="77"/>
  <c r="X161" i="85" s="1"/>
  <c r="V163" i="67"/>
  <c r="AO91" i="77"/>
  <c r="V163" i="85" s="1"/>
  <c r="T165" i="67"/>
  <c r="AW91" i="77"/>
  <c r="T165" i="85" s="1"/>
  <c r="W169" i="67"/>
  <c r="AF115" i="77"/>
  <c r="W169" i="85" s="1"/>
  <c r="U171" i="67"/>
  <c r="AN115" i="77"/>
  <c r="U171" i="85" s="1"/>
  <c r="X172" i="67"/>
  <c r="AV115" i="77"/>
  <c r="X172" i="85" s="1"/>
  <c r="V174" i="67"/>
  <c r="AE138" i="77"/>
  <c r="V174" i="85" s="1"/>
  <c r="T176" i="67"/>
  <c r="AM138" i="77"/>
  <c r="T176" i="85" s="1"/>
  <c r="W177" i="67"/>
  <c r="AU138" i="77"/>
  <c r="W177" i="85" s="1"/>
  <c r="U158" i="67"/>
  <c r="AN68" i="77"/>
  <c r="U158" i="85" s="1"/>
  <c r="X170" i="67"/>
  <c r="AL115" i="77"/>
  <c r="X170" i="85" s="1"/>
  <c r="U177" i="67"/>
  <c r="AS138" i="77"/>
  <c r="U177" i="85" s="1"/>
  <c r="V149" i="67"/>
  <c r="AJ44" i="77"/>
  <c r="V149" i="85" s="1"/>
  <c r="T151" i="67"/>
  <c r="AR44" i="77"/>
  <c r="T151" i="85" s="1"/>
  <c r="W152" i="67"/>
  <c r="AZ44" i="77"/>
  <c r="W152" i="85" s="1"/>
  <c r="U157" i="67"/>
  <c r="AI68" i="77"/>
  <c r="U157" i="85" s="1"/>
  <c r="X158" i="67"/>
  <c r="AQ68" i="77"/>
  <c r="X158" i="85" s="1"/>
  <c r="V160" i="67"/>
  <c r="AY68" i="77"/>
  <c r="V160" i="85" s="1"/>
  <c r="T162" i="67"/>
  <c r="AH91" i="77"/>
  <c r="T162" i="85" s="1"/>
  <c r="W163" i="67"/>
  <c r="AP91" i="77"/>
  <c r="W163" i="85" s="1"/>
  <c r="U165" i="67"/>
  <c r="AX91" i="77"/>
  <c r="U165" i="85" s="1"/>
  <c r="X169" i="67"/>
  <c r="AG115" i="77"/>
  <c r="X169" i="85" s="1"/>
  <c r="V171" i="67"/>
  <c r="AO115" i="77"/>
  <c r="V171" i="85" s="1"/>
  <c r="T173" i="67"/>
  <c r="AW115" i="77"/>
  <c r="T173" i="85" s="1"/>
  <c r="W174" i="67"/>
  <c r="AF138" i="77"/>
  <c r="W174" i="85" s="1"/>
  <c r="U176" i="67"/>
  <c r="AN138" i="77"/>
  <c r="U176" i="85" s="1"/>
  <c r="X177" i="67"/>
  <c r="AV138" i="77"/>
  <c r="X177" i="85" s="1"/>
  <c r="V161" i="67"/>
  <c r="AE91" i="77"/>
  <c r="V161" i="85" s="1"/>
  <c r="T148" i="67"/>
  <c r="AC44" i="77"/>
  <c r="T148" i="85" s="1"/>
  <c r="W149" i="67"/>
  <c r="AK44" i="77"/>
  <c r="W149" i="85" s="1"/>
  <c r="U151" i="67"/>
  <c r="AS44" i="77"/>
  <c r="U151" i="85" s="1"/>
  <c r="X152" i="67"/>
  <c r="BA44" i="77"/>
  <c r="X152" i="85" s="1"/>
  <c r="V157" i="67"/>
  <c r="AJ68" i="77"/>
  <c r="V157" i="85" s="1"/>
  <c r="T159" i="67"/>
  <c r="AR68" i="77"/>
  <c r="T159" i="85" s="1"/>
  <c r="W160" i="67"/>
  <c r="AZ68" i="77"/>
  <c r="W160" i="85" s="1"/>
  <c r="U162" i="67"/>
  <c r="AI91" i="77"/>
  <c r="U162" i="85" s="1"/>
  <c r="X163" i="67"/>
  <c r="AQ91" i="77"/>
  <c r="X163" i="85" s="1"/>
  <c r="V165" i="67"/>
  <c r="AY91" i="77"/>
  <c r="V165" i="85" s="1"/>
  <c r="T170" i="67"/>
  <c r="AH115" i="77"/>
  <c r="T170" i="85" s="1"/>
  <c r="W171" i="67"/>
  <c r="AP115" i="77"/>
  <c r="W171" i="85" s="1"/>
  <c r="U173" i="67"/>
  <c r="AX115" i="77"/>
  <c r="U173" i="85" s="1"/>
  <c r="X174" i="67"/>
  <c r="AG138" i="77"/>
  <c r="X174" i="85" s="1"/>
  <c r="V176" i="67"/>
  <c r="AO138" i="77"/>
  <c r="V176" i="85" s="1"/>
  <c r="T178" i="67"/>
  <c r="AW138" i="77"/>
  <c r="T178" i="85" s="1"/>
  <c r="X148" i="67"/>
  <c r="AG44" i="77"/>
  <c r="X148" i="85" s="1"/>
  <c r="W164" i="67"/>
  <c r="AU91" i="77"/>
  <c r="W164" i="85" s="1"/>
  <c r="U148" i="67"/>
  <c r="AD44" i="77"/>
  <c r="U148" i="85" s="1"/>
  <c r="X149" i="67"/>
  <c r="AL44" i="77"/>
  <c r="X149" i="85" s="1"/>
  <c r="V151" i="67"/>
  <c r="AT44" i="77"/>
  <c r="V151" i="85" s="1"/>
  <c r="T156" i="67"/>
  <c r="AC68" i="77"/>
  <c r="T156" i="85" s="1"/>
  <c r="W157" i="67"/>
  <c r="AK68" i="77"/>
  <c r="W157" i="85" s="1"/>
  <c r="U159" i="67"/>
  <c r="AS68" i="77"/>
  <c r="U159" i="85" s="1"/>
  <c r="X160" i="67"/>
  <c r="BA68" i="77"/>
  <c r="X160" i="85" s="1"/>
  <c r="V162" i="67"/>
  <c r="AJ91" i="77"/>
  <c r="V162" i="85" s="1"/>
  <c r="T164" i="67"/>
  <c r="AR91" i="77"/>
  <c r="T164" i="85" s="1"/>
  <c r="W165" i="67"/>
  <c r="AZ91" i="77"/>
  <c r="W165" i="85" s="1"/>
  <c r="U170" i="67"/>
  <c r="AI115" i="77"/>
  <c r="U170" i="85" s="1"/>
  <c r="X171" i="67"/>
  <c r="AQ115" i="77"/>
  <c r="X171" i="85" s="1"/>
  <c r="V173" i="67"/>
  <c r="AY115" i="77"/>
  <c r="V173" i="85" s="1"/>
  <c r="T175" i="67"/>
  <c r="AH138" i="77"/>
  <c r="T175" i="85" s="1"/>
  <c r="W176" i="67"/>
  <c r="AP138" i="77"/>
  <c r="W176" i="85" s="1"/>
  <c r="U178" i="67"/>
  <c r="AX138" i="77"/>
  <c r="U178" i="85" s="1"/>
  <c r="X159" i="67"/>
  <c r="AV68" i="77"/>
  <c r="X159" i="85" s="1"/>
  <c r="V148" i="67"/>
  <c r="AE44" i="77"/>
  <c r="V148" i="85" s="1"/>
  <c r="T150" i="67"/>
  <c r="AM44" i="77"/>
  <c r="T150" i="85" s="1"/>
  <c r="W151" i="67"/>
  <c r="AU44" i="77"/>
  <c r="W151" i="85" s="1"/>
  <c r="U156" i="67"/>
  <c r="AD68" i="77"/>
  <c r="U156" i="85" s="1"/>
  <c r="X157" i="67"/>
  <c r="AL68" i="77"/>
  <c r="X157" i="85" s="1"/>
  <c r="V159" i="67"/>
  <c r="AT68" i="77"/>
  <c r="V159" i="85" s="1"/>
  <c r="T161" i="67"/>
  <c r="AC91" i="77"/>
  <c r="T161" i="85" s="1"/>
  <c r="W162" i="67"/>
  <c r="AK91" i="77"/>
  <c r="W162" i="85" s="1"/>
  <c r="U164" i="67"/>
  <c r="AS91" i="77"/>
  <c r="U164" i="85" s="1"/>
  <c r="X165" i="67"/>
  <c r="BA91" i="77"/>
  <c r="X165" i="85" s="1"/>
  <c r="V170" i="67"/>
  <c r="AJ115" i="77"/>
  <c r="V170" i="85" s="1"/>
  <c r="T172" i="67"/>
  <c r="AR115" i="77"/>
  <c r="T172" i="85" s="1"/>
  <c r="W173" i="67"/>
  <c r="AZ115" i="77"/>
  <c r="W173" i="85" s="1"/>
  <c r="U175" i="67"/>
  <c r="AI138" i="77"/>
  <c r="U175" i="85" s="1"/>
  <c r="X176" i="67"/>
  <c r="AQ138" i="77"/>
  <c r="X176" i="85" s="1"/>
  <c r="V178" i="67"/>
  <c r="AY138" i="77"/>
  <c r="V178" i="85" s="1"/>
  <c r="W156" i="67"/>
  <c r="AF68" i="77"/>
  <c r="W156" i="85" s="1"/>
  <c r="U169" i="67"/>
  <c r="AD115" i="77"/>
  <c r="U169" i="85" s="1"/>
  <c r="T174" i="67"/>
  <c r="AC138" i="77"/>
  <c r="T174" i="85" s="1"/>
  <c r="W148" i="67"/>
  <c r="AF44" i="77"/>
  <c r="W148" i="85" s="1"/>
  <c r="U150" i="67"/>
  <c r="AN44" i="77"/>
  <c r="U150" i="85" s="1"/>
  <c r="X151" i="67"/>
  <c r="AV44" i="77"/>
  <c r="X151" i="85" s="1"/>
  <c r="V156" i="67"/>
  <c r="AE68" i="77"/>
  <c r="V156" i="85" s="1"/>
  <c r="T158" i="67"/>
  <c r="AM68" i="77"/>
  <c r="T158" i="85" s="1"/>
  <c r="W159" i="67"/>
  <c r="AU68" i="77"/>
  <c r="W159" i="85" s="1"/>
  <c r="U161" i="67"/>
  <c r="AD91" i="77"/>
  <c r="U161" i="85" s="1"/>
  <c r="X162" i="67"/>
  <c r="AL91" i="77"/>
  <c r="X162" i="85" s="1"/>
  <c r="V164" i="67"/>
  <c r="AT91" i="77"/>
  <c r="V164" i="85" s="1"/>
  <c r="T169" i="67"/>
  <c r="AC115" i="77"/>
  <c r="T169" i="85" s="1"/>
  <c r="W170" i="67"/>
  <c r="AK115" i="77"/>
  <c r="W170" i="85" s="1"/>
  <c r="U172" i="67"/>
  <c r="AS115" i="77"/>
  <c r="U172" i="85" s="1"/>
  <c r="X173" i="67"/>
  <c r="BA115" i="77"/>
  <c r="X173" i="85" s="1"/>
  <c r="V175" i="67"/>
  <c r="AJ138" i="77"/>
  <c r="V175" i="85" s="1"/>
  <c r="T177" i="67"/>
  <c r="AR138" i="77"/>
  <c r="T177" i="85" s="1"/>
  <c r="W178" i="67"/>
  <c r="AZ138" i="77"/>
  <c r="W178" i="85" s="1"/>
  <c r="X178" i="67"/>
  <c r="BA138" i="77"/>
  <c r="X178" i="85" s="1"/>
  <c r="T143" i="67"/>
  <c r="AC21" i="77"/>
  <c r="T143" i="85" s="1"/>
  <c r="CH10" i="73"/>
  <c r="CC10" i="73"/>
  <c r="BP10" i="73"/>
  <c r="CJ10" i="73"/>
  <c r="BZ10" i="73"/>
  <c r="BU10" i="73"/>
  <c r="BT10" i="73"/>
  <c r="BO10" i="73"/>
  <c r="BJ10" i="73"/>
  <c r="BI10" i="73"/>
  <c r="CB10" i="73"/>
  <c r="BR10" i="73"/>
  <c r="BH10" i="73"/>
  <c r="CD10" i="73"/>
  <c r="CI10" i="73"/>
  <c r="BX10" i="73"/>
  <c r="BN10" i="73"/>
  <c r="BW10" i="73"/>
  <c r="CA10" i="73"/>
  <c r="BQ10" i="73"/>
  <c r="BG9" i="73"/>
  <c r="CG10" i="73"/>
  <c r="BV10" i="73"/>
  <c r="BL10" i="73"/>
  <c r="BK10" i="73"/>
  <c r="CF10" i="73"/>
  <c r="BE10" i="73"/>
  <c r="BA10" i="73"/>
  <c r="AW10" i="73"/>
  <c r="AR10" i="73"/>
  <c r="AN10" i="73"/>
  <c r="AI10" i="73"/>
  <c r="AE10" i="73"/>
  <c r="AA10" i="73"/>
  <c r="V10" i="73"/>
  <c r="R10" i="73"/>
  <c r="M10" i="73"/>
  <c r="I10" i="73"/>
  <c r="E10" i="73"/>
  <c r="BD10" i="73"/>
  <c r="AZ10" i="73"/>
  <c r="AV10" i="73"/>
  <c r="AQ10" i="73"/>
  <c r="AM10" i="73"/>
  <c r="AH10" i="73"/>
  <c r="AD10" i="73"/>
  <c r="Z10" i="73"/>
  <c r="U10" i="73"/>
  <c r="Q10" i="73"/>
  <c r="L10" i="73"/>
  <c r="H10" i="73"/>
  <c r="D10" i="73"/>
  <c r="BC10" i="73"/>
  <c r="AY10" i="73"/>
  <c r="AT10" i="73"/>
  <c r="AP10" i="73"/>
  <c r="AL10" i="73"/>
  <c r="AG10" i="73"/>
  <c r="AC10" i="73"/>
  <c r="X10" i="73"/>
  <c r="T10" i="73"/>
  <c r="P10" i="73"/>
  <c r="K10" i="73"/>
  <c r="G10" i="73"/>
  <c r="BB10" i="73"/>
  <c r="AX10" i="73"/>
  <c r="AS10" i="73"/>
  <c r="AO10" i="73"/>
  <c r="AK10" i="73"/>
  <c r="AF10" i="73"/>
  <c r="AB10" i="73"/>
  <c r="W10" i="73"/>
  <c r="S10" i="73"/>
  <c r="O10" i="73"/>
  <c r="J10" i="73"/>
  <c r="F10" i="73"/>
  <c r="Q106" i="73"/>
  <c r="BO106" i="73" s="1"/>
  <c r="AF106" i="73"/>
  <c r="BW106" i="73" s="1"/>
  <c r="U106" i="73"/>
  <c r="BQ106" i="73" s="1"/>
  <c r="AB106" i="73"/>
  <c r="BU106" i="73" s="1"/>
  <c r="O106" i="73"/>
  <c r="BN106" i="73" s="1"/>
  <c r="W106" i="73"/>
  <c r="BR106" i="73" s="1"/>
  <c r="AD106" i="73"/>
  <c r="BV106" i="73" s="1"/>
  <c r="S106" i="73"/>
  <c r="BP106" i="73" s="1"/>
  <c r="Z106" i="73"/>
  <c r="BT106" i="73" s="1"/>
  <c r="AH106" i="73"/>
  <c r="BX106" i="73" s="1"/>
  <c r="G27" i="48"/>
  <c r="N27" i="48" s="1"/>
  <c r="F27" i="48"/>
  <c r="M27" i="48" s="1"/>
  <c r="E27" i="48"/>
  <c r="L27" i="48" s="1"/>
  <c r="D27" i="48"/>
  <c r="K27" i="48" s="1"/>
  <c r="C27" i="48"/>
  <c r="J27" i="48" s="1"/>
  <c r="B27" i="48"/>
  <c r="I27" i="48" s="1"/>
  <c r="G26" i="48"/>
  <c r="N26" i="48" s="1"/>
  <c r="F26" i="48"/>
  <c r="M26" i="48" s="1"/>
  <c r="E26" i="48"/>
  <c r="L26" i="48" s="1"/>
  <c r="D26" i="48"/>
  <c r="K26" i="48" s="1"/>
  <c r="C26" i="48"/>
  <c r="J26" i="48" s="1"/>
  <c r="B26" i="48"/>
  <c r="I26" i="48" s="1"/>
  <c r="G25" i="48"/>
  <c r="N25" i="48" s="1"/>
  <c r="F25" i="48"/>
  <c r="M25" i="48" s="1"/>
  <c r="E25" i="48"/>
  <c r="L25" i="48" s="1"/>
  <c r="D25" i="48"/>
  <c r="K25" i="48" s="1"/>
  <c r="C25" i="48"/>
  <c r="J25" i="48" s="1"/>
  <c r="B25" i="48"/>
  <c r="I25" i="48" s="1"/>
  <c r="G7" i="48"/>
  <c r="F7" i="48"/>
  <c r="E7" i="48"/>
  <c r="D7" i="48"/>
  <c r="C7" i="48"/>
  <c r="B7" i="48"/>
  <c r="G1" i="48"/>
  <c r="B31" i="48"/>
  <c r="I31" i="48" s="1"/>
  <c r="V166" i="67" l="1"/>
  <c r="V166" i="85"/>
  <c r="X166" i="67"/>
  <c r="U179" i="67"/>
  <c r="T179" i="67"/>
  <c r="AN30" i="84"/>
  <c r="AN30" i="79"/>
  <c r="AN31" i="84"/>
  <c r="AN31" i="79"/>
  <c r="AT30" i="79"/>
  <c r="AT31" i="79"/>
  <c r="W166" i="67"/>
  <c r="U166" i="67"/>
  <c r="W179" i="67"/>
  <c r="AM30" i="84"/>
  <c r="AM31" i="84"/>
  <c r="AM30" i="79"/>
  <c r="AM31" i="79"/>
  <c r="AS30" i="79"/>
  <c r="AS31" i="79"/>
  <c r="AO30" i="84"/>
  <c r="AO30" i="79"/>
  <c r="AO31" i="79"/>
  <c r="AO31" i="84"/>
  <c r="AU31" i="79"/>
  <c r="AU30" i="79"/>
  <c r="AP30" i="84"/>
  <c r="AP30" i="79"/>
  <c r="AP31" i="84"/>
  <c r="AP31" i="79"/>
  <c r="AV30" i="79"/>
  <c r="AV31" i="79"/>
  <c r="AL31" i="79"/>
  <c r="AL30" i="84"/>
  <c r="AL31" i="84"/>
  <c r="AL30" i="79"/>
  <c r="AR31" i="79"/>
  <c r="AR30" i="79"/>
  <c r="AU30" i="84"/>
  <c r="AU31" i="84"/>
  <c r="M97" i="85"/>
  <c r="M18" i="85"/>
  <c r="M26" i="85"/>
  <c r="M90" i="85"/>
  <c r="F22" i="85"/>
  <c r="F82" i="85" s="1"/>
  <c r="M126" i="85"/>
  <c r="M121" i="85"/>
  <c r="M104" i="85"/>
  <c r="M9" i="85"/>
  <c r="M137" i="85"/>
  <c r="M112" i="85"/>
  <c r="F40" i="85"/>
  <c r="F100" i="85" s="1"/>
  <c r="F118" i="85" s="1"/>
  <c r="F58" i="85"/>
  <c r="X4" i="85"/>
  <c r="F4" i="85"/>
  <c r="M3" i="85"/>
  <c r="M47" i="85"/>
  <c r="W3" i="84"/>
  <c r="M36" i="84"/>
  <c r="AF26" i="84"/>
  <c r="AO2" i="84"/>
  <c r="W16" i="84"/>
  <c r="AF11" i="84"/>
  <c r="W9" i="84"/>
  <c r="AF3" i="84"/>
  <c r="W33" i="84"/>
  <c r="G25" i="84"/>
  <c r="G14" i="84"/>
  <c r="G3" i="84"/>
  <c r="G83" i="83"/>
  <c r="AF22" i="84"/>
  <c r="AF19" i="84"/>
  <c r="AF6" i="84"/>
  <c r="V4" i="83"/>
  <c r="G3" i="83"/>
  <c r="G14" i="83"/>
  <c r="AF36" i="83"/>
  <c r="G30" i="83"/>
  <c r="M25" i="84"/>
  <c r="G77" i="83"/>
  <c r="AF3" i="83"/>
  <c r="W46" i="84"/>
  <c r="M3" i="84"/>
  <c r="AO3" i="84"/>
  <c r="M14" i="84"/>
  <c r="P4" i="83"/>
  <c r="AF32" i="84"/>
  <c r="G36" i="84"/>
  <c r="T166" i="67"/>
  <c r="U179" i="85"/>
  <c r="X179" i="85"/>
  <c r="X179" i="67"/>
  <c r="V179" i="67"/>
  <c r="V179" i="85"/>
  <c r="B58" i="85"/>
  <c r="B40" i="85"/>
  <c r="B100" i="85" s="1"/>
  <c r="B118" i="85" s="1"/>
  <c r="B4" i="85"/>
  <c r="T4" i="85"/>
  <c r="B22" i="85"/>
  <c r="B82" i="85" s="1"/>
  <c r="S33" i="84"/>
  <c r="C25" i="84"/>
  <c r="C14" i="84"/>
  <c r="C3" i="84"/>
  <c r="S46" i="84"/>
  <c r="I25" i="84"/>
  <c r="I14" i="84"/>
  <c r="I3" i="84"/>
  <c r="C36" i="84"/>
  <c r="C77" i="83"/>
  <c r="S3" i="84"/>
  <c r="S16" i="84"/>
  <c r="C30" i="83"/>
  <c r="L4" i="83"/>
  <c r="J20" i="83" s="1"/>
  <c r="I36" i="84"/>
  <c r="S9" i="84"/>
  <c r="C83" i="83"/>
  <c r="R4" i="83"/>
  <c r="AB36" i="83"/>
  <c r="AB3" i="83"/>
  <c r="C3" i="83"/>
  <c r="C14" i="83"/>
  <c r="T179" i="85"/>
  <c r="W166" i="85"/>
  <c r="W179" i="85"/>
  <c r="X166" i="85"/>
  <c r="T166" i="85"/>
  <c r="AV30" i="84"/>
  <c r="AV31" i="84"/>
  <c r="N26" i="85"/>
  <c r="N137" i="85"/>
  <c r="G40" i="85"/>
  <c r="G100" i="85" s="1"/>
  <c r="G118" i="85" s="1"/>
  <c r="N112" i="85"/>
  <c r="N47" i="85"/>
  <c r="N97" i="85"/>
  <c r="N90" i="85"/>
  <c r="N121" i="85"/>
  <c r="N104" i="85"/>
  <c r="G58" i="85"/>
  <c r="Y4" i="85"/>
  <c r="G4" i="85"/>
  <c r="N3" i="85"/>
  <c r="G22" i="85"/>
  <c r="G82" i="85" s="1"/>
  <c r="N18" i="85"/>
  <c r="N126" i="85"/>
  <c r="N9" i="85"/>
  <c r="N36" i="84"/>
  <c r="AG26" i="84"/>
  <c r="AP2" i="84"/>
  <c r="X16" i="84"/>
  <c r="AG11" i="84"/>
  <c r="X9" i="84"/>
  <c r="AG3" i="84"/>
  <c r="X33" i="84"/>
  <c r="H25" i="84"/>
  <c r="H14" i="84"/>
  <c r="H3" i="84"/>
  <c r="H83" i="83"/>
  <c r="X46" i="84"/>
  <c r="AG22" i="84"/>
  <c r="AG6" i="84"/>
  <c r="AG36" i="83"/>
  <c r="AH36" i="83" s="1"/>
  <c r="H30" i="83"/>
  <c r="H3" i="83"/>
  <c r="N3" i="84"/>
  <c r="N25" i="84"/>
  <c r="X3" i="84"/>
  <c r="H77" i="83"/>
  <c r="H14" i="83"/>
  <c r="AG3" i="83"/>
  <c r="AH3" i="83" s="1"/>
  <c r="H36" i="84"/>
  <c r="N14" i="84"/>
  <c r="AP3" i="84"/>
  <c r="AG19" i="84"/>
  <c r="AG32" i="84"/>
  <c r="W4" i="83"/>
  <c r="Q4" i="83"/>
  <c r="AS30" i="84"/>
  <c r="AS31" i="84"/>
  <c r="K126" i="85"/>
  <c r="K121" i="85"/>
  <c r="K104" i="85"/>
  <c r="K9" i="85"/>
  <c r="K47" i="85"/>
  <c r="K26" i="85"/>
  <c r="K112" i="85"/>
  <c r="K137" i="85"/>
  <c r="K97" i="85"/>
  <c r="K18" i="85"/>
  <c r="K90" i="85"/>
  <c r="D40" i="85"/>
  <c r="D100" i="85" s="1"/>
  <c r="D118" i="85" s="1"/>
  <c r="D58" i="85"/>
  <c r="D4" i="85"/>
  <c r="D22" i="85"/>
  <c r="D82" i="85" s="1"/>
  <c r="V4" i="85"/>
  <c r="K3" i="85"/>
  <c r="AD32" i="84"/>
  <c r="K25" i="84"/>
  <c r="AD19" i="84"/>
  <c r="K14" i="84"/>
  <c r="AM3" i="84"/>
  <c r="K3" i="84"/>
  <c r="E36" i="84"/>
  <c r="E77" i="83"/>
  <c r="U3" i="84"/>
  <c r="K36" i="84"/>
  <c r="AD26" i="84"/>
  <c r="AM2" i="84"/>
  <c r="AD3" i="84"/>
  <c r="N4" i="83"/>
  <c r="E30" i="83"/>
  <c r="U33" i="84"/>
  <c r="E14" i="84"/>
  <c r="AD11" i="84"/>
  <c r="AD36" i="83"/>
  <c r="AD22" i="84"/>
  <c r="U9" i="84"/>
  <c r="AD6" i="84"/>
  <c r="E83" i="83"/>
  <c r="T4" i="83"/>
  <c r="E3" i="83"/>
  <c r="U46" i="84"/>
  <c r="E3" i="84"/>
  <c r="E14" i="83"/>
  <c r="U16" i="84"/>
  <c r="E25" i="84"/>
  <c r="AD3" i="83"/>
  <c r="U166" i="85"/>
  <c r="AR31" i="84"/>
  <c r="AR30" i="84"/>
  <c r="C58" i="85"/>
  <c r="C82" i="85" s="1"/>
  <c r="C100" i="85" s="1"/>
  <c r="C118" i="85" s="1"/>
  <c r="J126" i="85"/>
  <c r="J121" i="85"/>
  <c r="J104" i="85"/>
  <c r="J9" i="85"/>
  <c r="J97" i="85"/>
  <c r="J18" i="85"/>
  <c r="J90" i="85"/>
  <c r="C22" i="85"/>
  <c r="J26" i="85"/>
  <c r="J137" i="85"/>
  <c r="J112" i="85"/>
  <c r="C40" i="85"/>
  <c r="J47" i="85"/>
  <c r="U4" i="85"/>
  <c r="J3" i="85"/>
  <c r="C4" i="85"/>
  <c r="T46" i="84"/>
  <c r="AC22" i="84"/>
  <c r="AC6" i="84"/>
  <c r="AC32" i="84"/>
  <c r="J25" i="84"/>
  <c r="AC19" i="84"/>
  <c r="J14" i="84"/>
  <c r="AL3" i="84"/>
  <c r="J3" i="84"/>
  <c r="D36" i="84"/>
  <c r="O35" i="84" s="1"/>
  <c r="D77" i="83"/>
  <c r="T3" i="84"/>
  <c r="J36" i="84"/>
  <c r="AC26" i="84"/>
  <c r="T16" i="84"/>
  <c r="D3" i="84"/>
  <c r="M4" i="83"/>
  <c r="AC3" i="84"/>
  <c r="AL2" i="84"/>
  <c r="T9" i="84"/>
  <c r="S4" i="83"/>
  <c r="T33" i="84"/>
  <c r="D14" i="84"/>
  <c r="AC11" i="84"/>
  <c r="D83" i="83"/>
  <c r="AC36" i="83"/>
  <c r="D30" i="83"/>
  <c r="D3" i="83"/>
  <c r="D14" i="83"/>
  <c r="D25" i="84"/>
  <c r="AC3" i="83"/>
  <c r="AT30" i="84"/>
  <c r="AT31" i="84"/>
  <c r="L47" i="85"/>
  <c r="L97" i="85"/>
  <c r="L18" i="85"/>
  <c r="L137" i="85"/>
  <c r="E40" i="85"/>
  <c r="E100" i="85" s="1"/>
  <c r="E118" i="85" s="1"/>
  <c r="E58" i="85"/>
  <c r="L9" i="85"/>
  <c r="E4" i="85"/>
  <c r="L112" i="85"/>
  <c r="L90" i="85"/>
  <c r="L121" i="85"/>
  <c r="L104" i="85"/>
  <c r="E22" i="85"/>
  <c r="E82" i="85" s="1"/>
  <c r="W4" i="85"/>
  <c r="L3" i="85"/>
  <c r="L26" i="85"/>
  <c r="L126" i="85"/>
  <c r="F36" i="84"/>
  <c r="V3" i="84"/>
  <c r="L36" i="84"/>
  <c r="AE26" i="84"/>
  <c r="AN2" i="84"/>
  <c r="V16" i="84"/>
  <c r="AE11" i="84"/>
  <c r="V9" i="84"/>
  <c r="AE3" i="84"/>
  <c r="V33" i="84"/>
  <c r="AE32" i="84"/>
  <c r="F14" i="84"/>
  <c r="V46" i="84"/>
  <c r="AE22" i="84"/>
  <c r="AE19" i="84"/>
  <c r="AE6" i="84"/>
  <c r="F83" i="83"/>
  <c r="U4" i="83"/>
  <c r="AE36" i="83"/>
  <c r="F30" i="83"/>
  <c r="F3" i="83"/>
  <c r="L25" i="84"/>
  <c r="F77" i="83"/>
  <c r="F14" i="83"/>
  <c r="AE3" i="83"/>
  <c r="F25" i="84"/>
  <c r="L3" i="84"/>
  <c r="L14" i="84"/>
  <c r="AN3" i="84"/>
  <c r="O4" i="83"/>
  <c r="F3" i="84"/>
  <c r="T4" i="67"/>
  <c r="B40" i="67"/>
  <c r="B100" i="67" s="1"/>
  <c r="B118" i="67" s="1"/>
  <c r="B4" i="67"/>
  <c r="C36" i="79"/>
  <c r="C25" i="79"/>
  <c r="B70" i="17"/>
  <c r="B58" i="67"/>
  <c r="B22" i="67"/>
  <c r="B82" i="67" s="1"/>
  <c r="I36" i="79"/>
  <c r="I25" i="79"/>
  <c r="I14" i="79"/>
  <c r="I3" i="79"/>
  <c r="C3" i="79"/>
  <c r="C14" i="79"/>
  <c r="K137" i="67"/>
  <c r="K104" i="67"/>
  <c r="K26" i="67"/>
  <c r="D58" i="67"/>
  <c r="D22" i="67"/>
  <c r="D82" i="67" s="1"/>
  <c r="AM2" i="79"/>
  <c r="AD19" i="79"/>
  <c r="K36" i="79"/>
  <c r="K25" i="79"/>
  <c r="V4" i="67"/>
  <c r="V25" i="67" s="1"/>
  <c r="V46" i="67" s="1"/>
  <c r="K121" i="67"/>
  <c r="K90" i="67"/>
  <c r="K9" i="67"/>
  <c r="D40" i="67"/>
  <c r="D100" i="67" s="1"/>
  <c r="D118" i="67" s="1"/>
  <c r="D4" i="67"/>
  <c r="AD26" i="79"/>
  <c r="AD6" i="79"/>
  <c r="E36" i="79"/>
  <c r="E25" i="79"/>
  <c r="E14" i="79"/>
  <c r="E3" i="79"/>
  <c r="K112" i="67"/>
  <c r="K47" i="67"/>
  <c r="K3" i="67"/>
  <c r="AM3" i="79"/>
  <c r="AD22" i="79"/>
  <c r="AD3" i="79"/>
  <c r="K97" i="67"/>
  <c r="AD11" i="79"/>
  <c r="K18" i="67"/>
  <c r="K14" i="79"/>
  <c r="K3" i="79"/>
  <c r="K126" i="67"/>
  <c r="AD32" i="79"/>
  <c r="X4" i="67"/>
  <c r="X25" i="67" s="1"/>
  <c r="X46" i="67" s="1"/>
  <c r="M121" i="67"/>
  <c r="M90" i="67"/>
  <c r="M9" i="67"/>
  <c r="F40" i="67"/>
  <c r="F100" i="67" s="1"/>
  <c r="F118" i="67" s="1"/>
  <c r="F4" i="67"/>
  <c r="AF26" i="79"/>
  <c r="AF6" i="79"/>
  <c r="G36" i="79"/>
  <c r="G25" i="79"/>
  <c r="M137" i="67"/>
  <c r="M104" i="67"/>
  <c r="M26" i="67"/>
  <c r="F58" i="67"/>
  <c r="F22" i="67"/>
  <c r="F82" i="67" s="1"/>
  <c r="AO2" i="79"/>
  <c r="AF19" i="79"/>
  <c r="M36" i="79"/>
  <c r="M25" i="79"/>
  <c r="M14" i="79"/>
  <c r="M3" i="79"/>
  <c r="M126" i="67"/>
  <c r="M97" i="67"/>
  <c r="M18" i="67"/>
  <c r="AF32" i="79"/>
  <c r="AF11" i="79"/>
  <c r="AO3" i="79"/>
  <c r="G14" i="79"/>
  <c r="M112" i="67"/>
  <c r="AF22" i="79"/>
  <c r="G3" i="79"/>
  <c r="M47" i="67"/>
  <c r="AF3" i="79"/>
  <c r="M3" i="67"/>
  <c r="L126" i="67"/>
  <c r="L97" i="67"/>
  <c r="L18" i="67"/>
  <c r="AE32" i="79"/>
  <c r="AE11" i="79"/>
  <c r="L112" i="67"/>
  <c r="L47" i="67"/>
  <c r="L3" i="67"/>
  <c r="AN3" i="79"/>
  <c r="AE22" i="79"/>
  <c r="AE3" i="79"/>
  <c r="L25" i="79"/>
  <c r="L14" i="79"/>
  <c r="L137" i="67"/>
  <c r="L104" i="67"/>
  <c r="L26" i="67"/>
  <c r="E58" i="67"/>
  <c r="E22" i="67"/>
  <c r="E82" i="67" s="1"/>
  <c r="AN2" i="79"/>
  <c r="AE19" i="79"/>
  <c r="L36" i="79"/>
  <c r="W4" i="67"/>
  <c r="W25" i="67" s="1"/>
  <c r="W46" i="67" s="1"/>
  <c r="L121" i="67"/>
  <c r="AE26" i="79"/>
  <c r="F25" i="79"/>
  <c r="L90" i="67"/>
  <c r="E4" i="67"/>
  <c r="F36" i="79"/>
  <c r="F14" i="79"/>
  <c r="L3" i="79"/>
  <c r="F3" i="79"/>
  <c r="AE6" i="79"/>
  <c r="L9" i="67"/>
  <c r="E40" i="67"/>
  <c r="E100" i="67" s="1"/>
  <c r="E118" i="67" s="1"/>
  <c r="J112" i="67"/>
  <c r="J47" i="67"/>
  <c r="J3" i="67"/>
  <c r="AL3" i="79"/>
  <c r="AC22" i="79"/>
  <c r="AC3" i="79"/>
  <c r="J126" i="67"/>
  <c r="J97" i="67"/>
  <c r="J18" i="67"/>
  <c r="AC32" i="79"/>
  <c r="AC11" i="79"/>
  <c r="D25" i="79"/>
  <c r="U4" i="67"/>
  <c r="J121" i="67"/>
  <c r="J90" i="67"/>
  <c r="J9" i="67"/>
  <c r="C40" i="67"/>
  <c r="C4" i="67"/>
  <c r="AC26" i="79"/>
  <c r="AC6" i="79"/>
  <c r="D36" i="79"/>
  <c r="J26" i="67"/>
  <c r="C22" i="67"/>
  <c r="J36" i="79"/>
  <c r="C58" i="67"/>
  <c r="C82" i="67" s="1"/>
  <c r="C100" i="67" s="1"/>
  <c r="C118" i="67" s="1"/>
  <c r="D14" i="79"/>
  <c r="J104" i="67"/>
  <c r="AC19" i="79"/>
  <c r="D3" i="79"/>
  <c r="J14" i="79"/>
  <c r="J137" i="67"/>
  <c r="AL2" i="79"/>
  <c r="J25" i="79"/>
  <c r="J3" i="79"/>
  <c r="N112" i="67"/>
  <c r="N47" i="67"/>
  <c r="N3" i="67"/>
  <c r="AP3" i="79"/>
  <c r="AG22" i="79"/>
  <c r="AG3" i="79"/>
  <c r="N126" i="67"/>
  <c r="N97" i="67"/>
  <c r="N18" i="67"/>
  <c r="AG32" i="79"/>
  <c r="AG11" i="79"/>
  <c r="H36" i="79"/>
  <c r="Y4" i="67"/>
  <c r="N121" i="67"/>
  <c r="N90" i="67"/>
  <c r="N9" i="67"/>
  <c r="G40" i="67"/>
  <c r="G100" i="67" s="1"/>
  <c r="G118" i="67" s="1"/>
  <c r="G4" i="67"/>
  <c r="AG26" i="79"/>
  <c r="AG6" i="79"/>
  <c r="H25" i="79"/>
  <c r="H14" i="79"/>
  <c r="G58" i="67"/>
  <c r="N3" i="79"/>
  <c r="P2" i="79" s="1"/>
  <c r="H3" i="79"/>
  <c r="AP2" i="79"/>
  <c r="N14" i="79"/>
  <c r="N25" i="79"/>
  <c r="G22" i="67"/>
  <c r="G82" i="67" s="1"/>
  <c r="N36" i="79"/>
  <c r="P35" i="79" s="1"/>
  <c r="N137" i="67"/>
  <c r="N26" i="67"/>
  <c r="N104" i="67"/>
  <c r="AG19" i="79"/>
  <c r="X46" i="79"/>
  <c r="X9" i="79"/>
  <c r="AG3" i="78"/>
  <c r="AH3" i="78" s="1"/>
  <c r="Q4" i="78"/>
  <c r="H77" i="78"/>
  <c r="H14" i="78"/>
  <c r="X3" i="79"/>
  <c r="H83" i="78"/>
  <c r="X33" i="79"/>
  <c r="H30" i="78"/>
  <c r="X16" i="79"/>
  <c r="W4" i="78"/>
  <c r="H3" i="78"/>
  <c r="AG36" i="78"/>
  <c r="AH36" i="78" s="1"/>
  <c r="V33" i="79"/>
  <c r="V16" i="79"/>
  <c r="V3" i="79"/>
  <c r="U4" i="78"/>
  <c r="F83" i="78"/>
  <c r="F30" i="78"/>
  <c r="F3" i="78"/>
  <c r="V46" i="79"/>
  <c r="AE3" i="78"/>
  <c r="V9" i="79"/>
  <c r="AE36" i="78"/>
  <c r="F14" i="78"/>
  <c r="F77" i="78"/>
  <c r="O4" i="78"/>
  <c r="T46" i="79"/>
  <c r="T9" i="79"/>
  <c r="AC3" i="78"/>
  <c r="M4" i="78"/>
  <c r="D77" i="78"/>
  <c r="D14" i="78"/>
  <c r="AC36" i="78"/>
  <c r="D30" i="78"/>
  <c r="T16" i="79"/>
  <c r="D83" i="78"/>
  <c r="S4" i="78"/>
  <c r="D3" i="78"/>
  <c r="T3" i="79"/>
  <c r="T33" i="79"/>
  <c r="U46" i="79"/>
  <c r="AD36" i="78"/>
  <c r="U33" i="79"/>
  <c r="E14" i="78"/>
  <c r="E3" i="78"/>
  <c r="U16" i="79"/>
  <c r="T4" i="78"/>
  <c r="N4" i="78"/>
  <c r="U3" i="79"/>
  <c r="AD3" i="78"/>
  <c r="U9" i="79"/>
  <c r="E30" i="78"/>
  <c r="E77" i="78"/>
  <c r="E83" i="78"/>
  <c r="S33" i="79"/>
  <c r="S46" i="79"/>
  <c r="S3" i="79"/>
  <c r="C83" i="78"/>
  <c r="C77" i="78"/>
  <c r="S16" i="79"/>
  <c r="L4" i="78"/>
  <c r="J20" i="78" s="1"/>
  <c r="AB36" i="78"/>
  <c r="AB3" i="78"/>
  <c r="R4" i="78"/>
  <c r="C14" i="78"/>
  <c r="C3" i="78"/>
  <c r="C30" i="78"/>
  <c r="S9" i="79"/>
  <c r="W33" i="79"/>
  <c r="W46" i="79"/>
  <c r="W16" i="79"/>
  <c r="W9" i="79"/>
  <c r="V4" i="78"/>
  <c r="P4" i="78"/>
  <c r="W3" i="79"/>
  <c r="AF36" i="78"/>
  <c r="AF3" i="78"/>
  <c r="G14" i="78"/>
  <c r="G3" i="78"/>
  <c r="G77" i="78"/>
  <c r="G30" i="78"/>
  <c r="G83" i="78"/>
  <c r="H126" i="77"/>
  <c r="H79" i="77"/>
  <c r="H32" i="77"/>
  <c r="P35" i="84" l="1"/>
  <c r="O2" i="79"/>
  <c r="AA3" i="67"/>
  <c r="AA24" i="67" s="1"/>
  <c r="AA45" i="67" s="1"/>
  <c r="O2" i="84"/>
  <c r="AE3" i="85"/>
  <c r="AE16" i="85"/>
  <c r="AE13" i="85"/>
  <c r="U25" i="85"/>
  <c r="U46" i="85" s="1"/>
  <c r="Z3" i="85"/>
  <c r="Z24" i="85" s="1"/>
  <c r="Z45" i="85" s="1"/>
  <c r="P2" i="84"/>
  <c r="P24" i="84"/>
  <c r="P13" i="84"/>
  <c r="O13" i="84"/>
  <c r="Y25" i="85"/>
  <c r="Y46" i="85" s="1"/>
  <c r="AI13" i="85"/>
  <c r="AI16" i="85"/>
  <c r="AI3" i="85"/>
  <c r="AA3" i="85"/>
  <c r="AA24" i="85" s="1"/>
  <c r="AA45" i="85" s="1"/>
  <c r="Y2" i="84"/>
  <c r="Y8" i="84" s="1"/>
  <c r="Y16" i="84" s="1"/>
  <c r="Y33" i="84" s="1"/>
  <c r="Y46" i="84" s="1"/>
  <c r="V25" i="85"/>
  <c r="V46" i="85" s="1"/>
  <c r="AF3" i="85"/>
  <c r="AF16" i="85"/>
  <c r="AF13" i="85"/>
  <c r="O24" i="84"/>
  <c r="AH16" i="85"/>
  <c r="AH13" i="85"/>
  <c r="AH3" i="85"/>
  <c r="X25" i="85"/>
  <c r="X46" i="85" s="1"/>
  <c r="T25" i="85"/>
  <c r="AD13" i="85"/>
  <c r="AD16" i="85"/>
  <c r="AD3" i="85"/>
  <c r="S16" i="85"/>
  <c r="W25" i="85"/>
  <c r="W46" i="85" s="1"/>
  <c r="AG16" i="85"/>
  <c r="AG13" i="85"/>
  <c r="AG3" i="85"/>
  <c r="Z2" i="84"/>
  <c r="Z8" i="84" s="1"/>
  <c r="Z16" i="84" s="1"/>
  <c r="Z33" i="84" s="1"/>
  <c r="Z46" i="84" s="1"/>
  <c r="M32" i="77"/>
  <c r="AH32" i="77"/>
  <c r="M79" i="77"/>
  <c r="AH79" i="77"/>
  <c r="M126" i="77"/>
  <c r="AH126" i="77"/>
  <c r="P13" i="79"/>
  <c r="Z2" i="79"/>
  <c r="Z8" i="79" s="1"/>
  <c r="Z16" i="79" s="1"/>
  <c r="Z33" i="79" s="1"/>
  <c r="Z46" i="79" s="1"/>
  <c r="O13" i="79"/>
  <c r="O24" i="79"/>
  <c r="P24" i="79"/>
  <c r="O35" i="79"/>
  <c r="W77" i="67"/>
  <c r="W101" i="67" s="1"/>
  <c r="W121" i="67"/>
  <c r="V142" i="67" s="1"/>
  <c r="V155" i="67" s="1"/>
  <c r="V168" i="67" s="1"/>
  <c r="V77" i="67"/>
  <c r="V101" i="67" s="1"/>
  <c r="V121" i="67"/>
  <c r="U142" i="67" s="1"/>
  <c r="U155" i="67" s="1"/>
  <c r="U168" i="67" s="1"/>
  <c r="Y25" i="67"/>
  <c r="Z3" i="67"/>
  <c r="Z24" i="67" s="1"/>
  <c r="Z45" i="67" s="1"/>
  <c r="U25" i="67"/>
  <c r="X77" i="67"/>
  <c r="X101" i="67" s="1"/>
  <c r="X121" i="67"/>
  <c r="W142" i="67" s="1"/>
  <c r="W155" i="67" s="1"/>
  <c r="W168" i="67" s="1"/>
  <c r="S16" i="67"/>
  <c r="T25" i="67"/>
  <c r="Y2" i="79"/>
  <c r="Y8" i="79" s="1"/>
  <c r="Y16" i="79" s="1"/>
  <c r="Y33" i="79" s="1"/>
  <c r="Y46" i="79" s="1"/>
  <c r="C11" i="60"/>
  <c r="X77" i="85" l="1"/>
  <c r="X101" i="85" s="1"/>
  <c r="X121" i="85"/>
  <c r="W142" i="85" s="1"/>
  <c r="W155" i="85" s="1"/>
  <c r="W168" i="85" s="1"/>
  <c r="U121" i="85"/>
  <c r="U77" i="85"/>
  <c r="W121" i="85"/>
  <c r="V142" i="85" s="1"/>
  <c r="V155" i="85" s="1"/>
  <c r="V168" i="85" s="1"/>
  <c r="W77" i="85"/>
  <c r="W101" i="85" s="1"/>
  <c r="C4" i="79"/>
  <c r="C4" i="84"/>
  <c r="V77" i="85"/>
  <c r="V101" i="85" s="1"/>
  <c r="V121" i="85"/>
  <c r="U142" i="85" s="1"/>
  <c r="U155" i="85" s="1"/>
  <c r="U168" i="85" s="1"/>
  <c r="Y77" i="85"/>
  <c r="Y121" i="85"/>
  <c r="S37" i="85"/>
  <c r="T46" i="85"/>
  <c r="R126" i="77"/>
  <c r="AM126" i="77"/>
  <c r="R79" i="77"/>
  <c r="AM79" i="77"/>
  <c r="R32" i="77"/>
  <c r="AM32" i="77"/>
  <c r="T46" i="67"/>
  <c r="S37" i="67"/>
  <c r="U46" i="67"/>
  <c r="Y46" i="67"/>
  <c r="AJ11" i="60"/>
  <c r="AL11" i="60"/>
  <c r="AK11" i="60"/>
  <c r="AI11" i="60"/>
  <c r="AH11" i="60"/>
  <c r="AG11" i="60"/>
  <c r="AF11" i="60"/>
  <c r="AE11" i="60"/>
  <c r="AD11" i="60"/>
  <c r="AC11" i="60"/>
  <c r="AB11" i="60"/>
  <c r="AA11" i="60"/>
  <c r="Z11" i="60"/>
  <c r="Y11" i="60"/>
  <c r="X11" i="60"/>
  <c r="W11" i="60"/>
  <c r="V11" i="60"/>
  <c r="U11" i="60"/>
  <c r="T11" i="60"/>
  <c r="S11" i="60"/>
  <c r="R11" i="60"/>
  <c r="Q11" i="60"/>
  <c r="P11" i="60"/>
  <c r="O11" i="60"/>
  <c r="N11" i="60"/>
  <c r="M11" i="60"/>
  <c r="L11" i="60"/>
  <c r="K11" i="60"/>
  <c r="J11" i="60"/>
  <c r="J4" i="84" s="1"/>
  <c r="I11" i="60"/>
  <c r="H11" i="60"/>
  <c r="G11" i="60"/>
  <c r="F11" i="60"/>
  <c r="E11" i="60"/>
  <c r="D11" i="60"/>
  <c r="D4" i="84" s="1"/>
  <c r="C15" i="79" l="1"/>
  <c r="C15" i="84"/>
  <c r="T121" i="85"/>
  <c r="S133" i="85" s="1"/>
  <c r="T77" i="85"/>
  <c r="AA76" i="85" s="1"/>
  <c r="S58" i="85"/>
  <c r="F26" i="79"/>
  <c r="F26" i="84"/>
  <c r="E15" i="79"/>
  <c r="E15" i="84"/>
  <c r="M26" i="79"/>
  <c r="M26" i="84"/>
  <c r="H4" i="79"/>
  <c r="H4" i="84"/>
  <c r="K4" i="79"/>
  <c r="K4" i="84"/>
  <c r="G15" i="79"/>
  <c r="G15" i="84"/>
  <c r="I26" i="79"/>
  <c r="I26" i="84"/>
  <c r="X142" i="85"/>
  <c r="X155" i="85" s="1"/>
  <c r="X168" i="85" s="1"/>
  <c r="U101" i="85"/>
  <c r="G4" i="79"/>
  <c r="G4" i="84"/>
  <c r="G26" i="79"/>
  <c r="G26" i="84"/>
  <c r="F15" i="79"/>
  <c r="F15" i="84"/>
  <c r="H26" i="79"/>
  <c r="H26" i="84"/>
  <c r="L4" i="79"/>
  <c r="L4" i="84"/>
  <c r="H15" i="79"/>
  <c r="H15" i="84"/>
  <c r="J26" i="79"/>
  <c r="J26" i="84"/>
  <c r="Y101" i="85"/>
  <c r="T142" i="85"/>
  <c r="T155" i="85" s="1"/>
  <c r="T168" i="85" s="1"/>
  <c r="E26" i="79"/>
  <c r="E26" i="84"/>
  <c r="E4" i="79"/>
  <c r="E4" i="84"/>
  <c r="C26" i="79"/>
  <c r="C26" i="84"/>
  <c r="D15" i="79"/>
  <c r="D15" i="84"/>
  <c r="J15" i="84" s="1"/>
  <c r="N26" i="79"/>
  <c r="N26" i="84"/>
  <c r="I4" i="79"/>
  <c r="I4" i="84"/>
  <c r="M4" i="79"/>
  <c r="M4" i="84"/>
  <c r="K26" i="79"/>
  <c r="K26" i="84"/>
  <c r="F4" i="79"/>
  <c r="F4" i="84"/>
  <c r="N4" i="79"/>
  <c r="N4" i="84"/>
  <c r="D26" i="79"/>
  <c r="D26" i="84"/>
  <c r="L26" i="79"/>
  <c r="L26" i="84"/>
  <c r="W32" i="77"/>
  <c r="AW32" i="77" s="1"/>
  <c r="AR32" i="77"/>
  <c r="W126" i="77"/>
  <c r="AW126" i="77" s="1"/>
  <c r="AR126" i="77"/>
  <c r="W79" i="77"/>
  <c r="AW79" i="77" s="1"/>
  <c r="AR79" i="77"/>
  <c r="D4" i="79"/>
  <c r="AV11" i="60"/>
  <c r="J4" i="79"/>
  <c r="AW11" i="60"/>
  <c r="U77" i="67"/>
  <c r="U121" i="67"/>
  <c r="Y121" i="67"/>
  <c r="Y77" i="67"/>
  <c r="S58" i="67"/>
  <c r="T77" i="67"/>
  <c r="T121" i="67"/>
  <c r="S133" i="67" s="1"/>
  <c r="D96" i="65"/>
  <c r="E96" i="65"/>
  <c r="F96" i="65"/>
  <c r="G96" i="65"/>
  <c r="H96" i="65"/>
  <c r="I96" i="65"/>
  <c r="D97" i="65"/>
  <c r="E97" i="65"/>
  <c r="F97" i="65"/>
  <c r="G97" i="65"/>
  <c r="H97" i="65"/>
  <c r="I97" i="65"/>
  <c r="Z120" i="85" l="1"/>
  <c r="C37" i="79"/>
  <c r="M37" i="84"/>
  <c r="P26" i="79"/>
  <c r="E37" i="79"/>
  <c r="C37" i="84"/>
  <c r="G37" i="79"/>
  <c r="M37" i="79"/>
  <c r="O15" i="79"/>
  <c r="J37" i="84"/>
  <c r="N15" i="79"/>
  <c r="N37" i="79"/>
  <c r="P4" i="79"/>
  <c r="L37" i="79"/>
  <c r="O15" i="84"/>
  <c r="I37" i="79"/>
  <c r="I15" i="79"/>
  <c r="D37" i="84"/>
  <c r="P26" i="84"/>
  <c r="L15" i="79"/>
  <c r="M15" i="79"/>
  <c r="K15" i="79"/>
  <c r="F37" i="79"/>
  <c r="I37" i="84"/>
  <c r="AA120" i="85"/>
  <c r="O26" i="79"/>
  <c r="F37" i="84"/>
  <c r="L15" i="84"/>
  <c r="O4" i="84"/>
  <c r="H37" i="84"/>
  <c r="N15" i="84"/>
  <c r="P15" i="84" s="1"/>
  <c r="I15" i="84"/>
  <c r="H37" i="79"/>
  <c r="D37" i="79"/>
  <c r="L37" i="84"/>
  <c r="K37" i="79"/>
  <c r="T101" i="85"/>
  <c r="S113" i="85" s="1"/>
  <c r="S89" i="85"/>
  <c r="G37" i="84"/>
  <c r="M15" i="84"/>
  <c r="K15" i="84"/>
  <c r="E37" i="84"/>
  <c r="P4" i="84"/>
  <c r="N37" i="84"/>
  <c r="O26" i="84"/>
  <c r="Z76" i="85"/>
  <c r="K37" i="84"/>
  <c r="O4" i="79"/>
  <c r="J15" i="79"/>
  <c r="J37" i="79"/>
  <c r="T101" i="67"/>
  <c r="S113" i="67" s="1"/>
  <c r="S89" i="67"/>
  <c r="T142" i="67"/>
  <c r="T155" i="67" s="1"/>
  <c r="T168" i="67" s="1"/>
  <c r="Z120" i="67"/>
  <c r="AA76" i="67"/>
  <c r="Y101" i="67"/>
  <c r="X142" i="67"/>
  <c r="X155" i="67" s="1"/>
  <c r="X168" i="67" s="1"/>
  <c r="AA120" i="67"/>
  <c r="U101" i="67"/>
  <c r="Z76" i="67"/>
  <c r="F7" i="58"/>
  <c r="F14" i="58"/>
  <c r="F19" i="58"/>
  <c r="F27" i="58"/>
  <c r="P27" i="58" s="1"/>
  <c r="F36" i="58"/>
  <c r="O37" i="84" l="1"/>
  <c r="P37" i="79"/>
  <c r="P15" i="79"/>
  <c r="P37" i="84"/>
  <c r="O37" i="79"/>
  <c r="Z100" i="85"/>
  <c r="AA100" i="85"/>
  <c r="E7" i="58"/>
  <c r="O7" i="58" s="1"/>
  <c r="P7" i="58"/>
  <c r="Z100" i="67"/>
  <c r="AA100" i="67"/>
  <c r="F38" i="58"/>
  <c r="F41" i="58" s="1"/>
  <c r="P41" i="58" s="1"/>
  <c r="F39" i="58"/>
  <c r="F42" i="58" s="1"/>
  <c r="P42" i="58" s="1"/>
  <c r="F32" i="58"/>
  <c r="P32" i="58" s="1"/>
  <c r="F40" i="58" l="1"/>
  <c r="P40" i="58" s="1"/>
  <c r="F37" i="58"/>
  <c r="U16" i="2"/>
  <c r="T16" i="2"/>
  <c r="Q16" i="2"/>
  <c r="R16" i="2" l="1"/>
  <c r="S16" i="2"/>
  <c r="H90" i="74"/>
  <c r="G90" i="74"/>
  <c r="G127" i="74" l="1"/>
  <c r="AV68" i="53"/>
  <c r="CX68" i="53" s="1"/>
  <c r="AU68" i="53"/>
  <c r="CW68" i="53" s="1"/>
  <c r="AT68" i="53"/>
  <c r="CV68" i="53" s="1"/>
  <c r="AS68" i="53"/>
  <c r="CU68" i="53" s="1"/>
  <c r="AR68" i="53"/>
  <c r="CT68" i="53" s="1"/>
  <c r="AQ68" i="53"/>
  <c r="CS68" i="53" s="1"/>
  <c r="AV67" i="53"/>
  <c r="CX67" i="53" s="1"/>
  <c r="AU67" i="53"/>
  <c r="CW67" i="53" s="1"/>
  <c r="AT67" i="53"/>
  <c r="CV67" i="53" s="1"/>
  <c r="AS67" i="53"/>
  <c r="CU67" i="53" s="1"/>
  <c r="AR67" i="53"/>
  <c r="CT67" i="53" s="1"/>
  <c r="AQ67" i="53"/>
  <c r="CS67" i="53" s="1"/>
  <c r="AV65" i="53"/>
  <c r="CX65" i="53" s="1"/>
  <c r="AU65" i="53"/>
  <c r="CW65" i="53" s="1"/>
  <c r="AT65" i="53"/>
  <c r="CV65" i="53" s="1"/>
  <c r="AS65" i="53"/>
  <c r="CU65" i="53" s="1"/>
  <c r="AR65" i="53"/>
  <c r="CT65" i="53" s="1"/>
  <c r="AQ65" i="53"/>
  <c r="CS65" i="53" s="1"/>
  <c r="AV64" i="53"/>
  <c r="CX64" i="53" s="1"/>
  <c r="AU64" i="53"/>
  <c r="CW64" i="53" s="1"/>
  <c r="AT64" i="53"/>
  <c r="CV64" i="53" s="1"/>
  <c r="AS64" i="53"/>
  <c r="CU64" i="53" s="1"/>
  <c r="AR64" i="53"/>
  <c r="CT64" i="53" s="1"/>
  <c r="AQ64" i="53"/>
  <c r="CS64" i="53" s="1"/>
  <c r="AV62" i="53"/>
  <c r="CX62" i="53" s="1"/>
  <c r="AU62" i="53"/>
  <c r="CW62" i="53" s="1"/>
  <c r="AT62" i="53"/>
  <c r="CV62" i="53" s="1"/>
  <c r="AS62" i="53"/>
  <c r="CU62" i="53" s="1"/>
  <c r="AR62" i="53"/>
  <c r="CT62" i="53" s="1"/>
  <c r="AV61" i="53"/>
  <c r="CX61" i="53" s="1"/>
  <c r="AU61" i="53"/>
  <c r="CW61" i="53" s="1"/>
  <c r="AT61" i="53"/>
  <c r="CV61" i="53" s="1"/>
  <c r="AS61" i="53"/>
  <c r="CU61" i="53" s="1"/>
  <c r="AR61" i="53"/>
  <c r="CT61" i="53" s="1"/>
  <c r="AQ61" i="53"/>
  <c r="CS61" i="53" s="1"/>
  <c r="AN62" i="53"/>
  <c r="CQ62" i="53" s="1"/>
  <c r="AM62" i="53"/>
  <c r="CP62" i="53" s="1"/>
  <c r="AL62" i="53"/>
  <c r="CO62" i="53" s="1"/>
  <c r="AK62" i="53"/>
  <c r="CN62" i="53" s="1"/>
  <c r="AJ62" i="53"/>
  <c r="CM62" i="53" s="1"/>
  <c r="AI62" i="53"/>
  <c r="AF62" i="53"/>
  <c r="CJ62" i="53" s="1"/>
  <c r="AE62" i="53"/>
  <c r="CI62" i="53" s="1"/>
  <c r="AD62" i="53"/>
  <c r="CH62" i="53" s="1"/>
  <c r="AC62" i="53"/>
  <c r="CG62" i="53" s="1"/>
  <c r="AB62" i="53"/>
  <c r="CF62" i="53" s="1"/>
  <c r="AA62" i="53"/>
  <c r="X62" i="53"/>
  <c r="CC62" i="53" s="1"/>
  <c r="W62" i="53"/>
  <c r="CB62" i="53" s="1"/>
  <c r="V62" i="53"/>
  <c r="CA62" i="53" s="1"/>
  <c r="U62" i="53"/>
  <c r="BZ62" i="53" s="1"/>
  <c r="T62" i="53"/>
  <c r="BY62" i="53" s="1"/>
  <c r="S62" i="53"/>
  <c r="P62" i="53"/>
  <c r="BV62" i="53" s="1"/>
  <c r="O62" i="53"/>
  <c r="BU62" i="53" s="1"/>
  <c r="N62" i="53"/>
  <c r="BT62" i="53" s="1"/>
  <c r="M62" i="53"/>
  <c r="BS62" i="53" s="1"/>
  <c r="L62" i="53"/>
  <c r="BR62" i="53" s="1"/>
  <c r="K62" i="53"/>
  <c r="H62" i="53"/>
  <c r="BO62" i="53" s="1"/>
  <c r="G62" i="53"/>
  <c r="BN62" i="53" s="1"/>
  <c r="F62" i="53"/>
  <c r="BM62" i="53" s="1"/>
  <c r="E62" i="53"/>
  <c r="BL62" i="53" s="1"/>
  <c r="D62" i="53"/>
  <c r="BK62" i="53" s="1"/>
  <c r="C62" i="53"/>
  <c r="C69" i="60"/>
  <c r="AZ69" i="60" s="1"/>
  <c r="H103" i="77"/>
  <c r="H56" i="77"/>
  <c r="Y21" i="77"/>
  <c r="V21" i="77"/>
  <c r="U21" i="77"/>
  <c r="T21" i="77"/>
  <c r="R21" i="77"/>
  <c r="Q21" i="77"/>
  <c r="P21" i="77"/>
  <c r="O21" i="77"/>
  <c r="L21" i="77"/>
  <c r="H21" i="77"/>
  <c r="E21" i="77"/>
  <c r="AA21" i="77"/>
  <c r="Z21" i="77"/>
  <c r="X21" i="77"/>
  <c r="W21" i="77"/>
  <c r="S21" i="77"/>
  <c r="N21" i="77"/>
  <c r="M21" i="77"/>
  <c r="K21" i="77"/>
  <c r="J21" i="77"/>
  <c r="I21" i="77"/>
  <c r="G21" i="77"/>
  <c r="F21" i="77"/>
  <c r="H9" i="77"/>
  <c r="W146" i="67" l="1"/>
  <c r="AU21" i="77"/>
  <c r="W146" i="85" s="1"/>
  <c r="T144" i="67"/>
  <c r="AH21" i="77"/>
  <c r="T144" i="85" s="1"/>
  <c r="U145" i="67"/>
  <c r="AN21" i="77"/>
  <c r="U145" i="85" s="1"/>
  <c r="X144" i="67"/>
  <c r="AL21" i="77"/>
  <c r="X144" i="85" s="1"/>
  <c r="V147" i="67"/>
  <c r="AY21" i="77"/>
  <c r="V147" i="85" s="1"/>
  <c r="M9" i="77"/>
  <c r="AH9" i="77"/>
  <c r="U146" i="67"/>
  <c r="AS21" i="77"/>
  <c r="U146" i="85" s="1"/>
  <c r="V145" i="67"/>
  <c r="AO21" i="77"/>
  <c r="V145" i="85" s="1"/>
  <c r="M56" i="77"/>
  <c r="AH56" i="77"/>
  <c r="V143" i="67"/>
  <c r="AE21" i="77"/>
  <c r="V143" i="85" s="1"/>
  <c r="W145" i="67"/>
  <c r="AP21" i="77"/>
  <c r="W145" i="85" s="1"/>
  <c r="T147" i="67"/>
  <c r="AW21" i="77"/>
  <c r="T147" i="85" s="1"/>
  <c r="U147" i="67"/>
  <c r="AX21" i="77"/>
  <c r="U147" i="85" s="1"/>
  <c r="X145" i="67"/>
  <c r="AQ21" i="77"/>
  <c r="X145" i="85" s="1"/>
  <c r="X146" i="67"/>
  <c r="AV21" i="77"/>
  <c r="X146" i="85" s="1"/>
  <c r="W143" i="67"/>
  <c r="AF21" i="77"/>
  <c r="W143" i="85" s="1"/>
  <c r="X143" i="67"/>
  <c r="AG21" i="77"/>
  <c r="X143" i="85" s="1"/>
  <c r="U144" i="67"/>
  <c r="AI21" i="77"/>
  <c r="U144" i="85" s="1"/>
  <c r="W147" i="67"/>
  <c r="AZ21" i="77"/>
  <c r="W147" i="85" s="1"/>
  <c r="T146" i="67"/>
  <c r="AR21" i="77"/>
  <c r="T146" i="85" s="1"/>
  <c r="W144" i="67"/>
  <c r="AK21" i="77"/>
  <c r="W144" i="85" s="1"/>
  <c r="T145" i="67"/>
  <c r="AM21" i="77"/>
  <c r="T145" i="85" s="1"/>
  <c r="M103" i="77"/>
  <c r="AH103" i="77"/>
  <c r="V144" i="67"/>
  <c r="AJ21" i="77"/>
  <c r="V144" i="85" s="1"/>
  <c r="X147" i="67"/>
  <c r="BA21" i="77"/>
  <c r="X147" i="85" s="1"/>
  <c r="V146" i="67"/>
  <c r="AT21" i="77"/>
  <c r="V146" i="85" s="1"/>
  <c r="Y62" i="73"/>
  <c r="BS62" i="73" s="1"/>
  <c r="BX62" i="53"/>
  <c r="N62" i="73"/>
  <c r="BM62" i="73" s="1"/>
  <c r="BQ62" i="53"/>
  <c r="C62" i="73"/>
  <c r="BG62" i="73" s="1"/>
  <c r="BJ62" i="53"/>
  <c r="AU62" i="73"/>
  <c r="CE62" i="73" s="1"/>
  <c r="CL62" i="53"/>
  <c r="AJ62" i="73"/>
  <c r="BY62" i="73" s="1"/>
  <c r="CE62" i="53"/>
  <c r="AG62" i="53"/>
  <c r="CK62" i="53" s="1"/>
  <c r="AH62" i="53"/>
  <c r="Z62" i="53"/>
  <c r="Y62" i="53"/>
  <c r="CD62" i="53" s="1"/>
  <c r="R62" i="53"/>
  <c r="Q62" i="53"/>
  <c r="BW62" i="53" s="1"/>
  <c r="J62" i="53"/>
  <c r="I62" i="53"/>
  <c r="BP62" i="53" s="1"/>
  <c r="AP62" i="53"/>
  <c r="AO62" i="53"/>
  <c r="CR62" i="53" s="1"/>
  <c r="AT63" i="53"/>
  <c r="CV63" i="53" s="1"/>
  <c r="AQ63" i="53"/>
  <c r="CS63" i="53" s="1"/>
  <c r="AR63" i="53"/>
  <c r="CT63" i="53" s="1"/>
  <c r="AV63" i="53"/>
  <c r="CX63" i="53" s="1"/>
  <c r="AS63" i="53"/>
  <c r="CU63" i="53" s="1"/>
  <c r="AU63" i="53"/>
  <c r="CW63" i="53" s="1"/>
  <c r="G62" i="73"/>
  <c r="F62" i="73"/>
  <c r="BI62" i="73" s="1"/>
  <c r="V62" i="73"/>
  <c r="U62" i="73"/>
  <c r="BQ62" i="73" s="1"/>
  <c r="AY62" i="73"/>
  <c r="AX62" i="73"/>
  <c r="CG62" i="73" s="1"/>
  <c r="H62" i="73"/>
  <c r="BJ62" i="73" s="1"/>
  <c r="I62" i="73"/>
  <c r="X62" i="73"/>
  <c r="W62" i="73"/>
  <c r="BR62" i="73" s="1"/>
  <c r="AL62" i="73"/>
  <c r="AK62" i="73"/>
  <c r="BZ62" i="73" s="1"/>
  <c r="BA62" i="73"/>
  <c r="AZ62" i="73"/>
  <c r="CH62" i="73" s="1"/>
  <c r="K62" i="73"/>
  <c r="J62" i="73"/>
  <c r="BK62" i="73" s="1"/>
  <c r="AN62" i="73"/>
  <c r="AM62" i="73"/>
  <c r="CA62" i="73" s="1"/>
  <c r="BB62" i="73"/>
  <c r="CI62" i="73" s="1"/>
  <c r="BC62" i="73"/>
  <c r="M62" i="73"/>
  <c r="L62" i="73"/>
  <c r="BL62" i="73" s="1"/>
  <c r="AA62" i="73"/>
  <c r="Z62" i="73"/>
  <c r="BT62" i="73" s="1"/>
  <c r="AP62" i="73"/>
  <c r="AO62" i="73"/>
  <c r="CB62" i="73" s="1"/>
  <c r="BE62" i="73"/>
  <c r="BD62" i="73"/>
  <c r="CJ62" i="73" s="1"/>
  <c r="AC62" i="73"/>
  <c r="AB62" i="73"/>
  <c r="BU62" i="73" s="1"/>
  <c r="AQ62" i="73"/>
  <c r="CC62" i="73" s="1"/>
  <c r="AR62" i="73"/>
  <c r="P62" i="73"/>
  <c r="O62" i="73"/>
  <c r="BN62" i="73" s="1"/>
  <c r="AE62" i="73"/>
  <c r="AD62" i="73"/>
  <c r="BV62" i="73" s="1"/>
  <c r="AT62" i="73"/>
  <c r="AS62" i="73"/>
  <c r="CD62" i="73" s="1"/>
  <c r="R62" i="73"/>
  <c r="Q62" i="73"/>
  <c r="BO62" i="73" s="1"/>
  <c r="AF62" i="73"/>
  <c r="BW62" i="73" s="1"/>
  <c r="AG62" i="73"/>
  <c r="E62" i="73"/>
  <c r="D62" i="73"/>
  <c r="BH62" i="73" s="1"/>
  <c r="T62" i="73"/>
  <c r="S62" i="73"/>
  <c r="BP62" i="73" s="1"/>
  <c r="AI62" i="73"/>
  <c r="AH62" i="73"/>
  <c r="BX62" i="73" s="1"/>
  <c r="AW62" i="73"/>
  <c r="AV62" i="73"/>
  <c r="CF62" i="73" s="1"/>
  <c r="D106" i="73"/>
  <c r="BH106" i="73" s="1"/>
  <c r="D21" i="77"/>
  <c r="AD21" i="77" s="1"/>
  <c r="U143" i="85" s="1"/>
  <c r="W153" i="67" l="1"/>
  <c r="V153" i="67"/>
  <c r="T153" i="67"/>
  <c r="W153" i="85"/>
  <c r="X153" i="67"/>
  <c r="V153" i="85"/>
  <c r="T153" i="85"/>
  <c r="U153" i="85"/>
  <c r="X153" i="85"/>
  <c r="R103" i="77"/>
  <c r="AM103" i="77"/>
  <c r="R9" i="77"/>
  <c r="AM9" i="77"/>
  <c r="R56" i="77"/>
  <c r="AM56" i="77"/>
  <c r="U143" i="67"/>
  <c r="U153" i="67" s="1"/>
  <c r="V16" i="2"/>
  <c r="S33" i="2"/>
  <c r="R33" i="2"/>
  <c r="R32" i="2"/>
  <c r="T32" i="2"/>
  <c r="R17" i="2"/>
  <c r="T17" i="2"/>
  <c r="R12" i="2"/>
  <c r="T12" i="2"/>
  <c r="E12" i="1"/>
  <c r="C6" i="83" s="1"/>
  <c r="E11" i="1"/>
  <c r="C5" i="83" s="1"/>
  <c r="E10" i="1"/>
  <c r="C4" i="78" l="1"/>
  <c r="C4" i="83"/>
  <c r="W56" i="77"/>
  <c r="AW56" i="77" s="1"/>
  <c r="AR56" i="77"/>
  <c r="W9" i="77"/>
  <c r="AW9" i="77" s="1"/>
  <c r="AR9" i="77"/>
  <c r="W103" i="77"/>
  <c r="AW103" i="77" s="1"/>
  <c r="AR103" i="77"/>
  <c r="E19" i="2"/>
  <c r="C6" i="78"/>
  <c r="E18" i="2"/>
  <c r="C5" i="78"/>
  <c r="E13" i="2"/>
  <c r="E9" i="2"/>
  <c r="S12" i="2"/>
  <c r="V17" i="2"/>
  <c r="U17" i="2"/>
  <c r="Q17" i="2"/>
  <c r="S32" i="2"/>
  <c r="Q33" i="2"/>
  <c r="V33" i="2"/>
  <c r="U33" i="2"/>
  <c r="V12" i="2"/>
  <c r="U12" i="2"/>
  <c r="Q12" i="2"/>
  <c r="S17" i="2"/>
  <c r="V32" i="2"/>
  <c r="U32" i="2"/>
  <c r="Q32" i="2"/>
  <c r="T33" i="2"/>
  <c r="L19" i="2"/>
  <c r="K19" i="2"/>
  <c r="L18" i="2"/>
  <c r="K18" i="2"/>
  <c r="L9" i="2"/>
  <c r="K9" i="2"/>
  <c r="AB13" i="78" l="1"/>
  <c r="AB13" i="83"/>
  <c r="AB8" i="78"/>
  <c r="AB8" i="83"/>
  <c r="AB4" i="78"/>
  <c r="AB4" i="83"/>
  <c r="AB14" i="78"/>
  <c r="AB14" i="83"/>
  <c r="I7" i="76"/>
  <c r="H7" i="76"/>
  <c r="G7" i="76"/>
  <c r="F7" i="76"/>
  <c r="E7" i="76"/>
  <c r="D7" i="76"/>
  <c r="E95" i="65" l="1"/>
  <c r="F95" i="65"/>
  <c r="G95" i="65"/>
  <c r="H95" i="65"/>
  <c r="I95" i="65"/>
  <c r="D95" i="65"/>
  <c r="E94" i="65"/>
  <c r="F94" i="65"/>
  <c r="G94" i="65"/>
  <c r="H94" i="65"/>
  <c r="I94" i="65"/>
  <c r="D94" i="65"/>
  <c r="B47" i="76"/>
  <c r="B28" i="76"/>
  <c r="B9" i="76"/>
  <c r="L11" i="2" l="1"/>
  <c r="K11" i="2"/>
  <c r="L10" i="2"/>
  <c r="K10" i="2"/>
  <c r="I105" i="76"/>
  <c r="I13" i="65" s="1"/>
  <c r="H105" i="76"/>
  <c r="H13" i="65" s="1"/>
  <c r="G105" i="76"/>
  <c r="G13" i="65" s="1"/>
  <c r="F105" i="76"/>
  <c r="F13" i="65" s="1"/>
  <c r="E105" i="76"/>
  <c r="E13" i="65" s="1"/>
  <c r="D105" i="76"/>
  <c r="D13" i="65" s="1"/>
  <c r="I103" i="76"/>
  <c r="I12" i="65" s="1"/>
  <c r="H103" i="76"/>
  <c r="H12" i="65" s="1"/>
  <c r="G103" i="76"/>
  <c r="G12" i="65" s="1"/>
  <c r="F103" i="76"/>
  <c r="F12" i="65" s="1"/>
  <c r="E103" i="76"/>
  <c r="E12" i="65" s="1"/>
  <c r="D103" i="76"/>
  <c r="D12" i="65" s="1"/>
  <c r="I101" i="76"/>
  <c r="Q101" i="76" s="1"/>
  <c r="H101" i="76"/>
  <c r="P101" i="76" s="1"/>
  <c r="G101" i="76"/>
  <c r="O101" i="76" s="1"/>
  <c r="F101" i="76"/>
  <c r="N101" i="76" s="1"/>
  <c r="E101" i="76"/>
  <c r="M101" i="76" s="1"/>
  <c r="D101" i="76"/>
  <c r="L101" i="76" s="1"/>
  <c r="I98" i="76"/>
  <c r="Q98" i="76" s="1"/>
  <c r="H98" i="76"/>
  <c r="P98" i="76" s="1"/>
  <c r="G98" i="76"/>
  <c r="O98" i="76" s="1"/>
  <c r="F98" i="76"/>
  <c r="N98" i="76" s="1"/>
  <c r="E98" i="76"/>
  <c r="M98" i="76" s="1"/>
  <c r="D98" i="76"/>
  <c r="L98" i="76" s="1"/>
  <c r="I94" i="76"/>
  <c r="Q94" i="76" s="1"/>
  <c r="H94" i="76"/>
  <c r="P94" i="76" s="1"/>
  <c r="G94" i="76"/>
  <c r="O94" i="76" s="1"/>
  <c r="F94" i="76"/>
  <c r="N94" i="76" s="1"/>
  <c r="E94" i="76"/>
  <c r="M94" i="76" s="1"/>
  <c r="D94" i="76"/>
  <c r="L94" i="76" s="1"/>
  <c r="I91" i="76"/>
  <c r="Q91" i="76" s="1"/>
  <c r="H91" i="76"/>
  <c r="P91" i="76" s="1"/>
  <c r="G91" i="76"/>
  <c r="O91" i="76" s="1"/>
  <c r="F91" i="76"/>
  <c r="N91" i="76" s="1"/>
  <c r="E91" i="76"/>
  <c r="M91" i="76" s="1"/>
  <c r="D91" i="76"/>
  <c r="L91" i="76" s="1"/>
  <c r="I87" i="76"/>
  <c r="Q87" i="76" s="1"/>
  <c r="H87" i="76"/>
  <c r="P87" i="76" s="1"/>
  <c r="G87" i="76"/>
  <c r="O87" i="76" s="1"/>
  <c r="F87" i="76"/>
  <c r="N87" i="76" s="1"/>
  <c r="E87" i="76"/>
  <c r="M87" i="76" s="1"/>
  <c r="D87" i="76"/>
  <c r="L87" i="76" s="1"/>
  <c r="I84" i="76"/>
  <c r="Q84" i="76" s="1"/>
  <c r="H84" i="76"/>
  <c r="P84" i="76" s="1"/>
  <c r="G84" i="76"/>
  <c r="O84" i="76" s="1"/>
  <c r="F84" i="76"/>
  <c r="N84" i="76" s="1"/>
  <c r="E84" i="76"/>
  <c r="M84" i="76" s="1"/>
  <c r="D84" i="76"/>
  <c r="L84" i="76" s="1"/>
  <c r="I80" i="76"/>
  <c r="Q80" i="76" s="1"/>
  <c r="H80" i="76"/>
  <c r="P80" i="76" s="1"/>
  <c r="G80" i="76"/>
  <c r="O80" i="76" s="1"/>
  <c r="F80" i="76"/>
  <c r="N80" i="76" s="1"/>
  <c r="E80" i="76"/>
  <c r="M80" i="76" s="1"/>
  <c r="D80" i="76"/>
  <c r="L80" i="76" s="1"/>
  <c r="I77" i="76"/>
  <c r="Q77" i="76" s="1"/>
  <c r="H77" i="76"/>
  <c r="P77" i="76" s="1"/>
  <c r="G77" i="76"/>
  <c r="O77" i="76" s="1"/>
  <c r="F77" i="76"/>
  <c r="N77" i="76" s="1"/>
  <c r="E77" i="76"/>
  <c r="M77" i="76" s="1"/>
  <c r="D77" i="76"/>
  <c r="L77" i="76" s="1"/>
  <c r="I73" i="76"/>
  <c r="Q73" i="76" s="1"/>
  <c r="H73" i="76"/>
  <c r="P73" i="76" s="1"/>
  <c r="G73" i="76"/>
  <c r="O73" i="76" s="1"/>
  <c r="F73" i="76"/>
  <c r="N73" i="76" s="1"/>
  <c r="E73" i="76"/>
  <c r="M73" i="76" s="1"/>
  <c r="D73" i="76"/>
  <c r="L73" i="76" s="1"/>
  <c r="I70" i="76"/>
  <c r="Q70" i="76" s="1"/>
  <c r="H70" i="76"/>
  <c r="G70" i="76"/>
  <c r="O70" i="76" s="1"/>
  <c r="F70" i="76"/>
  <c r="N70" i="76" s="1"/>
  <c r="E70" i="76"/>
  <c r="M70" i="76" s="1"/>
  <c r="D70" i="76"/>
  <c r="L70" i="76" s="1"/>
  <c r="I48" i="76"/>
  <c r="H48" i="76"/>
  <c r="G48" i="76"/>
  <c r="G54" i="76" s="1"/>
  <c r="F48" i="76"/>
  <c r="E48" i="76"/>
  <c r="D48" i="76"/>
  <c r="I29" i="76"/>
  <c r="H29" i="76"/>
  <c r="G29" i="76"/>
  <c r="G35" i="76" s="1"/>
  <c r="F29" i="76"/>
  <c r="E29" i="76"/>
  <c r="D29" i="76"/>
  <c r="I10" i="76"/>
  <c r="H10" i="76"/>
  <c r="G10" i="76"/>
  <c r="G16" i="76" s="1"/>
  <c r="F10" i="76"/>
  <c r="F16" i="76" s="1"/>
  <c r="E10" i="76"/>
  <c r="D10" i="76"/>
  <c r="H104" i="76" l="1"/>
  <c r="P104" i="76" s="1"/>
  <c r="P70" i="76"/>
  <c r="D106" i="76"/>
  <c r="L106" i="76" s="1"/>
  <c r="G104" i="76"/>
  <c r="O104" i="76" s="1"/>
  <c r="I106" i="76"/>
  <c r="Q106" i="76" s="1"/>
  <c r="I104" i="76"/>
  <c r="Q104" i="76" s="1"/>
  <c r="F104" i="76"/>
  <c r="H106" i="76"/>
  <c r="F35" i="76"/>
  <c r="F54" i="76"/>
  <c r="D56" i="76"/>
  <c r="D62" i="76"/>
  <c r="D60" i="76"/>
  <c r="D58" i="76"/>
  <c r="D64" i="76"/>
  <c r="H62" i="76"/>
  <c r="H60" i="76"/>
  <c r="H56" i="76"/>
  <c r="H64" i="76"/>
  <c r="H58" i="76"/>
  <c r="E62" i="76"/>
  <c r="E60" i="76"/>
  <c r="E56" i="76"/>
  <c r="E64" i="76"/>
  <c r="E58" i="76"/>
  <c r="I62" i="76"/>
  <c r="I60" i="76"/>
  <c r="I56" i="76"/>
  <c r="I58" i="76"/>
  <c r="I64" i="76"/>
  <c r="D16" i="76"/>
  <c r="H16" i="76"/>
  <c r="D35" i="76"/>
  <c r="H35" i="76"/>
  <c r="F60" i="76"/>
  <c r="F56" i="76"/>
  <c r="F62" i="76"/>
  <c r="F58" i="76"/>
  <c r="F64" i="76"/>
  <c r="D54" i="76"/>
  <c r="H54" i="76"/>
  <c r="E16" i="76"/>
  <c r="I16" i="76"/>
  <c r="E35" i="76"/>
  <c r="I35" i="76"/>
  <c r="G60" i="76"/>
  <c r="G56" i="76"/>
  <c r="G62" i="76"/>
  <c r="G58" i="76"/>
  <c r="G64" i="76"/>
  <c r="E54" i="76"/>
  <c r="I54" i="76"/>
  <c r="G37" i="76"/>
  <c r="G41" i="76"/>
  <c r="G43" i="76"/>
  <c r="G45" i="76"/>
  <c r="G39" i="76"/>
  <c r="H37" i="76"/>
  <c r="H41" i="76"/>
  <c r="H43" i="76"/>
  <c r="H39" i="76"/>
  <c r="H45" i="76"/>
  <c r="I37" i="76"/>
  <c r="I41" i="76"/>
  <c r="I43" i="76"/>
  <c r="I39" i="76"/>
  <c r="I45" i="76"/>
  <c r="D18" i="76"/>
  <c r="D20" i="76"/>
  <c r="D26" i="76"/>
  <c r="E18" i="76"/>
  <c r="E20" i="76"/>
  <c r="F18" i="76"/>
  <c r="F20" i="76"/>
  <c r="G18" i="76"/>
  <c r="G20" i="76"/>
  <c r="H18" i="76"/>
  <c r="H20" i="76"/>
  <c r="D43" i="76"/>
  <c r="D37" i="76"/>
  <c r="D41" i="76"/>
  <c r="D39" i="76"/>
  <c r="D45" i="76"/>
  <c r="E43" i="76"/>
  <c r="E37" i="76"/>
  <c r="E41" i="76"/>
  <c r="E45" i="76"/>
  <c r="E39" i="76"/>
  <c r="E104" i="76"/>
  <c r="M104" i="76" s="1"/>
  <c r="I18" i="76"/>
  <c r="I20" i="76"/>
  <c r="F37" i="76"/>
  <c r="F41" i="76"/>
  <c r="F43" i="76"/>
  <c r="F39" i="76"/>
  <c r="F45" i="76"/>
  <c r="D24" i="76"/>
  <c r="D22" i="76"/>
  <c r="E22" i="76"/>
  <c r="E24" i="76"/>
  <c r="F22" i="76"/>
  <c r="F24" i="76"/>
  <c r="G24" i="76"/>
  <c r="G22" i="76"/>
  <c r="E106" i="76"/>
  <c r="M106" i="76" s="1"/>
  <c r="D104" i="76"/>
  <c r="F106" i="76"/>
  <c r="N106" i="76" s="1"/>
  <c r="H22" i="76"/>
  <c r="H24" i="76"/>
  <c r="I24" i="76"/>
  <c r="I22" i="76"/>
  <c r="G106" i="76"/>
  <c r="O106" i="76" s="1"/>
  <c r="I65" i="76"/>
  <c r="C34" i="5"/>
  <c r="C35" i="5"/>
  <c r="D46" i="76"/>
  <c r="C33" i="5"/>
  <c r="D27" i="76"/>
  <c r="E46" i="76"/>
  <c r="I46" i="76"/>
  <c r="H112" i="76" l="1"/>
  <c r="P106" i="76"/>
  <c r="F112" i="76"/>
  <c r="N104" i="76"/>
  <c r="D112" i="76"/>
  <c r="L104" i="76"/>
  <c r="E112" i="76"/>
  <c r="I112" i="76"/>
  <c r="G112" i="76"/>
  <c r="E65" i="76"/>
  <c r="D65" i="76"/>
  <c r="E25" i="76"/>
  <c r="E26" i="76" s="1"/>
  <c r="I25" i="76"/>
  <c r="I26" i="76" s="1"/>
  <c r="G25" i="76"/>
  <c r="G26" i="76" s="1"/>
  <c r="H25" i="76"/>
  <c r="H26" i="76" s="1"/>
  <c r="F25" i="76"/>
  <c r="F26" i="76" s="1"/>
  <c r="F46" i="76"/>
  <c r="G46" i="76"/>
  <c r="H65" i="76"/>
  <c r="F65" i="76"/>
  <c r="G65" i="76"/>
  <c r="H46" i="76"/>
  <c r="F27" i="76" l="1"/>
  <c r="H27" i="76"/>
  <c r="E27" i="76"/>
  <c r="G27" i="76"/>
  <c r="I27" i="76"/>
  <c r="F43" i="74"/>
  <c r="G76" i="74"/>
  <c r="I43" i="74"/>
  <c r="J76" i="74"/>
  <c r="L9" i="74"/>
  <c r="D17" i="74"/>
  <c r="E17" i="74"/>
  <c r="F17" i="74"/>
  <c r="F14" i="1"/>
  <c r="F22" i="2" s="1"/>
  <c r="L18" i="74"/>
  <c r="L19" i="74"/>
  <c r="L20" i="74"/>
  <c r="L22" i="74"/>
  <c r="G22" i="74" s="1"/>
  <c r="G26" i="74" s="1"/>
  <c r="G36" i="74"/>
  <c r="L27" i="74"/>
  <c r="G27" i="74" s="1"/>
  <c r="H27" i="74" s="1"/>
  <c r="I27" i="74" s="1"/>
  <c r="H36" i="74"/>
  <c r="K36" i="74"/>
  <c r="L31" i="74"/>
  <c r="G31" i="74" s="1"/>
  <c r="H31" i="74" s="1"/>
  <c r="I31" i="74" s="1"/>
  <c r="I36" i="74"/>
  <c r="J36" i="74"/>
  <c r="D39" i="74"/>
  <c r="E39" i="74"/>
  <c r="D20" i="65" s="1"/>
  <c r="C35" i="83" s="1"/>
  <c r="F39" i="74"/>
  <c r="D43" i="74"/>
  <c r="E43" i="74"/>
  <c r="L45" i="74"/>
  <c r="J11" i="1"/>
  <c r="H5" i="83" s="1"/>
  <c r="G11" i="1"/>
  <c r="H11" i="1"/>
  <c r="F5" i="83" s="1"/>
  <c r="D53" i="74"/>
  <c r="E53" i="74"/>
  <c r="F53" i="74"/>
  <c r="G57" i="74"/>
  <c r="L54" i="74"/>
  <c r="L55" i="74"/>
  <c r="L56" i="74"/>
  <c r="L58" i="74"/>
  <c r="G58" i="74" s="1"/>
  <c r="G62" i="74" s="1"/>
  <c r="L63" i="74"/>
  <c r="G63" i="74" s="1"/>
  <c r="H117" i="74"/>
  <c r="I117" i="74"/>
  <c r="J117" i="74"/>
  <c r="K117" i="74"/>
  <c r="L67" i="74"/>
  <c r="G67" i="74" s="1"/>
  <c r="G70" i="74" s="1"/>
  <c r="G72" i="74"/>
  <c r="L71" i="74"/>
  <c r="H72" i="74"/>
  <c r="I72" i="74"/>
  <c r="J72" i="74"/>
  <c r="K72" i="74"/>
  <c r="D76" i="74"/>
  <c r="E76" i="74"/>
  <c r="F76" i="74"/>
  <c r="L78" i="74"/>
  <c r="D86" i="74"/>
  <c r="E86" i="74"/>
  <c r="F86" i="74"/>
  <c r="F16" i="1"/>
  <c r="L87" i="74"/>
  <c r="L89" i="74"/>
  <c r="L91" i="74"/>
  <c r="G91" i="74" s="1"/>
  <c r="G95" i="74" s="1"/>
  <c r="L96" i="74"/>
  <c r="G96" i="74" s="1"/>
  <c r="H118" i="74"/>
  <c r="I118" i="74"/>
  <c r="J118" i="74"/>
  <c r="K118" i="74"/>
  <c r="L100" i="74"/>
  <c r="G105" i="74"/>
  <c r="H105" i="74"/>
  <c r="I105" i="74"/>
  <c r="J105" i="74"/>
  <c r="K105" i="74"/>
  <c r="D107" i="74"/>
  <c r="E107" i="74"/>
  <c r="F107" i="74"/>
  <c r="G100" i="74" l="1"/>
  <c r="G103" i="74" s="1"/>
  <c r="G34" i="74"/>
  <c r="G30" i="74"/>
  <c r="AC17" i="78"/>
  <c r="AC17" i="83"/>
  <c r="E5" i="78"/>
  <c r="E5" i="83"/>
  <c r="G99" i="74"/>
  <c r="G118" i="74" s="1"/>
  <c r="G66" i="74"/>
  <c r="G117" i="74" s="1"/>
  <c r="L83" i="74"/>
  <c r="J18" i="2"/>
  <c r="AG13" i="83" s="1"/>
  <c r="H5" i="78"/>
  <c r="H18" i="2"/>
  <c r="AE13" i="83" s="1"/>
  <c r="F5" i="78"/>
  <c r="E56" i="65"/>
  <c r="D58" i="83" s="1"/>
  <c r="F56" i="65"/>
  <c r="H121" i="74"/>
  <c r="H56" i="65"/>
  <c r="J121" i="74"/>
  <c r="G56" i="65"/>
  <c r="I121" i="74"/>
  <c r="I56" i="65"/>
  <c r="K121" i="74"/>
  <c r="H51" i="65"/>
  <c r="J120" i="74"/>
  <c r="F51" i="65"/>
  <c r="H120" i="74"/>
  <c r="G51" i="65"/>
  <c r="I120" i="74"/>
  <c r="I51" i="65"/>
  <c r="K120" i="74"/>
  <c r="F15" i="1"/>
  <c r="G126" i="74"/>
  <c r="F11" i="1"/>
  <c r="G18" i="2"/>
  <c r="AD13" i="83" s="1"/>
  <c r="E24" i="65"/>
  <c r="G119" i="74"/>
  <c r="E23" i="65"/>
  <c r="G116" i="74"/>
  <c r="E128" i="74"/>
  <c r="E129" i="74"/>
  <c r="D128" i="74"/>
  <c r="D129" i="74"/>
  <c r="F128" i="74"/>
  <c r="F129" i="74"/>
  <c r="E14" i="1"/>
  <c r="E22" i="2" s="1"/>
  <c r="AB17" i="83" s="1"/>
  <c r="F126" i="74"/>
  <c r="F127" i="74"/>
  <c r="D127" i="74"/>
  <c r="D126" i="74"/>
  <c r="E126" i="74"/>
  <c r="E127" i="74"/>
  <c r="F12" i="1"/>
  <c r="F10" i="1"/>
  <c r="G125" i="74"/>
  <c r="G124" i="74"/>
  <c r="J43" i="74"/>
  <c r="H22" i="74"/>
  <c r="G16" i="1"/>
  <c r="I76" i="74"/>
  <c r="K76" i="74"/>
  <c r="H58" i="74"/>
  <c r="I11" i="1"/>
  <c r="G43" i="74"/>
  <c r="L104" i="74"/>
  <c r="E16" i="1"/>
  <c r="K43" i="74"/>
  <c r="L14" i="74"/>
  <c r="E15" i="1"/>
  <c r="L35" i="74"/>
  <c r="G112" i="74"/>
  <c r="H91" i="74"/>
  <c r="G114" i="74"/>
  <c r="H43" i="74"/>
  <c r="H76" i="74"/>
  <c r="G71" i="74"/>
  <c r="G74" i="74" s="1"/>
  <c r="G110" i="74"/>
  <c r="G35" i="74"/>
  <c r="G39" i="74" s="1"/>
  <c r="E20" i="65" s="1"/>
  <c r="L50" i="74"/>
  <c r="G121" i="74" l="1"/>
  <c r="G104" i="74"/>
  <c r="G107" i="74" s="1"/>
  <c r="H34" i="74"/>
  <c r="H30" i="74"/>
  <c r="D5" i="78"/>
  <c r="D5" i="83"/>
  <c r="AD9" i="84"/>
  <c r="E53" i="83"/>
  <c r="G58" i="78"/>
  <c r="G58" i="83"/>
  <c r="D6" i="78"/>
  <c r="D6" i="83"/>
  <c r="G53" i="83"/>
  <c r="AF9" i="84"/>
  <c r="E58" i="78"/>
  <c r="E58" i="83"/>
  <c r="J91" i="85"/>
  <c r="D4" i="83"/>
  <c r="H53" i="83"/>
  <c r="AG9" i="84"/>
  <c r="H58" i="78"/>
  <c r="H58" i="83"/>
  <c r="F53" i="83"/>
  <c r="AE9" i="84"/>
  <c r="F58" i="78"/>
  <c r="F58" i="83"/>
  <c r="D35" i="83"/>
  <c r="AC4" i="84"/>
  <c r="G5" i="78"/>
  <c r="G5" i="83"/>
  <c r="H92" i="74"/>
  <c r="H95" i="74"/>
  <c r="H59" i="74"/>
  <c r="H62" i="74"/>
  <c r="G15" i="1"/>
  <c r="H57" i="74"/>
  <c r="H23" i="74"/>
  <c r="H26" i="74"/>
  <c r="AE9" i="79"/>
  <c r="F53" i="78"/>
  <c r="AF9" i="79"/>
  <c r="G53" i="78"/>
  <c r="AE13" i="78"/>
  <c r="S18" i="2"/>
  <c r="AD13" i="78"/>
  <c r="G19" i="2"/>
  <c r="AD14" i="83" s="1"/>
  <c r="E6" i="78"/>
  <c r="D4" i="78"/>
  <c r="J91" i="67"/>
  <c r="Q22" i="2"/>
  <c r="AB17" i="78"/>
  <c r="AG9" i="79"/>
  <c r="H53" i="78"/>
  <c r="AD9" i="79"/>
  <c r="E53" i="78"/>
  <c r="AG13" i="78"/>
  <c r="V18" i="2"/>
  <c r="D58" i="78"/>
  <c r="E55" i="65"/>
  <c r="G115" i="74"/>
  <c r="E51" i="65"/>
  <c r="G120" i="74"/>
  <c r="G111" i="74"/>
  <c r="I18" i="2"/>
  <c r="AF13" i="83" s="1"/>
  <c r="F18" i="2"/>
  <c r="E22" i="65"/>
  <c r="G113" i="74"/>
  <c r="G14" i="1"/>
  <c r="H126" i="74"/>
  <c r="H127" i="74"/>
  <c r="H10" i="1"/>
  <c r="I124" i="74"/>
  <c r="G10" i="1"/>
  <c r="H124" i="74"/>
  <c r="H125" i="74"/>
  <c r="F19" i="2"/>
  <c r="AC14" i="83" s="1"/>
  <c r="F13" i="2"/>
  <c r="F9" i="2"/>
  <c r="E50" i="65"/>
  <c r="H71" i="74"/>
  <c r="H74" i="74" s="1"/>
  <c r="I58" i="74"/>
  <c r="I62" i="74" s="1"/>
  <c r="H12" i="1"/>
  <c r="I91" i="74"/>
  <c r="H104" i="74"/>
  <c r="H107" i="74" s="1"/>
  <c r="H35" i="74"/>
  <c r="H39" i="74" s="1"/>
  <c r="F20" i="65" s="1"/>
  <c r="I22" i="74"/>
  <c r="I90" i="74"/>
  <c r="E18" i="39"/>
  <c r="C81" i="39"/>
  <c r="L15" i="83" s="1"/>
  <c r="F23" i="65" l="1"/>
  <c r="H116" i="74"/>
  <c r="H119" i="74"/>
  <c r="F24" i="65"/>
  <c r="I34" i="74"/>
  <c r="I30" i="74"/>
  <c r="AD4" i="84"/>
  <c r="E35" i="83"/>
  <c r="AC4" i="78"/>
  <c r="AC4" i="83"/>
  <c r="AC8" i="78"/>
  <c r="AC8" i="83"/>
  <c r="R18" i="2"/>
  <c r="AC13" i="83"/>
  <c r="J93" i="85"/>
  <c r="D57" i="83"/>
  <c r="AC13" i="84"/>
  <c r="L91" i="85"/>
  <c r="L93" i="85" s="1"/>
  <c r="F4" i="83"/>
  <c r="N5" i="78"/>
  <c r="N5" i="83"/>
  <c r="K91" i="85"/>
  <c r="K93" i="85" s="1"/>
  <c r="E4" i="83"/>
  <c r="AC9" i="84"/>
  <c r="D53" i="83"/>
  <c r="F6" i="78"/>
  <c r="F6" i="83"/>
  <c r="D52" i="83"/>
  <c r="AC8" i="84"/>
  <c r="AC7" i="84" s="1"/>
  <c r="I92" i="74"/>
  <c r="I95" i="74"/>
  <c r="H15" i="1"/>
  <c r="I57" i="74"/>
  <c r="I15" i="1"/>
  <c r="J57" i="74"/>
  <c r="I23" i="74"/>
  <c r="I26" i="74"/>
  <c r="L15" i="78"/>
  <c r="C84" i="39"/>
  <c r="F4" i="78"/>
  <c r="L91" i="67"/>
  <c r="L93" i="67" s="1"/>
  <c r="AC13" i="79"/>
  <c r="D57" i="78"/>
  <c r="J93" i="67"/>
  <c r="E4" i="78"/>
  <c r="K91" i="67"/>
  <c r="K93" i="67" s="1"/>
  <c r="AC14" i="78"/>
  <c r="Q19" i="2"/>
  <c r="AC13" i="78"/>
  <c r="Q18" i="2"/>
  <c r="AC9" i="79"/>
  <c r="D53" i="78"/>
  <c r="I125" i="74"/>
  <c r="AF13" i="78"/>
  <c r="T18" i="2"/>
  <c r="U18" i="2"/>
  <c r="AD14" i="78"/>
  <c r="R19" i="2"/>
  <c r="AC8" i="79"/>
  <c r="D52" i="78"/>
  <c r="H19" i="2"/>
  <c r="AE14" i="83" s="1"/>
  <c r="I71" i="74"/>
  <c r="I74" i="74" s="1"/>
  <c r="I59" i="74"/>
  <c r="G22" i="2"/>
  <c r="AD17" i="83" s="1"/>
  <c r="I10" i="1"/>
  <c r="J124" i="74"/>
  <c r="G13" i="2"/>
  <c r="G9" i="2"/>
  <c r="AD4" i="83" s="1"/>
  <c r="H9" i="2"/>
  <c r="H13" i="2"/>
  <c r="H111" i="74"/>
  <c r="H114" i="74"/>
  <c r="H14" i="1"/>
  <c r="I127" i="74"/>
  <c r="I126" i="74"/>
  <c r="F55" i="65"/>
  <c r="H115" i="74"/>
  <c r="H112" i="74"/>
  <c r="F22" i="65"/>
  <c r="H113" i="74"/>
  <c r="H110" i="74"/>
  <c r="Q9" i="2"/>
  <c r="F50" i="65"/>
  <c r="J58" i="74"/>
  <c r="I12" i="1"/>
  <c r="H16" i="1"/>
  <c r="J90" i="74"/>
  <c r="J91" i="74"/>
  <c r="I104" i="74"/>
  <c r="I107" i="74" s="1"/>
  <c r="J22" i="74"/>
  <c r="I35" i="74"/>
  <c r="I39" i="74" s="1"/>
  <c r="G20" i="65" s="1"/>
  <c r="AL61" i="60"/>
  <c r="CI61" i="60" s="1"/>
  <c r="AK61" i="60"/>
  <c r="CH61" i="60" s="1"/>
  <c r="AJ61" i="60"/>
  <c r="CG61" i="60" s="1"/>
  <c r="AI61" i="60"/>
  <c r="CF61" i="60" s="1"/>
  <c r="AH61" i="60"/>
  <c r="CE61" i="60" s="1"/>
  <c r="AL60" i="60"/>
  <c r="CI60" i="60" s="1"/>
  <c r="AK60" i="60"/>
  <c r="CH60" i="60" s="1"/>
  <c r="AJ60" i="60"/>
  <c r="CG60" i="60" s="1"/>
  <c r="AI60" i="60"/>
  <c r="CF60" i="60" s="1"/>
  <c r="AH60" i="60"/>
  <c r="CE60" i="60" s="1"/>
  <c r="AL59" i="60"/>
  <c r="CI59" i="60" s="1"/>
  <c r="AK59" i="60"/>
  <c r="CH59" i="60" s="1"/>
  <c r="AJ59" i="60"/>
  <c r="CG59" i="60" s="1"/>
  <c r="AI59" i="60"/>
  <c r="CF59" i="60" s="1"/>
  <c r="AH59" i="60"/>
  <c r="CE59" i="60" s="1"/>
  <c r="AL58" i="60"/>
  <c r="CI58" i="60" s="1"/>
  <c r="AK58" i="60"/>
  <c r="CH58" i="60" s="1"/>
  <c r="AJ58" i="60"/>
  <c r="CG58" i="60" s="1"/>
  <c r="AI58" i="60"/>
  <c r="CF58" i="60" s="1"/>
  <c r="AH58" i="60"/>
  <c r="CE58" i="60" s="1"/>
  <c r="AL57" i="60"/>
  <c r="CI57" i="60" s="1"/>
  <c r="AK57" i="60"/>
  <c r="CH57" i="60" s="1"/>
  <c r="AJ57" i="60"/>
  <c r="CG57" i="60" s="1"/>
  <c r="AI57" i="60"/>
  <c r="CF57" i="60" s="1"/>
  <c r="AH57" i="60"/>
  <c r="CE57" i="60" s="1"/>
  <c r="AL56" i="60"/>
  <c r="CI56" i="60" s="1"/>
  <c r="AK56" i="60"/>
  <c r="CH56" i="60" s="1"/>
  <c r="AJ56" i="60"/>
  <c r="CG56" i="60" s="1"/>
  <c r="AI56" i="60"/>
  <c r="CF56" i="60" s="1"/>
  <c r="AH56" i="60"/>
  <c r="CE56" i="60" s="1"/>
  <c r="AL55" i="60"/>
  <c r="CI55" i="60" s="1"/>
  <c r="AK55" i="60"/>
  <c r="CH55" i="60" s="1"/>
  <c r="AJ55" i="60"/>
  <c r="CG55" i="60" s="1"/>
  <c r="AI55" i="60"/>
  <c r="CF55" i="60" s="1"/>
  <c r="AH55" i="60"/>
  <c r="CE55" i="60" s="1"/>
  <c r="AL54" i="60"/>
  <c r="CI54" i="60" s="1"/>
  <c r="AK54" i="60"/>
  <c r="CH54" i="60" s="1"/>
  <c r="AJ54" i="60"/>
  <c r="CG54" i="60" s="1"/>
  <c r="AI54" i="60"/>
  <c r="CF54" i="60" s="1"/>
  <c r="AH54" i="60"/>
  <c r="CE54" i="60" s="1"/>
  <c r="AL53" i="60"/>
  <c r="CI53" i="60" s="1"/>
  <c r="AK53" i="60"/>
  <c r="CH53" i="60" s="1"/>
  <c r="AJ53" i="60"/>
  <c r="CG53" i="60" s="1"/>
  <c r="AI53" i="60"/>
  <c r="CF53" i="60" s="1"/>
  <c r="AH53" i="60"/>
  <c r="CE53" i="60" s="1"/>
  <c r="AT48" i="60"/>
  <c r="CQ48" i="60" s="1"/>
  <c r="AS48" i="60"/>
  <c r="CP48" i="60" s="1"/>
  <c r="AR48" i="60"/>
  <c r="CO48" i="60" s="1"/>
  <c r="AQ48" i="60"/>
  <c r="CN48" i="60" s="1"/>
  <c r="AM48" i="60"/>
  <c r="AT46" i="60"/>
  <c r="CQ46" i="60" s="1"/>
  <c r="AS46" i="60"/>
  <c r="CP46" i="60" s="1"/>
  <c r="AR46" i="60"/>
  <c r="CO46" i="60" s="1"/>
  <c r="AQ46" i="60"/>
  <c r="CN46" i="60" s="1"/>
  <c r="AP46" i="60"/>
  <c r="CM46" i="60" s="1"/>
  <c r="AM46" i="60"/>
  <c r="CJ46" i="60" s="1"/>
  <c r="AT44" i="60"/>
  <c r="CQ44" i="60" s="1"/>
  <c r="AS44" i="60"/>
  <c r="CP44" i="60" s="1"/>
  <c r="AR44" i="60"/>
  <c r="CO44" i="60" s="1"/>
  <c r="AQ44" i="60"/>
  <c r="CN44" i="60" s="1"/>
  <c r="AP44" i="60"/>
  <c r="CM44" i="60" s="1"/>
  <c r="AM44" i="60"/>
  <c r="CJ44" i="60" s="1"/>
  <c r="AT42" i="60"/>
  <c r="AS42" i="60"/>
  <c r="AR42" i="60"/>
  <c r="AQ42" i="60"/>
  <c r="AP42" i="60"/>
  <c r="AM42" i="60"/>
  <c r="AT40" i="60"/>
  <c r="CQ40" i="60" s="1"/>
  <c r="AS40" i="60"/>
  <c r="CP40" i="60" s="1"/>
  <c r="AR40" i="60"/>
  <c r="CO40" i="60" s="1"/>
  <c r="AQ40" i="60"/>
  <c r="CN40" i="60" s="1"/>
  <c r="AP40" i="60"/>
  <c r="CM40" i="60" s="1"/>
  <c r="AM40" i="60"/>
  <c r="CJ40" i="60" s="1"/>
  <c r="AT38" i="60"/>
  <c r="CQ38" i="60" s="1"/>
  <c r="AS38" i="60"/>
  <c r="CP38" i="60" s="1"/>
  <c r="AR38" i="60"/>
  <c r="CO38" i="60" s="1"/>
  <c r="AQ38" i="60"/>
  <c r="CN38" i="60" s="1"/>
  <c r="AP38" i="60"/>
  <c r="CM38" i="60" s="1"/>
  <c r="AM38" i="60"/>
  <c r="CJ38" i="60" s="1"/>
  <c r="AT37" i="60"/>
  <c r="CQ37" i="60" s="1"/>
  <c r="AS37" i="60"/>
  <c r="CP37" i="60" s="1"/>
  <c r="AR37" i="60"/>
  <c r="CO37" i="60" s="1"/>
  <c r="AQ37" i="60"/>
  <c r="CN37" i="60" s="1"/>
  <c r="AP37" i="60"/>
  <c r="CM37" i="60" s="1"/>
  <c r="AM37" i="60"/>
  <c r="CJ37" i="60" s="1"/>
  <c r="AT36" i="60"/>
  <c r="CQ36" i="60" s="1"/>
  <c r="AS36" i="60"/>
  <c r="CP36" i="60" s="1"/>
  <c r="AR36" i="60"/>
  <c r="CO36" i="60" s="1"/>
  <c r="AQ36" i="60"/>
  <c r="CN36" i="60" s="1"/>
  <c r="AP36" i="60"/>
  <c r="CM36" i="60" s="1"/>
  <c r="AM36" i="60"/>
  <c r="CJ36" i="60" s="1"/>
  <c r="AT35" i="60"/>
  <c r="CQ35" i="60" s="1"/>
  <c r="AS35" i="60"/>
  <c r="CP35" i="60" s="1"/>
  <c r="AR35" i="60"/>
  <c r="CO35" i="60" s="1"/>
  <c r="AQ35" i="60"/>
  <c r="CN35" i="60" s="1"/>
  <c r="AP35" i="60"/>
  <c r="CM35" i="60" s="1"/>
  <c r="AM35" i="60"/>
  <c r="CJ35" i="60" s="1"/>
  <c r="AT34" i="60"/>
  <c r="CQ34" i="60" s="1"/>
  <c r="AS34" i="60"/>
  <c r="CP34" i="60" s="1"/>
  <c r="AR34" i="60"/>
  <c r="CO34" i="60" s="1"/>
  <c r="AQ34" i="60"/>
  <c r="CN34" i="60" s="1"/>
  <c r="AP34" i="60"/>
  <c r="CM34" i="60" s="1"/>
  <c r="AM34" i="60"/>
  <c r="CJ34" i="60" s="1"/>
  <c r="AT33" i="60"/>
  <c r="CQ33" i="60" s="1"/>
  <c r="AS33" i="60"/>
  <c r="CP33" i="60" s="1"/>
  <c r="AR33" i="60"/>
  <c r="CO33" i="60" s="1"/>
  <c r="AQ33" i="60"/>
  <c r="CN33" i="60" s="1"/>
  <c r="AP33" i="60"/>
  <c r="CM33" i="60" s="1"/>
  <c r="AM33" i="60"/>
  <c r="CJ33" i="60" s="1"/>
  <c r="AT32" i="60"/>
  <c r="CQ32" i="60" s="1"/>
  <c r="AS32" i="60"/>
  <c r="CP32" i="60" s="1"/>
  <c r="AR32" i="60"/>
  <c r="CO32" i="60" s="1"/>
  <c r="AQ32" i="60"/>
  <c r="CN32" i="60" s="1"/>
  <c r="AP32" i="60"/>
  <c r="CM32" i="60" s="1"/>
  <c r="AM32" i="60"/>
  <c r="CJ32" i="60" s="1"/>
  <c r="AT31" i="60"/>
  <c r="CQ31" i="60" s="1"/>
  <c r="AS31" i="60"/>
  <c r="CP31" i="60" s="1"/>
  <c r="AR31" i="60"/>
  <c r="CO31" i="60" s="1"/>
  <c r="AQ31" i="60"/>
  <c r="CN31" i="60" s="1"/>
  <c r="AP31" i="60"/>
  <c r="CM31" i="60" s="1"/>
  <c r="AM31" i="60"/>
  <c r="CJ31" i="60" s="1"/>
  <c r="AT30" i="60"/>
  <c r="CQ30" i="60" s="1"/>
  <c r="AS30" i="60"/>
  <c r="CP30" i="60" s="1"/>
  <c r="AR30" i="60"/>
  <c r="CO30" i="60" s="1"/>
  <c r="AQ30" i="60"/>
  <c r="CN30" i="60" s="1"/>
  <c r="AP30" i="60"/>
  <c r="CM30" i="60" s="1"/>
  <c r="AM30" i="60"/>
  <c r="CJ30" i="60" s="1"/>
  <c r="AT23" i="60"/>
  <c r="AS23" i="60"/>
  <c r="AR23" i="60"/>
  <c r="AQ23" i="60"/>
  <c r="AP23" i="60"/>
  <c r="AM23" i="60"/>
  <c r="AT22" i="60"/>
  <c r="AS22" i="60"/>
  <c r="AR22" i="60"/>
  <c r="AQ22" i="60"/>
  <c r="AP22" i="60"/>
  <c r="AM22" i="60"/>
  <c r="AT21" i="60"/>
  <c r="AS21" i="60"/>
  <c r="AR21" i="60"/>
  <c r="AQ21" i="60"/>
  <c r="AP21" i="60"/>
  <c r="AM21" i="60"/>
  <c r="AT20" i="60"/>
  <c r="AS20" i="60"/>
  <c r="AR20" i="60"/>
  <c r="AQ20" i="60"/>
  <c r="AP20" i="60"/>
  <c r="AM20" i="60"/>
  <c r="AT19" i="60"/>
  <c r="AS19" i="60"/>
  <c r="AR19" i="60"/>
  <c r="AQ19" i="60"/>
  <c r="AP19" i="60"/>
  <c r="AM19" i="60"/>
  <c r="AT18" i="60"/>
  <c r="AS18" i="60"/>
  <c r="AR18" i="60"/>
  <c r="AQ18" i="60"/>
  <c r="AP18" i="60"/>
  <c r="AM18" i="60"/>
  <c r="AT17" i="60"/>
  <c r="AS17" i="60"/>
  <c r="AR17" i="60"/>
  <c r="AQ17" i="60"/>
  <c r="AP17" i="60"/>
  <c r="AM17" i="60"/>
  <c r="AT16" i="60"/>
  <c r="AS16" i="60"/>
  <c r="AR16" i="60"/>
  <c r="AQ16" i="60"/>
  <c r="AP16" i="60"/>
  <c r="AM16" i="60"/>
  <c r="AT15" i="60"/>
  <c r="AS15" i="60"/>
  <c r="AR15" i="60"/>
  <c r="AQ15" i="60"/>
  <c r="AP15" i="60"/>
  <c r="AM15" i="60"/>
  <c r="AP13" i="60"/>
  <c r="AU13" i="60" s="1"/>
  <c r="AQ13" i="60"/>
  <c r="AS13" i="60"/>
  <c r="AT13" i="60"/>
  <c r="AT11" i="60"/>
  <c r="AS11" i="60"/>
  <c r="AR11" i="60"/>
  <c r="AQ11" i="60"/>
  <c r="AP11" i="60"/>
  <c r="AM11" i="60"/>
  <c r="AF61" i="60"/>
  <c r="CC61" i="60" s="1"/>
  <c r="AE61" i="60"/>
  <c r="CB61" i="60" s="1"/>
  <c r="AD61" i="60"/>
  <c r="CA61" i="60" s="1"/>
  <c r="AC61" i="60"/>
  <c r="BZ61" i="60" s="1"/>
  <c r="AB61" i="60"/>
  <c r="BY61" i="60" s="1"/>
  <c r="AF60" i="60"/>
  <c r="CC60" i="60" s="1"/>
  <c r="AE60" i="60"/>
  <c r="CB60" i="60" s="1"/>
  <c r="AD60" i="60"/>
  <c r="CA60" i="60" s="1"/>
  <c r="AC60" i="60"/>
  <c r="BZ60" i="60" s="1"/>
  <c r="AB60" i="60"/>
  <c r="BY60" i="60" s="1"/>
  <c r="AF59" i="60"/>
  <c r="CC59" i="60" s="1"/>
  <c r="AE59" i="60"/>
  <c r="CB59" i="60" s="1"/>
  <c r="AD59" i="60"/>
  <c r="CA59" i="60" s="1"/>
  <c r="AC59" i="60"/>
  <c r="BZ59" i="60" s="1"/>
  <c r="AB59" i="60"/>
  <c r="BY59" i="60" s="1"/>
  <c r="AF58" i="60"/>
  <c r="CC58" i="60" s="1"/>
  <c r="AE58" i="60"/>
  <c r="CB58" i="60" s="1"/>
  <c r="AD58" i="60"/>
  <c r="CA58" i="60" s="1"/>
  <c r="AC58" i="60"/>
  <c r="BZ58" i="60" s="1"/>
  <c r="AB58" i="60"/>
  <c r="BY58" i="60" s="1"/>
  <c r="AF57" i="60"/>
  <c r="CC57" i="60" s="1"/>
  <c r="AE57" i="60"/>
  <c r="CB57" i="60" s="1"/>
  <c r="AD57" i="60"/>
  <c r="CA57" i="60" s="1"/>
  <c r="AC57" i="60"/>
  <c r="BZ57" i="60" s="1"/>
  <c r="AB57" i="60"/>
  <c r="BY57" i="60" s="1"/>
  <c r="AF56" i="60"/>
  <c r="CC56" i="60" s="1"/>
  <c r="AE56" i="60"/>
  <c r="CB56" i="60" s="1"/>
  <c r="AD56" i="60"/>
  <c r="CA56" i="60" s="1"/>
  <c r="AC56" i="60"/>
  <c r="BZ56" i="60" s="1"/>
  <c r="AB56" i="60"/>
  <c r="BY56" i="60" s="1"/>
  <c r="AF55" i="60"/>
  <c r="CC55" i="60" s="1"/>
  <c r="AE55" i="60"/>
  <c r="CB55" i="60" s="1"/>
  <c r="AD55" i="60"/>
  <c r="CA55" i="60" s="1"/>
  <c r="AC55" i="60"/>
  <c r="BZ55" i="60" s="1"/>
  <c r="AB55" i="60"/>
  <c r="BY55" i="60" s="1"/>
  <c r="AF54" i="60"/>
  <c r="CC54" i="60" s="1"/>
  <c r="AE54" i="60"/>
  <c r="CB54" i="60" s="1"/>
  <c r="AD54" i="60"/>
  <c r="CA54" i="60" s="1"/>
  <c r="AC54" i="60"/>
  <c r="BZ54" i="60" s="1"/>
  <c r="AB54" i="60"/>
  <c r="BY54" i="60" s="1"/>
  <c r="AF53" i="60"/>
  <c r="CC53" i="60" s="1"/>
  <c r="AE53" i="60"/>
  <c r="CB53" i="60" s="1"/>
  <c r="AD53" i="60"/>
  <c r="CA53" i="60" s="1"/>
  <c r="AC53" i="60"/>
  <c r="BZ53" i="60" s="1"/>
  <c r="AB53" i="60"/>
  <c r="BY53" i="60" s="1"/>
  <c r="Z61" i="60"/>
  <c r="BW61" i="60" s="1"/>
  <c r="Y61" i="60"/>
  <c r="BV61" i="60" s="1"/>
  <c r="X61" i="60"/>
  <c r="BU61" i="60" s="1"/>
  <c r="W61" i="60"/>
  <c r="BT61" i="60" s="1"/>
  <c r="V61" i="60"/>
  <c r="BS61" i="60" s="1"/>
  <c r="Z60" i="60"/>
  <c r="BW60" i="60" s="1"/>
  <c r="Y60" i="60"/>
  <c r="BV60" i="60" s="1"/>
  <c r="X60" i="60"/>
  <c r="BU60" i="60" s="1"/>
  <c r="W60" i="60"/>
  <c r="BT60" i="60" s="1"/>
  <c r="V60" i="60"/>
  <c r="BS60" i="60" s="1"/>
  <c r="Z59" i="60"/>
  <c r="BW59" i="60" s="1"/>
  <c r="Y59" i="60"/>
  <c r="BV59" i="60" s="1"/>
  <c r="X59" i="60"/>
  <c r="BU59" i="60" s="1"/>
  <c r="W59" i="60"/>
  <c r="BT59" i="60" s="1"/>
  <c r="V59" i="60"/>
  <c r="BS59" i="60" s="1"/>
  <c r="Z58" i="60"/>
  <c r="BW58" i="60" s="1"/>
  <c r="Y58" i="60"/>
  <c r="BV58" i="60" s="1"/>
  <c r="X58" i="60"/>
  <c r="BU58" i="60" s="1"/>
  <c r="W58" i="60"/>
  <c r="BT58" i="60" s="1"/>
  <c r="V58" i="60"/>
  <c r="BS58" i="60" s="1"/>
  <c r="Z57" i="60"/>
  <c r="BW57" i="60" s="1"/>
  <c r="Y57" i="60"/>
  <c r="BV57" i="60" s="1"/>
  <c r="X57" i="60"/>
  <c r="BU57" i="60" s="1"/>
  <c r="W57" i="60"/>
  <c r="BT57" i="60" s="1"/>
  <c r="V57" i="60"/>
  <c r="BS57" i="60" s="1"/>
  <c r="Z56" i="60"/>
  <c r="BW56" i="60" s="1"/>
  <c r="Y56" i="60"/>
  <c r="BV56" i="60" s="1"/>
  <c r="X56" i="60"/>
  <c r="BU56" i="60" s="1"/>
  <c r="W56" i="60"/>
  <c r="BT56" i="60" s="1"/>
  <c r="V56" i="60"/>
  <c r="BS56" i="60" s="1"/>
  <c r="Z55" i="60"/>
  <c r="BW55" i="60" s="1"/>
  <c r="Y55" i="60"/>
  <c r="BV55" i="60" s="1"/>
  <c r="X55" i="60"/>
  <c r="BU55" i="60" s="1"/>
  <c r="W55" i="60"/>
  <c r="BT55" i="60" s="1"/>
  <c r="V55" i="60"/>
  <c r="BS55" i="60" s="1"/>
  <c r="Z54" i="60"/>
  <c r="BW54" i="60" s="1"/>
  <c r="Y54" i="60"/>
  <c r="BV54" i="60" s="1"/>
  <c r="X54" i="60"/>
  <c r="BU54" i="60" s="1"/>
  <c r="W54" i="60"/>
  <c r="BT54" i="60" s="1"/>
  <c r="V54" i="60"/>
  <c r="BS54" i="60" s="1"/>
  <c r="Z53" i="60"/>
  <c r="BW53" i="60" s="1"/>
  <c r="Y53" i="60"/>
  <c r="BV53" i="60" s="1"/>
  <c r="X53" i="60"/>
  <c r="BU53" i="60" s="1"/>
  <c r="W53" i="60"/>
  <c r="BT53" i="60" s="1"/>
  <c r="V53" i="60"/>
  <c r="T61" i="60"/>
  <c r="BQ61" i="60" s="1"/>
  <c r="S61" i="60"/>
  <c r="BP61" i="60" s="1"/>
  <c r="R61" i="60"/>
  <c r="BO61" i="60" s="1"/>
  <c r="Q61" i="60"/>
  <c r="BN61" i="60" s="1"/>
  <c r="P61" i="60"/>
  <c r="BM61" i="60" s="1"/>
  <c r="T60" i="60"/>
  <c r="BQ60" i="60" s="1"/>
  <c r="S60" i="60"/>
  <c r="BP60" i="60" s="1"/>
  <c r="R60" i="60"/>
  <c r="BO60" i="60" s="1"/>
  <c r="Q60" i="60"/>
  <c r="BN60" i="60" s="1"/>
  <c r="P60" i="60"/>
  <c r="BM60" i="60" s="1"/>
  <c r="T59" i="60"/>
  <c r="BQ59" i="60" s="1"/>
  <c r="S59" i="60"/>
  <c r="BP59" i="60" s="1"/>
  <c r="R59" i="60"/>
  <c r="BO59" i="60" s="1"/>
  <c r="Q59" i="60"/>
  <c r="BN59" i="60" s="1"/>
  <c r="P59" i="60"/>
  <c r="BM59" i="60" s="1"/>
  <c r="T58" i="60"/>
  <c r="BQ58" i="60" s="1"/>
  <c r="S58" i="60"/>
  <c r="BP58" i="60" s="1"/>
  <c r="R58" i="60"/>
  <c r="BO58" i="60" s="1"/>
  <c r="Q58" i="60"/>
  <c r="BN58" i="60" s="1"/>
  <c r="P58" i="60"/>
  <c r="BM58" i="60" s="1"/>
  <c r="T57" i="60"/>
  <c r="BQ57" i="60" s="1"/>
  <c r="S57" i="60"/>
  <c r="BP57" i="60" s="1"/>
  <c r="R57" i="60"/>
  <c r="BO57" i="60" s="1"/>
  <c r="Q57" i="60"/>
  <c r="BN57" i="60" s="1"/>
  <c r="P57" i="60"/>
  <c r="BM57" i="60" s="1"/>
  <c r="T56" i="60"/>
  <c r="BQ56" i="60" s="1"/>
  <c r="S56" i="60"/>
  <c r="BP56" i="60" s="1"/>
  <c r="R56" i="60"/>
  <c r="BO56" i="60" s="1"/>
  <c r="Q56" i="60"/>
  <c r="BN56" i="60" s="1"/>
  <c r="P56" i="60"/>
  <c r="BM56" i="60" s="1"/>
  <c r="T55" i="60"/>
  <c r="BQ55" i="60" s="1"/>
  <c r="S55" i="60"/>
  <c r="BP55" i="60" s="1"/>
  <c r="R55" i="60"/>
  <c r="BO55" i="60" s="1"/>
  <c r="Q55" i="60"/>
  <c r="BN55" i="60" s="1"/>
  <c r="P55" i="60"/>
  <c r="BM55" i="60" s="1"/>
  <c r="T54" i="60"/>
  <c r="BQ54" i="60" s="1"/>
  <c r="S54" i="60"/>
  <c r="BP54" i="60" s="1"/>
  <c r="R54" i="60"/>
  <c r="BO54" i="60" s="1"/>
  <c r="Q54" i="60"/>
  <c r="BN54" i="60" s="1"/>
  <c r="P54" i="60"/>
  <c r="BM54" i="60" s="1"/>
  <c r="T53" i="60"/>
  <c r="BQ53" i="60" s="1"/>
  <c r="S53" i="60"/>
  <c r="BP53" i="60" s="1"/>
  <c r="R53" i="60"/>
  <c r="BO53" i="60" s="1"/>
  <c r="P53" i="60"/>
  <c r="BM53" i="60" s="1"/>
  <c r="N61" i="60"/>
  <c r="BK61" i="60" s="1"/>
  <c r="M61" i="60"/>
  <c r="BJ61" i="60" s="1"/>
  <c r="L61" i="60"/>
  <c r="BI61" i="60" s="1"/>
  <c r="K61" i="60"/>
  <c r="BH61" i="60" s="1"/>
  <c r="J61" i="60"/>
  <c r="BG61" i="60" s="1"/>
  <c r="N60" i="60"/>
  <c r="BK60" i="60" s="1"/>
  <c r="M60" i="60"/>
  <c r="BJ60" i="60" s="1"/>
  <c r="L60" i="60"/>
  <c r="BI60" i="60" s="1"/>
  <c r="K60" i="60"/>
  <c r="BH60" i="60" s="1"/>
  <c r="J60" i="60"/>
  <c r="N59" i="60"/>
  <c r="BK59" i="60" s="1"/>
  <c r="M59" i="60"/>
  <c r="BJ59" i="60" s="1"/>
  <c r="L59" i="60"/>
  <c r="BI59" i="60" s="1"/>
  <c r="K59" i="60"/>
  <c r="BH59" i="60" s="1"/>
  <c r="J59" i="60"/>
  <c r="BG59" i="60" s="1"/>
  <c r="N58" i="60"/>
  <c r="BK58" i="60" s="1"/>
  <c r="M58" i="60"/>
  <c r="BJ58" i="60" s="1"/>
  <c r="L58" i="60"/>
  <c r="BI58" i="60" s="1"/>
  <c r="K58" i="60"/>
  <c r="BH58" i="60" s="1"/>
  <c r="J58" i="60"/>
  <c r="N57" i="60"/>
  <c r="BK57" i="60" s="1"/>
  <c r="M57" i="60"/>
  <c r="BJ57" i="60" s="1"/>
  <c r="L57" i="60"/>
  <c r="BI57" i="60" s="1"/>
  <c r="K57" i="60"/>
  <c r="BH57" i="60" s="1"/>
  <c r="J57" i="60"/>
  <c r="N56" i="60"/>
  <c r="BK56" i="60" s="1"/>
  <c r="M56" i="60"/>
  <c r="BJ56" i="60" s="1"/>
  <c r="L56" i="60"/>
  <c r="BI56" i="60" s="1"/>
  <c r="K56" i="60"/>
  <c r="BH56" i="60" s="1"/>
  <c r="J56" i="60"/>
  <c r="BG56" i="60" s="1"/>
  <c r="N55" i="60"/>
  <c r="BK55" i="60" s="1"/>
  <c r="M55" i="60"/>
  <c r="BJ55" i="60" s="1"/>
  <c r="L55" i="60"/>
  <c r="BI55" i="60" s="1"/>
  <c r="K55" i="60"/>
  <c r="BH55" i="60" s="1"/>
  <c r="J55" i="60"/>
  <c r="N54" i="60"/>
  <c r="BK54" i="60" s="1"/>
  <c r="M54" i="60"/>
  <c r="BJ54" i="60" s="1"/>
  <c r="L54" i="60"/>
  <c r="BI54" i="60" s="1"/>
  <c r="K54" i="60"/>
  <c r="BH54" i="60" s="1"/>
  <c r="J54" i="60"/>
  <c r="BG54" i="60" s="1"/>
  <c r="N53" i="60"/>
  <c r="BK53" i="60" s="1"/>
  <c r="M53" i="60"/>
  <c r="BJ53" i="60" s="1"/>
  <c r="L53" i="60"/>
  <c r="BI53" i="60" s="1"/>
  <c r="K53" i="60"/>
  <c r="BH53" i="60" s="1"/>
  <c r="J53" i="60"/>
  <c r="BG53" i="60" s="1"/>
  <c r="D54" i="60"/>
  <c r="BA54" i="60" s="1"/>
  <c r="E54" i="60"/>
  <c r="BB54" i="60" s="1"/>
  <c r="F54" i="60"/>
  <c r="BC54" i="60" s="1"/>
  <c r="G54" i="60"/>
  <c r="BD54" i="60" s="1"/>
  <c r="H54" i="60"/>
  <c r="BE54" i="60" s="1"/>
  <c r="D55" i="60"/>
  <c r="BA55" i="60" s="1"/>
  <c r="E55" i="60"/>
  <c r="BB55" i="60" s="1"/>
  <c r="F55" i="60"/>
  <c r="BC55" i="60" s="1"/>
  <c r="G55" i="60"/>
  <c r="BD55" i="60" s="1"/>
  <c r="H55" i="60"/>
  <c r="BE55" i="60" s="1"/>
  <c r="D56" i="60"/>
  <c r="E56" i="60"/>
  <c r="BB56" i="60" s="1"/>
  <c r="F56" i="60"/>
  <c r="BC56" i="60" s="1"/>
  <c r="G56" i="60"/>
  <c r="BD56" i="60" s="1"/>
  <c r="H56" i="60"/>
  <c r="BE56" i="60" s="1"/>
  <c r="D57" i="60"/>
  <c r="BA57" i="60" s="1"/>
  <c r="E57" i="60"/>
  <c r="BB57" i="60" s="1"/>
  <c r="F57" i="60"/>
  <c r="BC57" i="60" s="1"/>
  <c r="G57" i="60"/>
  <c r="BD57" i="60" s="1"/>
  <c r="H57" i="60"/>
  <c r="BE57" i="60" s="1"/>
  <c r="D58" i="60"/>
  <c r="BA58" i="60" s="1"/>
  <c r="E58" i="60"/>
  <c r="BB58" i="60" s="1"/>
  <c r="F58" i="60"/>
  <c r="BC58" i="60" s="1"/>
  <c r="G58" i="60"/>
  <c r="BD58" i="60" s="1"/>
  <c r="H58" i="60"/>
  <c r="BE58" i="60" s="1"/>
  <c r="D59" i="60"/>
  <c r="BA59" i="60" s="1"/>
  <c r="E59" i="60"/>
  <c r="BB59" i="60" s="1"/>
  <c r="F59" i="60"/>
  <c r="BC59" i="60" s="1"/>
  <c r="G59" i="60"/>
  <c r="BD59" i="60" s="1"/>
  <c r="H59" i="60"/>
  <c r="BE59" i="60" s="1"/>
  <c r="D60" i="60"/>
  <c r="E60" i="60"/>
  <c r="BB60" i="60" s="1"/>
  <c r="F60" i="60"/>
  <c r="BC60" i="60" s="1"/>
  <c r="G60" i="60"/>
  <c r="BD60" i="60" s="1"/>
  <c r="H60" i="60"/>
  <c r="BE60" i="60" s="1"/>
  <c r="D61" i="60"/>
  <c r="BA61" i="60" s="1"/>
  <c r="E61" i="60"/>
  <c r="BB61" i="60" s="1"/>
  <c r="F61" i="60"/>
  <c r="BC61" i="60" s="1"/>
  <c r="G61" i="60"/>
  <c r="BD61" i="60" s="1"/>
  <c r="H61" i="60"/>
  <c r="BE61" i="60" s="1"/>
  <c r="H53" i="60"/>
  <c r="BE53" i="60" s="1"/>
  <c r="G53" i="60"/>
  <c r="BD53" i="60" s="1"/>
  <c r="F53" i="60"/>
  <c r="BC53" i="60" s="1"/>
  <c r="E53" i="60"/>
  <c r="BB53" i="60" s="1"/>
  <c r="AM66" i="60"/>
  <c r="AP66" i="60"/>
  <c r="AQ66" i="60"/>
  <c r="AR66" i="60"/>
  <c r="AS66" i="60"/>
  <c r="AT66" i="60"/>
  <c r="AM67" i="60"/>
  <c r="CJ67" i="60" s="1"/>
  <c r="AP67" i="60"/>
  <c r="CM67" i="60" s="1"/>
  <c r="AQ67" i="60"/>
  <c r="CN67" i="60" s="1"/>
  <c r="AR67" i="60"/>
  <c r="CO67" i="60" s="1"/>
  <c r="AS67" i="60"/>
  <c r="CP67" i="60" s="1"/>
  <c r="AT67" i="60"/>
  <c r="CQ67" i="60" s="1"/>
  <c r="AM68" i="60"/>
  <c r="CJ68" i="60" s="1"/>
  <c r="AP68" i="60"/>
  <c r="CM68" i="60" s="1"/>
  <c r="AQ68" i="60"/>
  <c r="CN68" i="60" s="1"/>
  <c r="AR68" i="60"/>
  <c r="CO68" i="60" s="1"/>
  <c r="AS68" i="60"/>
  <c r="CP68" i="60" s="1"/>
  <c r="AT68" i="60"/>
  <c r="CQ68" i="60" s="1"/>
  <c r="AM65" i="60"/>
  <c r="CI69" i="60"/>
  <c r="AK69" i="60"/>
  <c r="CH69" i="60" s="1"/>
  <c r="AJ69" i="60"/>
  <c r="CG69" i="60" s="1"/>
  <c r="AI69" i="60"/>
  <c r="CF69" i="60" s="1"/>
  <c r="AH69" i="60"/>
  <c r="CE69" i="60" s="1"/>
  <c r="AG69" i="60"/>
  <c r="CD69" i="60" s="1"/>
  <c r="AF69" i="60"/>
  <c r="CC69" i="60" s="1"/>
  <c r="AE69" i="60"/>
  <c r="CB69" i="60" s="1"/>
  <c r="AD69" i="60"/>
  <c r="CA69" i="60" s="1"/>
  <c r="AC69" i="60"/>
  <c r="BZ69" i="60" s="1"/>
  <c r="AB69" i="60"/>
  <c r="BY69" i="60" s="1"/>
  <c r="AA69" i="60"/>
  <c r="BX69" i="60" s="1"/>
  <c r="Z69" i="60"/>
  <c r="BW69" i="60" s="1"/>
  <c r="Y69" i="60"/>
  <c r="BV69" i="60" s="1"/>
  <c r="X69" i="60"/>
  <c r="BU69" i="60" s="1"/>
  <c r="W69" i="60"/>
  <c r="BT69" i="60" s="1"/>
  <c r="V69" i="60"/>
  <c r="BS69" i="60" s="1"/>
  <c r="U69" i="60"/>
  <c r="BR69" i="60" s="1"/>
  <c r="T69" i="60"/>
  <c r="BQ69" i="60" s="1"/>
  <c r="S69" i="60"/>
  <c r="BP69" i="60" s="1"/>
  <c r="R69" i="60"/>
  <c r="BO69" i="60" s="1"/>
  <c r="Q69" i="60"/>
  <c r="BN69" i="60" s="1"/>
  <c r="P69" i="60"/>
  <c r="BM69" i="60" s="1"/>
  <c r="O69" i="60"/>
  <c r="BL69" i="60" s="1"/>
  <c r="N69" i="60"/>
  <c r="BK69" i="60" s="1"/>
  <c r="M69" i="60"/>
  <c r="BJ69" i="60" s="1"/>
  <c r="L69" i="60"/>
  <c r="BI69" i="60" s="1"/>
  <c r="K69" i="60"/>
  <c r="BH69" i="60" s="1"/>
  <c r="J69" i="60"/>
  <c r="BG69" i="60" s="1"/>
  <c r="I69" i="60"/>
  <c r="BF69" i="60" s="1"/>
  <c r="H69" i="60"/>
  <c r="BE69" i="60" s="1"/>
  <c r="G69" i="60"/>
  <c r="BD69" i="60" s="1"/>
  <c r="F69" i="60"/>
  <c r="BC69" i="60" s="1"/>
  <c r="E69" i="60"/>
  <c r="BB69" i="60" s="1"/>
  <c r="D69" i="60"/>
  <c r="BA69" i="60" s="1"/>
  <c r="C97" i="73"/>
  <c r="BH87" i="53"/>
  <c r="DJ87" i="53" s="1"/>
  <c r="BG87" i="53"/>
  <c r="DI87" i="53" s="1"/>
  <c r="BF87" i="53"/>
  <c r="DH87" i="53" s="1"/>
  <c r="BE87" i="53"/>
  <c r="DG87" i="53" s="1"/>
  <c r="BD87" i="53"/>
  <c r="DF87" i="53" s="1"/>
  <c r="BC87" i="53"/>
  <c r="DE87" i="53" s="1"/>
  <c r="BH86" i="53"/>
  <c r="DJ86" i="53" s="1"/>
  <c r="BG86" i="53"/>
  <c r="DI86" i="53" s="1"/>
  <c r="BF86" i="53"/>
  <c r="DH86" i="53" s="1"/>
  <c r="BE86" i="53"/>
  <c r="DG86" i="53" s="1"/>
  <c r="BD86" i="53"/>
  <c r="DF86" i="53" s="1"/>
  <c r="BH85" i="53"/>
  <c r="DJ85" i="53" s="1"/>
  <c r="BG85" i="53"/>
  <c r="DI85" i="53" s="1"/>
  <c r="BF85" i="53"/>
  <c r="DH85" i="53" s="1"/>
  <c r="BE85" i="53"/>
  <c r="DG85" i="53" s="1"/>
  <c r="BD85" i="53"/>
  <c r="DF85" i="53" s="1"/>
  <c r="BC85" i="53"/>
  <c r="DE85" i="53" s="1"/>
  <c r="BH84" i="53"/>
  <c r="DJ84" i="53" s="1"/>
  <c r="BG84" i="53"/>
  <c r="DI84" i="53" s="1"/>
  <c r="BF84" i="53"/>
  <c r="DH84" i="53" s="1"/>
  <c r="BE84" i="53"/>
  <c r="DG84" i="53" s="1"/>
  <c r="BD84" i="53"/>
  <c r="DF84" i="53" s="1"/>
  <c r="BC84" i="53"/>
  <c r="DE84" i="53" s="1"/>
  <c r="BH82" i="53"/>
  <c r="DJ82" i="53" s="1"/>
  <c r="BG82" i="53"/>
  <c r="DI82" i="53" s="1"/>
  <c r="BF82" i="53"/>
  <c r="DH82" i="53" s="1"/>
  <c r="BE82" i="53"/>
  <c r="DG82" i="53" s="1"/>
  <c r="BD82" i="53"/>
  <c r="DF82" i="53" s="1"/>
  <c r="BC82" i="53"/>
  <c r="DE82" i="53" s="1"/>
  <c r="BH81" i="53"/>
  <c r="DJ81" i="53" s="1"/>
  <c r="BG81" i="53"/>
  <c r="DI81" i="53" s="1"/>
  <c r="BF81" i="53"/>
  <c r="DH81" i="53" s="1"/>
  <c r="BE81" i="53"/>
  <c r="DG81" i="53" s="1"/>
  <c r="BD81" i="53"/>
  <c r="DF81" i="53" s="1"/>
  <c r="BC81" i="53"/>
  <c r="DE81" i="53" s="1"/>
  <c r="BH80" i="53"/>
  <c r="DJ80" i="53" s="1"/>
  <c r="BG80" i="53"/>
  <c r="DI80" i="53" s="1"/>
  <c r="BF80" i="53"/>
  <c r="DH80" i="53" s="1"/>
  <c r="BE80" i="53"/>
  <c r="DG80" i="53" s="1"/>
  <c r="BD80" i="53"/>
  <c r="DF80" i="53" s="1"/>
  <c r="BC80" i="53"/>
  <c r="DE80" i="53" s="1"/>
  <c r="BH79" i="53"/>
  <c r="DJ79" i="53" s="1"/>
  <c r="BG79" i="53"/>
  <c r="DI79" i="53" s="1"/>
  <c r="BF79" i="53"/>
  <c r="DH79" i="53" s="1"/>
  <c r="BE79" i="53"/>
  <c r="DG79" i="53" s="1"/>
  <c r="BD79" i="53"/>
  <c r="DF79" i="53" s="1"/>
  <c r="BC79" i="53"/>
  <c r="DE79" i="53" s="1"/>
  <c r="BH78" i="53"/>
  <c r="DJ78" i="53" s="1"/>
  <c r="BG78" i="53"/>
  <c r="DI78" i="53" s="1"/>
  <c r="BF78" i="53"/>
  <c r="DH78" i="53" s="1"/>
  <c r="BE78" i="53"/>
  <c r="DG78" i="53" s="1"/>
  <c r="BD78" i="53"/>
  <c r="DF78" i="53" s="1"/>
  <c r="BC78" i="53"/>
  <c r="DE78" i="53" s="1"/>
  <c r="BH77" i="53"/>
  <c r="DJ77" i="53" s="1"/>
  <c r="BG77" i="53"/>
  <c r="DI77" i="53" s="1"/>
  <c r="BF77" i="53"/>
  <c r="DH77" i="53" s="1"/>
  <c r="BE77" i="53"/>
  <c r="DG77" i="53" s="1"/>
  <c r="BD77" i="53"/>
  <c r="DF77" i="53" s="1"/>
  <c r="BC77" i="53"/>
  <c r="DE77" i="53" s="1"/>
  <c r="BH75" i="53"/>
  <c r="DJ75" i="53" s="1"/>
  <c r="BG75" i="53"/>
  <c r="DI75" i="53" s="1"/>
  <c r="BF75" i="53"/>
  <c r="DH75" i="53" s="1"/>
  <c r="BE75" i="53"/>
  <c r="DG75" i="53" s="1"/>
  <c r="BD75" i="53"/>
  <c r="DF75" i="53" s="1"/>
  <c r="BC75" i="53"/>
  <c r="DE75" i="53" s="1"/>
  <c r="BH73" i="53"/>
  <c r="DJ73" i="53" s="1"/>
  <c r="BG73" i="53"/>
  <c r="DI73" i="53" s="1"/>
  <c r="BF73" i="53"/>
  <c r="DH73" i="53" s="1"/>
  <c r="BE73" i="53"/>
  <c r="DG73" i="53" s="1"/>
  <c r="BD73" i="53"/>
  <c r="DF73" i="53" s="1"/>
  <c r="BC73" i="53"/>
  <c r="DE73" i="53" s="1"/>
  <c r="BH71" i="53"/>
  <c r="DJ71" i="53" s="1"/>
  <c r="BG71" i="53"/>
  <c r="DI71" i="53" s="1"/>
  <c r="BF71" i="53"/>
  <c r="DH71" i="53" s="1"/>
  <c r="BE71" i="53"/>
  <c r="DG71" i="53" s="1"/>
  <c r="BD71" i="53"/>
  <c r="DF71" i="53" s="1"/>
  <c r="BC71" i="53"/>
  <c r="DE71" i="53" s="1"/>
  <c r="BH62" i="53"/>
  <c r="DJ62" i="53" s="1"/>
  <c r="BG62" i="53"/>
  <c r="DI62" i="53" s="1"/>
  <c r="BF62" i="53"/>
  <c r="DH62" i="53" s="1"/>
  <c r="BE62" i="53"/>
  <c r="DG62" i="53" s="1"/>
  <c r="BD62" i="53"/>
  <c r="DF62" i="53" s="1"/>
  <c r="BC62" i="53"/>
  <c r="DE62" i="53" s="1"/>
  <c r="BH54" i="53"/>
  <c r="DJ54" i="53" s="1"/>
  <c r="BG54" i="53"/>
  <c r="DI54" i="53" s="1"/>
  <c r="BF54" i="53"/>
  <c r="DH54" i="53" s="1"/>
  <c r="BE54" i="53"/>
  <c r="DG54" i="53" s="1"/>
  <c r="BD54" i="53"/>
  <c r="DF54" i="53" s="1"/>
  <c r="BC54" i="53"/>
  <c r="DE54" i="53" s="1"/>
  <c r="BH53" i="53"/>
  <c r="DJ53" i="53" s="1"/>
  <c r="BG53" i="53"/>
  <c r="DI53" i="53" s="1"/>
  <c r="BF53" i="53"/>
  <c r="DH53" i="53" s="1"/>
  <c r="BE53" i="53"/>
  <c r="DG53" i="53" s="1"/>
  <c r="BD53" i="53"/>
  <c r="DF53" i="53" s="1"/>
  <c r="BC53" i="53"/>
  <c r="DE53" i="53" s="1"/>
  <c r="BH52" i="53"/>
  <c r="DJ52" i="53" s="1"/>
  <c r="BG52" i="53"/>
  <c r="DI52" i="53" s="1"/>
  <c r="BF52" i="53"/>
  <c r="DH52" i="53" s="1"/>
  <c r="BE52" i="53"/>
  <c r="DG52" i="53" s="1"/>
  <c r="BD52" i="53"/>
  <c r="DF52" i="53" s="1"/>
  <c r="BC52" i="53"/>
  <c r="DE52" i="53" s="1"/>
  <c r="BH47" i="53"/>
  <c r="DJ47" i="53" s="1"/>
  <c r="BG47" i="53"/>
  <c r="DI47" i="53" s="1"/>
  <c r="BF47" i="53"/>
  <c r="DH47" i="53" s="1"/>
  <c r="BE47" i="53"/>
  <c r="DG47" i="53" s="1"/>
  <c r="BD47" i="53"/>
  <c r="DF47" i="53" s="1"/>
  <c r="BC47" i="53"/>
  <c r="DE47" i="53" s="1"/>
  <c r="BH46" i="53"/>
  <c r="DJ46" i="53" s="1"/>
  <c r="BG46" i="53"/>
  <c r="DI46" i="53" s="1"/>
  <c r="BF46" i="53"/>
  <c r="DH46" i="53" s="1"/>
  <c r="BE46" i="53"/>
  <c r="DG46" i="53" s="1"/>
  <c r="BD46" i="53"/>
  <c r="DF46" i="53" s="1"/>
  <c r="BC46" i="53"/>
  <c r="DE46" i="53" s="1"/>
  <c r="BH45" i="53"/>
  <c r="DJ45" i="53" s="1"/>
  <c r="BG45" i="53"/>
  <c r="DI45" i="53" s="1"/>
  <c r="BF45" i="53"/>
  <c r="DH45" i="53" s="1"/>
  <c r="BE45" i="53"/>
  <c r="DG45" i="53" s="1"/>
  <c r="BD45" i="53"/>
  <c r="DF45" i="53" s="1"/>
  <c r="BC45" i="53"/>
  <c r="DE45" i="53" s="1"/>
  <c r="BH44" i="53"/>
  <c r="DJ44" i="53" s="1"/>
  <c r="BG44" i="53"/>
  <c r="DI44" i="53" s="1"/>
  <c r="BF44" i="53"/>
  <c r="DH44" i="53" s="1"/>
  <c r="BE44" i="53"/>
  <c r="DG44" i="53" s="1"/>
  <c r="BD44" i="53"/>
  <c r="DF44" i="53" s="1"/>
  <c r="BC44" i="53"/>
  <c r="DE44" i="53" s="1"/>
  <c r="BH43" i="53"/>
  <c r="DJ43" i="53" s="1"/>
  <c r="BG43" i="53"/>
  <c r="DI43" i="53" s="1"/>
  <c r="BF43" i="53"/>
  <c r="DH43" i="53" s="1"/>
  <c r="BE43" i="53"/>
  <c r="DG43" i="53" s="1"/>
  <c r="BD43" i="53"/>
  <c r="DF43" i="53" s="1"/>
  <c r="BC43" i="53"/>
  <c r="DE43" i="53" s="1"/>
  <c r="BH42" i="53"/>
  <c r="DJ42" i="53" s="1"/>
  <c r="BG42" i="53"/>
  <c r="DI42" i="53" s="1"/>
  <c r="BF42" i="53"/>
  <c r="DH42" i="53" s="1"/>
  <c r="BE42" i="53"/>
  <c r="DG42" i="53" s="1"/>
  <c r="BD42" i="53"/>
  <c r="DF42" i="53" s="1"/>
  <c r="BC42" i="53"/>
  <c r="DE42" i="53" s="1"/>
  <c r="BH41" i="53"/>
  <c r="DJ41" i="53" s="1"/>
  <c r="BG41" i="53"/>
  <c r="DI41" i="53" s="1"/>
  <c r="BF41" i="53"/>
  <c r="DH41" i="53" s="1"/>
  <c r="BE41" i="53"/>
  <c r="DG41" i="53" s="1"/>
  <c r="BD41" i="53"/>
  <c r="DF41" i="53" s="1"/>
  <c r="BC41" i="53"/>
  <c r="DE41" i="53" s="1"/>
  <c r="BH40" i="53"/>
  <c r="DJ40" i="53" s="1"/>
  <c r="BG40" i="53"/>
  <c r="DI40" i="53" s="1"/>
  <c r="BF40" i="53"/>
  <c r="DH40" i="53" s="1"/>
  <c r="BE40" i="53"/>
  <c r="DG40" i="53" s="1"/>
  <c r="BD40" i="53"/>
  <c r="DF40" i="53" s="1"/>
  <c r="BC40" i="53"/>
  <c r="DE40" i="53" s="1"/>
  <c r="BH39" i="53"/>
  <c r="DJ39" i="53" s="1"/>
  <c r="BG39" i="53"/>
  <c r="DI39" i="53" s="1"/>
  <c r="BF39" i="53"/>
  <c r="DH39" i="53" s="1"/>
  <c r="BE39" i="53"/>
  <c r="DG39" i="53" s="1"/>
  <c r="BD39" i="53"/>
  <c r="DF39" i="53" s="1"/>
  <c r="BC39" i="53"/>
  <c r="DE39" i="53" s="1"/>
  <c r="BH37" i="53"/>
  <c r="DJ37" i="53" s="1"/>
  <c r="BG37" i="53"/>
  <c r="DI37" i="53" s="1"/>
  <c r="BF37" i="53"/>
  <c r="DH37" i="53" s="1"/>
  <c r="BE37" i="53"/>
  <c r="DG37" i="53" s="1"/>
  <c r="BD37" i="53"/>
  <c r="DF37" i="53" s="1"/>
  <c r="BC37" i="53"/>
  <c r="DE37" i="53" s="1"/>
  <c r="BH36" i="53"/>
  <c r="DJ36" i="53" s="1"/>
  <c r="BG36" i="53"/>
  <c r="DI36" i="53" s="1"/>
  <c r="BF36" i="53"/>
  <c r="DH36" i="53" s="1"/>
  <c r="BE36" i="53"/>
  <c r="DG36" i="53" s="1"/>
  <c r="BD36" i="53"/>
  <c r="DF36" i="53" s="1"/>
  <c r="BC36" i="53"/>
  <c r="DE36" i="53" s="1"/>
  <c r="BH35" i="53"/>
  <c r="DJ35" i="53" s="1"/>
  <c r="BG35" i="53"/>
  <c r="DI35" i="53" s="1"/>
  <c r="BF35" i="53"/>
  <c r="DH35" i="53" s="1"/>
  <c r="BE35" i="53"/>
  <c r="DG35" i="53" s="1"/>
  <c r="BD35" i="53"/>
  <c r="DF35" i="53" s="1"/>
  <c r="BC35" i="53"/>
  <c r="DE35" i="53" s="1"/>
  <c r="BH34" i="53"/>
  <c r="DJ34" i="53" s="1"/>
  <c r="BG34" i="53"/>
  <c r="DI34" i="53" s="1"/>
  <c r="BF34" i="53"/>
  <c r="DH34" i="53" s="1"/>
  <c r="BE34" i="53"/>
  <c r="DG34" i="53" s="1"/>
  <c r="BD34" i="53"/>
  <c r="DF34" i="53" s="1"/>
  <c r="BC34" i="53"/>
  <c r="DE34" i="53" s="1"/>
  <c r="BH33" i="53"/>
  <c r="DJ33" i="53" s="1"/>
  <c r="BG33" i="53"/>
  <c r="DI33" i="53" s="1"/>
  <c r="BF33" i="53"/>
  <c r="DH33" i="53" s="1"/>
  <c r="BE33" i="53"/>
  <c r="DG33" i="53" s="1"/>
  <c r="BD33" i="53"/>
  <c r="DF33" i="53" s="1"/>
  <c r="BC33" i="53"/>
  <c r="DE33" i="53" s="1"/>
  <c r="BH32" i="53"/>
  <c r="DJ32" i="53" s="1"/>
  <c r="BG32" i="53"/>
  <c r="DI32" i="53" s="1"/>
  <c r="BF32" i="53"/>
  <c r="DH32" i="53" s="1"/>
  <c r="BE32" i="53"/>
  <c r="DG32" i="53" s="1"/>
  <c r="BD32" i="53"/>
  <c r="DF32" i="53" s="1"/>
  <c r="BC32" i="53"/>
  <c r="DE32" i="53" s="1"/>
  <c r="BH31" i="53"/>
  <c r="DJ31" i="53" s="1"/>
  <c r="BG31" i="53"/>
  <c r="DI31" i="53" s="1"/>
  <c r="BF31" i="53"/>
  <c r="DH31" i="53" s="1"/>
  <c r="BE31" i="53"/>
  <c r="DG31" i="53" s="1"/>
  <c r="BD31" i="53"/>
  <c r="DF31" i="53" s="1"/>
  <c r="BC31" i="53"/>
  <c r="DE31" i="53" s="1"/>
  <c r="BH30" i="53"/>
  <c r="DJ30" i="53" s="1"/>
  <c r="BG30" i="53"/>
  <c r="DI30" i="53" s="1"/>
  <c r="BF30" i="53"/>
  <c r="DH30" i="53" s="1"/>
  <c r="BE30" i="53"/>
  <c r="DG30" i="53" s="1"/>
  <c r="BD30" i="53"/>
  <c r="DF30" i="53" s="1"/>
  <c r="BC30" i="53"/>
  <c r="DE30" i="53" s="1"/>
  <c r="BH27" i="53"/>
  <c r="DJ27" i="53" s="1"/>
  <c r="BG27" i="53"/>
  <c r="DI27" i="53" s="1"/>
  <c r="BF27" i="53"/>
  <c r="DH27" i="53" s="1"/>
  <c r="BE27" i="53"/>
  <c r="DG27" i="53" s="1"/>
  <c r="BD27" i="53"/>
  <c r="DF27" i="53" s="1"/>
  <c r="BC27" i="53"/>
  <c r="DE27" i="53" s="1"/>
  <c r="BH26" i="53"/>
  <c r="DJ26" i="53" s="1"/>
  <c r="BG26" i="53"/>
  <c r="DI26" i="53" s="1"/>
  <c r="BF26" i="53"/>
  <c r="DH26" i="53" s="1"/>
  <c r="BE26" i="53"/>
  <c r="DG26" i="53" s="1"/>
  <c r="BD26" i="53"/>
  <c r="DF26" i="53" s="1"/>
  <c r="BC26" i="53"/>
  <c r="DE26" i="53" s="1"/>
  <c r="BH23" i="53"/>
  <c r="DJ23" i="53" s="1"/>
  <c r="BG23" i="53"/>
  <c r="DI23" i="53" s="1"/>
  <c r="BF23" i="53"/>
  <c r="DH23" i="53" s="1"/>
  <c r="BE23" i="53"/>
  <c r="DG23" i="53" s="1"/>
  <c r="BD23" i="53"/>
  <c r="DF23" i="53" s="1"/>
  <c r="BC23" i="53"/>
  <c r="DE23" i="53" s="1"/>
  <c r="BH22" i="53"/>
  <c r="DJ22" i="53" s="1"/>
  <c r="BG22" i="53"/>
  <c r="DI22" i="53" s="1"/>
  <c r="BF22" i="53"/>
  <c r="DH22" i="53" s="1"/>
  <c r="BE22" i="53"/>
  <c r="DG22" i="53" s="1"/>
  <c r="BD22" i="53"/>
  <c r="DF22" i="53" s="1"/>
  <c r="BC22" i="53"/>
  <c r="DE22" i="53" s="1"/>
  <c r="BH20" i="53"/>
  <c r="DJ20" i="53" s="1"/>
  <c r="BG20" i="53"/>
  <c r="DI20" i="53" s="1"/>
  <c r="BF20" i="53"/>
  <c r="DH20" i="53" s="1"/>
  <c r="BE20" i="53"/>
  <c r="DG20" i="53" s="1"/>
  <c r="BD20" i="53"/>
  <c r="DF20" i="53" s="1"/>
  <c r="BC20" i="53"/>
  <c r="DE20" i="53" s="1"/>
  <c r="BH19" i="53"/>
  <c r="DJ19" i="53" s="1"/>
  <c r="BG19" i="53"/>
  <c r="DI19" i="53" s="1"/>
  <c r="BF19" i="53"/>
  <c r="DH19" i="53" s="1"/>
  <c r="BE19" i="53"/>
  <c r="DG19" i="53" s="1"/>
  <c r="BD19" i="53"/>
  <c r="DF19" i="53" s="1"/>
  <c r="BC19" i="53"/>
  <c r="DE19" i="53" s="1"/>
  <c r="BH16" i="53"/>
  <c r="DJ16" i="53" s="1"/>
  <c r="BG16" i="53"/>
  <c r="DI16" i="53" s="1"/>
  <c r="BF16" i="53"/>
  <c r="DH16" i="53" s="1"/>
  <c r="BE16" i="53"/>
  <c r="DG16" i="53" s="1"/>
  <c r="BD16" i="53"/>
  <c r="DF16" i="53" s="1"/>
  <c r="BC16" i="53"/>
  <c r="DE16" i="53" s="1"/>
  <c r="BH15" i="53"/>
  <c r="DJ15" i="53" s="1"/>
  <c r="BG15" i="53"/>
  <c r="DI15" i="53" s="1"/>
  <c r="BF15" i="53"/>
  <c r="DH15" i="53" s="1"/>
  <c r="BE15" i="53"/>
  <c r="DG15" i="53" s="1"/>
  <c r="BD15" i="53"/>
  <c r="DF15" i="53" s="1"/>
  <c r="BC15" i="53"/>
  <c r="DE15" i="53" s="1"/>
  <c r="BH14" i="53"/>
  <c r="DJ14" i="53" s="1"/>
  <c r="BG14" i="53"/>
  <c r="DI14" i="53" s="1"/>
  <c r="BF14" i="53"/>
  <c r="DH14" i="53" s="1"/>
  <c r="BE14" i="53"/>
  <c r="DG14" i="53" s="1"/>
  <c r="BD14" i="53"/>
  <c r="DF14" i="53" s="1"/>
  <c r="BC14" i="53"/>
  <c r="DE14" i="53" s="1"/>
  <c r="BH13" i="53"/>
  <c r="DJ13" i="53" s="1"/>
  <c r="BG13" i="53"/>
  <c r="DI13" i="53" s="1"/>
  <c r="BF13" i="53"/>
  <c r="DH13" i="53" s="1"/>
  <c r="BE13" i="53"/>
  <c r="DG13" i="53" s="1"/>
  <c r="BD13" i="53"/>
  <c r="DF13" i="53" s="1"/>
  <c r="BC13" i="53"/>
  <c r="DE13" i="53" s="1"/>
  <c r="BB87" i="53"/>
  <c r="DD87" i="53" s="1"/>
  <c r="BA87" i="53"/>
  <c r="DC87" i="53" s="1"/>
  <c r="AZ87" i="53"/>
  <c r="DB87" i="53" s="1"/>
  <c r="AY87" i="53"/>
  <c r="DA87" i="53" s="1"/>
  <c r="AX87" i="53"/>
  <c r="CZ87" i="53" s="1"/>
  <c r="AW87" i="53"/>
  <c r="CY87" i="53" s="1"/>
  <c r="BB86" i="53"/>
  <c r="DD86" i="53" s="1"/>
  <c r="BA86" i="53"/>
  <c r="DC86" i="53" s="1"/>
  <c r="AZ86" i="53"/>
  <c r="DB86" i="53" s="1"/>
  <c r="AY86" i="53"/>
  <c r="DA86" i="53" s="1"/>
  <c r="AX86" i="53"/>
  <c r="CZ86" i="53" s="1"/>
  <c r="AW86" i="53"/>
  <c r="CY86" i="53" s="1"/>
  <c r="BB85" i="53"/>
  <c r="DD85" i="53" s="1"/>
  <c r="BA85" i="53"/>
  <c r="DC85" i="53" s="1"/>
  <c r="AZ85" i="53"/>
  <c r="DB85" i="53" s="1"/>
  <c r="AY85" i="53"/>
  <c r="DA85" i="53" s="1"/>
  <c r="AX85" i="53"/>
  <c r="CZ85" i="53" s="1"/>
  <c r="AW85" i="53"/>
  <c r="CY85" i="53" s="1"/>
  <c r="BB84" i="53"/>
  <c r="DD84" i="53" s="1"/>
  <c r="BA84" i="53"/>
  <c r="DC84" i="53" s="1"/>
  <c r="AZ84" i="53"/>
  <c r="DB84" i="53" s="1"/>
  <c r="AY84" i="53"/>
  <c r="DA84" i="53" s="1"/>
  <c r="AX84" i="53"/>
  <c r="CZ84" i="53" s="1"/>
  <c r="AW84" i="53"/>
  <c r="CY84" i="53" s="1"/>
  <c r="BB82" i="53"/>
  <c r="DD82" i="53" s="1"/>
  <c r="BA82" i="53"/>
  <c r="DC82" i="53" s="1"/>
  <c r="AZ82" i="53"/>
  <c r="DB82" i="53" s="1"/>
  <c r="AY82" i="53"/>
  <c r="DA82" i="53" s="1"/>
  <c r="AX82" i="53"/>
  <c r="CZ82" i="53" s="1"/>
  <c r="AW82" i="53"/>
  <c r="CY82" i="53" s="1"/>
  <c r="BB81" i="53"/>
  <c r="DD81" i="53" s="1"/>
  <c r="BA81" i="53"/>
  <c r="DC81" i="53" s="1"/>
  <c r="AZ81" i="53"/>
  <c r="DB81" i="53" s="1"/>
  <c r="AY81" i="53"/>
  <c r="DA81" i="53" s="1"/>
  <c r="AX81" i="53"/>
  <c r="CZ81" i="53" s="1"/>
  <c r="AW81" i="53"/>
  <c r="CY81" i="53" s="1"/>
  <c r="BB80" i="53"/>
  <c r="DD80" i="53" s="1"/>
  <c r="BA80" i="53"/>
  <c r="DC80" i="53" s="1"/>
  <c r="AZ80" i="53"/>
  <c r="DB80" i="53" s="1"/>
  <c r="AY80" i="53"/>
  <c r="DA80" i="53" s="1"/>
  <c r="AX80" i="53"/>
  <c r="CZ80" i="53" s="1"/>
  <c r="AW80" i="53"/>
  <c r="CY80" i="53" s="1"/>
  <c r="BB79" i="53"/>
  <c r="DD79" i="53" s="1"/>
  <c r="BA79" i="53"/>
  <c r="DC79" i="53" s="1"/>
  <c r="AZ79" i="53"/>
  <c r="DB79" i="53" s="1"/>
  <c r="AY79" i="53"/>
  <c r="DA79" i="53" s="1"/>
  <c r="AX79" i="53"/>
  <c r="CZ79" i="53" s="1"/>
  <c r="AW79" i="53"/>
  <c r="CY79" i="53" s="1"/>
  <c r="BB78" i="53"/>
  <c r="DD78" i="53" s="1"/>
  <c r="BA78" i="53"/>
  <c r="DC78" i="53" s="1"/>
  <c r="AZ78" i="53"/>
  <c r="DB78" i="53" s="1"/>
  <c r="AY78" i="53"/>
  <c r="DA78" i="53" s="1"/>
  <c r="AX78" i="53"/>
  <c r="CZ78" i="53" s="1"/>
  <c r="AW78" i="53"/>
  <c r="CY78" i="53" s="1"/>
  <c r="BB77" i="53"/>
  <c r="DD77" i="53" s="1"/>
  <c r="BA77" i="53"/>
  <c r="DC77" i="53" s="1"/>
  <c r="AZ77" i="53"/>
  <c r="DB77" i="53" s="1"/>
  <c r="AY77" i="53"/>
  <c r="DA77" i="53" s="1"/>
  <c r="AX77" i="53"/>
  <c r="CZ77" i="53" s="1"/>
  <c r="AW77" i="53"/>
  <c r="CY77" i="53" s="1"/>
  <c r="BB75" i="53"/>
  <c r="DD75" i="53" s="1"/>
  <c r="BA75" i="53"/>
  <c r="DC75" i="53" s="1"/>
  <c r="AZ75" i="53"/>
  <c r="DB75" i="53" s="1"/>
  <c r="AY75" i="53"/>
  <c r="DA75" i="53" s="1"/>
  <c r="AX75" i="53"/>
  <c r="CZ75" i="53" s="1"/>
  <c r="AW75" i="53"/>
  <c r="CY75" i="53" s="1"/>
  <c r="BB73" i="53"/>
  <c r="DD73" i="53" s="1"/>
  <c r="BA73" i="53"/>
  <c r="DC73" i="53" s="1"/>
  <c r="AZ73" i="53"/>
  <c r="DB73" i="53" s="1"/>
  <c r="AY73" i="53"/>
  <c r="DA73" i="53" s="1"/>
  <c r="AX73" i="53"/>
  <c r="CZ73" i="53" s="1"/>
  <c r="BB71" i="53"/>
  <c r="DD71" i="53" s="1"/>
  <c r="BA71" i="53"/>
  <c r="DC71" i="53" s="1"/>
  <c r="AZ71" i="53"/>
  <c r="DB71" i="53" s="1"/>
  <c r="AY71" i="53"/>
  <c r="DA71" i="53" s="1"/>
  <c r="AX71" i="53"/>
  <c r="CZ71" i="53" s="1"/>
  <c r="AW71" i="53"/>
  <c r="CY71" i="53" s="1"/>
  <c r="BB62" i="53"/>
  <c r="DD62" i="53" s="1"/>
  <c r="BA62" i="53"/>
  <c r="DC62" i="53" s="1"/>
  <c r="AZ62" i="53"/>
  <c r="DB62" i="53" s="1"/>
  <c r="AY62" i="53"/>
  <c r="DA62" i="53" s="1"/>
  <c r="AX62" i="53"/>
  <c r="CZ62" i="53" s="1"/>
  <c r="AW62" i="53"/>
  <c r="CY62" i="53" s="1"/>
  <c r="BB54" i="53"/>
  <c r="DD54" i="53" s="1"/>
  <c r="BA54" i="53"/>
  <c r="DC54" i="53" s="1"/>
  <c r="AZ54" i="53"/>
  <c r="DB54" i="53" s="1"/>
  <c r="AY54" i="53"/>
  <c r="DA54" i="53" s="1"/>
  <c r="AX54" i="53"/>
  <c r="CZ54" i="53" s="1"/>
  <c r="AW54" i="53"/>
  <c r="CY54" i="53" s="1"/>
  <c r="BB53" i="53"/>
  <c r="DD53" i="53" s="1"/>
  <c r="BA53" i="53"/>
  <c r="DC53" i="53" s="1"/>
  <c r="AZ53" i="53"/>
  <c r="DB53" i="53" s="1"/>
  <c r="AY53" i="53"/>
  <c r="DA53" i="53" s="1"/>
  <c r="AX53" i="53"/>
  <c r="CZ53" i="53" s="1"/>
  <c r="AW53" i="53"/>
  <c r="CY53" i="53" s="1"/>
  <c r="BB52" i="53"/>
  <c r="DD52" i="53" s="1"/>
  <c r="BA52" i="53"/>
  <c r="DC52" i="53" s="1"/>
  <c r="AZ52" i="53"/>
  <c r="DB52" i="53" s="1"/>
  <c r="AY52" i="53"/>
  <c r="DA52" i="53" s="1"/>
  <c r="AX52" i="53"/>
  <c r="CZ52" i="53" s="1"/>
  <c r="AW52" i="53"/>
  <c r="CY52" i="53" s="1"/>
  <c r="BB47" i="53"/>
  <c r="DD47" i="53" s="1"/>
  <c r="BA47" i="53"/>
  <c r="DC47" i="53" s="1"/>
  <c r="AZ47" i="53"/>
  <c r="DB47" i="53" s="1"/>
  <c r="AY47" i="53"/>
  <c r="DA47" i="53" s="1"/>
  <c r="AX47" i="53"/>
  <c r="CZ47" i="53" s="1"/>
  <c r="AW47" i="53"/>
  <c r="CY47" i="53" s="1"/>
  <c r="BB46" i="53"/>
  <c r="DD46" i="53" s="1"/>
  <c r="BA46" i="53"/>
  <c r="DC46" i="53" s="1"/>
  <c r="AZ46" i="53"/>
  <c r="DB46" i="53" s="1"/>
  <c r="AY46" i="53"/>
  <c r="DA46" i="53" s="1"/>
  <c r="AX46" i="53"/>
  <c r="CZ46" i="53" s="1"/>
  <c r="AW46" i="53"/>
  <c r="CY46" i="53" s="1"/>
  <c r="BB45" i="53"/>
  <c r="DD45" i="53" s="1"/>
  <c r="BA45" i="53"/>
  <c r="DC45" i="53" s="1"/>
  <c r="AZ45" i="53"/>
  <c r="DB45" i="53" s="1"/>
  <c r="AY45" i="53"/>
  <c r="DA45" i="53" s="1"/>
  <c r="AX45" i="53"/>
  <c r="CZ45" i="53" s="1"/>
  <c r="AW45" i="53"/>
  <c r="CY45" i="53" s="1"/>
  <c r="BB44" i="53"/>
  <c r="DD44" i="53" s="1"/>
  <c r="BA44" i="53"/>
  <c r="DC44" i="53" s="1"/>
  <c r="AZ44" i="53"/>
  <c r="DB44" i="53" s="1"/>
  <c r="AY44" i="53"/>
  <c r="DA44" i="53" s="1"/>
  <c r="AX44" i="53"/>
  <c r="CZ44" i="53" s="1"/>
  <c r="AW44" i="53"/>
  <c r="CY44" i="53" s="1"/>
  <c r="BB43" i="53"/>
  <c r="DD43" i="53" s="1"/>
  <c r="BA43" i="53"/>
  <c r="DC43" i="53" s="1"/>
  <c r="AZ43" i="53"/>
  <c r="DB43" i="53" s="1"/>
  <c r="AY43" i="53"/>
  <c r="DA43" i="53" s="1"/>
  <c r="AX43" i="53"/>
  <c r="CZ43" i="53" s="1"/>
  <c r="AW43" i="53"/>
  <c r="CY43" i="53" s="1"/>
  <c r="BB42" i="53"/>
  <c r="DD42" i="53" s="1"/>
  <c r="BA42" i="53"/>
  <c r="DC42" i="53" s="1"/>
  <c r="AZ42" i="53"/>
  <c r="DB42" i="53" s="1"/>
  <c r="AY42" i="53"/>
  <c r="DA42" i="53" s="1"/>
  <c r="AX42" i="53"/>
  <c r="CZ42" i="53" s="1"/>
  <c r="AW42" i="53"/>
  <c r="CY42" i="53" s="1"/>
  <c r="BB41" i="53"/>
  <c r="DD41" i="53" s="1"/>
  <c r="BA41" i="53"/>
  <c r="DC41" i="53" s="1"/>
  <c r="AZ41" i="53"/>
  <c r="DB41" i="53" s="1"/>
  <c r="AY41" i="53"/>
  <c r="DA41" i="53" s="1"/>
  <c r="AX41" i="53"/>
  <c r="CZ41" i="53" s="1"/>
  <c r="AW41" i="53"/>
  <c r="CY41" i="53" s="1"/>
  <c r="BB40" i="53"/>
  <c r="DD40" i="53" s="1"/>
  <c r="BA40" i="53"/>
  <c r="DC40" i="53" s="1"/>
  <c r="AZ40" i="53"/>
  <c r="DB40" i="53" s="1"/>
  <c r="AY40" i="53"/>
  <c r="DA40" i="53" s="1"/>
  <c r="AX40" i="53"/>
  <c r="CZ40" i="53" s="1"/>
  <c r="AW40" i="53"/>
  <c r="CY40" i="53" s="1"/>
  <c r="BB39" i="53"/>
  <c r="DD39" i="53" s="1"/>
  <c r="BA39" i="53"/>
  <c r="DC39" i="53" s="1"/>
  <c r="AZ39" i="53"/>
  <c r="DB39" i="53" s="1"/>
  <c r="AY39" i="53"/>
  <c r="DA39" i="53" s="1"/>
  <c r="AX39" i="53"/>
  <c r="CZ39" i="53" s="1"/>
  <c r="AW39" i="53"/>
  <c r="CY39" i="53" s="1"/>
  <c r="BB37" i="53"/>
  <c r="DD37" i="53" s="1"/>
  <c r="BA37" i="53"/>
  <c r="DC37" i="53" s="1"/>
  <c r="AZ37" i="53"/>
  <c r="DB37" i="53" s="1"/>
  <c r="AY37" i="53"/>
  <c r="DA37" i="53" s="1"/>
  <c r="AX37" i="53"/>
  <c r="CZ37" i="53" s="1"/>
  <c r="AW37" i="53"/>
  <c r="CY37" i="53" s="1"/>
  <c r="BB36" i="53"/>
  <c r="DD36" i="53" s="1"/>
  <c r="BA36" i="53"/>
  <c r="DC36" i="53" s="1"/>
  <c r="AZ36" i="53"/>
  <c r="DB36" i="53" s="1"/>
  <c r="AY36" i="53"/>
  <c r="DA36" i="53" s="1"/>
  <c r="AX36" i="53"/>
  <c r="CZ36" i="53" s="1"/>
  <c r="AW36" i="53"/>
  <c r="CY36" i="53" s="1"/>
  <c r="BB35" i="53"/>
  <c r="DD35" i="53" s="1"/>
  <c r="BA35" i="53"/>
  <c r="DC35" i="53" s="1"/>
  <c r="AZ35" i="53"/>
  <c r="DB35" i="53" s="1"/>
  <c r="AY35" i="53"/>
  <c r="DA35" i="53" s="1"/>
  <c r="AX35" i="53"/>
  <c r="CZ35" i="53" s="1"/>
  <c r="AW35" i="53"/>
  <c r="CY35" i="53" s="1"/>
  <c r="BB34" i="53"/>
  <c r="DD34" i="53" s="1"/>
  <c r="BA34" i="53"/>
  <c r="DC34" i="53" s="1"/>
  <c r="AZ34" i="53"/>
  <c r="DB34" i="53" s="1"/>
  <c r="AY34" i="53"/>
  <c r="DA34" i="53" s="1"/>
  <c r="AX34" i="53"/>
  <c r="CZ34" i="53" s="1"/>
  <c r="AW34" i="53"/>
  <c r="CY34" i="53" s="1"/>
  <c r="BB33" i="53"/>
  <c r="DD33" i="53" s="1"/>
  <c r="BA33" i="53"/>
  <c r="DC33" i="53" s="1"/>
  <c r="AZ33" i="53"/>
  <c r="DB33" i="53" s="1"/>
  <c r="AY33" i="53"/>
  <c r="DA33" i="53" s="1"/>
  <c r="AX33" i="53"/>
  <c r="CZ33" i="53" s="1"/>
  <c r="AW33" i="53"/>
  <c r="CY33" i="53" s="1"/>
  <c r="BB32" i="53"/>
  <c r="DD32" i="53" s="1"/>
  <c r="BA32" i="53"/>
  <c r="DC32" i="53" s="1"/>
  <c r="AZ32" i="53"/>
  <c r="DB32" i="53" s="1"/>
  <c r="AY32" i="53"/>
  <c r="DA32" i="53" s="1"/>
  <c r="AX32" i="53"/>
  <c r="CZ32" i="53" s="1"/>
  <c r="AW32" i="53"/>
  <c r="CY32" i="53" s="1"/>
  <c r="BB31" i="53"/>
  <c r="DD31" i="53" s="1"/>
  <c r="BA31" i="53"/>
  <c r="DC31" i="53" s="1"/>
  <c r="AZ31" i="53"/>
  <c r="DB31" i="53" s="1"/>
  <c r="AY31" i="53"/>
  <c r="DA31" i="53" s="1"/>
  <c r="AX31" i="53"/>
  <c r="CZ31" i="53" s="1"/>
  <c r="AW31" i="53"/>
  <c r="CY31" i="53" s="1"/>
  <c r="BB30" i="53"/>
  <c r="DD30" i="53" s="1"/>
  <c r="BA30" i="53"/>
  <c r="DC30" i="53" s="1"/>
  <c r="AZ30" i="53"/>
  <c r="DB30" i="53" s="1"/>
  <c r="AY30" i="53"/>
  <c r="DA30" i="53" s="1"/>
  <c r="AX30" i="53"/>
  <c r="CZ30" i="53" s="1"/>
  <c r="AW30" i="53"/>
  <c r="CY30" i="53" s="1"/>
  <c r="BB27" i="53"/>
  <c r="DD27" i="53" s="1"/>
  <c r="BA27" i="53"/>
  <c r="DC27" i="53" s="1"/>
  <c r="AZ27" i="53"/>
  <c r="DB27" i="53" s="1"/>
  <c r="AY27" i="53"/>
  <c r="DA27" i="53" s="1"/>
  <c r="AX27" i="53"/>
  <c r="CZ27" i="53" s="1"/>
  <c r="AW27" i="53"/>
  <c r="CY27" i="53" s="1"/>
  <c r="BB26" i="53"/>
  <c r="DD26" i="53" s="1"/>
  <c r="BA26" i="53"/>
  <c r="DC26" i="53" s="1"/>
  <c r="AZ26" i="53"/>
  <c r="DB26" i="53" s="1"/>
  <c r="AY26" i="53"/>
  <c r="DA26" i="53" s="1"/>
  <c r="AX26" i="53"/>
  <c r="CZ26" i="53" s="1"/>
  <c r="AW26" i="53"/>
  <c r="CY26" i="53" s="1"/>
  <c r="BB23" i="53"/>
  <c r="DD23" i="53" s="1"/>
  <c r="BA23" i="53"/>
  <c r="DC23" i="53" s="1"/>
  <c r="AZ23" i="53"/>
  <c r="DB23" i="53" s="1"/>
  <c r="AY23" i="53"/>
  <c r="DA23" i="53" s="1"/>
  <c r="AX23" i="53"/>
  <c r="CZ23" i="53" s="1"/>
  <c r="AW23" i="53"/>
  <c r="CY23" i="53" s="1"/>
  <c r="BB22" i="53"/>
  <c r="DD22" i="53" s="1"/>
  <c r="BA22" i="53"/>
  <c r="DC22" i="53" s="1"/>
  <c r="AZ22" i="53"/>
  <c r="DB22" i="53" s="1"/>
  <c r="AY22" i="53"/>
  <c r="DA22" i="53" s="1"/>
  <c r="AX22" i="53"/>
  <c r="CZ22" i="53" s="1"/>
  <c r="AW22" i="53"/>
  <c r="CY22" i="53" s="1"/>
  <c r="BB20" i="53"/>
  <c r="DD20" i="53" s="1"/>
  <c r="BA20" i="53"/>
  <c r="DC20" i="53" s="1"/>
  <c r="AZ20" i="53"/>
  <c r="DB20" i="53" s="1"/>
  <c r="AY20" i="53"/>
  <c r="DA20" i="53" s="1"/>
  <c r="AX20" i="53"/>
  <c r="CZ20" i="53" s="1"/>
  <c r="AW20" i="53"/>
  <c r="CY20" i="53" s="1"/>
  <c r="BB19" i="53"/>
  <c r="DD19" i="53" s="1"/>
  <c r="BA19" i="53"/>
  <c r="DC19" i="53" s="1"/>
  <c r="AZ19" i="53"/>
  <c r="DB19" i="53" s="1"/>
  <c r="AY19" i="53"/>
  <c r="DA19" i="53" s="1"/>
  <c r="AX19" i="53"/>
  <c r="CZ19" i="53" s="1"/>
  <c r="AW19" i="53"/>
  <c r="CY19" i="53" s="1"/>
  <c r="BB16" i="53"/>
  <c r="DD16" i="53" s="1"/>
  <c r="BA16" i="53"/>
  <c r="DC16" i="53" s="1"/>
  <c r="AZ16" i="53"/>
  <c r="DB16" i="53" s="1"/>
  <c r="AY16" i="53"/>
  <c r="DA16" i="53" s="1"/>
  <c r="AX16" i="53"/>
  <c r="CZ16" i="53" s="1"/>
  <c r="AW16" i="53"/>
  <c r="CY16" i="53" s="1"/>
  <c r="BB15" i="53"/>
  <c r="DD15" i="53" s="1"/>
  <c r="BA15" i="53"/>
  <c r="DC15" i="53" s="1"/>
  <c r="AZ15" i="53"/>
  <c r="DB15" i="53" s="1"/>
  <c r="AY15" i="53"/>
  <c r="DA15" i="53" s="1"/>
  <c r="AX15" i="53"/>
  <c r="CZ15" i="53" s="1"/>
  <c r="AW15" i="53"/>
  <c r="CY15" i="53" s="1"/>
  <c r="BB14" i="53"/>
  <c r="DD14" i="53" s="1"/>
  <c r="BA14" i="53"/>
  <c r="DC14" i="53" s="1"/>
  <c r="AZ14" i="53"/>
  <c r="DB14" i="53" s="1"/>
  <c r="AY14" i="53"/>
  <c r="DA14" i="53" s="1"/>
  <c r="AX14" i="53"/>
  <c r="CZ14" i="53" s="1"/>
  <c r="AW14" i="53"/>
  <c r="CY14" i="53" s="1"/>
  <c r="BB13" i="53"/>
  <c r="DD13" i="53" s="1"/>
  <c r="BA13" i="53"/>
  <c r="DC13" i="53" s="1"/>
  <c r="AZ13" i="53"/>
  <c r="DB13" i="53" s="1"/>
  <c r="AY13" i="53"/>
  <c r="DA13" i="53" s="1"/>
  <c r="AX13" i="53"/>
  <c r="CZ13" i="53" s="1"/>
  <c r="AW13" i="53"/>
  <c r="CY13" i="53" s="1"/>
  <c r="G24" i="65" l="1"/>
  <c r="I119" i="74"/>
  <c r="K34" i="74"/>
  <c r="J34" i="74"/>
  <c r="G23" i="65"/>
  <c r="I116" i="74"/>
  <c r="K30" i="74"/>
  <c r="J30" i="74"/>
  <c r="CO42" i="60"/>
  <c r="CM42" i="60"/>
  <c r="CN42" i="60"/>
  <c r="CP42" i="60"/>
  <c r="CQ42" i="60"/>
  <c r="CJ42" i="60"/>
  <c r="E57" i="83"/>
  <c r="AD13" i="84"/>
  <c r="AE4" i="84"/>
  <c r="F35" i="83"/>
  <c r="E52" i="83"/>
  <c r="AD8" i="84"/>
  <c r="AD7" i="84" s="1"/>
  <c r="AD8" i="78"/>
  <c r="AD8" i="83"/>
  <c r="G6" i="78"/>
  <c r="G6" i="83"/>
  <c r="M91" i="85"/>
  <c r="M93" i="85" s="1"/>
  <c r="G4" i="83"/>
  <c r="AE4" i="78"/>
  <c r="AE4" i="83"/>
  <c r="AE8" i="78"/>
  <c r="AE8" i="83"/>
  <c r="CM66" i="60"/>
  <c r="CJ66" i="60"/>
  <c r="AM69" i="60"/>
  <c r="CN66" i="60"/>
  <c r="CQ66" i="60"/>
  <c r="CP66" i="60"/>
  <c r="CO66" i="60"/>
  <c r="AW55" i="60"/>
  <c r="BG55" i="60"/>
  <c r="AU48" i="60"/>
  <c r="CJ48" i="60"/>
  <c r="AW60" i="60"/>
  <c r="BG60" i="60"/>
  <c r="AV53" i="60"/>
  <c r="BS53" i="60"/>
  <c r="AW57" i="60"/>
  <c r="BG57" i="60"/>
  <c r="AV56" i="60"/>
  <c r="BA56" i="60"/>
  <c r="AV60" i="60"/>
  <c r="BA60" i="60"/>
  <c r="AW58" i="60"/>
  <c r="BG58" i="60"/>
  <c r="AV58" i="60"/>
  <c r="AU68" i="60"/>
  <c r="AU67" i="60"/>
  <c r="AV57" i="60"/>
  <c r="AU66" i="60"/>
  <c r="AV55" i="60"/>
  <c r="AU17" i="60"/>
  <c r="AU21" i="60"/>
  <c r="AU31" i="60"/>
  <c r="AU35" i="60"/>
  <c r="AU40" i="60"/>
  <c r="AV61" i="60"/>
  <c r="AU11" i="60"/>
  <c r="AU16" i="60"/>
  <c r="AU20" i="60"/>
  <c r="AU30" i="60"/>
  <c r="AU34" i="60"/>
  <c r="AU38" i="60"/>
  <c r="AU46" i="60"/>
  <c r="AW54" i="60"/>
  <c r="AV59" i="60"/>
  <c r="AW59" i="60"/>
  <c r="AU15" i="60"/>
  <c r="AU19" i="60"/>
  <c r="AU23" i="60"/>
  <c r="AU33" i="60"/>
  <c r="AU37" i="60"/>
  <c r="AU44" i="60"/>
  <c r="AV54" i="60"/>
  <c r="AW56" i="60"/>
  <c r="AW53" i="60"/>
  <c r="AW61" i="60"/>
  <c r="AU18" i="60"/>
  <c r="AU22" i="60"/>
  <c r="AU32" i="60"/>
  <c r="AU36" i="60"/>
  <c r="AU42" i="60"/>
  <c r="BD83" i="53"/>
  <c r="DF83" i="53" s="1"/>
  <c r="AW38" i="53"/>
  <c r="CY38" i="53" s="1"/>
  <c r="AX38" i="53"/>
  <c r="CZ38" i="53" s="1"/>
  <c r="BH83" i="53"/>
  <c r="J92" i="74"/>
  <c r="J95" i="74"/>
  <c r="J59" i="74"/>
  <c r="J62" i="74"/>
  <c r="J15" i="1"/>
  <c r="K57" i="74"/>
  <c r="AC7" i="79"/>
  <c r="J23" i="74"/>
  <c r="J26" i="74"/>
  <c r="BG12" i="53"/>
  <c r="DI12" i="53" s="1"/>
  <c r="BE38" i="53"/>
  <c r="DG38" i="53" s="1"/>
  <c r="BC38" i="53"/>
  <c r="DE38" i="53" s="1"/>
  <c r="BG38" i="53"/>
  <c r="DI38" i="53" s="1"/>
  <c r="BC70" i="53"/>
  <c r="DE70" i="53" s="1"/>
  <c r="BG70" i="53"/>
  <c r="DI70" i="53" s="1"/>
  <c r="BE83" i="53"/>
  <c r="BC83" i="53"/>
  <c r="BG83" i="53"/>
  <c r="AX83" i="53"/>
  <c r="BB83" i="53"/>
  <c r="BF38" i="53"/>
  <c r="DH38" i="53" s="1"/>
  <c r="BD38" i="53"/>
  <c r="DF38" i="53" s="1"/>
  <c r="BH38" i="53"/>
  <c r="DJ38" i="53" s="1"/>
  <c r="BD70" i="53"/>
  <c r="DF70" i="53" s="1"/>
  <c r="BH70" i="53"/>
  <c r="DJ70" i="53" s="1"/>
  <c r="BF83" i="53"/>
  <c r="AW51" i="53"/>
  <c r="CY51" i="53" s="1"/>
  <c r="AM55" i="60"/>
  <c r="CJ55" i="60" s="1"/>
  <c r="AM59" i="60"/>
  <c r="CJ59" i="60" s="1"/>
  <c r="AD13" i="79"/>
  <c r="E57" i="78"/>
  <c r="R9" i="2"/>
  <c r="AD4" i="78"/>
  <c r="R22" i="2"/>
  <c r="AD17" i="78"/>
  <c r="BA51" i="53"/>
  <c r="DC51" i="53" s="1"/>
  <c r="BF70" i="53"/>
  <c r="DH70" i="53" s="1"/>
  <c r="AD8" i="79"/>
  <c r="AD7" i="79" s="1"/>
  <c r="E52" i="78"/>
  <c r="AX51" i="53"/>
  <c r="CZ51" i="53" s="1"/>
  <c r="BB51" i="53"/>
  <c r="DD51" i="53" s="1"/>
  <c r="G4" i="78"/>
  <c r="M91" i="67"/>
  <c r="M93" i="67" s="1"/>
  <c r="AE14" i="78"/>
  <c r="S19" i="2"/>
  <c r="E21" i="39"/>
  <c r="AD4" i="79"/>
  <c r="E35" i="78"/>
  <c r="S9" i="2"/>
  <c r="BF51" i="53"/>
  <c r="DH51" i="53" s="1"/>
  <c r="I19" i="2"/>
  <c r="AF14" i="83" s="1"/>
  <c r="J125" i="74"/>
  <c r="I14" i="1"/>
  <c r="I22" i="2" s="1"/>
  <c r="J127" i="74"/>
  <c r="J126" i="74"/>
  <c r="J10" i="1"/>
  <c r="K124" i="74"/>
  <c r="K125" i="74"/>
  <c r="I13" i="2"/>
  <c r="I9" i="2"/>
  <c r="AF4" i="83" s="1"/>
  <c r="AY70" i="53"/>
  <c r="DA70" i="53" s="1"/>
  <c r="BE70" i="53"/>
  <c r="DG70" i="53" s="1"/>
  <c r="AZ70" i="53"/>
  <c r="DB70" i="53" s="1"/>
  <c r="AW70" i="53"/>
  <c r="CY70" i="53" s="1"/>
  <c r="BA70" i="53"/>
  <c r="DC70" i="53" s="1"/>
  <c r="AX70" i="53"/>
  <c r="CZ70" i="53" s="1"/>
  <c r="BB70" i="53"/>
  <c r="DD70" i="53" s="1"/>
  <c r="AY38" i="53"/>
  <c r="DA38" i="53" s="1"/>
  <c r="BA38" i="53"/>
  <c r="DC38" i="53" s="1"/>
  <c r="BB38" i="53"/>
  <c r="DD38" i="53" s="1"/>
  <c r="AY51" i="53"/>
  <c r="DA51" i="53" s="1"/>
  <c r="AZ51" i="53"/>
  <c r="DB51" i="53" s="1"/>
  <c r="AM53" i="60"/>
  <c r="CJ53" i="60" s="1"/>
  <c r="I111" i="74"/>
  <c r="I114" i="74"/>
  <c r="H22" i="2"/>
  <c r="AE17" i="83" s="1"/>
  <c r="G55" i="65"/>
  <c r="I115" i="74"/>
  <c r="I112" i="74"/>
  <c r="G22" i="65"/>
  <c r="I110" i="74"/>
  <c r="I113" i="74"/>
  <c r="G50" i="65"/>
  <c r="AW12" i="53"/>
  <c r="CY12" i="53" s="1"/>
  <c r="BA12" i="53"/>
  <c r="DC12" i="53" s="1"/>
  <c r="BC12" i="53"/>
  <c r="DE12" i="53" s="1"/>
  <c r="AM54" i="60"/>
  <c r="CJ54" i="60" s="1"/>
  <c r="AM58" i="60"/>
  <c r="CJ58" i="60" s="1"/>
  <c r="AM60" i="60"/>
  <c r="CJ60" i="60" s="1"/>
  <c r="BD12" i="53"/>
  <c r="DF12" i="53" s="1"/>
  <c r="AM56" i="60"/>
  <c r="CJ56" i="60" s="1"/>
  <c r="AX12" i="53"/>
  <c r="CZ12" i="53" s="1"/>
  <c r="BF25" i="53"/>
  <c r="DH25" i="53" s="1"/>
  <c r="AM57" i="60"/>
  <c r="CJ57" i="60" s="1"/>
  <c r="AM61" i="60"/>
  <c r="CJ61" i="60" s="1"/>
  <c r="K58" i="74"/>
  <c r="K62" i="74" s="1"/>
  <c r="J71" i="74"/>
  <c r="J74" i="74" s="1"/>
  <c r="BB12" i="53"/>
  <c r="DD12" i="53" s="1"/>
  <c r="AZ25" i="53"/>
  <c r="DB25" i="53" s="1"/>
  <c r="AZ38" i="53"/>
  <c r="DB38" i="53" s="1"/>
  <c r="AM14" i="60"/>
  <c r="AP58" i="60"/>
  <c r="CM58" i="60" s="1"/>
  <c r="J12" i="1"/>
  <c r="H6" i="83" s="1"/>
  <c r="I16" i="1"/>
  <c r="AP53" i="60"/>
  <c r="CM53" i="60" s="1"/>
  <c r="J104" i="74"/>
  <c r="J107" i="74" s="1"/>
  <c r="K91" i="74"/>
  <c r="K22" i="74"/>
  <c r="J35" i="74"/>
  <c r="J39" i="74" s="1"/>
  <c r="H20" i="65" s="1"/>
  <c r="K90" i="74"/>
  <c r="AY25" i="53"/>
  <c r="DA25" i="53" s="1"/>
  <c r="AW25" i="53"/>
  <c r="CY25" i="53" s="1"/>
  <c r="BA25" i="53"/>
  <c r="DC25" i="53" s="1"/>
  <c r="AW83" i="53"/>
  <c r="BA83" i="53"/>
  <c r="AY83" i="53"/>
  <c r="BE25" i="53"/>
  <c r="DG25" i="53" s="1"/>
  <c r="BC25" i="53"/>
  <c r="DE25" i="53" s="1"/>
  <c r="BG25" i="53"/>
  <c r="DI25" i="53" s="1"/>
  <c r="AZ12" i="53"/>
  <c r="DB12" i="53" s="1"/>
  <c r="BD51" i="53"/>
  <c r="DF51" i="53" s="1"/>
  <c r="BH51" i="53"/>
  <c r="DJ51" i="53" s="1"/>
  <c r="AX25" i="53"/>
  <c r="CZ25" i="53" s="1"/>
  <c r="BB25" i="53"/>
  <c r="DD25" i="53" s="1"/>
  <c r="AZ83" i="53"/>
  <c r="BH12" i="53"/>
  <c r="DJ12" i="53" s="1"/>
  <c r="BD25" i="53"/>
  <c r="DF25" i="53" s="1"/>
  <c r="BH25" i="53"/>
  <c r="DJ25" i="53" s="1"/>
  <c r="AY12" i="53"/>
  <c r="DA12" i="53" s="1"/>
  <c r="BE12" i="53"/>
  <c r="DG12" i="53" s="1"/>
  <c r="BE51" i="53"/>
  <c r="DG51" i="53" s="1"/>
  <c r="BC51" i="53"/>
  <c r="DE51" i="53" s="1"/>
  <c r="BG51" i="53"/>
  <c r="DI51" i="53" s="1"/>
  <c r="BF12" i="53"/>
  <c r="DH12" i="53" s="1"/>
  <c r="M28" i="73"/>
  <c r="L28" i="73"/>
  <c r="BL28" i="73" s="1"/>
  <c r="K28" i="73"/>
  <c r="J28" i="73"/>
  <c r="BK28" i="73" s="1"/>
  <c r="I28" i="73"/>
  <c r="H28" i="73"/>
  <c r="BJ28" i="73" s="1"/>
  <c r="G28" i="73"/>
  <c r="F28" i="73"/>
  <c r="BI28" i="73" s="1"/>
  <c r="M27" i="73"/>
  <c r="L27" i="73"/>
  <c r="BL27" i="73" s="1"/>
  <c r="K27" i="73"/>
  <c r="J27" i="73"/>
  <c r="BK27" i="73" s="1"/>
  <c r="I27" i="73"/>
  <c r="H27" i="73"/>
  <c r="BJ27" i="73" s="1"/>
  <c r="G27" i="73"/>
  <c r="F27" i="73"/>
  <c r="BI27" i="73" s="1"/>
  <c r="M26" i="73"/>
  <c r="L26" i="73"/>
  <c r="BL26" i="73" s="1"/>
  <c r="K26" i="73"/>
  <c r="J26" i="73"/>
  <c r="BK26" i="73" s="1"/>
  <c r="I26" i="73"/>
  <c r="H26" i="73"/>
  <c r="BJ26" i="73" s="1"/>
  <c r="G26" i="73"/>
  <c r="F26" i="73"/>
  <c r="BI26" i="73" s="1"/>
  <c r="M23" i="73"/>
  <c r="L23" i="73"/>
  <c r="BL23" i="73" s="1"/>
  <c r="K23" i="73"/>
  <c r="J23" i="73"/>
  <c r="BK23" i="73" s="1"/>
  <c r="I23" i="73"/>
  <c r="H23" i="73"/>
  <c r="BJ23" i="73" s="1"/>
  <c r="G23" i="73"/>
  <c r="F23" i="73"/>
  <c r="BI23" i="73" s="1"/>
  <c r="M22" i="73"/>
  <c r="L22" i="73"/>
  <c r="BL22" i="73" s="1"/>
  <c r="K22" i="73"/>
  <c r="J22" i="73"/>
  <c r="BK22" i="73" s="1"/>
  <c r="I22" i="73"/>
  <c r="H22" i="73"/>
  <c r="BJ22" i="73" s="1"/>
  <c r="G22" i="73"/>
  <c r="F22" i="73"/>
  <c r="BI22" i="73" s="1"/>
  <c r="M20" i="73"/>
  <c r="L20" i="73"/>
  <c r="BL20" i="73" s="1"/>
  <c r="K20" i="73"/>
  <c r="J20" i="73"/>
  <c r="BK20" i="73" s="1"/>
  <c r="I20" i="73"/>
  <c r="H20" i="73"/>
  <c r="BJ20" i="73" s="1"/>
  <c r="G20" i="73"/>
  <c r="F20" i="73"/>
  <c r="BI20" i="73" s="1"/>
  <c r="M19" i="73"/>
  <c r="L19" i="73"/>
  <c r="BL19" i="73" s="1"/>
  <c r="K19" i="73"/>
  <c r="J19" i="73"/>
  <c r="BK19" i="73" s="1"/>
  <c r="I19" i="73"/>
  <c r="H19" i="73"/>
  <c r="BJ19" i="73" s="1"/>
  <c r="G19" i="73"/>
  <c r="F19" i="73"/>
  <c r="BI19" i="73" s="1"/>
  <c r="M16" i="73"/>
  <c r="L16" i="73"/>
  <c r="BL16" i="73" s="1"/>
  <c r="K16" i="73"/>
  <c r="J16" i="73"/>
  <c r="BK16" i="73" s="1"/>
  <c r="I16" i="73"/>
  <c r="H16" i="73"/>
  <c r="BJ16" i="73" s="1"/>
  <c r="G16" i="73"/>
  <c r="F16" i="73"/>
  <c r="BI16" i="73" s="1"/>
  <c r="M15" i="73"/>
  <c r="L15" i="73"/>
  <c r="BL15" i="73" s="1"/>
  <c r="K15" i="73"/>
  <c r="J15" i="73"/>
  <c r="BK15" i="73" s="1"/>
  <c r="I15" i="73"/>
  <c r="H15" i="73"/>
  <c r="BJ15" i="73" s="1"/>
  <c r="G15" i="73"/>
  <c r="F15" i="73"/>
  <c r="BI15" i="73" s="1"/>
  <c r="M14" i="73"/>
  <c r="L14" i="73"/>
  <c r="BL14" i="73" s="1"/>
  <c r="K14" i="73"/>
  <c r="J14" i="73"/>
  <c r="BK14" i="73" s="1"/>
  <c r="I14" i="73"/>
  <c r="H14" i="73"/>
  <c r="BJ14" i="73" s="1"/>
  <c r="G14" i="73"/>
  <c r="F14" i="73"/>
  <c r="BI14" i="73" s="1"/>
  <c r="M13" i="73"/>
  <c r="L13" i="73"/>
  <c r="BL13" i="73" s="1"/>
  <c r="K13" i="73"/>
  <c r="J13" i="73"/>
  <c r="BK13" i="73" s="1"/>
  <c r="I13" i="73"/>
  <c r="H13" i="73"/>
  <c r="BJ13" i="73" s="1"/>
  <c r="G13" i="73"/>
  <c r="F13" i="73"/>
  <c r="BI13" i="73" s="1"/>
  <c r="E22" i="73"/>
  <c r="E28" i="73"/>
  <c r="D28" i="73"/>
  <c r="BH28" i="73" s="1"/>
  <c r="E27" i="73"/>
  <c r="D27" i="73"/>
  <c r="BH27" i="73" s="1"/>
  <c r="E26" i="73"/>
  <c r="D26" i="73"/>
  <c r="BH26" i="73" s="1"/>
  <c r="E23" i="73"/>
  <c r="D23" i="73"/>
  <c r="BH23" i="73" s="1"/>
  <c r="D22" i="73"/>
  <c r="BH22" i="73" s="1"/>
  <c r="E20" i="73"/>
  <c r="D20" i="73"/>
  <c r="BH20" i="73" s="1"/>
  <c r="E19" i="73"/>
  <c r="D19" i="73"/>
  <c r="BH19" i="73" s="1"/>
  <c r="E16" i="73"/>
  <c r="D16" i="73"/>
  <c r="BH16" i="73" s="1"/>
  <c r="E15" i="73"/>
  <c r="D15" i="73"/>
  <c r="BH15" i="73" s="1"/>
  <c r="E14" i="73"/>
  <c r="D14" i="73"/>
  <c r="BH14" i="73" s="1"/>
  <c r="E13" i="73"/>
  <c r="D13" i="73"/>
  <c r="BH13" i="73" s="1"/>
  <c r="AH9" i="73"/>
  <c r="AH98" i="73" s="1"/>
  <c r="AV9" i="73"/>
  <c r="AK9" i="73"/>
  <c r="Z9" i="73"/>
  <c r="Z98" i="73" s="1"/>
  <c r="BD9" i="73"/>
  <c r="BB9" i="73"/>
  <c r="AZ9" i="73"/>
  <c r="AX9" i="73"/>
  <c r="AS9" i="73"/>
  <c r="AQ9" i="73"/>
  <c r="AO9" i="73"/>
  <c r="AM9" i="73"/>
  <c r="AG9" i="73"/>
  <c r="AF9" i="73"/>
  <c r="AF98" i="73" s="1"/>
  <c r="AD9" i="73"/>
  <c r="AD98" i="73" s="1"/>
  <c r="AB9" i="73"/>
  <c r="AB98" i="73" s="1"/>
  <c r="Q9" i="73"/>
  <c r="Q98" i="73" s="1"/>
  <c r="S9" i="73"/>
  <c r="S98" i="73" s="1"/>
  <c r="U9" i="73"/>
  <c r="U98" i="73" s="1"/>
  <c r="W9" i="73"/>
  <c r="W98" i="73" s="1"/>
  <c r="O9" i="73"/>
  <c r="O98" i="73" s="1"/>
  <c r="D9" i="73"/>
  <c r="BH9" i="73" s="1"/>
  <c r="C104" i="53"/>
  <c r="K105" i="53"/>
  <c r="L105" i="53"/>
  <c r="M105" i="53"/>
  <c r="N105" i="53"/>
  <c r="O105" i="53"/>
  <c r="P105" i="53"/>
  <c r="S108" i="53"/>
  <c r="T108" i="53"/>
  <c r="U108" i="53"/>
  <c r="V108" i="53"/>
  <c r="W108" i="53"/>
  <c r="X108" i="53"/>
  <c r="BD76" i="53" l="1"/>
  <c r="DF76" i="53" s="1"/>
  <c r="H24" i="65"/>
  <c r="J119" i="74"/>
  <c r="I24" i="65"/>
  <c r="K119" i="74"/>
  <c r="J116" i="74"/>
  <c r="H23" i="65"/>
  <c r="I23" i="65"/>
  <c r="K116" i="74"/>
  <c r="AF4" i="84"/>
  <c r="G35" i="83"/>
  <c r="AE13" i="84"/>
  <c r="F57" i="83"/>
  <c r="AF17" i="78"/>
  <c r="AF17" i="83"/>
  <c r="AE8" i="84"/>
  <c r="AE7" i="84" s="1"/>
  <c r="F52" i="83"/>
  <c r="AF8" i="78"/>
  <c r="AF8" i="83"/>
  <c r="N91" i="85"/>
  <c r="N93" i="85" s="1"/>
  <c r="H4" i="83"/>
  <c r="AZ76" i="53"/>
  <c r="DB76" i="53" s="1"/>
  <c r="DB83" i="53"/>
  <c r="AY76" i="53"/>
  <c r="DA76" i="53" s="1"/>
  <c r="DA83" i="53"/>
  <c r="BB76" i="53"/>
  <c r="DD76" i="53" s="1"/>
  <c r="DD83" i="53"/>
  <c r="BA76" i="53"/>
  <c r="DC76" i="53" s="1"/>
  <c r="DC83" i="53"/>
  <c r="AX76" i="53"/>
  <c r="CZ76" i="53" s="1"/>
  <c r="CZ83" i="53"/>
  <c r="AW76" i="53"/>
  <c r="CY76" i="53" s="1"/>
  <c r="CY83" i="53"/>
  <c r="BF76" i="53"/>
  <c r="DH76" i="53" s="1"/>
  <c r="DH83" i="53"/>
  <c r="BG76" i="53"/>
  <c r="DI76" i="53" s="1"/>
  <c r="DI83" i="53"/>
  <c r="BC76" i="53"/>
  <c r="DE76" i="53" s="1"/>
  <c r="DE83" i="53"/>
  <c r="BE76" i="53"/>
  <c r="DG76" i="53" s="1"/>
  <c r="DG83" i="53"/>
  <c r="BH76" i="53"/>
  <c r="DJ76" i="53" s="1"/>
  <c r="DJ83" i="53"/>
  <c r="AU53" i="60"/>
  <c r="AU58" i="60"/>
  <c r="D98" i="73"/>
  <c r="K92" i="74"/>
  <c r="K95" i="74"/>
  <c r="K23" i="74"/>
  <c r="K26" i="74"/>
  <c r="AE4" i="79"/>
  <c r="F35" i="78"/>
  <c r="T22" i="2"/>
  <c r="AE17" i="78"/>
  <c r="T9" i="2"/>
  <c r="AF4" i="78"/>
  <c r="N91" i="67"/>
  <c r="H4" i="78"/>
  <c r="AE8" i="79"/>
  <c r="AE7" i="79" s="1"/>
  <c r="F52" i="78"/>
  <c r="AF14" i="78"/>
  <c r="T19" i="2"/>
  <c r="J19" i="2"/>
  <c r="AG14" i="83" s="1"/>
  <c r="H6" i="78"/>
  <c r="AE13" i="79"/>
  <c r="F57" i="78"/>
  <c r="K71" i="74"/>
  <c r="K74" i="74" s="1"/>
  <c r="K59" i="74"/>
  <c r="J14" i="1"/>
  <c r="J22" i="2" s="1"/>
  <c r="K127" i="74"/>
  <c r="K126" i="74"/>
  <c r="J13" i="2"/>
  <c r="J9" i="2"/>
  <c r="AG4" i="83" s="1"/>
  <c r="J114" i="74"/>
  <c r="J111" i="74"/>
  <c r="S22" i="2"/>
  <c r="H55" i="65"/>
  <c r="J112" i="74"/>
  <c r="J115" i="74"/>
  <c r="H22" i="65"/>
  <c r="J113" i="74"/>
  <c r="J110" i="74"/>
  <c r="H50" i="65"/>
  <c r="J16" i="1"/>
  <c r="K35" i="74"/>
  <c r="K39" i="74" s="1"/>
  <c r="I20" i="65" s="1"/>
  <c r="K104" i="74"/>
  <c r="K107" i="74" s="1"/>
  <c r="B27" i="73"/>
  <c r="B28" i="73"/>
  <c r="B26" i="73"/>
  <c r="B53" i="73"/>
  <c r="B54" i="73"/>
  <c r="B52" i="73"/>
  <c r="B85" i="73"/>
  <c r="B86" i="73"/>
  <c r="B87" i="73"/>
  <c r="B84" i="73"/>
  <c r="L9" i="73"/>
  <c r="J9" i="73"/>
  <c r="H9" i="73"/>
  <c r="F9" i="73"/>
  <c r="O91" i="85" l="1"/>
  <c r="O93" i="85" s="1"/>
  <c r="AG17" i="78"/>
  <c r="AG17" i="83"/>
  <c r="AG4" i="84"/>
  <c r="H35" i="83"/>
  <c r="AF8" i="84"/>
  <c r="AF7" i="84" s="1"/>
  <c r="G52" i="83"/>
  <c r="AF13" i="84"/>
  <c r="G57" i="83"/>
  <c r="AG8" i="78"/>
  <c r="AG8" i="83"/>
  <c r="F98" i="73"/>
  <c r="BI9" i="73"/>
  <c r="H98" i="73"/>
  <c r="BJ9" i="73"/>
  <c r="J98" i="73"/>
  <c r="BK9" i="73"/>
  <c r="L98" i="73"/>
  <c r="BL9" i="73"/>
  <c r="C112" i="73"/>
  <c r="AF13" i="79"/>
  <c r="G57" i="78"/>
  <c r="U9" i="2"/>
  <c r="AG4" i="78"/>
  <c r="N93" i="67"/>
  <c r="O91" i="67"/>
  <c r="O93" i="67" s="1"/>
  <c r="AF4" i="79"/>
  <c r="G35" i="78"/>
  <c r="AF8" i="79"/>
  <c r="AF7" i="79" s="1"/>
  <c r="G52" i="78"/>
  <c r="AG14" i="78"/>
  <c r="U19" i="2"/>
  <c r="V19" i="2"/>
  <c r="V9" i="2"/>
  <c r="K114" i="74"/>
  <c r="K111" i="74"/>
  <c r="I55" i="65"/>
  <c r="K112" i="74"/>
  <c r="K115" i="74"/>
  <c r="I22" i="65"/>
  <c r="K113" i="74"/>
  <c r="K110" i="74"/>
  <c r="V22" i="2"/>
  <c r="U22" i="2"/>
  <c r="I50" i="65"/>
  <c r="AG13" i="84" l="1"/>
  <c r="AG12" i="84" s="1"/>
  <c r="H57" i="83"/>
  <c r="AG8" i="84"/>
  <c r="AG7" i="84" s="1"/>
  <c r="H52" i="83"/>
  <c r="AG4" i="79"/>
  <c r="H35" i="78"/>
  <c r="AG8" i="79"/>
  <c r="AG7" i="79" s="1"/>
  <c r="H52" i="78"/>
  <c r="AG13" i="79"/>
  <c r="AG12" i="79" s="1"/>
  <c r="H57" i="78"/>
  <c r="I81" i="39"/>
  <c r="R15" i="78" l="1"/>
  <c r="V81" i="39"/>
  <c r="R15" i="83" s="1"/>
  <c r="I92" i="39"/>
  <c r="V92" i="39" s="1"/>
  <c r="D102" i="39"/>
  <c r="E102" i="39"/>
  <c r="F102" i="39"/>
  <c r="G102" i="39"/>
  <c r="H102" i="39"/>
  <c r="C102" i="39"/>
  <c r="AV90" i="53" l="1"/>
  <c r="CX90" i="53" s="1"/>
  <c r="AU90" i="53"/>
  <c r="CW90" i="53" s="1"/>
  <c r="AT90" i="53"/>
  <c r="CV90" i="53" s="1"/>
  <c r="AS90" i="53"/>
  <c r="CU90" i="53" s="1"/>
  <c r="AR90" i="53"/>
  <c r="CT90" i="53" s="1"/>
  <c r="AQ90" i="53"/>
  <c r="CS90" i="53" s="1"/>
  <c r="AQ17" i="53" l="1"/>
  <c r="CS17" i="53" s="1"/>
  <c r="G35" i="48" l="1"/>
  <c r="N35" i="48" s="1"/>
  <c r="F35" i="48"/>
  <c r="M35" i="48" s="1"/>
  <c r="E35" i="48"/>
  <c r="L35" i="48" s="1"/>
  <c r="D35" i="48"/>
  <c r="K35" i="48" s="1"/>
  <c r="C35" i="48"/>
  <c r="J35" i="48" s="1"/>
  <c r="B35" i="48"/>
  <c r="B34" i="48" l="1"/>
  <c r="I34" i="48" s="1"/>
  <c r="I35" i="48"/>
  <c r="Y24" i="73"/>
  <c r="BS24" i="73" s="1"/>
  <c r="AN64" i="53"/>
  <c r="CQ64" i="53" s="1"/>
  <c r="AM64" i="53"/>
  <c r="CP64" i="53" s="1"/>
  <c r="AL64" i="53"/>
  <c r="CO64" i="53" s="1"/>
  <c r="AK64" i="53"/>
  <c r="CN64" i="53" s="1"/>
  <c r="AJ64" i="53"/>
  <c r="CM64" i="53" s="1"/>
  <c r="AF64" i="53"/>
  <c r="CJ64" i="53" s="1"/>
  <c r="AE64" i="53"/>
  <c r="CI64" i="53" s="1"/>
  <c r="AD64" i="53"/>
  <c r="CH64" i="53" s="1"/>
  <c r="AC64" i="53"/>
  <c r="CG64" i="53" s="1"/>
  <c r="AB64" i="53"/>
  <c r="CF64" i="53" s="1"/>
  <c r="AA64" i="53"/>
  <c r="CE64" i="53" s="1"/>
  <c r="X64" i="53"/>
  <c r="CC64" i="53" s="1"/>
  <c r="W64" i="53"/>
  <c r="CB64" i="53" s="1"/>
  <c r="V64" i="53"/>
  <c r="CA64" i="53" s="1"/>
  <c r="U64" i="53"/>
  <c r="BZ64" i="53" s="1"/>
  <c r="T64" i="53"/>
  <c r="BY64" i="53" s="1"/>
  <c r="S64" i="53"/>
  <c r="BX64" i="53" s="1"/>
  <c r="O64" i="53"/>
  <c r="BU64" i="53" s="1"/>
  <c r="N64" i="53"/>
  <c r="BT64" i="53" s="1"/>
  <c r="M64" i="53"/>
  <c r="BS64" i="53" s="1"/>
  <c r="L64" i="53"/>
  <c r="BR64" i="53" s="1"/>
  <c r="K64" i="53"/>
  <c r="BQ64" i="53" s="1"/>
  <c r="H64" i="53"/>
  <c r="BO64" i="53" s="1"/>
  <c r="AH64" i="53" l="1"/>
  <c r="AG64" i="53"/>
  <c r="CK64" i="53" s="1"/>
  <c r="R64" i="53"/>
  <c r="Q64" i="53"/>
  <c r="BW64" i="53" s="1"/>
  <c r="Z64" i="53"/>
  <c r="Y64" i="53"/>
  <c r="CD64" i="53" s="1"/>
  <c r="Y64" i="73"/>
  <c r="BS64" i="73" s="1"/>
  <c r="AJ64" i="73"/>
  <c r="BY64" i="73" s="1"/>
  <c r="N64" i="73"/>
  <c r="BM64" i="73" s="1"/>
  <c r="AI64" i="53"/>
  <c r="AG64" i="73"/>
  <c r="AF64" i="73"/>
  <c r="BW64" i="73" s="1"/>
  <c r="AA64" i="73"/>
  <c r="Z64" i="73"/>
  <c r="BT64" i="73" s="1"/>
  <c r="AT64" i="73"/>
  <c r="AS64" i="73"/>
  <c r="CD64" i="73" s="1"/>
  <c r="Q64" i="73"/>
  <c r="BO64" i="73" s="1"/>
  <c r="R64" i="73"/>
  <c r="AC64" i="73"/>
  <c r="AB64" i="73"/>
  <c r="BU64" i="73" s="1"/>
  <c r="AN64" i="73"/>
  <c r="AM64" i="73"/>
  <c r="CA64" i="73" s="1"/>
  <c r="AG24" i="73"/>
  <c r="AF24" i="73"/>
  <c r="BW24" i="73" s="1"/>
  <c r="U64" i="73"/>
  <c r="BQ64" i="73" s="1"/>
  <c r="V64" i="73"/>
  <c r="AQ64" i="73"/>
  <c r="CC64" i="73" s="1"/>
  <c r="AR64" i="73"/>
  <c r="AC24" i="73"/>
  <c r="AB24" i="73"/>
  <c r="BU24" i="73" s="1"/>
  <c r="P64" i="73"/>
  <c r="O64" i="73"/>
  <c r="BN64" i="73" s="1"/>
  <c r="AH64" i="73"/>
  <c r="BX64" i="73" s="1"/>
  <c r="AI64" i="73"/>
  <c r="AL64" i="73"/>
  <c r="AK64" i="73"/>
  <c r="BZ64" i="73" s="1"/>
  <c r="AD24" i="73"/>
  <c r="BV24" i="73" s="1"/>
  <c r="AE24" i="73"/>
  <c r="T64" i="73"/>
  <c r="S64" i="73"/>
  <c r="BP64" i="73" s="1"/>
  <c r="AD64" i="73"/>
  <c r="BV64" i="73" s="1"/>
  <c r="AE64" i="73"/>
  <c r="AP64" i="73"/>
  <c r="AO64" i="73"/>
  <c r="CB64" i="73" s="1"/>
  <c r="AA24" i="73"/>
  <c r="Z24" i="73"/>
  <c r="BT24" i="73" s="1"/>
  <c r="AH24" i="73"/>
  <c r="BX24" i="73" s="1"/>
  <c r="AI24" i="73"/>
  <c r="AM39" i="60"/>
  <c r="CJ39" i="60" s="1"/>
  <c r="AQ43" i="60"/>
  <c r="CN43" i="60" s="1"/>
  <c r="E64" i="53"/>
  <c r="BL64" i="53" s="1"/>
  <c r="AM43" i="60"/>
  <c r="CJ43" i="60" s="1"/>
  <c r="C64" i="53"/>
  <c r="BJ64" i="53" s="1"/>
  <c r="AS43" i="60"/>
  <c r="CP43" i="60" s="1"/>
  <c r="G64" i="53"/>
  <c r="BN64" i="53" s="1"/>
  <c r="AR39" i="60"/>
  <c r="CO39" i="60" s="1"/>
  <c r="AP43" i="60"/>
  <c r="CM43" i="60" s="1"/>
  <c r="D64" i="53"/>
  <c r="BK64" i="53" s="1"/>
  <c r="P64" i="53"/>
  <c r="BV64" i="53" s="1"/>
  <c r="AS39" i="60"/>
  <c r="CP39" i="60" s="1"/>
  <c r="AR43" i="60"/>
  <c r="CO43" i="60" s="1"/>
  <c r="F64" i="53"/>
  <c r="BM64" i="53" s="1"/>
  <c r="AT43" i="60"/>
  <c r="CQ43" i="60" s="1"/>
  <c r="AQ39" i="60"/>
  <c r="CN39" i="60" s="1"/>
  <c r="AP39" i="60"/>
  <c r="AT39" i="60"/>
  <c r="CQ39" i="60" s="1"/>
  <c r="BH64" i="53"/>
  <c r="DJ64" i="53" s="1"/>
  <c r="AV64" i="73" l="1"/>
  <c r="CF64" i="73" s="1"/>
  <c r="CL64" i="53"/>
  <c r="AU39" i="60"/>
  <c r="CM39" i="60"/>
  <c r="AP64" i="53"/>
  <c r="AO64" i="53"/>
  <c r="CR64" i="53" s="1"/>
  <c r="AU43" i="60"/>
  <c r="J64" i="53"/>
  <c r="I64" i="53"/>
  <c r="BP64" i="53" s="1"/>
  <c r="AU64" i="73"/>
  <c r="CE64" i="73" s="1"/>
  <c r="C64" i="73"/>
  <c r="BG64" i="73" s="1"/>
  <c r="BD64" i="73"/>
  <c r="CJ64" i="73" s="1"/>
  <c r="AZ64" i="73"/>
  <c r="CH64" i="73" s="1"/>
  <c r="AY64" i="73"/>
  <c r="BC64" i="73"/>
  <c r="AW64" i="73"/>
  <c r="AX64" i="73"/>
  <c r="CG64" i="73" s="1"/>
  <c r="BE64" i="73"/>
  <c r="BA64" i="73"/>
  <c r="BB64" i="73"/>
  <c r="CI64" i="73" s="1"/>
  <c r="BF64" i="53"/>
  <c r="DH64" i="53" s="1"/>
  <c r="I64" i="73"/>
  <c r="H64" i="73"/>
  <c r="BJ64" i="73" s="1"/>
  <c r="X64" i="73"/>
  <c r="W64" i="73"/>
  <c r="BR64" i="73" s="1"/>
  <c r="L64" i="73"/>
  <c r="BL64" i="73" s="1"/>
  <c r="BD64" i="53"/>
  <c r="DF64" i="53" s="1"/>
  <c r="E64" i="73"/>
  <c r="D64" i="73"/>
  <c r="BH64" i="73" s="1"/>
  <c r="BG64" i="53"/>
  <c r="DI64" i="53" s="1"/>
  <c r="K64" i="73"/>
  <c r="J64" i="73"/>
  <c r="BK64" i="73" s="1"/>
  <c r="BE64" i="53"/>
  <c r="DG64" i="53" s="1"/>
  <c r="G64" i="73"/>
  <c r="F64" i="73"/>
  <c r="BI64" i="73" s="1"/>
  <c r="M64" i="73"/>
  <c r="BB64" i="53"/>
  <c r="DD64" i="53" s="1"/>
  <c r="AW64" i="53"/>
  <c r="CY64" i="53" s="1"/>
  <c r="AX64" i="53"/>
  <c r="CZ64" i="53" s="1"/>
  <c r="BC64" i="53"/>
  <c r="DE64" i="53" s="1"/>
  <c r="AY64" i="53"/>
  <c r="DA64" i="53" s="1"/>
  <c r="BA64" i="53"/>
  <c r="DC64" i="53" s="1"/>
  <c r="AZ64" i="53"/>
  <c r="DB64" i="53" s="1"/>
  <c r="AH213" i="50" l="1"/>
  <c r="AA213" i="50"/>
  <c r="T213" i="50"/>
  <c r="M213" i="50"/>
  <c r="F213" i="50"/>
  <c r="AH212" i="50"/>
  <c r="AA212" i="50"/>
  <c r="T212" i="50"/>
  <c r="M212" i="50"/>
  <c r="AH211" i="50"/>
  <c r="AA211" i="50"/>
  <c r="T211" i="50"/>
  <c r="M211" i="50"/>
  <c r="AH210" i="50"/>
  <c r="AA210" i="50"/>
  <c r="M210" i="50"/>
  <c r="F210" i="50"/>
  <c r="AH209" i="50"/>
  <c r="AA209" i="50"/>
  <c r="T209" i="50"/>
  <c r="F209" i="50"/>
  <c r="AH208" i="50"/>
  <c r="AA208" i="50"/>
  <c r="T208" i="50"/>
  <c r="M208" i="50"/>
  <c r="AH207" i="50"/>
  <c r="AA207" i="50"/>
  <c r="T207" i="50"/>
  <c r="M207" i="50"/>
  <c r="AH206" i="50"/>
  <c r="AA206" i="50"/>
  <c r="T206" i="50"/>
  <c r="M206" i="50"/>
  <c r="F206" i="50"/>
  <c r="AH205" i="50"/>
  <c r="AA205" i="50"/>
  <c r="T205" i="50"/>
  <c r="M205" i="50"/>
  <c r="AH204" i="50"/>
  <c r="AA204" i="50"/>
  <c r="T204" i="50"/>
  <c r="M204" i="50"/>
  <c r="F204" i="50"/>
  <c r="AH203" i="50"/>
  <c r="AA203" i="50"/>
  <c r="T203" i="50"/>
  <c r="M203" i="50"/>
  <c r="AH202" i="50"/>
  <c r="AA202" i="50"/>
  <c r="T202" i="50"/>
  <c r="M202" i="50"/>
  <c r="AH201" i="50"/>
  <c r="AA201" i="50"/>
  <c r="T201" i="50"/>
  <c r="M201" i="50"/>
  <c r="AH200" i="50"/>
  <c r="AA200" i="50"/>
  <c r="T200" i="50"/>
  <c r="M200" i="50"/>
  <c r="F200" i="50"/>
  <c r="AH199" i="50"/>
  <c r="AA199" i="50"/>
  <c r="T199" i="50"/>
  <c r="M199" i="50"/>
  <c r="AH198" i="50"/>
  <c r="AA198" i="50"/>
  <c r="T198" i="50"/>
  <c r="M198" i="50"/>
  <c r="AH197" i="50"/>
  <c r="AA197" i="50"/>
  <c r="T197" i="50"/>
  <c r="M197" i="50"/>
  <c r="AH196" i="50"/>
  <c r="AA196" i="50"/>
  <c r="T196" i="50"/>
  <c r="M196" i="50"/>
  <c r="F196" i="50"/>
  <c r="AH195" i="50"/>
  <c r="AA195" i="50"/>
  <c r="T195" i="50"/>
  <c r="M195" i="50"/>
  <c r="F195" i="50"/>
  <c r="AH194" i="50"/>
  <c r="AA194" i="50"/>
  <c r="T194" i="50"/>
  <c r="M194" i="50"/>
  <c r="AH193" i="50"/>
  <c r="AA193" i="50"/>
  <c r="T193" i="50"/>
  <c r="M193" i="50"/>
  <c r="AN108" i="51"/>
  <c r="CE108" i="51" s="1"/>
  <c r="AN107" i="51"/>
  <c r="CE107" i="51" s="1"/>
  <c r="AN106" i="51"/>
  <c r="CE106" i="51" s="1"/>
  <c r="AN105" i="51"/>
  <c r="CE105" i="51" s="1"/>
  <c r="AN104" i="51"/>
  <c r="CE104" i="51" s="1"/>
  <c r="AN103" i="51"/>
  <c r="CE103" i="51" s="1"/>
  <c r="AN102" i="51"/>
  <c r="CE102" i="51" s="1"/>
  <c r="AN101" i="51"/>
  <c r="CE101" i="51" s="1"/>
  <c r="AN100" i="51"/>
  <c r="CE100" i="51" s="1"/>
  <c r="AN98" i="51"/>
  <c r="CE98" i="51" s="1"/>
  <c r="AN97" i="51"/>
  <c r="CE97" i="51" s="1"/>
  <c r="AN96" i="51"/>
  <c r="CE96" i="51" s="1"/>
  <c r="AN95" i="51"/>
  <c r="CE95" i="51" s="1"/>
  <c r="AN93" i="51"/>
  <c r="CE93" i="51" s="1"/>
  <c r="AN92" i="51"/>
  <c r="CE92" i="51" s="1"/>
  <c r="AN91" i="51"/>
  <c r="CE91" i="51" s="1"/>
  <c r="AN90" i="51"/>
  <c r="CE90" i="51" s="1"/>
  <c r="AN89" i="51"/>
  <c r="CE89" i="51" s="1"/>
  <c r="AN88" i="51"/>
  <c r="CE88" i="51" s="1"/>
  <c r="AN87" i="51"/>
  <c r="CE87" i="51" s="1"/>
  <c r="AN86" i="51"/>
  <c r="CE86" i="51" s="1"/>
  <c r="AN85" i="51"/>
  <c r="CE85" i="51" s="1"/>
  <c r="AN84" i="51"/>
  <c r="CE84" i="51" s="1"/>
  <c r="AN82" i="51"/>
  <c r="CE82" i="51" s="1"/>
  <c r="AN81" i="51"/>
  <c r="CE81" i="51" s="1"/>
  <c r="AN78" i="51"/>
  <c r="CE78" i="51" s="1"/>
  <c r="AN77" i="51"/>
  <c r="CE77" i="51" s="1"/>
  <c r="AN76" i="51"/>
  <c r="CE76" i="51" s="1"/>
  <c r="AN75" i="51"/>
  <c r="CE75" i="51" s="1"/>
  <c r="AN73" i="51"/>
  <c r="CE73" i="51" s="1"/>
  <c r="AN72" i="51"/>
  <c r="CE72" i="51" s="1"/>
  <c r="AN70" i="51"/>
  <c r="CE70" i="51" s="1"/>
  <c r="AN69" i="51"/>
  <c r="CE69" i="51" s="1"/>
  <c r="AN68" i="51"/>
  <c r="CE68" i="51" s="1"/>
  <c r="AN66" i="51"/>
  <c r="CE66" i="51" s="1"/>
  <c r="AN65" i="51"/>
  <c r="CE65" i="51" s="1"/>
  <c r="AN63" i="51"/>
  <c r="CE63" i="51" s="1"/>
  <c r="AN62" i="51"/>
  <c r="CE62" i="51" s="1"/>
  <c r="AN59" i="51"/>
  <c r="CE59" i="51" s="1"/>
  <c r="AN58" i="51"/>
  <c r="CE58" i="51" s="1"/>
  <c r="AN57" i="51"/>
  <c r="CE57" i="51" s="1"/>
  <c r="AN56" i="51"/>
  <c r="CE56" i="51" s="1"/>
  <c r="AN55" i="51"/>
  <c r="CE55" i="51" s="1"/>
  <c r="AN54" i="51"/>
  <c r="CE54" i="51" s="1"/>
  <c r="AN53" i="51"/>
  <c r="CE53" i="51" s="1"/>
  <c r="AN52" i="51"/>
  <c r="CE52" i="51" s="1"/>
  <c r="AN51" i="51"/>
  <c r="CE51" i="51" s="1"/>
  <c r="AN49" i="51"/>
  <c r="CE49" i="51" s="1"/>
  <c r="AN48" i="51"/>
  <c r="CE48" i="51" s="1"/>
  <c r="AN47" i="51"/>
  <c r="CE47" i="51" s="1"/>
  <c r="AN46" i="51"/>
  <c r="CE46" i="51" s="1"/>
  <c r="AN44" i="51"/>
  <c r="CE44" i="51" s="1"/>
  <c r="AN43" i="51"/>
  <c r="CE43" i="51" s="1"/>
  <c r="AN42" i="51"/>
  <c r="CE42" i="51" s="1"/>
  <c r="AN41" i="51"/>
  <c r="CE41" i="51" s="1"/>
  <c r="AN40" i="51"/>
  <c r="CE40" i="51" s="1"/>
  <c r="AN39" i="51"/>
  <c r="CE39" i="51" s="1"/>
  <c r="AN38" i="51"/>
  <c r="CE38" i="51" s="1"/>
  <c r="AN37" i="51"/>
  <c r="CE37" i="51" s="1"/>
  <c r="AN36" i="51"/>
  <c r="CE36" i="51" s="1"/>
  <c r="AN35" i="51"/>
  <c r="CE35" i="51" s="1"/>
  <c r="AN33" i="51"/>
  <c r="CE33" i="51" s="1"/>
  <c r="AN32" i="51"/>
  <c r="CE32" i="51" s="1"/>
  <c r="AN29" i="51"/>
  <c r="CE29" i="51" s="1"/>
  <c r="AN28" i="51"/>
  <c r="CE28" i="51" s="1"/>
  <c r="AN27" i="51"/>
  <c r="CE27" i="51" s="1"/>
  <c r="AN26" i="51"/>
  <c r="CE26" i="51" s="1"/>
  <c r="AN24" i="51"/>
  <c r="CE24" i="51" s="1"/>
  <c r="AN23" i="51"/>
  <c r="CE23" i="51" s="1"/>
  <c r="AN21" i="51"/>
  <c r="CE21" i="51" s="1"/>
  <c r="AN20" i="51"/>
  <c r="CE20" i="51" s="1"/>
  <c r="AN19" i="51"/>
  <c r="CE19" i="51" s="1"/>
  <c r="AN17" i="51"/>
  <c r="CE17" i="51" s="1"/>
  <c r="AN16" i="51"/>
  <c r="CE16" i="51" s="1"/>
  <c r="AN14" i="51"/>
  <c r="CE14" i="51" s="1"/>
  <c r="AN13" i="51"/>
  <c r="CE13" i="51" s="1"/>
  <c r="AG108" i="51"/>
  <c r="BX108" i="51" s="1"/>
  <c r="AG107" i="51"/>
  <c r="BX107" i="51" s="1"/>
  <c r="AG106" i="51"/>
  <c r="BX106" i="51" s="1"/>
  <c r="AG105" i="51"/>
  <c r="BX105" i="51" s="1"/>
  <c r="AG104" i="51"/>
  <c r="BX104" i="51" s="1"/>
  <c r="AG103" i="51"/>
  <c r="BX103" i="51" s="1"/>
  <c r="AG102" i="51"/>
  <c r="BX102" i="51" s="1"/>
  <c r="AG101" i="51"/>
  <c r="BX101" i="51" s="1"/>
  <c r="AG100" i="51"/>
  <c r="BX100" i="51" s="1"/>
  <c r="AG98" i="51"/>
  <c r="BX98" i="51" s="1"/>
  <c r="AG97" i="51"/>
  <c r="BX97" i="51" s="1"/>
  <c r="AG96" i="51"/>
  <c r="BX96" i="51" s="1"/>
  <c r="AG95" i="51"/>
  <c r="BX95" i="51" s="1"/>
  <c r="AG93" i="51"/>
  <c r="BX93" i="51" s="1"/>
  <c r="AG92" i="51"/>
  <c r="BX92" i="51" s="1"/>
  <c r="AG91" i="51"/>
  <c r="BX91" i="51" s="1"/>
  <c r="AG90" i="51"/>
  <c r="BX90" i="51" s="1"/>
  <c r="AG89" i="51"/>
  <c r="BX89" i="51" s="1"/>
  <c r="AG88" i="51"/>
  <c r="BX88" i="51" s="1"/>
  <c r="AG87" i="51"/>
  <c r="BX87" i="51" s="1"/>
  <c r="AG86" i="51"/>
  <c r="BX86" i="51" s="1"/>
  <c r="AG85" i="51"/>
  <c r="BX85" i="51" s="1"/>
  <c r="AG84" i="51"/>
  <c r="BX84" i="51" s="1"/>
  <c r="AG82" i="51"/>
  <c r="BX82" i="51" s="1"/>
  <c r="AG81" i="51"/>
  <c r="BX81" i="51" s="1"/>
  <c r="AG78" i="51"/>
  <c r="BX78" i="51" s="1"/>
  <c r="AG77" i="51"/>
  <c r="BX77" i="51" s="1"/>
  <c r="AG76" i="51"/>
  <c r="BX76" i="51" s="1"/>
  <c r="AG75" i="51"/>
  <c r="BX75" i="51" s="1"/>
  <c r="AG73" i="51"/>
  <c r="BX73" i="51" s="1"/>
  <c r="AG72" i="51"/>
  <c r="BX72" i="51" s="1"/>
  <c r="AG70" i="51"/>
  <c r="BX70" i="51" s="1"/>
  <c r="AG69" i="51"/>
  <c r="BX69" i="51" s="1"/>
  <c r="AG68" i="51"/>
  <c r="BX68" i="51" s="1"/>
  <c r="AG66" i="51"/>
  <c r="BX66" i="51" s="1"/>
  <c r="AG65" i="51"/>
  <c r="AG63" i="51"/>
  <c r="BX63" i="51" s="1"/>
  <c r="AG62" i="51"/>
  <c r="BX62" i="51" s="1"/>
  <c r="AG59" i="51"/>
  <c r="BX59" i="51" s="1"/>
  <c r="AG58" i="51"/>
  <c r="BX58" i="51" s="1"/>
  <c r="AG57" i="51"/>
  <c r="BX57" i="51" s="1"/>
  <c r="AG56" i="51"/>
  <c r="BX56" i="51" s="1"/>
  <c r="AG55" i="51"/>
  <c r="BX55" i="51" s="1"/>
  <c r="AG54" i="51"/>
  <c r="BX54" i="51" s="1"/>
  <c r="AG53" i="51"/>
  <c r="BX53" i="51" s="1"/>
  <c r="AG52" i="51"/>
  <c r="BX52" i="51" s="1"/>
  <c r="AG51" i="51"/>
  <c r="BX51" i="51" s="1"/>
  <c r="AG49" i="51"/>
  <c r="BX49" i="51" s="1"/>
  <c r="AG48" i="51"/>
  <c r="BX48" i="51" s="1"/>
  <c r="AG47" i="51"/>
  <c r="BX47" i="51" s="1"/>
  <c r="AG46" i="51"/>
  <c r="BX46" i="51" s="1"/>
  <c r="AG44" i="51"/>
  <c r="BX44" i="51" s="1"/>
  <c r="AG43" i="51"/>
  <c r="BX43" i="51" s="1"/>
  <c r="AG42" i="51"/>
  <c r="BX42" i="51" s="1"/>
  <c r="AG41" i="51"/>
  <c r="BX41" i="51" s="1"/>
  <c r="AG40" i="51"/>
  <c r="BX40" i="51" s="1"/>
  <c r="AG39" i="51"/>
  <c r="BX39" i="51" s="1"/>
  <c r="AG38" i="51"/>
  <c r="BX38" i="51" s="1"/>
  <c r="AG37" i="51"/>
  <c r="BX37" i="51" s="1"/>
  <c r="AG36" i="51"/>
  <c r="BX36" i="51" s="1"/>
  <c r="AG35" i="51"/>
  <c r="BX35" i="51" s="1"/>
  <c r="AG33" i="51"/>
  <c r="BX33" i="51" s="1"/>
  <c r="AG32" i="51"/>
  <c r="BX32" i="51" s="1"/>
  <c r="AG29" i="51"/>
  <c r="BX29" i="51" s="1"/>
  <c r="AG28" i="51"/>
  <c r="BX28" i="51" s="1"/>
  <c r="AG27" i="51"/>
  <c r="BX27" i="51" s="1"/>
  <c r="AG26" i="51"/>
  <c r="BX26" i="51" s="1"/>
  <c r="AG24" i="51"/>
  <c r="BX24" i="51" s="1"/>
  <c r="AG23" i="51"/>
  <c r="BX23" i="51" s="1"/>
  <c r="AG21" i="51"/>
  <c r="BX21" i="51" s="1"/>
  <c r="AG20" i="51"/>
  <c r="BX20" i="51" s="1"/>
  <c r="AG19" i="51"/>
  <c r="BX19" i="51" s="1"/>
  <c r="AG17" i="51"/>
  <c r="BX17" i="51" s="1"/>
  <c r="AG16" i="51"/>
  <c r="BX16" i="51" s="1"/>
  <c r="AG14" i="51"/>
  <c r="BX14" i="51" s="1"/>
  <c r="AG13" i="51"/>
  <c r="BX13" i="51" s="1"/>
  <c r="Z108" i="51"/>
  <c r="BQ108" i="51" s="1"/>
  <c r="Z107" i="51"/>
  <c r="BQ107" i="51" s="1"/>
  <c r="Z106" i="51"/>
  <c r="BQ106" i="51" s="1"/>
  <c r="Z105" i="51"/>
  <c r="BQ105" i="51" s="1"/>
  <c r="Z104" i="51"/>
  <c r="BQ104" i="51" s="1"/>
  <c r="Z103" i="51"/>
  <c r="BQ103" i="51" s="1"/>
  <c r="Z102" i="51"/>
  <c r="BQ102" i="51" s="1"/>
  <c r="Z101" i="51"/>
  <c r="BQ101" i="51" s="1"/>
  <c r="Z100" i="51"/>
  <c r="BQ100" i="51" s="1"/>
  <c r="Z98" i="51"/>
  <c r="BQ98" i="51" s="1"/>
  <c r="Z97" i="51"/>
  <c r="BQ97" i="51" s="1"/>
  <c r="Z96" i="51"/>
  <c r="BQ96" i="51" s="1"/>
  <c r="Z95" i="51"/>
  <c r="BQ95" i="51" s="1"/>
  <c r="Z93" i="51"/>
  <c r="BQ93" i="51" s="1"/>
  <c r="Z92" i="51"/>
  <c r="BQ92" i="51" s="1"/>
  <c r="Z91" i="51"/>
  <c r="BQ91" i="51" s="1"/>
  <c r="Z90" i="51"/>
  <c r="BQ90" i="51" s="1"/>
  <c r="Z89" i="51"/>
  <c r="BQ89" i="51" s="1"/>
  <c r="Z88" i="51"/>
  <c r="BQ88" i="51" s="1"/>
  <c r="Z87" i="51"/>
  <c r="BQ87" i="51" s="1"/>
  <c r="Z86" i="51"/>
  <c r="BQ86" i="51" s="1"/>
  <c r="Z85" i="51"/>
  <c r="BQ85" i="51" s="1"/>
  <c r="Z84" i="51"/>
  <c r="BQ84" i="51" s="1"/>
  <c r="Z82" i="51"/>
  <c r="BQ82" i="51" s="1"/>
  <c r="Z81" i="51"/>
  <c r="BQ81" i="51" s="1"/>
  <c r="Z78" i="51"/>
  <c r="BQ78" i="51" s="1"/>
  <c r="Z77" i="51"/>
  <c r="BQ77" i="51" s="1"/>
  <c r="Z76" i="51"/>
  <c r="BQ76" i="51" s="1"/>
  <c r="Z75" i="51"/>
  <c r="BQ75" i="51" s="1"/>
  <c r="Z73" i="51"/>
  <c r="BQ73" i="51" s="1"/>
  <c r="Z72" i="51"/>
  <c r="BQ72" i="51" s="1"/>
  <c r="Z70" i="51"/>
  <c r="BQ70" i="51" s="1"/>
  <c r="Z69" i="51"/>
  <c r="BQ69" i="51" s="1"/>
  <c r="Z68" i="51"/>
  <c r="BQ68" i="51" s="1"/>
  <c r="Z66" i="51"/>
  <c r="BQ66" i="51" s="1"/>
  <c r="Z65" i="51"/>
  <c r="BQ65" i="51" s="1"/>
  <c r="Z63" i="51"/>
  <c r="BQ63" i="51" s="1"/>
  <c r="Z62" i="51"/>
  <c r="BQ62" i="51" s="1"/>
  <c r="Z59" i="51"/>
  <c r="BQ59" i="51" s="1"/>
  <c r="Z58" i="51"/>
  <c r="BQ58" i="51" s="1"/>
  <c r="Z57" i="51"/>
  <c r="BQ57" i="51" s="1"/>
  <c r="Z56" i="51"/>
  <c r="BQ56" i="51" s="1"/>
  <c r="Z55" i="51"/>
  <c r="BQ55" i="51" s="1"/>
  <c r="Z54" i="51"/>
  <c r="BQ54" i="51" s="1"/>
  <c r="Z53" i="51"/>
  <c r="BQ53" i="51" s="1"/>
  <c r="Z52" i="51"/>
  <c r="BQ52" i="51" s="1"/>
  <c r="Z51" i="51"/>
  <c r="BQ51" i="51" s="1"/>
  <c r="Z49" i="51"/>
  <c r="BQ49" i="51" s="1"/>
  <c r="Z48" i="51"/>
  <c r="BQ48" i="51" s="1"/>
  <c r="Z47" i="51"/>
  <c r="BQ47" i="51" s="1"/>
  <c r="Z46" i="51"/>
  <c r="BQ46" i="51" s="1"/>
  <c r="Z44" i="51"/>
  <c r="BQ44" i="51" s="1"/>
  <c r="Z43" i="51"/>
  <c r="BQ43" i="51" s="1"/>
  <c r="Z42" i="51"/>
  <c r="BQ42" i="51" s="1"/>
  <c r="Z41" i="51"/>
  <c r="BQ41" i="51" s="1"/>
  <c r="Z40" i="51"/>
  <c r="BQ40" i="51" s="1"/>
  <c r="Z39" i="51"/>
  <c r="BQ39" i="51" s="1"/>
  <c r="Z38" i="51"/>
  <c r="BQ38" i="51" s="1"/>
  <c r="Z37" i="51"/>
  <c r="BQ37" i="51" s="1"/>
  <c r="Z36" i="51"/>
  <c r="BQ36" i="51" s="1"/>
  <c r="Z35" i="51"/>
  <c r="BQ35" i="51" s="1"/>
  <c r="Z33" i="51"/>
  <c r="BQ33" i="51" s="1"/>
  <c r="Z32" i="51"/>
  <c r="BQ32" i="51" s="1"/>
  <c r="Z29" i="51"/>
  <c r="BQ29" i="51" s="1"/>
  <c r="Z28" i="51"/>
  <c r="BQ28" i="51" s="1"/>
  <c r="Z27" i="51"/>
  <c r="BQ27" i="51" s="1"/>
  <c r="Z26" i="51"/>
  <c r="BQ26" i="51" s="1"/>
  <c r="Z24" i="51"/>
  <c r="BQ24" i="51" s="1"/>
  <c r="Z23" i="51"/>
  <c r="BQ23" i="51" s="1"/>
  <c r="Z21" i="51"/>
  <c r="BQ21" i="51" s="1"/>
  <c r="Z20" i="51"/>
  <c r="BQ20" i="51" s="1"/>
  <c r="Z19" i="51"/>
  <c r="BQ19" i="51" s="1"/>
  <c r="Z17" i="51"/>
  <c r="BQ17" i="51" s="1"/>
  <c r="Z16" i="51"/>
  <c r="BQ16" i="51" s="1"/>
  <c r="Z14" i="51"/>
  <c r="BQ14" i="51" s="1"/>
  <c r="Z13" i="51"/>
  <c r="BQ13" i="51" s="1"/>
  <c r="S108" i="51"/>
  <c r="BJ108" i="51" s="1"/>
  <c r="S107" i="51"/>
  <c r="BJ107" i="51" s="1"/>
  <c r="S106" i="51"/>
  <c r="BJ106" i="51" s="1"/>
  <c r="S105" i="51"/>
  <c r="BJ105" i="51" s="1"/>
  <c r="S104" i="51"/>
  <c r="BJ104" i="51" s="1"/>
  <c r="S103" i="51"/>
  <c r="BJ103" i="51" s="1"/>
  <c r="S102" i="51"/>
  <c r="BJ102" i="51" s="1"/>
  <c r="S101" i="51"/>
  <c r="BJ101" i="51" s="1"/>
  <c r="S100" i="51"/>
  <c r="BJ100" i="51" s="1"/>
  <c r="S98" i="51"/>
  <c r="BJ98" i="51" s="1"/>
  <c r="S97" i="51"/>
  <c r="BJ97" i="51" s="1"/>
  <c r="S96" i="51"/>
  <c r="BJ96" i="51" s="1"/>
  <c r="S95" i="51"/>
  <c r="BJ95" i="51" s="1"/>
  <c r="S93" i="51"/>
  <c r="BJ93" i="51" s="1"/>
  <c r="S92" i="51"/>
  <c r="BJ92" i="51" s="1"/>
  <c r="S91" i="51"/>
  <c r="BJ91" i="51" s="1"/>
  <c r="S90" i="51"/>
  <c r="BJ90" i="51" s="1"/>
  <c r="S89" i="51"/>
  <c r="BJ89" i="51" s="1"/>
  <c r="S88" i="51"/>
  <c r="BJ88" i="51" s="1"/>
  <c r="S87" i="51"/>
  <c r="BJ87" i="51" s="1"/>
  <c r="S86" i="51"/>
  <c r="BJ86" i="51" s="1"/>
  <c r="S85" i="51"/>
  <c r="BJ85" i="51" s="1"/>
  <c r="S84" i="51"/>
  <c r="BJ84" i="51" s="1"/>
  <c r="S82" i="51"/>
  <c r="BJ82" i="51" s="1"/>
  <c r="S81" i="51"/>
  <c r="BJ81" i="51" s="1"/>
  <c r="S78" i="51"/>
  <c r="BJ78" i="51" s="1"/>
  <c r="S77" i="51"/>
  <c r="BJ77" i="51" s="1"/>
  <c r="S76" i="51"/>
  <c r="BJ76" i="51" s="1"/>
  <c r="S75" i="51"/>
  <c r="BJ75" i="51" s="1"/>
  <c r="S73" i="51"/>
  <c r="BJ73" i="51" s="1"/>
  <c r="S72" i="51"/>
  <c r="BJ72" i="51" s="1"/>
  <c r="S70" i="51"/>
  <c r="BJ70" i="51" s="1"/>
  <c r="S69" i="51"/>
  <c r="BJ69" i="51" s="1"/>
  <c r="S68" i="51"/>
  <c r="BJ68" i="51" s="1"/>
  <c r="S66" i="51"/>
  <c r="BJ66" i="51" s="1"/>
  <c r="S65" i="51"/>
  <c r="BJ65" i="51" s="1"/>
  <c r="S63" i="51"/>
  <c r="BJ63" i="51" s="1"/>
  <c r="S62" i="51"/>
  <c r="BJ62" i="51" s="1"/>
  <c r="S59" i="51"/>
  <c r="BJ59" i="51" s="1"/>
  <c r="S58" i="51"/>
  <c r="BJ58" i="51" s="1"/>
  <c r="S57" i="51"/>
  <c r="BJ57" i="51" s="1"/>
  <c r="S56" i="51"/>
  <c r="BJ56" i="51" s="1"/>
  <c r="S55" i="51"/>
  <c r="BJ55" i="51" s="1"/>
  <c r="S54" i="51"/>
  <c r="BJ54" i="51" s="1"/>
  <c r="S53" i="51"/>
  <c r="BJ53" i="51" s="1"/>
  <c r="S52" i="51"/>
  <c r="BJ52" i="51" s="1"/>
  <c r="S51" i="51"/>
  <c r="BJ51" i="51" s="1"/>
  <c r="S49" i="51"/>
  <c r="BJ49" i="51" s="1"/>
  <c r="S48" i="51"/>
  <c r="BJ48" i="51" s="1"/>
  <c r="S47" i="51"/>
  <c r="BJ47" i="51" s="1"/>
  <c r="S46" i="51"/>
  <c r="BJ46" i="51" s="1"/>
  <c r="S44" i="51"/>
  <c r="BJ44" i="51" s="1"/>
  <c r="S43" i="51"/>
  <c r="BJ43" i="51" s="1"/>
  <c r="S42" i="51"/>
  <c r="BJ42" i="51" s="1"/>
  <c r="S41" i="51"/>
  <c r="BJ41" i="51" s="1"/>
  <c r="S40" i="51"/>
  <c r="BJ40" i="51" s="1"/>
  <c r="S39" i="51"/>
  <c r="BJ39" i="51" s="1"/>
  <c r="S38" i="51"/>
  <c r="BJ38" i="51" s="1"/>
  <c r="S37" i="51"/>
  <c r="BJ37" i="51" s="1"/>
  <c r="S36" i="51"/>
  <c r="BJ36" i="51" s="1"/>
  <c r="S35" i="51"/>
  <c r="BJ35" i="51" s="1"/>
  <c r="S33" i="51"/>
  <c r="BJ33" i="51" s="1"/>
  <c r="S32" i="51"/>
  <c r="BJ32" i="51" s="1"/>
  <c r="S29" i="51"/>
  <c r="BJ29" i="51" s="1"/>
  <c r="S28" i="51"/>
  <c r="BJ28" i="51" s="1"/>
  <c r="S27" i="51"/>
  <c r="BJ27" i="51" s="1"/>
  <c r="S26" i="51"/>
  <c r="BJ26" i="51" s="1"/>
  <c r="S24" i="51"/>
  <c r="BJ24" i="51" s="1"/>
  <c r="S23" i="51"/>
  <c r="BJ23" i="51" s="1"/>
  <c r="S21" i="51"/>
  <c r="BJ21" i="51" s="1"/>
  <c r="S20" i="51"/>
  <c r="BJ20" i="51" s="1"/>
  <c r="S19" i="51"/>
  <c r="BJ19" i="51" s="1"/>
  <c r="S17" i="51"/>
  <c r="BJ17" i="51" s="1"/>
  <c r="S16" i="51"/>
  <c r="BJ16" i="51" s="1"/>
  <c r="S14" i="51"/>
  <c r="BJ14" i="51" s="1"/>
  <c r="S13" i="51"/>
  <c r="BJ13" i="51" s="1"/>
  <c r="L108" i="51"/>
  <c r="BC108" i="51" s="1"/>
  <c r="L107" i="51"/>
  <c r="BC107" i="51" s="1"/>
  <c r="L106" i="51"/>
  <c r="BC106" i="51" s="1"/>
  <c r="L105" i="51"/>
  <c r="BC105" i="51" s="1"/>
  <c r="L104" i="51"/>
  <c r="BC104" i="51" s="1"/>
  <c r="L103" i="51"/>
  <c r="BC103" i="51" s="1"/>
  <c r="L102" i="51"/>
  <c r="BC102" i="51" s="1"/>
  <c r="L101" i="51"/>
  <c r="BC101" i="51" s="1"/>
  <c r="L100" i="51"/>
  <c r="BC100" i="51" s="1"/>
  <c r="L98" i="51"/>
  <c r="BC98" i="51" s="1"/>
  <c r="L97" i="51"/>
  <c r="BC97" i="51" s="1"/>
  <c r="L96" i="51"/>
  <c r="BC96" i="51" s="1"/>
  <c r="L95" i="51"/>
  <c r="BC95" i="51" s="1"/>
  <c r="L93" i="51"/>
  <c r="BC93" i="51" s="1"/>
  <c r="L92" i="51"/>
  <c r="BC92" i="51" s="1"/>
  <c r="L91" i="51"/>
  <c r="BC91" i="51" s="1"/>
  <c r="L90" i="51"/>
  <c r="BC90" i="51" s="1"/>
  <c r="L89" i="51"/>
  <c r="BC89" i="51" s="1"/>
  <c r="L88" i="51"/>
  <c r="BC88" i="51" s="1"/>
  <c r="L87" i="51"/>
  <c r="BC87" i="51" s="1"/>
  <c r="L86" i="51"/>
  <c r="BC86" i="51" s="1"/>
  <c r="L85" i="51"/>
  <c r="BC85" i="51" s="1"/>
  <c r="L84" i="51"/>
  <c r="BC84" i="51" s="1"/>
  <c r="L82" i="51"/>
  <c r="BC82" i="51" s="1"/>
  <c r="L81" i="51"/>
  <c r="BC81" i="51" s="1"/>
  <c r="L78" i="51"/>
  <c r="BC78" i="51" s="1"/>
  <c r="L77" i="51"/>
  <c r="BC77" i="51" s="1"/>
  <c r="L76" i="51"/>
  <c r="BC76" i="51" s="1"/>
  <c r="L75" i="51"/>
  <c r="BC75" i="51" s="1"/>
  <c r="L73" i="51"/>
  <c r="BC73" i="51" s="1"/>
  <c r="L72" i="51"/>
  <c r="BC72" i="51" s="1"/>
  <c r="L70" i="51"/>
  <c r="BC70" i="51" s="1"/>
  <c r="L69" i="51"/>
  <c r="BC69" i="51" s="1"/>
  <c r="L68" i="51"/>
  <c r="BC68" i="51" s="1"/>
  <c r="L66" i="51"/>
  <c r="BC66" i="51" s="1"/>
  <c r="L65" i="51"/>
  <c r="BC65" i="51" s="1"/>
  <c r="L63" i="51"/>
  <c r="BC63" i="51" s="1"/>
  <c r="L62" i="51"/>
  <c r="BC62" i="51" s="1"/>
  <c r="L59" i="51"/>
  <c r="BC59" i="51" s="1"/>
  <c r="L58" i="51"/>
  <c r="BC58" i="51" s="1"/>
  <c r="L57" i="51"/>
  <c r="BC57" i="51" s="1"/>
  <c r="L56" i="51"/>
  <c r="BC56" i="51" s="1"/>
  <c r="L55" i="51"/>
  <c r="BC55" i="51" s="1"/>
  <c r="L54" i="51"/>
  <c r="BC54" i="51" s="1"/>
  <c r="L53" i="51"/>
  <c r="BC53" i="51" s="1"/>
  <c r="L52" i="51"/>
  <c r="BC52" i="51" s="1"/>
  <c r="L51" i="51"/>
  <c r="BC51" i="51" s="1"/>
  <c r="L49" i="51"/>
  <c r="BC49" i="51" s="1"/>
  <c r="L48" i="51"/>
  <c r="BC48" i="51" s="1"/>
  <c r="L47" i="51"/>
  <c r="BC47" i="51" s="1"/>
  <c r="L46" i="51"/>
  <c r="BC46" i="51" s="1"/>
  <c r="L44" i="51"/>
  <c r="BC44" i="51" s="1"/>
  <c r="L43" i="51"/>
  <c r="BC43" i="51" s="1"/>
  <c r="L42" i="51"/>
  <c r="BC42" i="51" s="1"/>
  <c r="L41" i="51"/>
  <c r="BC41" i="51" s="1"/>
  <c r="L40" i="51"/>
  <c r="BC40" i="51" s="1"/>
  <c r="L39" i="51"/>
  <c r="BC39" i="51" s="1"/>
  <c r="L38" i="51"/>
  <c r="BC38" i="51" s="1"/>
  <c r="L37" i="51"/>
  <c r="BC37" i="51" s="1"/>
  <c r="L36" i="51"/>
  <c r="BC36" i="51" s="1"/>
  <c r="L35" i="51"/>
  <c r="BC35" i="51" s="1"/>
  <c r="L33" i="51"/>
  <c r="BC33" i="51" s="1"/>
  <c r="L32" i="51"/>
  <c r="BC32" i="51" s="1"/>
  <c r="L29" i="51"/>
  <c r="BC29" i="51" s="1"/>
  <c r="L28" i="51"/>
  <c r="BC28" i="51" s="1"/>
  <c r="L27" i="51"/>
  <c r="BC27" i="51" s="1"/>
  <c r="L26" i="51"/>
  <c r="BC26" i="51" s="1"/>
  <c r="L24" i="51"/>
  <c r="BC24" i="51" s="1"/>
  <c r="L23" i="51"/>
  <c r="BC23" i="51" s="1"/>
  <c r="L21" i="51"/>
  <c r="BC21" i="51" s="1"/>
  <c r="L20" i="51"/>
  <c r="BC20" i="51" s="1"/>
  <c r="L19" i="51"/>
  <c r="BC19" i="51" s="1"/>
  <c r="L17" i="51"/>
  <c r="BC17" i="51" s="1"/>
  <c r="L16" i="51"/>
  <c r="BC16" i="51" s="1"/>
  <c r="L14" i="51"/>
  <c r="BC14" i="51" s="1"/>
  <c r="L13" i="51"/>
  <c r="BC13" i="51" s="1"/>
  <c r="E108" i="51"/>
  <c r="AV108" i="51" s="1"/>
  <c r="E107" i="51"/>
  <c r="AV107" i="51" s="1"/>
  <c r="E106" i="51"/>
  <c r="AV106" i="51" s="1"/>
  <c r="E105" i="51"/>
  <c r="AV105" i="51" s="1"/>
  <c r="E104" i="51"/>
  <c r="AV104" i="51" s="1"/>
  <c r="E103" i="51"/>
  <c r="AV103" i="51" s="1"/>
  <c r="E102" i="51"/>
  <c r="AV102" i="51" s="1"/>
  <c r="E101" i="51"/>
  <c r="AV101" i="51" s="1"/>
  <c r="E100" i="51"/>
  <c r="AV100" i="51" s="1"/>
  <c r="E98" i="51"/>
  <c r="AV98" i="51" s="1"/>
  <c r="E97" i="51"/>
  <c r="AV97" i="51" s="1"/>
  <c r="E96" i="51"/>
  <c r="AV96" i="51" s="1"/>
  <c r="E95" i="51"/>
  <c r="AV95" i="51" s="1"/>
  <c r="E93" i="51"/>
  <c r="AV93" i="51" s="1"/>
  <c r="E92" i="51"/>
  <c r="AV92" i="51" s="1"/>
  <c r="E91" i="51"/>
  <c r="AV91" i="51" s="1"/>
  <c r="E90" i="51"/>
  <c r="AV90" i="51" s="1"/>
  <c r="E89" i="51"/>
  <c r="AV89" i="51" s="1"/>
  <c r="E88" i="51"/>
  <c r="AV88" i="51" s="1"/>
  <c r="E87" i="51"/>
  <c r="AV87" i="51" s="1"/>
  <c r="E86" i="51"/>
  <c r="AV86" i="51" s="1"/>
  <c r="E85" i="51"/>
  <c r="AV85" i="51" s="1"/>
  <c r="E84" i="51"/>
  <c r="AV84" i="51" s="1"/>
  <c r="E82" i="51"/>
  <c r="AV82" i="51" s="1"/>
  <c r="E81" i="51"/>
  <c r="AV81" i="51" s="1"/>
  <c r="E78" i="51"/>
  <c r="AV78" i="51" s="1"/>
  <c r="E77" i="51"/>
  <c r="AV77" i="51" s="1"/>
  <c r="E76" i="51"/>
  <c r="AV76" i="51" s="1"/>
  <c r="E75" i="51"/>
  <c r="AV75" i="51" s="1"/>
  <c r="E73" i="51"/>
  <c r="AV73" i="51" s="1"/>
  <c r="E72" i="51"/>
  <c r="AV72" i="51" s="1"/>
  <c r="E70" i="51"/>
  <c r="AV70" i="51" s="1"/>
  <c r="E69" i="51"/>
  <c r="AV69" i="51" s="1"/>
  <c r="E68" i="51"/>
  <c r="AV68" i="51" s="1"/>
  <c r="E66" i="51"/>
  <c r="AV66" i="51" s="1"/>
  <c r="E65" i="51"/>
  <c r="AV65" i="51" s="1"/>
  <c r="E63" i="51"/>
  <c r="AV63" i="51" s="1"/>
  <c r="E62" i="51"/>
  <c r="AV62" i="51" s="1"/>
  <c r="E59" i="51"/>
  <c r="AV59" i="51" s="1"/>
  <c r="E58" i="51"/>
  <c r="AV58" i="51" s="1"/>
  <c r="E57" i="51"/>
  <c r="AV57" i="51" s="1"/>
  <c r="E56" i="51"/>
  <c r="AV56" i="51" s="1"/>
  <c r="E55" i="51"/>
  <c r="AV55" i="51" s="1"/>
  <c r="E54" i="51"/>
  <c r="AV54" i="51" s="1"/>
  <c r="E53" i="51"/>
  <c r="AV53" i="51" s="1"/>
  <c r="E51" i="51"/>
  <c r="AV51" i="51" s="1"/>
  <c r="E49" i="51"/>
  <c r="AV49" i="51" s="1"/>
  <c r="E48" i="51"/>
  <c r="AV48" i="51" s="1"/>
  <c r="E47" i="51"/>
  <c r="AV47" i="51" s="1"/>
  <c r="E46" i="51"/>
  <c r="AV46" i="51" s="1"/>
  <c r="E44" i="51"/>
  <c r="AV44" i="51" s="1"/>
  <c r="E43" i="51"/>
  <c r="AV43" i="51" s="1"/>
  <c r="E42" i="51"/>
  <c r="AV42" i="51" s="1"/>
  <c r="E41" i="51"/>
  <c r="AV41" i="51" s="1"/>
  <c r="E40" i="51"/>
  <c r="AV40" i="51" s="1"/>
  <c r="E39" i="51"/>
  <c r="AV39" i="51" s="1"/>
  <c r="E38" i="51"/>
  <c r="AV38" i="51" s="1"/>
  <c r="E37" i="51"/>
  <c r="AV37" i="51" s="1"/>
  <c r="E36" i="51"/>
  <c r="AV36" i="51" s="1"/>
  <c r="E35" i="51"/>
  <c r="AV35" i="51" s="1"/>
  <c r="E33" i="51"/>
  <c r="AV33" i="51" s="1"/>
  <c r="E32" i="51"/>
  <c r="AV32" i="51" s="1"/>
  <c r="E28" i="51"/>
  <c r="AV28" i="51" s="1"/>
  <c r="E27" i="51"/>
  <c r="AV27" i="51" s="1"/>
  <c r="E26" i="51"/>
  <c r="AV26" i="51" s="1"/>
  <c r="E24" i="51"/>
  <c r="AV24" i="51" s="1"/>
  <c r="E23" i="51"/>
  <c r="AV23" i="51" s="1"/>
  <c r="E19" i="51"/>
  <c r="AV19" i="51" s="1"/>
  <c r="E17" i="51"/>
  <c r="AV17" i="51" s="1"/>
  <c r="E16" i="51"/>
  <c r="AV16" i="51" s="1"/>
  <c r="E14" i="51"/>
  <c r="AV14" i="51" s="1"/>
  <c r="E13" i="51"/>
  <c r="AV13" i="51" s="1"/>
  <c r="AH82" i="50"/>
  <c r="BT82" i="50" s="1"/>
  <c r="AH79" i="50"/>
  <c r="BT79" i="50" s="1"/>
  <c r="AD58" i="50"/>
  <c r="BP58" i="50" s="1"/>
  <c r="AD57" i="50"/>
  <c r="BP57" i="50" s="1"/>
  <c r="AD54" i="50"/>
  <c r="BP54" i="50" s="1"/>
  <c r="AC58" i="50"/>
  <c r="BO58" i="50" s="1"/>
  <c r="AC57" i="50"/>
  <c r="BO57" i="50" s="1"/>
  <c r="AC54" i="50"/>
  <c r="BO54" i="50" s="1"/>
  <c r="AB58" i="50"/>
  <c r="BN58" i="50" s="1"/>
  <c r="AB57" i="50"/>
  <c r="BN57" i="50" s="1"/>
  <c r="AB54" i="50"/>
  <c r="BN54" i="50" s="1"/>
  <c r="AA58" i="50"/>
  <c r="AA57" i="50"/>
  <c r="AA54" i="50"/>
  <c r="AE58" i="50"/>
  <c r="BQ58" i="50" s="1"/>
  <c r="AE57" i="50"/>
  <c r="BQ57" i="50" s="1"/>
  <c r="AE54" i="50"/>
  <c r="BQ54" i="50" s="1"/>
  <c r="AF58" i="50"/>
  <c r="BR58" i="50" s="1"/>
  <c r="AF57" i="50"/>
  <c r="BR57" i="50" s="1"/>
  <c r="AF54" i="50"/>
  <c r="BR54" i="50" s="1"/>
  <c r="AT59" i="51"/>
  <c r="CK59" i="51" s="1"/>
  <c r="AS59" i="51"/>
  <c r="CJ59" i="51" s="1"/>
  <c r="AR59" i="51"/>
  <c r="CI59" i="51" s="1"/>
  <c r="AQ59" i="51"/>
  <c r="CH59" i="51" s="1"/>
  <c r="AP59" i="51"/>
  <c r="CG59" i="51" s="1"/>
  <c r="AO59" i="51"/>
  <c r="CF59" i="51" s="1"/>
  <c r="AM59" i="51"/>
  <c r="CD59" i="51" s="1"/>
  <c r="AL59" i="51"/>
  <c r="CC59" i="51" s="1"/>
  <c r="AK59" i="51"/>
  <c r="CB59" i="51" s="1"/>
  <c r="AJ59" i="51"/>
  <c r="CA59" i="51" s="1"/>
  <c r="AI59" i="51"/>
  <c r="BZ59" i="51" s="1"/>
  <c r="AH59" i="51"/>
  <c r="AF59" i="51"/>
  <c r="BW59" i="51" s="1"/>
  <c r="AE59" i="51"/>
  <c r="BV59" i="51" s="1"/>
  <c r="AD59" i="51"/>
  <c r="BU59" i="51" s="1"/>
  <c r="AC59" i="51"/>
  <c r="BT59" i="51" s="1"/>
  <c r="AB59" i="51"/>
  <c r="BS59" i="51" s="1"/>
  <c r="AA59" i="51"/>
  <c r="Y59" i="51"/>
  <c r="BP59" i="51" s="1"/>
  <c r="X59" i="51"/>
  <c r="BO59" i="51" s="1"/>
  <c r="W59" i="51"/>
  <c r="BN59" i="51" s="1"/>
  <c r="V59" i="51"/>
  <c r="BM59" i="51" s="1"/>
  <c r="U59" i="51"/>
  <c r="BL59" i="51" s="1"/>
  <c r="T59" i="51"/>
  <c r="BK59" i="51" s="1"/>
  <c r="R59" i="51"/>
  <c r="BI59" i="51" s="1"/>
  <c r="Q59" i="51"/>
  <c r="BH59" i="51" s="1"/>
  <c r="P59" i="51"/>
  <c r="BG59" i="51" s="1"/>
  <c r="O59" i="51"/>
  <c r="BF59" i="51" s="1"/>
  <c r="N59" i="51"/>
  <c r="BE59" i="51" s="1"/>
  <c r="M59" i="51"/>
  <c r="BD59" i="51" s="1"/>
  <c r="K59" i="51"/>
  <c r="BB59" i="51" s="1"/>
  <c r="J59" i="51"/>
  <c r="BA59" i="51" s="1"/>
  <c r="I59" i="51"/>
  <c r="AZ59" i="51" s="1"/>
  <c r="H59" i="51"/>
  <c r="AY59" i="51" s="1"/>
  <c r="G59" i="51"/>
  <c r="AX59" i="51" s="1"/>
  <c r="F59" i="51"/>
  <c r="AW59" i="51" s="1"/>
  <c r="Y58" i="51"/>
  <c r="BP58" i="51" s="1"/>
  <c r="X58" i="51"/>
  <c r="BO58" i="51" s="1"/>
  <c r="W58" i="51"/>
  <c r="BN58" i="51" s="1"/>
  <c r="V58" i="51"/>
  <c r="BM58" i="51" s="1"/>
  <c r="U58" i="51"/>
  <c r="BL58" i="51" s="1"/>
  <c r="T58" i="51"/>
  <c r="BK58" i="51" s="1"/>
  <c r="AT57" i="51"/>
  <c r="CK57" i="51" s="1"/>
  <c r="AS57" i="51"/>
  <c r="CJ57" i="51" s="1"/>
  <c r="AR57" i="51"/>
  <c r="CI57" i="51" s="1"/>
  <c r="AQ57" i="51"/>
  <c r="CH57" i="51" s="1"/>
  <c r="AP57" i="51"/>
  <c r="CG57" i="51" s="1"/>
  <c r="AO57" i="51"/>
  <c r="CF57" i="51" s="1"/>
  <c r="AM57" i="51"/>
  <c r="CD57" i="51" s="1"/>
  <c r="AL57" i="51"/>
  <c r="CC57" i="51" s="1"/>
  <c r="AK57" i="51"/>
  <c r="CB57" i="51" s="1"/>
  <c r="AJ57" i="51"/>
  <c r="CA57" i="51" s="1"/>
  <c r="AI57" i="51"/>
  <c r="BZ57" i="51" s="1"/>
  <c r="AH57" i="51"/>
  <c r="AF57" i="51"/>
  <c r="BW57" i="51" s="1"/>
  <c r="AE57" i="51"/>
  <c r="BV57" i="51" s="1"/>
  <c r="AD57" i="51"/>
  <c r="BU57" i="51" s="1"/>
  <c r="AC57" i="51"/>
  <c r="BT57" i="51" s="1"/>
  <c r="AB57" i="51"/>
  <c r="BS57" i="51" s="1"/>
  <c r="AA57" i="51"/>
  <c r="Y57" i="51"/>
  <c r="BP57" i="51" s="1"/>
  <c r="X57" i="51"/>
  <c r="BO57" i="51" s="1"/>
  <c r="W57" i="51"/>
  <c r="BN57" i="51" s="1"/>
  <c r="V57" i="51"/>
  <c r="BM57" i="51" s="1"/>
  <c r="U57" i="51"/>
  <c r="BL57" i="51" s="1"/>
  <c r="T57" i="51"/>
  <c r="BK57" i="51" s="1"/>
  <c r="R57" i="51"/>
  <c r="BI57" i="51" s="1"/>
  <c r="Q57" i="51"/>
  <c r="BH57" i="51" s="1"/>
  <c r="P57" i="51"/>
  <c r="BG57" i="51" s="1"/>
  <c r="O57" i="51"/>
  <c r="BF57" i="51" s="1"/>
  <c r="N57" i="51"/>
  <c r="BE57" i="51" s="1"/>
  <c r="M57" i="51"/>
  <c r="BD57" i="51" s="1"/>
  <c r="K57" i="51"/>
  <c r="BB57" i="51" s="1"/>
  <c r="J57" i="51"/>
  <c r="BA57" i="51" s="1"/>
  <c r="I57" i="51"/>
  <c r="AZ57" i="51" s="1"/>
  <c r="H57" i="51"/>
  <c r="AY57" i="51" s="1"/>
  <c r="G57" i="51"/>
  <c r="AX57" i="51" s="1"/>
  <c r="F57" i="51"/>
  <c r="AW57" i="51" s="1"/>
  <c r="AM56" i="51"/>
  <c r="CD56" i="51" s="1"/>
  <c r="AL56" i="51"/>
  <c r="CC56" i="51" s="1"/>
  <c r="AK56" i="51"/>
  <c r="CB56" i="51" s="1"/>
  <c r="AJ56" i="51"/>
  <c r="CA56" i="51" s="1"/>
  <c r="AI56" i="51"/>
  <c r="BZ56" i="51" s="1"/>
  <c r="AH56" i="51"/>
  <c r="AF56" i="51"/>
  <c r="BW56" i="51" s="1"/>
  <c r="AE56" i="51"/>
  <c r="BV56" i="51" s="1"/>
  <c r="AD56" i="51"/>
  <c r="BU56" i="51" s="1"/>
  <c r="AC56" i="51"/>
  <c r="BT56" i="51" s="1"/>
  <c r="AB56" i="51"/>
  <c r="BS56" i="51" s="1"/>
  <c r="AA56" i="51"/>
  <c r="Y56" i="51"/>
  <c r="BP56" i="51" s="1"/>
  <c r="X56" i="51"/>
  <c r="BO56" i="51" s="1"/>
  <c r="W56" i="51"/>
  <c r="BN56" i="51" s="1"/>
  <c r="V56" i="51"/>
  <c r="BM56" i="51" s="1"/>
  <c r="U56" i="51"/>
  <c r="BL56" i="51" s="1"/>
  <c r="T56" i="51"/>
  <c r="BK56" i="51" s="1"/>
  <c r="R56" i="51"/>
  <c r="BI56" i="51" s="1"/>
  <c r="Q56" i="51"/>
  <c r="BH56" i="51" s="1"/>
  <c r="P56" i="51"/>
  <c r="BG56" i="51" s="1"/>
  <c r="O56" i="51"/>
  <c r="BF56" i="51" s="1"/>
  <c r="N56" i="51"/>
  <c r="BE56" i="51" s="1"/>
  <c r="M56" i="51"/>
  <c r="BD56" i="51" s="1"/>
  <c r="K56" i="51"/>
  <c r="BB56" i="51" s="1"/>
  <c r="J56" i="51"/>
  <c r="BA56" i="51" s="1"/>
  <c r="I56" i="51"/>
  <c r="AZ56" i="51" s="1"/>
  <c r="H56" i="51"/>
  <c r="AY56" i="51" s="1"/>
  <c r="G56" i="51"/>
  <c r="AX56" i="51" s="1"/>
  <c r="F56" i="51"/>
  <c r="AW56" i="51" s="1"/>
  <c r="AT55" i="51"/>
  <c r="CK55" i="51" s="1"/>
  <c r="AS55" i="51"/>
  <c r="CJ55" i="51" s="1"/>
  <c r="AR55" i="51"/>
  <c r="CI55" i="51" s="1"/>
  <c r="AQ55" i="51"/>
  <c r="CH55" i="51" s="1"/>
  <c r="AP55" i="51"/>
  <c r="CG55" i="51" s="1"/>
  <c r="AO55" i="51"/>
  <c r="CF55" i="51" s="1"/>
  <c r="AM55" i="51"/>
  <c r="CD55" i="51" s="1"/>
  <c r="AL55" i="51"/>
  <c r="CC55" i="51" s="1"/>
  <c r="AK55" i="51"/>
  <c r="CB55" i="51" s="1"/>
  <c r="AJ55" i="51"/>
  <c r="CA55" i="51" s="1"/>
  <c r="AI55" i="51"/>
  <c r="BZ55" i="51" s="1"/>
  <c r="AH55" i="51"/>
  <c r="AF55" i="51"/>
  <c r="BW55" i="51" s="1"/>
  <c r="AE55" i="51"/>
  <c r="BV55" i="51" s="1"/>
  <c r="AD55" i="51"/>
  <c r="BU55" i="51" s="1"/>
  <c r="AC55" i="51"/>
  <c r="BT55" i="51" s="1"/>
  <c r="AB55" i="51"/>
  <c r="BS55" i="51" s="1"/>
  <c r="AA55" i="51"/>
  <c r="Y55" i="51"/>
  <c r="BP55" i="51" s="1"/>
  <c r="X55" i="51"/>
  <c r="BO55" i="51" s="1"/>
  <c r="W55" i="51"/>
  <c r="BN55" i="51" s="1"/>
  <c r="V55" i="51"/>
  <c r="BM55" i="51" s="1"/>
  <c r="U55" i="51"/>
  <c r="BL55" i="51" s="1"/>
  <c r="T55" i="51"/>
  <c r="BK55" i="51" s="1"/>
  <c r="R55" i="51"/>
  <c r="BI55" i="51" s="1"/>
  <c r="Q55" i="51"/>
  <c r="BH55" i="51" s="1"/>
  <c r="P55" i="51"/>
  <c r="BG55" i="51" s="1"/>
  <c r="O55" i="51"/>
  <c r="BF55" i="51" s="1"/>
  <c r="N55" i="51"/>
  <c r="BE55" i="51" s="1"/>
  <c r="M55" i="51"/>
  <c r="BD55" i="51" s="1"/>
  <c r="K55" i="51"/>
  <c r="BB55" i="51" s="1"/>
  <c r="J55" i="51"/>
  <c r="BA55" i="51" s="1"/>
  <c r="I55" i="51"/>
  <c r="AZ55" i="51" s="1"/>
  <c r="H55" i="51"/>
  <c r="AY55" i="51" s="1"/>
  <c r="G55" i="51"/>
  <c r="AX55" i="51" s="1"/>
  <c r="F55" i="51"/>
  <c r="AW55" i="51" s="1"/>
  <c r="AM54" i="51"/>
  <c r="CD54" i="51" s="1"/>
  <c r="AL54" i="51"/>
  <c r="CC54" i="51" s="1"/>
  <c r="AK54" i="51"/>
  <c r="CB54" i="51" s="1"/>
  <c r="AJ54" i="51"/>
  <c r="CA54" i="51" s="1"/>
  <c r="AI54" i="51"/>
  <c r="BZ54" i="51" s="1"/>
  <c r="AH54" i="51"/>
  <c r="AF54" i="51"/>
  <c r="BW54" i="51" s="1"/>
  <c r="AE54" i="51"/>
  <c r="BV54" i="51" s="1"/>
  <c r="AD54" i="51"/>
  <c r="BU54" i="51" s="1"/>
  <c r="AC54" i="51"/>
  <c r="BT54" i="51" s="1"/>
  <c r="AB54" i="51"/>
  <c r="BS54" i="51" s="1"/>
  <c r="AA54" i="51"/>
  <c r="Y54" i="51"/>
  <c r="BP54" i="51" s="1"/>
  <c r="X54" i="51"/>
  <c r="BO54" i="51" s="1"/>
  <c r="W54" i="51"/>
  <c r="BN54" i="51" s="1"/>
  <c r="V54" i="51"/>
  <c r="BM54" i="51" s="1"/>
  <c r="U54" i="51"/>
  <c r="BL54" i="51" s="1"/>
  <c r="T54" i="51"/>
  <c r="BK54" i="51" s="1"/>
  <c r="R54" i="51"/>
  <c r="BI54" i="51" s="1"/>
  <c r="Q54" i="51"/>
  <c r="BH54" i="51" s="1"/>
  <c r="P54" i="51"/>
  <c r="BG54" i="51" s="1"/>
  <c r="O54" i="51"/>
  <c r="BF54" i="51" s="1"/>
  <c r="N54" i="51"/>
  <c r="BE54" i="51" s="1"/>
  <c r="M54" i="51"/>
  <c r="BD54" i="51" s="1"/>
  <c r="K54" i="51"/>
  <c r="BB54" i="51" s="1"/>
  <c r="J54" i="51"/>
  <c r="BA54" i="51" s="1"/>
  <c r="I54" i="51"/>
  <c r="AZ54" i="51" s="1"/>
  <c r="H54" i="51"/>
  <c r="AY54" i="51" s="1"/>
  <c r="G54" i="51"/>
  <c r="AX54" i="51" s="1"/>
  <c r="F54" i="51"/>
  <c r="AW54" i="51" s="1"/>
  <c r="AT53" i="51"/>
  <c r="CK53" i="51" s="1"/>
  <c r="AS53" i="51"/>
  <c r="CJ53" i="51" s="1"/>
  <c r="AR53" i="51"/>
  <c r="CI53" i="51" s="1"/>
  <c r="AQ53" i="51"/>
  <c r="CH53" i="51" s="1"/>
  <c r="AP53" i="51"/>
  <c r="CG53" i="51" s="1"/>
  <c r="AO53" i="51"/>
  <c r="CF53" i="51" s="1"/>
  <c r="AM53" i="51"/>
  <c r="CD53" i="51" s="1"/>
  <c r="AL53" i="51"/>
  <c r="CC53" i="51" s="1"/>
  <c r="AK53" i="51"/>
  <c r="CB53" i="51" s="1"/>
  <c r="AJ53" i="51"/>
  <c r="CA53" i="51" s="1"/>
  <c r="AI53" i="51"/>
  <c r="BZ53" i="51" s="1"/>
  <c r="AH53" i="51"/>
  <c r="AF53" i="51"/>
  <c r="BW53" i="51" s="1"/>
  <c r="AE53" i="51"/>
  <c r="BV53" i="51" s="1"/>
  <c r="AD53" i="51"/>
  <c r="BU53" i="51" s="1"/>
  <c r="AC53" i="51"/>
  <c r="BT53" i="51" s="1"/>
  <c r="AB53" i="51"/>
  <c r="BS53" i="51" s="1"/>
  <c r="AA53" i="51"/>
  <c r="Y53" i="51"/>
  <c r="BP53" i="51" s="1"/>
  <c r="X53" i="51"/>
  <c r="BO53" i="51" s="1"/>
  <c r="W53" i="51"/>
  <c r="BN53" i="51" s="1"/>
  <c r="V53" i="51"/>
  <c r="BM53" i="51" s="1"/>
  <c r="U53" i="51"/>
  <c r="BL53" i="51" s="1"/>
  <c r="T53" i="51"/>
  <c r="BK53" i="51" s="1"/>
  <c r="R53" i="51"/>
  <c r="BI53" i="51" s="1"/>
  <c r="Q53" i="51"/>
  <c r="BH53" i="51" s="1"/>
  <c r="P53" i="51"/>
  <c r="BG53" i="51" s="1"/>
  <c r="O53" i="51"/>
  <c r="BF53" i="51" s="1"/>
  <c r="N53" i="51"/>
  <c r="BE53" i="51" s="1"/>
  <c r="M53" i="51"/>
  <c r="BD53" i="51" s="1"/>
  <c r="K53" i="51"/>
  <c r="BB53" i="51" s="1"/>
  <c r="J53" i="51"/>
  <c r="BA53" i="51" s="1"/>
  <c r="I53" i="51"/>
  <c r="AZ53" i="51" s="1"/>
  <c r="H53" i="51"/>
  <c r="AY53" i="51" s="1"/>
  <c r="G53" i="51"/>
  <c r="AX53" i="51" s="1"/>
  <c r="F53" i="51"/>
  <c r="AW53" i="51" s="1"/>
  <c r="AT52" i="51"/>
  <c r="CK52" i="51" s="1"/>
  <c r="AS52" i="51"/>
  <c r="CJ52" i="51" s="1"/>
  <c r="AR52" i="51"/>
  <c r="CI52" i="51" s="1"/>
  <c r="AQ52" i="51"/>
  <c r="CH52" i="51" s="1"/>
  <c r="AP52" i="51"/>
  <c r="CG52" i="51" s="1"/>
  <c r="AO52" i="51"/>
  <c r="CF52" i="51" s="1"/>
  <c r="AM52" i="51"/>
  <c r="CD52" i="51" s="1"/>
  <c r="AL52" i="51"/>
  <c r="CC52" i="51" s="1"/>
  <c r="AK52" i="51"/>
  <c r="CB52" i="51" s="1"/>
  <c r="AJ52" i="51"/>
  <c r="CA52" i="51" s="1"/>
  <c r="AI52" i="51"/>
  <c r="BZ52" i="51" s="1"/>
  <c r="AH52" i="51"/>
  <c r="AF52" i="51"/>
  <c r="BW52" i="51" s="1"/>
  <c r="AE52" i="51"/>
  <c r="BV52" i="51" s="1"/>
  <c r="AD52" i="51"/>
  <c r="BU52" i="51" s="1"/>
  <c r="AC52" i="51"/>
  <c r="BT52" i="51" s="1"/>
  <c r="AB52" i="51"/>
  <c r="BS52" i="51" s="1"/>
  <c r="AA52" i="51"/>
  <c r="Y52" i="51"/>
  <c r="BP52" i="51" s="1"/>
  <c r="X52" i="51"/>
  <c r="BO52" i="51" s="1"/>
  <c r="W52" i="51"/>
  <c r="BN52" i="51" s="1"/>
  <c r="V52" i="51"/>
  <c r="BM52" i="51" s="1"/>
  <c r="U52" i="51"/>
  <c r="BL52" i="51" s="1"/>
  <c r="T52" i="51"/>
  <c r="BK52" i="51" s="1"/>
  <c r="R52" i="51"/>
  <c r="BI52" i="51" s="1"/>
  <c r="Q52" i="51"/>
  <c r="BH52" i="51" s="1"/>
  <c r="P52" i="51"/>
  <c r="BG52" i="51" s="1"/>
  <c r="O52" i="51"/>
  <c r="BF52" i="51" s="1"/>
  <c r="N52" i="51"/>
  <c r="BE52" i="51" s="1"/>
  <c r="M52" i="51"/>
  <c r="BD52" i="51" s="1"/>
  <c r="K52" i="51"/>
  <c r="BB52" i="51" s="1"/>
  <c r="J52" i="51"/>
  <c r="BA52" i="51" s="1"/>
  <c r="I52" i="51"/>
  <c r="AZ52" i="51" s="1"/>
  <c r="H52" i="51"/>
  <c r="AY52" i="51" s="1"/>
  <c r="G52" i="51"/>
  <c r="AX52" i="51" s="1"/>
  <c r="F52" i="51"/>
  <c r="AW52" i="51" s="1"/>
  <c r="AM51" i="51"/>
  <c r="CD51" i="51" s="1"/>
  <c r="AL51" i="51"/>
  <c r="CC51" i="51" s="1"/>
  <c r="AK51" i="51"/>
  <c r="CB51" i="51" s="1"/>
  <c r="AJ51" i="51"/>
  <c r="CA51" i="51" s="1"/>
  <c r="AI51" i="51"/>
  <c r="BZ51" i="51" s="1"/>
  <c r="AH51" i="51"/>
  <c r="AF51" i="51"/>
  <c r="BW51" i="51" s="1"/>
  <c r="AE51" i="51"/>
  <c r="BV51" i="51" s="1"/>
  <c r="AD51" i="51"/>
  <c r="BU51" i="51" s="1"/>
  <c r="AC51" i="51"/>
  <c r="BT51" i="51" s="1"/>
  <c r="AB51" i="51"/>
  <c r="BS51" i="51" s="1"/>
  <c r="AA51" i="51"/>
  <c r="Y51" i="51"/>
  <c r="BP51" i="51" s="1"/>
  <c r="X51" i="51"/>
  <c r="BO51" i="51" s="1"/>
  <c r="W51" i="51"/>
  <c r="BN51" i="51" s="1"/>
  <c r="V51" i="51"/>
  <c r="BM51" i="51" s="1"/>
  <c r="U51" i="51"/>
  <c r="BL51" i="51" s="1"/>
  <c r="T51" i="51"/>
  <c r="BK51" i="51" s="1"/>
  <c r="R51" i="51"/>
  <c r="BI51" i="51" s="1"/>
  <c r="Q51" i="51"/>
  <c r="BH51" i="51" s="1"/>
  <c r="P51" i="51"/>
  <c r="BG51" i="51" s="1"/>
  <c r="O51" i="51"/>
  <c r="BF51" i="51" s="1"/>
  <c r="N51" i="51"/>
  <c r="BE51" i="51" s="1"/>
  <c r="M51" i="51"/>
  <c r="BD51" i="51" s="1"/>
  <c r="K51" i="51"/>
  <c r="BB51" i="51" s="1"/>
  <c r="J51" i="51"/>
  <c r="BA51" i="51" s="1"/>
  <c r="I51" i="51"/>
  <c r="AZ51" i="51" s="1"/>
  <c r="H51" i="51"/>
  <c r="AY51" i="51" s="1"/>
  <c r="G51" i="51"/>
  <c r="AX51" i="51" s="1"/>
  <c r="F51" i="51"/>
  <c r="AW51" i="51" s="1"/>
  <c r="AT49" i="51"/>
  <c r="CK49" i="51" s="1"/>
  <c r="AS49" i="51"/>
  <c r="CJ49" i="51" s="1"/>
  <c r="AR49" i="51"/>
  <c r="CI49" i="51" s="1"/>
  <c r="AQ49" i="51"/>
  <c r="CH49" i="51" s="1"/>
  <c r="AP49" i="51"/>
  <c r="CG49" i="51" s="1"/>
  <c r="AO49" i="51"/>
  <c r="CF49" i="51" s="1"/>
  <c r="AM49" i="51"/>
  <c r="CD49" i="51" s="1"/>
  <c r="AL49" i="51"/>
  <c r="CC49" i="51" s="1"/>
  <c r="AK49" i="51"/>
  <c r="CB49" i="51" s="1"/>
  <c r="AJ49" i="51"/>
  <c r="CA49" i="51" s="1"/>
  <c r="AI49" i="51"/>
  <c r="BZ49" i="51" s="1"/>
  <c r="AH49" i="51"/>
  <c r="AF49" i="51"/>
  <c r="BW49" i="51" s="1"/>
  <c r="AE49" i="51"/>
  <c r="BV49" i="51" s="1"/>
  <c r="AD49" i="51"/>
  <c r="BU49" i="51" s="1"/>
  <c r="AC49" i="51"/>
  <c r="BT49" i="51" s="1"/>
  <c r="AB49" i="51"/>
  <c r="BS49" i="51" s="1"/>
  <c r="AA49" i="51"/>
  <c r="Y49" i="51"/>
  <c r="BP49" i="51" s="1"/>
  <c r="X49" i="51"/>
  <c r="BO49" i="51" s="1"/>
  <c r="W49" i="51"/>
  <c r="BN49" i="51" s="1"/>
  <c r="V49" i="51"/>
  <c r="BM49" i="51" s="1"/>
  <c r="U49" i="51"/>
  <c r="BL49" i="51" s="1"/>
  <c r="T49" i="51"/>
  <c r="BK49" i="51" s="1"/>
  <c r="R49" i="51"/>
  <c r="BI49" i="51" s="1"/>
  <c r="Q49" i="51"/>
  <c r="BH49" i="51" s="1"/>
  <c r="P49" i="51"/>
  <c r="BG49" i="51" s="1"/>
  <c r="O49" i="51"/>
  <c r="BF49" i="51" s="1"/>
  <c r="N49" i="51"/>
  <c r="BE49" i="51" s="1"/>
  <c r="M49" i="51"/>
  <c r="BD49" i="51" s="1"/>
  <c r="K49" i="51"/>
  <c r="BB49" i="51" s="1"/>
  <c r="J49" i="51"/>
  <c r="BA49" i="51" s="1"/>
  <c r="I49" i="51"/>
  <c r="AZ49" i="51" s="1"/>
  <c r="H49" i="51"/>
  <c r="AY49" i="51" s="1"/>
  <c r="G49" i="51"/>
  <c r="AX49" i="51" s="1"/>
  <c r="F49" i="51"/>
  <c r="AW49" i="51" s="1"/>
  <c r="AT44" i="51"/>
  <c r="CK44" i="51" s="1"/>
  <c r="AS44" i="51"/>
  <c r="CJ44" i="51" s="1"/>
  <c r="AR44" i="51"/>
  <c r="CI44" i="51" s="1"/>
  <c r="AQ44" i="51"/>
  <c r="CH44" i="51" s="1"/>
  <c r="AP44" i="51"/>
  <c r="CG44" i="51" s="1"/>
  <c r="AO44" i="51"/>
  <c r="CF44" i="51" s="1"/>
  <c r="AM44" i="51"/>
  <c r="CD44" i="51" s="1"/>
  <c r="AL44" i="51"/>
  <c r="CC44" i="51" s="1"/>
  <c r="AK44" i="51"/>
  <c r="CB44" i="51" s="1"/>
  <c r="AJ44" i="51"/>
  <c r="CA44" i="51" s="1"/>
  <c r="AI44" i="51"/>
  <c r="BZ44" i="51" s="1"/>
  <c r="AH44" i="51"/>
  <c r="AF44" i="51"/>
  <c r="BW44" i="51" s="1"/>
  <c r="AE44" i="51"/>
  <c r="BV44" i="51" s="1"/>
  <c r="AD44" i="51"/>
  <c r="BU44" i="51" s="1"/>
  <c r="AC44" i="51"/>
  <c r="BT44" i="51" s="1"/>
  <c r="AB44" i="51"/>
  <c r="BS44" i="51" s="1"/>
  <c r="AA44" i="51"/>
  <c r="Y44" i="51"/>
  <c r="BP44" i="51" s="1"/>
  <c r="X44" i="51"/>
  <c r="BO44" i="51" s="1"/>
  <c r="W44" i="51"/>
  <c r="BN44" i="51" s="1"/>
  <c r="V44" i="51"/>
  <c r="BM44" i="51" s="1"/>
  <c r="U44" i="51"/>
  <c r="BL44" i="51" s="1"/>
  <c r="T44" i="51"/>
  <c r="BK44" i="51" s="1"/>
  <c r="R44" i="51"/>
  <c r="BI44" i="51" s="1"/>
  <c r="Q44" i="51"/>
  <c r="BH44" i="51" s="1"/>
  <c r="P44" i="51"/>
  <c r="BG44" i="51" s="1"/>
  <c r="O44" i="51"/>
  <c r="BF44" i="51" s="1"/>
  <c r="N44" i="51"/>
  <c r="BE44" i="51" s="1"/>
  <c r="M44" i="51"/>
  <c r="BD44" i="51" s="1"/>
  <c r="K44" i="51"/>
  <c r="BB44" i="51" s="1"/>
  <c r="J44" i="51"/>
  <c r="BA44" i="51" s="1"/>
  <c r="I44" i="51"/>
  <c r="AZ44" i="51" s="1"/>
  <c r="H44" i="51"/>
  <c r="AY44" i="51" s="1"/>
  <c r="G44" i="51"/>
  <c r="AX44" i="51" s="1"/>
  <c r="F44" i="51"/>
  <c r="AW44" i="51" s="1"/>
  <c r="AT43" i="51"/>
  <c r="CK43" i="51" s="1"/>
  <c r="AS43" i="51"/>
  <c r="CJ43" i="51" s="1"/>
  <c r="AR43" i="51"/>
  <c r="CI43" i="51" s="1"/>
  <c r="AQ43" i="51"/>
  <c r="CH43" i="51" s="1"/>
  <c r="AP43" i="51"/>
  <c r="CG43" i="51" s="1"/>
  <c r="AO43" i="51"/>
  <c r="CF43" i="51" s="1"/>
  <c r="AM43" i="51"/>
  <c r="CD43" i="51" s="1"/>
  <c r="AL43" i="51"/>
  <c r="CC43" i="51" s="1"/>
  <c r="AK43" i="51"/>
  <c r="CB43" i="51" s="1"/>
  <c r="AJ43" i="51"/>
  <c r="CA43" i="51" s="1"/>
  <c r="AI43" i="51"/>
  <c r="BZ43" i="51" s="1"/>
  <c r="AH43" i="51"/>
  <c r="AF43" i="51"/>
  <c r="BW43" i="51" s="1"/>
  <c r="AE43" i="51"/>
  <c r="BV43" i="51" s="1"/>
  <c r="AD43" i="51"/>
  <c r="BU43" i="51" s="1"/>
  <c r="AC43" i="51"/>
  <c r="BT43" i="51" s="1"/>
  <c r="AB43" i="51"/>
  <c r="BS43" i="51" s="1"/>
  <c r="AA43" i="51"/>
  <c r="Y43" i="51"/>
  <c r="BP43" i="51" s="1"/>
  <c r="X43" i="51"/>
  <c r="BO43" i="51" s="1"/>
  <c r="W43" i="51"/>
  <c r="BN43" i="51" s="1"/>
  <c r="V43" i="51"/>
  <c r="BM43" i="51" s="1"/>
  <c r="U43" i="51"/>
  <c r="BL43" i="51" s="1"/>
  <c r="T43" i="51"/>
  <c r="BK43" i="51" s="1"/>
  <c r="R43" i="51"/>
  <c r="BI43" i="51" s="1"/>
  <c r="Q43" i="51"/>
  <c r="BH43" i="51" s="1"/>
  <c r="P43" i="51"/>
  <c r="BG43" i="51" s="1"/>
  <c r="O43" i="51"/>
  <c r="BF43" i="51" s="1"/>
  <c r="N43" i="51"/>
  <c r="BE43" i="51" s="1"/>
  <c r="M43" i="51"/>
  <c r="BD43" i="51" s="1"/>
  <c r="K43" i="51"/>
  <c r="BB43" i="51" s="1"/>
  <c r="J43" i="51"/>
  <c r="BA43" i="51" s="1"/>
  <c r="I43" i="51"/>
  <c r="AZ43" i="51" s="1"/>
  <c r="H43" i="51"/>
  <c r="AY43" i="51" s="1"/>
  <c r="G43" i="51"/>
  <c r="AX43" i="51" s="1"/>
  <c r="F43" i="51"/>
  <c r="AW43" i="51" s="1"/>
  <c r="AT42" i="51"/>
  <c r="CK42" i="51" s="1"/>
  <c r="AS42" i="51"/>
  <c r="CJ42" i="51" s="1"/>
  <c r="AR42" i="51"/>
  <c r="CI42" i="51" s="1"/>
  <c r="AQ42" i="51"/>
  <c r="CH42" i="51" s="1"/>
  <c r="AP42" i="51"/>
  <c r="CG42" i="51" s="1"/>
  <c r="AO42" i="51"/>
  <c r="CF42" i="51" s="1"/>
  <c r="AM42" i="51"/>
  <c r="CD42" i="51" s="1"/>
  <c r="AL42" i="51"/>
  <c r="CC42" i="51" s="1"/>
  <c r="AK42" i="51"/>
  <c r="CB42" i="51" s="1"/>
  <c r="AJ42" i="51"/>
  <c r="CA42" i="51" s="1"/>
  <c r="AI42" i="51"/>
  <c r="BZ42" i="51" s="1"/>
  <c r="AH42" i="51"/>
  <c r="AF42" i="51"/>
  <c r="BW42" i="51" s="1"/>
  <c r="AE42" i="51"/>
  <c r="BV42" i="51" s="1"/>
  <c r="AD42" i="51"/>
  <c r="BU42" i="51" s="1"/>
  <c r="AC42" i="51"/>
  <c r="BT42" i="51" s="1"/>
  <c r="AB42" i="51"/>
  <c r="BS42" i="51" s="1"/>
  <c r="AA42" i="51"/>
  <c r="Y42" i="51"/>
  <c r="BP42" i="51" s="1"/>
  <c r="X42" i="51"/>
  <c r="BO42" i="51" s="1"/>
  <c r="W42" i="51"/>
  <c r="BN42" i="51" s="1"/>
  <c r="V42" i="51"/>
  <c r="BM42" i="51" s="1"/>
  <c r="U42" i="51"/>
  <c r="BL42" i="51" s="1"/>
  <c r="T42" i="51"/>
  <c r="BK42" i="51" s="1"/>
  <c r="R42" i="51"/>
  <c r="BI42" i="51" s="1"/>
  <c r="Q42" i="51"/>
  <c r="BH42" i="51" s="1"/>
  <c r="P42" i="51"/>
  <c r="BG42" i="51" s="1"/>
  <c r="O42" i="51"/>
  <c r="BF42" i="51" s="1"/>
  <c r="N42" i="51"/>
  <c r="BE42" i="51" s="1"/>
  <c r="M42" i="51"/>
  <c r="BD42" i="51" s="1"/>
  <c r="K42" i="51"/>
  <c r="BB42" i="51" s="1"/>
  <c r="J42" i="51"/>
  <c r="BA42" i="51" s="1"/>
  <c r="I42" i="51"/>
  <c r="AZ42" i="51" s="1"/>
  <c r="H42" i="51"/>
  <c r="AY42" i="51" s="1"/>
  <c r="G42" i="51"/>
  <c r="AX42" i="51" s="1"/>
  <c r="F42" i="51"/>
  <c r="AW42" i="51" s="1"/>
  <c r="AT41" i="51"/>
  <c r="CK41" i="51" s="1"/>
  <c r="AS41" i="51"/>
  <c r="CJ41" i="51" s="1"/>
  <c r="AR41" i="51"/>
  <c r="CI41" i="51" s="1"/>
  <c r="AQ41" i="51"/>
  <c r="CH41" i="51" s="1"/>
  <c r="AP41" i="51"/>
  <c r="CG41" i="51" s="1"/>
  <c r="AO41" i="51"/>
  <c r="CF41" i="51" s="1"/>
  <c r="AT40" i="51"/>
  <c r="CK40" i="51" s="1"/>
  <c r="AS40" i="51"/>
  <c r="CJ40" i="51" s="1"/>
  <c r="AR40" i="51"/>
  <c r="CI40" i="51" s="1"/>
  <c r="AQ40" i="51"/>
  <c r="CH40" i="51" s="1"/>
  <c r="AP40" i="51"/>
  <c r="CG40" i="51" s="1"/>
  <c r="AO40" i="51"/>
  <c r="CF40" i="51" s="1"/>
  <c r="AM40" i="51"/>
  <c r="CD40" i="51" s="1"/>
  <c r="AL40" i="51"/>
  <c r="CC40" i="51" s="1"/>
  <c r="AK40" i="51"/>
  <c r="CB40" i="51" s="1"/>
  <c r="AJ40" i="51"/>
  <c r="CA40" i="51" s="1"/>
  <c r="AI40" i="51"/>
  <c r="BZ40" i="51" s="1"/>
  <c r="AH40" i="51"/>
  <c r="AF40" i="51"/>
  <c r="BW40" i="51" s="1"/>
  <c r="AE40" i="51"/>
  <c r="BV40" i="51" s="1"/>
  <c r="AD40" i="51"/>
  <c r="BU40" i="51" s="1"/>
  <c r="AC40" i="51"/>
  <c r="BT40" i="51" s="1"/>
  <c r="AB40" i="51"/>
  <c r="BS40" i="51" s="1"/>
  <c r="AA40" i="51"/>
  <c r="Y40" i="51"/>
  <c r="BP40" i="51" s="1"/>
  <c r="X40" i="51"/>
  <c r="BO40" i="51" s="1"/>
  <c r="W40" i="51"/>
  <c r="BN40" i="51" s="1"/>
  <c r="V40" i="51"/>
  <c r="BM40" i="51" s="1"/>
  <c r="U40" i="51"/>
  <c r="BL40" i="51" s="1"/>
  <c r="T40" i="51"/>
  <c r="BK40" i="51" s="1"/>
  <c r="K40" i="51"/>
  <c r="BB40" i="51" s="1"/>
  <c r="J40" i="51"/>
  <c r="BA40" i="51" s="1"/>
  <c r="I40" i="51"/>
  <c r="AZ40" i="51" s="1"/>
  <c r="H40" i="51"/>
  <c r="AY40" i="51" s="1"/>
  <c r="G40" i="51"/>
  <c r="AX40" i="51" s="1"/>
  <c r="F40" i="51"/>
  <c r="AW40" i="51" s="1"/>
  <c r="AT39" i="51"/>
  <c r="CK39" i="51" s="1"/>
  <c r="AS39" i="51"/>
  <c r="CJ39" i="51" s="1"/>
  <c r="AR39" i="51"/>
  <c r="CI39" i="51" s="1"/>
  <c r="AQ39" i="51"/>
  <c r="CH39" i="51" s="1"/>
  <c r="AP39" i="51"/>
  <c r="CG39" i="51" s="1"/>
  <c r="AO39" i="51"/>
  <c r="CF39" i="51" s="1"/>
  <c r="Y39" i="51"/>
  <c r="BP39" i="51" s="1"/>
  <c r="X39" i="51"/>
  <c r="BO39" i="51" s="1"/>
  <c r="W39" i="51"/>
  <c r="BN39" i="51" s="1"/>
  <c r="V39" i="51"/>
  <c r="BM39" i="51" s="1"/>
  <c r="U39" i="51"/>
  <c r="BL39" i="51" s="1"/>
  <c r="T39" i="51"/>
  <c r="BK39" i="51" s="1"/>
  <c r="R39" i="51"/>
  <c r="BI39" i="51" s="1"/>
  <c r="Q39" i="51"/>
  <c r="BH39" i="51" s="1"/>
  <c r="P39" i="51"/>
  <c r="BG39" i="51" s="1"/>
  <c r="O39" i="51"/>
  <c r="BF39" i="51" s="1"/>
  <c r="N39" i="51"/>
  <c r="BE39" i="51" s="1"/>
  <c r="M39" i="51"/>
  <c r="BD39" i="51" s="1"/>
  <c r="AT38" i="51"/>
  <c r="CK38" i="51" s="1"/>
  <c r="AS38" i="51"/>
  <c r="CJ38" i="51" s="1"/>
  <c r="AR38" i="51"/>
  <c r="CI38" i="51" s="1"/>
  <c r="AQ38" i="51"/>
  <c r="CH38" i="51" s="1"/>
  <c r="AP38" i="51"/>
  <c r="CG38" i="51" s="1"/>
  <c r="AO38" i="51"/>
  <c r="CF38" i="51" s="1"/>
  <c r="Y38" i="51"/>
  <c r="BP38" i="51" s="1"/>
  <c r="X38" i="51"/>
  <c r="BO38" i="51" s="1"/>
  <c r="W38" i="51"/>
  <c r="BN38" i="51" s="1"/>
  <c r="V38" i="51"/>
  <c r="BM38" i="51" s="1"/>
  <c r="U38" i="51"/>
  <c r="BL38" i="51" s="1"/>
  <c r="T38" i="51"/>
  <c r="BK38" i="51" s="1"/>
  <c r="R38" i="51"/>
  <c r="BI38" i="51" s="1"/>
  <c r="Q38" i="51"/>
  <c r="BH38" i="51" s="1"/>
  <c r="P38" i="51"/>
  <c r="BG38" i="51" s="1"/>
  <c r="O38" i="51"/>
  <c r="BF38" i="51" s="1"/>
  <c r="N38" i="51"/>
  <c r="BE38" i="51" s="1"/>
  <c r="M38" i="51"/>
  <c r="BD38" i="51" s="1"/>
  <c r="AT37" i="51"/>
  <c r="CK37" i="51" s="1"/>
  <c r="AS37" i="51"/>
  <c r="CJ37" i="51" s="1"/>
  <c r="AR37" i="51"/>
  <c r="CI37" i="51" s="1"/>
  <c r="AQ37" i="51"/>
  <c r="CH37" i="51" s="1"/>
  <c r="AP37" i="51"/>
  <c r="CG37" i="51" s="1"/>
  <c r="AO37" i="51"/>
  <c r="CF37" i="51" s="1"/>
  <c r="AM37" i="51"/>
  <c r="CD37" i="51" s="1"/>
  <c r="AL37" i="51"/>
  <c r="CC37" i="51" s="1"/>
  <c r="AK37" i="51"/>
  <c r="CB37" i="51" s="1"/>
  <c r="AJ37" i="51"/>
  <c r="CA37" i="51" s="1"/>
  <c r="AI37" i="51"/>
  <c r="BZ37" i="51" s="1"/>
  <c r="AH37" i="51"/>
  <c r="AF37" i="51"/>
  <c r="BW37" i="51" s="1"/>
  <c r="AE37" i="51"/>
  <c r="BV37" i="51" s="1"/>
  <c r="AD37" i="51"/>
  <c r="BU37" i="51" s="1"/>
  <c r="AC37" i="51"/>
  <c r="BT37" i="51" s="1"/>
  <c r="AB37" i="51"/>
  <c r="BS37" i="51" s="1"/>
  <c r="AA37" i="51"/>
  <c r="Y37" i="51"/>
  <c r="BP37" i="51" s="1"/>
  <c r="X37" i="51"/>
  <c r="BO37" i="51" s="1"/>
  <c r="W37" i="51"/>
  <c r="BN37" i="51" s="1"/>
  <c r="V37" i="51"/>
  <c r="BM37" i="51" s="1"/>
  <c r="U37" i="51"/>
  <c r="BL37" i="51" s="1"/>
  <c r="T37" i="51"/>
  <c r="BK37" i="51" s="1"/>
  <c r="R37" i="51"/>
  <c r="BI37" i="51" s="1"/>
  <c r="Q37" i="51"/>
  <c r="BH37" i="51" s="1"/>
  <c r="P37" i="51"/>
  <c r="BG37" i="51" s="1"/>
  <c r="O37" i="51"/>
  <c r="BF37" i="51" s="1"/>
  <c r="N37" i="51"/>
  <c r="BE37" i="51" s="1"/>
  <c r="M37" i="51"/>
  <c r="BD37" i="51" s="1"/>
  <c r="K37" i="51"/>
  <c r="BB37" i="51" s="1"/>
  <c r="J37" i="51"/>
  <c r="BA37" i="51" s="1"/>
  <c r="I37" i="51"/>
  <c r="AZ37" i="51" s="1"/>
  <c r="H37" i="51"/>
  <c r="AY37" i="51" s="1"/>
  <c r="G37" i="51"/>
  <c r="AX37" i="51" s="1"/>
  <c r="F37" i="51"/>
  <c r="AW37" i="51" s="1"/>
  <c r="AT36" i="51"/>
  <c r="CK36" i="51" s="1"/>
  <c r="AS36" i="51"/>
  <c r="CJ36" i="51" s="1"/>
  <c r="AR36" i="51"/>
  <c r="CI36" i="51" s="1"/>
  <c r="AQ36" i="51"/>
  <c r="CH36" i="51" s="1"/>
  <c r="AP36" i="51"/>
  <c r="CG36" i="51" s="1"/>
  <c r="AO36" i="51"/>
  <c r="CF36" i="51" s="1"/>
  <c r="Y36" i="51"/>
  <c r="BP36" i="51" s="1"/>
  <c r="X36" i="51"/>
  <c r="BO36" i="51" s="1"/>
  <c r="W36" i="51"/>
  <c r="BN36" i="51" s="1"/>
  <c r="V36" i="51"/>
  <c r="BM36" i="51" s="1"/>
  <c r="U36" i="51"/>
  <c r="BL36" i="51" s="1"/>
  <c r="T36" i="51"/>
  <c r="BK36" i="51" s="1"/>
  <c r="R36" i="51"/>
  <c r="BI36" i="51" s="1"/>
  <c r="Q36" i="51"/>
  <c r="BH36" i="51" s="1"/>
  <c r="P36" i="51"/>
  <c r="BG36" i="51" s="1"/>
  <c r="O36" i="51"/>
  <c r="BF36" i="51" s="1"/>
  <c r="N36" i="51"/>
  <c r="BE36" i="51" s="1"/>
  <c r="M36" i="51"/>
  <c r="BD36" i="51" s="1"/>
  <c r="AT35" i="51"/>
  <c r="CK35" i="51" s="1"/>
  <c r="AS35" i="51"/>
  <c r="CJ35" i="51" s="1"/>
  <c r="AR35" i="51"/>
  <c r="CI35" i="51" s="1"/>
  <c r="AQ35" i="51"/>
  <c r="CH35" i="51" s="1"/>
  <c r="AP35" i="51"/>
  <c r="CG35" i="51" s="1"/>
  <c r="AO35" i="51"/>
  <c r="CF35" i="51" s="1"/>
  <c r="Y35" i="51"/>
  <c r="BP35" i="51" s="1"/>
  <c r="X35" i="51"/>
  <c r="BO35" i="51" s="1"/>
  <c r="W35" i="51"/>
  <c r="BN35" i="51" s="1"/>
  <c r="V35" i="51"/>
  <c r="BM35" i="51" s="1"/>
  <c r="U35" i="51"/>
  <c r="BL35" i="51" s="1"/>
  <c r="T35" i="51"/>
  <c r="BK35" i="51" s="1"/>
  <c r="R35" i="51"/>
  <c r="BI35" i="51" s="1"/>
  <c r="Q35" i="51"/>
  <c r="BH35" i="51" s="1"/>
  <c r="P35" i="51"/>
  <c r="BG35" i="51" s="1"/>
  <c r="O35" i="51"/>
  <c r="BF35" i="51" s="1"/>
  <c r="N35" i="51"/>
  <c r="BE35" i="51" s="1"/>
  <c r="M35" i="51"/>
  <c r="BD35" i="51" s="1"/>
  <c r="AT33" i="51"/>
  <c r="CK33" i="51" s="1"/>
  <c r="AS33" i="51"/>
  <c r="CJ33" i="51" s="1"/>
  <c r="AR33" i="51"/>
  <c r="CI33" i="51" s="1"/>
  <c r="AQ33" i="51"/>
  <c r="CH33" i="51" s="1"/>
  <c r="AP33" i="51"/>
  <c r="CG33" i="51" s="1"/>
  <c r="AO33" i="51"/>
  <c r="CF33" i="51" s="1"/>
  <c r="AM33" i="51"/>
  <c r="CD33" i="51" s="1"/>
  <c r="AL33" i="51"/>
  <c r="CC33" i="51" s="1"/>
  <c r="AK33" i="51"/>
  <c r="CB33" i="51" s="1"/>
  <c r="AJ33" i="51"/>
  <c r="CA33" i="51" s="1"/>
  <c r="AI33" i="51"/>
  <c r="BZ33" i="51" s="1"/>
  <c r="AH33" i="51"/>
  <c r="AF33" i="51"/>
  <c r="BW33" i="51" s="1"/>
  <c r="AE33" i="51"/>
  <c r="BV33" i="51" s="1"/>
  <c r="AD33" i="51"/>
  <c r="BU33" i="51" s="1"/>
  <c r="AC33" i="51"/>
  <c r="BT33" i="51" s="1"/>
  <c r="AB33" i="51"/>
  <c r="BS33" i="51" s="1"/>
  <c r="AA33" i="51"/>
  <c r="Y33" i="51"/>
  <c r="BP33" i="51" s="1"/>
  <c r="X33" i="51"/>
  <c r="BO33" i="51" s="1"/>
  <c r="W33" i="51"/>
  <c r="BN33" i="51" s="1"/>
  <c r="V33" i="51"/>
  <c r="BM33" i="51" s="1"/>
  <c r="U33" i="51"/>
  <c r="BL33" i="51" s="1"/>
  <c r="T33" i="51"/>
  <c r="BK33" i="51" s="1"/>
  <c r="R33" i="51"/>
  <c r="BI33" i="51" s="1"/>
  <c r="Q33" i="51"/>
  <c r="BH33" i="51" s="1"/>
  <c r="P33" i="51"/>
  <c r="BG33" i="51" s="1"/>
  <c r="O33" i="51"/>
  <c r="BF33" i="51" s="1"/>
  <c r="N33" i="51"/>
  <c r="BE33" i="51" s="1"/>
  <c r="M33" i="51"/>
  <c r="BD33" i="51" s="1"/>
  <c r="K33" i="51"/>
  <c r="BB33" i="51" s="1"/>
  <c r="J33" i="51"/>
  <c r="BA33" i="51" s="1"/>
  <c r="I33" i="51"/>
  <c r="AZ33" i="51" s="1"/>
  <c r="H33" i="51"/>
  <c r="AY33" i="51" s="1"/>
  <c r="G33" i="51"/>
  <c r="AX33" i="51" s="1"/>
  <c r="F33" i="51"/>
  <c r="AW33" i="51" s="1"/>
  <c r="AT32" i="51"/>
  <c r="CK32" i="51" s="1"/>
  <c r="AS32" i="51"/>
  <c r="CJ32" i="51" s="1"/>
  <c r="AR32" i="51"/>
  <c r="CI32" i="51" s="1"/>
  <c r="AQ32" i="51"/>
  <c r="CH32" i="51" s="1"/>
  <c r="AP32" i="51"/>
  <c r="AO32" i="51"/>
  <c r="CF32" i="51" s="1"/>
  <c r="AM32" i="51"/>
  <c r="AL32" i="51"/>
  <c r="CC32" i="51" s="1"/>
  <c r="AK32" i="51"/>
  <c r="CB32" i="51" s="1"/>
  <c r="AJ32" i="51"/>
  <c r="CA32" i="51" s="1"/>
  <c r="AI32" i="51"/>
  <c r="BZ32" i="51" s="1"/>
  <c r="AH32" i="51"/>
  <c r="AF32" i="51"/>
  <c r="AE32" i="51"/>
  <c r="AD32" i="51"/>
  <c r="AC32" i="51"/>
  <c r="BT32" i="51" s="1"/>
  <c r="AB32" i="51"/>
  <c r="BS32" i="51" s="1"/>
  <c r="AA32" i="51"/>
  <c r="Y32" i="51"/>
  <c r="BP32" i="51" s="1"/>
  <c r="X32" i="51"/>
  <c r="BO32" i="51" s="1"/>
  <c r="W32" i="51"/>
  <c r="V32" i="51"/>
  <c r="U32" i="51"/>
  <c r="T32" i="51"/>
  <c r="BK32" i="51" s="1"/>
  <c r="R32" i="51"/>
  <c r="BI32" i="51" s="1"/>
  <c r="Q32" i="51"/>
  <c r="BH32" i="51" s="1"/>
  <c r="P32" i="51"/>
  <c r="BG32" i="51" s="1"/>
  <c r="O32" i="51"/>
  <c r="BF32" i="51" s="1"/>
  <c r="N32" i="51"/>
  <c r="M32" i="51"/>
  <c r="BD32" i="51" s="1"/>
  <c r="K32" i="51"/>
  <c r="J32" i="51"/>
  <c r="BA32" i="51" s="1"/>
  <c r="I32" i="51"/>
  <c r="AZ32" i="51" s="1"/>
  <c r="H32" i="51"/>
  <c r="AY32" i="51" s="1"/>
  <c r="G32" i="51"/>
  <c r="AX32" i="51" s="1"/>
  <c r="F32" i="51"/>
  <c r="AW32" i="51" s="1"/>
  <c r="AT28" i="51"/>
  <c r="CK28" i="51" s="1"/>
  <c r="AS28" i="51"/>
  <c r="CJ28" i="51" s="1"/>
  <c r="AR28" i="51"/>
  <c r="CI28" i="51" s="1"/>
  <c r="AQ28" i="51"/>
  <c r="CH28" i="51" s="1"/>
  <c r="AP28" i="51"/>
  <c r="CG28" i="51" s="1"/>
  <c r="AO28" i="51"/>
  <c r="CF28" i="51" s="1"/>
  <c r="AT27" i="51"/>
  <c r="CK27" i="51" s="1"/>
  <c r="AS27" i="51"/>
  <c r="CJ27" i="51" s="1"/>
  <c r="AR27" i="51"/>
  <c r="CI27" i="51" s="1"/>
  <c r="AQ27" i="51"/>
  <c r="CH27" i="51" s="1"/>
  <c r="AP27" i="51"/>
  <c r="CG27" i="51" s="1"/>
  <c r="AO27" i="51"/>
  <c r="CF27" i="51" s="1"/>
  <c r="Y27" i="51"/>
  <c r="BP27" i="51" s="1"/>
  <c r="X27" i="51"/>
  <c r="BO27" i="51" s="1"/>
  <c r="W27" i="51"/>
  <c r="BN27" i="51" s="1"/>
  <c r="V27" i="51"/>
  <c r="BM27" i="51" s="1"/>
  <c r="U27" i="51"/>
  <c r="BL27" i="51" s="1"/>
  <c r="T27" i="51"/>
  <c r="BK27" i="51" s="1"/>
  <c r="R27" i="51"/>
  <c r="BI27" i="51" s="1"/>
  <c r="Q27" i="51"/>
  <c r="BH27" i="51" s="1"/>
  <c r="P27" i="51"/>
  <c r="BG27" i="51" s="1"/>
  <c r="O27" i="51"/>
  <c r="BF27" i="51" s="1"/>
  <c r="N27" i="51"/>
  <c r="BE27" i="51" s="1"/>
  <c r="M27" i="51"/>
  <c r="BD27" i="51" s="1"/>
  <c r="Y26" i="51"/>
  <c r="BP26" i="51" s="1"/>
  <c r="X26" i="51"/>
  <c r="BO26" i="51" s="1"/>
  <c r="W26" i="51"/>
  <c r="BN26" i="51" s="1"/>
  <c r="V26" i="51"/>
  <c r="BM26" i="51" s="1"/>
  <c r="U26" i="51"/>
  <c r="BL26" i="51" s="1"/>
  <c r="T26" i="51"/>
  <c r="BK26" i="51" s="1"/>
  <c r="R26" i="51"/>
  <c r="BI26" i="51" s="1"/>
  <c r="Q26" i="51"/>
  <c r="BH26" i="51" s="1"/>
  <c r="P26" i="51"/>
  <c r="BG26" i="51" s="1"/>
  <c r="O26" i="51"/>
  <c r="BF26" i="51" s="1"/>
  <c r="N26" i="51"/>
  <c r="BE26" i="51" s="1"/>
  <c r="M26" i="51"/>
  <c r="BD26" i="51" s="1"/>
  <c r="AT24" i="51"/>
  <c r="CK24" i="51" s="1"/>
  <c r="AS24" i="51"/>
  <c r="CJ24" i="51" s="1"/>
  <c r="AR24" i="51"/>
  <c r="CI24" i="51" s="1"/>
  <c r="AQ24" i="51"/>
  <c r="CH24" i="51" s="1"/>
  <c r="AP24" i="51"/>
  <c r="CG24" i="51" s="1"/>
  <c r="AO24" i="51"/>
  <c r="CF24" i="51" s="1"/>
  <c r="AM24" i="51"/>
  <c r="CD24" i="51" s="1"/>
  <c r="AL24" i="51"/>
  <c r="CC24" i="51" s="1"/>
  <c r="AK24" i="51"/>
  <c r="CB24" i="51" s="1"/>
  <c r="AJ24" i="51"/>
  <c r="CA24" i="51" s="1"/>
  <c r="AI24" i="51"/>
  <c r="BZ24" i="51" s="1"/>
  <c r="AH24" i="51"/>
  <c r="AF24" i="51"/>
  <c r="BW24" i="51" s="1"/>
  <c r="AE24" i="51"/>
  <c r="BV24" i="51" s="1"/>
  <c r="AD24" i="51"/>
  <c r="BU24" i="51" s="1"/>
  <c r="AC24" i="51"/>
  <c r="BT24" i="51" s="1"/>
  <c r="AB24" i="51"/>
  <c r="BS24" i="51" s="1"/>
  <c r="AA24" i="51"/>
  <c r="Y24" i="51"/>
  <c r="BP24" i="51" s="1"/>
  <c r="X24" i="51"/>
  <c r="BO24" i="51" s="1"/>
  <c r="W24" i="51"/>
  <c r="BN24" i="51" s="1"/>
  <c r="V24" i="51"/>
  <c r="BM24" i="51" s="1"/>
  <c r="U24" i="51"/>
  <c r="BL24" i="51" s="1"/>
  <c r="T24" i="51"/>
  <c r="BK24" i="51" s="1"/>
  <c r="R24" i="51"/>
  <c r="BI24" i="51" s="1"/>
  <c r="Q24" i="51"/>
  <c r="BH24" i="51" s="1"/>
  <c r="P24" i="51"/>
  <c r="BG24" i="51" s="1"/>
  <c r="O24" i="51"/>
  <c r="BF24" i="51" s="1"/>
  <c r="N24" i="51"/>
  <c r="BE24" i="51" s="1"/>
  <c r="M24" i="51"/>
  <c r="BD24" i="51" s="1"/>
  <c r="K24" i="51"/>
  <c r="BB24" i="51" s="1"/>
  <c r="J24" i="51"/>
  <c r="BA24" i="51" s="1"/>
  <c r="I24" i="51"/>
  <c r="AZ24" i="51" s="1"/>
  <c r="H24" i="51"/>
  <c r="AY24" i="51" s="1"/>
  <c r="G24" i="51"/>
  <c r="AX24" i="51" s="1"/>
  <c r="F24" i="51"/>
  <c r="AW24" i="51" s="1"/>
  <c r="AT23" i="51"/>
  <c r="AS23" i="51"/>
  <c r="AR23" i="51"/>
  <c r="AQ23" i="51"/>
  <c r="CH23" i="51" s="1"/>
  <c r="AP23" i="51"/>
  <c r="CG23" i="51" s="1"/>
  <c r="AO23" i="51"/>
  <c r="CF23" i="51" s="1"/>
  <c r="Y23" i="51"/>
  <c r="X23" i="51"/>
  <c r="W23" i="51"/>
  <c r="V23" i="51"/>
  <c r="BM23" i="51" s="1"/>
  <c r="U23" i="51"/>
  <c r="T23" i="51"/>
  <c r="BK23" i="51" s="1"/>
  <c r="R23" i="51"/>
  <c r="Q23" i="51"/>
  <c r="BH23" i="51" s="1"/>
  <c r="P23" i="51"/>
  <c r="O23" i="51"/>
  <c r="N23" i="51"/>
  <c r="M23" i="51"/>
  <c r="BD23" i="51" s="1"/>
  <c r="AT20" i="51"/>
  <c r="CK20" i="51" s="1"/>
  <c r="AS20" i="51"/>
  <c r="CJ20" i="51" s="1"/>
  <c r="AR20" i="51"/>
  <c r="CI20" i="51" s="1"/>
  <c r="AQ20" i="51"/>
  <c r="CH20" i="51" s="1"/>
  <c r="AP20" i="51"/>
  <c r="CG20" i="51" s="1"/>
  <c r="AO20" i="51"/>
  <c r="CF20" i="51" s="1"/>
  <c r="R20" i="51"/>
  <c r="BI20" i="51" s="1"/>
  <c r="Q20" i="51"/>
  <c r="BH20" i="51" s="1"/>
  <c r="P20" i="51"/>
  <c r="BG20" i="51" s="1"/>
  <c r="O20" i="51"/>
  <c r="BF20" i="51" s="1"/>
  <c r="N20" i="51"/>
  <c r="BE20" i="51" s="1"/>
  <c r="M20" i="51"/>
  <c r="BD20" i="51" s="1"/>
  <c r="AT19" i="51"/>
  <c r="CK19" i="51" s="1"/>
  <c r="AS19" i="51"/>
  <c r="CJ19" i="51" s="1"/>
  <c r="AR19" i="51"/>
  <c r="CI19" i="51" s="1"/>
  <c r="AQ19" i="51"/>
  <c r="CH19" i="51" s="1"/>
  <c r="AP19" i="51"/>
  <c r="CG19" i="51" s="1"/>
  <c r="AO19" i="51"/>
  <c r="CF19" i="51" s="1"/>
  <c r="AM19" i="51"/>
  <c r="CD19" i="51" s="1"/>
  <c r="AL19" i="51"/>
  <c r="CC19" i="51" s="1"/>
  <c r="AK19" i="51"/>
  <c r="CB19" i="51" s="1"/>
  <c r="AJ19" i="51"/>
  <c r="CA19" i="51" s="1"/>
  <c r="AI19" i="51"/>
  <c r="BZ19" i="51" s="1"/>
  <c r="AH19" i="51"/>
  <c r="AF19" i="51"/>
  <c r="BW19" i="51" s="1"/>
  <c r="AE19" i="51"/>
  <c r="BV19" i="51" s="1"/>
  <c r="AD19" i="51"/>
  <c r="BU19" i="51" s="1"/>
  <c r="AC19" i="51"/>
  <c r="BT19" i="51" s="1"/>
  <c r="AB19" i="51"/>
  <c r="BS19" i="51" s="1"/>
  <c r="AA19" i="51"/>
  <c r="Y19" i="51"/>
  <c r="BP19" i="51" s="1"/>
  <c r="X19" i="51"/>
  <c r="BO19" i="51" s="1"/>
  <c r="W19" i="51"/>
  <c r="BN19" i="51" s="1"/>
  <c r="V19" i="51"/>
  <c r="BM19" i="51" s="1"/>
  <c r="U19" i="51"/>
  <c r="BL19" i="51" s="1"/>
  <c r="T19" i="51"/>
  <c r="BK19" i="51" s="1"/>
  <c r="R19" i="51"/>
  <c r="BI19" i="51" s="1"/>
  <c r="Q19" i="51"/>
  <c r="BH19" i="51" s="1"/>
  <c r="P19" i="51"/>
  <c r="BG19" i="51" s="1"/>
  <c r="O19" i="51"/>
  <c r="BF19" i="51" s="1"/>
  <c r="N19" i="51"/>
  <c r="BE19" i="51" s="1"/>
  <c r="M19" i="51"/>
  <c r="BD19" i="51" s="1"/>
  <c r="K19" i="51"/>
  <c r="BB19" i="51" s="1"/>
  <c r="J19" i="51"/>
  <c r="BA19" i="51" s="1"/>
  <c r="I19" i="51"/>
  <c r="AZ19" i="51" s="1"/>
  <c r="H19" i="51"/>
  <c r="AY19" i="51" s="1"/>
  <c r="G19" i="51"/>
  <c r="AX19" i="51" s="1"/>
  <c r="F19" i="51"/>
  <c r="AW19" i="51" s="1"/>
  <c r="AT17" i="51"/>
  <c r="CK17" i="51" s="1"/>
  <c r="AS17" i="51"/>
  <c r="CJ17" i="51" s="1"/>
  <c r="AR17" i="51"/>
  <c r="CI17" i="51" s="1"/>
  <c r="AQ17" i="51"/>
  <c r="CH17" i="51" s="1"/>
  <c r="AP17" i="51"/>
  <c r="CG17" i="51" s="1"/>
  <c r="AO17" i="51"/>
  <c r="CF17" i="51" s="1"/>
  <c r="Y17" i="51"/>
  <c r="BP17" i="51" s="1"/>
  <c r="X17" i="51"/>
  <c r="BO17" i="51" s="1"/>
  <c r="W17" i="51"/>
  <c r="BN17" i="51" s="1"/>
  <c r="V17" i="51"/>
  <c r="BM17" i="51" s="1"/>
  <c r="U17" i="51"/>
  <c r="BL17" i="51" s="1"/>
  <c r="T17" i="51"/>
  <c r="BK17" i="51" s="1"/>
  <c r="R17" i="51"/>
  <c r="BI17" i="51" s="1"/>
  <c r="Q17" i="51"/>
  <c r="BH17" i="51" s="1"/>
  <c r="P17" i="51"/>
  <c r="BG17" i="51" s="1"/>
  <c r="O17" i="51"/>
  <c r="BF17" i="51" s="1"/>
  <c r="N17" i="51"/>
  <c r="BE17" i="51" s="1"/>
  <c r="M17" i="51"/>
  <c r="BD17" i="51" s="1"/>
  <c r="AM16" i="51"/>
  <c r="CD16" i="51" s="1"/>
  <c r="AL16" i="51"/>
  <c r="CC16" i="51" s="1"/>
  <c r="AK16" i="51"/>
  <c r="CB16" i="51" s="1"/>
  <c r="AJ16" i="51"/>
  <c r="CA16" i="51" s="1"/>
  <c r="AI16" i="51"/>
  <c r="BZ16" i="51" s="1"/>
  <c r="AH16" i="51"/>
  <c r="AF16" i="51"/>
  <c r="BW16" i="51" s="1"/>
  <c r="AE16" i="51"/>
  <c r="BV16" i="51" s="1"/>
  <c r="AD16" i="51"/>
  <c r="BU16" i="51" s="1"/>
  <c r="AC16" i="51"/>
  <c r="BT16" i="51" s="1"/>
  <c r="AB16" i="51"/>
  <c r="BS16" i="51" s="1"/>
  <c r="AA16" i="51"/>
  <c r="Y16" i="51"/>
  <c r="X16" i="51"/>
  <c r="W16" i="51"/>
  <c r="V16" i="51"/>
  <c r="U16" i="51"/>
  <c r="T16" i="51"/>
  <c r="R16" i="51"/>
  <c r="Q16" i="51"/>
  <c r="P16" i="51"/>
  <c r="O16" i="51"/>
  <c r="N16" i="51"/>
  <c r="M16" i="51"/>
  <c r="BD16" i="51" s="1"/>
  <c r="K16" i="51"/>
  <c r="BB16" i="51" s="1"/>
  <c r="J16" i="51"/>
  <c r="BA16" i="51" s="1"/>
  <c r="I16" i="51"/>
  <c r="AZ16" i="51" s="1"/>
  <c r="H16" i="51"/>
  <c r="AY16" i="51" s="1"/>
  <c r="G16" i="51"/>
  <c r="AX16" i="51" s="1"/>
  <c r="F16" i="51"/>
  <c r="AW16" i="51" s="1"/>
  <c r="AT14" i="51"/>
  <c r="CK14" i="51" s="1"/>
  <c r="AS14" i="51"/>
  <c r="CJ14" i="51" s="1"/>
  <c r="AR14" i="51"/>
  <c r="CI14" i="51" s="1"/>
  <c r="AQ14" i="51"/>
  <c r="CH14" i="51" s="1"/>
  <c r="AP14" i="51"/>
  <c r="CG14" i="51" s="1"/>
  <c r="AO14" i="51"/>
  <c r="CF14" i="51" s="1"/>
  <c r="AM14" i="51"/>
  <c r="CD14" i="51" s="1"/>
  <c r="AL14" i="51"/>
  <c r="CC14" i="51" s="1"/>
  <c r="AK14" i="51"/>
  <c r="CB14" i="51" s="1"/>
  <c r="AJ14" i="51"/>
  <c r="CA14" i="51" s="1"/>
  <c r="AI14" i="51"/>
  <c r="BZ14" i="51" s="1"/>
  <c r="AH14" i="51"/>
  <c r="AF14" i="51"/>
  <c r="BW14" i="51" s="1"/>
  <c r="AE14" i="51"/>
  <c r="BV14" i="51" s="1"/>
  <c r="AD14" i="51"/>
  <c r="BU14" i="51" s="1"/>
  <c r="AC14" i="51"/>
  <c r="BT14" i="51" s="1"/>
  <c r="AB14" i="51"/>
  <c r="BS14" i="51" s="1"/>
  <c r="AA14" i="51"/>
  <c r="Y14" i="51"/>
  <c r="BP14" i="51" s="1"/>
  <c r="X14" i="51"/>
  <c r="BO14" i="51" s="1"/>
  <c r="W14" i="51"/>
  <c r="BN14" i="51" s="1"/>
  <c r="V14" i="51"/>
  <c r="BM14" i="51" s="1"/>
  <c r="U14" i="51"/>
  <c r="BL14" i="51" s="1"/>
  <c r="T14" i="51"/>
  <c r="BK14" i="51" s="1"/>
  <c r="R14" i="51"/>
  <c r="BI14" i="51" s="1"/>
  <c r="Q14" i="51"/>
  <c r="BH14" i="51" s="1"/>
  <c r="P14" i="51"/>
  <c r="BG14" i="51" s="1"/>
  <c r="O14" i="51"/>
  <c r="BF14" i="51" s="1"/>
  <c r="N14" i="51"/>
  <c r="BE14" i="51" s="1"/>
  <c r="M14" i="51"/>
  <c r="BD14" i="51" s="1"/>
  <c r="K14" i="51"/>
  <c r="BB14" i="51" s="1"/>
  <c r="J14" i="51"/>
  <c r="BA14" i="51" s="1"/>
  <c r="I14" i="51"/>
  <c r="AZ14" i="51" s="1"/>
  <c r="H14" i="51"/>
  <c r="AY14" i="51" s="1"/>
  <c r="G14" i="51"/>
  <c r="AX14" i="51" s="1"/>
  <c r="F14" i="51"/>
  <c r="AW14" i="51" s="1"/>
  <c r="AT13" i="51"/>
  <c r="CK13" i="51" s="1"/>
  <c r="AS13" i="51"/>
  <c r="CJ13" i="51" s="1"/>
  <c r="AR13" i="51"/>
  <c r="AQ13" i="51"/>
  <c r="AP13" i="51"/>
  <c r="AO13" i="51"/>
  <c r="CF13" i="51" s="1"/>
  <c r="AM13" i="51"/>
  <c r="CD13" i="51" s="1"/>
  <c r="AL13" i="51"/>
  <c r="CC13" i="51" s="1"/>
  <c r="AK13" i="51"/>
  <c r="CB13" i="51" s="1"/>
  <c r="AJ13" i="51"/>
  <c r="CA13" i="51" s="1"/>
  <c r="AI13" i="51"/>
  <c r="AH13" i="51"/>
  <c r="BY13" i="51" s="1"/>
  <c r="AF13" i="51"/>
  <c r="AE13" i="51"/>
  <c r="BV13" i="51" s="1"/>
  <c r="AD13" i="51"/>
  <c r="BU13" i="51" s="1"/>
  <c r="AC13" i="51"/>
  <c r="BT13" i="51" s="1"/>
  <c r="AB13" i="51"/>
  <c r="BS13" i="51" s="1"/>
  <c r="AA13" i="51"/>
  <c r="Y13" i="51"/>
  <c r="X13" i="51"/>
  <c r="W13" i="51"/>
  <c r="V13" i="51"/>
  <c r="BM13" i="51" s="1"/>
  <c r="U13" i="51"/>
  <c r="BL13" i="51" s="1"/>
  <c r="T13" i="51"/>
  <c r="BK13" i="51" s="1"/>
  <c r="R13" i="51"/>
  <c r="BI13" i="51" s="1"/>
  <c r="Q13" i="51"/>
  <c r="BH13" i="51" s="1"/>
  <c r="P13" i="51"/>
  <c r="O13" i="51"/>
  <c r="N13" i="51"/>
  <c r="M13" i="51"/>
  <c r="BD13" i="51" s="1"/>
  <c r="K13" i="51"/>
  <c r="BB13" i="51" s="1"/>
  <c r="J13" i="51"/>
  <c r="BA13" i="51" s="1"/>
  <c r="I13" i="51"/>
  <c r="AZ13" i="51" s="1"/>
  <c r="H13" i="51"/>
  <c r="AY13" i="51" s="1"/>
  <c r="G13" i="51"/>
  <c r="F13" i="51"/>
  <c r="K8" i="50"/>
  <c r="J8" i="50"/>
  <c r="I8" i="50"/>
  <c r="H8" i="50"/>
  <c r="G8" i="50"/>
  <c r="F8" i="50"/>
  <c r="AR8" i="50" s="1"/>
  <c r="AY8" i="50" s="1"/>
  <c r="BF8" i="50" s="1"/>
  <c r="BM8" i="50" s="1"/>
  <c r="BT8" i="50" s="1"/>
  <c r="K10" i="51"/>
  <c r="J10" i="51"/>
  <c r="I10" i="51"/>
  <c r="H10" i="51"/>
  <c r="G10" i="51"/>
  <c r="F10" i="51"/>
  <c r="K9" i="62"/>
  <c r="J9" i="62"/>
  <c r="I9" i="62"/>
  <c r="H9" i="62"/>
  <c r="G9" i="62"/>
  <c r="F9" i="62"/>
  <c r="AW9" i="62" s="1"/>
  <c r="BD9" i="62" s="1"/>
  <c r="BK9" i="62" s="1"/>
  <c r="BR9" i="62" s="1"/>
  <c r="BY9" i="62" s="1"/>
  <c r="B36" i="67"/>
  <c r="B96" i="67"/>
  <c r="B72" i="67"/>
  <c r="B54" i="67"/>
  <c r="T210" i="50"/>
  <c r="M209" i="50"/>
  <c r="F198" i="50"/>
  <c r="F197" i="50"/>
  <c r="F193" i="50"/>
  <c r="B94" i="67"/>
  <c r="B127" i="67" s="1"/>
  <c r="B70" i="67"/>
  <c r="B125" i="67" s="1"/>
  <c r="B91" i="67"/>
  <c r="B67" i="67"/>
  <c r="B49" i="67"/>
  <c r="B31" i="67"/>
  <c r="B13" i="67"/>
  <c r="B89" i="67"/>
  <c r="B65" i="67"/>
  <c r="B47" i="67"/>
  <c r="B29" i="67"/>
  <c r="B11" i="67"/>
  <c r="AH83" i="50"/>
  <c r="BT83" i="50" s="1"/>
  <c r="E7" i="51"/>
  <c r="AH175" i="62"/>
  <c r="AA175" i="62"/>
  <c r="BR175" i="62" s="1"/>
  <c r="T175" i="62"/>
  <c r="M175" i="62"/>
  <c r="BD175" i="62" s="1"/>
  <c r="F175" i="62"/>
  <c r="AH174" i="62"/>
  <c r="BY174" i="62" s="1"/>
  <c r="AA174" i="62"/>
  <c r="T174" i="62"/>
  <c r="BK174" i="62" s="1"/>
  <c r="M174" i="62"/>
  <c r="F174" i="62"/>
  <c r="AH173" i="62"/>
  <c r="AA173" i="62"/>
  <c r="BR173" i="62" s="1"/>
  <c r="T173" i="62"/>
  <c r="BK173" i="62" s="1"/>
  <c r="M173" i="62"/>
  <c r="BD173" i="62" s="1"/>
  <c r="F173" i="62"/>
  <c r="AH172" i="62"/>
  <c r="BY172" i="62" s="1"/>
  <c r="AA172" i="62"/>
  <c r="T172" i="62"/>
  <c r="BK172" i="62" s="1"/>
  <c r="M172" i="62"/>
  <c r="BD172" i="62" s="1"/>
  <c r="F172" i="62"/>
  <c r="AW172" i="62" s="1"/>
  <c r="AH171" i="62"/>
  <c r="AA171" i="62"/>
  <c r="BR171" i="62" s="1"/>
  <c r="T171" i="62"/>
  <c r="M171" i="62"/>
  <c r="F171" i="62"/>
  <c r="AH170" i="62"/>
  <c r="BY170" i="62" s="1"/>
  <c r="AA170" i="62"/>
  <c r="BR170" i="62" s="1"/>
  <c r="T170" i="62"/>
  <c r="BK170" i="62" s="1"/>
  <c r="M170" i="62"/>
  <c r="BD170" i="62" s="1"/>
  <c r="F170" i="62"/>
  <c r="AH169" i="62"/>
  <c r="AA169" i="62"/>
  <c r="BR169" i="62" s="1"/>
  <c r="T169" i="62"/>
  <c r="M169" i="62"/>
  <c r="BD169" i="62" s="1"/>
  <c r="F169" i="62"/>
  <c r="AH168" i="62"/>
  <c r="BY168" i="62" s="1"/>
  <c r="AA168" i="62"/>
  <c r="BR168" i="62" s="1"/>
  <c r="T168" i="62"/>
  <c r="BK168" i="62" s="1"/>
  <c r="M168" i="62"/>
  <c r="BD168" i="62" s="1"/>
  <c r="F168" i="62"/>
  <c r="AW168" i="62" s="1"/>
  <c r="AH167" i="62"/>
  <c r="AA167" i="62"/>
  <c r="BR167" i="62" s="1"/>
  <c r="T167" i="62"/>
  <c r="BK167" i="62" s="1"/>
  <c r="M167" i="62"/>
  <c r="BD167" i="62" s="1"/>
  <c r="F167" i="62"/>
  <c r="AH166" i="62"/>
  <c r="BY166" i="62" s="1"/>
  <c r="AA166" i="62"/>
  <c r="T166" i="62"/>
  <c r="BK166" i="62" s="1"/>
  <c r="M166" i="62"/>
  <c r="F166" i="62"/>
  <c r="AW166" i="62" s="1"/>
  <c r="AH165" i="62"/>
  <c r="BY165" i="62" s="1"/>
  <c r="AA165" i="62"/>
  <c r="BR165" i="62" s="1"/>
  <c r="T165" i="62"/>
  <c r="BK165" i="62" s="1"/>
  <c r="M165" i="62"/>
  <c r="BD165" i="62" s="1"/>
  <c r="F165" i="62"/>
  <c r="AH164" i="62"/>
  <c r="BY164" i="62" s="1"/>
  <c r="AA164" i="62"/>
  <c r="T164" i="62"/>
  <c r="BK164" i="62" s="1"/>
  <c r="M164" i="62"/>
  <c r="F164" i="62"/>
  <c r="AW164" i="62" s="1"/>
  <c r="AH163" i="62"/>
  <c r="AA163" i="62"/>
  <c r="BR163" i="62" s="1"/>
  <c r="T163" i="62"/>
  <c r="M163" i="62"/>
  <c r="BD163" i="62" s="1"/>
  <c r="F163" i="62"/>
  <c r="AH162" i="62"/>
  <c r="BY162" i="62" s="1"/>
  <c r="AA162" i="62"/>
  <c r="T162" i="62"/>
  <c r="BK162" i="62" s="1"/>
  <c r="M162" i="62"/>
  <c r="F162" i="62"/>
  <c r="AW162" i="62" s="1"/>
  <c r="AH161" i="62"/>
  <c r="BY161" i="62" s="1"/>
  <c r="AA161" i="62"/>
  <c r="BR161" i="62" s="1"/>
  <c r="T161" i="62"/>
  <c r="BK161" i="62" s="1"/>
  <c r="M161" i="62"/>
  <c r="BD161" i="62" s="1"/>
  <c r="F161" i="62"/>
  <c r="AH160" i="62"/>
  <c r="BY160" i="62" s="1"/>
  <c r="AA160" i="62"/>
  <c r="BR160" i="62" s="1"/>
  <c r="T160" i="62"/>
  <c r="BK160" i="62" s="1"/>
  <c r="M160" i="62"/>
  <c r="BD160" i="62" s="1"/>
  <c r="F160" i="62"/>
  <c r="AH159" i="62"/>
  <c r="AA159" i="62"/>
  <c r="BR159" i="62" s="1"/>
  <c r="T159" i="62"/>
  <c r="BK159" i="62" s="1"/>
  <c r="M159" i="62"/>
  <c r="BD159" i="62" s="1"/>
  <c r="F159" i="62"/>
  <c r="AH158" i="62"/>
  <c r="BY158" i="62" s="1"/>
  <c r="AA158" i="62"/>
  <c r="BR158" i="62" s="1"/>
  <c r="T158" i="62"/>
  <c r="BK158" i="62" s="1"/>
  <c r="M158" i="62"/>
  <c r="F158" i="62"/>
  <c r="AW158" i="62" s="1"/>
  <c r="AH157" i="62"/>
  <c r="AA157" i="62"/>
  <c r="T157" i="62"/>
  <c r="BK157" i="62" s="1"/>
  <c r="M157" i="62"/>
  <c r="BD157" i="62" s="1"/>
  <c r="F157" i="62"/>
  <c r="AW157" i="62" s="1"/>
  <c r="AH156" i="62"/>
  <c r="BY156" i="62" s="1"/>
  <c r="AA156" i="62"/>
  <c r="BR156" i="62" s="1"/>
  <c r="T156" i="62"/>
  <c r="M156" i="62"/>
  <c r="F156" i="62"/>
  <c r="AH155" i="62"/>
  <c r="BY155" i="62" s="1"/>
  <c r="AA155" i="62"/>
  <c r="BR155" i="62" s="1"/>
  <c r="T155" i="62"/>
  <c r="M155" i="62"/>
  <c r="BD155" i="62" s="1"/>
  <c r="F155" i="62"/>
  <c r="AT154" i="62"/>
  <c r="AS154" i="62"/>
  <c r="AR154" i="62"/>
  <c r="AQ154" i="62"/>
  <c r="AP154" i="62"/>
  <c r="AO154" i="62"/>
  <c r="AN154" i="62"/>
  <c r="AG154" i="62"/>
  <c r="Z154" i="62"/>
  <c r="S154" i="62"/>
  <c r="L154" i="62"/>
  <c r="E154" i="62"/>
  <c r="K132" i="62"/>
  <c r="BB132" i="62" s="1"/>
  <c r="Y132" i="62"/>
  <c r="BP132" i="62" s="1"/>
  <c r="I132" i="62"/>
  <c r="AZ132" i="62" s="1"/>
  <c r="AT132" i="62"/>
  <c r="AS132" i="62"/>
  <c r="AR132" i="62"/>
  <c r="AQ132" i="62"/>
  <c r="AP132" i="62"/>
  <c r="AO132" i="62"/>
  <c r="AN132" i="62"/>
  <c r="AM132" i="62"/>
  <c r="CD132" i="62" s="1"/>
  <c r="AL132" i="62"/>
  <c r="CC132" i="62" s="1"/>
  <c r="AK132" i="62"/>
  <c r="CB132" i="62" s="1"/>
  <c r="AJ132" i="62"/>
  <c r="CA132" i="62" s="1"/>
  <c r="AI132" i="62"/>
  <c r="BZ132" i="62" s="1"/>
  <c r="AH132" i="62"/>
  <c r="BY132" i="62" s="1"/>
  <c r="AG132" i="62"/>
  <c r="AF132" i="62"/>
  <c r="BW132" i="62" s="1"/>
  <c r="AE132" i="62"/>
  <c r="BV132" i="62" s="1"/>
  <c r="AD132" i="62"/>
  <c r="BU132" i="62" s="1"/>
  <c r="AC132" i="62"/>
  <c r="BT132" i="62" s="1"/>
  <c r="AB132" i="62"/>
  <c r="BS132" i="62" s="1"/>
  <c r="AA132" i="62"/>
  <c r="BR132" i="62" s="1"/>
  <c r="Z132" i="62"/>
  <c r="X132" i="62"/>
  <c r="BO132" i="62" s="1"/>
  <c r="W132" i="62"/>
  <c r="BN132" i="62" s="1"/>
  <c r="V132" i="62"/>
  <c r="BM132" i="62" s="1"/>
  <c r="U132" i="62"/>
  <c r="BL132" i="62" s="1"/>
  <c r="T132" i="62"/>
  <c r="BK132" i="62" s="1"/>
  <c r="S132" i="62"/>
  <c r="R132" i="62"/>
  <c r="BI132" i="62" s="1"/>
  <c r="Q132" i="62"/>
  <c r="BH132" i="62" s="1"/>
  <c r="P132" i="62"/>
  <c r="BG132" i="62" s="1"/>
  <c r="O132" i="62"/>
  <c r="BF132" i="62" s="1"/>
  <c r="N132" i="62"/>
  <c r="BE132" i="62" s="1"/>
  <c r="M132" i="62"/>
  <c r="BD132" i="62" s="1"/>
  <c r="L132" i="62"/>
  <c r="J132" i="62"/>
  <c r="BA132" i="62" s="1"/>
  <c r="H132" i="62"/>
  <c r="AY132" i="62" s="1"/>
  <c r="G132" i="62"/>
  <c r="AX132" i="62" s="1"/>
  <c r="F132" i="62"/>
  <c r="AW132" i="62" s="1"/>
  <c r="E132" i="62"/>
  <c r="AT110" i="62"/>
  <c r="AS110" i="62"/>
  <c r="AR110" i="62"/>
  <c r="AQ110" i="62"/>
  <c r="AP110" i="62"/>
  <c r="AO110" i="62"/>
  <c r="AN110" i="62"/>
  <c r="AM110" i="62"/>
  <c r="AL110" i="62"/>
  <c r="AK110" i="62"/>
  <c r="AJ110" i="62"/>
  <c r="AI110" i="62"/>
  <c r="AH110" i="62"/>
  <c r="BY110" i="62" s="1"/>
  <c r="AG110" i="62"/>
  <c r="AF110" i="62"/>
  <c r="AE110" i="62"/>
  <c r="AD110" i="62"/>
  <c r="AC110" i="62"/>
  <c r="AB110" i="62"/>
  <c r="AA110" i="62"/>
  <c r="BR110" i="62" s="1"/>
  <c r="Z110" i="62"/>
  <c r="Y110" i="62"/>
  <c r="X110" i="62"/>
  <c r="W110" i="62"/>
  <c r="V110" i="62"/>
  <c r="U110" i="62"/>
  <c r="T110" i="62"/>
  <c r="BK110" i="62" s="1"/>
  <c r="S110" i="62"/>
  <c r="R110" i="62"/>
  <c r="Q110" i="62"/>
  <c r="P110" i="62"/>
  <c r="O110" i="62"/>
  <c r="N110" i="62"/>
  <c r="M110" i="62"/>
  <c r="BD110" i="62" s="1"/>
  <c r="L110" i="62"/>
  <c r="K110" i="62"/>
  <c r="J110" i="62"/>
  <c r="I110" i="62"/>
  <c r="H110" i="62"/>
  <c r="G110" i="62"/>
  <c r="F110" i="62"/>
  <c r="AW110" i="62" s="1"/>
  <c r="E110" i="62"/>
  <c r="AH108" i="62"/>
  <c r="AA108" i="62"/>
  <c r="T108" i="62"/>
  <c r="M108" i="62"/>
  <c r="F108" i="62"/>
  <c r="AH107" i="62"/>
  <c r="AA107" i="62"/>
  <c r="T107" i="62"/>
  <c r="M107" i="62"/>
  <c r="F107" i="62"/>
  <c r="AH106" i="62"/>
  <c r="AA106" i="62"/>
  <c r="T106" i="62"/>
  <c r="M106" i="62"/>
  <c r="F106" i="62"/>
  <c r="AH105" i="62"/>
  <c r="AA105" i="62"/>
  <c r="T105" i="62"/>
  <c r="M105" i="62"/>
  <c r="F105" i="62"/>
  <c r="AH104" i="62"/>
  <c r="AA104" i="62"/>
  <c r="T104" i="62"/>
  <c r="M104" i="62"/>
  <c r="F104" i="62"/>
  <c r="AH103" i="62"/>
  <c r="AA103" i="62"/>
  <c r="T103" i="62"/>
  <c r="M103" i="62"/>
  <c r="F103" i="62"/>
  <c r="AW103" i="62" s="1"/>
  <c r="AH102" i="62"/>
  <c r="BY102" i="62" s="1"/>
  <c r="AA102" i="62"/>
  <c r="T102" i="62"/>
  <c r="M102" i="62"/>
  <c r="F102" i="62"/>
  <c r="AH101" i="62"/>
  <c r="AA101" i="62"/>
  <c r="BR101" i="62" s="1"/>
  <c r="T101" i="62"/>
  <c r="M101" i="62"/>
  <c r="BD101" i="62" s="1"/>
  <c r="AH100" i="62"/>
  <c r="AA100" i="62"/>
  <c r="T100" i="62"/>
  <c r="BK100" i="62" s="1"/>
  <c r="M100" i="62"/>
  <c r="F100" i="62"/>
  <c r="AN99" i="62"/>
  <c r="E99" i="62"/>
  <c r="AV99" i="62" s="1"/>
  <c r="AH98" i="62"/>
  <c r="AA98" i="62"/>
  <c r="T98" i="62"/>
  <c r="M98" i="62"/>
  <c r="F98" i="62"/>
  <c r="AH97" i="62"/>
  <c r="BY97" i="62" s="1"/>
  <c r="AA97" i="62"/>
  <c r="T97" i="62"/>
  <c r="M97" i="62"/>
  <c r="F97" i="62"/>
  <c r="AH96" i="62"/>
  <c r="AA96" i="62"/>
  <c r="BR96" i="62" s="1"/>
  <c r="T96" i="62"/>
  <c r="M96" i="62"/>
  <c r="F96" i="62"/>
  <c r="AW96" i="62" s="1"/>
  <c r="AH95" i="62"/>
  <c r="AA95" i="62"/>
  <c r="T95" i="62"/>
  <c r="BK95" i="62" s="1"/>
  <c r="M95" i="62"/>
  <c r="F95" i="62"/>
  <c r="AN94" i="62"/>
  <c r="E94" i="62"/>
  <c r="AV94" i="62" s="1"/>
  <c r="AH93" i="62"/>
  <c r="AA93" i="62"/>
  <c r="T93" i="62"/>
  <c r="M93" i="62"/>
  <c r="F93" i="62"/>
  <c r="AH92" i="62"/>
  <c r="AA92" i="62"/>
  <c r="T92" i="62"/>
  <c r="M92" i="62"/>
  <c r="F92" i="62"/>
  <c r="AH91" i="62"/>
  <c r="AA91" i="62"/>
  <c r="T91" i="62"/>
  <c r="M91" i="62"/>
  <c r="F91" i="62"/>
  <c r="AH90" i="62"/>
  <c r="AA90" i="62"/>
  <c r="T90" i="62"/>
  <c r="M90" i="62"/>
  <c r="F90" i="62"/>
  <c r="AH89" i="62"/>
  <c r="AA89" i="62"/>
  <c r="T89" i="62"/>
  <c r="M89" i="62"/>
  <c r="F89" i="62"/>
  <c r="AH88" i="62"/>
  <c r="AA88" i="62"/>
  <c r="T88" i="62"/>
  <c r="M88" i="62"/>
  <c r="F88" i="62"/>
  <c r="AH87" i="62"/>
  <c r="AA87" i="62"/>
  <c r="T87" i="62"/>
  <c r="M87" i="62"/>
  <c r="F87" i="62"/>
  <c r="AH86" i="62"/>
  <c r="BY86" i="62" s="1"/>
  <c r="AA86" i="62"/>
  <c r="T86" i="62"/>
  <c r="M86" i="62"/>
  <c r="F86" i="62"/>
  <c r="AH85" i="62"/>
  <c r="AA85" i="62"/>
  <c r="T85" i="62"/>
  <c r="M85" i="62"/>
  <c r="F85" i="62"/>
  <c r="AH84" i="62"/>
  <c r="AA84" i="62"/>
  <c r="T84" i="62"/>
  <c r="M84" i="62"/>
  <c r="BD84" i="62" s="1"/>
  <c r="F84" i="62"/>
  <c r="AN83" i="62"/>
  <c r="E83" i="62"/>
  <c r="AV83" i="62" s="1"/>
  <c r="AH82" i="62"/>
  <c r="AA82" i="62"/>
  <c r="BR82" i="62" s="1"/>
  <c r="T82" i="62"/>
  <c r="BK82" i="62" s="1"/>
  <c r="M82" i="62"/>
  <c r="F82" i="62"/>
  <c r="AH81" i="62"/>
  <c r="BY81" i="62" s="1"/>
  <c r="AA81" i="62"/>
  <c r="T81" i="62"/>
  <c r="M81" i="62"/>
  <c r="F81" i="62"/>
  <c r="AW81" i="62" s="1"/>
  <c r="AN80" i="62"/>
  <c r="AH78" i="62"/>
  <c r="AA78" i="62"/>
  <c r="T78" i="62"/>
  <c r="M78" i="62"/>
  <c r="AH77" i="62"/>
  <c r="AA77" i="62"/>
  <c r="T77" i="62"/>
  <c r="M77" i="62"/>
  <c r="F77" i="62"/>
  <c r="AH76" i="62"/>
  <c r="AA76" i="62"/>
  <c r="T76" i="62"/>
  <c r="M76" i="62"/>
  <c r="F76" i="62"/>
  <c r="AH75" i="62"/>
  <c r="BY75" i="62" s="1"/>
  <c r="AA75" i="62"/>
  <c r="T75" i="62"/>
  <c r="M75" i="62"/>
  <c r="BD75" i="62" s="1"/>
  <c r="F75" i="62"/>
  <c r="AW75" i="62" s="1"/>
  <c r="AN74" i="62"/>
  <c r="E74" i="62"/>
  <c r="AV74" i="62" s="1"/>
  <c r="AH73" i="62"/>
  <c r="AA73" i="62"/>
  <c r="T73" i="62"/>
  <c r="M73" i="62"/>
  <c r="F73" i="62"/>
  <c r="AH72" i="62"/>
  <c r="AA72" i="62"/>
  <c r="T72" i="62"/>
  <c r="M72" i="62"/>
  <c r="BD72" i="62" s="1"/>
  <c r="F72" i="62"/>
  <c r="AN71" i="62"/>
  <c r="E71" i="62"/>
  <c r="AH70" i="62"/>
  <c r="AA70" i="62"/>
  <c r="T70" i="62"/>
  <c r="M70" i="62"/>
  <c r="AH69" i="62"/>
  <c r="AA69" i="62"/>
  <c r="T69" i="62"/>
  <c r="M69" i="62"/>
  <c r="AH68" i="62"/>
  <c r="AA68" i="62"/>
  <c r="T68" i="62"/>
  <c r="M68" i="62"/>
  <c r="F68" i="62"/>
  <c r="AH66" i="62"/>
  <c r="AA66" i="62"/>
  <c r="BR66" i="62" s="1"/>
  <c r="T66" i="62"/>
  <c r="M66" i="62"/>
  <c r="G66" i="62"/>
  <c r="AH65" i="62"/>
  <c r="AA65" i="62"/>
  <c r="T65" i="62"/>
  <c r="M65" i="62"/>
  <c r="BD65" i="62" s="1"/>
  <c r="F65" i="62"/>
  <c r="AN64" i="62"/>
  <c r="E64" i="62"/>
  <c r="AV64" i="62" s="1"/>
  <c r="AH63" i="62"/>
  <c r="AA63" i="62"/>
  <c r="BR63" i="62" s="1"/>
  <c r="T63" i="62"/>
  <c r="M63" i="62"/>
  <c r="F63" i="62"/>
  <c r="AH62" i="62"/>
  <c r="AA62" i="62"/>
  <c r="T62" i="62"/>
  <c r="BK62" i="62" s="1"/>
  <c r="M62" i="62"/>
  <c r="BD62" i="62" s="1"/>
  <c r="F62" i="62"/>
  <c r="AN61" i="62"/>
  <c r="E61" i="62"/>
  <c r="AV61" i="62" s="1"/>
  <c r="AT60" i="62"/>
  <c r="AS60" i="62"/>
  <c r="AR60" i="62"/>
  <c r="AQ60" i="62"/>
  <c r="AP60" i="62"/>
  <c r="AO60" i="62"/>
  <c r="K50" i="62"/>
  <c r="BB50" i="62" s="1"/>
  <c r="AN50" i="62"/>
  <c r="AM50" i="62"/>
  <c r="CD50" i="62" s="1"/>
  <c r="AL50" i="62"/>
  <c r="CC50" i="62" s="1"/>
  <c r="AK50" i="62"/>
  <c r="CB50" i="62" s="1"/>
  <c r="AJ50" i="62"/>
  <c r="CA50" i="62" s="1"/>
  <c r="AI50" i="62"/>
  <c r="BZ50" i="62" s="1"/>
  <c r="AH50" i="62"/>
  <c r="BY50" i="62" s="1"/>
  <c r="AG50" i="62"/>
  <c r="BX50" i="62" s="1"/>
  <c r="AF50" i="62"/>
  <c r="BW50" i="62" s="1"/>
  <c r="AE50" i="62"/>
  <c r="BV50" i="62" s="1"/>
  <c r="AD50" i="62"/>
  <c r="BU50" i="62" s="1"/>
  <c r="AC50" i="62"/>
  <c r="BT50" i="62" s="1"/>
  <c r="AB50" i="62"/>
  <c r="BS50" i="62" s="1"/>
  <c r="AA50" i="62"/>
  <c r="BR50" i="62" s="1"/>
  <c r="Z50" i="62"/>
  <c r="BQ50" i="62" s="1"/>
  <c r="Y50" i="62"/>
  <c r="BP50" i="62" s="1"/>
  <c r="X50" i="62"/>
  <c r="BO50" i="62" s="1"/>
  <c r="W50" i="62"/>
  <c r="BN50" i="62" s="1"/>
  <c r="V50" i="62"/>
  <c r="BM50" i="62" s="1"/>
  <c r="U50" i="62"/>
  <c r="BL50" i="62" s="1"/>
  <c r="T50" i="62"/>
  <c r="BK50" i="62" s="1"/>
  <c r="S50" i="62"/>
  <c r="BJ50" i="62" s="1"/>
  <c r="R50" i="62"/>
  <c r="BI50" i="62" s="1"/>
  <c r="Q50" i="62"/>
  <c r="BH50" i="62" s="1"/>
  <c r="P50" i="62"/>
  <c r="BG50" i="62" s="1"/>
  <c r="O50" i="62"/>
  <c r="BF50" i="62" s="1"/>
  <c r="N50" i="62"/>
  <c r="BE50" i="62" s="1"/>
  <c r="M50" i="62"/>
  <c r="BD50" i="62" s="1"/>
  <c r="L50" i="62"/>
  <c r="BC50" i="62" s="1"/>
  <c r="J50" i="62"/>
  <c r="BA50" i="62" s="1"/>
  <c r="I50" i="62"/>
  <c r="AZ50" i="62" s="1"/>
  <c r="H50" i="62"/>
  <c r="AY50" i="62" s="1"/>
  <c r="G50" i="62"/>
  <c r="AX50" i="62" s="1"/>
  <c r="F50" i="62"/>
  <c r="AW50" i="62" s="1"/>
  <c r="AN45" i="62"/>
  <c r="AM45" i="62"/>
  <c r="CD45" i="62" s="1"/>
  <c r="AL45" i="62"/>
  <c r="CC45" i="62" s="1"/>
  <c r="AK45" i="62"/>
  <c r="CB45" i="62" s="1"/>
  <c r="AJ45" i="62"/>
  <c r="CA45" i="62" s="1"/>
  <c r="AI45" i="62"/>
  <c r="BZ45" i="62" s="1"/>
  <c r="AH45" i="62"/>
  <c r="BY45" i="62" s="1"/>
  <c r="AG45" i="62"/>
  <c r="BX45" i="62" s="1"/>
  <c r="AF45" i="62"/>
  <c r="BW45" i="62" s="1"/>
  <c r="AE45" i="62"/>
  <c r="BV45" i="62" s="1"/>
  <c r="AD45" i="62"/>
  <c r="BU45" i="62" s="1"/>
  <c r="AC45" i="62"/>
  <c r="BT45" i="62" s="1"/>
  <c r="AB45" i="62"/>
  <c r="BS45" i="62" s="1"/>
  <c r="AA45" i="62"/>
  <c r="BR45" i="62" s="1"/>
  <c r="Z45" i="62"/>
  <c r="BQ45" i="62" s="1"/>
  <c r="Y45" i="62"/>
  <c r="BP45" i="62" s="1"/>
  <c r="X45" i="62"/>
  <c r="BO45" i="62" s="1"/>
  <c r="W45" i="62"/>
  <c r="BN45" i="62" s="1"/>
  <c r="V45" i="62"/>
  <c r="BM45" i="62" s="1"/>
  <c r="U45" i="62"/>
  <c r="BL45" i="62" s="1"/>
  <c r="T45" i="62"/>
  <c r="BK45" i="62" s="1"/>
  <c r="S45" i="62"/>
  <c r="BJ45" i="62" s="1"/>
  <c r="R45" i="62"/>
  <c r="BI45" i="62" s="1"/>
  <c r="Q45" i="62"/>
  <c r="BH45" i="62" s="1"/>
  <c r="P45" i="62"/>
  <c r="BG45" i="62" s="1"/>
  <c r="O45" i="62"/>
  <c r="BF45" i="62" s="1"/>
  <c r="N45" i="62"/>
  <c r="BE45" i="62" s="1"/>
  <c r="M45" i="62"/>
  <c r="BD45" i="62" s="1"/>
  <c r="L45" i="62"/>
  <c r="BC45" i="62" s="1"/>
  <c r="K45" i="62"/>
  <c r="BB45" i="62" s="1"/>
  <c r="J45" i="62"/>
  <c r="BA45" i="62" s="1"/>
  <c r="I45" i="62"/>
  <c r="AZ45" i="62" s="1"/>
  <c r="H45" i="62"/>
  <c r="AY45" i="62" s="1"/>
  <c r="G45" i="62"/>
  <c r="AX45" i="62" s="1"/>
  <c r="F45" i="62"/>
  <c r="AW45" i="62" s="1"/>
  <c r="E45" i="62"/>
  <c r="AV45" i="62" s="1"/>
  <c r="AN34" i="62"/>
  <c r="AM34" i="62"/>
  <c r="CD34" i="62" s="1"/>
  <c r="AL34" i="62"/>
  <c r="CC34" i="62" s="1"/>
  <c r="AK34" i="62"/>
  <c r="CB34" i="62" s="1"/>
  <c r="AJ34" i="62"/>
  <c r="CA34" i="62" s="1"/>
  <c r="AI34" i="62"/>
  <c r="AH34" i="62"/>
  <c r="BY34" i="62" s="1"/>
  <c r="AG34" i="62"/>
  <c r="BX34" i="62" s="1"/>
  <c r="AF34" i="62"/>
  <c r="BW34" i="62" s="1"/>
  <c r="AE34" i="62"/>
  <c r="BV34" i="62" s="1"/>
  <c r="AD34" i="62"/>
  <c r="BU34" i="62" s="1"/>
  <c r="AC34" i="62"/>
  <c r="BT34" i="62" s="1"/>
  <c r="AB34" i="62"/>
  <c r="BS34" i="62" s="1"/>
  <c r="AA34" i="62"/>
  <c r="BR34" i="62" s="1"/>
  <c r="Z34" i="62"/>
  <c r="BQ34" i="62" s="1"/>
  <c r="Y34" i="62"/>
  <c r="BP34" i="62" s="1"/>
  <c r="X34" i="62"/>
  <c r="BO34" i="62" s="1"/>
  <c r="W34" i="62"/>
  <c r="BN34" i="62" s="1"/>
  <c r="V34" i="62"/>
  <c r="BM34" i="62" s="1"/>
  <c r="U34" i="62"/>
  <c r="BL34" i="62" s="1"/>
  <c r="T34" i="62"/>
  <c r="BK34" i="62" s="1"/>
  <c r="S34" i="62"/>
  <c r="BJ34" i="62" s="1"/>
  <c r="R34" i="62"/>
  <c r="BI34" i="62" s="1"/>
  <c r="Q34" i="62"/>
  <c r="BH34" i="62" s="1"/>
  <c r="P34" i="62"/>
  <c r="BG34" i="62" s="1"/>
  <c r="O34" i="62"/>
  <c r="BF34" i="62" s="1"/>
  <c r="N34" i="62"/>
  <c r="BE34" i="62" s="1"/>
  <c r="M34" i="62"/>
  <c r="BD34" i="62" s="1"/>
  <c r="L34" i="62"/>
  <c r="BC34" i="62" s="1"/>
  <c r="K34" i="62"/>
  <c r="BB34" i="62" s="1"/>
  <c r="J34" i="62"/>
  <c r="BA34" i="62" s="1"/>
  <c r="I34" i="62"/>
  <c r="AZ34" i="62" s="1"/>
  <c r="H34" i="62"/>
  <c r="AY34" i="62" s="1"/>
  <c r="G34" i="62"/>
  <c r="AX34" i="62" s="1"/>
  <c r="F34" i="62"/>
  <c r="AW34" i="62" s="1"/>
  <c r="E34" i="62"/>
  <c r="AV34" i="62" s="1"/>
  <c r="AN31" i="62"/>
  <c r="AM31" i="62"/>
  <c r="AL31" i="62"/>
  <c r="CC31" i="62" s="1"/>
  <c r="AK31" i="62"/>
  <c r="CB31" i="62" s="1"/>
  <c r="AJ31" i="62"/>
  <c r="CA31" i="62" s="1"/>
  <c r="AI31" i="62"/>
  <c r="BZ31" i="62" s="1"/>
  <c r="AH31" i="62"/>
  <c r="BY31" i="62" s="1"/>
  <c r="AG31" i="62"/>
  <c r="AF31" i="62"/>
  <c r="BW31" i="62" s="1"/>
  <c r="AE31" i="62"/>
  <c r="AD31" i="62"/>
  <c r="BU31" i="62" s="1"/>
  <c r="AC31" i="62"/>
  <c r="BT31" i="62" s="1"/>
  <c r="AB31" i="62"/>
  <c r="BS31" i="62" s="1"/>
  <c r="AA31" i="62"/>
  <c r="BR31" i="62" s="1"/>
  <c r="Z31" i="62"/>
  <c r="Y31" i="62"/>
  <c r="BP31" i="62" s="1"/>
  <c r="X31" i="62"/>
  <c r="BO31" i="62" s="1"/>
  <c r="W31" i="62"/>
  <c r="V31" i="62"/>
  <c r="BM31" i="62" s="1"/>
  <c r="U31" i="62"/>
  <c r="BL31" i="62" s="1"/>
  <c r="T31" i="62"/>
  <c r="BK31" i="62" s="1"/>
  <c r="S31" i="62"/>
  <c r="R31" i="62"/>
  <c r="BI31" i="62" s="1"/>
  <c r="Q31" i="62"/>
  <c r="BH31" i="62" s="1"/>
  <c r="P31" i="62"/>
  <c r="BG31" i="62" s="1"/>
  <c r="O31" i="62"/>
  <c r="N31" i="62"/>
  <c r="BE31" i="62" s="1"/>
  <c r="M31" i="62"/>
  <c r="BD31" i="62" s="1"/>
  <c r="L31" i="62"/>
  <c r="K31" i="62"/>
  <c r="BB31" i="62" s="1"/>
  <c r="J31" i="62"/>
  <c r="BA31" i="62" s="1"/>
  <c r="I31" i="62"/>
  <c r="AZ31" i="62" s="1"/>
  <c r="H31" i="62"/>
  <c r="AY31" i="62" s="1"/>
  <c r="G31" i="62"/>
  <c r="F31" i="62"/>
  <c r="AW31" i="62" s="1"/>
  <c r="E31" i="62"/>
  <c r="AN25" i="62"/>
  <c r="AM25" i="62"/>
  <c r="CD25" i="62" s="1"/>
  <c r="AL25" i="62"/>
  <c r="CC25" i="62" s="1"/>
  <c r="AK25" i="62"/>
  <c r="CB25" i="62" s="1"/>
  <c r="AJ25" i="62"/>
  <c r="CA25" i="62" s="1"/>
  <c r="AI25" i="62"/>
  <c r="BZ25" i="62" s="1"/>
  <c r="AH25" i="62"/>
  <c r="BY25" i="62" s="1"/>
  <c r="AG25" i="62"/>
  <c r="BX25" i="62" s="1"/>
  <c r="AF25" i="62"/>
  <c r="BW25" i="62" s="1"/>
  <c r="AE25" i="62"/>
  <c r="BV25" i="62" s="1"/>
  <c r="AD25" i="62"/>
  <c r="BU25" i="62" s="1"/>
  <c r="AC25" i="62"/>
  <c r="BT25" i="62" s="1"/>
  <c r="AB25" i="62"/>
  <c r="BS25" i="62" s="1"/>
  <c r="AA25" i="62"/>
  <c r="BR25" i="62" s="1"/>
  <c r="Z25" i="62"/>
  <c r="BQ25" i="62" s="1"/>
  <c r="Y25" i="62"/>
  <c r="BP25" i="62" s="1"/>
  <c r="X25" i="62"/>
  <c r="BO25" i="62" s="1"/>
  <c r="W25" i="62"/>
  <c r="BN25" i="62" s="1"/>
  <c r="V25" i="62"/>
  <c r="BM25" i="62" s="1"/>
  <c r="U25" i="62"/>
  <c r="BL25" i="62" s="1"/>
  <c r="T25" i="62"/>
  <c r="BK25" i="62" s="1"/>
  <c r="S25" i="62"/>
  <c r="BJ25" i="62" s="1"/>
  <c r="R25" i="62"/>
  <c r="BI25" i="62" s="1"/>
  <c r="Q25" i="62"/>
  <c r="BH25" i="62" s="1"/>
  <c r="P25" i="62"/>
  <c r="BG25" i="62" s="1"/>
  <c r="O25" i="62"/>
  <c r="BF25" i="62" s="1"/>
  <c r="N25" i="62"/>
  <c r="BE25" i="62" s="1"/>
  <c r="M25" i="62"/>
  <c r="BD25" i="62" s="1"/>
  <c r="L25" i="62"/>
  <c r="BC25" i="62" s="1"/>
  <c r="K25" i="62"/>
  <c r="BB25" i="62" s="1"/>
  <c r="J25" i="62"/>
  <c r="BA25" i="62" s="1"/>
  <c r="I25" i="62"/>
  <c r="AZ25" i="62" s="1"/>
  <c r="H25" i="62"/>
  <c r="AY25" i="62" s="1"/>
  <c r="G25" i="62"/>
  <c r="AX25" i="62" s="1"/>
  <c r="F25" i="62"/>
  <c r="AW25" i="62" s="1"/>
  <c r="E25" i="62"/>
  <c r="AV25" i="62" s="1"/>
  <c r="AN22" i="62"/>
  <c r="AM22" i="62"/>
  <c r="CD22" i="62" s="1"/>
  <c r="AL22" i="62"/>
  <c r="CC22" i="62" s="1"/>
  <c r="AK22" i="62"/>
  <c r="CB22" i="62" s="1"/>
  <c r="AJ22" i="62"/>
  <c r="CA22" i="62" s="1"/>
  <c r="AI22" i="62"/>
  <c r="BZ22" i="62" s="1"/>
  <c r="AH22" i="62"/>
  <c r="BY22" i="62" s="1"/>
  <c r="AG22" i="62"/>
  <c r="AF22" i="62"/>
  <c r="BW22" i="62" s="1"/>
  <c r="AE22" i="62"/>
  <c r="BV22" i="62" s="1"/>
  <c r="AD22" i="62"/>
  <c r="BU22" i="62" s="1"/>
  <c r="AC22" i="62"/>
  <c r="BT22" i="62" s="1"/>
  <c r="AB22" i="62"/>
  <c r="BS22" i="62" s="1"/>
  <c r="AA22" i="62"/>
  <c r="BR22" i="62" s="1"/>
  <c r="Z22" i="62"/>
  <c r="BQ22" i="62" s="1"/>
  <c r="Y22" i="62"/>
  <c r="X22" i="62"/>
  <c r="BO22" i="62" s="1"/>
  <c r="W22" i="62"/>
  <c r="BN22" i="62" s="1"/>
  <c r="V22" i="62"/>
  <c r="BM22" i="62" s="1"/>
  <c r="U22" i="62"/>
  <c r="BL22" i="62" s="1"/>
  <c r="T22" i="62"/>
  <c r="BK22" i="62" s="1"/>
  <c r="S22" i="62"/>
  <c r="BJ22" i="62" s="1"/>
  <c r="R22" i="62"/>
  <c r="BI22" i="62" s="1"/>
  <c r="Q22" i="62"/>
  <c r="P22" i="62"/>
  <c r="BG22" i="62" s="1"/>
  <c r="O22" i="62"/>
  <c r="BF22" i="62" s="1"/>
  <c r="N22" i="62"/>
  <c r="BE22" i="62" s="1"/>
  <c r="M22" i="62"/>
  <c r="BD22" i="62" s="1"/>
  <c r="L22" i="62"/>
  <c r="BC22" i="62" s="1"/>
  <c r="K22" i="62"/>
  <c r="BB22" i="62" s="1"/>
  <c r="J22" i="62"/>
  <c r="BA22" i="62" s="1"/>
  <c r="I22" i="62"/>
  <c r="AZ22" i="62" s="1"/>
  <c r="H22" i="62"/>
  <c r="AY22" i="62" s="1"/>
  <c r="G22" i="62"/>
  <c r="AX22" i="62" s="1"/>
  <c r="F22" i="62"/>
  <c r="AW22" i="62" s="1"/>
  <c r="E22" i="62"/>
  <c r="AV22" i="62" s="1"/>
  <c r="AN15" i="62"/>
  <c r="AM15" i="62"/>
  <c r="CD15" i="62" s="1"/>
  <c r="AL15" i="62"/>
  <c r="CC15" i="62" s="1"/>
  <c r="AK15" i="62"/>
  <c r="CB15" i="62" s="1"/>
  <c r="AJ15" i="62"/>
  <c r="CA15" i="62" s="1"/>
  <c r="AI15" i="62"/>
  <c r="BZ15" i="62" s="1"/>
  <c r="AH15" i="62"/>
  <c r="BY15" i="62" s="1"/>
  <c r="AG15" i="62"/>
  <c r="BX15" i="62" s="1"/>
  <c r="AF15" i="62"/>
  <c r="BW15" i="62" s="1"/>
  <c r="AE15" i="62"/>
  <c r="BV15" i="62" s="1"/>
  <c r="AD15" i="62"/>
  <c r="BU15" i="62" s="1"/>
  <c r="AC15" i="62"/>
  <c r="BT15" i="62" s="1"/>
  <c r="AB15" i="62"/>
  <c r="BS15" i="62" s="1"/>
  <c r="AA15" i="62"/>
  <c r="BR15" i="62" s="1"/>
  <c r="Z15" i="62"/>
  <c r="BQ15" i="62" s="1"/>
  <c r="Y15" i="62"/>
  <c r="BP15" i="62" s="1"/>
  <c r="X15" i="62"/>
  <c r="BO15" i="62" s="1"/>
  <c r="W15" i="62"/>
  <c r="BN15" i="62" s="1"/>
  <c r="V15" i="62"/>
  <c r="BM15" i="62" s="1"/>
  <c r="U15" i="62"/>
  <c r="BL15" i="62" s="1"/>
  <c r="T15" i="62"/>
  <c r="BK15" i="62" s="1"/>
  <c r="S15" i="62"/>
  <c r="BJ15" i="62" s="1"/>
  <c r="R15" i="62"/>
  <c r="BI15" i="62" s="1"/>
  <c r="Q15" i="62"/>
  <c r="BH15" i="62" s="1"/>
  <c r="P15" i="62"/>
  <c r="BG15" i="62" s="1"/>
  <c r="O15" i="62"/>
  <c r="BF15" i="62" s="1"/>
  <c r="N15" i="62"/>
  <c r="BE15" i="62" s="1"/>
  <c r="M15" i="62"/>
  <c r="BD15" i="62" s="1"/>
  <c r="L15" i="62"/>
  <c r="BC15" i="62" s="1"/>
  <c r="K15" i="62"/>
  <c r="BB15" i="62" s="1"/>
  <c r="J15" i="62"/>
  <c r="BA15" i="62" s="1"/>
  <c r="I15" i="62"/>
  <c r="AZ15" i="62" s="1"/>
  <c r="H15" i="62"/>
  <c r="AY15" i="62" s="1"/>
  <c r="G15" i="62"/>
  <c r="AX15" i="62" s="1"/>
  <c r="F15" i="62"/>
  <c r="AW15" i="62" s="1"/>
  <c r="E15" i="62"/>
  <c r="AV15" i="62" s="1"/>
  <c r="AN12" i="62"/>
  <c r="AM12" i="62"/>
  <c r="CD12" i="62" s="1"/>
  <c r="AL12" i="62"/>
  <c r="CC12" i="62" s="1"/>
  <c r="AK12" i="62"/>
  <c r="CB12" i="62" s="1"/>
  <c r="AJ12" i="62"/>
  <c r="CA12" i="62" s="1"/>
  <c r="AI12" i="62"/>
  <c r="BZ12" i="62" s="1"/>
  <c r="AH12" i="62"/>
  <c r="BY12" i="62" s="1"/>
  <c r="AG12" i="62"/>
  <c r="BX12" i="62" s="1"/>
  <c r="AF12" i="62"/>
  <c r="BW12" i="62" s="1"/>
  <c r="AE12" i="62"/>
  <c r="BV12" i="62" s="1"/>
  <c r="AD12" i="62"/>
  <c r="BU12" i="62" s="1"/>
  <c r="AC12" i="62"/>
  <c r="BT12" i="62" s="1"/>
  <c r="AB12" i="62"/>
  <c r="BS12" i="62" s="1"/>
  <c r="AA12" i="62"/>
  <c r="BR12" i="62" s="1"/>
  <c r="Z12" i="62"/>
  <c r="BQ12" i="62" s="1"/>
  <c r="Y12" i="62"/>
  <c r="BP12" i="62" s="1"/>
  <c r="X12" i="62"/>
  <c r="BO12" i="62" s="1"/>
  <c r="W12" i="62"/>
  <c r="BN12" i="62" s="1"/>
  <c r="V12" i="62"/>
  <c r="BM12" i="62" s="1"/>
  <c r="U12" i="62"/>
  <c r="BL12" i="62" s="1"/>
  <c r="T12" i="62"/>
  <c r="BK12" i="62" s="1"/>
  <c r="S12" i="62"/>
  <c r="BJ12" i="62" s="1"/>
  <c r="R12" i="62"/>
  <c r="BI12" i="62" s="1"/>
  <c r="Q12" i="62"/>
  <c r="BH12" i="62" s="1"/>
  <c r="P12" i="62"/>
  <c r="BG12" i="62" s="1"/>
  <c r="O12" i="62"/>
  <c r="BF12" i="62" s="1"/>
  <c r="N12" i="62"/>
  <c r="BE12" i="62" s="1"/>
  <c r="M12" i="62"/>
  <c r="BD12" i="62" s="1"/>
  <c r="L12" i="62"/>
  <c r="BC12" i="62" s="1"/>
  <c r="K12" i="62"/>
  <c r="BB12" i="62" s="1"/>
  <c r="J12" i="62"/>
  <c r="BA12" i="62" s="1"/>
  <c r="I12" i="62"/>
  <c r="AZ12" i="62" s="1"/>
  <c r="H12" i="62"/>
  <c r="AY12" i="62" s="1"/>
  <c r="G12" i="62"/>
  <c r="AX12" i="62" s="1"/>
  <c r="F12" i="62"/>
  <c r="AW12" i="62" s="1"/>
  <c r="E12" i="62"/>
  <c r="AV12" i="62" s="1"/>
  <c r="AT11" i="62"/>
  <c r="AS11" i="62"/>
  <c r="AR11" i="62"/>
  <c r="AQ11" i="62"/>
  <c r="AP11" i="62"/>
  <c r="AO11" i="62"/>
  <c r="Q10" i="51" l="1"/>
  <c r="X10" i="51" s="1"/>
  <c r="BA10" i="51"/>
  <c r="BH10" i="51" s="1"/>
  <c r="BO10" i="51" s="1"/>
  <c r="AH12" i="50"/>
  <c r="BT12" i="50" s="1"/>
  <c r="BY16" i="51"/>
  <c r="AH14" i="50"/>
  <c r="BT14" i="50" s="1"/>
  <c r="BY19" i="51"/>
  <c r="AA120" i="50"/>
  <c r="BM120" i="50" s="1"/>
  <c r="BR33" i="51"/>
  <c r="AH126" i="50"/>
  <c r="BT126" i="50" s="1"/>
  <c r="BY40" i="51"/>
  <c r="AA23" i="50"/>
  <c r="BM23" i="50" s="1"/>
  <c r="BR49" i="51"/>
  <c r="Y12" i="51"/>
  <c r="BP12" i="51" s="1"/>
  <c r="BP13" i="51"/>
  <c r="N22" i="51"/>
  <c r="BE22" i="51" s="1"/>
  <c r="BE23" i="51"/>
  <c r="AP31" i="51"/>
  <c r="CG31" i="51" s="1"/>
  <c r="CG32" i="51"/>
  <c r="AA11" i="50"/>
  <c r="BM11" i="50" s="1"/>
  <c r="BR13" i="51"/>
  <c r="Q15" i="51"/>
  <c r="BH15" i="51" s="1"/>
  <c r="BH16" i="51"/>
  <c r="AA12" i="50"/>
  <c r="BM12" i="50" s="1"/>
  <c r="BR16" i="51"/>
  <c r="AA14" i="50"/>
  <c r="BM14" i="50" s="1"/>
  <c r="BR19" i="51"/>
  <c r="O22" i="51"/>
  <c r="BF22" i="51" s="1"/>
  <c r="BF23" i="51"/>
  <c r="X22" i="51"/>
  <c r="BO22" i="51" s="1"/>
  <c r="BO23" i="51"/>
  <c r="AH115" i="50"/>
  <c r="BT115" i="50" s="1"/>
  <c r="BY24" i="51"/>
  <c r="AH119" i="50"/>
  <c r="BT119" i="50" s="1"/>
  <c r="BY32" i="51"/>
  <c r="AA126" i="50"/>
  <c r="BM126" i="50" s="1"/>
  <c r="BR40" i="51"/>
  <c r="AH128" i="50"/>
  <c r="BT128" i="50" s="1"/>
  <c r="BY42" i="51"/>
  <c r="AH129" i="50"/>
  <c r="BT129" i="50" s="1"/>
  <c r="BY44" i="51"/>
  <c r="AH25" i="50"/>
  <c r="BT25" i="50" s="1"/>
  <c r="BY51" i="51"/>
  <c r="AA26" i="50"/>
  <c r="BM26" i="50" s="1"/>
  <c r="BR52" i="51"/>
  <c r="AA24" i="50"/>
  <c r="BM24" i="50" s="1"/>
  <c r="BR54" i="51"/>
  <c r="AH30" i="50"/>
  <c r="BT30" i="50" s="1"/>
  <c r="BY56" i="51"/>
  <c r="AA31" i="50"/>
  <c r="BM31" i="50" s="1"/>
  <c r="BR57" i="51"/>
  <c r="AH34" i="50"/>
  <c r="BT34" i="50" s="1"/>
  <c r="BY59" i="51"/>
  <c r="F12" i="51"/>
  <c r="AW12" i="51" s="1"/>
  <c r="AW13" i="51"/>
  <c r="V31" i="51"/>
  <c r="BM31" i="51" s="1"/>
  <c r="BM32" i="51"/>
  <c r="AA28" i="50"/>
  <c r="BM28" i="50" s="1"/>
  <c r="BR55" i="51"/>
  <c r="AH31" i="50"/>
  <c r="BT31" i="50" s="1"/>
  <c r="BY57" i="51"/>
  <c r="G12" i="51"/>
  <c r="AX12" i="51" s="1"/>
  <c r="AX13" i="51"/>
  <c r="W22" i="51"/>
  <c r="BN22" i="51" s="1"/>
  <c r="BN23" i="51"/>
  <c r="N8" i="50"/>
  <c r="U8" i="50" s="1"/>
  <c r="AB8" i="50" s="1"/>
  <c r="AI8" i="50" s="1"/>
  <c r="AS8" i="50"/>
  <c r="AZ8" i="50" s="1"/>
  <c r="BG8" i="50" s="1"/>
  <c r="BN8" i="50" s="1"/>
  <c r="BU8" i="50" s="1"/>
  <c r="R15" i="51"/>
  <c r="BI15" i="51" s="1"/>
  <c r="BI16" i="51"/>
  <c r="P22" i="51"/>
  <c r="BG22" i="51" s="1"/>
  <c r="BG23" i="51"/>
  <c r="Y22" i="51"/>
  <c r="BP22" i="51" s="1"/>
  <c r="BP23" i="51"/>
  <c r="AE31" i="51"/>
  <c r="BV31" i="51" s="1"/>
  <c r="BV32" i="51"/>
  <c r="AA18" i="50"/>
  <c r="BM18" i="50" s="1"/>
  <c r="BR43" i="51"/>
  <c r="AH26" i="50"/>
  <c r="BT26" i="50" s="1"/>
  <c r="BY52" i="51"/>
  <c r="R10" i="51"/>
  <c r="Y10" i="51" s="1"/>
  <c r="AF10" i="51" s="1"/>
  <c r="AM10" i="51" s="1"/>
  <c r="BB10" i="51"/>
  <c r="BI10" i="51" s="1"/>
  <c r="BP10" i="51" s="1"/>
  <c r="AI12" i="51"/>
  <c r="BZ12" i="51" s="1"/>
  <c r="BZ13" i="51"/>
  <c r="N31" i="51"/>
  <c r="BE31" i="51" s="1"/>
  <c r="BE32" i="51"/>
  <c r="M10" i="51"/>
  <c r="T10" i="51" s="1"/>
  <c r="AW10" i="51"/>
  <c r="BD10" i="51" s="1"/>
  <c r="BK10" i="51" s="1"/>
  <c r="O8" i="50"/>
  <c r="V8" i="50" s="1"/>
  <c r="AC8" i="50" s="1"/>
  <c r="AJ8" i="50" s="1"/>
  <c r="AT8" i="50"/>
  <c r="BA8" i="50" s="1"/>
  <c r="BH8" i="50" s="1"/>
  <c r="BO8" i="50" s="1"/>
  <c r="BV8" i="50" s="1"/>
  <c r="AH112" i="50"/>
  <c r="BT112" i="50" s="1"/>
  <c r="BY14" i="51"/>
  <c r="T15" i="51"/>
  <c r="BK15" i="51" s="1"/>
  <c r="BK16" i="51"/>
  <c r="AA115" i="50"/>
  <c r="BM115" i="50" s="1"/>
  <c r="BR24" i="51"/>
  <c r="AA119" i="50"/>
  <c r="BM119" i="50" s="1"/>
  <c r="BR32" i="51"/>
  <c r="AA128" i="50"/>
  <c r="BM128" i="50" s="1"/>
  <c r="BR42" i="51"/>
  <c r="AA129" i="50"/>
  <c r="BM129" i="50" s="1"/>
  <c r="BR44" i="51"/>
  <c r="AA25" i="50"/>
  <c r="BM25" i="50" s="1"/>
  <c r="BR51" i="51"/>
  <c r="AH27" i="50"/>
  <c r="BT27" i="50" s="1"/>
  <c r="BY53" i="51"/>
  <c r="AA30" i="50"/>
  <c r="BM30" i="50" s="1"/>
  <c r="BR56" i="51"/>
  <c r="AA34" i="50"/>
  <c r="BM34" i="50" s="1"/>
  <c r="BR59" i="51"/>
  <c r="O12" i="51"/>
  <c r="BF12" i="51" s="1"/>
  <c r="BF13" i="51"/>
  <c r="X15" i="51"/>
  <c r="BO15" i="51" s="1"/>
  <c r="BO16" i="51"/>
  <c r="AS22" i="51"/>
  <c r="CJ22" i="51" s="1"/>
  <c r="CJ23" i="51"/>
  <c r="AR12" i="51"/>
  <c r="CI12" i="51" s="1"/>
  <c r="CI13" i="51"/>
  <c r="P15" i="51"/>
  <c r="BG15" i="51" s="1"/>
  <c r="BG16" i="51"/>
  <c r="AF31" i="51"/>
  <c r="BW31" i="51" s="1"/>
  <c r="BW32" i="51"/>
  <c r="N10" i="51"/>
  <c r="U10" i="51" s="1"/>
  <c r="AX10" i="51"/>
  <c r="BE10" i="51" s="1"/>
  <c r="BL10" i="51" s="1"/>
  <c r="P8" i="50"/>
  <c r="W8" i="50" s="1"/>
  <c r="AD8" i="50" s="1"/>
  <c r="AK8" i="50" s="1"/>
  <c r="AU8" i="50"/>
  <c r="BB8" i="50" s="1"/>
  <c r="BI8" i="50" s="1"/>
  <c r="BP8" i="50" s="1"/>
  <c r="BW8" i="50" s="1"/>
  <c r="U15" i="51"/>
  <c r="BL15" i="51" s="1"/>
  <c r="BL16" i="51"/>
  <c r="R22" i="51"/>
  <c r="BI22" i="51" s="1"/>
  <c r="BI23" i="51"/>
  <c r="X12" i="51"/>
  <c r="BO12" i="51" s="1"/>
  <c r="BO13" i="51"/>
  <c r="AH24" i="50"/>
  <c r="BT24" i="50" s="1"/>
  <c r="BY54" i="51"/>
  <c r="W31" i="51"/>
  <c r="BN31" i="51" s="1"/>
  <c r="BN32" i="51"/>
  <c r="O10" i="51"/>
  <c r="V10" i="51" s="1"/>
  <c r="AC10" i="51" s="1"/>
  <c r="AJ10" i="51" s="1"/>
  <c r="AY10" i="51"/>
  <c r="BF10" i="51" s="1"/>
  <c r="BM10" i="51" s="1"/>
  <c r="Q8" i="50"/>
  <c r="X8" i="50" s="1"/>
  <c r="AE8" i="50" s="1"/>
  <c r="AL8" i="50" s="1"/>
  <c r="AV8" i="50"/>
  <c r="BC8" i="50" s="1"/>
  <c r="BJ8" i="50" s="1"/>
  <c r="BQ8" i="50" s="1"/>
  <c r="BX8" i="50" s="1"/>
  <c r="AA112" i="50"/>
  <c r="BM112" i="50" s="1"/>
  <c r="BR14" i="51"/>
  <c r="V15" i="51"/>
  <c r="BM15" i="51" s="1"/>
  <c r="BM16" i="51"/>
  <c r="AH120" i="50"/>
  <c r="BT120" i="50" s="1"/>
  <c r="BY33" i="51"/>
  <c r="AH123" i="50"/>
  <c r="BT123" i="50" s="1"/>
  <c r="BY37" i="51"/>
  <c r="AH18" i="50"/>
  <c r="BT18" i="50" s="1"/>
  <c r="BY43" i="51"/>
  <c r="AH23" i="50"/>
  <c r="BT23" i="50" s="1"/>
  <c r="BY49" i="51"/>
  <c r="AA27" i="50"/>
  <c r="BM27" i="50" s="1"/>
  <c r="BR53" i="51"/>
  <c r="AH28" i="50"/>
  <c r="BT28" i="50" s="1"/>
  <c r="BY55" i="51"/>
  <c r="AQ12" i="51"/>
  <c r="CH12" i="51" s="1"/>
  <c r="CH13" i="51"/>
  <c r="O15" i="51"/>
  <c r="BF15" i="51" s="1"/>
  <c r="BF16" i="51"/>
  <c r="AA123" i="50"/>
  <c r="BM123" i="50" s="1"/>
  <c r="BR37" i="51"/>
  <c r="P12" i="51"/>
  <c r="BG12" i="51" s="1"/>
  <c r="BG13" i="51"/>
  <c r="Y15" i="51"/>
  <c r="BP15" i="51" s="1"/>
  <c r="BP16" i="51"/>
  <c r="AT22" i="51"/>
  <c r="CK22" i="51" s="1"/>
  <c r="CK23" i="51"/>
  <c r="P10" i="51"/>
  <c r="W10" i="51" s="1"/>
  <c r="AR10" i="51" s="1"/>
  <c r="AZ10" i="51"/>
  <c r="BG10" i="51" s="1"/>
  <c r="BN10" i="51" s="1"/>
  <c r="R8" i="50"/>
  <c r="Y8" i="50" s="1"/>
  <c r="AF8" i="50" s="1"/>
  <c r="AM8" i="50" s="1"/>
  <c r="AW8" i="50"/>
  <c r="BD8" i="50" s="1"/>
  <c r="BK8" i="50" s="1"/>
  <c r="BR8" i="50" s="1"/>
  <c r="BY8" i="50" s="1"/>
  <c r="N12" i="51"/>
  <c r="BE12" i="51" s="1"/>
  <c r="BE13" i="51"/>
  <c r="W12" i="51"/>
  <c r="BN12" i="51" s="1"/>
  <c r="BN13" i="51"/>
  <c r="AF12" i="51"/>
  <c r="BW12" i="51" s="1"/>
  <c r="BW13" i="51"/>
  <c r="AP12" i="51"/>
  <c r="CG12" i="51" s="1"/>
  <c r="CG13" i="51"/>
  <c r="N15" i="51"/>
  <c r="BE15" i="51" s="1"/>
  <c r="BE16" i="51"/>
  <c r="W15" i="51"/>
  <c r="BN15" i="51" s="1"/>
  <c r="BN16" i="51"/>
  <c r="U22" i="51"/>
  <c r="BL22" i="51" s="1"/>
  <c r="BL23" i="51"/>
  <c r="AR22" i="51"/>
  <c r="CI22" i="51" s="1"/>
  <c r="CI23" i="51"/>
  <c r="K31" i="51"/>
  <c r="BB31" i="51" s="1"/>
  <c r="BB32" i="51"/>
  <c r="U31" i="51"/>
  <c r="BL31" i="51" s="1"/>
  <c r="BL32" i="51"/>
  <c r="AD31" i="51"/>
  <c r="BU31" i="51" s="1"/>
  <c r="BU32" i="51"/>
  <c r="AM31" i="51"/>
  <c r="CD31" i="51" s="1"/>
  <c r="CD32" i="51"/>
  <c r="E80" i="62"/>
  <c r="AV80" i="62" s="1"/>
  <c r="AV31" i="62"/>
  <c r="AB68" i="62"/>
  <c r="BR68" i="62"/>
  <c r="AB70" i="62"/>
  <c r="BR70" i="62"/>
  <c r="AB76" i="62"/>
  <c r="BR76" i="62"/>
  <c r="U78" i="62"/>
  <c r="BK78" i="62"/>
  <c r="AB85" i="62"/>
  <c r="BR85" i="62"/>
  <c r="N87" i="62"/>
  <c r="BD87" i="62"/>
  <c r="U90" i="62"/>
  <c r="BK90" i="62"/>
  <c r="AB93" i="62"/>
  <c r="BR93" i="62"/>
  <c r="U97" i="62"/>
  <c r="BK97" i="62"/>
  <c r="AB104" i="62"/>
  <c r="BR104" i="62"/>
  <c r="C120" i="67"/>
  <c r="AX110" i="62"/>
  <c r="C120" i="85" s="1"/>
  <c r="E124" i="67"/>
  <c r="BN110" i="62"/>
  <c r="E124" i="85" s="1"/>
  <c r="G128" i="67"/>
  <c r="CD110" i="62"/>
  <c r="G128" i="85" s="1"/>
  <c r="T215" i="50"/>
  <c r="BF215" i="50" s="1"/>
  <c r="BK155" i="62"/>
  <c r="G165" i="62"/>
  <c r="AW165" i="62"/>
  <c r="T231" i="50"/>
  <c r="BK171" i="62"/>
  <c r="N197" i="50"/>
  <c r="AY197" i="50"/>
  <c r="AI200" i="50"/>
  <c r="BT200" i="50"/>
  <c r="U206" i="50"/>
  <c r="BF206" i="50"/>
  <c r="U208" i="50"/>
  <c r="BF208" i="50"/>
  <c r="AI70" i="62"/>
  <c r="BY70" i="62"/>
  <c r="AB78" i="62"/>
  <c r="BR78" i="62"/>
  <c r="AI85" i="62"/>
  <c r="BY85" i="62"/>
  <c r="AB90" i="62"/>
  <c r="BR90" i="62"/>
  <c r="G108" i="62"/>
  <c r="AW108" i="62"/>
  <c r="E122" i="67"/>
  <c r="BG110" i="62"/>
  <c r="E122" i="85" s="1"/>
  <c r="G170" i="62"/>
  <c r="G230" i="50" s="1"/>
  <c r="AS230" i="50" s="1"/>
  <c r="AW170" i="62"/>
  <c r="U197" i="50"/>
  <c r="BF197" i="50"/>
  <c r="N201" i="50"/>
  <c r="AY201" i="50"/>
  <c r="AB206" i="50"/>
  <c r="BM206" i="50"/>
  <c r="AB210" i="50"/>
  <c r="BM210" i="50"/>
  <c r="W30" i="62"/>
  <c r="BN30" i="62" s="1"/>
  <c r="BN31" i="62"/>
  <c r="AB62" i="62"/>
  <c r="BR62" i="62"/>
  <c r="N69" i="62"/>
  <c r="BD69" i="62"/>
  <c r="N73" i="62"/>
  <c r="BD73" i="62"/>
  <c r="AI78" i="62"/>
  <c r="BY78" i="62"/>
  <c r="G86" i="62"/>
  <c r="AW86" i="62"/>
  <c r="AI90" i="62"/>
  <c r="BY90" i="62"/>
  <c r="U103" i="62"/>
  <c r="BK103" i="62"/>
  <c r="F122" i="67"/>
  <c r="BH110" i="62"/>
  <c r="F122" i="85" s="1"/>
  <c r="G159" i="62"/>
  <c r="G219" i="50" s="1"/>
  <c r="AS219" i="50" s="1"/>
  <c r="AW159" i="62"/>
  <c r="AH223" i="50"/>
  <c r="BY163" i="62"/>
  <c r="G167" i="62"/>
  <c r="G227" i="50" s="1"/>
  <c r="AS227" i="50" s="1"/>
  <c r="AW167" i="62"/>
  <c r="AH231" i="50"/>
  <c r="BY171" i="62"/>
  <c r="N194" i="50"/>
  <c r="AY194" i="50"/>
  <c r="AB197" i="50"/>
  <c r="BM197" i="50"/>
  <c r="U203" i="50"/>
  <c r="BF203" i="50"/>
  <c r="AI206" i="50"/>
  <c r="BT206" i="50"/>
  <c r="AI212" i="50"/>
  <c r="BT212" i="50"/>
  <c r="U73" i="62"/>
  <c r="BK73" i="62"/>
  <c r="N77" i="62"/>
  <c r="BD77" i="62"/>
  <c r="AB84" i="62"/>
  <c r="BR84" i="62"/>
  <c r="U89" i="62"/>
  <c r="BK89" i="62"/>
  <c r="N100" i="62"/>
  <c r="BD100" i="62"/>
  <c r="AB103" i="62"/>
  <c r="BR103" i="62"/>
  <c r="U108" i="62"/>
  <c r="BK108" i="62"/>
  <c r="G122" i="67"/>
  <c r="BI110" i="62"/>
  <c r="G122" i="85" s="1"/>
  <c r="G156" i="62"/>
  <c r="G216" i="50" s="1"/>
  <c r="AS216" i="50" s="1"/>
  <c r="AW156" i="62"/>
  <c r="G196" i="50"/>
  <c r="AR196" i="50"/>
  <c r="AB201" i="50"/>
  <c r="BM201" i="50"/>
  <c r="U205" i="50"/>
  <c r="BF205" i="50"/>
  <c r="N207" i="50"/>
  <c r="AY207" i="50"/>
  <c r="N211" i="50"/>
  <c r="AY211" i="50"/>
  <c r="AG18" i="62"/>
  <c r="BX18" i="62" s="1"/>
  <c r="BX22" i="62"/>
  <c r="AI66" i="62"/>
  <c r="BY66" i="62"/>
  <c r="N102" i="62"/>
  <c r="BD102" i="62"/>
  <c r="AB108" i="62"/>
  <c r="BR108" i="62"/>
  <c r="C128" i="67"/>
  <c r="BZ110" i="62"/>
  <c r="C128" i="85" s="1"/>
  <c r="G161" i="62"/>
  <c r="AW161" i="62"/>
  <c r="AA79" i="50"/>
  <c r="BM79" i="50" s="1"/>
  <c r="BM54" i="50"/>
  <c r="N196" i="50"/>
  <c r="AY196" i="50"/>
  <c r="G200" i="50"/>
  <c r="AR200" i="50"/>
  <c r="AB205" i="50"/>
  <c r="BM205" i="50"/>
  <c r="N213" i="50"/>
  <c r="AY213" i="50"/>
  <c r="Z80" i="62"/>
  <c r="BQ31" i="62"/>
  <c r="N63" i="62"/>
  <c r="BD63" i="62"/>
  <c r="U65" i="62"/>
  <c r="BL65" i="62" s="1"/>
  <c r="BK65" i="62"/>
  <c r="G68" i="62"/>
  <c r="AW68" i="62"/>
  <c r="AI69" i="62"/>
  <c r="BY69" i="62"/>
  <c r="AI73" i="62"/>
  <c r="BY73" i="62"/>
  <c r="G76" i="62"/>
  <c r="AW76" i="62"/>
  <c r="AB77" i="62"/>
  <c r="BR77" i="62"/>
  <c r="N81" i="62"/>
  <c r="BE81" i="62" s="1"/>
  <c r="BD81" i="62"/>
  <c r="AI82" i="62"/>
  <c r="BY82" i="62"/>
  <c r="G85" i="62"/>
  <c r="AW85" i="62"/>
  <c r="AB86" i="62"/>
  <c r="BR86" i="62"/>
  <c r="N88" i="62"/>
  <c r="BD88" i="62"/>
  <c r="AI89" i="62"/>
  <c r="BY89" i="62"/>
  <c r="U91" i="62"/>
  <c r="BK91" i="62"/>
  <c r="G93" i="62"/>
  <c r="AW93" i="62"/>
  <c r="N95" i="62"/>
  <c r="BD95" i="62"/>
  <c r="AI96" i="62"/>
  <c r="BY96" i="62"/>
  <c r="U98" i="62"/>
  <c r="BK98" i="62"/>
  <c r="AB100" i="62"/>
  <c r="BR100" i="62"/>
  <c r="U102" i="62"/>
  <c r="BK102" i="62"/>
  <c r="G104" i="62"/>
  <c r="AW104" i="62"/>
  <c r="AB105" i="62"/>
  <c r="BR105" i="62"/>
  <c r="N107" i="62"/>
  <c r="BD107" i="62"/>
  <c r="AI108" i="62"/>
  <c r="BY108" i="62"/>
  <c r="C126" i="67"/>
  <c r="BS110" i="62"/>
  <c r="C126" i="85" s="1"/>
  <c r="D128" i="67"/>
  <c r="CA110" i="62"/>
  <c r="D128" i="85" s="1"/>
  <c r="T216" i="50"/>
  <c r="BK156" i="62"/>
  <c r="G174" i="62"/>
  <c r="AW174" i="62"/>
  <c r="G193" i="50"/>
  <c r="AR193" i="50"/>
  <c r="AA82" i="50"/>
  <c r="BM82" i="50" s="1"/>
  <c r="BM57" i="50"/>
  <c r="AI194" i="50"/>
  <c r="BT194" i="50"/>
  <c r="U196" i="50"/>
  <c r="BF196" i="50"/>
  <c r="U198" i="50"/>
  <c r="BF198" i="50"/>
  <c r="N200" i="50"/>
  <c r="AY200" i="50"/>
  <c r="N202" i="50"/>
  <c r="AY202" i="50"/>
  <c r="G204" i="50"/>
  <c r="AR204" i="50"/>
  <c r="AI205" i="50"/>
  <c r="BT205" i="50"/>
  <c r="AB207" i="50"/>
  <c r="BM207" i="50"/>
  <c r="AB209" i="50"/>
  <c r="BM209" i="50"/>
  <c r="AB211" i="50"/>
  <c r="BM211" i="50"/>
  <c r="U213" i="50"/>
  <c r="BF213" i="50"/>
  <c r="AI63" i="62"/>
  <c r="BY63" i="62"/>
  <c r="G84" i="62"/>
  <c r="AW84" i="62"/>
  <c r="G92" i="62"/>
  <c r="AW92" i="62"/>
  <c r="U101" i="62"/>
  <c r="BK101" i="62"/>
  <c r="AB193" i="50"/>
  <c r="BM193" i="50"/>
  <c r="AI202" i="50"/>
  <c r="BT202" i="50"/>
  <c r="N210" i="50"/>
  <c r="AY210" i="50"/>
  <c r="G73" i="62"/>
  <c r="AW73" i="62"/>
  <c r="G82" i="62"/>
  <c r="AW82" i="62"/>
  <c r="U87" i="62"/>
  <c r="BK87" i="62"/>
  <c r="N92" i="62"/>
  <c r="BD92" i="62"/>
  <c r="AB97" i="62"/>
  <c r="BR97" i="62"/>
  <c r="AI104" i="62"/>
  <c r="BY104" i="62"/>
  <c r="AI193" i="50"/>
  <c r="BT193" i="50"/>
  <c r="N203" i="50"/>
  <c r="AY203" i="50"/>
  <c r="AB212" i="50"/>
  <c r="BM212" i="50"/>
  <c r="O30" i="62"/>
  <c r="BF30" i="62" s="1"/>
  <c r="BF31" i="62"/>
  <c r="AM30" i="62"/>
  <c r="CD30" i="62" s="1"/>
  <c r="CD31" i="62"/>
  <c r="AI30" i="62"/>
  <c r="BZ30" i="62" s="1"/>
  <c r="BZ34" i="62"/>
  <c r="U66" i="62"/>
  <c r="BK66" i="62"/>
  <c r="U75" i="62"/>
  <c r="BL75" i="62" s="1"/>
  <c r="BK75" i="62"/>
  <c r="N82" i="62"/>
  <c r="BD82" i="62"/>
  <c r="AB87" i="62"/>
  <c r="BR87" i="62"/>
  <c r="G100" i="62"/>
  <c r="AX100" i="62" s="1"/>
  <c r="AW100" i="62"/>
  <c r="AB106" i="62"/>
  <c r="BR106" i="62"/>
  <c r="E120" i="67"/>
  <c r="AZ110" i="62"/>
  <c r="E120" i="85" s="1"/>
  <c r="M222" i="50"/>
  <c r="BD162" i="62"/>
  <c r="F235" i="50"/>
  <c r="AW175" i="62"/>
  <c r="Q9" i="62"/>
  <c r="X9" i="62" s="1"/>
  <c r="BA9" i="62"/>
  <c r="BH9" i="62" s="1"/>
  <c r="BO9" i="62" s="1"/>
  <c r="BV9" i="62" s="1"/>
  <c r="CC9" i="62" s="1"/>
  <c r="AB199" i="50"/>
  <c r="BM199" i="50"/>
  <c r="AI210" i="50"/>
  <c r="BT210" i="50"/>
  <c r="G65" i="62"/>
  <c r="AX65" i="62" s="1"/>
  <c r="AW65" i="62"/>
  <c r="AI87" i="62"/>
  <c r="BY87" i="62"/>
  <c r="AB92" i="62"/>
  <c r="BR92" i="62"/>
  <c r="G98" i="62"/>
  <c r="AW98" i="62"/>
  <c r="G102" i="62"/>
  <c r="AW102" i="62"/>
  <c r="AI106" i="62"/>
  <c r="BY106" i="62"/>
  <c r="F120" i="67"/>
  <c r="BA110" i="62"/>
  <c r="F120" i="85" s="1"/>
  <c r="R9" i="62"/>
  <c r="Y9" i="62" s="1"/>
  <c r="AT9" i="62" s="1"/>
  <c r="BB9" i="62"/>
  <c r="BI9" i="62" s="1"/>
  <c r="BP9" i="62" s="1"/>
  <c r="BW9" i="62" s="1"/>
  <c r="CD9" i="62" s="1"/>
  <c r="AI197" i="50"/>
  <c r="BT197" i="50"/>
  <c r="G209" i="50"/>
  <c r="AR209" i="50"/>
  <c r="Q18" i="62"/>
  <c r="BH18" i="62" s="1"/>
  <c r="BH22" i="62"/>
  <c r="AG80" i="62"/>
  <c r="BX31" i="62"/>
  <c r="G63" i="62"/>
  <c r="AW63" i="62"/>
  <c r="G72" i="62"/>
  <c r="AW72" i="62"/>
  <c r="U86" i="62"/>
  <c r="BK86" i="62"/>
  <c r="AB89" i="62"/>
  <c r="BR89" i="62"/>
  <c r="AI92" i="62"/>
  <c r="BY92" i="62"/>
  <c r="N98" i="62"/>
  <c r="BD98" i="62"/>
  <c r="U105" i="62"/>
  <c r="BK105" i="62"/>
  <c r="M216" i="50"/>
  <c r="BD156" i="62"/>
  <c r="AH217" i="50"/>
  <c r="BY157" i="62"/>
  <c r="AA222" i="50"/>
  <c r="BR162" i="62"/>
  <c r="G169" i="62"/>
  <c r="G229" i="50" s="1"/>
  <c r="AS229" i="50" s="1"/>
  <c r="AW169" i="62"/>
  <c r="T235" i="50"/>
  <c r="BK175" i="62"/>
  <c r="AI201" i="50"/>
  <c r="BT201" i="50"/>
  <c r="U207" i="50"/>
  <c r="BF207" i="50"/>
  <c r="U211" i="50"/>
  <c r="BF211" i="50"/>
  <c r="S80" i="62"/>
  <c r="BJ31" i="62"/>
  <c r="U63" i="62"/>
  <c r="BK63" i="62"/>
  <c r="AB65" i="62"/>
  <c r="BR65" i="62"/>
  <c r="N68" i="62"/>
  <c r="BD68" i="62"/>
  <c r="N70" i="62"/>
  <c r="BD70" i="62"/>
  <c r="U72" i="62"/>
  <c r="BL72" i="62" s="1"/>
  <c r="BK72" i="62"/>
  <c r="N76" i="62"/>
  <c r="BD76" i="62"/>
  <c r="AI77" i="62"/>
  <c r="BY77" i="62"/>
  <c r="U81" i="62"/>
  <c r="BK81" i="62"/>
  <c r="N85" i="62"/>
  <c r="BD85" i="62"/>
  <c r="U88" i="62"/>
  <c r="BK88" i="62"/>
  <c r="G90" i="62"/>
  <c r="AW90" i="62"/>
  <c r="AB91" i="62"/>
  <c r="BR91" i="62"/>
  <c r="N93" i="62"/>
  <c r="BD93" i="62"/>
  <c r="G97" i="62"/>
  <c r="AW97" i="62"/>
  <c r="AB98" i="62"/>
  <c r="BR98" i="62"/>
  <c r="AI100" i="62"/>
  <c r="BZ100" i="62" s="1"/>
  <c r="BY100" i="62"/>
  <c r="AB102" i="62"/>
  <c r="BR102" i="62"/>
  <c r="N104" i="62"/>
  <c r="BD104" i="62"/>
  <c r="AI105" i="62"/>
  <c r="BY105" i="62"/>
  <c r="U107" i="62"/>
  <c r="BK107" i="62"/>
  <c r="C124" i="67"/>
  <c r="BL110" i="62"/>
  <c r="C124" i="85" s="1"/>
  <c r="D126" i="67"/>
  <c r="BT110" i="62"/>
  <c r="D126" i="85" s="1"/>
  <c r="E128" i="67"/>
  <c r="CB110" i="62"/>
  <c r="E128" i="85" s="1"/>
  <c r="F215" i="50"/>
  <c r="AR215" i="50" s="1"/>
  <c r="AW155" i="62"/>
  <c r="M218" i="50"/>
  <c r="BD158" i="62"/>
  <c r="AH219" i="50"/>
  <c r="BY159" i="62"/>
  <c r="G163" i="62"/>
  <c r="AX163" i="62" s="1"/>
  <c r="AW163" i="62"/>
  <c r="AA224" i="50"/>
  <c r="BR164" i="62"/>
  <c r="M226" i="50"/>
  <c r="BD166" i="62"/>
  <c r="AH227" i="50"/>
  <c r="BY167" i="62"/>
  <c r="T229" i="50"/>
  <c r="BK169" i="62"/>
  <c r="F231" i="50"/>
  <c r="AW171" i="62"/>
  <c r="AA232" i="50"/>
  <c r="BR172" i="62"/>
  <c r="M234" i="50"/>
  <c r="BD174" i="62"/>
  <c r="AH235" i="50"/>
  <c r="BY175" i="62"/>
  <c r="G197" i="50"/>
  <c r="AR197" i="50"/>
  <c r="AA83" i="50"/>
  <c r="BM83" i="50" s="1"/>
  <c r="BM58" i="50"/>
  <c r="AG64" i="51"/>
  <c r="BX64" i="51" s="1"/>
  <c r="BX65" i="51"/>
  <c r="N193" i="50"/>
  <c r="AY193" i="50"/>
  <c r="G195" i="50"/>
  <c r="AR195" i="50"/>
  <c r="AB196" i="50"/>
  <c r="BM196" i="50"/>
  <c r="AB198" i="50"/>
  <c r="BM198" i="50"/>
  <c r="U200" i="50"/>
  <c r="BF200" i="50"/>
  <c r="U202" i="50"/>
  <c r="BF202" i="50"/>
  <c r="N204" i="50"/>
  <c r="AY204" i="50"/>
  <c r="G206" i="50"/>
  <c r="AR206" i="50"/>
  <c r="AI207" i="50"/>
  <c r="BT207" i="50"/>
  <c r="AI209" i="50"/>
  <c r="BT209" i="50"/>
  <c r="AI211" i="50"/>
  <c r="BT211" i="50"/>
  <c r="AB213" i="50"/>
  <c r="BM213" i="50"/>
  <c r="H66" i="62"/>
  <c r="AX66" i="62"/>
  <c r="AI72" i="62"/>
  <c r="BZ72" i="62" s="1"/>
  <c r="BY72" i="62"/>
  <c r="AI88" i="62"/>
  <c r="BY88" i="62"/>
  <c r="AI95" i="62"/>
  <c r="BZ95" i="62" s="1"/>
  <c r="BY95" i="62"/>
  <c r="N106" i="62"/>
  <c r="BD106" i="62"/>
  <c r="AI107" i="62"/>
  <c r="BY107" i="62"/>
  <c r="D122" i="67"/>
  <c r="BF110" i="62"/>
  <c r="D122" i="85" s="1"/>
  <c r="F126" i="67"/>
  <c r="BV110" i="62"/>
  <c r="F126" i="85" s="1"/>
  <c r="T223" i="50"/>
  <c r="BK163" i="62"/>
  <c r="AA226" i="50"/>
  <c r="BR166" i="62"/>
  <c r="AH229" i="50"/>
  <c r="BY169" i="62"/>
  <c r="G173" i="62"/>
  <c r="G233" i="50" s="1"/>
  <c r="AS233" i="50" s="1"/>
  <c r="AW173" i="62"/>
  <c r="AA234" i="50"/>
  <c r="BR174" i="62"/>
  <c r="N209" i="50"/>
  <c r="AY209" i="50"/>
  <c r="O9" i="62"/>
  <c r="V9" i="62" s="1"/>
  <c r="AC9" i="62" s="1"/>
  <c r="AJ9" i="62" s="1"/>
  <c r="AY9" i="62"/>
  <c r="BF9" i="62" s="1"/>
  <c r="BM9" i="62" s="1"/>
  <c r="BT9" i="62" s="1"/>
  <c r="CA9" i="62" s="1"/>
  <c r="U195" i="50"/>
  <c r="BF195" i="50"/>
  <c r="N199" i="50"/>
  <c r="AY199" i="50"/>
  <c r="AB204" i="50"/>
  <c r="BM204" i="50"/>
  <c r="U212" i="50"/>
  <c r="BF212" i="50"/>
  <c r="N66" i="62"/>
  <c r="BD66" i="62"/>
  <c r="AI68" i="62"/>
  <c r="BY68" i="62"/>
  <c r="AI76" i="62"/>
  <c r="BY76" i="62"/>
  <c r="G89" i="62"/>
  <c r="AW89" i="62"/>
  <c r="AI93" i="62"/>
  <c r="BY93" i="62"/>
  <c r="N103" i="62"/>
  <c r="BD103" i="62"/>
  <c r="U106" i="62"/>
  <c r="BK106" i="62"/>
  <c r="D120" i="67"/>
  <c r="AY110" i="62"/>
  <c r="D120" i="85" s="1"/>
  <c r="F124" i="67"/>
  <c r="BO110" i="62"/>
  <c r="F124" i="85" s="1"/>
  <c r="G126" i="67"/>
  <c r="BW110" i="62"/>
  <c r="G126" i="85" s="1"/>
  <c r="U210" i="50"/>
  <c r="BF210" i="50"/>
  <c r="P9" i="62"/>
  <c r="W9" i="62" s="1"/>
  <c r="AD9" i="62" s="1"/>
  <c r="AK9" i="62" s="1"/>
  <c r="AZ9" i="62"/>
  <c r="BG9" i="62" s="1"/>
  <c r="BN9" i="62" s="1"/>
  <c r="BU9" i="62" s="1"/>
  <c r="CB9" i="62" s="1"/>
  <c r="AB195" i="50"/>
  <c r="BM195" i="50"/>
  <c r="U199" i="50"/>
  <c r="BF199" i="50"/>
  <c r="AI204" i="50"/>
  <c r="BT204" i="50"/>
  <c r="AB208" i="50"/>
  <c r="BM208" i="50"/>
  <c r="G30" i="62"/>
  <c r="AX30" i="62" s="1"/>
  <c r="AX31" i="62"/>
  <c r="AE30" i="62"/>
  <c r="BV30" i="62" s="1"/>
  <c r="BV31" i="62"/>
  <c r="E67" i="62"/>
  <c r="AV67" i="62" s="1"/>
  <c r="AV71" i="62"/>
  <c r="G77" i="62"/>
  <c r="AW77" i="62"/>
  <c r="U84" i="62"/>
  <c r="BL84" i="62" s="1"/>
  <c r="BK84" i="62"/>
  <c r="N89" i="62"/>
  <c r="BD89" i="62"/>
  <c r="U92" i="62"/>
  <c r="BK92" i="62"/>
  <c r="N96" i="62"/>
  <c r="BE96" i="62" s="1"/>
  <c r="BD96" i="62"/>
  <c r="AI101" i="62"/>
  <c r="BY101" i="62"/>
  <c r="G105" i="62"/>
  <c r="AW105" i="62"/>
  <c r="N108" i="62"/>
  <c r="BD108" i="62"/>
  <c r="G124" i="67"/>
  <c r="BP110" i="62"/>
  <c r="G124" i="85" s="1"/>
  <c r="AI195" i="50"/>
  <c r="BT195" i="50"/>
  <c r="U201" i="50"/>
  <c r="BF201" i="50"/>
  <c r="N205" i="50"/>
  <c r="AY205" i="50"/>
  <c r="AI208" i="50"/>
  <c r="BT208" i="50"/>
  <c r="AI62" i="62"/>
  <c r="BZ62" i="62" s="1"/>
  <c r="BY62" i="62"/>
  <c r="U69" i="62"/>
  <c r="BK69" i="62"/>
  <c r="AB75" i="62"/>
  <c r="BS75" i="62" s="1"/>
  <c r="BR75" i="62"/>
  <c r="N86" i="62"/>
  <c r="BD86" i="62"/>
  <c r="G91" i="62"/>
  <c r="AW91" i="62"/>
  <c r="U96" i="62"/>
  <c r="BK96" i="62"/>
  <c r="N105" i="62"/>
  <c r="BD105" i="62"/>
  <c r="AA217" i="50"/>
  <c r="BR157" i="62"/>
  <c r="U194" i="50"/>
  <c r="BF194" i="50"/>
  <c r="AI199" i="50"/>
  <c r="BT199" i="50"/>
  <c r="AB203" i="50"/>
  <c r="BM203" i="50"/>
  <c r="G213" i="50"/>
  <c r="AR213" i="50"/>
  <c r="Y18" i="62"/>
  <c r="BP18" i="62" s="1"/>
  <c r="BP22" i="62"/>
  <c r="AB69" i="62"/>
  <c r="BR69" i="62"/>
  <c r="AB73" i="62"/>
  <c r="BR73" i="62"/>
  <c r="U77" i="62"/>
  <c r="BK77" i="62"/>
  <c r="AI84" i="62"/>
  <c r="BY84" i="62"/>
  <c r="G88" i="62"/>
  <c r="AW88" i="62"/>
  <c r="N91" i="62"/>
  <c r="BD91" i="62"/>
  <c r="G95" i="62"/>
  <c r="AX95" i="62" s="1"/>
  <c r="AW95" i="62"/>
  <c r="AI103" i="62"/>
  <c r="BY103" i="62"/>
  <c r="G107" i="62"/>
  <c r="AW107" i="62"/>
  <c r="G120" i="67"/>
  <c r="BB110" i="62"/>
  <c r="G120" i="85" s="1"/>
  <c r="M224" i="50"/>
  <c r="BD164" i="62"/>
  <c r="AH233" i="50"/>
  <c r="BY173" i="62"/>
  <c r="AB194" i="50"/>
  <c r="BM194" i="50"/>
  <c r="N198" i="50"/>
  <c r="AY198" i="50"/>
  <c r="AI203" i="50"/>
  <c r="BT203" i="50"/>
  <c r="U209" i="50"/>
  <c r="BF209" i="50"/>
  <c r="L80" i="62"/>
  <c r="BC31" i="62"/>
  <c r="G62" i="62"/>
  <c r="AX62" i="62" s="1"/>
  <c r="AW62" i="62"/>
  <c r="AI65" i="62"/>
  <c r="BZ65" i="62" s="1"/>
  <c r="BY65" i="62"/>
  <c r="U68" i="62"/>
  <c r="BK68" i="62"/>
  <c r="U70" i="62"/>
  <c r="BK70" i="62"/>
  <c r="AB72" i="62"/>
  <c r="BS72" i="62" s="1"/>
  <c r="BR72" i="62"/>
  <c r="U76" i="62"/>
  <c r="BK76" i="62"/>
  <c r="N78" i="62"/>
  <c r="BD78" i="62"/>
  <c r="AB81" i="62"/>
  <c r="BS81" i="62" s="1"/>
  <c r="BR81" i="62"/>
  <c r="U85" i="62"/>
  <c r="BK85" i="62"/>
  <c r="G87" i="62"/>
  <c r="AW87" i="62"/>
  <c r="AB88" i="62"/>
  <c r="BR88" i="62"/>
  <c r="N90" i="62"/>
  <c r="BD90" i="62"/>
  <c r="AI91" i="62"/>
  <c r="BY91" i="62"/>
  <c r="U93" i="62"/>
  <c r="BK93" i="62"/>
  <c r="AB95" i="62"/>
  <c r="BR95" i="62"/>
  <c r="N97" i="62"/>
  <c r="BD97" i="62"/>
  <c r="AI98" i="62"/>
  <c r="BY98" i="62"/>
  <c r="U104" i="62"/>
  <c r="BK104" i="62"/>
  <c r="G106" i="62"/>
  <c r="AW106" i="62"/>
  <c r="AB107" i="62"/>
  <c r="BR107" i="62"/>
  <c r="C122" i="67"/>
  <c r="BE110" i="62"/>
  <c r="C122" i="85" s="1"/>
  <c r="D124" i="67"/>
  <c r="BM110" i="62"/>
  <c r="D124" i="85" s="1"/>
  <c r="E126" i="67"/>
  <c r="BU110" i="62"/>
  <c r="E126" i="85" s="1"/>
  <c r="F128" i="67"/>
  <c r="CC110" i="62"/>
  <c r="F128" i="85" s="1"/>
  <c r="G160" i="62"/>
  <c r="AW160" i="62"/>
  <c r="N171" i="62"/>
  <c r="N231" i="50" s="1"/>
  <c r="AZ231" i="50" s="1"/>
  <c r="BD171" i="62"/>
  <c r="G198" i="50"/>
  <c r="AR198" i="50"/>
  <c r="N9" i="62"/>
  <c r="U9" i="62" s="1"/>
  <c r="AP9" i="62" s="1"/>
  <c r="AX9" i="62"/>
  <c r="BE9" i="62" s="1"/>
  <c r="BL9" i="62" s="1"/>
  <c r="BS9" i="62" s="1"/>
  <c r="BZ9" i="62" s="1"/>
  <c r="U193" i="50"/>
  <c r="BF193" i="50"/>
  <c r="N195" i="50"/>
  <c r="AY195" i="50"/>
  <c r="AI196" i="50"/>
  <c r="BT196" i="50"/>
  <c r="AI198" i="50"/>
  <c r="BT198" i="50"/>
  <c r="AB200" i="50"/>
  <c r="BM200" i="50"/>
  <c r="AB202" i="50"/>
  <c r="BM202" i="50"/>
  <c r="U204" i="50"/>
  <c r="BF204" i="50"/>
  <c r="N206" i="50"/>
  <c r="AY206" i="50"/>
  <c r="N208" i="50"/>
  <c r="AY208" i="50"/>
  <c r="G210" i="50"/>
  <c r="AR210" i="50"/>
  <c r="N212" i="50"/>
  <c r="AY212" i="50"/>
  <c r="AI213" i="50"/>
  <c r="BT213" i="50"/>
  <c r="M22" i="51"/>
  <c r="BD22" i="51" s="1"/>
  <c r="AA30" i="62"/>
  <c r="BR30" i="62" s="1"/>
  <c r="R30" i="62"/>
  <c r="BI30" i="62" s="1"/>
  <c r="AH30" i="62"/>
  <c r="BY30" i="62" s="1"/>
  <c r="J30" i="62"/>
  <c r="BA30" i="62" s="1"/>
  <c r="Z30" i="62"/>
  <c r="BQ30" i="62" s="1"/>
  <c r="AD30" i="62"/>
  <c r="BU30" i="62" s="1"/>
  <c r="Z18" i="62"/>
  <c r="BQ18" i="62" s="1"/>
  <c r="AN30" i="62"/>
  <c r="V30" i="62"/>
  <c r="BM30" i="62" s="1"/>
  <c r="R18" i="62"/>
  <c r="BI18" i="62" s="1"/>
  <c r="AH18" i="62"/>
  <c r="BY18" i="62" s="1"/>
  <c r="H30" i="62"/>
  <c r="X30" i="62"/>
  <c r="BO30" i="62" s="1"/>
  <c r="AF30" i="62"/>
  <c r="BW30" i="62" s="1"/>
  <c r="K18" i="62"/>
  <c r="S18" i="62"/>
  <c r="BJ18" i="62" s="1"/>
  <c r="AA18" i="62"/>
  <c r="BR18" i="62" s="1"/>
  <c r="AI18" i="62"/>
  <c r="BZ18" i="62" s="1"/>
  <c r="I30" i="62"/>
  <c r="AZ30" i="62" s="1"/>
  <c r="Q30" i="62"/>
  <c r="BH30" i="62" s="1"/>
  <c r="Y30" i="62"/>
  <c r="BP30" i="62" s="1"/>
  <c r="AG30" i="62"/>
  <c r="M12" i="51"/>
  <c r="BD12" i="51" s="1"/>
  <c r="V12" i="51"/>
  <c r="BM12" i="51" s="1"/>
  <c r="AE12" i="51"/>
  <c r="BV12" i="51" s="1"/>
  <c r="AO12" i="51"/>
  <c r="CF12" i="51" s="1"/>
  <c r="AQ22" i="51"/>
  <c r="CH22" i="51" s="1"/>
  <c r="J31" i="51"/>
  <c r="BA31" i="51" s="1"/>
  <c r="T31" i="51"/>
  <c r="BK31" i="51" s="1"/>
  <c r="AC31" i="51"/>
  <c r="BT31" i="51" s="1"/>
  <c r="AL31" i="51"/>
  <c r="CC31" i="51" s="1"/>
  <c r="AL30" i="62"/>
  <c r="CC30" i="62" s="1"/>
  <c r="AJ30" i="62"/>
  <c r="CA30" i="62" s="1"/>
  <c r="T30" i="62"/>
  <c r="BK30" i="62" s="1"/>
  <c r="H18" i="62"/>
  <c r="AY18" i="62" s="1"/>
  <c r="P18" i="62"/>
  <c r="BG18" i="62" s="1"/>
  <c r="X18" i="62"/>
  <c r="BO18" i="62" s="1"/>
  <c r="AF18" i="62"/>
  <c r="BW18" i="62" s="1"/>
  <c r="AN18" i="62"/>
  <c r="U30" i="62"/>
  <c r="BL30" i="62" s="1"/>
  <c r="AC30" i="62"/>
  <c r="BT30" i="62" s="1"/>
  <c r="AK30" i="62"/>
  <c r="CB30" i="62" s="1"/>
  <c r="AB30" i="62"/>
  <c r="BS30" i="62" s="1"/>
  <c r="E185" i="62"/>
  <c r="S30" i="62"/>
  <c r="BJ30" i="62" s="1"/>
  <c r="AN80" i="51"/>
  <c r="CE80" i="51" s="1"/>
  <c r="S64" i="51"/>
  <c r="BJ64" i="51" s="1"/>
  <c r="Z64" i="51"/>
  <c r="BQ64" i="51" s="1"/>
  <c r="AN64" i="51"/>
  <c r="CE64" i="51" s="1"/>
  <c r="E80" i="51"/>
  <c r="AV80" i="51" s="1"/>
  <c r="L80" i="51"/>
  <c r="BC80" i="51" s="1"/>
  <c r="S74" i="51"/>
  <c r="BJ74" i="51" s="1"/>
  <c r="Z80" i="51"/>
  <c r="BQ80" i="51" s="1"/>
  <c r="AN99" i="51"/>
  <c r="CE99" i="51" s="1"/>
  <c r="E12" i="51"/>
  <c r="AV12" i="51" s="1"/>
  <c r="M8" i="50"/>
  <c r="T8" i="50" s="1"/>
  <c r="AA8" i="50" s="1"/>
  <c r="AH8" i="50" s="1"/>
  <c r="E8" i="50"/>
  <c r="E22" i="51"/>
  <c r="AV22" i="51" s="1"/>
  <c r="E25" i="51"/>
  <c r="AV25" i="51" s="1"/>
  <c r="L74" i="51"/>
  <c r="BC74" i="51" s="1"/>
  <c r="S80" i="51"/>
  <c r="BJ80" i="51" s="1"/>
  <c r="S99" i="51"/>
  <c r="BJ99" i="51" s="1"/>
  <c r="Z94" i="51"/>
  <c r="BQ94" i="51" s="1"/>
  <c r="AG80" i="51"/>
  <c r="BX80" i="51" s="1"/>
  <c r="AN74" i="51"/>
  <c r="CE74" i="51" s="1"/>
  <c r="AJ18" i="62"/>
  <c r="CA18" i="62" s="1"/>
  <c r="L30" i="62"/>
  <c r="BC30" i="62" s="1"/>
  <c r="T18" i="62"/>
  <c r="K30" i="62"/>
  <c r="BB30" i="62" s="1"/>
  <c r="H12" i="51"/>
  <c r="AY12" i="51" s="1"/>
  <c r="Q12" i="51"/>
  <c r="BH12" i="51" s="1"/>
  <c r="AJ12" i="51"/>
  <c r="CA12" i="51" s="1"/>
  <c r="AS12" i="51"/>
  <c r="CJ12" i="51" s="1"/>
  <c r="O31" i="51"/>
  <c r="BF31" i="51" s="1"/>
  <c r="X31" i="51"/>
  <c r="BO31" i="51" s="1"/>
  <c r="AQ31" i="51"/>
  <c r="CH31" i="51" s="1"/>
  <c r="M18" i="62"/>
  <c r="BD18" i="62" s="1"/>
  <c r="AK18" i="62"/>
  <c r="CB18" i="62" s="1"/>
  <c r="I12" i="51"/>
  <c r="AZ12" i="51" s="1"/>
  <c r="R12" i="51"/>
  <c r="BI12" i="51" s="1"/>
  <c r="AB12" i="51"/>
  <c r="BS12" i="51" s="1"/>
  <c r="AK12" i="51"/>
  <c r="CB12" i="51" s="1"/>
  <c r="AT12" i="51"/>
  <c r="CK12" i="51" s="1"/>
  <c r="P31" i="51"/>
  <c r="BG31" i="51" s="1"/>
  <c r="AI31" i="51"/>
  <c r="BZ31" i="51" s="1"/>
  <c r="AR31" i="51"/>
  <c r="CI31" i="51" s="1"/>
  <c r="U18" i="62"/>
  <c r="BL18" i="62" s="1"/>
  <c r="AC18" i="62"/>
  <c r="BT18" i="62" s="1"/>
  <c r="F18" i="62"/>
  <c r="AW18" i="62" s="1"/>
  <c r="N18" i="62"/>
  <c r="BE18" i="62" s="1"/>
  <c r="V18" i="62"/>
  <c r="BM18" i="62" s="1"/>
  <c r="AD18" i="62"/>
  <c r="BU18" i="62" s="1"/>
  <c r="AL18" i="62"/>
  <c r="CC18" i="62" s="1"/>
  <c r="E30" i="62"/>
  <c r="AV30" i="62" s="1"/>
  <c r="M30" i="62"/>
  <c r="AJ31" i="51"/>
  <c r="CA31" i="51" s="1"/>
  <c r="AS31" i="51"/>
  <c r="CJ31" i="51" s="1"/>
  <c r="O18" i="62"/>
  <c r="AE18" i="62"/>
  <c r="N30" i="62"/>
  <c r="BE30" i="62" s="1"/>
  <c r="K12" i="51"/>
  <c r="BB12" i="51" s="1"/>
  <c r="U12" i="51"/>
  <c r="BL12" i="51" s="1"/>
  <c r="AD12" i="51"/>
  <c r="BU12" i="51" s="1"/>
  <c r="AM12" i="51"/>
  <c r="CD12" i="51" s="1"/>
  <c r="AP22" i="51"/>
  <c r="CG22" i="51" s="1"/>
  <c r="I31" i="51"/>
  <c r="AZ31" i="51" s="1"/>
  <c r="R31" i="51"/>
  <c r="BI31" i="51" s="1"/>
  <c r="AB31" i="51"/>
  <c r="BS31" i="51" s="1"/>
  <c r="AK31" i="51"/>
  <c r="CB31" i="51" s="1"/>
  <c r="AT31" i="51"/>
  <c r="CK31" i="51" s="1"/>
  <c r="G18" i="62"/>
  <c r="W18" i="62"/>
  <c r="AM18" i="62"/>
  <c r="F30" i="62"/>
  <c r="AW30" i="62" s="1"/>
  <c r="M9" i="62"/>
  <c r="T9" i="62" s="1"/>
  <c r="AO9" i="62" s="1"/>
  <c r="E15" i="51"/>
  <c r="AV15" i="51" s="1"/>
  <c r="E31" i="51"/>
  <c r="AV31" i="51" s="1"/>
  <c r="E34" i="51"/>
  <c r="AV34" i="51" s="1"/>
  <c r="E45" i="51"/>
  <c r="AV45" i="51" s="1"/>
  <c r="E61" i="51"/>
  <c r="AV61" i="51" s="1"/>
  <c r="E71" i="51"/>
  <c r="AV71" i="51" s="1"/>
  <c r="L61" i="51"/>
  <c r="BC61" i="51" s="1"/>
  <c r="L71" i="51"/>
  <c r="BC71" i="51" s="1"/>
  <c r="L83" i="51"/>
  <c r="BC83" i="51" s="1"/>
  <c r="S61" i="51"/>
  <c r="BJ61" i="51" s="1"/>
  <c r="Z61" i="51"/>
  <c r="BQ61" i="51" s="1"/>
  <c r="Z71" i="51"/>
  <c r="BQ71" i="51" s="1"/>
  <c r="AG61" i="51"/>
  <c r="BX61" i="51" s="1"/>
  <c r="AG71" i="51"/>
  <c r="BX71" i="51" s="1"/>
  <c r="AG94" i="51"/>
  <c r="BX94" i="51" s="1"/>
  <c r="AN31" i="51"/>
  <c r="CE31" i="51" s="1"/>
  <c r="AN61" i="51"/>
  <c r="CE61" i="51" s="1"/>
  <c r="AN83" i="51"/>
  <c r="CE83" i="51" s="1"/>
  <c r="AB174" i="62"/>
  <c r="BS174" i="62" s="1"/>
  <c r="Y31" i="51"/>
  <c r="BP31" i="51" s="1"/>
  <c r="P30" i="62"/>
  <c r="BG30" i="62" s="1"/>
  <c r="Z83" i="51"/>
  <c r="BQ83" i="51" s="1"/>
  <c r="E94" i="51"/>
  <c r="AV94" i="51" s="1"/>
  <c r="L94" i="51"/>
  <c r="BC94" i="51" s="1"/>
  <c r="S94" i="51"/>
  <c r="BJ94" i="51" s="1"/>
  <c r="E64" i="51"/>
  <c r="AV64" i="51" s="1"/>
  <c r="E74" i="51"/>
  <c r="AV74" i="51" s="1"/>
  <c r="E83" i="51"/>
  <c r="AV83" i="51" s="1"/>
  <c r="E99" i="51"/>
  <c r="AV99" i="51" s="1"/>
  <c r="L64" i="51"/>
  <c r="BC64" i="51" s="1"/>
  <c r="L99" i="51"/>
  <c r="BC99" i="51" s="1"/>
  <c r="S71" i="51"/>
  <c r="BJ71" i="51" s="1"/>
  <c r="Z99" i="51"/>
  <c r="BQ99" i="51" s="1"/>
  <c r="AG74" i="51"/>
  <c r="BX74" i="51" s="1"/>
  <c r="AG99" i="51"/>
  <c r="BX99" i="51" s="1"/>
  <c r="AN71" i="51"/>
  <c r="CE71" i="51" s="1"/>
  <c r="B109" i="67"/>
  <c r="L31" i="51"/>
  <c r="BC31" i="51" s="1"/>
  <c r="AI112" i="50"/>
  <c r="AI12" i="50"/>
  <c r="AI14" i="50"/>
  <c r="AI126" i="50"/>
  <c r="AB18" i="50"/>
  <c r="AB23" i="50"/>
  <c r="AB25" i="50"/>
  <c r="AI26" i="50"/>
  <c r="AI27" i="50"/>
  <c r="AI24" i="50"/>
  <c r="AB28" i="50"/>
  <c r="AB30" i="50"/>
  <c r="AI31" i="50"/>
  <c r="AB34" i="50"/>
  <c r="B48" i="67"/>
  <c r="AB18" i="62"/>
  <c r="B95" i="67"/>
  <c r="M61" i="62"/>
  <c r="BD61" i="62" s="1"/>
  <c r="B107" i="67"/>
  <c r="B66" i="67"/>
  <c r="L18" i="62"/>
  <c r="BC18" i="62" s="1"/>
  <c r="B12" i="67"/>
  <c r="B90" i="67"/>
  <c r="B53" i="67"/>
  <c r="AB11" i="50"/>
  <c r="AB12" i="50"/>
  <c r="AB14" i="50"/>
  <c r="AI119" i="50"/>
  <c r="AI120" i="50"/>
  <c r="AI123" i="50"/>
  <c r="AI128" i="50"/>
  <c r="AI18" i="50"/>
  <c r="AI129" i="50"/>
  <c r="AI23" i="50"/>
  <c r="AI25" i="50"/>
  <c r="AB26" i="50"/>
  <c r="AB27" i="50"/>
  <c r="AB24" i="50"/>
  <c r="AI28" i="50"/>
  <c r="AI30" i="50"/>
  <c r="AB31" i="50"/>
  <c r="AI34" i="50"/>
  <c r="B30" i="67"/>
  <c r="B71" i="67"/>
  <c r="AH12" i="51"/>
  <c r="BY12" i="51" s="1"/>
  <c r="AH11" i="50"/>
  <c r="AI169" i="62"/>
  <c r="U169" i="62"/>
  <c r="U171" i="62"/>
  <c r="U231" i="50" s="1"/>
  <c r="N156" i="62"/>
  <c r="AG31" i="51"/>
  <c r="BX31" i="51" s="1"/>
  <c r="AH192" i="50"/>
  <c r="BT192" i="50" s="1"/>
  <c r="N62" i="62"/>
  <c r="AN67" i="62"/>
  <c r="U163" i="62"/>
  <c r="B8" i="67"/>
  <c r="E79" i="62"/>
  <c r="AH91" i="51"/>
  <c r="Z31" i="51"/>
  <c r="BQ31" i="51" s="1"/>
  <c r="J12" i="51"/>
  <c r="BA12" i="51" s="1"/>
  <c r="AC12" i="51"/>
  <c r="BT12" i="51" s="1"/>
  <c r="AL12" i="51"/>
  <c r="CC12" i="51" s="1"/>
  <c r="AO22" i="51"/>
  <c r="CF22" i="51" s="1"/>
  <c r="H31" i="51"/>
  <c r="AY31" i="51" s="1"/>
  <c r="Q31" i="51"/>
  <c r="BH31" i="51" s="1"/>
  <c r="Q50" i="51"/>
  <c r="BH50" i="51" s="1"/>
  <c r="S31" i="51"/>
  <c r="BJ31" i="51" s="1"/>
  <c r="AN22" i="51"/>
  <c r="CE22" i="51" s="1"/>
  <c r="T64" i="62"/>
  <c r="BK64" i="62" s="1"/>
  <c r="AH71" i="62"/>
  <c r="BY71" i="62" s="1"/>
  <c r="G75" i="62"/>
  <c r="F74" i="62"/>
  <c r="AW74" i="62" s="1"/>
  <c r="AI97" i="62"/>
  <c r="AH94" i="62"/>
  <c r="BY94" i="62" s="1"/>
  <c r="AA220" i="50"/>
  <c r="AB160" i="62"/>
  <c r="AA230" i="50"/>
  <c r="AB170" i="62"/>
  <c r="BS170" i="62" s="1"/>
  <c r="N65" i="62"/>
  <c r="M64" i="62"/>
  <c r="BD64" i="62" s="1"/>
  <c r="AB82" i="62"/>
  <c r="AA80" i="62"/>
  <c r="BR80" i="62" s="1"/>
  <c r="F217" i="50"/>
  <c r="G157" i="62"/>
  <c r="AX157" i="62" s="1"/>
  <c r="AA218" i="50"/>
  <c r="AB158" i="62"/>
  <c r="BS158" i="62" s="1"/>
  <c r="B18" i="67"/>
  <c r="B114" i="67" s="1"/>
  <c r="G171" i="62"/>
  <c r="AB172" i="62"/>
  <c r="AI173" i="62"/>
  <c r="BZ173" i="62" s="1"/>
  <c r="N174" i="62"/>
  <c r="G155" i="62"/>
  <c r="AX155" i="62" s="1"/>
  <c r="U155" i="62"/>
  <c r="BL155" i="62" s="1"/>
  <c r="N158" i="62"/>
  <c r="AI159" i="62"/>
  <c r="N162" i="62"/>
  <c r="BE162" i="62" s="1"/>
  <c r="AB162" i="62"/>
  <c r="AB164" i="62"/>
  <c r="AI175" i="62"/>
  <c r="B62" i="67"/>
  <c r="AR34" i="51"/>
  <c r="CI34" i="51" s="1"/>
  <c r="I50" i="51"/>
  <c r="AZ50" i="51" s="1"/>
  <c r="N50" i="51"/>
  <c r="BE50" i="51" s="1"/>
  <c r="R50" i="51"/>
  <c r="BI50" i="51" s="1"/>
  <c r="W50" i="51"/>
  <c r="BN50" i="51" s="1"/>
  <c r="AB50" i="51"/>
  <c r="BS50" i="51" s="1"/>
  <c r="AF50" i="51"/>
  <c r="BW50" i="51" s="1"/>
  <c r="AK50" i="51"/>
  <c r="CB50" i="51" s="1"/>
  <c r="AI79" i="50"/>
  <c r="AN25" i="51"/>
  <c r="CE25" i="51" s="1"/>
  <c r="AN45" i="51"/>
  <c r="CE45" i="51" s="1"/>
  <c r="F71" i="62"/>
  <c r="AW71" i="62" s="1"/>
  <c r="M80" i="62"/>
  <c r="BD80" i="62" s="1"/>
  <c r="AN79" i="62"/>
  <c r="AI157" i="62"/>
  <c r="AI163" i="62"/>
  <c r="BZ163" i="62" s="1"/>
  <c r="N164" i="62"/>
  <c r="N166" i="62"/>
  <c r="BE166" i="62" s="1"/>
  <c r="AB166" i="62"/>
  <c r="AI167" i="62"/>
  <c r="AI171" i="62"/>
  <c r="BZ171" i="62" s="1"/>
  <c r="G175" i="62"/>
  <c r="AX175" i="62" s="1"/>
  <c r="U175" i="62"/>
  <c r="AA31" i="51"/>
  <c r="BR31" i="51" s="1"/>
  <c r="AO68" i="51"/>
  <c r="CF68" i="51" s="1"/>
  <c r="M75" i="51"/>
  <c r="BD75" i="51" s="1"/>
  <c r="F50" i="51"/>
  <c r="AW50" i="51" s="1"/>
  <c r="J50" i="51"/>
  <c r="BA50" i="51" s="1"/>
  <c r="O50" i="51"/>
  <c r="BF50" i="51" s="1"/>
  <c r="X50" i="51"/>
  <c r="BO50" i="51" s="1"/>
  <c r="AC50" i="51"/>
  <c r="BT50" i="51" s="1"/>
  <c r="AL50" i="51"/>
  <c r="CC50" i="51" s="1"/>
  <c r="G31" i="51"/>
  <c r="AX31" i="51" s="1"/>
  <c r="S12" i="51"/>
  <c r="BJ12" i="51" s="1"/>
  <c r="AN12" i="51"/>
  <c r="CE12" i="51" s="1"/>
  <c r="K68" i="51"/>
  <c r="BB68" i="51" s="1"/>
  <c r="L34" i="51"/>
  <c r="BC34" i="51" s="1"/>
  <c r="S50" i="51"/>
  <c r="BJ50" i="51" s="1"/>
  <c r="AG25" i="51"/>
  <c r="BX25" i="51" s="1"/>
  <c r="H50" i="51"/>
  <c r="AY50" i="51" s="1"/>
  <c r="V50" i="51"/>
  <c r="BM50" i="51" s="1"/>
  <c r="AE50" i="51"/>
  <c r="BV50" i="51" s="1"/>
  <c r="Z12" i="51"/>
  <c r="BQ12" i="51" s="1"/>
  <c r="AG12" i="51"/>
  <c r="BX12" i="51" s="1"/>
  <c r="AI83" i="50"/>
  <c r="B42" i="67"/>
  <c r="L15" i="51"/>
  <c r="BC15" i="51" s="1"/>
  <c r="L22" i="51"/>
  <c r="BC22" i="51" s="1"/>
  <c r="L25" i="51"/>
  <c r="BC25" i="51" s="1"/>
  <c r="L45" i="51"/>
  <c r="BC45" i="51" s="1"/>
  <c r="L50" i="51"/>
  <c r="BC50" i="51" s="1"/>
  <c r="S15" i="51"/>
  <c r="BJ15" i="51" s="1"/>
  <c r="S22" i="51"/>
  <c r="BJ22" i="51" s="1"/>
  <c r="S25" i="51"/>
  <c r="BJ25" i="51" s="1"/>
  <c r="S34" i="51"/>
  <c r="BJ34" i="51" s="1"/>
  <c r="S45" i="51"/>
  <c r="BJ45" i="51" s="1"/>
  <c r="Z15" i="51"/>
  <c r="BQ15" i="51" s="1"/>
  <c r="Z22" i="51"/>
  <c r="BQ22" i="51" s="1"/>
  <c r="Z25" i="51"/>
  <c r="BQ25" i="51" s="1"/>
  <c r="Z34" i="51"/>
  <c r="BQ34" i="51" s="1"/>
  <c r="Z45" i="51"/>
  <c r="BQ45" i="51" s="1"/>
  <c r="Z50" i="51"/>
  <c r="BQ50" i="51" s="1"/>
  <c r="AG15" i="51"/>
  <c r="BX15" i="51" s="1"/>
  <c r="AG22" i="51"/>
  <c r="BX22" i="51" s="1"/>
  <c r="AG34" i="51"/>
  <c r="BX34" i="51" s="1"/>
  <c r="AG45" i="51"/>
  <c r="BX45" i="51" s="1"/>
  <c r="AN15" i="51"/>
  <c r="CE15" i="51" s="1"/>
  <c r="AN34" i="51"/>
  <c r="CE34" i="51" s="1"/>
  <c r="AN50" i="51"/>
  <c r="CE50" i="51" s="1"/>
  <c r="X63" i="51"/>
  <c r="BO63" i="51" s="1"/>
  <c r="G50" i="51"/>
  <c r="AX50" i="51" s="1"/>
  <c r="K50" i="51"/>
  <c r="BB50" i="51" s="1"/>
  <c r="P50" i="51"/>
  <c r="BG50" i="51" s="1"/>
  <c r="U50" i="51"/>
  <c r="BL50" i="51" s="1"/>
  <c r="Y50" i="51"/>
  <c r="BP50" i="51" s="1"/>
  <c r="AD50" i="51"/>
  <c r="BU50" i="51" s="1"/>
  <c r="AI50" i="51"/>
  <c r="BZ50" i="51" s="1"/>
  <c r="AM50" i="51"/>
  <c r="CD50" i="51" s="1"/>
  <c r="AG50" i="51"/>
  <c r="BX50" i="51" s="1"/>
  <c r="AA50" i="51"/>
  <c r="BR50" i="51" s="1"/>
  <c r="AJ50" i="51"/>
  <c r="CA50" i="51" s="1"/>
  <c r="AI82" i="50"/>
  <c r="L12" i="51"/>
  <c r="BC12" i="51" s="1"/>
  <c r="G82" i="51"/>
  <c r="AX82" i="51" s="1"/>
  <c r="AQ34" i="51"/>
  <c r="CH34" i="51" s="1"/>
  <c r="AS34" i="51"/>
  <c r="CJ34" i="51" s="1"/>
  <c r="AP34" i="51"/>
  <c r="AT34" i="51"/>
  <c r="CK34" i="51" s="1"/>
  <c r="Q22" i="51"/>
  <c r="BH22" i="51" s="1"/>
  <c r="V22" i="51"/>
  <c r="BM22" i="51" s="1"/>
  <c r="U82" i="62"/>
  <c r="V82" i="62" s="1"/>
  <c r="T80" i="62"/>
  <c r="BK80" i="62" s="1"/>
  <c r="T217" i="50"/>
  <c r="U157" i="62"/>
  <c r="BL157" i="62" s="1"/>
  <c r="T233" i="50"/>
  <c r="U173" i="62"/>
  <c r="BL173" i="62" s="1"/>
  <c r="U62" i="62"/>
  <c r="T61" i="62"/>
  <c r="BK61" i="62" s="1"/>
  <c r="AI158" i="62"/>
  <c r="BZ158" i="62" s="1"/>
  <c r="AH218" i="50"/>
  <c r="T219" i="50"/>
  <c r="U159" i="62"/>
  <c r="BL159" i="62" s="1"/>
  <c r="U160" i="62"/>
  <c r="BL160" i="62" s="1"/>
  <c r="T220" i="50"/>
  <c r="AH221" i="50"/>
  <c r="AI161" i="62"/>
  <c r="BZ161" i="62" s="1"/>
  <c r="N163" i="62"/>
  <c r="BE163" i="62" s="1"/>
  <c r="M223" i="50"/>
  <c r="N165" i="62"/>
  <c r="BE165" i="62" s="1"/>
  <c r="M225" i="50"/>
  <c r="U172" i="62"/>
  <c r="BL172" i="62" s="1"/>
  <c r="T232" i="50"/>
  <c r="F201" i="50"/>
  <c r="AA216" i="50"/>
  <c r="AB156" i="62"/>
  <c r="M220" i="50"/>
  <c r="N160" i="62"/>
  <c r="BE160" i="62" s="1"/>
  <c r="M232" i="50"/>
  <c r="N172" i="62"/>
  <c r="BE172" i="62" s="1"/>
  <c r="AA71" i="62"/>
  <c r="BR71" i="62" s="1"/>
  <c r="F94" i="62"/>
  <c r="AW94" i="62" s="1"/>
  <c r="G96" i="62"/>
  <c r="M99" i="62"/>
  <c r="BD99" i="62" s="1"/>
  <c r="AA99" i="62"/>
  <c r="BR99" i="62" s="1"/>
  <c r="N167" i="62"/>
  <c r="BE167" i="62" s="1"/>
  <c r="M227" i="50"/>
  <c r="F219" i="50"/>
  <c r="F233" i="50"/>
  <c r="AB167" i="62"/>
  <c r="BS167" i="62" s="1"/>
  <c r="AA227" i="50"/>
  <c r="AI172" i="62"/>
  <c r="BZ172" i="62" s="1"/>
  <c r="AH232" i="50"/>
  <c r="F227" i="50"/>
  <c r="AA64" i="62"/>
  <c r="BR64" i="62" s="1"/>
  <c r="AH215" i="50"/>
  <c r="AI155" i="62"/>
  <c r="BZ155" i="62" s="1"/>
  <c r="T221" i="50"/>
  <c r="U161" i="62"/>
  <c r="BL161" i="62" s="1"/>
  <c r="G168" i="62"/>
  <c r="AX168" i="62" s="1"/>
  <c r="F228" i="50"/>
  <c r="AB169" i="62"/>
  <c r="BS169" i="62" s="1"/>
  <c r="AA229" i="50"/>
  <c r="M230" i="50"/>
  <c r="N170" i="62"/>
  <c r="BE170" i="62" s="1"/>
  <c r="F203" i="50"/>
  <c r="I18" i="62"/>
  <c r="G103" i="62"/>
  <c r="AA61" i="62"/>
  <c r="BR61" i="62" s="1"/>
  <c r="M71" i="62"/>
  <c r="BD71" i="62" s="1"/>
  <c r="AH99" i="62"/>
  <c r="BY99" i="62" s="1"/>
  <c r="N155" i="62"/>
  <c r="M215" i="50"/>
  <c r="AY215" i="50" s="1"/>
  <c r="AB155" i="62"/>
  <c r="BS155" i="62" s="1"/>
  <c r="AA215" i="50"/>
  <c r="N157" i="62"/>
  <c r="BE157" i="62" s="1"/>
  <c r="M217" i="50"/>
  <c r="AI162" i="62"/>
  <c r="BZ162" i="62" s="1"/>
  <c r="AH222" i="50"/>
  <c r="U164" i="62"/>
  <c r="BL164" i="62" s="1"/>
  <c r="T224" i="50"/>
  <c r="AI164" i="62"/>
  <c r="BZ164" i="62" s="1"/>
  <c r="AH224" i="50"/>
  <c r="AI165" i="62"/>
  <c r="BZ165" i="62" s="1"/>
  <c r="AH225" i="50"/>
  <c r="U166" i="62"/>
  <c r="BL166" i="62" s="1"/>
  <c r="T226" i="50"/>
  <c r="AI166" i="62"/>
  <c r="BZ166" i="62" s="1"/>
  <c r="AH226" i="50"/>
  <c r="AB168" i="62"/>
  <c r="BS168" i="62" s="1"/>
  <c r="AA228" i="50"/>
  <c r="AB171" i="62"/>
  <c r="BS171" i="62" s="1"/>
  <c r="AA231" i="50"/>
  <c r="G172" i="62"/>
  <c r="AX172" i="62" s="1"/>
  <c r="F232" i="50"/>
  <c r="AI174" i="62"/>
  <c r="BZ174" i="62" s="1"/>
  <c r="AH234" i="50"/>
  <c r="N175" i="62"/>
  <c r="BE175" i="62" s="1"/>
  <c r="M235" i="50"/>
  <c r="G81" i="51"/>
  <c r="AX81" i="51" s="1"/>
  <c r="B34" i="67"/>
  <c r="B121" i="67" s="1"/>
  <c r="F211" i="50"/>
  <c r="AT66" i="51"/>
  <c r="CK66" i="51" s="1"/>
  <c r="J18" i="62"/>
  <c r="BA18" i="62" s="1"/>
  <c r="M74" i="62"/>
  <c r="BD74" i="62" s="1"/>
  <c r="M83" i="62"/>
  <c r="BD83" i="62" s="1"/>
  <c r="AI156" i="62"/>
  <c r="BZ156" i="62" s="1"/>
  <c r="AH216" i="50"/>
  <c r="AB159" i="62"/>
  <c r="BS159" i="62" s="1"/>
  <c r="AA219" i="50"/>
  <c r="N161" i="62"/>
  <c r="BE161" i="62" s="1"/>
  <c r="M221" i="50"/>
  <c r="AB161" i="62"/>
  <c r="BS161" i="62" s="1"/>
  <c r="AA221" i="50"/>
  <c r="U162" i="62"/>
  <c r="BL162" i="62" s="1"/>
  <c r="T222" i="50"/>
  <c r="G164" i="62"/>
  <c r="AX164" i="62" s="1"/>
  <c r="F224" i="50"/>
  <c r="U165" i="62"/>
  <c r="BL165" i="62" s="1"/>
  <c r="T225" i="50"/>
  <c r="N168" i="62"/>
  <c r="BE168" i="62" s="1"/>
  <c r="M228" i="50"/>
  <c r="AI168" i="62"/>
  <c r="BZ168" i="62" s="1"/>
  <c r="AH228" i="50"/>
  <c r="N169" i="62"/>
  <c r="BE169" i="62" s="1"/>
  <c r="M229" i="50"/>
  <c r="AI170" i="62"/>
  <c r="BZ170" i="62" s="1"/>
  <c r="AH230" i="50"/>
  <c r="U174" i="62"/>
  <c r="BL174" i="62" s="1"/>
  <c r="T234" i="50"/>
  <c r="AB175" i="62"/>
  <c r="BS175" i="62" s="1"/>
  <c r="AA235" i="50"/>
  <c r="AQ98" i="51"/>
  <c r="CH98" i="51" s="1"/>
  <c r="T86" i="51"/>
  <c r="BK86" i="51" s="1"/>
  <c r="AO77" i="51"/>
  <c r="CF77" i="51" s="1"/>
  <c r="AO82" i="51"/>
  <c r="CF82" i="51" s="1"/>
  <c r="F89" i="51"/>
  <c r="AW89" i="51" s="1"/>
  <c r="F194" i="50"/>
  <c r="G158" i="62"/>
  <c r="AX158" i="62" s="1"/>
  <c r="F218" i="50"/>
  <c r="U158" i="62"/>
  <c r="BL158" i="62" s="1"/>
  <c r="T218" i="50"/>
  <c r="N159" i="62"/>
  <c r="BE159" i="62" s="1"/>
  <c r="M219" i="50"/>
  <c r="AI160" i="62"/>
  <c r="BZ160" i="62" s="1"/>
  <c r="AH220" i="50"/>
  <c r="G162" i="62"/>
  <c r="AX162" i="62" s="1"/>
  <c r="F222" i="50"/>
  <c r="AB163" i="62"/>
  <c r="BS163" i="62" s="1"/>
  <c r="AA223" i="50"/>
  <c r="AB165" i="62"/>
  <c r="BS165" i="62" s="1"/>
  <c r="AA225" i="50"/>
  <c r="G166" i="62"/>
  <c r="AX166" i="62" s="1"/>
  <c r="F226" i="50"/>
  <c r="U167" i="62"/>
  <c r="BL167" i="62" s="1"/>
  <c r="T227" i="50"/>
  <c r="U168" i="62"/>
  <c r="BL168" i="62" s="1"/>
  <c r="T228" i="50"/>
  <c r="U170" i="62"/>
  <c r="BL170" i="62" s="1"/>
  <c r="T230" i="50"/>
  <c r="N173" i="62"/>
  <c r="BE173" i="62" s="1"/>
  <c r="M233" i="50"/>
  <c r="AB173" i="62"/>
  <c r="BS173" i="62" s="1"/>
  <c r="AA233" i="50"/>
  <c r="F208" i="50"/>
  <c r="F220" i="50"/>
  <c r="M231" i="50"/>
  <c r="AT62" i="51"/>
  <c r="CK62" i="51" s="1"/>
  <c r="B24" i="67"/>
  <c r="F199" i="50"/>
  <c r="F205" i="50"/>
  <c r="F207" i="50"/>
  <c r="F212" i="50"/>
  <c r="F221" i="50"/>
  <c r="F223" i="50"/>
  <c r="F229" i="50"/>
  <c r="F234" i="50"/>
  <c r="B68" i="67"/>
  <c r="B50" i="67"/>
  <c r="F202" i="50"/>
  <c r="F216" i="50"/>
  <c r="F225" i="50"/>
  <c r="F230" i="50"/>
  <c r="P68" i="51"/>
  <c r="BG68" i="51" s="1"/>
  <c r="AB63" i="51"/>
  <c r="BS63" i="51" s="1"/>
  <c r="AE68" i="51"/>
  <c r="BV68" i="51" s="1"/>
  <c r="AF65" i="51"/>
  <c r="BW65" i="51" s="1"/>
  <c r="R62" i="51"/>
  <c r="BI62" i="51" s="1"/>
  <c r="X65" i="51"/>
  <c r="BO65" i="51" s="1"/>
  <c r="AJ68" i="51"/>
  <c r="CA68" i="51" s="1"/>
  <c r="B73" i="67"/>
  <c r="U68" i="51"/>
  <c r="BL68" i="51" s="1"/>
  <c r="AD10" i="51"/>
  <c r="AK10" i="51" s="1"/>
  <c r="K62" i="51"/>
  <c r="BB62" i="51" s="1"/>
  <c r="V62" i="51"/>
  <c r="BM62" i="51" s="1"/>
  <c r="AL62" i="51"/>
  <c r="CC62" i="51" s="1"/>
  <c r="V73" i="51"/>
  <c r="BM73" i="51" s="1"/>
  <c r="B97" i="67"/>
  <c r="AB126" i="50"/>
  <c r="AB119" i="50"/>
  <c r="AB120" i="50"/>
  <c r="AB128" i="50"/>
  <c r="AB129" i="50"/>
  <c r="B32" i="67"/>
  <c r="B14" i="67"/>
  <c r="B92" i="67"/>
  <c r="B16" i="67"/>
  <c r="T192" i="50"/>
  <c r="BF192" i="50" s="1"/>
  <c r="B55" i="67"/>
  <c r="B52" i="67"/>
  <c r="B123" i="67" s="1"/>
  <c r="AA192" i="50"/>
  <c r="BM192" i="50" s="1"/>
  <c r="B37" i="67"/>
  <c r="M192" i="50"/>
  <c r="AY192" i="50" s="1"/>
  <c r="AB10" i="51"/>
  <c r="AI10" i="51" s="1"/>
  <c r="AP10" i="51"/>
  <c r="AO10" i="51"/>
  <c r="AA10" i="51"/>
  <c r="AH10" i="51" s="1"/>
  <c r="AS10" i="51"/>
  <c r="AE10" i="51"/>
  <c r="AL10" i="51" s="1"/>
  <c r="O63" i="51"/>
  <c r="BF63" i="51" s="1"/>
  <c r="R63" i="51"/>
  <c r="BI63" i="51" s="1"/>
  <c r="N63" i="51"/>
  <c r="BE63" i="51" s="1"/>
  <c r="Q63" i="51"/>
  <c r="BH63" i="51" s="1"/>
  <c r="M63" i="51"/>
  <c r="BD63" i="51" s="1"/>
  <c r="P69" i="51"/>
  <c r="BG69" i="51" s="1"/>
  <c r="R69" i="51"/>
  <c r="BI69" i="51" s="1"/>
  <c r="M69" i="51"/>
  <c r="BD69" i="51" s="1"/>
  <c r="Q69" i="51"/>
  <c r="BH69" i="51" s="1"/>
  <c r="O69" i="51"/>
  <c r="BF69" i="51" s="1"/>
  <c r="AR69" i="51"/>
  <c r="CI69" i="51" s="1"/>
  <c r="AQ69" i="51"/>
  <c r="CH69" i="51" s="1"/>
  <c r="AP69" i="51"/>
  <c r="CG69" i="51" s="1"/>
  <c r="AT69" i="51"/>
  <c r="CK69" i="51" s="1"/>
  <c r="AO69" i="51"/>
  <c r="CF69" i="51" s="1"/>
  <c r="P81" i="51"/>
  <c r="BG81" i="51" s="1"/>
  <c r="O81" i="51"/>
  <c r="BF81" i="51" s="1"/>
  <c r="N81" i="51"/>
  <c r="BE81" i="51" s="1"/>
  <c r="M81" i="51"/>
  <c r="BD81" i="51" s="1"/>
  <c r="R81" i="51"/>
  <c r="BI81" i="51" s="1"/>
  <c r="AR81" i="51"/>
  <c r="CI81" i="51" s="1"/>
  <c r="AT81" i="51"/>
  <c r="CK81" i="51" s="1"/>
  <c r="AO81" i="51"/>
  <c r="CF81" i="51" s="1"/>
  <c r="AS81" i="51"/>
  <c r="CJ81" i="51" s="1"/>
  <c r="AQ81" i="51"/>
  <c r="CH81" i="51" s="1"/>
  <c r="AP81" i="51"/>
  <c r="CG81" i="51" s="1"/>
  <c r="AD82" i="51"/>
  <c r="BU82" i="51" s="1"/>
  <c r="AC82" i="51"/>
  <c r="BT82" i="51" s="1"/>
  <c r="AB82" i="51"/>
  <c r="BS82" i="51" s="1"/>
  <c r="AF82" i="51"/>
  <c r="BW82" i="51" s="1"/>
  <c r="AE82" i="51"/>
  <c r="BV82" i="51" s="1"/>
  <c r="AA82" i="51"/>
  <c r="O84" i="51"/>
  <c r="BF84" i="51" s="1"/>
  <c r="R84" i="51"/>
  <c r="BI84" i="51" s="1"/>
  <c r="N84" i="51"/>
  <c r="BE84" i="51" s="1"/>
  <c r="Q84" i="51"/>
  <c r="BH84" i="51" s="1"/>
  <c r="M84" i="51"/>
  <c r="BD84" i="51" s="1"/>
  <c r="AQ84" i="51"/>
  <c r="CH84" i="51" s="1"/>
  <c r="AT84" i="51"/>
  <c r="CK84" i="51" s="1"/>
  <c r="AP84" i="51"/>
  <c r="CG84" i="51" s="1"/>
  <c r="AS84" i="51"/>
  <c r="CJ84" i="51" s="1"/>
  <c r="AR84" i="51"/>
  <c r="CI84" i="51" s="1"/>
  <c r="AO84" i="51"/>
  <c r="CF84" i="51" s="1"/>
  <c r="O86" i="51"/>
  <c r="BF86" i="51" s="1"/>
  <c r="R86" i="51"/>
  <c r="BI86" i="51" s="1"/>
  <c r="N86" i="51"/>
  <c r="BE86" i="51" s="1"/>
  <c r="Q86" i="51"/>
  <c r="BH86" i="51" s="1"/>
  <c r="P86" i="51"/>
  <c r="BG86" i="51" s="1"/>
  <c r="M86" i="51"/>
  <c r="BD86" i="51" s="1"/>
  <c r="AQ86" i="51"/>
  <c r="CH86" i="51" s="1"/>
  <c r="AT86" i="51"/>
  <c r="CK86" i="51" s="1"/>
  <c r="AP86" i="51"/>
  <c r="CG86" i="51" s="1"/>
  <c r="AS86" i="51"/>
  <c r="CJ86" i="51" s="1"/>
  <c r="AO86" i="51"/>
  <c r="CF86" i="51" s="1"/>
  <c r="O88" i="51"/>
  <c r="BF88" i="51" s="1"/>
  <c r="R88" i="51"/>
  <c r="BI88" i="51" s="1"/>
  <c r="N88" i="51"/>
  <c r="BE88" i="51" s="1"/>
  <c r="Q88" i="51"/>
  <c r="BH88" i="51" s="1"/>
  <c r="M88" i="51"/>
  <c r="BD88" i="51" s="1"/>
  <c r="AQ88" i="51"/>
  <c r="CH88" i="51" s="1"/>
  <c r="AT88" i="51"/>
  <c r="CK88" i="51" s="1"/>
  <c r="AP88" i="51"/>
  <c r="CG88" i="51" s="1"/>
  <c r="AS88" i="51"/>
  <c r="CJ88" i="51" s="1"/>
  <c r="AR88" i="51"/>
  <c r="CI88" i="51" s="1"/>
  <c r="AO88" i="51"/>
  <c r="CF88" i="51" s="1"/>
  <c r="AC89" i="51"/>
  <c r="BT89" i="51" s="1"/>
  <c r="AF89" i="51"/>
  <c r="BW89" i="51" s="1"/>
  <c r="AB89" i="51"/>
  <c r="BS89" i="51" s="1"/>
  <c r="AE89" i="51"/>
  <c r="BV89" i="51" s="1"/>
  <c r="AA89" i="51"/>
  <c r="AQ90" i="51"/>
  <c r="CH90" i="51" s="1"/>
  <c r="AT90" i="51"/>
  <c r="CK90" i="51" s="1"/>
  <c r="AP90" i="51"/>
  <c r="CG90" i="51" s="1"/>
  <c r="AS90" i="51"/>
  <c r="CJ90" i="51" s="1"/>
  <c r="AO90" i="51"/>
  <c r="CF90" i="51" s="1"/>
  <c r="AC91" i="51"/>
  <c r="BT91" i="51" s="1"/>
  <c r="AF91" i="51"/>
  <c r="BW91" i="51" s="1"/>
  <c r="AB91" i="51"/>
  <c r="BS91" i="51" s="1"/>
  <c r="AE91" i="51"/>
  <c r="BV91" i="51" s="1"/>
  <c r="AD91" i="51"/>
  <c r="BU91" i="51" s="1"/>
  <c r="AA91" i="51"/>
  <c r="O92" i="51"/>
  <c r="BF92" i="51" s="1"/>
  <c r="P92" i="51"/>
  <c r="BG92" i="51" s="1"/>
  <c r="N92" i="51"/>
  <c r="BE92" i="51" s="1"/>
  <c r="R92" i="51"/>
  <c r="BI92" i="51" s="1"/>
  <c r="M92" i="51"/>
  <c r="BD92" i="51" s="1"/>
  <c r="Q92" i="51"/>
  <c r="BH92" i="51" s="1"/>
  <c r="AQ92" i="51"/>
  <c r="CH92" i="51" s="1"/>
  <c r="AT92" i="51"/>
  <c r="CK92" i="51" s="1"/>
  <c r="AO92" i="51"/>
  <c r="CF92" i="51" s="1"/>
  <c r="AS92" i="51"/>
  <c r="CJ92" i="51" s="1"/>
  <c r="AR92" i="51"/>
  <c r="CI92" i="51" s="1"/>
  <c r="AD93" i="51"/>
  <c r="BU93" i="51" s="1"/>
  <c r="AC93" i="51"/>
  <c r="BT93" i="51" s="1"/>
  <c r="AE93" i="51"/>
  <c r="BV93" i="51" s="1"/>
  <c r="AB93" i="51"/>
  <c r="AA93" i="51"/>
  <c r="AF93" i="51"/>
  <c r="BW93" i="51" s="1"/>
  <c r="G62" i="51"/>
  <c r="AX62" i="51" s="1"/>
  <c r="N62" i="51"/>
  <c r="BE62" i="51" s="1"/>
  <c r="AP62" i="51"/>
  <c r="CG62" i="51" s="1"/>
  <c r="AB65" i="51"/>
  <c r="BS65" i="51" s="1"/>
  <c r="AP66" i="51"/>
  <c r="CG66" i="51" s="1"/>
  <c r="W81" i="51"/>
  <c r="BN81" i="51" s="1"/>
  <c r="P88" i="51"/>
  <c r="BG88" i="51" s="1"/>
  <c r="AR90" i="51"/>
  <c r="CI90" i="51" s="1"/>
  <c r="Y62" i="51"/>
  <c r="BP62" i="51" s="1"/>
  <c r="U62" i="51"/>
  <c r="BL62" i="51" s="1"/>
  <c r="X62" i="51"/>
  <c r="BO62" i="51" s="1"/>
  <c r="T62" i="51"/>
  <c r="BK62" i="51" s="1"/>
  <c r="K63" i="51"/>
  <c r="BB63" i="51" s="1"/>
  <c r="G63" i="51"/>
  <c r="AX63" i="51" s="1"/>
  <c r="J63" i="51"/>
  <c r="BA63" i="51" s="1"/>
  <c r="F63" i="51"/>
  <c r="AW63" i="51" s="1"/>
  <c r="I63" i="51"/>
  <c r="AZ63" i="51" s="1"/>
  <c r="AM63" i="51"/>
  <c r="CD63" i="51" s="1"/>
  <c r="AI63" i="51"/>
  <c r="AL63" i="51"/>
  <c r="CC63" i="51" s="1"/>
  <c r="AH63" i="51"/>
  <c r="AK63" i="51"/>
  <c r="CB63" i="51" s="1"/>
  <c r="K65" i="51"/>
  <c r="BB65" i="51" s="1"/>
  <c r="G65" i="51"/>
  <c r="AX65" i="51" s="1"/>
  <c r="J65" i="51"/>
  <c r="BA65" i="51" s="1"/>
  <c r="F65" i="51"/>
  <c r="AW65" i="51" s="1"/>
  <c r="I65" i="51"/>
  <c r="AZ65" i="51" s="1"/>
  <c r="AM65" i="51"/>
  <c r="CD65" i="51" s="1"/>
  <c r="AI65" i="51"/>
  <c r="AL65" i="51"/>
  <c r="CC65" i="51" s="1"/>
  <c r="AH65" i="51"/>
  <c r="BY65" i="51" s="1"/>
  <c r="AK65" i="51"/>
  <c r="CB65" i="51" s="1"/>
  <c r="Y66" i="51"/>
  <c r="BP66" i="51" s="1"/>
  <c r="U66" i="51"/>
  <c r="BL66" i="51" s="1"/>
  <c r="X66" i="51"/>
  <c r="BO66" i="51" s="1"/>
  <c r="T66" i="51"/>
  <c r="BK66" i="51" s="1"/>
  <c r="W66" i="51"/>
  <c r="BN66" i="51" s="1"/>
  <c r="V68" i="51"/>
  <c r="BM68" i="51" s="1"/>
  <c r="Y68" i="51"/>
  <c r="BP68" i="51" s="1"/>
  <c r="T68" i="51"/>
  <c r="BK68" i="51" s="1"/>
  <c r="X68" i="51"/>
  <c r="BO68" i="51" s="1"/>
  <c r="W68" i="51"/>
  <c r="BN68" i="51" s="1"/>
  <c r="V72" i="51"/>
  <c r="BM72" i="51" s="1"/>
  <c r="W72" i="51"/>
  <c r="BN72" i="51" s="1"/>
  <c r="U72" i="51"/>
  <c r="BL72" i="51" s="1"/>
  <c r="Y72" i="51"/>
  <c r="BP72" i="51" s="1"/>
  <c r="T72" i="51"/>
  <c r="BK72" i="51" s="1"/>
  <c r="H73" i="51"/>
  <c r="AY73" i="51" s="1"/>
  <c r="K73" i="51"/>
  <c r="BB73" i="51" s="1"/>
  <c r="F73" i="51"/>
  <c r="AW73" i="51" s="1"/>
  <c r="J73" i="51"/>
  <c r="BA73" i="51" s="1"/>
  <c r="I73" i="51"/>
  <c r="AZ73" i="51" s="1"/>
  <c r="AJ73" i="51"/>
  <c r="CA73" i="51" s="1"/>
  <c r="AK73" i="51"/>
  <c r="CB73" i="51" s="1"/>
  <c r="AI73" i="51"/>
  <c r="AM73" i="51"/>
  <c r="CD73" i="51" s="1"/>
  <c r="AH73" i="51"/>
  <c r="V76" i="51"/>
  <c r="BM76" i="51" s="1"/>
  <c r="Y76" i="51"/>
  <c r="BP76" i="51" s="1"/>
  <c r="U76" i="51"/>
  <c r="BL76" i="51" s="1"/>
  <c r="X76" i="51"/>
  <c r="BO76" i="51" s="1"/>
  <c r="W76" i="51"/>
  <c r="BN76" i="51" s="1"/>
  <c r="H81" i="51"/>
  <c r="AY81" i="51" s="1"/>
  <c r="K81" i="51"/>
  <c r="BB81" i="51" s="1"/>
  <c r="F81" i="51"/>
  <c r="AW81" i="51" s="1"/>
  <c r="J81" i="51"/>
  <c r="BA81" i="51" s="1"/>
  <c r="I81" i="51"/>
  <c r="AZ81" i="51" s="1"/>
  <c r="AJ81" i="51"/>
  <c r="CA81" i="51" s="1"/>
  <c r="AK81" i="51"/>
  <c r="CB81" i="51" s="1"/>
  <c r="AI81" i="51"/>
  <c r="BZ81" i="51" s="1"/>
  <c r="AM81" i="51"/>
  <c r="CD81" i="51" s="1"/>
  <c r="AL81" i="51"/>
  <c r="CC81" i="51" s="1"/>
  <c r="AH81" i="51"/>
  <c r="V82" i="51"/>
  <c r="BM82" i="51" s="1"/>
  <c r="Y82" i="51"/>
  <c r="BP82" i="51" s="1"/>
  <c r="T82" i="51"/>
  <c r="BK82" i="51" s="1"/>
  <c r="X82" i="51"/>
  <c r="BO82" i="51" s="1"/>
  <c r="W82" i="51"/>
  <c r="BN82" i="51" s="1"/>
  <c r="U82" i="51"/>
  <c r="BL82" i="51" s="1"/>
  <c r="V85" i="51"/>
  <c r="BM85" i="51" s="1"/>
  <c r="X100" i="51"/>
  <c r="BO100" i="51" s="1"/>
  <c r="T100" i="51"/>
  <c r="BK100" i="51" s="1"/>
  <c r="W100" i="51"/>
  <c r="BN100" i="51" s="1"/>
  <c r="V100" i="51"/>
  <c r="BM100" i="51" s="1"/>
  <c r="U100" i="51"/>
  <c r="BL100" i="51" s="1"/>
  <c r="Y100" i="51"/>
  <c r="BP100" i="51" s="1"/>
  <c r="T50" i="51"/>
  <c r="BK50" i="51" s="1"/>
  <c r="J101" i="51"/>
  <c r="BA101" i="51" s="1"/>
  <c r="F101" i="51"/>
  <c r="AW101" i="51" s="1"/>
  <c r="H101" i="51"/>
  <c r="AY101" i="51" s="1"/>
  <c r="G101" i="51"/>
  <c r="AX101" i="51" s="1"/>
  <c r="K101" i="51"/>
  <c r="BB101" i="51" s="1"/>
  <c r="I101" i="51"/>
  <c r="AZ101" i="51" s="1"/>
  <c r="AL101" i="51"/>
  <c r="CC101" i="51" s="1"/>
  <c r="AH101" i="51"/>
  <c r="BY101" i="51" s="1"/>
  <c r="AM101" i="51"/>
  <c r="CD101" i="51" s="1"/>
  <c r="AK101" i="51"/>
  <c r="CB101" i="51" s="1"/>
  <c r="AJ101" i="51"/>
  <c r="CA101" i="51" s="1"/>
  <c r="AI101" i="51"/>
  <c r="BZ101" i="51" s="1"/>
  <c r="X102" i="51"/>
  <c r="BO102" i="51" s="1"/>
  <c r="T102" i="51"/>
  <c r="BK102" i="51" s="1"/>
  <c r="V102" i="51"/>
  <c r="BM102" i="51" s="1"/>
  <c r="U102" i="51"/>
  <c r="BL102" i="51" s="1"/>
  <c r="Y102" i="51"/>
  <c r="BP102" i="51" s="1"/>
  <c r="W102" i="51"/>
  <c r="BN102" i="51" s="1"/>
  <c r="J103" i="51"/>
  <c r="BA103" i="51" s="1"/>
  <c r="F103" i="51"/>
  <c r="AW103" i="51" s="1"/>
  <c r="K103" i="51"/>
  <c r="BB103" i="51" s="1"/>
  <c r="I103" i="51"/>
  <c r="AZ103" i="51" s="1"/>
  <c r="G103" i="51"/>
  <c r="AX103" i="51" s="1"/>
  <c r="H103" i="51"/>
  <c r="AY103" i="51" s="1"/>
  <c r="AL103" i="51"/>
  <c r="CC103" i="51" s="1"/>
  <c r="AH103" i="51"/>
  <c r="BY103" i="51" s="1"/>
  <c r="AJ103" i="51"/>
  <c r="CA103" i="51" s="1"/>
  <c r="AI103" i="51"/>
  <c r="BZ103" i="51" s="1"/>
  <c r="AM103" i="51"/>
  <c r="CD103" i="51" s="1"/>
  <c r="AK103" i="51"/>
  <c r="CB103" i="51" s="1"/>
  <c r="X104" i="51"/>
  <c r="BO104" i="51" s="1"/>
  <c r="T104" i="51"/>
  <c r="BK104" i="51" s="1"/>
  <c r="Y104" i="51"/>
  <c r="BP104" i="51" s="1"/>
  <c r="W104" i="51"/>
  <c r="BN104" i="51" s="1"/>
  <c r="V104" i="51"/>
  <c r="BM104" i="51" s="1"/>
  <c r="U104" i="51"/>
  <c r="BL104" i="51" s="1"/>
  <c r="J105" i="51"/>
  <c r="BA105" i="51" s="1"/>
  <c r="F105" i="51"/>
  <c r="AW105" i="51" s="1"/>
  <c r="H105" i="51"/>
  <c r="AY105" i="51" s="1"/>
  <c r="G105" i="51"/>
  <c r="AX105" i="51" s="1"/>
  <c r="K105" i="51"/>
  <c r="BB105" i="51" s="1"/>
  <c r="I105" i="51"/>
  <c r="AZ105" i="51" s="1"/>
  <c r="AL105" i="51"/>
  <c r="CC105" i="51" s="1"/>
  <c r="AH105" i="51"/>
  <c r="BY105" i="51" s="1"/>
  <c r="AM105" i="51"/>
  <c r="CD105" i="51" s="1"/>
  <c r="AK105" i="51"/>
  <c r="CB105" i="51" s="1"/>
  <c r="AI105" i="51"/>
  <c r="BZ105" i="51" s="1"/>
  <c r="AJ105" i="51"/>
  <c r="CA105" i="51" s="1"/>
  <c r="X106" i="51"/>
  <c r="BO106" i="51" s="1"/>
  <c r="T106" i="51"/>
  <c r="BK106" i="51" s="1"/>
  <c r="V106" i="51"/>
  <c r="BM106" i="51" s="1"/>
  <c r="U106" i="51"/>
  <c r="BL106" i="51" s="1"/>
  <c r="Y106" i="51"/>
  <c r="BP106" i="51" s="1"/>
  <c r="W106" i="51"/>
  <c r="BN106" i="51" s="1"/>
  <c r="X108" i="51"/>
  <c r="BO108" i="51" s="1"/>
  <c r="T108" i="51"/>
  <c r="BK108" i="51" s="1"/>
  <c r="W108" i="51"/>
  <c r="BN108" i="51" s="1"/>
  <c r="V108" i="51"/>
  <c r="BM108" i="51" s="1"/>
  <c r="U108" i="51"/>
  <c r="BL108" i="51" s="1"/>
  <c r="Y108" i="51"/>
  <c r="BP108" i="51" s="1"/>
  <c r="J62" i="51"/>
  <c r="BA62" i="51" s="1"/>
  <c r="O62" i="51"/>
  <c r="BF62" i="51" s="1"/>
  <c r="W62" i="51"/>
  <c r="BN62" i="51" s="1"/>
  <c r="AH62" i="51"/>
  <c r="P63" i="51"/>
  <c r="BG63" i="51" s="1"/>
  <c r="AJ63" i="51"/>
  <c r="CA63" i="51" s="1"/>
  <c r="H65" i="51"/>
  <c r="AY65" i="51" s="1"/>
  <c r="T65" i="51"/>
  <c r="BK65" i="51" s="1"/>
  <c r="V66" i="51"/>
  <c r="BM66" i="51" s="1"/>
  <c r="X72" i="51"/>
  <c r="BO72" i="51" s="1"/>
  <c r="G73" i="51"/>
  <c r="AX73" i="51" s="1"/>
  <c r="AL73" i="51"/>
  <c r="CC73" i="51" s="1"/>
  <c r="AC62" i="51"/>
  <c r="BT62" i="51" s="1"/>
  <c r="AF62" i="51"/>
  <c r="BW62" i="51" s="1"/>
  <c r="AB62" i="51"/>
  <c r="BS62" i="51" s="1"/>
  <c r="AE62" i="51"/>
  <c r="BV62" i="51" s="1"/>
  <c r="AA62" i="51"/>
  <c r="BR62" i="51" s="1"/>
  <c r="AQ63" i="51"/>
  <c r="CH63" i="51" s="1"/>
  <c r="AT63" i="51"/>
  <c r="CK63" i="51" s="1"/>
  <c r="AP63" i="51"/>
  <c r="CG63" i="51" s="1"/>
  <c r="AS63" i="51"/>
  <c r="CJ63" i="51" s="1"/>
  <c r="AO63" i="51"/>
  <c r="CF63" i="51" s="1"/>
  <c r="P73" i="51"/>
  <c r="BG73" i="51" s="1"/>
  <c r="O73" i="51"/>
  <c r="BF73" i="51" s="1"/>
  <c r="N73" i="51"/>
  <c r="BE73" i="51" s="1"/>
  <c r="R73" i="51"/>
  <c r="BI73" i="51" s="1"/>
  <c r="M73" i="51"/>
  <c r="BD73" i="51" s="1"/>
  <c r="AR73" i="51"/>
  <c r="CI73" i="51" s="1"/>
  <c r="AQ73" i="51"/>
  <c r="CH73" i="51" s="1"/>
  <c r="AO73" i="51"/>
  <c r="CF73" i="51" s="1"/>
  <c r="AT73" i="51"/>
  <c r="CK73" i="51" s="1"/>
  <c r="AS73" i="51"/>
  <c r="CJ73" i="51" s="1"/>
  <c r="P75" i="51"/>
  <c r="BG75" i="51" s="1"/>
  <c r="O75" i="51"/>
  <c r="BF75" i="51" s="1"/>
  <c r="R75" i="51"/>
  <c r="BI75" i="51" s="1"/>
  <c r="Q75" i="51"/>
  <c r="BH75" i="51" s="1"/>
  <c r="N75" i="51"/>
  <c r="BE75" i="51" s="1"/>
  <c r="AE65" i="51"/>
  <c r="BV65" i="51" s="1"/>
  <c r="AA65" i="51"/>
  <c r="BR65" i="51" s="1"/>
  <c r="AD65" i="51"/>
  <c r="BU65" i="51" s="1"/>
  <c r="AC65" i="51"/>
  <c r="BT65" i="51" s="1"/>
  <c r="Q66" i="51"/>
  <c r="BH66" i="51" s="1"/>
  <c r="M66" i="51"/>
  <c r="BD66" i="51" s="1"/>
  <c r="P66" i="51"/>
  <c r="BG66" i="51" s="1"/>
  <c r="O66" i="51"/>
  <c r="BF66" i="51" s="1"/>
  <c r="AS66" i="51"/>
  <c r="CJ66" i="51" s="1"/>
  <c r="AO66" i="51"/>
  <c r="CF66" i="51" s="1"/>
  <c r="AR66" i="51"/>
  <c r="CI66" i="51" s="1"/>
  <c r="AQ66" i="51"/>
  <c r="CH66" i="51" s="1"/>
  <c r="R72" i="51"/>
  <c r="BI72" i="51" s="1"/>
  <c r="N72" i="51"/>
  <c r="BE72" i="51" s="1"/>
  <c r="Q72" i="51"/>
  <c r="BH72" i="51" s="1"/>
  <c r="P72" i="51"/>
  <c r="BG72" i="51" s="1"/>
  <c r="O72" i="51"/>
  <c r="BF72" i="51" s="1"/>
  <c r="AT72" i="51"/>
  <c r="CK72" i="51" s="1"/>
  <c r="AP72" i="51"/>
  <c r="CG72" i="51" s="1"/>
  <c r="AQ72" i="51"/>
  <c r="CH72" i="51" s="1"/>
  <c r="AO72" i="51"/>
  <c r="CF72" i="51" s="1"/>
  <c r="AS72" i="51"/>
  <c r="CJ72" i="51" s="1"/>
  <c r="AF73" i="51"/>
  <c r="BW73" i="51" s="1"/>
  <c r="AB73" i="51"/>
  <c r="BS73" i="51" s="1"/>
  <c r="AE73" i="51"/>
  <c r="BV73" i="51" s="1"/>
  <c r="AD73" i="51"/>
  <c r="BU73" i="51" s="1"/>
  <c r="AC73" i="51"/>
  <c r="BT73" i="51" s="1"/>
  <c r="M31" i="51"/>
  <c r="BD31" i="51" s="1"/>
  <c r="AO31" i="51"/>
  <c r="CF31" i="51" s="1"/>
  <c r="AF81" i="51"/>
  <c r="BW81" i="51" s="1"/>
  <c r="AB81" i="51"/>
  <c r="BS81" i="51" s="1"/>
  <c r="AE81" i="51"/>
  <c r="BV81" i="51" s="1"/>
  <c r="AD81" i="51"/>
  <c r="BU81" i="51" s="1"/>
  <c r="AC81" i="51"/>
  <c r="BT81" i="51" s="1"/>
  <c r="AA81" i="51"/>
  <c r="BR81" i="51" s="1"/>
  <c r="R82" i="51"/>
  <c r="BI82" i="51" s="1"/>
  <c r="N82" i="51"/>
  <c r="BE82" i="51" s="1"/>
  <c r="O82" i="51"/>
  <c r="BF82" i="51" s="1"/>
  <c r="M82" i="51"/>
  <c r="BD82" i="51" s="1"/>
  <c r="P82" i="51"/>
  <c r="BG82" i="51" s="1"/>
  <c r="AQ82" i="51"/>
  <c r="CH82" i="51" s="1"/>
  <c r="AT82" i="51"/>
  <c r="CK82" i="51" s="1"/>
  <c r="AP82" i="51"/>
  <c r="CG82" i="51" s="1"/>
  <c r="AS82" i="51"/>
  <c r="CJ82" i="51" s="1"/>
  <c r="AR82" i="51"/>
  <c r="CI82" i="51" s="1"/>
  <c r="Q85" i="51"/>
  <c r="BH85" i="51" s="1"/>
  <c r="M85" i="51"/>
  <c r="BD85" i="51" s="1"/>
  <c r="P85" i="51"/>
  <c r="BG85" i="51" s="1"/>
  <c r="R85" i="51"/>
  <c r="BI85" i="51" s="1"/>
  <c r="O85" i="51"/>
  <c r="BF85" i="51" s="1"/>
  <c r="N85" i="51"/>
  <c r="BE85" i="51" s="1"/>
  <c r="AS85" i="51"/>
  <c r="CJ85" i="51" s="1"/>
  <c r="AO85" i="51"/>
  <c r="CF85" i="51" s="1"/>
  <c r="AR85" i="51"/>
  <c r="CI85" i="51" s="1"/>
  <c r="AT85" i="51"/>
  <c r="CK85" i="51" s="1"/>
  <c r="AQ85" i="51"/>
  <c r="CH85" i="51" s="1"/>
  <c r="AP85" i="51"/>
  <c r="CG85" i="51" s="1"/>
  <c r="AE86" i="51"/>
  <c r="BV86" i="51" s="1"/>
  <c r="AA86" i="51"/>
  <c r="AD86" i="51"/>
  <c r="BU86" i="51" s="1"/>
  <c r="AF86" i="51"/>
  <c r="BW86" i="51" s="1"/>
  <c r="AC86" i="51"/>
  <c r="BT86" i="51" s="1"/>
  <c r="AB86" i="51"/>
  <c r="AJ86" i="51"/>
  <c r="CA86" i="51" s="1"/>
  <c r="Q87" i="51"/>
  <c r="BH87" i="51" s="1"/>
  <c r="M87" i="51"/>
  <c r="BD87" i="51" s="1"/>
  <c r="P87" i="51"/>
  <c r="BG87" i="51" s="1"/>
  <c r="R87" i="51"/>
  <c r="BI87" i="51" s="1"/>
  <c r="O87" i="51"/>
  <c r="BF87" i="51" s="1"/>
  <c r="N87" i="51"/>
  <c r="BE87" i="51" s="1"/>
  <c r="AS87" i="51"/>
  <c r="CJ87" i="51" s="1"/>
  <c r="AO87" i="51"/>
  <c r="CF87" i="51" s="1"/>
  <c r="AR87" i="51"/>
  <c r="CI87" i="51" s="1"/>
  <c r="AT87" i="51"/>
  <c r="CK87" i="51" s="1"/>
  <c r="AQ87" i="51"/>
  <c r="CH87" i="51" s="1"/>
  <c r="AP87" i="51"/>
  <c r="CG87" i="51" s="1"/>
  <c r="V89" i="51"/>
  <c r="BM89" i="51" s="1"/>
  <c r="AS89" i="51"/>
  <c r="CJ89" i="51" s="1"/>
  <c r="AO89" i="51"/>
  <c r="CF89" i="51" s="1"/>
  <c r="AR89" i="51"/>
  <c r="CI89" i="51" s="1"/>
  <c r="AT89" i="51"/>
  <c r="CK89" i="51" s="1"/>
  <c r="AQ89" i="51"/>
  <c r="CH89" i="51" s="1"/>
  <c r="AP89" i="51"/>
  <c r="CG89" i="51" s="1"/>
  <c r="N91" i="51"/>
  <c r="BE91" i="51" s="1"/>
  <c r="AF92" i="51"/>
  <c r="BW92" i="51" s="1"/>
  <c r="Y98" i="51"/>
  <c r="BP98" i="51" s="1"/>
  <c r="U98" i="51"/>
  <c r="BL98" i="51" s="1"/>
  <c r="V98" i="51"/>
  <c r="BM98" i="51" s="1"/>
  <c r="T98" i="51"/>
  <c r="BK98" i="51" s="1"/>
  <c r="X98" i="51"/>
  <c r="BO98" i="51" s="1"/>
  <c r="W98" i="51"/>
  <c r="BN98" i="51" s="1"/>
  <c r="P100" i="51"/>
  <c r="BG100" i="51" s="1"/>
  <c r="R100" i="51"/>
  <c r="BI100" i="51" s="1"/>
  <c r="M100" i="51"/>
  <c r="BD100" i="51" s="1"/>
  <c r="O100" i="51"/>
  <c r="BF100" i="51" s="1"/>
  <c r="N100" i="51"/>
  <c r="BE100" i="51" s="1"/>
  <c r="Q100" i="51"/>
  <c r="BH100" i="51" s="1"/>
  <c r="M50" i="51"/>
  <c r="BD50" i="51" s="1"/>
  <c r="AD101" i="51"/>
  <c r="BU101" i="51" s="1"/>
  <c r="AB101" i="51"/>
  <c r="BS101" i="51" s="1"/>
  <c r="AF101" i="51"/>
  <c r="BW101" i="51" s="1"/>
  <c r="AA101" i="51"/>
  <c r="AE101" i="51"/>
  <c r="BV101" i="51" s="1"/>
  <c r="AC101" i="51"/>
  <c r="BT101" i="51" s="1"/>
  <c r="P102" i="51"/>
  <c r="BG102" i="51" s="1"/>
  <c r="Q102" i="51"/>
  <c r="BH102" i="51" s="1"/>
  <c r="O102" i="51"/>
  <c r="BF102" i="51" s="1"/>
  <c r="N102" i="51"/>
  <c r="BE102" i="51" s="1"/>
  <c r="M102" i="51"/>
  <c r="BD102" i="51" s="1"/>
  <c r="R102" i="51"/>
  <c r="BI102" i="51" s="1"/>
  <c r="AR102" i="51"/>
  <c r="CI102" i="51" s="1"/>
  <c r="AP102" i="51"/>
  <c r="CG102" i="51" s="1"/>
  <c r="AT102" i="51"/>
  <c r="CK102" i="51" s="1"/>
  <c r="AO102" i="51"/>
  <c r="CF102" i="51" s="1"/>
  <c r="AS102" i="51"/>
  <c r="CJ102" i="51" s="1"/>
  <c r="AQ102" i="51"/>
  <c r="CH102" i="51" s="1"/>
  <c r="AD103" i="51"/>
  <c r="BU103" i="51" s="1"/>
  <c r="AE103" i="51"/>
  <c r="BV103" i="51" s="1"/>
  <c r="AC103" i="51"/>
  <c r="BT103" i="51" s="1"/>
  <c r="AF103" i="51"/>
  <c r="BW103" i="51" s="1"/>
  <c r="AB103" i="51"/>
  <c r="BS103" i="51" s="1"/>
  <c r="AA103" i="51"/>
  <c r="P104" i="51"/>
  <c r="BG104" i="51" s="1"/>
  <c r="N104" i="51"/>
  <c r="BE104" i="51" s="1"/>
  <c r="R104" i="51"/>
  <c r="BI104" i="51" s="1"/>
  <c r="M104" i="51"/>
  <c r="BD104" i="51" s="1"/>
  <c r="Q104" i="51"/>
  <c r="BH104" i="51" s="1"/>
  <c r="O104" i="51"/>
  <c r="BF104" i="51" s="1"/>
  <c r="AR104" i="51"/>
  <c r="CI104" i="51" s="1"/>
  <c r="AS104" i="51"/>
  <c r="CJ104" i="51" s="1"/>
  <c r="AQ104" i="51"/>
  <c r="CH104" i="51" s="1"/>
  <c r="AP104" i="51"/>
  <c r="CG104" i="51" s="1"/>
  <c r="AO104" i="51"/>
  <c r="CF104" i="51" s="1"/>
  <c r="AT104" i="51"/>
  <c r="CK104" i="51" s="1"/>
  <c r="AD105" i="51"/>
  <c r="BU105" i="51" s="1"/>
  <c r="AB105" i="51"/>
  <c r="AF105" i="51"/>
  <c r="BW105" i="51" s="1"/>
  <c r="AA105" i="51"/>
  <c r="AC105" i="51"/>
  <c r="BT105" i="51" s="1"/>
  <c r="AE105" i="51"/>
  <c r="BV105" i="51" s="1"/>
  <c r="P106" i="51"/>
  <c r="BG106" i="51" s="1"/>
  <c r="Q106" i="51"/>
  <c r="BH106" i="51" s="1"/>
  <c r="O106" i="51"/>
  <c r="BF106" i="51" s="1"/>
  <c r="R106" i="51"/>
  <c r="BI106" i="51" s="1"/>
  <c r="M106" i="51"/>
  <c r="BD106" i="51" s="1"/>
  <c r="N106" i="51"/>
  <c r="BE106" i="51" s="1"/>
  <c r="AR106" i="51"/>
  <c r="CI106" i="51" s="1"/>
  <c r="AQ106" i="51"/>
  <c r="CH106" i="51" s="1"/>
  <c r="AS106" i="51"/>
  <c r="CJ106" i="51" s="1"/>
  <c r="AP106" i="51"/>
  <c r="CG106" i="51" s="1"/>
  <c r="AO106" i="51"/>
  <c r="CF106" i="51" s="1"/>
  <c r="AT106" i="51"/>
  <c r="CK106" i="51" s="1"/>
  <c r="P108" i="51"/>
  <c r="BG108" i="51" s="1"/>
  <c r="O108" i="51"/>
  <c r="BF108" i="51" s="1"/>
  <c r="Q108" i="51"/>
  <c r="BH108" i="51" s="1"/>
  <c r="N108" i="51"/>
  <c r="BE108" i="51" s="1"/>
  <c r="M108" i="51"/>
  <c r="BD108" i="51" s="1"/>
  <c r="R108" i="51"/>
  <c r="BI108" i="51" s="1"/>
  <c r="AR108" i="51"/>
  <c r="CI108" i="51" s="1"/>
  <c r="AQ108" i="51"/>
  <c r="CH108" i="51" s="1"/>
  <c r="AS108" i="51"/>
  <c r="CJ108" i="51" s="1"/>
  <c r="AP108" i="51"/>
  <c r="CG108" i="51" s="1"/>
  <c r="AO108" i="51"/>
  <c r="CF108" i="51" s="1"/>
  <c r="AT108" i="51"/>
  <c r="CK108" i="51" s="1"/>
  <c r="N66" i="51"/>
  <c r="BE66" i="51" s="1"/>
  <c r="N69" i="51"/>
  <c r="BE69" i="51" s="1"/>
  <c r="AS69" i="51"/>
  <c r="CJ69" i="51" s="1"/>
  <c r="Q81" i="51"/>
  <c r="BH81" i="51" s="1"/>
  <c r="P84" i="51"/>
  <c r="BG84" i="51" s="1"/>
  <c r="S83" i="51"/>
  <c r="AR86" i="51"/>
  <c r="CI86" i="51" s="1"/>
  <c r="AD89" i="51"/>
  <c r="BU89" i="51" s="1"/>
  <c r="AP92" i="51"/>
  <c r="CG92" i="51" s="1"/>
  <c r="O65" i="51"/>
  <c r="BF65" i="51" s="1"/>
  <c r="R65" i="51"/>
  <c r="BI65" i="51" s="1"/>
  <c r="N65" i="51"/>
  <c r="BE65" i="51" s="1"/>
  <c r="Q65" i="51"/>
  <c r="BH65" i="51" s="1"/>
  <c r="M65" i="51"/>
  <c r="BD65" i="51" s="1"/>
  <c r="AD68" i="51"/>
  <c r="BU68" i="51" s="1"/>
  <c r="AC68" i="51"/>
  <c r="BT68" i="51" s="1"/>
  <c r="AB68" i="51"/>
  <c r="AF68" i="51"/>
  <c r="BW68" i="51" s="1"/>
  <c r="AA68" i="51"/>
  <c r="AR77" i="51"/>
  <c r="CI77" i="51" s="1"/>
  <c r="AQ77" i="51"/>
  <c r="CH77" i="51" s="1"/>
  <c r="AT77" i="51"/>
  <c r="CK77" i="51" s="1"/>
  <c r="AS77" i="51"/>
  <c r="CJ77" i="51" s="1"/>
  <c r="AP77" i="51"/>
  <c r="CG77" i="51" s="1"/>
  <c r="AA12" i="51"/>
  <c r="BR12" i="51" s="1"/>
  <c r="Q62" i="51"/>
  <c r="BH62" i="51" s="1"/>
  <c r="M62" i="51"/>
  <c r="BD62" i="51" s="1"/>
  <c r="P62" i="51"/>
  <c r="BG62" i="51" s="1"/>
  <c r="AS62" i="51"/>
  <c r="CJ62" i="51" s="1"/>
  <c r="AO62" i="51"/>
  <c r="CF62" i="51" s="1"/>
  <c r="AR62" i="51"/>
  <c r="CI62" i="51" s="1"/>
  <c r="AQ62" i="51"/>
  <c r="CH62" i="51" s="1"/>
  <c r="AE63" i="51"/>
  <c r="BV63" i="51" s="1"/>
  <c r="AA63" i="51"/>
  <c r="AD63" i="51"/>
  <c r="BU63" i="51" s="1"/>
  <c r="AC63" i="51"/>
  <c r="BT63" i="51" s="1"/>
  <c r="M15" i="51"/>
  <c r="BD15" i="51" s="1"/>
  <c r="R68" i="51"/>
  <c r="BI68" i="51" s="1"/>
  <c r="N68" i="51"/>
  <c r="BE68" i="51" s="1"/>
  <c r="O68" i="51"/>
  <c r="BF68" i="51" s="1"/>
  <c r="M68" i="51"/>
  <c r="BD68" i="51" s="1"/>
  <c r="Q68" i="51"/>
  <c r="BH68" i="51" s="1"/>
  <c r="AT68" i="51"/>
  <c r="CK68" i="51" s="1"/>
  <c r="AP68" i="51"/>
  <c r="CG68" i="51" s="1"/>
  <c r="AS68" i="51"/>
  <c r="CJ68" i="51" s="1"/>
  <c r="AR68" i="51"/>
  <c r="CI68" i="51" s="1"/>
  <c r="AQ68" i="51"/>
  <c r="CH68" i="51" s="1"/>
  <c r="R76" i="51"/>
  <c r="BI76" i="51" s="1"/>
  <c r="N76" i="51"/>
  <c r="BE76" i="51" s="1"/>
  <c r="Q76" i="51"/>
  <c r="BH76" i="51" s="1"/>
  <c r="M76" i="51"/>
  <c r="BD76" i="51" s="1"/>
  <c r="P76" i="51"/>
  <c r="BG76" i="51" s="1"/>
  <c r="O76" i="51"/>
  <c r="BF76" i="51" s="1"/>
  <c r="AT76" i="51"/>
  <c r="CK76" i="51" s="1"/>
  <c r="AP76" i="51"/>
  <c r="CG76" i="51" s="1"/>
  <c r="AS76" i="51"/>
  <c r="CJ76" i="51" s="1"/>
  <c r="AO76" i="51"/>
  <c r="CF76" i="51" s="1"/>
  <c r="AR76" i="51"/>
  <c r="CI76" i="51" s="1"/>
  <c r="AQ76" i="51"/>
  <c r="CH76" i="51" s="1"/>
  <c r="T12" i="51"/>
  <c r="BK12" i="51" s="1"/>
  <c r="I62" i="51"/>
  <c r="AZ62" i="51" s="1"/>
  <c r="H62" i="51"/>
  <c r="AY62" i="51" s="1"/>
  <c r="AK62" i="51"/>
  <c r="CB62" i="51" s="1"/>
  <c r="AJ62" i="51"/>
  <c r="CA62" i="51" s="1"/>
  <c r="AM62" i="51"/>
  <c r="CD62" i="51" s="1"/>
  <c r="AI62" i="51"/>
  <c r="W63" i="51"/>
  <c r="BN63" i="51" s="1"/>
  <c r="V63" i="51"/>
  <c r="BM63" i="51" s="1"/>
  <c r="Y63" i="51"/>
  <c r="BP63" i="51" s="1"/>
  <c r="U63" i="51"/>
  <c r="BL63" i="51" s="1"/>
  <c r="W65" i="51"/>
  <c r="BN65" i="51" s="1"/>
  <c r="V65" i="51"/>
  <c r="BM65" i="51" s="1"/>
  <c r="Y65" i="51"/>
  <c r="BP65" i="51" s="1"/>
  <c r="U65" i="51"/>
  <c r="BL65" i="51" s="1"/>
  <c r="J68" i="51"/>
  <c r="BA68" i="51" s="1"/>
  <c r="F68" i="51"/>
  <c r="AW68" i="51" s="1"/>
  <c r="I68" i="51"/>
  <c r="AZ68" i="51" s="1"/>
  <c r="H68" i="51"/>
  <c r="AY68" i="51" s="1"/>
  <c r="G68" i="51"/>
  <c r="AX68" i="51" s="1"/>
  <c r="AL68" i="51"/>
  <c r="CC68" i="51" s="1"/>
  <c r="AH68" i="51"/>
  <c r="AI68" i="51"/>
  <c r="BZ68" i="51" s="1"/>
  <c r="AM68" i="51"/>
  <c r="CD68" i="51" s="1"/>
  <c r="AK68" i="51"/>
  <c r="CB68" i="51" s="1"/>
  <c r="T22" i="51"/>
  <c r="BK22" i="51" s="1"/>
  <c r="X73" i="51"/>
  <c r="BO73" i="51" s="1"/>
  <c r="T73" i="51"/>
  <c r="BK73" i="51" s="1"/>
  <c r="U73" i="51"/>
  <c r="BL73" i="51" s="1"/>
  <c r="Y73" i="51"/>
  <c r="BP73" i="51" s="1"/>
  <c r="W73" i="51"/>
  <c r="BN73" i="51" s="1"/>
  <c r="X75" i="51"/>
  <c r="BO75" i="51" s="1"/>
  <c r="T75" i="51"/>
  <c r="BK75" i="51" s="1"/>
  <c r="W75" i="51"/>
  <c r="BN75" i="51" s="1"/>
  <c r="Y75" i="51"/>
  <c r="BP75" i="51" s="1"/>
  <c r="V75" i="51"/>
  <c r="BM75" i="51" s="1"/>
  <c r="U75" i="51"/>
  <c r="BL75" i="51" s="1"/>
  <c r="F31" i="51"/>
  <c r="AW31" i="51" s="1"/>
  <c r="AH31" i="51"/>
  <c r="BY31" i="51" s="1"/>
  <c r="X81" i="51"/>
  <c r="BO81" i="51" s="1"/>
  <c r="T81" i="51"/>
  <c r="BK81" i="51" s="1"/>
  <c r="U81" i="51"/>
  <c r="BL81" i="51" s="1"/>
  <c r="Y81" i="51"/>
  <c r="BP81" i="51" s="1"/>
  <c r="V81" i="51"/>
  <c r="BM81" i="51" s="1"/>
  <c r="J82" i="51"/>
  <c r="BA82" i="51" s="1"/>
  <c r="F82" i="51"/>
  <c r="AW82" i="51" s="1"/>
  <c r="I82" i="51"/>
  <c r="AZ82" i="51" s="1"/>
  <c r="H82" i="51"/>
  <c r="AY82" i="51" s="1"/>
  <c r="K82" i="51"/>
  <c r="BB82" i="51" s="1"/>
  <c r="AJ82" i="51"/>
  <c r="CA82" i="51" s="1"/>
  <c r="AO34" i="51"/>
  <c r="CF34" i="51" s="1"/>
  <c r="W84" i="51"/>
  <c r="BN84" i="51" s="1"/>
  <c r="V84" i="51"/>
  <c r="BM84" i="51" s="1"/>
  <c r="Y84" i="51"/>
  <c r="BP84" i="51" s="1"/>
  <c r="X84" i="51"/>
  <c r="BO84" i="51" s="1"/>
  <c r="U84" i="51"/>
  <c r="BL84" i="51" s="1"/>
  <c r="T84" i="51"/>
  <c r="BK84" i="51" s="1"/>
  <c r="W86" i="51"/>
  <c r="BN86" i="51" s="1"/>
  <c r="V86" i="51"/>
  <c r="BM86" i="51" s="1"/>
  <c r="Y86" i="51"/>
  <c r="BP86" i="51" s="1"/>
  <c r="X86" i="51"/>
  <c r="BO86" i="51" s="1"/>
  <c r="U86" i="51"/>
  <c r="BL86" i="51" s="1"/>
  <c r="W88" i="51"/>
  <c r="BN88" i="51" s="1"/>
  <c r="V88" i="51"/>
  <c r="BM88" i="51" s="1"/>
  <c r="Y88" i="51"/>
  <c r="BP88" i="51" s="1"/>
  <c r="X88" i="51"/>
  <c r="BO88" i="51" s="1"/>
  <c r="U88" i="51"/>
  <c r="BL88" i="51" s="1"/>
  <c r="T88" i="51"/>
  <c r="BK88" i="51" s="1"/>
  <c r="I89" i="51"/>
  <c r="AZ89" i="51" s="1"/>
  <c r="H89" i="51"/>
  <c r="AY89" i="51" s="1"/>
  <c r="K89" i="51"/>
  <c r="BB89" i="51" s="1"/>
  <c r="J89" i="51"/>
  <c r="BA89" i="51" s="1"/>
  <c r="G89" i="51"/>
  <c r="AX89" i="51" s="1"/>
  <c r="AK89" i="51"/>
  <c r="CB89" i="51" s="1"/>
  <c r="AJ89" i="51"/>
  <c r="CA89" i="51" s="1"/>
  <c r="AM89" i="51"/>
  <c r="CD89" i="51" s="1"/>
  <c r="AL89" i="51"/>
  <c r="CC89" i="51" s="1"/>
  <c r="AI89" i="51"/>
  <c r="AH89" i="51"/>
  <c r="I91" i="51"/>
  <c r="AZ91" i="51" s="1"/>
  <c r="H91" i="51"/>
  <c r="AY91" i="51" s="1"/>
  <c r="K91" i="51"/>
  <c r="BB91" i="51" s="1"/>
  <c r="J91" i="51"/>
  <c r="BA91" i="51" s="1"/>
  <c r="G91" i="51"/>
  <c r="AX91" i="51" s="1"/>
  <c r="F91" i="51"/>
  <c r="AW91" i="51" s="1"/>
  <c r="AK91" i="51"/>
  <c r="CB91" i="51" s="1"/>
  <c r="AJ91" i="51"/>
  <c r="CA91" i="51" s="1"/>
  <c r="AM91" i="51"/>
  <c r="CD91" i="51" s="1"/>
  <c r="AI91" i="51"/>
  <c r="BZ91" i="51" s="1"/>
  <c r="AL91" i="51"/>
  <c r="CC91" i="51" s="1"/>
  <c r="W92" i="51"/>
  <c r="BN92" i="51" s="1"/>
  <c r="Y92" i="51"/>
  <c r="BP92" i="51" s="1"/>
  <c r="T92" i="51"/>
  <c r="BK92" i="51" s="1"/>
  <c r="X92" i="51"/>
  <c r="BO92" i="51" s="1"/>
  <c r="V92" i="51"/>
  <c r="BM92" i="51" s="1"/>
  <c r="U92" i="51"/>
  <c r="BL92" i="51" s="1"/>
  <c r="J93" i="51"/>
  <c r="BA93" i="51" s="1"/>
  <c r="I93" i="51"/>
  <c r="AZ93" i="51" s="1"/>
  <c r="H93" i="51"/>
  <c r="AY93" i="51" s="1"/>
  <c r="G93" i="51"/>
  <c r="AX93" i="51" s="1"/>
  <c r="F93" i="51"/>
  <c r="AW93" i="51" s="1"/>
  <c r="K93" i="51"/>
  <c r="BB93" i="51" s="1"/>
  <c r="AL93" i="51"/>
  <c r="CC93" i="51" s="1"/>
  <c r="AH93" i="51"/>
  <c r="AK93" i="51"/>
  <c r="CB93" i="51" s="1"/>
  <c r="AJ93" i="51"/>
  <c r="CA93" i="51" s="1"/>
  <c r="AI93" i="51"/>
  <c r="AM93" i="51"/>
  <c r="CD93" i="51" s="1"/>
  <c r="Q98" i="51"/>
  <c r="BH98" i="51" s="1"/>
  <c r="M98" i="51"/>
  <c r="BD98" i="51" s="1"/>
  <c r="P98" i="51"/>
  <c r="BG98" i="51" s="1"/>
  <c r="O98" i="51"/>
  <c r="BF98" i="51" s="1"/>
  <c r="N98" i="51"/>
  <c r="BE98" i="51" s="1"/>
  <c r="R98" i="51"/>
  <c r="BI98" i="51" s="1"/>
  <c r="AS98" i="51"/>
  <c r="CJ98" i="51" s="1"/>
  <c r="AO98" i="51"/>
  <c r="CF98" i="51" s="1"/>
  <c r="AP98" i="51"/>
  <c r="CG98" i="51" s="1"/>
  <c r="AT98" i="51"/>
  <c r="CK98" i="51" s="1"/>
  <c r="AR98" i="51"/>
  <c r="CI98" i="51" s="1"/>
  <c r="AH50" i="51"/>
  <c r="BY50" i="51" s="1"/>
  <c r="F62" i="51"/>
  <c r="AW62" i="51" s="1"/>
  <c r="AD62" i="51"/>
  <c r="BU62" i="51" s="1"/>
  <c r="H63" i="51"/>
  <c r="AY63" i="51" s="1"/>
  <c r="T63" i="51"/>
  <c r="BK63" i="51" s="1"/>
  <c r="AF63" i="51"/>
  <c r="BW63" i="51" s="1"/>
  <c r="AR63" i="51"/>
  <c r="CI63" i="51" s="1"/>
  <c r="P65" i="51"/>
  <c r="BG65" i="51" s="1"/>
  <c r="AJ65" i="51"/>
  <c r="CA65" i="51" s="1"/>
  <c r="R66" i="51"/>
  <c r="BI66" i="51" s="1"/>
  <c r="M72" i="51"/>
  <c r="BD72" i="51" s="1"/>
  <c r="AR72" i="51"/>
  <c r="CI72" i="51" s="1"/>
  <c r="Q73" i="51"/>
  <c r="BH73" i="51" s="1"/>
  <c r="AA73" i="51"/>
  <c r="AP73" i="51"/>
  <c r="CG73" i="51" s="1"/>
  <c r="Z74" i="51"/>
  <c r="BQ74" i="51" s="1"/>
  <c r="T76" i="51"/>
  <c r="BK76" i="51" s="1"/>
  <c r="Q82" i="51"/>
  <c r="BH82" i="51" s="1"/>
  <c r="AL82" i="51"/>
  <c r="CC82" i="51" s="1"/>
  <c r="AH82" i="51"/>
  <c r="AI82" i="51"/>
  <c r="AM82" i="51"/>
  <c r="CD82" i="51" s="1"/>
  <c r="Y85" i="51"/>
  <c r="BP85" i="51" s="1"/>
  <c r="U85" i="51"/>
  <c r="BL85" i="51" s="1"/>
  <c r="X85" i="51"/>
  <c r="BO85" i="51" s="1"/>
  <c r="T85" i="51"/>
  <c r="BK85" i="51" s="1"/>
  <c r="W85" i="51"/>
  <c r="BN85" i="51" s="1"/>
  <c r="K86" i="51"/>
  <c r="BB86" i="51" s="1"/>
  <c r="G86" i="51"/>
  <c r="AX86" i="51" s="1"/>
  <c r="J86" i="51"/>
  <c r="BA86" i="51" s="1"/>
  <c r="F86" i="51"/>
  <c r="AW86" i="51" s="1"/>
  <c r="I86" i="51"/>
  <c r="AZ86" i="51" s="1"/>
  <c r="AM86" i="51"/>
  <c r="CD86" i="51" s="1"/>
  <c r="AI86" i="51"/>
  <c r="BZ86" i="51" s="1"/>
  <c r="AL86" i="51"/>
  <c r="CC86" i="51" s="1"/>
  <c r="AH86" i="51"/>
  <c r="AK86" i="51"/>
  <c r="CB86" i="51" s="1"/>
  <c r="Y87" i="51"/>
  <c r="BP87" i="51" s="1"/>
  <c r="U87" i="51"/>
  <c r="BL87" i="51" s="1"/>
  <c r="X87" i="51"/>
  <c r="BO87" i="51" s="1"/>
  <c r="T87" i="51"/>
  <c r="BK87" i="51" s="1"/>
  <c r="W87" i="51"/>
  <c r="BN87" i="51" s="1"/>
  <c r="Y89" i="51"/>
  <c r="BP89" i="51" s="1"/>
  <c r="U89" i="51"/>
  <c r="BL89" i="51" s="1"/>
  <c r="X89" i="51"/>
  <c r="BO89" i="51" s="1"/>
  <c r="T89" i="51"/>
  <c r="BK89" i="51" s="1"/>
  <c r="W89" i="51"/>
  <c r="BN89" i="51" s="1"/>
  <c r="Y91" i="51"/>
  <c r="BP91" i="51" s="1"/>
  <c r="U91" i="51"/>
  <c r="BL91" i="51" s="1"/>
  <c r="X91" i="51"/>
  <c r="BO91" i="51" s="1"/>
  <c r="T91" i="51"/>
  <c r="BK91" i="51" s="1"/>
  <c r="W91" i="51"/>
  <c r="BN91" i="51" s="1"/>
  <c r="K92" i="51"/>
  <c r="BB92" i="51" s="1"/>
  <c r="G92" i="51"/>
  <c r="AX92" i="51" s="1"/>
  <c r="J92" i="51"/>
  <c r="BA92" i="51" s="1"/>
  <c r="F92" i="51"/>
  <c r="AW92" i="51" s="1"/>
  <c r="I92" i="51"/>
  <c r="AZ92" i="51" s="1"/>
  <c r="H92" i="51"/>
  <c r="AY92" i="51" s="1"/>
  <c r="AM92" i="51"/>
  <c r="CD92" i="51" s="1"/>
  <c r="AI92" i="51"/>
  <c r="AJ92" i="51"/>
  <c r="CA92" i="51" s="1"/>
  <c r="AH92" i="51"/>
  <c r="BY92" i="51" s="1"/>
  <c r="AL92" i="51"/>
  <c r="CC92" i="51" s="1"/>
  <c r="AK92" i="51"/>
  <c r="CB92" i="51" s="1"/>
  <c r="V93" i="51"/>
  <c r="BM93" i="51" s="1"/>
  <c r="Y93" i="51"/>
  <c r="BP93" i="51" s="1"/>
  <c r="U93" i="51"/>
  <c r="BL93" i="51" s="1"/>
  <c r="X93" i="51"/>
  <c r="BO93" i="51" s="1"/>
  <c r="W93" i="51"/>
  <c r="BN93" i="51" s="1"/>
  <c r="T93" i="51"/>
  <c r="BK93" i="51" s="1"/>
  <c r="I98" i="51"/>
  <c r="AZ98" i="51" s="1"/>
  <c r="K98" i="51"/>
  <c r="BB98" i="51" s="1"/>
  <c r="F98" i="51"/>
  <c r="AW98" i="51" s="1"/>
  <c r="J98" i="51"/>
  <c r="BA98" i="51" s="1"/>
  <c r="H98" i="51"/>
  <c r="AY98" i="51" s="1"/>
  <c r="AK98" i="51"/>
  <c r="CB98" i="51" s="1"/>
  <c r="AJ98" i="51"/>
  <c r="CA98" i="51" s="1"/>
  <c r="AI98" i="51"/>
  <c r="BZ98" i="51" s="1"/>
  <c r="AM98" i="51"/>
  <c r="CD98" i="51" s="1"/>
  <c r="AL98" i="51"/>
  <c r="CC98" i="51" s="1"/>
  <c r="AH98" i="51"/>
  <c r="BY98" i="51" s="1"/>
  <c r="I100" i="51"/>
  <c r="AZ100" i="51" s="1"/>
  <c r="J100" i="51"/>
  <c r="BA100" i="51" s="1"/>
  <c r="H100" i="51"/>
  <c r="AY100" i="51" s="1"/>
  <c r="K100" i="51"/>
  <c r="BB100" i="51" s="1"/>
  <c r="G100" i="51"/>
  <c r="AX100" i="51" s="1"/>
  <c r="AJ100" i="51"/>
  <c r="CA100" i="51" s="1"/>
  <c r="AI100" i="51"/>
  <c r="BZ100" i="51" s="1"/>
  <c r="AM100" i="51"/>
  <c r="CD100" i="51" s="1"/>
  <c r="AH100" i="51"/>
  <c r="BY100" i="51" s="1"/>
  <c r="AL100" i="51"/>
  <c r="CC100" i="51" s="1"/>
  <c r="AK100" i="51"/>
  <c r="CB100" i="51" s="1"/>
  <c r="V101" i="51"/>
  <c r="BM101" i="51" s="1"/>
  <c r="X101" i="51"/>
  <c r="BO101" i="51" s="1"/>
  <c r="W101" i="51"/>
  <c r="BN101" i="51" s="1"/>
  <c r="U101" i="51"/>
  <c r="BL101" i="51" s="1"/>
  <c r="T101" i="51"/>
  <c r="BK101" i="51" s="1"/>
  <c r="Y101" i="51"/>
  <c r="BP101" i="51" s="1"/>
  <c r="H102" i="51"/>
  <c r="AY102" i="51" s="1"/>
  <c r="G102" i="51"/>
  <c r="AX102" i="51" s="1"/>
  <c r="K102" i="51"/>
  <c r="BB102" i="51" s="1"/>
  <c r="F102" i="51"/>
  <c r="AW102" i="51" s="1"/>
  <c r="I102" i="51"/>
  <c r="AZ102" i="51" s="1"/>
  <c r="J102" i="51"/>
  <c r="BA102" i="51" s="1"/>
  <c r="AJ102" i="51"/>
  <c r="CA102" i="51" s="1"/>
  <c r="AL102" i="51"/>
  <c r="CC102" i="51" s="1"/>
  <c r="AK102" i="51"/>
  <c r="CB102" i="51" s="1"/>
  <c r="AM102" i="51"/>
  <c r="CD102" i="51" s="1"/>
  <c r="AI102" i="51"/>
  <c r="BZ102" i="51" s="1"/>
  <c r="AH102" i="51"/>
  <c r="BY102" i="51" s="1"/>
  <c r="V103" i="51"/>
  <c r="BM103" i="51" s="1"/>
  <c r="U103" i="51"/>
  <c r="BL103" i="51" s="1"/>
  <c r="Y103" i="51"/>
  <c r="BP103" i="51" s="1"/>
  <c r="T103" i="51"/>
  <c r="BK103" i="51" s="1"/>
  <c r="X103" i="51"/>
  <c r="BO103" i="51" s="1"/>
  <c r="W103" i="51"/>
  <c r="BN103" i="51" s="1"/>
  <c r="H104" i="51"/>
  <c r="AY104" i="51" s="1"/>
  <c r="J104" i="51"/>
  <c r="BA104" i="51" s="1"/>
  <c r="I104" i="51"/>
  <c r="AZ104" i="51" s="1"/>
  <c r="G104" i="51"/>
  <c r="AX104" i="51" s="1"/>
  <c r="F104" i="51"/>
  <c r="AW104" i="51" s="1"/>
  <c r="K104" i="51"/>
  <c r="BB104" i="51" s="1"/>
  <c r="AJ104" i="51"/>
  <c r="CA104" i="51" s="1"/>
  <c r="AI104" i="51"/>
  <c r="AM104" i="51"/>
  <c r="CD104" i="51" s="1"/>
  <c r="AH104" i="51"/>
  <c r="BY104" i="51" s="1"/>
  <c r="AK104" i="51"/>
  <c r="CB104" i="51" s="1"/>
  <c r="AL104" i="51"/>
  <c r="CC104" i="51" s="1"/>
  <c r="V105" i="51"/>
  <c r="BM105" i="51" s="1"/>
  <c r="X105" i="51"/>
  <c r="BO105" i="51" s="1"/>
  <c r="W105" i="51"/>
  <c r="BN105" i="51" s="1"/>
  <c r="Y105" i="51"/>
  <c r="BP105" i="51" s="1"/>
  <c r="U105" i="51"/>
  <c r="BL105" i="51" s="1"/>
  <c r="H106" i="51"/>
  <c r="AY106" i="51" s="1"/>
  <c r="G106" i="51"/>
  <c r="AX106" i="51" s="1"/>
  <c r="K106" i="51"/>
  <c r="BB106" i="51" s="1"/>
  <c r="F106" i="51"/>
  <c r="AW106" i="51" s="1"/>
  <c r="J106" i="51"/>
  <c r="BA106" i="51" s="1"/>
  <c r="I106" i="51"/>
  <c r="AZ106" i="51" s="1"/>
  <c r="AJ106" i="51"/>
  <c r="CA106" i="51" s="1"/>
  <c r="AM106" i="51"/>
  <c r="CD106" i="51" s="1"/>
  <c r="AI106" i="51"/>
  <c r="AK106" i="51"/>
  <c r="CB106" i="51" s="1"/>
  <c r="AH106" i="51"/>
  <c r="BY106" i="51" s="1"/>
  <c r="AL106" i="51"/>
  <c r="CC106" i="51" s="1"/>
  <c r="V107" i="51"/>
  <c r="BM107" i="51" s="1"/>
  <c r="Y107" i="51"/>
  <c r="BP107" i="51" s="1"/>
  <c r="U107" i="51"/>
  <c r="BL107" i="51" s="1"/>
  <c r="X107" i="51"/>
  <c r="BO107" i="51" s="1"/>
  <c r="W107" i="51"/>
  <c r="BN107" i="51" s="1"/>
  <c r="T107" i="51"/>
  <c r="BK107" i="51" s="1"/>
  <c r="H108" i="51"/>
  <c r="AY108" i="51" s="1"/>
  <c r="K108" i="51"/>
  <c r="BB108" i="51" s="1"/>
  <c r="G108" i="51"/>
  <c r="AX108" i="51" s="1"/>
  <c r="J108" i="51"/>
  <c r="BA108" i="51" s="1"/>
  <c r="I108" i="51"/>
  <c r="AZ108" i="51" s="1"/>
  <c r="F108" i="51"/>
  <c r="AW108" i="51" s="1"/>
  <c r="AJ108" i="51"/>
  <c r="CA108" i="51" s="1"/>
  <c r="AM108" i="51"/>
  <c r="CD108" i="51" s="1"/>
  <c r="AI108" i="51"/>
  <c r="BZ108" i="51" s="1"/>
  <c r="AL108" i="51"/>
  <c r="CC108" i="51" s="1"/>
  <c r="AK108" i="51"/>
  <c r="CB108" i="51" s="1"/>
  <c r="AH108" i="51"/>
  <c r="BY108" i="51" s="1"/>
  <c r="AK82" i="51"/>
  <c r="CB82" i="51" s="1"/>
  <c r="AG83" i="51"/>
  <c r="BX83" i="51" s="1"/>
  <c r="G98" i="51"/>
  <c r="AX98" i="51" s="1"/>
  <c r="T105" i="51"/>
  <c r="BK105" i="51" s="1"/>
  <c r="Q91" i="51"/>
  <c r="BH91" i="51" s="1"/>
  <c r="M91" i="51"/>
  <c r="BD91" i="51" s="1"/>
  <c r="P91" i="51"/>
  <c r="BG91" i="51" s="1"/>
  <c r="R91" i="51"/>
  <c r="BI91" i="51" s="1"/>
  <c r="O91" i="51"/>
  <c r="BF91" i="51" s="1"/>
  <c r="AS91" i="51"/>
  <c r="CJ91" i="51" s="1"/>
  <c r="AO91" i="51"/>
  <c r="CF91" i="51" s="1"/>
  <c r="AR91" i="51"/>
  <c r="CI91" i="51" s="1"/>
  <c r="AQ91" i="51"/>
  <c r="CH91" i="51" s="1"/>
  <c r="AP91" i="51"/>
  <c r="CG91" i="51" s="1"/>
  <c r="AE92" i="51"/>
  <c r="BV92" i="51" s="1"/>
  <c r="AA92" i="51"/>
  <c r="AD92" i="51"/>
  <c r="BU92" i="51" s="1"/>
  <c r="AC92" i="51"/>
  <c r="BT92" i="51" s="1"/>
  <c r="AB92" i="51"/>
  <c r="BS92" i="51" s="1"/>
  <c r="R93" i="51"/>
  <c r="BI93" i="51" s="1"/>
  <c r="N93" i="51"/>
  <c r="BE93" i="51" s="1"/>
  <c r="Q93" i="51"/>
  <c r="BH93" i="51" s="1"/>
  <c r="M93" i="51"/>
  <c r="BD93" i="51" s="1"/>
  <c r="P93" i="51"/>
  <c r="BG93" i="51" s="1"/>
  <c r="O93" i="51"/>
  <c r="BF93" i="51" s="1"/>
  <c r="AT93" i="51"/>
  <c r="CK93" i="51" s="1"/>
  <c r="AP93" i="51"/>
  <c r="CG93" i="51" s="1"/>
  <c r="AS93" i="51"/>
  <c r="CJ93" i="51" s="1"/>
  <c r="AO93" i="51"/>
  <c r="CF93" i="51" s="1"/>
  <c r="AR93" i="51"/>
  <c r="CI93" i="51" s="1"/>
  <c r="AQ93" i="51"/>
  <c r="CH93" i="51" s="1"/>
  <c r="AC98" i="51"/>
  <c r="BT98" i="51" s="1"/>
  <c r="AF98" i="51"/>
  <c r="BW98" i="51" s="1"/>
  <c r="AA98" i="51"/>
  <c r="AE98" i="51"/>
  <c r="BV98" i="51" s="1"/>
  <c r="AD98" i="51"/>
  <c r="BU98" i="51" s="1"/>
  <c r="AB98" i="51"/>
  <c r="BS98" i="51" s="1"/>
  <c r="AF100" i="51"/>
  <c r="BW100" i="51" s="1"/>
  <c r="AB100" i="51"/>
  <c r="BS100" i="51" s="1"/>
  <c r="AD100" i="51"/>
  <c r="BU100" i="51" s="1"/>
  <c r="AC100" i="51"/>
  <c r="BT100" i="51" s="1"/>
  <c r="AE100" i="51"/>
  <c r="BV100" i="51" s="1"/>
  <c r="AA100" i="51"/>
  <c r="BR100" i="51" s="1"/>
  <c r="R101" i="51"/>
  <c r="BI101" i="51" s="1"/>
  <c r="N101" i="51"/>
  <c r="BE101" i="51" s="1"/>
  <c r="M101" i="51"/>
  <c r="BD101" i="51" s="1"/>
  <c r="Q101" i="51"/>
  <c r="BH101" i="51" s="1"/>
  <c r="O101" i="51"/>
  <c r="BF101" i="51" s="1"/>
  <c r="P101" i="51"/>
  <c r="BG101" i="51" s="1"/>
  <c r="AT101" i="51"/>
  <c r="CK101" i="51" s="1"/>
  <c r="AP101" i="51"/>
  <c r="CG101" i="51" s="1"/>
  <c r="AR101" i="51"/>
  <c r="CI101" i="51" s="1"/>
  <c r="AQ101" i="51"/>
  <c r="CH101" i="51" s="1"/>
  <c r="AS101" i="51"/>
  <c r="CJ101" i="51" s="1"/>
  <c r="AO101" i="51"/>
  <c r="CF101" i="51" s="1"/>
  <c r="AF102" i="51"/>
  <c r="BW102" i="51" s="1"/>
  <c r="AB102" i="51"/>
  <c r="AA102" i="51"/>
  <c r="AE102" i="51"/>
  <c r="BV102" i="51" s="1"/>
  <c r="AD102" i="51"/>
  <c r="BU102" i="51" s="1"/>
  <c r="AC102" i="51"/>
  <c r="BT102" i="51" s="1"/>
  <c r="R103" i="51"/>
  <c r="BI103" i="51" s="1"/>
  <c r="N103" i="51"/>
  <c r="BE103" i="51" s="1"/>
  <c r="P103" i="51"/>
  <c r="BG103" i="51" s="1"/>
  <c r="O103" i="51"/>
  <c r="BF103" i="51" s="1"/>
  <c r="Q103" i="51"/>
  <c r="BH103" i="51" s="1"/>
  <c r="M103" i="51"/>
  <c r="BD103" i="51" s="1"/>
  <c r="AF104" i="51"/>
  <c r="BW104" i="51" s="1"/>
  <c r="AB104" i="51"/>
  <c r="BS104" i="51" s="1"/>
  <c r="AD104" i="51"/>
  <c r="BU104" i="51" s="1"/>
  <c r="AC104" i="51"/>
  <c r="BT104" i="51" s="1"/>
  <c r="AE104" i="51"/>
  <c r="BV104" i="51" s="1"/>
  <c r="AA104" i="51"/>
  <c r="R105" i="51"/>
  <c r="BI105" i="51" s="1"/>
  <c r="N105" i="51"/>
  <c r="BE105" i="51" s="1"/>
  <c r="M105" i="51"/>
  <c r="BD105" i="51" s="1"/>
  <c r="Q105" i="51"/>
  <c r="BH105" i="51" s="1"/>
  <c r="P105" i="51"/>
  <c r="BG105" i="51" s="1"/>
  <c r="O105" i="51"/>
  <c r="BF105" i="51" s="1"/>
  <c r="AF106" i="51"/>
  <c r="BW106" i="51" s="1"/>
  <c r="AB106" i="51"/>
  <c r="AE106" i="51"/>
  <c r="BV106" i="51" s="1"/>
  <c r="AA106" i="51"/>
  <c r="AC106" i="51"/>
  <c r="BT106" i="51" s="1"/>
  <c r="AD106" i="51"/>
  <c r="BU106" i="51" s="1"/>
  <c r="AF108" i="51"/>
  <c r="BW108" i="51" s="1"/>
  <c r="AB108" i="51"/>
  <c r="BS108" i="51" s="1"/>
  <c r="AE108" i="51"/>
  <c r="BV108" i="51" s="1"/>
  <c r="AA108" i="51"/>
  <c r="AD108" i="51"/>
  <c r="BU108" i="51" s="1"/>
  <c r="AC108" i="51"/>
  <c r="BT108" i="51" s="1"/>
  <c r="H86" i="51"/>
  <c r="AY86" i="51" s="1"/>
  <c r="V87" i="51"/>
  <c r="BM87" i="51" s="1"/>
  <c r="V91" i="51"/>
  <c r="BM91" i="51" s="1"/>
  <c r="AT91" i="51"/>
  <c r="CK91" i="51" s="1"/>
  <c r="F100" i="51"/>
  <c r="AW100" i="51" s="1"/>
  <c r="AN94" i="51"/>
  <c r="CE94" i="51" s="1"/>
  <c r="AI81" i="62"/>
  <c r="BZ81" i="62" s="1"/>
  <c r="AH80" i="62"/>
  <c r="AA83" i="62"/>
  <c r="BR83" i="62" s="1"/>
  <c r="F61" i="62"/>
  <c r="AW61" i="62" s="1"/>
  <c r="AH61" i="62"/>
  <c r="BY61" i="62" s="1"/>
  <c r="AB63" i="62"/>
  <c r="BS63" i="62" s="1"/>
  <c r="F64" i="62"/>
  <c r="AW64" i="62" s="1"/>
  <c r="AH64" i="62"/>
  <c r="BY64" i="62" s="1"/>
  <c r="AB66" i="62"/>
  <c r="BS66" i="62" s="1"/>
  <c r="T71" i="62"/>
  <c r="BK71" i="62" s="1"/>
  <c r="N72" i="62"/>
  <c r="BE72" i="62" s="1"/>
  <c r="T74" i="62"/>
  <c r="BK74" i="62" s="1"/>
  <c r="AI75" i="62"/>
  <c r="BZ75" i="62" s="1"/>
  <c r="AH74" i="62"/>
  <c r="BY74" i="62" s="1"/>
  <c r="G81" i="62"/>
  <c r="AX81" i="62" s="1"/>
  <c r="F80" i="62"/>
  <c r="AW80" i="62" s="1"/>
  <c r="N84" i="62"/>
  <c r="BE84" i="62" s="1"/>
  <c r="N101" i="62"/>
  <c r="BE101" i="62" s="1"/>
  <c r="AI102" i="62"/>
  <c r="U156" i="62"/>
  <c r="T154" i="62"/>
  <c r="BK154" i="62" s="1"/>
  <c r="AB157" i="62"/>
  <c r="BS157" i="62" s="1"/>
  <c r="AA154" i="62"/>
  <c r="BR154" i="62" s="1"/>
  <c r="AA74" i="62"/>
  <c r="BR74" i="62" s="1"/>
  <c r="N75" i="62"/>
  <c r="BE75" i="62" s="1"/>
  <c r="T83" i="62"/>
  <c r="T94" i="62"/>
  <c r="BK94" i="62" s="1"/>
  <c r="U95" i="62"/>
  <c r="BL95" i="62" s="1"/>
  <c r="AH83" i="62"/>
  <c r="BY83" i="62" s="1"/>
  <c r="AI86" i="62"/>
  <c r="M94" i="62"/>
  <c r="BD94" i="62" s="1"/>
  <c r="AA94" i="62"/>
  <c r="BR94" i="62" s="1"/>
  <c r="AB96" i="62"/>
  <c r="BS96" i="62" s="1"/>
  <c r="AB101" i="62"/>
  <c r="BS101" i="62" s="1"/>
  <c r="T99" i="62"/>
  <c r="BK99" i="62" s="1"/>
  <c r="AH154" i="62"/>
  <c r="BY154" i="62" s="1"/>
  <c r="F83" i="62"/>
  <c r="AW83" i="62" s="1"/>
  <c r="U100" i="62"/>
  <c r="BL100" i="62" s="1"/>
  <c r="M154" i="62"/>
  <c r="BD154" i="62" s="1"/>
  <c r="F154" i="62"/>
  <c r="AW154" i="62" s="1"/>
  <c r="AH11" i="62" l="1"/>
  <c r="BY11" i="62" s="1"/>
  <c r="G221" i="50"/>
  <c r="AS221" i="50" s="1"/>
  <c r="AS9" i="62"/>
  <c r="AE9" i="62"/>
  <c r="AL9" i="62" s="1"/>
  <c r="AI61" i="62"/>
  <c r="BZ61" i="62" s="1"/>
  <c r="G64" i="62"/>
  <c r="AX64" i="62" s="1"/>
  <c r="V65" i="62"/>
  <c r="BM65" i="62" s="1"/>
  <c r="AF9" i="62"/>
  <c r="AM9" i="62" s="1"/>
  <c r="V75" i="62"/>
  <c r="BM75" i="62" s="1"/>
  <c r="H163" i="62"/>
  <c r="AY163" i="62" s="1"/>
  <c r="AJ95" i="62"/>
  <c r="CA95" i="62" s="1"/>
  <c r="AB115" i="50"/>
  <c r="AB112" i="50"/>
  <c r="G71" i="62"/>
  <c r="AX71" i="62" s="1"/>
  <c r="H100" i="62"/>
  <c r="AY100" i="62" s="1"/>
  <c r="V84" i="62"/>
  <c r="BM84" i="62" s="1"/>
  <c r="U64" i="62"/>
  <c r="BL64" i="62" s="1"/>
  <c r="H65" i="62"/>
  <c r="AY65" i="62" s="1"/>
  <c r="AB123" i="50"/>
  <c r="AB82" i="50"/>
  <c r="AI115" i="50"/>
  <c r="AB9" i="62"/>
  <c r="AI9" i="62" s="1"/>
  <c r="AT10" i="51"/>
  <c r="AQ10" i="51"/>
  <c r="BY80" i="62"/>
  <c r="AH79" i="62"/>
  <c r="AG11" i="62"/>
  <c r="BX11" i="62" s="1"/>
  <c r="X11" i="62"/>
  <c r="BO11" i="62" s="1"/>
  <c r="AB52" i="50"/>
  <c r="BN52" i="50" s="1"/>
  <c r="BS102" i="51"/>
  <c r="AC128" i="50"/>
  <c r="BN128" i="50"/>
  <c r="AJ112" i="50"/>
  <c r="BU112" i="50"/>
  <c r="AB55" i="50"/>
  <c r="BN55" i="50" s="1"/>
  <c r="BS105" i="51"/>
  <c r="AC120" i="50"/>
  <c r="BN120" i="50"/>
  <c r="AR9" i="62"/>
  <c r="AI64" i="62"/>
  <c r="BZ64" i="62" s="1"/>
  <c r="AH149" i="50"/>
  <c r="BY93" i="51"/>
  <c r="AA39" i="50"/>
  <c r="BM39" i="50" s="1"/>
  <c r="BR68" i="51"/>
  <c r="AB143" i="50"/>
  <c r="BN143" i="50" s="1"/>
  <c r="BS86" i="51"/>
  <c r="AH36" i="50"/>
  <c r="BT36" i="50" s="1"/>
  <c r="BY62" i="51"/>
  <c r="AI135" i="50"/>
  <c r="BU135" i="50" s="1"/>
  <c r="BZ73" i="51"/>
  <c r="AC119" i="50"/>
  <c r="BN119" i="50"/>
  <c r="Y11" i="62"/>
  <c r="BP11" i="62" s="1"/>
  <c r="AC27" i="50"/>
  <c r="BN27" i="50"/>
  <c r="AJ120" i="50"/>
  <c r="BU120" i="50"/>
  <c r="AC34" i="50"/>
  <c r="BN34" i="50"/>
  <c r="AC23" i="50"/>
  <c r="BN23" i="50"/>
  <c r="BU10" i="51"/>
  <c r="CB10" i="51" s="1"/>
  <c r="CI10" i="51"/>
  <c r="BT10" i="51"/>
  <c r="CA10" i="51" s="1"/>
  <c r="CH10" i="51"/>
  <c r="CK10" i="51"/>
  <c r="BW10" i="51"/>
  <c r="CD10" i="51" s="1"/>
  <c r="AI43" i="50"/>
  <c r="BU43" i="50" s="1"/>
  <c r="BZ92" i="51"/>
  <c r="AH140" i="50"/>
  <c r="AH160" i="50" s="1"/>
  <c r="BT160" i="50" s="1"/>
  <c r="BY82" i="51"/>
  <c r="AI149" i="50"/>
  <c r="BU149" i="50" s="1"/>
  <c r="BZ93" i="51"/>
  <c r="AJ27" i="50"/>
  <c r="BU27" i="50"/>
  <c r="AA149" i="50"/>
  <c r="AA169" i="50" s="1"/>
  <c r="BR93" i="51"/>
  <c r="AP30" i="51"/>
  <c r="CG30" i="51" s="1"/>
  <c r="CG34" i="51"/>
  <c r="AC26" i="50"/>
  <c r="BN26" i="50"/>
  <c r="AJ119" i="50"/>
  <c r="BU119" i="50"/>
  <c r="AJ31" i="50"/>
  <c r="BU31" i="50"/>
  <c r="AC18" i="50"/>
  <c r="BN18" i="50"/>
  <c r="G83" i="62"/>
  <c r="AX83" i="62" s="1"/>
  <c r="AA59" i="50"/>
  <c r="BR108" i="51"/>
  <c r="AC11" i="50"/>
  <c r="BN11" i="50"/>
  <c r="AA132" i="50"/>
  <c r="BM132" i="50" s="1"/>
  <c r="BR63" i="51"/>
  <c r="AA51" i="50"/>
  <c r="BR101" i="51"/>
  <c r="AA148" i="50"/>
  <c r="BR91" i="51"/>
  <c r="AC126" i="50"/>
  <c r="BN126" i="50"/>
  <c r="V72" i="62"/>
  <c r="BM72" i="62" s="1"/>
  <c r="AI146" i="50"/>
  <c r="BU146" i="50" s="1"/>
  <c r="BZ89" i="51"/>
  <c r="AH39" i="50"/>
  <c r="BT39" i="50" s="1"/>
  <c r="BY68" i="51"/>
  <c r="AB39" i="50"/>
  <c r="BN39" i="50" s="1"/>
  <c r="BS68" i="51"/>
  <c r="AI37" i="50"/>
  <c r="BU37" i="50" s="1"/>
  <c r="BZ65" i="51"/>
  <c r="AH132" i="50"/>
  <c r="AH152" i="50" s="1"/>
  <c r="BT152" i="50" s="1"/>
  <c r="BY63" i="51"/>
  <c r="AB149" i="50"/>
  <c r="BN149" i="50" s="1"/>
  <c r="BS93" i="51"/>
  <c r="AA140" i="50"/>
  <c r="AA160" i="50" s="1"/>
  <c r="BR82" i="51"/>
  <c r="AC115" i="50"/>
  <c r="BN115" i="50"/>
  <c r="AJ25" i="50"/>
  <c r="BU25" i="50"/>
  <c r="AJ115" i="50"/>
  <c r="BU115" i="50"/>
  <c r="AC30" i="50"/>
  <c r="BN30" i="50"/>
  <c r="AJ126" i="50"/>
  <c r="BU126" i="50"/>
  <c r="BR10" i="51"/>
  <c r="BY10" i="51" s="1"/>
  <c r="CF10" i="51"/>
  <c r="AH143" i="50"/>
  <c r="AH163" i="50" s="1"/>
  <c r="BT163" i="50" s="1"/>
  <c r="BY86" i="51"/>
  <c r="AA49" i="50"/>
  <c r="BM49" i="50" s="1"/>
  <c r="BR103" i="51"/>
  <c r="H95" i="62"/>
  <c r="AY95" i="62" s="1"/>
  <c r="AJ65" i="62"/>
  <c r="CA65" i="62" s="1"/>
  <c r="AI36" i="50"/>
  <c r="BU36" i="50" s="1"/>
  <c r="BZ62" i="51"/>
  <c r="AA56" i="50"/>
  <c r="AA81" i="50" s="1"/>
  <c r="BM81" i="50" s="1"/>
  <c r="BR106" i="51"/>
  <c r="AI56" i="50"/>
  <c r="BU56" i="50" s="1"/>
  <c r="BZ106" i="51"/>
  <c r="AA135" i="50"/>
  <c r="BM135" i="50" s="1"/>
  <c r="BR73" i="51"/>
  <c r="AH148" i="50"/>
  <c r="AH168" i="50" s="1"/>
  <c r="BT168" i="50" s="1"/>
  <c r="BY91" i="51"/>
  <c r="AJ34" i="50"/>
  <c r="BU34" i="50"/>
  <c r="AJ23" i="50"/>
  <c r="BU23" i="50"/>
  <c r="AC14" i="50"/>
  <c r="BN14" i="50"/>
  <c r="AC28" i="50"/>
  <c r="BN28" i="50"/>
  <c r="AJ14" i="50"/>
  <c r="BU14" i="50"/>
  <c r="AI53" i="50"/>
  <c r="BU53" i="50" s="1"/>
  <c r="BZ104" i="51"/>
  <c r="AJ30" i="50"/>
  <c r="BU30" i="50"/>
  <c r="AH146" i="50"/>
  <c r="AH166" i="50" s="1"/>
  <c r="BY89" i="51"/>
  <c r="AC112" i="50"/>
  <c r="BN112" i="50"/>
  <c r="AA52" i="50"/>
  <c r="BM52" i="50" s="1"/>
  <c r="BR102" i="51"/>
  <c r="AA48" i="50"/>
  <c r="AA73" i="50" s="1"/>
  <c r="BR98" i="51"/>
  <c r="AI140" i="50"/>
  <c r="BU140" i="50" s="1"/>
  <c r="BZ82" i="51"/>
  <c r="AA143" i="50"/>
  <c r="AA163" i="50" s="1"/>
  <c r="BM163" i="50" s="1"/>
  <c r="BR86" i="51"/>
  <c r="AI132" i="50"/>
  <c r="BU132" i="50" s="1"/>
  <c r="BZ63" i="51"/>
  <c r="AA146" i="50"/>
  <c r="BM146" i="50" s="1"/>
  <c r="BR89" i="51"/>
  <c r="AC129" i="50"/>
  <c r="BN129" i="50"/>
  <c r="AB83" i="50"/>
  <c r="BN83" i="50" s="1"/>
  <c r="AC31" i="50"/>
  <c r="BN31" i="50"/>
  <c r="AJ129" i="50"/>
  <c r="BU129" i="50"/>
  <c r="AC12" i="50"/>
  <c r="BN12" i="50"/>
  <c r="AJ24" i="50"/>
  <c r="BU24" i="50"/>
  <c r="AJ12" i="50"/>
  <c r="BU12" i="50"/>
  <c r="AA53" i="50"/>
  <c r="AA78" i="50" s="1"/>
  <c r="BM78" i="50" s="1"/>
  <c r="BR104" i="51"/>
  <c r="AJ18" i="50"/>
  <c r="BU18" i="50"/>
  <c r="O96" i="62"/>
  <c r="BF96" i="62" s="1"/>
  <c r="AA43" i="50"/>
  <c r="AA68" i="50" s="1"/>
  <c r="BR92" i="51"/>
  <c r="AH139" i="50"/>
  <c r="AH159" i="50" s="1"/>
  <c r="BT159" i="50" s="1"/>
  <c r="BY81" i="51"/>
  <c r="AH135" i="50"/>
  <c r="AH155" i="50" s="1"/>
  <c r="BY73" i="51"/>
  <c r="AC123" i="50"/>
  <c r="BN123" i="50"/>
  <c r="Q11" i="62"/>
  <c r="BH11" i="62" s="1"/>
  <c r="AJ28" i="50"/>
  <c r="BU28" i="50"/>
  <c r="AJ128" i="50"/>
  <c r="BU128" i="50"/>
  <c r="AJ26" i="50"/>
  <c r="BU26" i="50"/>
  <c r="L8" i="50"/>
  <c r="S8" i="50" s="1"/>
  <c r="Z8" i="50" s="1"/>
  <c r="AG8" i="50" s="1"/>
  <c r="AQ8" i="50"/>
  <c r="AX8" i="50" s="1"/>
  <c r="BE8" i="50" s="1"/>
  <c r="BL8" i="50" s="1"/>
  <c r="BS8" i="50" s="1"/>
  <c r="BS10" i="51"/>
  <c r="BZ10" i="51" s="1"/>
  <c r="CG10" i="51"/>
  <c r="CJ10" i="51"/>
  <c r="BV10" i="51"/>
  <c r="CC10" i="51" s="1"/>
  <c r="AB56" i="50"/>
  <c r="BN56" i="50" s="1"/>
  <c r="BS106" i="51"/>
  <c r="AA55" i="50"/>
  <c r="AA80" i="50" s="1"/>
  <c r="BR105" i="51"/>
  <c r="R11" i="62"/>
  <c r="BI11" i="62" s="1"/>
  <c r="AI11" i="50"/>
  <c r="BT11" i="50"/>
  <c r="AC24" i="50"/>
  <c r="BN24" i="50"/>
  <c r="AJ123" i="50"/>
  <c r="BU123" i="50"/>
  <c r="AC25" i="50"/>
  <c r="BN25" i="50"/>
  <c r="AI192" i="50"/>
  <c r="C94" i="67" s="1"/>
  <c r="C127" i="67" s="1"/>
  <c r="AB71" i="62"/>
  <c r="BS71" i="62" s="1"/>
  <c r="AJ62" i="62"/>
  <c r="CA62" i="62" s="1"/>
  <c r="AI49" i="50"/>
  <c r="BU49" i="50" s="1"/>
  <c r="AI51" i="50"/>
  <c r="BU51" i="50" s="1"/>
  <c r="AB37" i="50"/>
  <c r="BN37" i="50" s="1"/>
  <c r="AF11" i="62"/>
  <c r="BW11" i="62" s="1"/>
  <c r="U74" i="62"/>
  <c r="BL74" i="62" s="1"/>
  <c r="AC72" i="62"/>
  <c r="BT72" i="62" s="1"/>
  <c r="AC81" i="62"/>
  <c r="AB234" i="50"/>
  <c r="BN234" i="50" s="1"/>
  <c r="AB49" i="50"/>
  <c r="BN49" i="50" s="1"/>
  <c r="AB146" i="50"/>
  <c r="BN146" i="50" s="1"/>
  <c r="AB79" i="50"/>
  <c r="BN79" i="50" s="1"/>
  <c r="AC174" i="62"/>
  <c r="BT174" i="62" s="1"/>
  <c r="AQ9" i="62"/>
  <c r="AI71" i="62"/>
  <c r="BZ71" i="62" s="1"/>
  <c r="W82" i="62"/>
  <c r="BM82" i="62"/>
  <c r="F255" i="50"/>
  <c r="AR233" i="50"/>
  <c r="AH252" i="50"/>
  <c r="BT230" i="50"/>
  <c r="T246" i="50"/>
  <c r="BF224" i="50"/>
  <c r="O208" i="50"/>
  <c r="AZ208" i="50"/>
  <c r="O198" i="50"/>
  <c r="AZ198" i="50"/>
  <c r="O91" i="62"/>
  <c r="BE91" i="62"/>
  <c r="AC73" i="62"/>
  <c r="BS73" i="62"/>
  <c r="O105" i="62"/>
  <c r="BE105" i="62"/>
  <c r="O108" i="62"/>
  <c r="BE108" i="62"/>
  <c r="AC204" i="50"/>
  <c r="BN204" i="50"/>
  <c r="F253" i="50"/>
  <c r="AR231" i="50"/>
  <c r="T257" i="50"/>
  <c r="BF235" i="50"/>
  <c r="AC89" i="62"/>
  <c r="BS89" i="62"/>
  <c r="H98" i="62"/>
  <c r="AX98" i="62"/>
  <c r="AC211" i="50"/>
  <c r="BN211" i="50"/>
  <c r="O211" i="50"/>
  <c r="AZ211" i="50"/>
  <c r="V90" i="62"/>
  <c r="BL90" i="62"/>
  <c r="AJ72" i="62"/>
  <c r="AH254" i="50"/>
  <c r="BT254" i="50" s="1"/>
  <c r="BT232" i="50"/>
  <c r="F244" i="50"/>
  <c r="AR222" i="50"/>
  <c r="F254" i="50"/>
  <c r="AR232" i="50"/>
  <c r="M249" i="50"/>
  <c r="AY227" i="50"/>
  <c r="AJ198" i="50"/>
  <c r="BU198" i="50"/>
  <c r="L79" i="62"/>
  <c r="BC80" i="62"/>
  <c r="H107" i="62"/>
  <c r="AX107" i="62"/>
  <c r="AA256" i="50"/>
  <c r="BM234" i="50"/>
  <c r="AH257" i="50"/>
  <c r="BT235" i="50"/>
  <c r="AC98" i="62"/>
  <c r="AC48" i="50" s="1"/>
  <c r="BO48" i="50" s="1"/>
  <c r="BS98" i="62"/>
  <c r="H90" i="62"/>
  <c r="AX90" i="62"/>
  <c r="O68" i="62"/>
  <c r="BE68" i="62"/>
  <c r="V105" i="62"/>
  <c r="BL105" i="62"/>
  <c r="AJ193" i="50"/>
  <c r="BU193" i="50"/>
  <c r="V87" i="62"/>
  <c r="BL87" i="62"/>
  <c r="H84" i="62"/>
  <c r="AX84" i="62"/>
  <c r="AJ194" i="50"/>
  <c r="BU194" i="50"/>
  <c r="AC100" i="62"/>
  <c r="BS100" i="62"/>
  <c r="H68" i="62"/>
  <c r="AX68" i="62"/>
  <c r="AC197" i="50"/>
  <c r="BN197" i="50"/>
  <c r="AC104" i="62"/>
  <c r="BS104" i="62"/>
  <c r="M253" i="50"/>
  <c r="AY253" i="50" s="1"/>
  <c r="AY231" i="50"/>
  <c r="G212" i="50"/>
  <c r="AR212" i="50"/>
  <c r="AH242" i="50"/>
  <c r="BT220" i="50"/>
  <c r="T244" i="50"/>
  <c r="BF222" i="50"/>
  <c r="AH247" i="50"/>
  <c r="BT247" i="50" s="1"/>
  <c r="BT225" i="50"/>
  <c r="M252" i="50"/>
  <c r="AY230" i="50"/>
  <c r="F241" i="50"/>
  <c r="F263" i="50" s="1"/>
  <c r="AR263" i="50" s="1"/>
  <c r="AR219" i="50"/>
  <c r="M242" i="50"/>
  <c r="AY220" i="50"/>
  <c r="T241" i="50"/>
  <c r="BF219" i="50"/>
  <c r="AA240" i="50"/>
  <c r="BM218" i="50"/>
  <c r="AA252" i="50"/>
  <c r="BM230" i="50"/>
  <c r="H75" i="62"/>
  <c r="AX75" i="62"/>
  <c r="N216" i="50"/>
  <c r="BE156" i="62"/>
  <c r="T11" i="62"/>
  <c r="BK11" i="62" s="1"/>
  <c r="BK18" i="62"/>
  <c r="H11" i="62"/>
  <c r="AY11" i="62" s="1"/>
  <c r="AY30" i="62"/>
  <c r="O212" i="50"/>
  <c r="AZ212" i="50"/>
  <c r="V204" i="50"/>
  <c r="BG204" i="50"/>
  <c r="AJ196" i="50"/>
  <c r="BU196" i="50"/>
  <c r="H198" i="50"/>
  <c r="AS198" i="50"/>
  <c r="H106" i="62"/>
  <c r="AX106" i="62"/>
  <c r="AC95" i="62"/>
  <c r="BS95" i="62"/>
  <c r="AC88" i="62"/>
  <c r="BS88" i="62"/>
  <c r="O78" i="62"/>
  <c r="BE78" i="62"/>
  <c r="V68" i="62"/>
  <c r="BL68" i="62"/>
  <c r="V209" i="50"/>
  <c r="BG209" i="50"/>
  <c r="AH255" i="50"/>
  <c r="BT233" i="50"/>
  <c r="AJ103" i="62"/>
  <c r="AJ49" i="50" s="1"/>
  <c r="BV49" i="50" s="1"/>
  <c r="BZ103" i="62"/>
  <c r="AJ84" i="62"/>
  <c r="BZ84" i="62"/>
  <c r="V194" i="50"/>
  <c r="BG194" i="50"/>
  <c r="H91" i="62"/>
  <c r="AX91" i="62"/>
  <c r="AJ195" i="50"/>
  <c r="BU195" i="50"/>
  <c r="AJ101" i="62"/>
  <c r="AJ51" i="50" s="1"/>
  <c r="BV51" i="50" s="1"/>
  <c r="BZ101" i="62"/>
  <c r="AC195" i="50"/>
  <c r="BN195" i="50"/>
  <c r="AJ93" i="62"/>
  <c r="AJ149" i="50" s="1"/>
  <c r="BV149" i="50" s="1"/>
  <c r="BZ93" i="62"/>
  <c r="O66" i="62"/>
  <c r="BE66" i="62"/>
  <c r="V195" i="50"/>
  <c r="BG195" i="50"/>
  <c r="H173" i="62"/>
  <c r="AX173" i="62"/>
  <c r="AC213" i="50"/>
  <c r="BN213" i="50"/>
  <c r="H206" i="50"/>
  <c r="AS206" i="50"/>
  <c r="AC198" i="50"/>
  <c r="BN198" i="50"/>
  <c r="M256" i="50"/>
  <c r="AY234" i="50"/>
  <c r="AH249" i="50"/>
  <c r="BT227" i="50"/>
  <c r="AH241" i="50"/>
  <c r="BT219" i="50"/>
  <c r="O104" i="62"/>
  <c r="BE104" i="62"/>
  <c r="H97" i="62"/>
  <c r="AX97" i="62"/>
  <c r="V88" i="62"/>
  <c r="BL88" i="62"/>
  <c r="O76" i="62"/>
  <c r="BE76" i="62"/>
  <c r="AC65" i="62"/>
  <c r="AC37" i="50" s="1"/>
  <c r="BO37" i="50" s="1"/>
  <c r="BS65" i="62"/>
  <c r="V207" i="50"/>
  <c r="BG207" i="50"/>
  <c r="AA244" i="50"/>
  <c r="BM222" i="50"/>
  <c r="O98" i="62"/>
  <c r="BE98" i="62"/>
  <c r="H72" i="62"/>
  <c r="AX72" i="62"/>
  <c r="H209" i="50"/>
  <c r="AS209" i="50"/>
  <c r="AJ106" i="62"/>
  <c r="AJ56" i="50" s="1"/>
  <c r="BV56" i="50" s="1"/>
  <c r="BZ106" i="62"/>
  <c r="AJ87" i="62"/>
  <c r="BZ87" i="62"/>
  <c r="AC106" i="62"/>
  <c r="AC56" i="50" s="1"/>
  <c r="BO56" i="50" s="1"/>
  <c r="BS106" i="62"/>
  <c r="AJ104" i="62"/>
  <c r="AJ53" i="50" s="1"/>
  <c r="BV53" i="50" s="1"/>
  <c r="BZ104" i="62"/>
  <c r="H82" i="62"/>
  <c r="AX82" i="62"/>
  <c r="AC193" i="50"/>
  <c r="BN193" i="50"/>
  <c r="AJ63" i="62"/>
  <c r="BZ63" i="62"/>
  <c r="AC207" i="50"/>
  <c r="BN207" i="50"/>
  <c r="O200" i="50"/>
  <c r="AZ200" i="50"/>
  <c r="AC105" i="62"/>
  <c r="BS105" i="62"/>
  <c r="V98" i="62"/>
  <c r="BL98" i="62"/>
  <c r="V91" i="62"/>
  <c r="BL91" i="62"/>
  <c r="H85" i="62"/>
  <c r="AX85" i="62"/>
  <c r="H76" i="62"/>
  <c r="AX76" i="62"/>
  <c r="AC205" i="50"/>
  <c r="BN205" i="50"/>
  <c r="H161" i="62"/>
  <c r="AX161" i="62"/>
  <c r="AJ66" i="62"/>
  <c r="BZ66" i="62"/>
  <c r="V205" i="50"/>
  <c r="BG205" i="50"/>
  <c r="V89" i="62"/>
  <c r="BL89" i="62"/>
  <c r="AJ212" i="50"/>
  <c r="BU212" i="50"/>
  <c r="O194" i="50"/>
  <c r="AZ194" i="50"/>
  <c r="H159" i="62"/>
  <c r="AX159" i="62"/>
  <c r="H86" i="62"/>
  <c r="AX86" i="62"/>
  <c r="AC62" i="62"/>
  <c r="AC36" i="50" s="1"/>
  <c r="BO36" i="50" s="1"/>
  <c r="BS62" i="62"/>
  <c r="O201" i="50"/>
  <c r="AZ201" i="50"/>
  <c r="H108" i="62"/>
  <c r="AX108" i="62"/>
  <c r="AJ70" i="62"/>
  <c r="BZ70" i="62"/>
  <c r="O197" i="50"/>
  <c r="AZ197" i="50"/>
  <c r="V97" i="62"/>
  <c r="BL97" i="62"/>
  <c r="AC85" i="62"/>
  <c r="BS85" i="62"/>
  <c r="AC68" i="62"/>
  <c r="AC39" i="50" s="1"/>
  <c r="BO39" i="50" s="1"/>
  <c r="BS68" i="62"/>
  <c r="U216" i="50"/>
  <c r="BG216" i="50" s="1"/>
  <c r="BL156" i="62"/>
  <c r="G199" i="50"/>
  <c r="AR199" i="50"/>
  <c r="F250" i="50"/>
  <c r="AR228" i="50"/>
  <c r="G201" i="50"/>
  <c r="AR201" i="50"/>
  <c r="AC164" i="62"/>
  <c r="BS164" i="62"/>
  <c r="O62" i="62"/>
  <c r="BF62" i="62" s="1"/>
  <c r="BE62" i="62"/>
  <c r="AB11" i="62"/>
  <c r="BS11" i="62" s="1"/>
  <c r="BS18" i="62"/>
  <c r="AM11" i="62"/>
  <c r="CD11" i="62" s="1"/>
  <c r="CD18" i="62"/>
  <c r="AJ86" i="62"/>
  <c r="AJ143" i="50" s="1"/>
  <c r="BV143" i="50" s="1"/>
  <c r="BZ86" i="62"/>
  <c r="T79" i="62"/>
  <c r="BK79" i="62" s="1"/>
  <c r="BK83" i="62"/>
  <c r="G208" i="50"/>
  <c r="AR208" i="50"/>
  <c r="AA245" i="50"/>
  <c r="BM223" i="50"/>
  <c r="T247" i="50"/>
  <c r="BF225" i="50"/>
  <c r="AH248" i="50"/>
  <c r="BT226" i="50"/>
  <c r="AH243" i="50"/>
  <c r="BT221" i="50"/>
  <c r="U61" i="62"/>
  <c r="BL61" i="62" s="1"/>
  <c r="BL62" i="62"/>
  <c r="AB222" i="50"/>
  <c r="BS162" i="62"/>
  <c r="AC82" i="62"/>
  <c r="AC140" i="50" s="1"/>
  <c r="BO140" i="50" s="1"/>
  <c r="BS82" i="62"/>
  <c r="V193" i="50"/>
  <c r="BG193" i="50"/>
  <c r="AC203" i="50"/>
  <c r="BN203" i="50"/>
  <c r="AJ204" i="50"/>
  <c r="BU204" i="50"/>
  <c r="AA248" i="50"/>
  <c r="BM226" i="50"/>
  <c r="AJ107" i="62"/>
  <c r="BZ107" i="62"/>
  <c r="V202" i="50"/>
  <c r="BG202" i="50"/>
  <c r="H197" i="50"/>
  <c r="AS197" i="50"/>
  <c r="V107" i="62"/>
  <c r="BL107" i="62"/>
  <c r="AC91" i="62"/>
  <c r="AC148" i="50" s="1"/>
  <c r="BO148" i="50" s="1"/>
  <c r="BS91" i="62"/>
  <c r="V81" i="62"/>
  <c r="BL81" i="62"/>
  <c r="O70" i="62"/>
  <c r="BE70" i="62"/>
  <c r="S79" i="62"/>
  <c r="BJ80" i="62"/>
  <c r="M244" i="50"/>
  <c r="AY222" i="50"/>
  <c r="O210" i="50"/>
  <c r="AZ210" i="50"/>
  <c r="H204" i="50"/>
  <c r="AS204" i="50"/>
  <c r="H174" i="62"/>
  <c r="AX174" i="62"/>
  <c r="AJ108" i="62"/>
  <c r="AJ59" i="50" s="1"/>
  <c r="BV59" i="50" s="1"/>
  <c r="BZ108" i="62"/>
  <c r="V102" i="62"/>
  <c r="BL102" i="62"/>
  <c r="O95" i="62"/>
  <c r="BE95" i="62"/>
  <c r="O88" i="62"/>
  <c r="BE88" i="62"/>
  <c r="AJ69" i="62"/>
  <c r="BZ69" i="62"/>
  <c r="Z79" i="62"/>
  <c r="BQ80" i="62"/>
  <c r="AC108" i="62"/>
  <c r="BS108" i="62"/>
  <c r="V203" i="50"/>
  <c r="BG203" i="50"/>
  <c r="V103" i="62"/>
  <c r="BL103" i="62"/>
  <c r="O73" i="62"/>
  <c r="BE73" i="62"/>
  <c r="V206" i="50"/>
  <c r="BG206" i="50"/>
  <c r="AC76" i="62"/>
  <c r="BS76" i="62"/>
  <c r="AI148" i="50"/>
  <c r="BG231" i="50"/>
  <c r="T242" i="50"/>
  <c r="BF220" i="50"/>
  <c r="AC166" i="62"/>
  <c r="BT166" i="62" s="1"/>
  <c r="BS166" i="62"/>
  <c r="T249" i="50"/>
  <c r="BF227" i="50"/>
  <c r="M251" i="50"/>
  <c r="AY229" i="50"/>
  <c r="AA241" i="50"/>
  <c r="BM241" i="50" s="1"/>
  <c r="BM219" i="50"/>
  <c r="T248" i="50"/>
  <c r="BF226" i="50"/>
  <c r="T243" i="50"/>
  <c r="BF243" i="50" s="1"/>
  <c r="BF221" i="50"/>
  <c r="M254" i="50"/>
  <c r="AY254" i="50" s="1"/>
  <c r="AY232" i="50"/>
  <c r="AI219" i="50"/>
  <c r="BZ159" i="62"/>
  <c r="N64" i="62"/>
  <c r="BE64" i="62" s="1"/>
  <c r="BE65" i="62"/>
  <c r="BX30" i="62"/>
  <c r="O206" i="50"/>
  <c r="AZ206" i="50"/>
  <c r="AC107" i="62"/>
  <c r="BS107" i="62"/>
  <c r="O90" i="62"/>
  <c r="BE90" i="62"/>
  <c r="V70" i="62"/>
  <c r="BL70" i="62"/>
  <c r="AJ199" i="50"/>
  <c r="BU199" i="50"/>
  <c r="V96" i="62"/>
  <c r="BL96" i="62"/>
  <c r="V69" i="62"/>
  <c r="BL69" i="62"/>
  <c r="V199" i="50"/>
  <c r="BG199" i="50"/>
  <c r="O103" i="62"/>
  <c r="BE103" i="62"/>
  <c r="AJ68" i="62"/>
  <c r="AJ39" i="50" s="1"/>
  <c r="BV39" i="50" s="1"/>
  <c r="BZ68" i="62"/>
  <c r="O199" i="50"/>
  <c r="AZ199" i="50"/>
  <c r="AJ207" i="50"/>
  <c r="BU207" i="50"/>
  <c r="T251" i="50"/>
  <c r="BF229" i="50"/>
  <c r="AJ105" i="62"/>
  <c r="AJ55" i="50" s="1"/>
  <c r="BV55" i="50" s="1"/>
  <c r="BZ105" i="62"/>
  <c r="AJ77" i="62"/>
  <c r="BZ77" i="62"/>
  <c r="AC199" i="50"/>
  <c r="BN199" i="50"/>
  <c r="O82" i="62"/>
  <c r="BE82" i="62"/>
  <c r="AJ202" i="50"/>
  <c r="BU202" i="50"/>
  <c r="T238" i="50"/>
  <c r="BF216" i="50"/>
  <c r="O107" i="62"/>
  <c r="BE107" i="62"/>
  <c r="H93" i="62"/>
  <c r="AX93" i="62"/>
  <c r="AC86" i="62"/>
  <c r="AC143" i="50" s="1"/>
  <c r="BO143" i="50" s="1"/>
  <c r="BS86" i="62"/>
  <c r="AC77" i="62"/>
  <c r="BS77" i="62"/>
  <c r="O102" i="62"/>
  <c r="BE102" i="62"/>
  <c r="O207" i="50"/>
  <c r="AZ207" i="50"/>
  <c r="H156" i="62"/>
  <c r="AX156" i="62"/>
  <c r="O100" i="62"/>
  <c r="BE100" i="62"/>
  <c r="V73" i="62"/>
  <c r="BL73" i="62"/>
  <c r="AC206" i="50"/>
  <c r="BN206" i="50"/>
  <c r="AC78" i="62"/>
  <c r="BS78" i="62"/>
  <c r="AJ200" i="50"/>
  <c r="BU200" i="50"/>
  <c r="O87" i="62"/>
  <c r="BE87" i="62"/>
  <c r="O81" i="62"/>
  <c r="BF81" i="62" s="1"/>
  <c r="AD11" i="62"/>
  <c r="BU11" i="62" s="1"/>
  <c r="AB53" i="50"/>
  <c r="BN53" i="50" s="1"/>
  <c r="AI59" i="50"/>
  <c r="BU59" i="50" s="1"/>
  <c r="AI50" i="50"/>
  <c r="BU50" i="50" s="1"/>
  <c r="AI55" i="50"/>
  <c r="BU55" i="50" s="1"/>
  <c r="G234" i="50"/>
  <c r="AS234" i="50" s="1"/>
  <c r="AA257" i="50"/>
  <c r="BM235" i="50"/>
  <c r="AA249" i="50"/>
  <c r="BM227" i="50"/>
  <c r="O158" i="62"/>
  <c r="BF158" i="62" s="1"/>
  <c r="BE158" i="62"/>
  <c r="E60" i="62"/>
  <c r="AV60" i="62" s="1"/>
  <c r="AV79" i="62"/>
  <c r="N80" i="62"/>
  <c r="BE80" i="62" s="1"/>
  <c r="AI11" i="62"/>
  <c r="BZ11" i="62" s="1"/>
  <c r="U71" i="62"/>
  <c r="T237" i="50"/>
  <c r="F247" i="50"/>
  <c r="AR247" i="50" s="1"/>
  <c r="AR225" i="50"/>
  <c r="F245" i="50"/>
  <c r="AR245" i="50" s="1"/>
  <c r="AR223" i="50"/>
  <c r="M255" i="50"/>
  <c r="AY233" i="50"/>
  <c r="F248" i="50"/>
  <c r="AR226" i="50"/>
  <c r="G194" i="50"/>
  <c r="AR194" i="50"/>
  <c r="AH250" i="50"/>
  <c r="BT228" i="50"/>
  <c r="AH238" i="50"/>
  <c r="BT216" i="50"/>
  <c r="AA253" i="50"/>
  <c r="BM231" i="50"/>
  <c r="M239" i="50"/>
  <c r="AY239" i="50" s="1"/>
  <c r="AY217" i="50"/>
  <c r="AH237" i="50"/>
  <c r="BT215" i="50"/>
  <c r="AB74" i="62"/>
  <c r="BS74" i="62" s="1"/>
  <c r="AA11" i="62"/>
  <c r="BR11" i="62" s="1"/>
  <c r="G61" i="62"/>
  <c r="AX61" i="62" s="1"/>
  <c r="AB43" i="50"/>
  <c r="BN43" i="50" s="1"/>
  <c r="AI48" i="50"/>
  <c r="BU48" i="50" s="1"/>
  <c r="F252" i="50"/>
  <c r="AR230" i="50"/>
  <c r="G202" i="50"/>
  <c r="AR202" i="50"/>
  <c r="G223" i="50"/>
  <c r="AS223" i="50" s="1"/>
  <c r="G207" i="50"/>
  <c r="AR207" i="50"/>
  <c r="F242" i="50"/>
  <c r="AR242" i="50" s="1"/>
  <c r="AR220" i="50"/>
  <c r="T256" i="50"/>
  <c r="BF234" i="50"/>
  <c r="M257" i="50"/>
  <c r="AY257" i="50" s="1"/>
  <c r="AY235" i="50"/>
  <c r="H103" i="62"/>
  <c r="AX103" i="62"/>
  <c r="AA251" i="50"/>
  <c r="BM229" i="50"/>
  <c r="AB216" i="50"/>
  <c r="BN216" i="50" s="1"/>
  <c r="BS156" i="62"/>
  <c r="M245" i="50"/>
  <c r="AY223" i="50"/>
  <c r="AH240" i="50"/>
  <c r="BT218" i="50"/>
  <c r="V175" i="62"/>
  <c r="BM175" i="62" s="1"/>
  <c r="BL175" i="62"/>
  <c r="AI217" i="50"/>
  <c r="BZ157" i="62"/>
  <c r="U223" i="50"/>
  <c r="BL163" i="62"/>
  <c r="V171" i="62"/>
  <c r="BM171" i="62" s="1"/>
  <c r="BL171" i="62"/>
  <c r="AE11" i="62"/>
  <c r="BV11" i="62" s="1"/>
  <c r="BV18" i="62"/>
  <c r="S79" i="51"/>
  <c r="BJ79" i="51" s="1"/>
  <c r="BJ83" i="51"/>
  <c r="F238" i="50"/>
  <c r="AR238" i="50" s="1"/>
  <c r="AR216" i="50"/>
  <c r="AH256" i="50"/>
  <c r="BT234" i="50"/>
  <c r="G203" i="50"/>
  <c r="AR203" i="50"/>
  <c r="AA242" i="50"/>
  <c r="BM220" i="50"/>
  <c r="AJ169" i="62"/>
  <c r="CA169" i="62" s="1"/>
  <c r="BZ169" i="62"/>
  <c r="AJ102" i="62"/>
  <c r="BZ102" i="62"/>
  <c r="F251" i="50"/>
  <c r="F273" i="50" s="1"/>
  <c r="AR273" i="50" s="1"/>
  <c r="AR229" i="50"/>
  <c r="T250" i="50"/>
  <c r="BF228" i="50"/>
  <c r="T240" i="50"/>
  <c r="BF240" i="50" s="1"/>
  <c r="BF218" i="50"/>
  <c r="M243" i="50"/>
  <c r="AY221" i="50"/>
  <c r="U80" i="62"/>
  <c r="BL80" i="62" s="1"/>
  <c r="BL82" i="62"/>
  <c r="AJ167" i="62"/>
  <c r="CA167" i="62" s="1"/>
  <c r="BZ167" i="62"/>
  <c r="AB232" i="50"/>
  <c r="BS172" i="62"/>
  <c r="W11" i="62"/>
  <c r="BN11" i="62" s="1"/>
  <c r="BN18" i="62"/>
  <c r="AC200" i="50"/>
  <c r="BN200" i="50"/>
  <c r="H160" i="62"/>
  <c r="AX160" i="62"/>
  <c r="AJ98" i="62"/>
  <c r="AJ48" i="50" s="1"/>
  <c r="BV48" i="50" s="1"/>
  <c r="BZ98" i="62"/>
  <c r="AJ91" i="62"/>
  <c r="BZ91" i="62"/>
  <c r="V85" i="62"/>
  <c r="BL85" i="62"/>
  <c r="O205" i="50"/>
  <c r="AZ205" i="50"/>
  <c r="V92" i="62"/>
  <c r="BL92" i="62"/>
  <c r="V210" i="50"/>
  <c r="BG210" i="50"/>
  <c r="V106" i="62"/>
  <c r="BL106" i="62"/>
  <c r="AJ76" i="62"/>
  <c r="BZ76" i="62"/>
  <c r="O209" i="50"/>
  <c r="AZ209" i="50"/>
  <c r="AJ209" i="50"/>
  <c r="BU209" i="50"/>
  <c r="H195" i="50"/>
  <c r="AS195" i="50"/>
  <c r="AA246" i="50"/>
  <c r="BM224" i="50"/>
  <c r="M238" i="50"/>
  <c r="AY216" i="50"/>
  <c r="AG79" i="62"/>
  <c r="BX80" i="62"/>
  <c r="AJ210" i="50"/>
  <c r="BU210" i="50"/>
  <c r="AC87" i="62"/>
  <c r="BS87" i="62"/>
  <c r="O203" i="50"/>
  <c r="AZ203" i="50"/>
  <c r="O92" i="62"/>
  <c r="BE92" i="62"/>
  <c r="H92" i="62"/>
  <c r="AX92" i="62"/>
  <c r="V196" i="50"/>
  <c r="BG196" i="50"/>
  <c r="O196" i="50"/>
  <c r="AZ196" i="50"/>
  <c r="H196" i="50"/>
  <c r="AS196" i="50"/>
  <c r="AC103" i="62"/>
  <c r="BS103" i="62"/>
  <c r="O77" i="62"/>
  <c r="BE77" i="62"/>
  <c r="H167" i="62"/>
  <c r="AX167" i="62"/>
  <c r="AC210" i="50"/>
  <c r="BN210" i="50"/>
  <c r="H170" i="62"/>
  <c r="AX170" i="62"/>
  <c r="AJ85" i="62"/>
  <c r="BZ85" i="62"/>
  <c r="H165" i="62"/>
  <c r="AX165" i="62"/>
  <c r="AB59" i="50"/>
  <c r="AB135" i="50"/>
  <c r="BN135" i="50" s="1"/>
  <c r="F256" i="50"/>
  <c r="AR256" i="50" s="1"/>
  <c r="AR234" i="50"/>
  <c r="N215" i="50"/>
  <c r="AZ215" i="50" s="1"/>
  <c r="BE155" i="62"/>
  <c r="T254" i="50"/>
  <c r="BF254" i="50" s="1"/>
  <c r="BF232" i="50"/>
  <c r="G231" i="50"/>
  <c r="AX171" i="62"/>
  <c r="AJ97" i="62"/>
  <c r="BZ97" i="62"/>
  <c r="G11" i="62"/>
  <c r="AX11" i="62" s="1"/>
  <c r="AX18" i="62"/>
  <c r="M11" i="62"/>
  <c r="BD11" i="62" s="1"/>
  <c r="BD30" i="62"/>
  <c r="K11" i="62"/>
  <c r="BB11" i="62" s="1"/>
  <c r="BB18" i="62"/>
  <c r="AJ100" i="62"/>
  <c r="CA100" i="62" s="1"/>
  <c r="AH169" i="50"/>
  <c r="BT169" i="50" s="1"/>
  <c r="BT149" i="50"/>
  <c r="AA255" i="50"/>
  <c r="BM255" i="50" s="1"/>
  <c r="BM233" i="50"/>
  <c r="F240" i="50"/>
  <c r="AR218" i="50"/>
  <c r="F246" i="50"/>
  <c r="AR246" i="50" s="1"/>
  <c r="AR224" i="50"/>
  <c r="G211" i="50"/>
  <c r="AR211" i="50"/>
  <c r="AH244" i="50"/>
  <c r="BT222" i="50"/>
  <c r="H171" i="62"/>
  <c r="T255" i="50"/>
  <c r="BF233" i="50"/>
  <c r="AJ213" i="50"/>
  <c r="BU213" i="50"/>
  <c r="O97" i="62"/>
  <c r="BE97" i="62"/>
  <c r="AC194" i="50"/>
  <c r="BN194" i="50"/>
  <c r="H88" i="62"/>
  <c r="AX88" i="62"/>
  <c r="AC69" i="62"/>
  <c r="BS69" i="62"/>
  <c r="V201" i="50"/>
  <c r="BG201" i="50"/>
  <c r="H105" i="62"/>
  <c r="AX105" i="62"/>
  <c r="O89" i="62"/>
  <c r="BE89" i="62"/>
  <c r="T245" i="50"/>
  <c r="BF223" i="50"/>
  <c r="O106" i="62"/>
  <c r="BE106" i="62"/>
  <c r="I66" i="62"/>
  <c r="AY66" i="62"/>
  <c r="V200" i="50"/>
  <c r="BG200" i="50"/>
  <c r="O193" i="50"/>
  <c r="AZ193" i="50"/>
  <c r="V211" i="50"/>
  <c r="BG211" i="50"/>
  <c r="H169" i="62"/>
  <c r="AX169" i="62"/>
  <c r="V86" i="62"/>
  <c r="BL86" i="62"/>
  <c r="AC92" i="62"/>
  <c r="AC43" i="50" s="1"/>
  <c r="BO43" i="50" s="1"/>
  <c r="BS92" i="62"/>
  <c r="AC209" i="50"/>
  <c r="BN209" i="50"/>
  <c r="O202" i="50"/>
  <c r="AZ202" i="50"/>
  <c r="O213" i="50"/>
  <c r="AZ213" i="50"/>
  <c r="AH245" i="50"/>
  <c r="BT223" i="50"/>
  <c r="AJ90" i="62"/>
  <c r="BZ90" i="62"/>
  <c r="O69" i="62"/>
  <c r="BE69" i="62"/>
  <c r="AC70" i="62"/>
  <c r="BS70" i="62"/>
  <c r="AB48" i="50"/>
  <c r="BN48" i="50" s="1"/>
  <c r="AI39" i="50"/>
  <c r="BU39" i="50" s="1"/>
  <c r="F237" i="50"/>
  <c r="G220" i="50"/>
  <c r="AS220" i="50" s="1"/>
  <c r="F249" i="50"/>
  <c r="AR249" i="50" s="1"/>
  <c r="AR227" i="50"/>
  <c r="M247" i="50"/>
  <c r="AY225" i="50"/>
  <c r="O164" i="62"/>
  <c r="BF164" i="62" s="1"/>
  <c r="BE164" i="62"/>
  <c r="N94" i="62"/>
  <c r="BE94" i="62" s="1"/>
  <c r="AB83" i="62"/>
  <c r="BS83" i="62" s="1"/>
  <c r="U83" i="62"/>
  <c r="BL83" i="62" s="1"/>
  <c r="AC75" i="62"/>
  <c r="BT75" i="62" s="1"/>
  <c r="H62" i="62"/>
  <c r="AY62" i="62" s="1"/>
  <c r="AB148" i="50"/>
  <c r="BN148" i="50" s="1"/>
  <c r="G225" i="50"/>
  <c r="AS225" i="50" s="1"/>
  <c r="F243" i="50"/>
  <c r="AR243" i="50" s="1"/>
  <c r="AR221" i="50"/>
  <c r="G205" i="50"/>
  <c r="AR205" i="50"/>
  <c r="T252" i="50"/>
  <c r="BF230" i="50"/>
  <c r="AA247" i="50"/>
  <c r="BM225" i="50"/>
  <c r="M241" i="50"/>
  <c r="AY219" i="50"/>
  <c r="M250" i="50"/>
  <c r="AY228" i="50"/>
  <c r="AA243" i="50"/>
  <c r="BM221" i="50"/>
  <c r="AA250" i="50"/>
  <c r="BM228" i="50"/>
  <c r="AH246" i="50"/>
  <c r="BT224" i="50"/>
  <c r="AA237" i="50"/>
  <c r="BM237" i="50" s="1"/>
  <c r="BM215" i="50"/>
  <c r="I11" i="62"/>
  <c r="AZ11" i="62" s="1"/>
  <c r="AZ18" i="62"/>
  <c r="AK11" i="62"/>
  <c r="CB11" i="62" s="1"/>
  <c r="H96" i="62"/>
  <c r="AX96" i="62"/>
  <c r="AA238" i="50"/>
  <c r="BM238" i="50" s="1"/>
  <c r="BM216" i="50"/>
  <c r="T239" i="50"/>
  <c r="BF217" i="50"/>
  <c r="AJ175" i="62"/>
  <c r="CA175" i="62" s="1"/>
  <c r="BZ175" i="62"/>
  <c r="O174" i="62"/>
  <c r="BF174" i="62" s="1"/>
  <c r="BE174" i="62"/>
  <c r="F239" i="50"/>
  <c r="AR217" i="50"/>
  <c r="AB220" i="50"/>
  <c r="BN220" i="50" s="1"/>
  <c r="BS160" i="62"/>
  <c r="V169" i="62"/>
  <c r="V229" i="50" s="1"/>
  <c r="BH229" i="50" s="1"/>
  <c r="BL169" i="62"/>
  <c r="O11" i="62"/>
  <c r="BF11" i="62" s="1"/>
  <c r="BF18" i="62"/>
  <c r="H210" i="50"/>
  <c r="AS210" i="50"/>
  <c r="AC202" i="50"/>
  <c r="BN202" i="50"/>
  <c r="O195" i="50"/>
  <c r="AZ195" i="50"/>
  <c r="O171" i="62"/>
  <c r="BE171" i="62"/>
  <c r="V104" i="62"/>
  <c r="BL104" i="62"/>
  <c r="V93" i="62"/>
  <c r="BL93" i="62"/>
  <c r="H87" i="62"/>
  <c r="AX87" i="62"/>
  <c r="V76" i="62"/>
  <c r="BL76" i="62"/>
  <c r="AJ203" i="50"/>
  <c r="BU203" i="50"/>
  <c r="M246" i="50"/>
  <c r="AY224" i="50"/>
  <c r="V77" i="62"/>
  <c r="BL77" i="62"/>
  <c r="H213" i="50"/>
  <c r="AS213" i="50"/>
  <c r="AA239" i="50"/>
  <c r="BM217" i="50"/>
  <c r="O86" i="62"/>
  <c r="BE86" i="62"/>
  <c r="AJ208" i="50"/>
  <c r="BU208" i="50"/>
  <c r="H77" i="62"/>
  <c r="AX77" i="62"/>
  <c r="AC208" i="50"/>
  <c r="BN208" i="50"/>
  <c r="H89" i="62"/>
  <c r="AX89" i="62"/>
  <c r="V212" i="50"/>
  <c r="BG212" i="50"/>
  <c r="AH251" i="50"/>
  <c r="BT229" i="50"/>
  <c r="AJ88" i="62"/>
  <c r="BZ88" i="62"/>
  <c r="AJ211" i="50"/>
  <c r="BU211" i="50"/>
  <c r="O204" i="50"/>
  <c r="AZ204" i="50"/>
  <c r="AC196" i="50"/>
  <c r="BN196" i="50"/>
  <c r="AA254" i="50"/>
  <c r="BM232" i="50"/>
  <c r="M248" i="50"/>
  <c r="AY226" i="50"/>
  <c r="M240" i="50"/>
  <c r="AY218" i="50"/>
  <c r="AC102" i="62"/>
  <c r="AC52" i="50" s="1"/>
  <c r="BO52" i="50" s="1"/>
  <c r="BS102" i="62"/>
  <c r="O93" i="62"/>
  <c r="BE93" i="62"/>
  <c r="O85" i="62"/>
  <c r="BE85" i="62"/>
  <c r="V63" i="62"/>
  <c r="BL63" i="62"/>
  <c r="AJ201" i="50"/>
  <c r="BU201" i="50"/>
  <c r="AH239" i="50"/>
  <c r="BT217" i="50"/>
  <c r="AJ92" i="62"/>
  <c r="BZ92" i="62"/>
  <c r="H63" i="62"/>
  <c r="AX63" i="62"/>
  <c r="AJ197" i="50"/>
  <c r="BU197" i="50"/>
  <c r="H102" i="62"/>
  <c r="AX102" i="62"/>
  <c r="F257" i="50"/>
  <c r="AR235" i="50"/>
  <c r="V66" i="62"/>
  <c r="BL66" i="62"/>
  <c r="AC212" i="50"/>
  <c r="BN212" i="50"/>
  <c r="AC97" i="62"/>
  <c r="BS97" i="62"/>
  <c r="H73" i="62"/>
  <c r="AX73" i="62"/>
  <c r="V101" i="62"/>
  <c r="BL101" i="62"/>
  <c r="V213" i="50"/>
  <c r="BG213" i="50"/>
  <c r="AJ205" i="50"/>
  <c r="BU205" i="50"/>
  <c r="V198" i="50"/>
  <c r="BG198" i="50"/>
  <c r="H193" i="50"/>
  <c r="AS193" i="50"/>
  <c r="H104" i="62"/>
  <c r="AX104" i="62"/>
  <c r="AJ96" i="62"/>
  <c r="BZ96" i="62"/>
  <c r="AJ89" i="62"/>
  <c r="BZ89" i="62"/>
  <c r="AJ82" i="62"/>
  <c r="BZ82" i="62"/>
  <c r="AJ73" i="62"/>
  <c r="AJ135" i="50" s="1"/>
  <c r="BV135" i="50" s="1"/>
  <c r="BZ73" i="62"/>
  <c r="O63" i="62"/>
  <c r="BE63" i="62"/>
  <c r="H200" i="50"/>
  <c r="AS200" i="50"/>
  <c r="AC201" i="50"/>
  <c r="BN201" i="50"/>
  <c r="V108" i="62"/>
  <c r="BL108" i="62"/>
  <c r="AC84" i="62"/>
  <c r="BS84" i="62"/>
  <c r="AJ206" i="50"/>
  <c r="BU206" i="50"/>
  <c r="AH253" i="50"/>
  <c r="BT231" i="50"/>
  <c r="AJ78" i="62"/>
  <c r="BZ78" i="62"/>
  <c r="V197" i="50"/>
  <c r="BG197" i="50"/>
  <c r="AC90" i="62"/>
  <c r="BS90" i="62"/>
  <c r="V208" i="50"/>
  <c r="BG208" i="50"/>
  <c r="T253" i="50"/>
  <c r="BF231" i="50"/>
  <c r="AC93" i="62"/>
  <c r="AC149" i="50" s="1"/>
  <c r="BO149" i="50" s="1"/>
  <c r="BS93" i="62"/>
  <c r="V78" i="62"/>
  <c r="BL78" i="62"/>
  <c r="AJ79" i="50"/>
  <c r="BU79" i="50"/>
  <c r="AJ83" i="50"/>
  <c r="BU83" i="50"/>
  <c r="AJ82" i="50"/>
  <c r="D71" i="49" s="1"/>
  <c r="J71" i="49" s="1"/>
  <c r="BU82" i="50"/>
  <c r="M64" i="51"/>
  <c r="BD64" i="51" s="1"/>
  <c r="AT30" i="51"/>
  <c r="CK30" i="51" s="1"/>
  <c r="AR30" i="51"/>
  <c r="CI30" i="51" s="1"/>
  <c r="Z11" i="62"/>
  <c r="BQ11" i="62" s="1"/>
  <c r="E79" i="51"/>
  <c r="AV79" i="51" s="1"/>
  <c r="Z79" i="51"/>
  <c r="BQ79" i="51" s="1"/>
  <c r="Z67" i="51"/>
  <c r="BQ67" i="51" s="1"/>
  <c r="P11" i="62"/>
  <c r="BG11" i="62" s="1"/>
  <c r="AL11" i="62"/>
  <c r="CC11" i="62" s="1"/>
  <c r="S11" i="62"/>
  <c r="BJ11" i="62" s="1"/>
  <c r="AN11" i="62"/>
  <c r="J11" i="62"/>
  <c r="BA11" i="62" s="1"/>
  <c r="AJ11" i="62"/>
  <c r="CA11" i="62" s="1"/>
  <c r="AC11" i="62"/>
  <c r="BT11" i="62" s="1"/>
  <c r="AS30" i="51"/>
  <c r="CJ30" i="51" s="1"/>
  <c r="AI229" i="50"/>
  <c r="V11" i="62"/>
  <c r="BM11" i="62" s="1"/>
  <c r="U11" i="62"/>
  <c r="BL11" i="62" s="1"/>
  <c r="AQ30" i="51"/>
  <c r="CH30" i="51" s="1"/>
  <c r="AI227" i="50"/>
  <c r="F11" i="62"/>
  <c r="AW11" i="62" s="1"/>
  <c r="AN79" i="51"/>
  <c r="CE79" i="51" s="1"/>
  <c r="AN67" i="51"/>
  <c r="CE67" i="51" s="1"/>
  <c r="L79" i="51"/>
  <c r="BC79" i="51" s="1"/>
  <c r="L30" i="51"/>
  <c r="BC30" i="51" s="1"/>
  <c r="AG79" i="51"/>
  <c r="BX79" i="51" s="1"/>
  <c r="AC156" i="62"/>
  <c r="S67" i="51"/>
  <c r="V62" i="62"/>
  <c r="W62" i="62" s="1"/>
  <c r="BN62" i="62" s="1"/>
  <c r="L11" i="62"/>
  <c r="BC11" i="62" s="1"/>
  <c r="O65" i="62"/>
  <c r="N11" i="62"/>
  <c r="BE11" i="62" s="1"/>
  <c r="G9" i="41"/>
  <c r="E9" i="62"/>
  <c r="AV9" i="62" s="1"/>
  <c r="BC9" i="62" s="1"/>
  <c r="BJ9" i="62" s="1"/>
  <c r="BQ9" i="62" s="1"/>
  <c r="BX9" i="62" s="1"/>
  <c r="F8" i="82"/>
  <c r="AJ159" i="62"/>
  <c r="CA159" i="62" s="1"/>
  <c r="AC162" i="62"/>
  <c r="AG67" i="51"/>
  <c r="BX67" i="51" s="1"/>
  <c r="E67" i="51"/>
  <c r="L67" i="51"/>
  <c r="BC67" i="51" s="1"/>
  <c r="E30" i="51"/>
  <c r="AV30" i="51" s="1"/>
  <c r="AB140" i="50"/>
  <c r="AC172" i="62"/>
  <c r="AI154" i="62"/>
  <c r="BZ154" i="62" s="1"/>
  <c r="M79" i="62"/>
  <c r="BD79" i="62" s="1"/>
  <c r="N61" i="62"/>
  <c r="BE61" i="62" s="1"/>
  <c r="AA79" i="62"/>
  <c r="BR79" i="62" s="1"/>
  <c r="G74" i="62"/>
  <c r="AX74" i="62" s="1"/>
  <c r="Q64" i="51"/>
  <c r="BH64" i="51" s="1"/>
  <c r="AA9" i="62"/>
  <c r="AH9" i="62" s="1"/>
  <c r="AB224" i="50"/>
  <c r="G94" i="62"/>
  <c r="AX94" i="62" s="1"/>
  <c r="AN30" i="51"/>
  <c r="CE30" i="51" s="1"/>
  <c r="Z30" i="51"/>
  <c r="BQ30" i="51" s="1"/>
  <c r="O156" i="62"/>
  <c r="O155" i="62"/>
  <c r="N218" i="50"/>
  <c r="S30" i="51"/>
  <c r="BJ30" i="51" s="1"/>
  <c r="U229" i="50"/>
  <c r="AI235" i="50"/>
  <c r="AN60" i="62"/>
  <c r="U235" i="50"/>
  <c r="Y80" i="51"/>
  <c r="BP80" i="51" s="1"/>
  <c r="W64" i="51"/>
  <c r="BN64" i="51" s="1"/>
  <c r="V163" i="62"/>
  <c r="V223" i="50" s="1"/>
  <c r="AC160" i="62"/>
  <c r="AC220" i="50" s="1"/>
  <c r="BO220" i="50" s="1"/>
  <c r="M61" i="51"/>
  <c r="BD61" i="51" s="1"/>
  <c r="AJ56" i="73"/>
  <c r="BY56" i="73" s="1"/>
  <c r="B108" i="67"/>
  <c r="AN18" i="51"/>
  <c r="CE18" i="51" s="1"/>
  <c r="AG30" i="51"/>
  <c r="BX30" i="51" s="1"/>
  <c r="T64" i="51"/>
  <c r="BK64" i="51" s="1"/>
  <c r="AI52" i="50"/>
  <c r="BU52" i="50" s="1"/>
  <c r="B17" i="67"/>
  <c r="B119" i="67"/>
  <c r="B129" i="67" s="1"/>
  <c r="B112" i="67"/>
  <c r="B44" i="67"/>
  <c r="AU57" i="73"/>
  <c r="CE57" i="73" s="1"/>
  <c r="T106" i="67"/>
  <c r="AJ57" i="73"/>
  <c r="BY57" i="73" s="1"/>
  <c r="T82" i="67"/>
  <c r="B110" i="67"/>
  <c r="B7" i="67"/>
  <c r="B86" i="67"/>
  <c r="B35" i="67"/>
  <c r="B60" i="67"/>
  <c r="B26" i="67"/>
  <c r="X61" i="51"/>
  <c r="BO61" i="51" s="1"/>
  <c r="AH56" i="50"/>
  <c r="B43" i="67"/>
  <c r="AH59" i="50"/>
  <c r="AH55" i="50"/>
  <c r="AH51" i="50"/>
  <c r="AH53" i="50"/>
  <c r="AH52" i="50"/>
  <c r="AH50" i="50"/>
  <c r="AH43" i="50"/>
  <c r="AH37" i="50"/>
  <c r="B85" i="67"/>
  <c r="AH48" i="50"/>
  <c r="AH49" i="50"/>
  <c r="B84" i="67"/>
  <c r="B25" i="67"/>
  <c r="B61" i="67"/>
  <c r="N154" i="62"/>
  <c r="BE154" i="62" s="1"/>
  <c r="N224" i="50"/>
  <c r="AI94" i="62"/>
  <c r="BZ94" i="62" s="1"/>
  <c r="B19" i="67"/>
  <c r="B115" i="67" s="1"/>
  <c r="AG18" i="51"/>
  <c r="BX18" i="51" s="1"/>
  <c r="C71" i="49"/>
  <c r="I71" i="49" s="1"/>
  <c r="G235" i="50"/>
  <c r="H175" i="62"/>
  <c r="AY175" i="62" s="1"/>
  <c r="AH67" i="62"/>
  <c r="AA214" i="50"/>
  <c r="BM214" i="50" s="1"/>
  <c r="AH214" i="50"/>
  <c r="BT214" i="50" s="1"/>
  <c r="AB226" i="50"/>
  <c r="N234" i="50"/>
  <c r="AI231" i="50"/>
  <c r="AJ171" i="62"/>
  <c r="CA171" i="62" s="1"/>
  <c r="N226" i="50"/>
  <c r="O166" i="62"/>
  <c r="BF166" i="62" s="1"/>
  <c r="AI233" i="50"/>
  <c r="AJ173" i="62"/>
  <c r="CA173" i="62" s="1"/>
  <c r="AB218" i="50"/>
  <c r="AC158" i="62"/>
  <c r="BT158" i="62" s="1"/>
  <c r="AA67" i="62"/>
  <c r="BR67" i="62" s="1"/>
  <c r="G154" i="62"/>
  <c r="AX154" i="62" s="1"/>
  <c r="U215" i="50"/>
  <c r="V155" i="62"/>
  <c r="BM155" i="62" s="1"/>
  <c r="AB230" i="50"/>
  <c r="AC170" i="62"/>
  <c r="BT170" i="62" s="1"/>
  <c r="T67" i="62"/>
  <c r="AJ157" i="62"/>
  <c r="T214" i="50"/>
  <c r="BF214" i="50" s="1"/>
  <c r="AI223" i="50"/>
  <c r="AJ163" i="62"/>
  <c r="CA163" i="62" s="1"/>
  <c r="N222" i="50"/>
  <c r="O162" i="62"/>
  <c r="BF162" i="62" s="1"/>
  <c r="G215" i="50"/>
  <c r="H155" i="62"/>
  <c r="AY155" i="62" s="1"/>
  <c r="G217" i="50"/>
  <c r="H157" i="62"/>
  <c r="AY157" i="62" s="1"/>
  <c r="AB80" i="62"/>
  <c r="AO61" i="51"/>
  <c r="CF61" i="51" s="1"/>
  <c r="L18" i="51"/>
  <c r="BC18" i="51" s="1"/>
  <c r="AQ61" i="51"/>
  <c r="CH61" i="51" s="1"/>
  <c r="N64" i="51"/>
  <c r="BE64" i="51" s="1"/>
  <c r="V80" i="51"/>
  <c r="BM80" i="51" s="1"/>
  <c r="Z18" i="51"/>
  <c r="BQ18" i="51" s="1"/>
  <c r="G80" i="51"/>
  <c r="AX80" i="51" s="1"/>
  <c r="X80" i="51"/>
  <c r="BO80" i="51" s="1"/>
  <c r="U64" i="51"/>
  <c r="BL64" i="51" s="1"/>
  <c r="O64" i="51"/>
  <c r="BF64" i="51" s="1"/>
  <c r="AT61" i="51"/>
  <c r="CK61" i="51" s="1"/>
  <c r="K61" i="51"/>
  <c r="BB61" i="51" s="1"/>
  <c r="V71" i="51"/>
  <c r="BM71" i="51" s="1"/>
  <c r="S18" i="51"/>
  <c r="BJ18" i="51" s="1"/>
  <c r="M71" i="51"/>
  <c r="BD71" i="51" s="1"/>
  <c r="Y64" i="51"/>
  <c r="BP64" i="51" s="1"/>
  <c r="I61" i="51"/>
  <c r="AZ61" i="51" s="1"/>
  <c r="O71" i="51"/>
  <c r="BF71" i="51" s="1"/>
  <c r="X64" i="51"/>
  <c r="BO64" i="51" s="1"/>
  <c r="AO80" i="51"/>
  <c r="CF80" i="51" s="1"/>
  <c r="T80" i="51"/>
  <c r="BK80" i="51" s="1"/>
  <c r="V64" i="51"/>
  <c r="BM64" i="51" s="1"/>
  <c r="V61" i="51"/>
  <c r="BM61" i="51" s="1"/>
  <c r="P61" i="51"/>
  <c r="BG61" i="51" s="1"/>
  <c r="O61" i="51"/>
  <c r="BF61" i="51" s="1"/>
  <c r="R61" i="51"/>
  <c r="BI61" i="51" s="1"/>
  <c r="I163" i="62"/>
  <c r="AZ163" i="62" s="1"/>
  <c r="H223" i="50"/>
  <c r="AT223" i="50" s="1"/>
  <c r="AC157" i="62"/>
  <c r="BT157" i="62" s="1"/>
  <c r="AB217" i="50"/>
  <c r="AB51" i="50"/>
  <c r="N71" i="51"/>
  <c r="BE71" i="51" s="1"/>
  <c r="G99" i="51"/>
  <c r="AX99" i="51" s="1"/>
  <c r="AI143" i="50"/>
  <c r="G61" i="51"/>
  <c r="AX61" i="51" s="1"/>
  <c r="AI99" i="62"/>
  <c r="BZ99" i="62" s="1"/>
  <c r="AQ71" i="51"/>
  <c r="CH71" i="51" s="1"/>
  <c r="P71" i="51"/>
  <c r="BG71" i="51" s="1"/>
  <c r="AI139" i="50"/>
  <c r="AB132" i="50"/>
  <c r="BN132" i="50" s="1"/>
  <c r="AJ160" i="62"/>
  <c r="CA160" i="62" s="1"/>
  <c r="AI220" i="50"/>
  <c r="H158" i="62"/>
  <c r="AY158" i="62" s="1"/>
  <c r="G218" i="50"/>
  <c r="V174" i="62"/>
  <c r="BM174" i="62" s="1"/>
  <c r="U234" i="50"/>
  <c r="AC161" i="62"/>
  <c r="BT161" i="62" s="1"/>
  <c r="AB221" i="50"/>
  <c r="AC159" i="62"/>
  <c r="BT159" i="62" s="1"/>
  <c r="AB219" i="50"/>
  <c r="AJ156" i="62"/>
  <c r="CA156" i="62" s="1"/>
  <c r="AI216" i="50"/>
  <c r="AJ174" i="62"/>
  <c r="CA174" i="62" s="1"/>
  <c r="AI234" i="50"/>
  <c r="H172" i="62"/>
  <c r="AY172" i="62" s="1"/>
  <c r="G232" i="50"/>
  <c r="V161" i="62"/>
  <c r="BM161" i="62" s="1"/>
  <c r="U221" i="50"/>
  <c r="O167" i="62"/>
  <c r="BF167" i="62" s="1"/>
  <c r="N227" i="50"/>
  <c r="AC224" i="50"/>
  <c r="BO224" i="50" s="1"/>
  <c r="O165" i="62"/>
  <c r="BF165" i="62" s="1"/>
  <c r="N225" i="50"/>
  <c r="V160" i="62"/>
  <c r="BM160" i="62" s="1"/>
  <c r="U220" i="50"/>
  <c r="AJ158" i="62"/>
  <c r="CA158" i="62" s="1"/>
  <c r="AI218" i="50"/>
  <c r="U233" i="50"/>
  <c r="V173" i="62"/>
  <c r="BM173" i="62" s="1"/>
  <c r="O173" i="62"/>
  <c r="BF173" i="62" s="1"/>
  <c r="N233" i="50"/>
  <c r="AC165" i="62"/>
  <c r="BT165" i="62" s="1"/>
  <c r="AB225" i="50"/>
  <c r="AJ168" i="62"/>
  <c r="CA168" i="62" s="1"/>
  <c r="AI228" i="50"/>
  <c r="V165" i="62"/>
  <c r="BM165" i="62" s="1"/>
  <c r="U225" i="50"/>
  <c r="V162" i="62"/>
  <c r="BM162" i="62" s="1"/>
  <c r="U222" i="50"/>
  <c r="AC168" i="62"/>
  <c r="BT168" i="62" s="1"/>
  <c r="AB228" i="50"/>
  <c r="V166" i="62"/>
  <c r="BM166" i="62" s="1"/>
  <c r="U226" i="50"/>
  <c r="AI224" i="50"/>
  <c r="AJ164" i="62"/>
  <c r="CA164" i="62" s="1"/>
  <c r="AJ162" i="62"/>
  <c r="CA162" i="62" s="1"/>
  <c r="AI222" i="50"/>
  <c r="AC155" i="62"/>
  <c r="BT155" i="62" s="1"/>
  <c r="AB215" i="50"/>
  <c r="M67" i="62"/>
  <c r="BD67" i="62" s="1"/>
  <c r="AC169" i="62"/>
  <c r="BT169" i="62" s="1"/>
  <c r="AB229" i="50"/>
  <c r="AI215" i="50"/>
  <c r="BU215" i="50" s="1"/>
  <c r="AJ155" i="62"/>
  <c r="CA155" i="62" s="1"/>
  <c r="AJ172" i="62"/>
  <c r="CA172" i="62" s="1"/>
  <c r="AI232" i="50"/>
  <c r="AB227" i="50"/>
  <c r="AC167" i="62"/>
  <c r="BT167" i="62" s="1"/>
  <c r="O234" i="50"/>
  <c r="BA234" i="50" s="1"/>
  <c r="N220" i="50"/>
  <c r="O160" i="62"/>
  <c r="BF160" i="62" s="1"/>
  <c r="AI221" i="50"/>
  <c r="AJ161" i="62"/>
  <c r="CA161" i="62" s="1"/>
  <c r="V159" i="62"/>
  <c r="BM159" i="62" s="1"/>
  <c r="U219" i="50"/>
  <c r="H162" i="62"/>
  <c r="AY162" i="62" s="1"/>
  <c r="G222" i="50"/>
  <c r="O159" i="62"/>
  <c r="BF159" i="62" s="1"/>
  <c r="N219" i="50"/>
  <c r="V158" i="62"/>
  <c r="BM158" i="62" s="1"/>
  <c r="U218" i="50"/>
  <c r="AC175" i="62"/>
  <c r="BT175" i="62" s="1"/>
  <c r="AB235" i="50"/>
  <c r="AJ170" i="62"/>
  <c r="CA170" i="62" s="1"/>
  <c r="AI230" i="50"/>
  <c r="O161" i="62"/>
  <c r="BF161" i="62" s="1"/>
  <c r="N221" i="50"/>
  <c r="O175" i="62"/>
  <c r="BF175" i="62" s="1"/>
  <c r="N235" i="50"/>
  <c r="AC171" i="62"/>
  <c r="BT171" i="62" s="1"/>
  <c r="AB231" i="50"/>
  <c r="M237" i="50"/>
  <c r="AY237" i="50" s="1"/>
  <c r="M214" i="50"/>
  <c r="AY214" i="50" s="1"/>
  <c r="N230" i="50"/>
  <c r="O170" i="62"/>
  <c r="BF170" i="62" s="1"/>
  <c r="N232" i="50"/>
  <c r="O172" i="62"/>
  <c r="BF172" i="62" s="1"/>
  <c r="V172" i="62"/>
  <c r="BM172" i="62" s="1"/>
  <c r="U232" i="50"/>
  <c r="O163" i="62"/>
  <c r="BF163" i="62" s="1"/>
  <c r="N223" i="50"/>
  <c r="U217" i="50"/>
  <c r="V157" i="62"/>
  <c r="BM157" i="62" s="1"/>
  <c r="AC173" i="62"/>
  <c r="BT173" i="62" s="1"/>
  <c r="AB233" i="50"/>
  <c r="V170" i="62"/>
  <c r="BM170" i="62" s="1"/>
  <c r="U230" i="50"/>
  <c r="V168" i="62"/>
  <c r="BM168" i="62" s="1"/>
  <c r="U228" i="50"/>
  <c r="V167" i="62"/>
  <c r="BM167" i="62" s="1"/>
  <c r="U227" i="50"/>
  <c r="G226" i="50"/>
  <c r="H166" i="62"/>
  <c r="AY166" i="62" s="1"/>
  <c r="AC163" i="62"/>
  <c r="BT163" i="62" s="1"/>
  <c r="AB223" i="50"/>
  <c r="N229" i="50"/>
  <c r="O169" i="62"/>
  <c r="BF169" i="62" s="1"/>
  <c r="O168" i="62"/>
  <c r="BF168" i="62" s="1"/>
  <c r="N228" i="50"/>
  <c r="H164" i="62"/>
  <c r="AY164" i="62" s="1"/>
  <c r="G224" i="50"/>
  <c r="AJ166" i="62"/>
  <c r="CA166" i="62" s="1"/>
  <c r="AI226" i="50"/>
  <c r="AI225" i="50"/>
  <c r="AJ165" i="62"/>
  <c r="CA165" i="62" s="1"/>
  <c r="V164" i="62"/>
  <c r="BM164" i="62" s="1"/>
  <c r="U224" i="50"/>
  <c r="O157" i="62"/>
  <c r="BF157" i="62" s="1"/>
  <c r="N217" i="50"/>
  <c r="G228" i="50"/>
  <c r="H168" i="62"/>
  <c r="AY168" i="62" s="1"/>
  <c r="AB99" i="51"/>
  <c r="BS99" i="51" s="1"/>
  <c r="AB50" i="50"/>
  <c r="BN50" i="50" s="1"/>
  <c r="I99" i="51"/>
  <c r="AZ99" i="51" s="1"/>
  <c r="AM61" i="51"/>
  <c r="CD61" i="51" s="1"/>
  <c r="AC80" i="51"/>
  <c r="BT80" i="51" s="1"/>
  <c r="AF80" i="51"/>
  <c r="BW80" i="51" s="1"/>
  <c r="AA37" i="50"/>
  <c r="AA99" i="51"/>
  <c r="BR99" i="51" s="1"/>
  <c r="AA50" i="50"/>
  <c r="AJ61" i="51"/>
  <c r="CA61" i="51" s="1"/>
  <c r="AA64" i="50"/>
  <c r="BM64" i="50" s="1"/>
  <c r="AD80" i="51"/>
  <c r="BU80" i="51" s="1"/>
  <c r="AB61" i="51"/>
  <c r="BS61" i="51" s="1"/>
  <c r="AB36" i="50"/>
  <c r="BN36" i="50" s="1"/>
  <c r="AQ80" i="51"/>
  <c r="CH80" i="51" s="1"/>
  <c r="AR80" i="51"/>
  <c r="CI80" i="51" s="1"/>
  <c r="O80" i="51"/>
  <c r="BF80" i="51" s="1"/>
  <c r="AD61" i="51"/>
  <c r="BU61" i="51" s="1"/>
  <c r="AK61" i="51"/>
  <c r="CB61" i="51" s="1"/>
  <c r="AA152" i="50"/>
  <c r="BM152" i="50" s="1"/>
  <c r="AE80" i="51"/>
  <c r="BV80" i="51" s="1"/>
  <c r="V99" i="51"/>
  <c r="BM99" i="51" s="1"/>
  <c r="AM80" i="51"/>
  <c r="CD80" i="51" s="1"/>
  <c r="H80" i="51"/>
  <c r="AY80" i="51" s="1"/>
  <c r="U71" i="51"/>
  <c r="BL71" i="51" s="1"/>
  <c r="AL61" i="51"/>
  <c r="CC61" i="51" s="1"/>
  <c r="AI61" i="51"/>
  <c r="BZ61" i="51" s="1"/>
  <c r="M99" i="51"/>
  <c r="BD99" i="51" s="1"/>
  <c r="AA80" i="51"/>
  <c r="BR80" i="51" s="1"/>
  <c r="AA139" i="50"/>
  <c r="AB80" i="51"/>
  <c r="BS80" i="51" s="1"/>
  <c r="AB139" i="50"/>
  <c r="BN139" i="50" s="1"/>
  <c r="AO71" i="51"/>
  <c r="CF71" i="51" s="1"/>
  <c r="R71" i="51"/>
  <c r="BI71" i="51" s="1"/>
  <c r="AA61" i="51"/>
  <c r="BR61" i="51" s="1"/>
  <c r="AA36" i="50"/>
  <c r="BM36" i="50" s="1"/>
  <c r="AH61" i="51"/>
  <c r="BY61" i="51" s="1"/>
  <c r="AB192" i="50"/>
  <c r="F192" i="50"/>
  <c r="AR192" i="50" s="1"/>
  <c r="F214" i="50"/>
  <c r="AR214" i="50" s="1"/>
  <c r="AH99" i="51"/>
  <c r="BY99" i="51" s="1"/>
  <c r="I80" i="51"/>
  <c r="AZ80" i="51" s="1"/>
  <c r="T61" i="51"/>
  <c r="BK61" i="51" s="1"/>
  <c r="AS83" i="51"/>
  <c r="CJ83" i="51" s="1"/>
  <c r="AD99" i="51"/>
  <c r="BU99" i="51" s="1"/>
  <c r="X71" i="51"/>
  <c r="BO71" i="51" s="1"/>
  <c r="AM99" i="51"/>
  <c r="CD99" i="51" s="1"/>
  <c r="K99" i="51"/>
  <c r="BB99" i="51" s="1"/>
  <c r="P64" i="51"/>
  <c r="BG64" i="51" s="1"/>
  <c r="U80" i="51"/>
  <c r="BL80" i="51" s="1"/>
  <c r="AR61" i="51"/>
  <c r="CI61" i="51" s="1"/>
  <c r="R64" i="51"/>
  <c r="BI64" i="51" s="1"/>
  <c r="Q80" i="51"/>
  <c r="BH80" i="51" s="1"/>
  <c r="Q99" i="51"/>
  <c r="BH99" i="51" s="1"/>
  <c r="R99" i="51"/>
  <c r="BI99" i="51" s="1"/>
  <c r="AE61" i="51"/>
  <c r="BV61" i="51" s="1"/>
  <c r="W61" i="51"/>
  <c r="BN61" i="51" s="1"/>
  <c r="W99" i="51"/>
  <c r="BN99" i="51" s="1"/>
  <c r="AI80" i="51"/>
  <c r="BZ80" i="51" s="1"/>
  <c r="J80" i="51"/>
  <c r="BA80" i="51" s="1"/>
  <c r="W71" i="51"/>
  <c r="BN71" i="51" s="1"/>
  <c r="AP83" i="51"/>
  <c r="CG83" i="51" s="1"/>
  <c r="AS80" i="51"/>
  <c r="CJ80" i="51" s="1"/>
  <c r="R80" i="51"/>
  <c r="BI80" i="51" s="1"/>
  <c r="P80" i="51"/>
  <c r="BG80" i="51" s="1"/>
  <c r="AC61" i="51"/>
  <c r="BT61" i="51" s="1"/>
  <c r="AE99" i="51"/>
  <c r="BV99" i="51" s="1"/>
  <c r="AF99" i="51"/>
  <c r="BW99" i="51" s="1"/>
  <c r="AK99" i="51"/>
  <c r="CB99" i="51" s="1"/>
  <c r="AI99" i="51"/>
  <c r="BZ99" i="51" s="1"/>
  <c r="H99" i="51"/>
  <c r="AY99" i="51" s="1"/>
  <c r="AR71" i="51"/>
  <c r="CI71" i="51" s="1"/>
  <c r="Q61" i="51"/>
  <c r="BH61" i="51" s="1"/>
  <c r="N99" i="51"/>
  <c r="BE99" i="51" s="1"/>
  <c r="P99" i="51"/>
  <c r="BG99" i="51" s="1"/>
  <c r="AO30" i="51"/>
  <c r="CF30" i="51" s="1"/>
  <c r="AP71" i="51"/>
  <c r="CG71" i="51" s="1"/>
  <c r="Q71" i="51"/>
  <c r="BH71" i="51" s="1"/>
  <c r="Y99" i="51"/>
  <c r="BP99" i="51" s="1"/>
  <c r="T99" i="51"/>
  <c r="BK99" i="51" s="1"/>
  <c r="AH80" i="51"/>
  <c r="BY80" i="51" s="1"/>
  <c r="AK80" i="51"/>
  <c r="CB80" i="51" s="1"/>
  <c r="F80" i="51"/>
  <c r="AW80" i="51" s="1"/>
  <c r="T71" i="51"/>
  <c r="BK71" i="51" s="1"/>
  <c r="U61" i="51"/>
  <c r="BL61" i="51" s="1"/>
  <c r="W80" i="51"/>
  <c r="BN80" i="51" s="1"/>
  <c r="AP61" i="51"/>
  <c r="CG61" i="51" s="1"/>
  <c r="AO83" i="51"/>
  <c r="CF83" i="51" s="1"/>
  <c r="AT83" i="51"/>
  <c r="CK83" i="51" s="1"/>
  <c r="M80" i="51"/>
  <c r="BD80" i="51" s="1"/>
  <c r="F99" i="51"/>
  <c r="AW99" i="51" s="1"/>
  <c r="AC99" i="51"/>
  <c r="BT99" i="51" s="1"/>
  <c r="AL99" i="51"/>
  <c r="CC99" i="51" s="1"/>
  <c r="AJ99" i="51"/>
  <c r="CA99" i="51" s="1"/>
  <c r="J99" i="51"/>
  <c r="BA99" i="51" s="1"/>
  <c r="F61" i="51"/>
  <c r="AW61" i="51" s="1"/>
  <c r="H61" i="51"/>
  <c r="AY61" i="51" s="1"/>
  <c r="AS61" i="51"/>
  <c r="CJ61" i="51" s="1"/>
  <c r="O99" i="51"/>
  <c r="BF99" i="51" s="1"/>
  <c r="AS71" i="51"/>
  <c r="CJ71" i="51" s="1"/>
  <c r="AT71" i="51"/>
  <c r="CK71" i="51" s="1"/>
  <c r="AF61" i="51"/>
  <c r="BW61" i="51" s="1"/>
  <c r="J61" i="51"/>
  <c r="BA61" i="51" s="1"/>
  <c r="U99" i="51"/>
  <c r="BL99" i="51" s="1"/>
  <c r="X99" i="51"/>
  <c r="BO99" i="51" s="1"/>
  <c r="AL80" i="51"/>
  <c r="CC80" i="51" s="1"/>
  <c r="AJ80" i="51"/>
  <c r="CA80" i="51" s="1"/>
  <c r="K80" i="51"/>
  <c r="BB80" i="51" s="1"/>
  <c r="Y71" i="51"/>
  <c r="BP71" i="51" s="1"/>
  <c r="Y61" i="51"/>
  <c r="BP61" i="51" s="1"/>
  <c r="N61" i="51"/>
  <c r="BE61" i="51" s="1"/>
  <c r="AR83" i="51"/>
  <c r="CI83" i="51" s="1"/>
  <c r="AQ83" i="51"/>
  <c r="CH83" i="51" s="1"/>
  <c r="AP80" i="51"/>
  <c r="CG80" i="51" s="1"/>
  <c r="AT80" i="51"/>
  <c r="CK80" i="51" s="1"/>
  <c r="N80" i="51"/>
  <c r="BE80" i="51" s="1"/>
  <c r="O101" i="62"/>
  <c r="BF101" i="62" s="1"/>
  <c r="N99" i="62"/>
  <c r="BE99" i="62" s="1"/>
  <c r="AK65" i="62"/>
  <c r="AJ75" i="62"/>
  <c r="CA75" i="62" s="1"/>
  <c r="AI74" i="62"/>
  <c r="AC63" i="62"/>
  <c r="AB61" i="62"/>
  <c r="BS61" i="62" s="1"/>
  <c r="N83" i="62"/>
  <c r="O84" i="62"/>
  <c r="BF84" i="62" s="1"/>
  <c r="F79" i="62"/>
  <c r="AW79" i="62" s="1"/>
  <c r="W75" i="62"/>
  <c r="BN75" i="62" s="1"/>
  <c r="AC66" i="62"/>
  <c r="BT66" i="62" s="1"/>
  <c r="AB64" i="62"/>
  <c r="BS64" i="62" s="1"/>
  <c r="W84" i="62"/>
  <c r="BN84" i="62" s="1"/>
  <c r="O72" i="62"/>
  <c r="BF72" i="62" s="1"/>
  <c r="N71" i="62"/>
  <c r="BE71" i="62" s="1"/>
  <c r="AJ81" i="62"/>
  <c r="AI80" i="62"/>
  <c r="BZ80" i="62" s="1"/>
  <c r="W65" i="62"/>
  <c r="BN65" i="62" s="1"/>
  <c r="V64" i="62"/>
  <c r="BM64" i="62" s="1"/>
  <c r="V156" i="62"/>
  <c r="U154" i="62"/>
  <c r="BL154" i="62" s="1"/>
  <c r="W72" i="62"/>
  <c r="BN72" i="62" s="1"/>
  <c r="V80" i="62"/>
  <c r="BM80" i="62" s="1"/>
  <c r="AB99" i="62"/>
  <c r="BS99" i="62" s="1"/>
  <c r="AC101" i="62"/>
  <c r="AK95" i="62"/>
  <c r="CB95" i="62" s="1"/>
  <c r="V100" i="62"/>
  <c r="BM100" i="62" s="1"/>
  <c r="U99" i="62"/>
  <c r="BL99" i="62" s="1"/>
  <c r="AB94" i="62"/>
  <c r="BS94" i="62" s="1"/>
  <c r="AC96" i="62"/>
  <c r="BT96" i="62" s="1"/>
  <c r="V95" i="62"/>
  <c r="BM95" i="62" s="1"/>
  <c r="U94" i="62"/>
  <c r="BL94" i="62" s="1"/>
  <c r="N74" i="62"/>
  <c r="BE74" i="62" s="1"/>
  <c r="O75" i="62"/>
  <c r="BF75" i="62" s="1"/>
  <c r="AB154" i="62"/>
  <c r="BS154" i="62" s="1"/>
  <c r="AI83" i="62"/>
  <c r="BZ83" i="62" s="1"/>
  <c r="H81" i="62"/>
  <c r="AY81" i="62" s="1"/>
  <c r="G80" i="62"/>
  <c r="P62" i="62"/>
  <c r="BG62" i="62" s="1"/>
  <c r="I65" i="62"/>
  <c r="AZ65" i="62" s="1"/>
  <c r="H64" i="62"/>
  <c r="AY64" i="62" s="1"/>
  <c r="W50" i="53"/>
  <c r="S50" i="53"/>
  <c r="BX50" i="53" s="1"/>
  <c r="T49" i="53"/>
  <c r="BY49" i="53" s="1"/>
  <c r="U49" i="53"/>
  <c r="V49" i="53"/>
  <c r="W49" i="53"/>
  <c r="S49" i="53"/>
  <c r="BX49" i="53" s="1"/>
  <c r="AU21" i="73"/>
  <c r="CE21" i="73" s="1"/>
  <c r="AJ65" i="73"/>
  <c r="BY65" i="73" s="1"/>
  <c r="AJ61" i="73"/>
  <c r="BY61" i="73" s="1"/>
  <c r="AJ48" i="73"/>
  <c r="BY48" i="73" s="1"/>
  <c r="AJ24" i="73"/>
  <c r="BY24" i="73" s="1"/>
  <c r="AJ21" i="73"/>
  <c r="BY21" i="73" s="1"/>
  <c r="Y65" i="73"/>
  <c r="BS65" i="73" s="1"/>
  <c r="Y61" i="73"/>
  <c r="BS61" i="73" s="1"/>
  <c r="Y48" i="73"/>
  <c r="BS48" i="73" s="1"/>
  <c r="Y21" i="73"/>
  <c r="BS21" i="73" s="1"/>
  <c r="N65" i="73"/>
  <c r="BM65" i="73" s="1"/>
  <c r="N61" i="73"/>
  <c r="BM61" i="73" s="1"/>
  <c r="N48" i="73"/>
  <c r="BM48" i="73" s="1"/>
  <c r="N24" i="73"/>
  <c r="BM24" i="73" s="1"/>
  <c r="N21" i="73"/>
  <c r="BM21" i="73" s="1"/>
  <c r="C65" i="73"/>
  <c r="BG65" i="73" s="1"/>
  <c r="C61" i="73"/>
  <c r="BG61" i="73" s="1"/>
  <c r="C48" i="73"/>
  <c r="BG48" i="73" s="1"/>
  <c r="C21" i="73"/>
  <c r="BG21" i="73" s="1"/>
  <c r="C24" i="73"/>
  <c r="BG24" i="73" s="1"/>
  <c r="G238" i="50" l="1"/>
  <c r="I100" i="62"/>
  <c r="AZ100" i="62" s="1"/>
  <c r="AJ64" i="62"/>
  <c r="CA64" i="62" s="1"/>
  <c r="AA84" i="50"/>
  <c r="BM84" i="50" s="1"/>
  <c r="BM59" i="50"/>
  <c r="AA74" i="50"/>
  <c r="BM74" i="50" s="1"/>
  <c r="BM43" i="50"/>
  <c r="AC82" i="50"/>
  <c r="BN82" i="50"/>
  <c r="BY79" i="62"/>
  <c r="P96" i="62"/>
  <c r="AD81" i="62"/>
  <c r="AD139" i="50" s="1"/>
  <c r="BP139" i="50" s="1"/>
  <c r="BT81" i="62"/>
  <c r="AA76" i="50"/>
  <c r="BM76" i="50" s="1"/>
  <c r="BM51" i="50"/>
  <c r="AA168" i="50"/>
  <c r="BM148" i="50"/>
  <c r="BM48" i="50"/>
  <c r="AC135" i="50"/>
  <c r="BO135" i="50" s="1"/>
  <c r="AJ36" i="50"/>
  <c r="BV36" i="50" s="1"/>
  <c r="AJ37" i="50"/>
  <c r="BV37" i="50" s="1"/>
  <c r="AK167" i="62"/>
  <c r="CB167" i="62" s="1"/>
  <c r="AJ227" i="50"/>
  <c r="BV227" i="50" s="1"/>
  <c r="AJ229" i="50"/>
  <c r="BV229" i="50" s="1"/>
  <c r="AK159" i="62"/>
  <c r="CB159" i="62" s="1"/>
  <c r="AJ219" i="50"/>
  <c r="AH269" i="50"/>
  <c r="BT269" i="50" s="1"/>
  <c r="AC139" i="50"/>
  <c r="BO139" i="50" s="1"/>
  <c r="AC79" i="50"/>
  <c r="AK62" i="62"/>
  <c r="BM55" i="50"/>
  <c r="AA166" i="50"/>
  <c r="BM149" i="50"/>
  <c r="AA155" i="50"/>
  <c r="BM155" i="50" s="1"/>
  <c r="AB168" i="50"/>
  <c r="BN168" i="50" s="1"/>
  <c r="BM80" i="50"/>
  <c r="AB80" i="50"/>
  <c r="BN80" i="50" s="1"/>
  <c r="G242" i="50"/>
  <c r="AS242" i="50" s="1"/>
  <c r="AA77" i="50"/>
  <c r="BM77" i="50" s="1"/>
  <c r="BM140" i="50"/>
  <c r="BM53" i="50"/>
  <c r="F260" i="50"/>
  <c r="AR260" i="50" s="1"/>
  <c r="G256" i="50"/>
  <c r="AS256" i="50" s="1"/>
  <c r="AA175" i="50"/>
  <c r="BM175" i="50" s="1"/>
  <c r="AK169" i="62"/>
  <c r="CB169" i="62" s="1"/>
  <c r="AC71" i="62"/>
  <c r="BT71" i="62" s="1"/>
  <c r="AB74" i="50"/>
  <c r="BT132" i="50"/>
  <c r="G249" i="50"/>
  <c r="AS249" i="50" s="1"/>
  <c r="BT140" i="50"/>
  <c r="H61" i="62"/>
  <c r="AY61" i="62" s="1"/>
  <c r="BU192" i="50"/>
  <c r="C94" i="85" s="1"/>
  <c r="C127" i="85" s="1"/>
  <c r="BA9" i="41"/>
  <c r="BJ9" i="41" s="1"/>
  <c r="AM20" i="84"/>
  <c r="BM143" i="50"/>
  <c r="BM56" i="50"/>
  <c r="AC83" i="50"/>
  <c r="AA277" i="50"/>
  <c r="BM277" i="50" s="1"/>
  <c r="BT143" i="50"/>
  <c r="H94" i="62"/>
  <c r="AY94" i="62" s="1"/>
  <c r="BT146" i="50"/>
  <c r="V231" i="50"/>
  <c r="BH231" i="50" s="1"/>
  <c r="AB169" i="50"/>
  <c r="AB189" i="50" s="1"/>
  <c r="BN189" i="50" s="1"/>
  <c r="BT148" i="50"/>
  <c r="AH64" i="50"/>
  <c r="BT64" i="50" s="1"/>
  <c r="BT139" i="50"/>
  <c r="BT155" i="50"/>
  <c r="AI155" i="50"/>
  <c r="BM73" i="50"/>
  <c r="AB73" i="50"/>
  <c r="AD24" i="50"/>
  <c r="BO24" i="50"/>
  <c r="AK126" i="50"/>
  <c r="BV126" i="50"/>
  <c r="AD115" i="50"/>
  <c r="BO115" i="50"/>
  <c r="I95" i="62"/>
  <c r="AZ95" i="62" s="1"/>
  <c r="AI169" i="50"/>
  <c r="O94" i="62"/>
  <c r="BF94" i="62" s="1"/>
  <c r="AK128" i="50"/>
  <c r="BV128" i="50"/>
  <c r="AK129" i="50"/>
  <c r="BV129" i="50"/>
  <c r="AD126" i="50"/>
  <c r="BO126" i="50"/>
  <c r="AD11" i="50"/>
  <c r="BO11" i="50"/>
  <c r="AD119" i="50"/>
  <c r="BO119" i="50"/>
  <c r="AK30" i="50"/>
  <c r="BV30" i="50"/>
  <c r="AD14" i="50"/>
  <c r="BO14" i="50"/>
  <c r="AK31" i="50"/>
  <c r="BV31" i="50"/>
  <c r="AD23" i="50"/>
  <c r="BO23" i="50"/>
  <c r="AJ235" i="50"/>
  <c r="BV235" i="50" s="1"/>
  <c r="AJ11" i="50"/>
  <c r="BU11" i="50"/>
  <c r="AK23" i="50"/>
  <c r="BV23" i="50"/>
  <c r="AD30" i="50"/>
  <c r="BO30" i="50"/>
  <c r="AK119" i="50"/>
  <c r="BV119" i="50"/>
  <c r="AK27" i="50"/>
  <c r="BV27" i="50"/>
  <c r="AD34" i="50"/>
  <c r="BO34" i="50"/>
  <c r="AK175" i="62"/>
  <c r="CB175" i="62" s="1"/>
  <c r="BT135" i="50"/>
  <c r="AK28" i="50"/>
  <c r="BV28" i="50"/>
  <c r="AK12" i="50"/>
  <c r="BV12" i="50"/>
  <c r="AD31" i="50"/>
  <c r="BO31" i="50"/>
  <c r="AK112" i="50"/>
  <c r="BV112" i="50"/>
  <c r="AA8" i="82"/>
  <c r="AE8" i="82" s="1"/>
  <c r="AI8" i="82" s="1"/>
  <c r="AM8" i="82" s="1"/>
  <c r="AQ8" i="82" s="1"/>
  <c r="G243" i="50"/>
  <c r="G265" i="50" s="1"/>
  <c r="AS265" i="50" s="1"/>
  <c r="AJ94" i="62"/>
  <c r="CA94" i="62" s="1"/>
  <c r="AD25" i="50"/>
  <c r="BO25" i="50"/>
  <c r="AD112" i="50"/>
  <c r="BO112" i="50"/>
  <c r="AK14" i="50"/>
  <c r="BV14" i="50"/>
  <c r="AK34" i="50"/>
  <c r="BV34" i="50"/>
  <c r="AK115" i="50"/>
  <c r="BV115" i="50"/>
  <c r="AD26" i="50"/>
  <c r="BO26" i="50"/>
  <c r="AK120" i="50"/>
  <c r="BV120" i="50"/>
  <c r="AJ61" i="62"/>
  <c r="CA61" i="62" s="1"/>
  <c r="AK24" i="50"/>
  <c r="BV24" i="50"/>
  <c r="AD128" i="50"/>
  <c r="BO128" i="50"/>
  <c r="AK123" i="50"/>
  <c r="BV123" i="50"/>
  <c r="AD123" i="50"/>
  <c r="BO123" i="50"/>
  <c r="AD129" i="50"/>
  <c r="BO129" i="50"/>
  <c r="AD28" i="50"/>
  <c r="BO28" i="50"/>
  <c r="AK25" i="50"/>
  <c r="BV25" i="50"/>
  <c r="AD18" i="50"/>
  <c r="BO18" i="50"/>
  <c r="AD27" i="50"/>
  <c r="BO27" i="50"/>
  <c r="AH276" i="50"/>
  <c r="BT276" i="50" s="1"/>
  <c r="AK26" i="50"/>
  <c r="BV26" i="50"/>
  <c r="AK18" i="50"/>
  <c r="BV18" i="50"/>
  <c r="AD12" i="50"/>
  <c r="BO12" i="50"/>
  <c r="AD120" i="50"/>
  <c r="BO120" i="50"/>
  <c r="AZ49" i="53"/>
  <c r="DB49" i="53" s="1"/>
  <c r="CA49" i="53"/>
  <c r="AY49" i="53"/>
  <c r="DA49" i="53" s="1"/>
  <c r="BZ49" i="53"/>
  <c r="BA50" i="53"/>
  <c r="DC50" i="53" s="1"/>
  <c r="CB50" i="53"/>
  <c r="BA49" i="53"/>
  <c r="DC49" i="53" s="1"/>
  <c r="CB49" i="53"/>
  <c r="U238" i="50"/>
  <c r="U260" i="50" s="1"/>
  <c r="BG260" i="50" s="1"/>
  <c r="F265" i="50"/>
  <c r="AR265" i="50" s="1"/>
  <c r="AB78" i="50"/>
  <c r="T276" i="50"/>
  <c r="BF276" i="50" s="1"/>
  <c r="AB81" i="50"/>
  <c r="BN81" i="50" s="1"/>
  <c r="AB163" i="50"/>
  <c r="AB183" i="50" s="1"/>
  <c r="BN183" i="50" s="1"/>
  <c r="F269" i="50"/>
  <c r="AR269" i="50" s="1"/>
  <c r="AB166" i="50"/>
  <c r="BN166" i="50" s="1"/>
  <c r="F271" i="50"/>
  <c r="AR271" i="50" s="1"/>
  <c r="AA263" i="50"/>
  <c r="BM263" i="50" s="1"/>
  <c r="T262" i="50"/>
  <c r="BF262" i="50" s="1"/>
  <c r="F264" i="50"/>
  <c r="AR264" i="50" s="1"/>
  <c r="M261" i="50"/>
  <c r="AY261" i="50" s="1"/>
  <c r="AA260" i="50"/>
  <c r="BM260" i="50" s="1"/>
  <c r="G245" i="50"/>
  <c r="H245" i="50" s="1"/>
  <c r="AC74" i="62"/>
  <c r="BT74" i="62" s="1"/>
  <c r="AD75" i="62"/>
  <c r="BU75" i="62" s="1"/>
  <c r="M275" i="50"/>
  <c r="AY275" i="50" s="1"/>
  <c r="G247" i="50"/>
  <c r="AS247" i="50" s="1"/>
  <c r="P174" i="62"/>
  <c r="BG174" i="62" s="1"/>
  <c r="N253" i="50"/>
  <c r="N275" i="50" s="1"/>
  <c r="AZ275" i="50" s="1"/>
  <c r="M279" i="50"/>
  <c r="AY279" i="50" s="1"/>
  <c r="AJ99" i="62"/>
  <c r="CA99" i="62" s="1"/>
  <c r="AI152" i="50"/>
  <c r="BU152" i="50" s="1"/>
  <c r="AK100" i="62"/>
  <c r="AL100" i="62" s="1"/>
  <c r="AD174" i="62"/>
  <c r="BU174" i="62" s="1"/>
  <c r="O218" i="50"/>
  <c r="BA218" i="50" s="1"/>
  <c r="AC226" i="50"/>
  <c r="BO226" i="50" s="1"/>
  <c r="F268" i="50"/>
  <c r="AR268" i="50" s="1"/>
  <c r="AC80" i="62"/>
  <c r="BT80" i="62" s="1"/>
  <c r="F278" i="50"/>
  <c r="AR278" i="50" s="1"/>
  <c r="AJ50" i="50"/>
  <c r="BV50" i="50" s="1"/>
  <c r="AB155" i="50"/>
  <c r="BN155" i="50" s="1"/>
  <c r="AC234" i="50"/>
  <c r="BO234" i="50" s="1"/>
  <c r="U79" i="62"/>
  <c r="BL79" i="62" s="1"/>
  <c r="AI160" i="50"/>
  <c r="I62" i="62"/>
  <c r="AZ62" i="62" s="1"/>
  <c r="AD72" i="62"/>
  <c r="BU72" i="62" s="1"/>
  <c r="F267" i="50"/>
  <c r="AR267" i="50" s="1"/>
  <c r="AA183" i="50"/>
  <c r="BM183" i="50" s="1"/>
  <c r="P158" i="62"/>
  <c r="BG158" i="62" s="1"/>
  <c r="AD166" i="62"/>
  <c r="BU166" i="62" s="1"/>
  <c r="G246" i="50"/>
  <c r="AS224" i="50"/>
  <c r="N243" i="50"/>
  <c r="AZ243" i="50" s="1"/>
  <c r="AZ221" i="50"/>
  <c r="AB241" i="50"/>
  <c r="BN241" i="50" s="1"/>
  <c r="BN219" i="50"/>
  <c r="AD90" i="62"/>
  <c r="BT90" i="62"/>
  <c r="W198" i="50"/>
  <c r="BH198" i="50"/>
  <c r="AR257" i="50"/>
  <c r="F279" i="50"/>
  <c r="AR279" i="50" s="1"/>
  <c r="P85" i="62"/>
  <c r="BF85" i="62"/>
  <c r="AY248" i="50"/>
  <c r="M270" i="50"/>
  <c r="AY270" i="50" s="1"/>
  <c r="T261" i="50"/>
  <c r="BF261" i="50" s="1"/>
  <c r="BF239" i="50"/>
  <c r="P202" i="50"/>
  <c r="BA202" i="50"/>
  <c r="I169" i="62"/>
  <c r="AY169" i="62"/>
  <c r="H229" i="50"/>
  <c r="AT229" i="50" s="1"/>
  <c r="J66" i="62"/>
  <c r="AZ66" i="62"/>
  <c r="I105" i="62"/>
  <c r="AY105" i="62"/>
  <c r="T277" i="50"/>
  <c r="BF277" i="50" s="1"/>
  <c r="BF255" i="50"/>
  <c r="AD82" i="50"/>
  <c r="BO82" i="50"/>
  <c r="AK194" i="50"/>
  <c r="BV194" i="50"/>
  <c r="W105" i="62"/>
  <c r="BM105" i="62"/>
  <c r="BT257" i="50"/>
  <c r="AH279" i="50"/>
  <c r="BT279" i="50" s="1"/>
  <c r="AC73" i="50"/>
  <c r="BN73" i="50"/>
  <c r="AC168" i="50"/>
  <c r="BN78" i="50"/>
  <c r="N254" i="50"/>
  <c r="AZ254" i="50" s="1"/>
  <c r="AZ232" i="50"/>
  <c r="U255" i="50"/>
  <c r="BG233" i="50"/>
  <c r="AI251" i="50"/>
  <c r="BU229" i="50"/>
  <c r="M272" i="50"/>
  <c r="AY272" i="50" s="1"/>
  <c r="AY250" i="50"/>
  <c r="BF237" i="50"/>
  <c r="T259" i="50"/>
  <c r="BF259" i="50" s="1"/>
  <c r="T236" i="50"/>
  <c r="BF236" i="50" s="1"/>
  <c r="AK199" i="50"/>
  <c r="BV199" i="50"/>
  <c r="W206" i="50"/>
  <c r="BH206" i="50"/>
  <c r="AD108" i="62"/>
  <c r="BT108" i="62"/>
  <c r="AC59" i="50"/>
  <c r="BO59" i="50" s="1"/>
  <c r="P95" i="62"/>
  <c r="BF95" i="62"/>
  <c r="I197" i="50"/>
  <c r="AT197" i="50"/>
  <c r="AK204" i="50"/>
  <c r="BV204" i="50"/>
  <c r="BM68" i="50"/>
  <c r="AB68" i="50"/>
  <c r="AA62" i="50"/>
  <c r="BM62" i="50" s="1"/>
  <c r="BM37" i="50"/>
  <c r="M276" i="50"/>
  <c r="AY276" i="50" s="1"/>
  <c r="U249" i="50"/>
  <c r="BG227" i="50"/>
  <c r="G257" i="50"/>
  <c r="AS235" i="50"/>
  <c r="AA275" i="50"/>
  <c r="BM275" i="50" s="1"/>
  <c r="BM253" i="50"/>
  <c r="F270" i="50"/>
  <c r="AR270" i="50" s="1"/>
  <c r="AR248" i="50"/>
  <c r="AB67" i="62"/>
  <c r="BS67" i="62" s="1"/>
  <c r="AI159" i="50"/>
  <c r="BU159" i="50" s="1"/>
  <c r="BU139" i="50"/>
  <c r="H203" i="50"/>
  <c r="AS203" i="50"/>
  <c r="W73" i="62"/>
  <c r="BM73" i="62"/>
  <c r="P102" i="62"/>
  <c r="BF102" i="62"/>
  <c r="P107" i="62"/>
  <c r="BF107" i="62"/>
  <c r="P210" i="50"/>
  <c r="BA210" i="50"/>
  <c r="BM81" i="62"/>
  <c r="W81" i="62"/>
  <c r="N257" i="50"/>
  <c r="AZ257" i="50" s="1"/>
  <c r="AZ235" i="50"/>
  <c r="T60" i="62"/>
  <c r="BK60" i="62" s="1"/>
  <c r="BK67" i="62"/>
  <c r="BM168" i="50"/>
  <c r="AA188" i="50"/>
  <c r="BM188" i="50" s="1"/>
  <c r="I170" i="62"/>
  <c r="AY170" i="62"/>
  <c r="H230" i="50"/>
  <c r="AT230" i="50" s="1"/>
  <c r="AD103" i="62"/>
  <c r="BT103" i="62"/>
  <c r="AC49" i="50"/>
  <c r="BO49" i="50" s="1"/>
  <c r="I92" i="62"/>
  <c r="AY92" i="62"/>
  <c r="AK210" i="50"/>
  <c r="BV210" i="50"/>
  <c r="I195" i="50"/>
  <c r="AT195" i="50"/>
  <c r="W106" i="62"/>
  <c r="BM106" i="62"/>
  <c r="W85" i="62"/>
  <c r="BM85" i="62"/>
  <c r="AD200" i="50"/>
  <c r="BO200" i="50"/>
  <c r="AR251" i="50"/>
  <c r="G251" i="50"/>
  <c r="Q96" i="62"/>
  <c r="BG96" i="62"/>
  <c r="BT238" i="50"/>
  <c r="AH260" i="50"/>
  <c r="BT260" i="50" s="1"/>
  <c r="M277" i="50"/>
  <c r="AY277" i="50" s="1"/>
  <c r="AY255" i="50"/>
  <c r="AD68" i="62"/>
  <c r="BT68" i="62"/>
  <c r="AK70" i="62"/>
  <c r="CA70" i="62"/>
  <c r="I86" i="62"/>
  <c r="AY86" i="62"/>
  <c r="W89" i="62"/>
  <c r="BM89" i="62"/>
  <c r="AD205" i="50"/>
  <c r="BO205" i="50"/>
  <c r="W98" i="62"/>
  <c r="BM98" i="62"/>
  <c r="AK63" i="62"/>
  <c r="CA63" i="62"/>
  <c r="AJ132" i="50"/>
  <c r="BV132" i="50" s="1"/>
  <c r="AD106" i="62"/>
  <c r="BT106" i="62"/>
  <c r="AY72" i="62"/>
  <c r="H71" i="62"/>
  <c r="AY71" i="62" s="1"/>
  <c r="I72" i="62"/>
  <c r="BT65" i="62"/>
  <c r="AD65" i="62"/>
  <c r="P104" i="62"/>
  <c r="BF104" i="62"/>
  <c r="AD198" i="50"/>
  <c r="BO198" i="50"/>
  <c r="W195" i="50"/>
  <c r="BH195" i="50"/>
  <c r="AK101" i="62"/>
  <c r="CA101" i="62"/>
  <c r="CA84" i="62"/>
  <c r="AK84" i="62"/>
  <c r="W68" i="62"/>
  <c r="BM68" i="62"/>
  <c r="I106" i="62"/>
  <c r="AY106" i="62"/>
  <c r="P212" i="50"/>
  <c r="BA212" i="50"/>
  <c r="I75" i="62"/>
  <c r="AY75" i="62"/>
  <c r="H74" i="62"/>
  <c r="AY74" i="62" s="1"/>
  <c r="M264" i="50"/>
  <c r="AY264" i="50" s="1"/>
  <c r="AY242" i="50"/>
  <c r="T266" i="50"/>
  <c r="BF266" i="50" s="1"/>
  <c r="BF244" i="50"/>
  <c r="P81" i="62"/>
  <c r="BG81" i="62" s="1"/>
  <c r="V83" i="62"/>
  <c r="BM83" i="62" s="1"/>
  <c r="N79" i="62"/>
  <c r="BE79" i="62" s="1"/>
  <c r="BE83" i="62"/>
  <c r="AA236" i="50"/>
  <c r="BM236" i="50" s="1"/>
  <c r="N252" i="50"/>
  <c r="AZ252" i="50" s="1"/>
  <c r="AZ230" i="50"/>
  <c r="U241" i="50"/>
  <c r="BG241" i="50" s="1"/>
  <c r="BG219" i="50"/>
  <c r="BV219" i="50"/>
  <c r="T265" i="50"/>
  <c r="BF265" i="50" s="1"/>
  <c r="V235" i="50"/>
  <c r="G237" i="50"/>
  <c r="AS237" i="50" s="1"/>
  <c r="AS215" i="50"/>
  <c r="BM257" i="50"/>
  <c r="AA279" i="50"/>
  <c r="BM279" i="50" s="1"/>
  <c r="BU148" i="50"/>
  <c r="AI168" i="50"/>
  <c r="AK86" i="62"/>
  <c r="CA86" i="62"/>
  <c r="BT164" i="62"/>
  <c r="AD164" i="62"/>
  <c r="BU164" i="62" s="1"/>
  <c r="CA72" i="62"/>
  <c r="AK72" i="62"/>
  <c r="CB72" i="62" s="1"/>
  <c r="AJ71" i="62"/>
  <c r="CA71" i="62" s="1"/>
  <c r="I98" i="62"/>
  <c r="AY98" i="62"/>
  <c r="AD204" i="50"/>
  <c r="BO204" i="50"/>
  <c r="P91" i="62"/>
  <c r="BF91" i="62"/>
  <c r="AH274" i="50"/>
  <c r="BT274" i="50" s="1"/>
  <c r="BT252" i="50"/>
  <c r="BN74" i="50"/>
  <c r="U243" i="50"/>
  <c r="BG243" i="50" s="1"/>
  <c r="BG221" i="50"/>
  <c r="AK206" i="50"/>
  <c r="BV206" i="50"/>
  <c r="AK89" i="62"/>
  <c r="CA89" i="62"/>
  <c r="AJ146" i="50"/>
  <c r="BV146" i="50" s="1"/>
  <c r="AD202" i="50"/>
  <c r="BO202" i="50"/>
  <c r="AR252" i="50"/>
  <c r="F274" i="50"/>
  <c r="AR274" i="50" s="1"/>
  <c r="G252" i="50"/>
  <c r="G274" i="50" s="1"/>
  <c r="AS274" i="50" s="1"/>
  <c r="AK37" i="50"/>
  <c r="BW37" i="50" s="1"/>
  <c r="CB65" i="62"/>
  <c r="O64" i="62"/>
  <c r="BF64" i="62" s="1"/>
  <c r="BF65" i="62"/>
  <c r="BT166" i="50"/>
  <c r="AI166" i="50"/>
  <c r="AY171" i="62"/>
  <c r="H231" i="50"/>
  <c r="F262" i="50"/>
  <c r="AR262" i="50" s="1"/>
  <c r="AR240" i="50"/>
  <c r="AA264" i="50"/>
  <c r="BM264" i="50" s="1"/>
  <c r="BM242" i="50"/>
  <c r="AB242" i="50"/>
  <c r="AC242" i="50" s="1"/>
  <c r="AA273" i="50"/>
  <c r="BM273" i="50" s="1"/>
  <c r="BM251" i="50"/>
  <c r="P207" i="50"/>
  <c r="BA207" i="50"/>
  <c r="I93" i="62"/>
  <c r="AY93" i="62"/>
  <c r="P82" i="62"/>
  <c r="BF82" i="62"/>
  <c r="BF251" i="50"/>
  <c r="T273" i="50"/>
  <c r="BF273" i="50" s="1"/>
  <c r="P103" i="62"/>
  <c r="BF103" i="62"/>
  <c r="U248" i="50"/>
  <c r="BG248" i="50" s="1"/>
  <c r="BG226" i="50"/>
  <c r="AI163" i="50"/>
  <c r="BU163" i="50" s="1"/>
  <c r="BU143" i="50"/>
  <c r="BL71" i="62"/>
  <c r="U67" i="62"/>
  <c r="BL67" i="62" s="1"/>
  <c r="P87" i="62"/>
  <c r="BF87" i="62"/>
  <c r="AK207" i="50"/>
  <c r="BV207" i="50"/>
  <c r="AD203" i="50"/>
  <c r="BO203" i="50"/>
  <c r="V71" i="62"/>
  <c r="BM71" i="62" s="1"/>
  <c r="AI247" i="50"/>
  <c r="BU247" i="50" s="1"/>
  <c r="BU225" i="50"/>
  <c r="AB250" i="50"/>
  <c r="BN228" i="50"/>
  <c r="N246" i="50"/>
  <c r="AZ224" i="50"/>
  <c r="AB245" i="50"/>
  <c r="BN245" i="50" s="1"/>
  <c r="BN223" i="50"/>
  <c r="O224" i="50"/>
  <c r="BA224" i="50" s="1"/>
  <c r="G240" i="50"/>
  <c r="AS218" i="50"/>
  <c r="I193" i="50"/>
  <c r="AT193" i="50"/>
  <c r="I63" i="62"/>
  <c r="AY63" i="62"/>
  <c r="AY240" i="50"/>
  <c r="M262" i="50"/>
  <c r="AY262" i="50" s="1"/>
  <c r="AK208" i="50"/>
  <c r="BV208" i="50"/>
  <c r="W77" i="62"/>
  <c r="BM77" i="62"/>
  <c r="V74" i="62"/>
  <c r="BM74" i="62" s="1"/>
  <c r="I87" i="62"/>
  <c r="AY87" i="62"/>
  <c r="P213" i="50"/>
  <c r="BA213" i="50"/>
  <c r="W86" i="62"/>
  <c r="BM86" i="62"/>
  <c r="BU81" i="62"/>
  <c r="AE81" i="62"/>
  <c r="BN59" i="50"/>
  <c r="AB84" i="50"/>
  <c r="AD210" i="50"/>
  <c r="BO210" i="50"/>
  <c r="I196" i="50"/>
  <c r="AT196" i="50"/>
  <c r="P92" i="62"/>
  <c r="BF92" i="62"/>
  <c r="AG60" i="62"/>
  <c r="BX60" i="62" s="1"/>
  <c r="BX79" i="62"/>
  <c r="AK209" i="50"/>
  <c r="BV209" i="50"/>
  <c r="W210" i="50"/>
  <c r="BH210" i="50"/>
  <c r="AK91" i="62"/>
  <c r="CA91" i="62"/>
  <c r="AJ148" i="50"/>
  <c r="BV148" i="50" s="1"/>
  <c r="M265" i="50"/>
  <c r="AY265" i="50" s="1"/>
  <c r="AY243" i="50"/>
  <c r="AD85" i="62"/>
  <c r="BT85" i="62"/>
  <c r="I108" i="62"/>
  <c r="AY108" i="62"/>
  <c r="I159" i="62"/>
  <c r="AY159" i="62"/>
  <c r="H219" i="50"/>
  <c r="AT219" i="50" s="1"/>
  <c r="W205" i="50"/>
  <c r="BH205" i="50"/>
  <c r="I76" i="62"/>
  <c r="AY76" i="62"/>
  <c r="AD105" i="62"/>
  <c r="BT105" i="62"/>
  <c r="AC55" i="50"/>
  <c r="BO55" i="50" s="1"/>
  <c r="AD193" i="50"/>
  <c r="BO193" i="50"/>
  <c r="AK87" i="62"/>
  <c r="CA87" i="62"/>
  <c r="P98" i="62"/>
  <c r="BF98" i="62"/>
  <c r="P76" i="62"/>
  <c r="BF76" i="62"/>
  <c r="BT241" i="50"/>
  <c r="AH263" i="50"/>
  <c r="BT263" i="50" s="1"/>
  <c r="I206" i="50"/>
  <c r="AT206" i="50"/>
  <c r="P66" i="62"/>
  <c r="BF66" i="62"/>
  <c r="AK195" i="50"/>
  <c r="BV195" i="50"/>
  <c r="AK103" i="62"/>
  <c r="CA103" i="62"/>
  <c r="P78" i="62"/>
  <c r="BF78" i="62"/>
  <c r="I198" i="50"/>
  <c r="AT198" i="50"/>
  <c r="AA274" i="50"/>
  <c r="BM274" i="50" s="1"/>
  <c r="BM252" i="50"/>
  <c r="AR241" i="50"/>
  <c r="G241" i="50"/>
  <c r="G263" i="50" s="1"/>
  <c r="AS263" i="50" s="1"/>
  <c r="AH264" i="50"/>
  <c r="BT264" i="50" s="1"/>
  <c r="BT242" i="50"/>
  <c r="BT100" i="62"/>
  <c r="AD100" i="62"/>
  <c r="AC50" i="50"/>
  <c r="BO50" i="50" s="1"/>
  <c r="AK193" i="50"/>
  <c r="BV193" i="50"/>
  <c r="AD98" i="62"/>
  <c r="BT98" i="62"/>
  <c r="L60" i="62"/>
  <c r="BC60" i="62" s="1"/>
  <c r="BC79" i="62"/>
  <c r="F276" i="50"/>
  <c r="AR276" i="50" s="1"/>
  <c r="AR254" i="50"/>
  <c r="AB255" i="50"/>
  <c r="BN255" i="50" s="1"/>
  <c r="BN233" i="50"/>
  <c r="AI242" i="50"/>
  <c r="BU220" i="50"/>
  <c r="P156" i="62"/>
  <c r="BG156" i="62" s="1"/>
  <c r="BF156" i="62"/>
  <c r="W78" i="62"/>
  <c r="BM78" i="62"/>
  <c r="I200" i="50"/>
  <c r="AT200" i="50"/>
  <c r="I73" i="62"/>
  <c r="AY73" i="62"/>
  <c r="AK92" i="62"/>
  <c r="CA92" i="62"/>
  <c r="AK211" i="50"/>
  <c r="BV211" i="50"/>
  <c r="I89" i="62"/>
  <c r="AY89" i="62"/>
  <c r="P86" i="62"/>
  <c r="BF86" i="62"/>
  <c r="AY246" i="50"/>
  <c r="M268" i="50"/>
  <c r="AY268" i="50" s="1"/>
  <c r="W93" i="62"/>
  <c r="BM93" i="62"/>
  <c r="P69" i="62"/>
  <c r="BF69" i="62"/>
  <c r="AD194" i="50"/>
  <c r="BO194" i="50"/>
  <c r="AH270" i="50"/>
  <c r="BT270" i="50" s="1"/>
  <c r="BT248" i="50"/>
  <c r="AD104" i="62"/>
  <c r="BT104" i="62"/>
  <c r="AC53" i="50"/>
  <c r="BO53" i="50" s="1"/>
  <c r="AK198" i="50"/>
  <c r="BV198" i="50"/>
  <c r="F266" i="50"/>
  <c r="AR266" i="50" s="1"/>
  <c r="AR244" i="50"/>
  <c r="U246" i="50"/>
  <c r="BG224" i="50"/>
  <c r="G248" i="50"/>
  <c r="AS248" i="50" s="1"/>
  <c r="AS226" i="50"/>
  <c r="U257" i="50"/>
  <c r="BG235" i="50"/>
  <c r="E60" i="51"/>
  <c r="AV60" i="51" s="1"/>
  <c r="AV67" i="51"/>
  <c r="H205" i="50"/>
  <c r="AS205" i="50"/>
  <c r="AD206" i="50"/>
  <c r="BO206" i="50"/>
  <c r="P206" i="50"/>
  <c r="BA206" i="50"/>
  <c r="AY251" i="50"/>
  <c r="M273" i="50"/>
  <c r="AY273" i="50" s="1"/>
  <c r="I204" i="50"/>
  <c r="AT204" i="50"/>
  <c r="P70" i="62"/>
  <c r="BF70" i="62"/>
  <c r="AB244" i="50"/>
  <c r="BN222" i="50"/>
  <c r="AR255" i="50"/>
  <c r="G255" i="50"/>
  <c r="AK36" i="50"/>
  <c r="BW36" i="50" s="1"/>
  <c r="CB62" i="62"/>
  <c r="N250" i="50"/>
  <c r="AZ228" i="50"/>
  <c r="I171" i="62"/>
  <c r="AZ171" i="62" s="1"/>
  <c r="AI240" i="50"/>
  <c r="BU240" i="50" s="1"/>
  <c r="BU218" i="50"/>
  <c r="AI255" i="50"/>
  <c r="BU233" i="50"/>
  <c r="BT239" i="50"/>
  <c r="AH261" i="50"/>
  <c r="BT261" i="50" s="1"/>
  <c r="AR237" i="50"/>
  <c r="F259" i="50"/>
  <c r="AR259" i="50" s="1"/>
  <c r="BF247" i="50"/>
  <c r="T269" i="50"/>
  <c r="BF269" i="50" s="1"/>
  <c r="C70" i="67"/>
  <c r="C125" i="67" s="1"/>
  <c r="BN192" i="50"/>
  <c r="C70" i="85" s="1"/>
  <c r="C125" i="85" s="1"/>
  <c r="AA259" i="50"/>
  <c r="BM259" i="50" s="1"/>
  <c r="F236" i="50"/>
  <c r="AR236" i="50" s="1"/>
  <c r="AI250" i="50"/>
  <c r="BU250" i="50" s="1"/>
  <c r="BU228" i="50"/>
  <c r="G239" i="50"/>
  <c r="AS239" i="50" s="1"/>
  <c r="AS217" i="50"/>
  <c r="AJ217" i="50"/>
  <c r="CA157" i="62"/>
  <c r="AH236" i="50"/>
  <c r="BT236" i="50" s="1"/>
  <c r="AI257" i="50"/>
  <c r="BU235" i="50"/>
  <c r="AA180" i="50"/>
  <c r="BM180" i="50" s="1"/>
  <c r="BM160" i="50"/>
  <c r="AA271" i="50"/>
  <c r="BM271" i="50" s="1"/>
  <c r="BM249" i="50"/>
  <c r="AD199" i="50"/>
  <c r="BO199" i="50"/>
  <c r="W199" i="50"/>
  <c r="BH199" i="50"/>
  <c r="W70" i="62"/>
  <c r="BM70" i="62"/>
  <c r="T271" i="50"/>
  <c r="BF271" i="50" s="1"/>
  <c r="BF249" i="50"/>
  <c r="P73" i="62"/>
  <c r="BF73" i="62"/>
  <c r="Z60" i="62"/>
  <c r="BQ60" i="62" s="1"/>
  <c r="BQ79" i="62"/>
  <c r="W102" i="62"/>
  <c r="BM102" i="62"/>
  <c r="W202" i="50"/>
  <c r="BH202" i="50"/>
  <c r="O80" i="62"/>
  <c r="BF80" i="62" s="1"/>
  <c r="AJ83" i="62"/>
  <c r="CA83" i="62" s="1"/>
  <c r="G250" i="50"/>
  <c r="AS228" i="50"/>
  <c r="AB257" i="50"/>
  <c r="BN257" i="50" s="1"/>
  <c r="BN235" i="50"/>
  <c r="AB237" i="50"/>
  <c r="BN237" i="50" s="1"/>
  <c r="BN215" i="50"/>
  <c r="U256" i="50"/>
  <c r="BG234" i="50"/>
  <c r="N248" i="50"/>
  <c r="AZ226" i="50"/>
  <c r="AA159" i="50"/>
  <c r="BM159" i="50" s="1"/>
  <c r="BM139" i="50"/>
  <c r="U252" i="50"/>
  <c r="BG230" i="50"/>
  <c r="U254" i="50"/>
  <c r="BG254" i="50" s="1"/>
  <c r="BG232" i="50"/>
  <c r="U240" i="50"/>
  <c r="BG240" i="50" s="1"/>
  <c r="BG218" i="50"/>
  <c r="AI244" i="50"/>
  <c r="BU244" i="50" s="1"/>
  <c r="BU222" i="50"/>
  <c r="N247" i="50"/>
  <c r="AZ247" i="50" s="1"/>
  <c r="AZ225" i="50"/>
  <c r="W175" i="62"/>
  <c r="BN175" i="62" s="1"/>
  <c r="AI238" i="50"/>
  <c r="BU238" i="50" s="1"/>
  <c r="BU216" i="50"/>
  <c r="AB76" i="50"/>
  <c r="BN76" i="50" s="1"/>
  <c r="BN51" i="50"/>
  <c r="AJ169" i="50"/>
  <c r="BU169" i="50"/>
  <c r="W208" i="50"/>
  <c r="BH208" i="50"/>
  <c r="BT253" i="50"/>
  <c r="AH275" i="50"/>
  <c r="BT275" i="50" s="1"/>
  <c r="AD201" i="50"/>
  <c r="BO201" i="50"/>
  <c r="AK82" i="62"/>
  <c r="CA82" i="62"/>
  <c r="AJ140" i="50"/>
  <c r="BV140" i="50" s="1"/>
  <c r="W101" i="62"/>
  <c r="BM101" i="62"/>
  <c r="W66" i="62"/>
  <c r="BM66" i="62"/>
  <c r="W63" i="62"/>
  <c r="W61" i="62" s="1"/>
  <c r="BN61" i="62" s="1"/>
  <c r="BM63" i="62"/>
  <c r="P204" i="50"/>
  <c r="BA204" i="50"/>
  <c r="W212" i="50"/>
  <c r="BH212" i="50"/>
  <c r="P195" i="50"/>
  <c r="BA195" i="50"/>
  <c r="W169" i="62"/>
  <c r="BM169" i="62"/>
  <c r="AA186" i="50"/>
  <c r="BM186" i="50" s="1"/>
  <c r="BM166" i="50"/>
  <c r="AJ43" i="50"/>
  <c r="BV43" i="50" s="1"/>
  <c r="AD70" i="62"/>
  <c r="BT70" i="62"/>
  <c r="W200" i="50"/>
  <c r="BH200" i="50"/>
  <c r="P89" i="62"/>
  <c r="BF89" i="62"/>
  <c r="I88" i="62"/>
  <c r="AY88" i="62"/>
  <c r="F277" i="50"/>
  <c r="AR277" i="50" s="1"/>
  <c r="AJ155" i="50"/>
  <c r="BU155" i="50"/>
  <c r="P164" i="62"/>
  <c r="BG164" i="62" s="1"/>
  <c r="AA265" i="50"/>
  <c r="BM265" i="50" s="1"/>
  <c r="BM243" i="50"/>
  <c r="T274" i="50"/>
  <c r="BF274" i="50" s="1"/>
  <c r="BF252" i="50"/>
  <c r="AI239" i="50"/>
  <c r="BU217" i="50"/>
  <c r="BF256" i="50"/>
  <c r="T278" i="50"/>
  <c r="BF278" i="50" s="1"/>
  <c r="H201" i="50"/>
  <c r="AS201" i="50"/>
  <c r="W90" i="62"/>
  <c r="BM90" i="62"/>
  <c r="AD89" i="62"/>
  <c r="BT89" i="62"/>
  <c r="AC146" i="50"/>
  <c r="BO146" i="50" s="1"/>
  <c r="P108" i="62"/>
  <c r="BF108" i="62"/>
  <c r="P198" i="50"/>
  <c r="BA198" i="50"/>
  <c r="U251" i="50"/>
  <c r="BG229" i="50"/>
  <c r="AD162" i="62"/>
  <c r="BU162" i="62" s="1"/>
  <c r="BT162" i="62"/>
  <c r="V61" i="62"/>
  <c r="BM61" i="62" s="1"/>
  <c r="BM62" i="62"/>
  <c r="AD93" i="62"/>
  <c r="BT93" i="62"/>
  <c r="W197" i="50"/>
  <c r="BH197" i="50"/>
  <c r="BT84" i="62"/>
  <c r="AD84" i="62"/>
  <c r="AC83" i="62"/>
  <c r="BT83" i="62" s="1"/>
  <c r="P63" i="62"/>
  <c r="BF63" i="62"/>
  <c r="AK96" i="62"/>
  <c r="CA96" i="62"/>
  <c r="AK205" i="50"/>
  <c r="BV205" i="50"/>
  <c r="AD97" i="62"/>
  <c r="BT97" i="62"/>
  <c r="I102" i="62"/>
  <c r="AY102" i="62"/>
  <c r="P93" i="62"/>
  <c r="BF93" i="62"/>
  <c r="BM254" i="50"/>
  <c r="AA276" i="50"/>
  <c r="BM276" i="50" s="1"/>
  <c r="AD208" i="50"/>
  <c r="BO208" i="50"/>
  <c r="BM239" i="50"/>
  <c r="AA261" i="50"/>
  <c r="BM261" i="50" s="1"/>
  <c r="AK203" i="50"/>
  <c r="BV203" i="50"/>
  <c r="W104" i="62"/>
  <c r="BM104" i="62"/>
  <c r="I210" i="50"/>
  <c r="AT210" i="50"/>
  <c r="F261" i="50"/>
  <c r="AR261" i="50" s="1"/>
  <c r="AR239" i="50"/>
  <c r="AK90" i="62"/>
  <c r="CA90" i="62"/>
  <c r="AD209" i="50"/>
  <c r="BO209" i="50"/>
  <c r="W211" i="50"/>
  <c r="BH211" i="50"/>
  <c r="P106" i="62"/>
  <c r="BF106" i="62"/>
  <c r="W201" i="50"/>
  <c r="BH201" i="50"/>
  <c r="P97" i="62"/>
  <c r="BF97" i="62"/>
  <c r="AK102" i="62"/>
  <c r="CA102" i="62"/>
  <c r="AH278" i="50"/>
  <c r="BT278" i="50" s="1"/>
  <c r="BT256" i="50"/>
  <c r="AH262" i="50"/>
  <c r="BT262" i="50" s="1"/>
  <c r="BT240" i="50"/>
  <c r="I103" i="62"/>
  <c r="AY103" i="62"/>
  <c r="H207" i="50"/>
  <c r="AS207" i="50"/>
  <c r="T264" i="50"/>
  <c r="BF264" i="50" s="1"/>
  <c r="BF242" i="50"/>
  <c r="F272" i="50"/>
  <c r="AR272" i="50" s="1"/>
  <c r="AR250" i="50"/>
  <c r="AD197" i="50"/>
  <c r="BO197" i="50"/>
  <c r="AY84" i="62"/>
  <c r="I84" i="62"/>
  <c r="H83" i="62"/>
  <c r="AY83" i="62" s="1"/>
  <c r="P68" i="62"/>
  <c r="BF68" i="62"/>
  <c r="BM256" i="50"/>
  <c r="AA278" i="50"/>
  <c r="BM278" i="50" s="1"/>
  <c r="AC51" i="50"/>
  <c r="BO51" i="50" s="1"/>
  <c r="BT101" i="62"/>
  <c r="AJ139" i="50"/>
  <c r="BV139" i="50" s="1"/>
  <c r="CA81" i="62"/>
  <c r="AI248" i="50"/>
  <c r="BU248" i="50" s="1"/>
  <c r="BU226" i="50"/>
  <c r="U239" i="50"/>
  <c r="BG239" i="50" s="1"/>
  <c r="BG217" i="50"/>
  <c r="W171" i="62"/>
  <c r="BN171" i="62" s="1"/>
  <c r="N241" i="50"/>
  <c r="AZ241" i="50" s="1"/>
  <c r="AZ219" i="50"/>
  <c r="AI243" i="50"/>
  <c r="BU243" i="50" s="1"/>
  <c r="BU221" i="50"/>
  <c r="AB249" i="50"/>
  <c r="BN227" i="50"/>
  <c r="AB251" i="50"/>
  <c r="BN251" i="50" s="1"/>
  <c r="BN229" i="50"/>
  <c r="U244" i="50"/>
  <c r="BG244" i="50" s="1"/>
  <c r="BG222" i="50"/>
  <c r="U242" i="50"/>
  <c r="BG242" i="50" s="1"/>
  <c r="BG220" i="50"/>
  <c r="G254" i="50"/>
  <c r="AS232" i="50"/>
  <c r="AB243" i="50"/>
  <c r="BN243" i="50" s="1"/>
  <c r="BN221" i="50"/>
  <c r="N244" i="50"/>
  <c r="AZ244" i="50" s="1"/>
  <c r="AZ222" i="50"/>
  <c r="AI253" i="50"/>
  <c r="BU231" i="50"/>
  <c r="W163" i="62"/>
  <c r="BN163" i="62" s="1"/>
  <c r="BM163" i="62"/>
  <c r="AB246" i="50"/>
  <c r="AC246" i="50" s="1"/>
  <c r="BN224" i="50"/>
  <c r="S60" i="51"/>
  <c r="BJ60" i="51" s="1"/>
  <c r="BJ67" i="51"/>
  <c r="AH268" i="50"/>
  <c r="BT268" i="50" s="1"/>
  <c r="BT246" i="50"/>
  <c r="M263" i="50"/>
  <c r="AY263" i="50" s="1"/>
  <c r="AY241" i="50"/>
  <c r="M269" i="50"/>
  <c r="AY269" i="50" s="1"/>
  <c r="AY247" i="50"/>
  <c r="AH266" i="50"/>
  <c r="BT266" i="50" s="1"/>
  <c r="BT244" i="50"/>
  <c r="AK97" i="62"/>
  <c r="CA97" i="62"/>
  <c r="I165" i="62"/>
  <c r="AY165" i="62"/>
  <c r="H225" i="50"/>
  <c r="AT225" i="50" s="1"/>
  <c r="I167" i="62"/>
  <c r="AY167" i="62"/>
  <c r="H227" i="50"/>
  <c r="AT227" i="50" s="1"/>
  <c r="P196" i="50"/>
  <c r="BA196" i="50"/>
  <c r="P203" i="50"/>
  <c r="BA203" i="50"/>
  <c r="AY238" i="50"/>
  <c r="M260" i="50"/>
  <c r="AY260" i="50" s="1"/>
  <c r="P209" i="50"/>
  <c r="BA209" i="50"/>
  <c r="W92" i="62"/>
  <c r="BM92" i="62"/>
  <c r="AK98" i="62"/>
  <c r="CA98" i="62"/>
  <c r="AB254" i="50"/>
  <c r="BN232" i="50"/>
  <c r="AH259" i="50"/>
  <c r="BT259" i="50" s="1"/>
  <c r="BT237" i="50"/>
  <c r="AH272" i="50"/>
  <c r="BT272" i="50" s="1"/>
  <c r="BT250" i="50"/>
  <c r="AK200" i="50"/>
  <c r="BV200" i="50"/>
  <c r="P100" i="62"/>
  <c r="BF100" i="62"/>
  <c r="AD77" i="62"/>
  <c r="BT77" i="62"/>
  <c r="BF238" i="50"/>
  <c r="T260" i="50"/>
  <c r="BF260" i="50" s="1"/>
  <c r="AK77" i="62"/>
  <c r="CA77" i="62"/>
  <c r="P199" i="50"/>
  <c r="BA199" i="50"/>
  <c r="W69" i="62"/>
  <c r="BM69" i="62"/>
  <c r="P90" i="62"/>
  <c r="BF90" i="62"/>
  <c r="T270" i="50"/>
  <c r="BF270" i="50" s="1"/>
  <c r="BF248" i="50"/>
  <c r="W103" i="62"/>
  <c r="BM103" i="62"/>
  <c r="AK69" i="62"/>
  <c r="CA69" i="62"/>
  <c r="AK108" i="62"/>
  <c r="CA108" i="62"/>
  <c r="AY244" i="50"/>
  <c r="M266" i="50"/>
  <c r="AY266" i="50" s="1"/>
  <c r="AD91" i="62"/>
  <c r="BT91" i="62"/>
  <c r="AK107" i="62"/>
  <c r="CA107" i="62"/>
  <c r="W193" i="50"/>
  <c r="BH193" i="50"/>
  <c r="AH265" i="50"/>
  <c r="BT265" i="50" s="1"/>
  <c r="BT243" i="50"/>
  <c r="AA267" i="50"/>
  <c r="BM267" i="50" s="1"/>
  <c r="BM245" i="50"/>
  <c r="W97" i="62"/>
  <c r="BM97" i="62"/>
  <c r="P201" i="50"/>
  <c r="BA201" i="50"/>
  <c r="P194" i="50"/>
  <c r="BA194" i="50"/>
  <c r="AK66" i="62"/>
  <c r="AK64" i="62" s="1"/>
  <c r="CB64" i="62" s="1"/>
  <c r="CA66" i="62"/>
  <c r="I85" i="62"/>
  <c r="AY85" i="62"/>
  <c r="P200" i="50"/>
  <c r="BA200" i="50"/>
  <c r="I82" i="62"/>
  <c r="AY82" i="62"/>
  <c r="AK106" i="62"/>
  <c r="CA106" i="62"/>
  <c r="BM244" i="50"/>
  <c r="AA266" i="50"/>
  <c r="BM266" i="50" s="1"/>
  <c r="W88" i="62"/>
  <c r="BM88" i="62"/>
  <c r="BT249" i="50"/>
  <c r="AH271" i="50"/>
  <c r="BT271" i="50" s="1"/>
  <c r="AD213" i="50"/>
  <c r="BO213" i="50"/>
  <c r="AK93" i="62"/>
  <c r="CA93" i="62"/>
  <c r="I91" i="62"/>
  <c r="AY91" i="62"/>
  <c r="BT255" i="50"/>
  <c r="AH277" i="50"/>
  <c r="BT277" i="50" s="1"/>
  <c r="AD88" i="62"/>
  <c r="BT88" i="62"/>
  <c r="AK196" i="50"/>
  <c r="BV196" i="50"/>
  <c r="AA262" i="50"/>
  <c r="BM262" i="50" s="1"/>
  <c r="BM240" i="50"/>
  <c r="M274" i="50"/>
  <c r="AY274" i="50" s="1"/>
  <c r="AY252" i="50"/>
  <c r="H212" i="50"/>
  <c r="AS212" i="50"/>
  <c r="P211" i="50"/>
  <c r="BA211" i="50"/>
  <c r="BF257" i="50"/>
  <c r="T279" i="50"/>
  <c r="BF279" i="50" s="1"/>
  <c r="P105" i="62"/>
  <c r="BF105" i="62"/>
  <c r="P208" i="50"/>
  <c r="BA208" i="50"/>
  <c r="U250" i="50"/>
  <c r="BG250" i="50" s="1"/>
  <c r="BG228" i="50"/>
  <c r="N249" i="50"/>
  <c r="AZ227" i="50"/>
  <c r="AB239" i="50"/>
  <c r="BN217" i="50"/>
  <c r="U237" i="50"/>
  <c r="BG237" i="50" s="1"/>
  <c r="BG215" i="50"/>
  <c r="N256" i="50"/>
  <c r="O256" i="50" s="1"/>
  <c r="AZ234" i="50"/>
  <c r="N240" i="50"/>
  <c r="AZ218" i="50"/>
  <c r="AD172" i="62"/>
  <c r="BU172" i="62" s="1"/>
  <c r="BT172" i="62"/>
  <c r="AC216" i="50"/>
  <c r="BO216" i="50" s="1"/>
  <c r="BT156" i="62"/>
  <c r="BF253" i="50"/>
  <c r="T275" i="50"/>
  <c r="BF275" i="50" s="1"/>
  <c r="AK78" i="62"/>
  <c r="CA78" i="62"/>
  <c r="W108" i="62"/>
  <c r="BM108" i="62"/>
  <c r="AK73" i="62"/>
  <c r="CA73" i="62"/>
  <c r="I104" i="62"/>
  <c r="AY104" i="62"/>
  <c r="W213" i="50"/>
  <c r="BH213" i="50"/>
  <c r="AD212" i="50"/>
  <c r="BO212" i="50"/>
  <c r="AK197" i="50"/>
  <c r="BV197" i="50"/>
  <c r="AK201" i="50"/>
  <c r="BV201" i="50"/>
  <c r="AD102" i="62"/>
  <c r="BT102" i="62"/>
  <c r="AD196" i="50"/>
  <c r="BO196" i="50"/>
  <c r="BT251" i="50"/>
  <c r="AH273" i="50"/>
  <c r="BT273" i="50" s="1"/>
  <c r="I77" i="62"/>
  <c r="AY77" i="62"/>
  <c r="I213" i="50"/>
  <c r="AT213" i="50"/>
  <c r="W76" i="62"/>
  <c r="BM76" i="62"/>
  <c r="P171" i="62"/>
  <c r="BF171" i="62"/>
  <c r="O231" i="50"/>
  <c r="BA231" i="50" s="1"/>
  <c r="I96" i="62"/>
  <c r="AY96" i="62"/>
  <c r="BT245" i="50"/>
  <c r="AH267" i="50"/>
  <c r="BT267" i="50" s="1"/>
  <c r="AD92" i="62"/>
  <c r="BT92" i="62"/>
  <c r="P193" i="50"/>
  <c r="BA193" i="50"/>
  <c r="BF245" i="50"/>
  <c r="T267" i="50"/>
  <c r="BF267" i="50" s="1"/>
  <c r="AD69" i="62"/>
  <c r="BT69" i="62"/>
  <c r="AK213" i="50"/>
  <c r="BV213" i="50"/>
  <c r="U245" i="50"/>
  <c r="V245" i="50" s="1"/>
  <c r="BH245" i="50" s="1"/>
  <c r="BG223" i="50"/>
  <c r="M267" i="50"/>
  <c r="AY267" i="50" s="1"/>
  <c r="AY245" i="50"/>
  <c r="U253" i="50"/>
  <c r="H199" i="50"/>
  <c r="AS199" i="50"/>
  <c r="I68" i="62"/>
  <c r="AY68" i="62"/>
  <c r="W87" i="62"/>
  <c r="BM87" i="62"/>
  <c r="I90" i="62"/>
  <c r="AY90" i="62"/>
  <c r="I107" i="62"/>
  <c r="AY107" i="62"/>
  <c r="M271" i="50"/>
  <c r="AY271" i="50" s="1"/>
  <c r="AY249" i="50"/>
  <c r="AB252" i="50"/>
  <c r="BN230" i="50"/>
  <c r="AD160" i="62"/>
  <c r="BU160" i="62" s="1"/>
  <c r="BT160" i="62"/>
  <c r="AK88" i="62"/>
  <c r="CA88" i="62"/>
  <c r="O61" i="62"/>
  <c r="BF61" i="62" s="1"/>
  <c r="G79" i="62"/>
  <c r="AX79" i="62" s="1"/>
  <c r="AX80" i="62"/>
  <c r="AC132" i="50"/>
  <c r="BO132" i="50" s="1"/>
  <c r="BT63" i="62"/>
  <c r="AA75" i="50"/>
  <c r="BM75" i="50" s="1"/>
  <c r="BM50" i="50"/>
  <c r="N251" i="50"/>
  <c r="AZ251" i="50" s="1"/>
  <c r="AZ229" i="50"/>
  <c r="N245" i="50"/>
  <c r="AZ223" i="50"/>
  <c r="AB253" i="50"/>
  <c r="BN253" i="50" s="1"/>
  <c r="BN231" i="50"/>
  <c r="AI254" i="50"/>
  <c r="BU254" i="50" s="1"/>
  <c r="BU232" i="50"/>
  <c r="V216" i="50"/>
  <c r="BH216" i="50" s="1"/>
  <c r="BM156" i="62"/>
  <c r="AI67" i="62"/>
  <c r="BZ67" i="62" s="1"/>
  <c r="BZ74" i="62"/>
  <c r="AD79" i="50"/>
  <c r="BO79" i="50"/>
  <c r="N239" i="50"/>
  <c r="AZ239" i="50" s="1"/>
  <c r="AZ217" i="50"/>
  <c r="BH223" i="50"/>
  <c r="AI252" i="50"/>
  <c r="BU230" i="50"/>
  <c r="G244" i="50"/>
  <c r="AS244" i="50" s="1"/>
  <c r="AS222" i="50"/>
  <c r="N242" i="50"/>
  <c r="AZ220" i="50"/>
  <c r="AI246" i="50"/>
  <c r="BU224" i="50"/>
  <c r="U247" i="50"/>
  <c r="BG247" i="50" s="1"/>
  <c r="BG225" i="50"/>
  <c r="AB247" i="50"/>
  <c r="BN247" i="50" s="1"/>
  <c r="BN225" i="50"/>
  <c r="N255" i="50"/>
  <c r="AZ233" i="50"/>
  <c r="AC222" i="50"/>
  <c r="AI256" i="50"/>
  <c r="BU234" i="50"/>
  <c r="AB79" i="62"/>
  <c r="BS79" i="62" s="1"/>
  <c r="BS80" i="62"/>
  <c r="AI245" i="50"/>
  <c r="BU223" i="50"/>
  <c r="AB240" i="50"/>
  <c r="BN218" i="50"/>
  <c r="AB248" i="50"/>
  <c r="BN226" i="50"/>
  <c r="AH60" i="62"/>
  <c r="BY60" i="62" s="1"/>
  <c r="BY67" i="62"/>
  <c r="AB238" i="50"/>
  <c r="AS238" i="50"/>
  <c r="AJ52" i="50"/>
  <c r="BV52" i="50" s="1"/>
  <c r="O215" i="50"/>
  <c r="BA215" i="50" s="1"/>
  <c r="BF155" i="62"/>
  <c r="AB160" i="50"/>
  <c r="BN160" i="50" s="1"/>
  <c r="BN140" i="50"/>
  <c r="AI249" i="50"/>
  <c r="AJ249" i="50" s="1"/>
  <c r="BV249" i="50" s="1"/>
  <c r="BU227" i="50"/>
  <c r="AA272" i="50"/>
  <c r="BM272" i="50" s="1"/>
  <c r="BM250" i="50"/>
  <c r="AA269" i="50"/>
  <c r="BM269" i="50" s="1"/>
  <c r="BM247" i="50"/>
  <c r="H211" i="50"/>
  <c r="AS211" i="50"/>
  <c r="G253" i="50"/>
  <c r="AS231" i="50"/>
  <c r="AK85" i="62"/>
  <c r="CA85" i="62"/>
  <c r="P77" i="62"/>
  <c r="BF77" i="62"/>
  <c r="W196" i="50"/>
  <c r="BH196" i="50"/>
  <c r="AD87" i="62"/>
  <c r="BT87" i="62"/>
  <c r="AA268" i="50"/>
  <c r="BM268" i="50" s="1"/>
  <c r="BM246" i="50"/>
  <c r="AK76" i="62"/>
  <c r="CA76" i="62"/>
  <c r="P205" i="50"/>
  <c r="BA205" i="50"/>
  <c r="I160" i="62"/>
  <c r="AY160" i="62"/>
  <c r="H220" i="50"/>
  <c r="AT220" i="50" s="1"/>
  <c r="T272" i="50"/>
  <c r="BF272" i="50" s="1"/>
  <c r="BF250" i="50"/>
  <c r="H202" i="50"/>
  <c r="AS202" i="50"/>
  <c r="H194" i="50"/>
  <c r="AS194" i="50"/>
  <c r="AA189" i="50"/>
  <c r="BM189" i="50" s="1"/>
  <c r="BM169" i="50"/>
  <c r="AD78" i="62"/>
  <c r="BT78" i="62"/>
  <c r="I156" i="62"/>
  <c r="AY156" i="62"/>
  <c r="H216" i="50"/>
  <c r="AT216" i="50" s="1"/>
  <c r="AD86" i="62"/>
  <c r="BT86" i="62"/>
  <c r="AK202" i="50"/>
  <c r="BV202" i="50"/>
  <c r="AK105" i="62"/>
  <c r="CA105" i="62"/>
  <c r="AK68" i="62"/>
  <c r="CA68" i="62"/>
  <c r="W96" i="62"/>
  <c r="BM96" i="62"/>
  <c r="AD107" i="62"/>
  <c r="BT107" i="62"/>
  <c r="AI241" i="50"/>
  <c r="BU219" i="50"/>
  <c r="AD76" i="62"/>
  <c r="BT76" i="62"/>
  <c r="W203" i="50"/>
  <c r="BH203" i="50"/>
  <c r="P88" i="62"/>
  <c r="BF88" i="62"/>
  <c r="I174" i="62"/>
  <c r="AY174" i="62"/>
  <c r="H234" i="50"/>
  <c r="AT234" i="50" s="1"/>
  <c r="S60" i="62"/>
  <c r="BJ60" i="62" s="1"/>
  <c r="BJ79" i="62"/>
  <c r="W107" i="62"/>
  <c r="BM107" i="62"/>
  <c r="BM248" i="50"/>
  <c r="AA270" i="50"/>
  <c r="BM270" i="50" s="1"/>
  <c r="AD82" i="62"/>
  <c r="BT82" i="62"/>
  <c r="AB256" i="50"/>
  <c r="H208" i="50"/>
  <c r="AS208" i="50"/>
  <c r="P197" i="50"/>
  <c r="BA197" i="50"/>
  <c r="BT62" i="62"/>
  <c r="AD62" i="62"/>
  <c r="AK212" i="50"/>
  <c r="BV212" i="50"/>
  <c r="I161" i="62"/>
  <c r="AY161" i="62"/>
  <c r="H221" i="50"/>
  <c r="AT221" i="50" s="1"/>
  <c r="W91" i="62"/>
  <c r="BM91" i="62"/>
  <c r="AD207" i="50"/>
  <c r="BO207" i="50"/>
  <c r="AK104" i="62"/>
  <c r="CA104" i="62"/>
  <c r="I209" i="50"/>
  <c r="AT209" i="50"/>
  <c r="W207" i="50"/>
  <c r="BH207" i="50"/>
  <c r="I97" i="62"/>
  <c r="AY97" i="62"/>
  <c r="AY256" i="50"/>
  <c r="M278" i="50"/>
  <c r="AY278" i="50" s="1"/>
  <c r="I173" i="62"/>
  <c r="AY173" i="62"/>
  <c r="H233" i="50"/>
  <c r="AT233" i="50" s="1"/>
  <c r="AD195" i="50"/>
  <c r="BO195" i="50"/>
  <c r="W194" i="50"/>
  <c r="BH194" i="50"/>
  <c r="W209" i="50"/>
  <c r="BH209" i="50"/>
  <c r="AD95" i="62"/>
  <c r="BT95" i="62"/>
  <c r="W204" i="50"/>
  <c r="BH204" i="50"/>
  <c r="N238" i="50"/>
  <c r="AZ216" i="50"/>
  <c r="T263" i="50"/>
  <c r="BF263" i="50" s="1"/>
  <c r="BF241" i="50"/>
  <c r="AD211" i="50"/>
  <c r="BO211" i="50"/>
  <c r="F275" i="50"/>
  <c r="AR275" i="50" s="1"/>
  <c r="AR253" i="50"/>
  <c r="AD73" i="62"/>
  <c r="BT73" i="62"/>
  <c r="T268" i="50"/>
  <c r="BF268" i="50" s="1"/>
  <c r="BF246" i="50"/>
  <c r="X82" i="62"/>
  <c r="BN82" i="62"/>
  <c r="AH68" i="50"/>
  <c r="BT43" i="50"/>
  <c r="AH77" i="50"/>
  <c r="BT77" i="50" s="1"/>
  <c r="BT52" i="50"/>
  <c r="AH78" i="50"/>
  <c r="BT53" i="50"/>
  <c r="AK82" i="50"/>
  <c r="BV82" i="50"/>
  <c r="AH74" i="50"/>
  <c r="BT49" i="50"/>
  <c r="AH76" i="50"/>
  <c r="BT51" i="50"/>
  <c r="AH75" i="50"/>
  <c r="BT50" i="50"/>
  <c r="AH73" i="50"/>
  <c r="BT48" i="50"/>
  <c r="AH80" i="50"/>
  <c r="BT55" i="50"/>
  <c r="AK83" i="50"/>
  <c r="BV83" i="50"/>
  <c r="AH81" i="50"/>
  <c r="BT56" i="50"/>
  <c r="AH84" i="50"/>
  <c r="BT59" i="50"/>
  <c r="AH62" i="50"/>
  <c r="BT37" i="50"/>
  <c r="AK79" i="50"/>
  <c r="BV79" i="50"/>
  <c r="BZ9" i="41"/>
  <c r="BR9" i="41"/>
  <c r="Z60" i="51"/>
  <c r="BQ60" i="51" s="1"/>
  <c r="P65" i="62"/>
  <c r="P155" i="62"/>
  <c r="Q155" i="62" s="1"/>
  <c r="AN60" i="51"/>
  <c r="CE60" i="51" s="1"/>
  <c r="O216" i="50"/>
  <c r="L11" i="51"/>
  <c r="BC11" i="51" s="1"/>
  <c r="AD156" i="62"/>
  <c r="AE156" i="62" s="1"/>
  <c r="AC232" i="50"/>
  <c r="AG60" i="51"/>
  <c r="BX60" i="51" s="1"/>
  <c r="L60" i="51"/>
  <c r="BC60" i="51" s="1"/>
  <c r="G271" i="50"/>
  <c r="AS271" i="50" s="1"/>
  <c r="AX49" i="53"/>
  <c r="CZ49" i="53" s="1"/>
  <c r="Y49" i="53"/>
  <c r="CD49" i="53" s="1"/>
  <c r="Z49" i="53"/>
  <c r="AN9" i="60"/>
  <c r="CK9" i="60" s="1"/>
  <c r="C7" i="16"/>
  <c r="L7" i="16" s="1"/>
  <c r="D8" i="7"/>
  <c r="J8" i="82"/>
  <c r="N8" i="82" s="1"/>
  <c r="R8" i="82" s="1"/>
  <c r="V8" i="82" s="1"/>
  <c r="G8" i="82"/>
  <c r="AB8" i="82" s="1"/>
  <c r="AF8" i="82" s="1"/>
  <c r="AJ8" i="82" s="1"/>
  <c r="AN8" i="82" s="1"/>
  <c r="AR8" i="82" s="1"/>
  <c r="L9" i="62"/>
  <c r="S9" i="62" s="1"/>
  <c r="E186" i="62"/>
  <c r="AM20" i="79"/>
  <c r="AQ9" i="41"/>
  <c r="P9" i="41"/>
  <c r="S11" i="51"/>
  <c r="BJ11" i="51" s="1"/>
  <c r="AN11" i="51"/>
  <c r="CE11" i="51" s="1"/>
  <c r="AG11" i="51"/>
  <c r="BX11" i="51" s="1"/>
  <c r="M60" i="62"/>
  <c r="BD60" i="62" s="1"/>
  <c r="Z11" i="51"/>
  <c r="BQ11" i="51" s="1"/>
  <c r="AA60" i="62"/>
  <c r="BR60" i="62" s="1"/>
  <c r="T81" i="67"/>
  <c r="B113" i="67"/>
  <c r="B104" i="67"/>
  <c r="AU58" i="73"/>
  <c r="CE58" i="73" s="1"/>
  <c r="T107" i="67"/>
  <c r="AJ58" i="73"/>
  <c r="BY58" i="73" s="1"/>
  <c r="T83" i="67"/>
  <c r="Y50" i="73"/>
  <c r="BS50" i="73" s="1"/>
  <c r="AW50" i="53"/>
  <c r="CY50" i="53" s="1"/>
  <c r="S285" i="50"/>
  <c r="BE285" i="50" s="1"/>
  <c r="B45" i="67"/>
  <c r="Z285" i="50"/>
  <c r="BL285" i="50" s="1"/>
  <c r="B63" i="67"/>
  <c r="Y49" i="73"/>
  <c r="BS49" i="73" s="1"/>
  <c r="AW49" i="53"/>
  <c r="CY49" i="53" s="1"/>
  <c r="AG285" i="50"/>
  <c r="BS285" i="50" s="1"/>
  <c r="B87" i="67"/>
  <c r="B27" i="67"/>
  <c r="AU56" i="73"/>
  <c r="CE56" i="73" s="1"/>
  <c r="T105" i="67"/>
  <c r="B103" i="67"/>
  <c r="G260" i="50"/>
  <c r="AS260" i="50" s="1"/>
  <c r="L285" i="50"/>
  <c r="AX285" i="50" s="1"/>
  <c r="N67" i="62"/>
  <c r="AC154" i="62"/>
  <c r="BT154" i="62" s="1"/>
  <c r="Z49" i="73"/>
  <c r="BT49" i="73" s="1"/>
  <c r="AA49" i="73"/>
  <c r="AF49" i="73"/>
  <c r="BW49" i="73" s="1"/>
  <c r="AG49" i="73"/>
  <c r="AD49" i="73"/>
  <c r="BV49" i="73" s="1"/>
  <c r="AE49" i="73"/>
  <c r="AF50" i="73"/>
  <c r="BW50" i="73" s="1"/>
  <c r="AG50" i="73"/>
  <c r="AB49" i="73"/>
  <c r="BU49" i="73" s="1"/>
  <c r="AC49" i="73"/>
  <c r="G48" i="73"/>
  <c r="F48" i="73"/>
  <c r="BI48" i="73" s="1"/>
  <c r="K61" i="73"/>
  <c r="J61" i="73"/>
  <c r="BK61" i="73" s="1"/>
  <c r="G65" i="73"/>
  <c r="F65" i="73"/>
  <c r="BI65" i="73" s="1"/>
  <c r="U21" i="73"/>
  <c r="BQ21" i="73" s="1"/>
  <c r="V21" i="73"/>
  <c r="R24" i="73"/>
  <c r="Q24" i="73"/>
  <c r="BO24" i="73" s="1"/>
  <c r="V48" i="73"/>
  <c r="U48" i="73"/>
  <c r="BQ48" i="73" s="1"/>
  <c r="K48" i="73"/>
  <c r="J48" i="73"/>
  <c r="BK48" i="73" s="1"/>
  <c r="G61" i="73"/>
  <c r="F61" i="73"/>
  <c r="BI61" i="73" s="1"/>
  <c r="K65" i="73"/>
  <c r="J65" i="73"/>
  <c r="BK65" i="73" s="1"/>
  <c r="Q21" i="73"/>
  <c r="BO21" i="73" s="1"/>
  <c r="R21" i="73"/>
  <c r="V24" i="73"/>
  <c r="U24" i="73"/>
  <c r="BQ24" i="73" s="1"/>
  <c r="R48" i="73"/>
  <c r="Q48" i="73"/>
  <c r="BO48" i="73" s="1"/>
  <c r="U61" i="73"/>
  <c r="BQ61" i="73" s="1"/>
  <c r="V61" i="73"/>
  <c r="Q65" i="73"/>
  <c r="BO65" i="73" s="1"/>
  <c r="R65" i="73"/>
  <c r="AF21" i="73"/>
  <c r="BW21" i="73" s="1"/>
  <c r="AG21" i="73"/>
  <c r="AC48" i="73"/>
  <c r="AB48" i="73"/>
  <c r="BU48" i="73" s="1"/>
  <c r="AF61" i="73"/>
  <c r="BW61" i="73" s="1"/>
  <c r="AG61" i="73"/>
  <c r="AB65" i="73"/>
  <c r="BU65" i="73" s="1"/>
  <c r="AC65" i="73"/>
  <c r="AR21" i="73"/>
  <c r="AQ21" i="73"/>
  <c r="CC21" i="73" s="1"/>
  <c r="AN24" i="73"/>
  <c r="AM24" i="73"/>
  <c r="CA24" i="73" s="1"/>
  <c r="AR48" i="73"/>
  <c r="AQ48" i="73"/>
  <c r="CC48" i="73" s="1"/>
  <c r="AN61" i="73"/>
  <c r="AM61" i="73"/>
  <c r="CA61" i="73" s="1"/>
  <c r="AR65" i="73"/>
  <c r="AQ65" i="73"/>
  <c r="CC65" i="73" s="1"/>
  <c r="AX21" i="73"/>
  <c r="CG21" i="73" s="1"/>
  <c r="AY21" i="73"/>
  <c r="I48" i="73"/>
  <c r="H48" i="73"/>
  <c r="BJ48" i="73" s="1"/>
  <c r="M61" i="73"/>
  <c r="L61" i="73"/>
  <c r="BL61" i="73" s="1"/>
  <c r="E61" i="73"/>
  <c r="D61" i="73"/>
  <c r="BH61" i="73" s="1"/>
  <c r="I65" i="73"/>
  <c r="H65" i="73"/>
  <c r="BJ65" i="73" s="1"/>
  <c r="W21" i="73"/>
  <c r="BR21" i="73" s="1"/>
  <c r="X21" i="73"/>
  <c r="O21" i="73"/>
  <c r="BN21" i="73" s="1"/>
  <c r="P21" i="73"/>
  <c r="T24" i="73"/>
  <c r="S24" i="73"/>
  <c r="BP24" i="73" s="1"/>
  <c r="X48" i="73"/>
  <c r="W48" i="73"/>
  <c r="BR48" i="73" s="1"/>
  <c r="P48" i="73"/>
  <c r="O48" i="73"/>
  <c r="BN48" i="73" s="1"/>
  <c r="S61" i="73"/>
  <c r="BP61" i="73" s="1"/>
  <c r="T61" i="73"/>
  <c r="X65" i="73"/>
  <c r="W65" i="73"/>
  <c r="BR65" i="73" s="1"/>
  <c r="O65" i="73"/>
  <c r="BN65" i="73" s="1"/>
  <c r="P65" i="73"/>
  <c r="AE21" i="73"/>
  <c r="AD21" i="73"/>
  <c r="BV21" i="73" s="1"/>
  <c r="AH48" i="73"/>
  <c r="BX48" i="73" s="1"/>
  <c r="AI48" i="73"/>
  <c r="Z48" i="73"/>
  <c r="BT48" i="73" s="1"/>
  <c r="AA48" i="73"/>
  <c r="AE61" i="73"/>
  <c r="AD61" i="73"/>
  <c r="BV61" i="73" s="1"/>
  <c r="AI65" i="73"/>
  <c r="AH65" i="73"/>
  <c r="BX65" i="73" s="1"/>
  <c r="AA65" i="73"/>
  <c r="Z65" i="73"/>
  <c r="BT65" i="73" s="1"/>
  <c r="AP21" i="73"/>
  <c r="AO21" i="73"/>
  <c r="CB21" i="73" s="1"/>
  <c r="AS24" i="73"/>
  <c r="CD24" i="73" s="1"/>
  <c r="AT24" i="73"/>
  <c r="AK24" i="73"/>
  <c r="BZ24" i="73" s="1"/>
  <c r="AL24" i="73"/>
  <c r="AO48" i="73"/>
  <c r="CB48" i="73" s="1"/>
  <c r="AP48" i="73"/>
  <c r="AS61" i="73"/>
  <c r="CD61" i="73" s="1"/>
  <c r="AT61" i="73"/>
  <c r="AK61" i="73"/>
  <c r="BZ61" i="73" s="1"/>
  <c r="AL61" i="73"/>
  <c r="AO65" i="73"/>
  <c r="CB65" i="73" s="1"/>
  <c r="AP65" i="73"/>
  <c r="BE21" i="73"/>
  <c r="BD21" i="73"/>
  <c r="CJ21" i="73" s="1"/>
  <c r="AW21" i="73"/>
  <c r="AV21" i="73"/>
  <c r="CF21" i="73" s="1"/>
  <c r="Q61" i="73"/>
  <c r="BO61" i="73" s="1"/>
  <c r="R61" i="73"/>
  <c r="U65" i="73"/>
  <c r="BQ65" i="73" s="1"/>
  <c r="V65" i="73"/>
  <c r="AB21" i="73"/>
  <c r="BU21" i="73" s="1"/>
  <c r="AC21" i="73"/>
  <c r="AG48" i="73"/>
  <c r="AF48" i="73"/>
  <c r="BW48" i="73" s="1"/>
  <c r="AB61" i="73"/>
  <c r="BU61" i="73" s="1"/>
  <c r="AC61" i="73"/>
  <c r="AG65" i="73"/>
  <c r="AF65" i="73"/>
  <c r="BW65" i="73" s="1"/>
  <c r="AM21" i="73"/>
  <c r="CA21" i="73" s="1"/>
  <c r="AN21" i="73"/>
  <c r="AR24" i="73"/>
  <c r="AQ24" i="73"/>
  <c r="CC24" i="73" s="1"/>
  <c r="AN48" i="73"/>
  <c r="AM48" i="73"/>
  <c r="CA48" i="73" s="1"/>
  <c r="AR61" i="73"/>
  <c r="AQ61" i="73"/>
  <c r="CC61" i="73" s="1"/>
  <c r="AN65" i="73"/>
  <c r="AM65" i="73"/>
  <c r="CA65" i="73" s="1"/>
  <c r="BB21" i="73"/>
  <c r="CI21" i="73" s="1"/>
  <c r="BC21" i="73"/>
  <c r="M48" i="73"/>
  <c r="L48" i="73"/>
  <c r="BL48" i="73" s="1"/>
  <c r="E48" i="73"/>
  <c r="D48" i="73"/>
  <c r="BH48" i="73" s="1"/>
  <c r="I61" i="73"/>
  <c r="H61" i="73"/>
  <c r="BJ61" i="73" s="1"/>
  <c r="M65" i="73"/>
  <c r="L65" i="73"/>
  <c r="BL65" i="73" s="1"/>
  <c r="E65" i="73"/>
  <c r="D65" i="73"/>
  <c r="BH65" i="73" s="1"/>
  <c r="S21" i="73"/>
  <c r="BP21" i="73" s="1"/>
  <c r="T21" i="73"/>
  <c r="X24" i="73"/>
  <c r="W24" i="73"/>
  <c r="BR24" i="73" s="1"/>
  <c r="P24" i="73"/>
  <c r="O24" i="73"/>
  <c r="BN24" i="73" s="1"/>
  <c r="S48" i="73"/>
  <c r="BP48" i="73" s="1"/>
  <c r="T48" i="73"/>
  <c r="W61" i="73"/>
  <c r="BR61" i="73" s="1"/>
  <c r="X61" i="73"/>
  <c r="O61" i="73"/>
  <c r="BN61" i="73" s="1"/>
  <c r="P61" i="73"/>
  <c r="S65" i="73"/>
  <c r="BP65" i="73" s="1"/>
  <c r="T65" i="73"/>
  <c r="AI21" i="73"/>
  <c r="AH21" i="73"/>
  <c r="BX21" i="73" s="1"/>
  <c r="AA21" i="73"/>
  <c r="Z21" i="73"/>
  <c r="BT21" i="73" s="1"/>
  <c r="AD48" i="73"/>
  <c r="BV48" i="73" s="1"/>
  <c r="AE48" i="73"/>
  <c r="AI61" i="73"/>
  <c r="AH61" i="73"/>
  <c r="BX61" i="73" s="1"/>
  <c r="AA61" i="73"/>
  <c r="Z61" i="73"/>
  <c r="BT61" i="73" s="1"/>
  <c r="AE65" i="73"/>
  <c r="AD65" i="73"/>
  <c r="BV65" i="73" s="1"/>
  <c r="AT21" i="73"/>
  <c r="AS21" i="73"/>
  <c r="CD21" i="73" s="1"/>
  <c r="AL21" i="73"/>
  <c r="AK21" i="73"/>
  <c r="BZ21" i="73" s="1"/>
  <c r="AP24" i="73"/>
  <c r="AO24" i="73"/>
  <c r="CB24" i="73" s="1"/>
  <c r="AT48" i="73"/>
  <c r="AS48" i="73"/>
  <c r="CD48" i="73" s="1"/>
  <c r="AL48" i="73"/>
  <c r="AK48" i="73"/>
  <c r="BZ48" i="73" s="1"/>
  <c r="AP61" i="73"/>
  <c r="AO61" i="73"/>
  <c r="CB61" i="73" s="1"/>
  <c r="AT65" i="73"/>
  <c r="AS65" i="73"/>
  <c r="CD65" i="73" s="1"/>
  <c r="AL65" i="73"/>
  <c r="AK65" i="73"/>
  <c r="BZ65" i="73" s="1"/>
  <c r="BA21" i="73"/>
  <c r="AZ21" i="73"/>
  <c r="CH21" i="73" s="1"/>
  <c r="V215" i="50"/>
  <c r="W155" i="62"/>
  <c r="BN155" i="62" s="1"/>
  <c r="H215" i="50"/>
  <c r="I155" i="62"/>
  <c r="AZ155" i="62" s="1"/>
  <c r="AK163" i="62"/>
  <c r="CB163" i="62" s="1"/>
  <c r="AJ223" i="50"/>
  <c r="AJ231" i="50"/>
  <c r="AK171" i="62"/>
  <c r="CB171" i="62" s="1"/>
  <c r="I157" i="62"/>
  <c r="AZ157" i="62" s="1"/>
  <c r="H217" i="50"/>
  <c r="P162" i="62"/>
  <c r="BG162" i="62" s="1"/>
  <c r="O222" i="50"/>
  <c r="AD170" i="62"/>
  <c r="BU170" i="62" s="1"/>
  <c r="AC230" i="50"/>
  <c r="AC218" i="50"/>
  <c r="AD158" i="62"/>
  <c r="BU158" i="62" s="1"/>
  <c r="P166" i="62"/>
  <c r="BG166" i="62" s="1"/>
  <c r="O226" i="50"/>
  <c r="H235" i="50"/>
  <c r="I175" i="62"/>
  <c r="AZ175" i="62" s="1"/>
  <c r="AK173" i="62"/>
  <c r="CB173" i="62" s="1"/>
  <c r="AJ233" i="50"/>
  <c r="AK157" i="62"/>
  <c r="F24" i="73"/>
  <c r="BI24" i="73" s="1"/>
  <c r="G24" i="73"/>
  <c r="BG21" i="53"/>
  <c r="DI21" i="53" s="1"/>
  <c r="BA21" i="53"/>
  <c r="DC21" i="53" s="1"/>
  <c r="J21" i="73"/>
  <c r="BK21" i="73" s="1"/>
  <c r="K21" i="73"/>
  <c r="M24" i="73"/>
  <c r="L24" i="73"/>
  <c r="BL24" i="73" s="1"/>
  <c r="BF21" i="53"/>
  <c r="DH21" i="53" s="1"/>
  <c r="AZ21" i="53"/>
  <c r="DB21" i="53" s="1"/>
  <c r="I21" i="73"/>
  <c r="H21" i="73"/>
  <c r="BJ21" i="73" s="1"/>
  <c r="J24" i="73"/>
  <c r="BK24" i="73" s="1"/>
  <c r="K24" i="73"/>
  <c r="BC21" i="53"/>
  <c r="DE21" i="53" s="1"/>
  <c r="AW21" i="53"/>
  <c r="CY21" i="53" s="1"/>
  <c r="BE21" i="53"/>
  <c r="DG21" i="53" s="1"/>
  <c r="AY21" i="53"/>
  <c r="DA21" i="53" s="1"/>
  <c r="F21" i="73"/>
  <c r="BI21" i="73" s="1"/>
  <c r="G21" i="73"/>
  <c r="I24" i="73"/>
  <c r="H24" i="73"/>
  <c r="BJ24" i="73" s="1"/>
  <c r="BH21" i="53"/>
  <c r="DJ21" i="53" s="1"/>
  <c r="BB21" i="53"/>
  <c r="DD21" i="53" s="1"/>
  <c r="M21" i="73"/>
  <c r="L21" i="73"/>
  <c r="BL21" i="73" s="1"/>
  <c r="BD21" i="53"/>
  <c r="DF21" i="53" s="1"/>
  <c r="AX21" i="53"/>
  <c r="CZ21" i="53" s="1"/>
  <c r="E24" i="73"/>
  <c r="D24" i="73"/>
  <c r="BH24" i="73" s="1"/>
  <c r="E21" i="73"/>
  <c r="D21" i="73"/>
  <c r="BH21" i="73" s="1"/>
  <c r="AO79" i="51"/>
  <c r="CF79" i="51" s="1"/>
  <c r="AQ79" i="51"/>
  <c r="CH79" i="51" s="1"/>
  <c r="AR79" i="51"/>
  <c r="CI79" i="51" s="1"/>
  <c r="AT79" i="51"/>
  <c r="CK79" i="51" s="1"/>
  <c r="U272" i="50"/>
  <c r="BG272" i="50" s="1"/>
  <c r="U269" i="50"/>
  <c r="BG269" i="50" s="1"/>
  <c r="M259" i="50"/>
  <c r="N237" i="50"/>
  <c r="AZ237" i="50" s="1"/>
  <c r="Q156" i="62"/>
  <c r="BH156" i="62" s="1"/>
  <c r="AK170" i="62"/>
  <c r="CB170" i="62" s="1"/>
  <c r="AJ230" i="50"/>
  <c r="V218" i="50"/>
  <c r="W158" i="62"/>
  <c r="BN158" i="62" s="1"/>
  <c r="AD167" i="62"/>
  <c r="BU167" i="62" s="1"/>
  <c r="AC227" i="50"/>
  <c r="AK155" i="62"/>
  <c r="CB155" i="62" s="1"/>
  <c r="AJ215" i="50"/>
  <c r="BV215" i="50" s="1"/>
  <c r="AK162" i="62"/>
  <c r="CB162" i="62" s="1"/>
  <c r="AJ222" i="50"/>
  <c r="H232" i="50"/>
  <c r="I172" i="62"/>
  <c r="AZ172" i="62" s="1"/>
  <c r="AJ216" i="50"/>
  <c r="AK156" i="62"/>
  <c r="CB156" i="62" s="1"/>
  <c r="AC221" i="50"/>
  <c r="AD161" i="62"/>
  <c r="BU161" i="62" s="1"/>
  <c r="W174" i="62"/>
  <c r="BN174" i="62" s="1"/>
  <c r="V234" i="50"/>
  <c r="U214" i="50"/>
  <c r="BG214" i="50" s="1"/>
  <c r="C53" i="85" s="1"/>
  <c r="P168" i="62"/>
  <c r="BG168" i="62" s="1"/>
  <c r="O228" i="50"/>
  <c r="O221" i="50"/>
  <c r="P161" i="62"/>
  <c r="BG161" i="62" s="1"/>
  <c r="AD175" i="62"/>
  <c r="BU175" i="62" s="1"/>
  <c r="AC235" i="50"/>
  <c r="H222" i="50"/>
  <c r="I162" i="62"/>
  <c r="AZ162" i="62" s="1"/>
  <c r="W166" i="62"/>
  <c r="BN166" i="62" s="1"/>
  <c r="V226" i="50"/>
  <c r="W162" i="62"/>
  <c r="BN162" i="62" s="1"/>
  <c r="V222" i="50"/>
  <c r="AJ228" i="50"/>
  <c r="AK168" i="62"/>
  <c r="CB168" i="62" s="1"/>
  <c r="W173" i="62"/>
  <c r="BN173" i="62" s="1"/>
  <c r="V233" i="50"/>
  <c r="AJ154" i="62"/>
  <c r="CA154" i="62" s="1"/>
  <c r="O154" i="62"/>
  <c r="BF154" i="62" s="1"/>
  <c r="AB267" i="50"/>
  <c r="BN267" i="50" s="1"/>
  <c r="I168" i="62"/>
  <c r="AZ168" i="62" s="1"/>
  <c r="H228" i="50"/>
  <c r="N214" i="50"/>
  <c r="AZ214" i="50" s="1"/>
  <c r="C35" i="85" s="1"/>
  <c r="V224" i="50"/>
  <c r="W164" i="62"/>
  <c r="BN164" i="62" s="1"/>
  <c r="AK166" i="62"/>
  <c r="CB166" i="62" s="1"/>
  <c r="AJ226" i="50"/>
  <c r="O229" i="50"/>
  <c r="P169" i="62"/>
  <c r="BG169" i="62" s="1"/>
  <c r="AC223" i="50"/>
  <c r="AD163" i="62"/>
  <c r="BU163" i="62" s="1"/>
  <c r="W167" i="62"/>
  <c r="BN167" i="62" s="1"/>
  <c r="V227" i="50"/>
  <c r="V230" i="50"/>
  <c r="W170" i="62"/>
  <c r="BN170" i="62" s="1"/>
  <c r="W172" i="62"/>
  <c r="BN172" i="62" s="1"/>
  <c r="V232" i="50"/>
  <c r="AI214" i="50"/>
  <c r="BU214" i="50" s="1"/>
  <c r="C95" i="85" s="1"/>
  <c r="AI237" i="50"/>
  <c r="BU237" i="50" s="1"/>
  <c r="P224" i="50"/>
  <c r="BB224" i="50" s="1"/>
  <c r="AB214" i="50"/>
  <c r="BN214" i="50" s="1"/>
  <c r="C71" i="85" s="1"/>
  <c r="AK164" i="62"/>
  <c r="CB164" i="62" s="1"/>
  <c r="AJ224" i="50"/>
  <c r="V220" i="50"/>
  <c r="W160" i="62"/>
  <c r="BN160" i="62" s="1"/>
  <c r="P165" i="62"/>
  <c r="BG165" i="62" s="1"/>
  <c r="O225" i="50"/>
  <c r="G214" i="50"/>
  <c r="AS214" i="50" s="1"/>
  <c r="J163" i="62"/>
  <c r="BA163" i="62" s="1"/>
  <c r="I223" i="50"/>
  <c r="AU223" i="50" s="1"/>
  <c r="AE174" i="62"/>
  <c r="BV174" i="62" s="1"/>
  <c r="AI79" i="62"/>
  <c r="M236" i="50"/>
  <c r="AY236" i="50" s="1"/>
  <c r="AK165" i="62"/>
  <c r="CB165" i="62" s="1"/>
  <c r="AJ225" i="50"/>
  <c r="I164" i="62"/>
  <c r="AZ164" i="62" s="1"/>
  <c r="H224" i="50"/>
  <c r="H226" i="50"/>
  <c r="I166" i="62"/>
  <c r="AZ166" i="62" s="1"/>
  <c r="O235" i="50"/>
  <c r="P175" i="62"/>
  <c r="BG175" i="62" s="1"/>
  <c r="P159" i="62"/>
  <c r="BG159" i="62" s="1"/>
  <c r="O219" i="50"/>
  <c r="W159" i="62"/>
  <c r="BN159" i="62" s="1"/>
  <c r="V219" i="50"/>
  <c r="P160" i="62"/>
  <c r="BG160" i="62" s="1"/>
  <c r="O220" i="50"/>
  <c r="AC215" i="50"/>
  <c r="AD155" i="62"/>
  <c r="BU155" i="62" s="1"/>
  <c r="AD168" i="62"/>
  <c r="BU168" i="62" s="1"/>
  <c r="AC228" i="50"/>
  <c r="W165" i="62"/>
  <c r="BN165" i="62" s="1"/>
  <c r="V225" i="50"/>
  <c r="AC225" i="50"/>
  <c r="AD165" i="62"/>
  <c r="BU165" i="62" s="1"/>
  <c r="AL167" i="62"/>
  <c r="CC167" i="62" s="1"/>
  <c r="AK227" i="50"/>
  <c r="P173" i="62"/>
  <c r="BG173" i="62" s="1"/>
  <c r="O233" i="50"/>
  <c r="O227" i="50"/>
  <c r="P167" i="62"/>
  <c r="BG167" i="62" s="1"/>
  <c r="AK174" i="62"/>
  <c r="CB174" i="62" s="1"/>
  <c r="AJ234" i="50"/>
  <c r="AD159" i="62"/>
  <c r="BU159" i="62" s="1"/>
  <c r="AC219" i="50"/>
  <c r="H218" i="50"/>
  <c r="AT218" i="50" s="1"/>
  <c r="I158" i="62"/>
  <c r="AZ158" i="62" s="1"/>
  <c r="H154" i="62"/>
  <c r="AY154" i="62" s="1"/>
  <c r="AK160" i="62"/>
  <c r="CB160" i="62" s="1"/>
  <c r="AJ220" i="50"/>
  <c r="O217" i="50"/>
  <c r="P157" i="62"/>
  <c r="BG157" i="62" s="1"/>
  <c r="W168" i="62"/>
  <c r="BN168" i="62" s="1"/>
  <c r="V228" i="50"/>
  <c r="AC233" i="50"/>
  <c r="AD173" i="62"/>
  <c r="BU173" i="62" s="1"/>
  <c r="W157" i="62"/>
  <c r="BN157" i="62" s="1"/>
  <c r="V217" i="50"/>
  <c r="O223" i="50"/>
  <c r="P163" i="62"/>
  <c r="BG163" i="62" s="1"/>
  <c r="P172" i="62"/>
  <c r="BG172" i="62" s="1"/>
  <c r="O232" i="50"/>
  <c r="P170" i="62"/>
  <c r="BG170" i="62" s="1"/>
  <c r="O230" i="50"/>
  <c r="AD171" i="62"/>
  <c r="BU171" i="62" s="1"/>
  <c r="AC231" i="50"/>
  <c r="AK161" i="62"/>
  <c r="CB161" i="62" s="1"/>
  <c r="AJ221" i="50"/>
  <c r="AL159" i="62"/>
  <c r="CC159" i="62" s="1"/>
  <c r="AK219" i="50"/>
  <c r="AK172" i="62"/>
  <c r="CB172" i="62" s="1"/>
  <c r="AJ232" i="50"/>
  <c r="AD169" i="62"/>
  <c r="BU169" i="62" s="1"/>
  <c r="AC229" i="50"/>
  <c r="AJ218" i="50"/>
  <c r="AK158" i="62"/>
  <c r="CB158" i="62" s="1"/>
  <c r="W161" i="62"/>
  <c r="BN161" i="62" s="1"/>
  <c r="V221" i="50"/>
  <c r="AD157" i="62"/>
  <c r="BU157" i="62" s="1"/>
  <c r="AC217" i="50"/>
  <c r="AB188" i="50"/>
  <c r="BN188" i="50" s="1"/>
  <c r="AH61" i="50"/>
  <c r="BT61" i="50" s="1"/>
  <c r="AB64" i="50"/>
  <c r="BN64" i="50" s="1"/>
  <c r="AA61" i="50"/>
  <c r="BM61" i="50" s="1"/>
  <c r="AA172" i="50"/>
  <c r="BM172" i="50" s="1"/>
  <c r="AB152" i="50"/>
  <c r="BN152" i="50" s="1"/>
  <c r="AP79" i="51"/>
  <c r="CG79" i="51" s="1"/>
  <c r="AS79" i="51"/>
  <c r="CJ79" i="51" s="1"/>
  <c r="AC192" i="50"/>
  <c r="AJ192" i="50"/>
  <c r="U192" i="50"/>
  <c r="G264" i="50"/>
  <c r="AS264" i="50" s="1"/>
  <c r="N192" i="50"/>
  <c r="V192" i="50"/>
  <c r="G192" i="50"/>
  <c r="O192" i="50"/>
  <c r="Q62" i="62"/>
  <c r="BH62" i="62" s="1"/>
  <c r="W95" i="62"/>
  <c r="BN95" i="62" s="1"/>
  <c r="V94" i="62"/>
  <c r="BM94" i="62" s="1"/>
  <c r="P75" i="62"/>
  <c r="BG75" i="62" s="1"/>
  <c r="O74" i="62"/>
  <c r="BF74" i="62" s="1"/>
  <c r="X72" i="62"/>
  <c r="BO72" i="62" s="1"/>
  <c r="AK81" i="62"/>
  <c r="AJ80" i="62"/>
  <c r="P84" i="62"/>
  <c r="BG84" i="62" s="1"/>
  <c r="O83" i="62"/>
  <c r="J95" i="62"/>
  <c r="BA95" i="62" s="1"/>
  <c r="H80" i="62"/>
  <c r="I81" i="62"/>
  <c r="AZ81" i="62" s="1"/>
  <c r="W100" i="62"/>
  <c r="BN100" i="62" s="1"/>
  <c r="V99" i="62"/>
  <c r="BM99" i="62" s="1"/>
  <c r="W156" i="62"/>
  <c r="V154" i="62"/>
  <c r="BM154" i="62" s="1"/>
  <c r="X65" i="62"/>
  <c r="BO65" i="62" s="1"/>
  <c r="J100" i="62"/>
  <c r="BA100" i="62" s="1"/>
  <c r="AL62" i="62"/>
  <c r="AL65" i="62"/>
  <c r="AL95" i="62"/>
  <c r="CC95" i="62" s="1"/>
  <c r="X84" i="62"/>
  <c r="BO84" i="62" s="1"/>
  <c r="AE72" i="62"/>
  <c r="BV72" i="62" s="1"/>
  <c r="AD101" i="62"/>
  <c r="AC99" i="62"/>
  <c r="BT99" i="62" s="1"/>
  <c r="O71" i="62"/>
  <c r="BF71" i="62" s="1"/>
  <c r="P72" i="62"/>
  <c r="BG72" i="62" s="1"/>
  <c r="AD66" i="62"/>
  <c r="BU66" i="62" s="1"/>
  <c r="AC64" i="62"/>
  <c r="BT64" i="62" s="1"/>
  <c r="AK75" i="62"/>
  <c r="CB75" i="62" s="1"/>
  <c r="AJ74" i="62"/>
  <c r="X62" i="62"/>
  <c r="BO62" i="62" s="1"/>
  <c r="J65" i="62"/>
  <c r="BA65" i="62" s="1"/>
  <c r="I64" i="62"/>
  <c r="AZ64" i="62" s="1"/>
  <c r="AD96" i="62"/>
  <c r="BU96" i="62" s="1"/>
  <c r="AC94" i="62"/>
  <c r="BT94" i="62" s="1"/>
  <c r="AE75" i="62"/>
  <c r="BV75" i="62" s="1"/>
  <c r="X75" i="62"/>
  <c r="BO75" i="62" s="1"/>
  <c r="AD63" i="62"/>
  <c r="AC61" i="62"/>
  <c r="BT61" i="62" s="1"/>
  <c r="P101" i="62"/>
  <c r="BG101" i="62" s="1"/>
  <c r="O99" i="62"/>
  <c r="BF99" i="62" s="1"/>
  <c r="AS243" i="50" l="1"/>
  <c r="P218" i="50"/>
  <c r="BB218" i="50" s="1"/>
  <c r="AL169" i="62"/>
  <c r="CC169" i="62" s="1"/>
  <c r="AK229" i="50"/>
  <c r="AF81" i="62"/>
  <c r="BW81" i="62" s="1"/>
  <c r="W71" i="62"/>
  <c r="BN71" i="62" s="1"/>
  <c r="Q81" i="62"/>
  <c r="BH81" i="62" s="1"/>
  <c r="AK61" i="62"/>
  <c r="CB61" i="62" s="1"/>
  <c r="AD71" i="62"/>
  <c r="BU71" i="62" s="1"/>
  <c r="AL72" i="62"/>
  <c r="CC72" i="62" s="1"/>
  <c r="AD83" i="50"/>
  <c r="BO83" i="50"/>
  <c r="G269" i="50"/>
  <c r="AS269" i="50" s="1"/>
  <c r="AI64" i="50"/>
  <c r="BU64" i="50" s="1"/>
  <c r="AC81" i="50"/>
  <c r="AK71" i="62"/>
  <c r="CB71" i="62" s="1"/>
  <c r="AC256" i="50"/>
  <c r="AJ163" i="50"/>
  <c r="U264" i="50"/>
  <c r="BG264" i="50" s="1"/>
  <c r="AI265" i="50"/>
  <c r="BU265" i="50" s="1"/>
  <c r="AE166" i="62"/>
  <c r="BV166" i="62" s="1"/>
  <c r="AD226" i="50"/>
  <c r="BP226" i="50" s="1"/>
  <c r="AE164" i="62"/>
  <c r="BV164" i="62" s="1"/>
  <c r="AD224" i="50"/>
  <c r="BP224" i="50" s="1"/>
  <c r="U263" i="50"/>
  <c r="BG263" i="50" s="1"/>
  <c r="G278" i="50"/>
  <c r="AS278" i="50" s="1"/>
  <c r="BG238" i="50"/>
  <c r="V253" i="50"/>
  <c r="AB62" i="50"/>
  <c r="BN62" i="50" s="1"/>
  <c r="AC67" i="62"/>
  <c r="BT67" i="62" s="1"/>
  <c r="BN169" i="50"/>
  <c r="H256" i="50"/>
  <c r="AT256" i="50" s="1"/>
  <c r="BN163" i="50"/>
  <c r="AK235" i="50"/>
  <c r="BW235" i="50" s="1"/>
  <c r="P216" i="50"/>
  <c r="BB216" i="50" s="1"/>
  <c r="AB77" i="50"/>
  <c r="AC77" i="50" s="1"/>
  <c r="Q158" i="62"/>
  <c r="BH158" i="62" s="1"/>
  <c r="AL175" i="62"/>
  <c r="CC175" i="62" s="1"/>
  <c r="I231" i="50"/>
  <c r="AU231" i="50" s="1"/>
  <c r="AC169" i="50"/>
  <c r="J171" i="62"/>
  <c r="BA171" i="62" s="1"/>
  <c r="CB100" i="62"/>
  <c r="AB175" i="50"/>
  <c r="BN175" i="50" s="1"/>
  <c r="AK50" i="50"/>
  <c r="BW50" i="50" s="1"/>
  <c r="AC155" i="50"/>
  <c r="BO155" i="50" s="1"/>
  <c r="AK99" i="62"/>
  <c r="CB99" i="62" s="1"/>
  <c r="J132" i="85"/>
  <c r="C17" i="85"/>
  <c r="C113" i="85" s="1"/>
  <c r="AD232" i="50"/>
  <c r="AE172" i="62"/>
  <c r="BV172" i="62" s="1"/>
  <c r="W74" i="62"/>
  <c r="BN74" i="62" s="1"/>
  <c r="O240" i="50"/>
  <c r="O262" i="50" s="1"/>
  <c r="BA262" i="50" s="1"/>
  <c r="Q164" i="62"/>
  <c r="BH164" i="62" s="1"/>
  <c r="AE123" i="50"/>
  <c r="BP123" i="50"/>
  <c r="AL129" i="50"/>
  <c r="BW129" i="50"/>
  <c r="AL18" i="50"/>
  <c r="BW18" i="50"/>
  <c r="AL120" i="50"/>
  <c r="BW120" i="50"/>
  <c r="AL14" i="50"/>
  <c r="BW14" i="50"/>
  <c r="AL28" i="50"/>
  <c r="BW28" i="50"/>
  <c r="AL119" i="50"/>
  <c r="BW119" i="50"/>
  <c r="AL126" i="50"/>
  <c r="BW126" i="50"/>
  <c r="U60" i="62"/>
  <c r="BL60" i="62" s="1"/>
  <c r="AL25" i="50"/>
  <c r="BW25" i="50"/>
  <c r="AL123" i="50"/>
  <c r="BW123" i="50"/>
  <c r="AE23" i="50"/>
  <c r="BP23" i="50"/>
  <c r="AE119" i="50"/>
  <c r="BP119" i="50"/>
  <c r="AL128" i="50"/>
  <c r="BW128" i="50"/>
  <c r="AE18" i="50"/>
  <c r="BP18" i="50"/>
  <c r="AL30" i="50"/>
  <c r="BW30" i="50"/>
  <c r="AC79" i="62"/>
  <c r="BT79" i="62" s="1"/>
  <c r="AL26" i="50"/>
  <c r="BW26" i="50"/>
  <c r="AE26" i="50"/>
  <c r="BP26" i="50"/>
  <c r="AE112" i="50"/>
  <c r="BP112" i="50"/>
  <c r="AL112" i="50"/>
  <c r="BW112" i="50"/>
  <c r="AE30" i="50"/>
  <c r="BP30" i="50"/>
  <c r="AE24" i="50"/>
  <c r="BP24" i="50"/>
  <c r="AB273" i="50"/>
  <c r="BN273" i="50" s="1"/>
  <c r="AE28" i="50"/>
  <c r="BP28" i="50"/>
  <c r="AE128" i="50"/>
  <c r="BP128" i="50"/>
  <c r="AL31" i="50"/>
  <c r="BW31" i="50"/>
  <c r="AE11" i="50"/>
  <c r="BP11" i="50"/>
  <c r="AE120" i="50"/>
  <c r="BP120" i="50"/>
  <c r="AL115" i="50"/>
  <c r="BW115" i="50"/>
  <c r="AE25" i="50"/>
  <c r="BP25" i="50"/>
  <c r="AE31" i="50"/>
  <c r="BP31" i="50"/>
  <c r="AE34" i="50"/>
  <c r="BP34" i="50"/>
  <c r="AL23" i="50"/>
  <c r="BW23" i="50"/>
  <c r="AE27" i="50"/>
  <c r="BP27" i="50"/>
  <c r="AE129" i="50"/>
  <c r="BP129" i="50"/>
  <c r="AL24" i="50"/>
  <c r="BW24" i="50"/>
  <c r="AE14" i="50"/>
  <c r="BP14" i="50"/>
  <c r="AE126" i="50"/>
  <c r="BP126" i="50"/>
  <c r="AE12" i="50"/>
  <c r="BP12" i="50"/>
  <c r="AL34" i="50"/>
  <c r="BW34" i="50"/>
  <c r="AL12" i="50"/>
  <c r="BW12" i="50"/>
  <c r="AL27" i="50"/>
  <c r="BW27" i="50"/>
  <c r="AK11" i="50"/>
  <c r="BV11" i="50"/>
  <c r="AE115" i="50"/>
  <c r="BP115" i="50"/>
  <c r="G267" i="50"/>
  <c r="AS267" i="50" s="1"/>
  <c r="H242" i="50"/>
  <c r="AT242" i="50" s="1"/>
  <c r="AC74" i="50"/>
  <c r="N261" i="50"/>
  <c r="AZ261" i="50" s="1"/>
  <c r="N266" i="50"/>
  <c r="AZ266" i="50" s="1"/>
  <c r="AB186" i="50"/>
  <c r="BN186" i="50" s="1"/>
  <c r="AC238" i="50"/>
  <c r="BO238" i="50" s="1"/>
  <c r="AS245" i="50"/>
  <c r="AJ160" i="50"/>
  <c r="BV160" i="50" s="1"/>
  <c r="N273" i="50"/>
  <c r="AZ273" i="50" s="1"/>
  <c r="H247" i="50"/>
  <c r="AT247" i="50" s="1"/>
  <c r="N263" i="50"/>
  <c r="AZ263" i="50" s="1"/>
  <c r="T258" i="50"/>
  <c r="BF258" i="50" s="1"/>
  <c r="AB277" i="50"/>
  <c r="BN277" i="50" s="1"/>
  <c r="AC163" i="50"/>
  <c r="AC183" i="50" s="1"/>
  <c r="BO183" i="50" s="1"/>
  <c r="U265" i="50"/>
  <c r="BG265" i="50" s="1"/>
  <c r="I61" i="62"/>
  <c r="AZ61" i="62" s="1"/>
  <c r="N265" i="50"/>
  <c r="AZ265" i="50" s="1"/>
  <c r="V238" i="50"/>
  <c r="V260" i="50" s="1"/>
  <c r="BH260" i="50" s="1"/>
  <c r="AZ253" i="50"/>
  <c r="AB259" i="50"/>
  <c r="BN259" i="50" s="1"/>
  <c r="AI262" i="50"/>
  <c r="BU262" i="50" s="1"/>
  <c r="P234" i="50"/>
  <c r="BB234" i="50" s="1"/>
  <c r="AI272" i="50"/>
  <c r="BU272" i="50" s="1"/>
  <c r="N269" i="50"/>
  <c r="AZ269" i="50" s="1"/>
  <c r="O246" i="50"/>
  <c r="BA246" i="50" s="1"/>
  <c r="BU160" i="50"/>
  <c r="AI270" i="50"/>
  <c r="BU270" i="50" s="1"/>
  <c r="AB236" i="50"/>
  <c r="C72" i="67" s="1"/>
  <c r="Q174" i="62"/>
  <c r="BH174" i="62" s="1"/>
  <c r="AE162" i="62"/>
  <c r="BV162" i="62" s="1"/>
  <c r="J62" i="62"/>
  <c r="BA62" i="62" s="1"/>
  <c r="AD222" i="50"/>
  <c r="BP222" i="50" s="1"/>
  <c r="V267" i="50"/>
  <c r="BH267" i="50" s="1"/>
  <c r="U259" i="50"/>
  <c r="BG259" i="50" s="1"/>
  <c r="U261" i="50"/>
  <c r="BG261" i="50" s="1"/>
  <c r="AD234" i="50"/>
  <c r="AD256" i="50" s="1"/>
  <c r="BP256" i="50" s="1"/>
  <c r="N279" i="50"/>
  <c r="AZ279" i="50" s="1"/>
  <c r="AC160" i="50"/>
  <c r="AC180" i="50" s="1"/>
  <c r="BO180" i="50" s="1"/>
  <c r="H243" i="50"/>
  <c r="H265" i="50" s="1"/>
  <c r="AT265" i="50" s="1"/>
  <c r="AC166" i="50"/>
  <c r="AC186" i="50" s="1"/>
  <c r="BO186" i="50" s="1"/>
  <c r="BH253" i="50"/>
  <c r="V275" i="50"/>
  <c r="BH275" i="50" s="1"/>
  <c r="O278" i="50"/>
  <c r="BA278" i="50" s="1"/>
  <c r="BA256" i="50"/>
  <c r="BO256" i="50"/>
  <c r="AC278" i="50"/>
  <c r="BO278" i="50" s="1"/>
  <c r="AD132" i="50"/>
  <c r="BP132" i="50" s="1"/>
  <c r="BU63" i="62"/>
  <c r="H79" i="62"/>
  <c r="AY79" i="62" s="1"/>
  <c r="AY80" i="62"/>
  <c r="AC251" i="50"/>
  <c r="BO251" i="50" s="1"/>
  <c r="BO229" i="50"/>
  <c r="O249" i="50"/>
  <c r="BA249" i="50" s="1"/>
  <c r="BA227" i="50"/>
  <c r="O242" i="50"/>
  <c r="BA242" i="50" s="1"/>
  <c r="BA220" i="50"/>
  <c r="V246" i="50"/>
  <c r="BH224" i="50"/>
  <c r="H254" i="50"/>
  <c r="AT232" i="50"/>
  <c r="AE69" i="62"/>
  <c r="BU69" i="62"/>
  <c r="Q195" i="50"/>
  <c r="BB195" i="50"/>
  <c r="X66" i="62"/>
  <c r="BN66" i="62"/>
  <c r="AI277" i="50"/>
  <c r="BU277" i="50" s="1"/>
  <c r="BU255" i="50"/>
  <c r="J73" i="62"/>
  <c r="AZ73" i="62"/>
  <c r="X210" i="50"/>
  <c r="BI210" i="50"/>
  <c r="AL207" i="50"/>
  <c r="BW207" i="50"/>
  <c r="Q82" i="62"/>
  <c r="BG82" i="62"/>
  <c r="X195" i="50"/>
  <c r="BI195" i="50"/>
  <c r="AL70" i="62"/>
  <c r="CB70" i="62"/>
  <c r="R96" i="62"/>
  <c r="BI96" i="62" s="1"/>
  <c r="BH96" i="62"/>
  <c r="X106" i="62"/>
  <c r="BN106" i="62"/>
  <c r="I203" i="50"/>
  <c r="AT203" i="50"/>
  <c r="U277" i="50"/>
  <c r="BG277" i="50" s="1"/>
  <c r="BG255" i="50"/>
  <c r="BO168" i="50"/>
  <c r="D34" i="67"/>
  <c r="D121" i="67" s="1"/>
  <c r="BA192" i="50"/>
  <c r="D34" i="85" s="1"/>
  <c r="D121" i="85" s="1"/>
  <c r="C34" i="67"/>
  <c r="C121" i="67" s="1"/>
  <c r="AZ192" i="50"/>
  <c r="C34" i="85" s="1"/>
  <c r="C121" i="85" s="1"/>
  <c r="V239" i="50"/>
  <c r="BH239" i="50" s="1"/>
  <c r="BH217" i="50"/>
  <c r="AC245" i="50"/>
  <c r="BO245" i="50" s="1"/>
  <c r="BO223" i="50"/>
  <c r="H257" i="50"/>
  <c r="AT235" i="50"/>
  <c r="P215" i="50"/>
  <c r="BB215" i="50" s="1"/>
  <c r="BG155" i="62"/>
  <c r="AZ238" i="50"/>
  <c r="N260" i="50"/>
  <c r="AZ260" i="50" s="1"/>
  <c r="AE76" i="62"/>
  <c r="BU76" i="62"/>
  <c r="AL68" i="62"/>
  <c r="CB68" i="62"/>
  <c r="AK39" i="50"/>
  <c r="BW39" i="50" s="1"/>
  <c r="I211" i="50"/>
  <c r="AT211" i="50"/>
  <c r="J90" i="62"/>
  <c r="AZ90" i="62"/>
  <c r="X213" i="50"/>
  <c r="BI213" i="50"/>
  <c r="AL78" i="62"/>
  <c r="CB78" i="62"/>
  <c r="N262" i="50"/>
  <c r="AZ262" i="50" s="1"/>
  <c r="AZ240" i="50"/>
  <c r="N271" i="50"/>
  <c r="AZ271" i="50" s="1"/>
  <c r="AZ249" i="50"/>
  <c r="Q105" i="62"/>
  <c r="BG105" i="62"/>
  <c r="J82" i="62"/>
  <c r="AZ82" i="62"/>
  <c r="AL77" i="62"/>
  <c r="CB77" i="62"/>
  <c r="Q203" i="50"/>
  <c r="BB203" i="50"/>
  <c r="J165" i="62"/>
  <c r="AZ165" i="62"/>
  <c r="I225" i="50"/>
  <c r="AU225" i="50" s="1"/>
  <c r="AL203" i="50"/>
  <c r="BW203" i="50"/>
  <c r="Q93" i="62"/>
  <c r="BG93" i="62"/>
  <c r="X90" i="62"/>
  <c r="BN90" i="62"/>
  <c r="AE206" i="50"/>
  <c r="BP206" i="50"/>
  <c r="V257" i="50"/>
  <c r="BH235" i="50"/>
  <c r="H251" i="50"/>
  <c r="AS251" i="50"/>
  <c r="AE103" i="62"/>
  <c r="BU103" i="62"/>
  <c r="AD49" i="50"/>
  <c r="BP49" i="50" s="1"/>
  <c r="G279" i="50"/>
  <c r="AS279" i="50" s="1"/>
  <c r="AS257" i="50"/>
  <c r="AE108" i="62"/>
  <c r="BU108" i="62"/>
  <c r="AD59" i="50"/>
  <c r="BP59" i="50" s="1"/>
  <c r="AE90" i="62"/>
  <c r="BU90" i="62"/>
  <c r="P80" i="62"/>
  <c r="BG80" i="62" s="1"/>
  <c r="AL50" i="50"/>
  <c r="BX50" i="50" s="1"/>
  <c r="CC100" i="62"/>
  <c r="O255" i="50"/>
  <c r="BA233" i="50"/>
  <c r="H248" i="50"/>
  <c r="AT248" i="50" s="1"/>
  <c r="AT226" i="50"/>
  <c r="O243" i="50"/>
  <c r="BA243" i="50" s="1"/>
  <c r="BA221" i="50"/>
  <c r="V240" i="50"/>
  <c r="BH240" i="50" s="1"/>
  <c r="BH218" i="50"/>
  <c r="BV163" i="50"/>
  <c r="AH258" i="50"/>
  <c r="BT258" i="50" s="1"/>
  <c r="H237" i="50"/>
  <c r="AT237" i="50" s="1"/>
  <c r="AT215" i="50"/>
  <c r="AE207" i="50"/>
  <c r="BP207" i="50"/>
  <c r="BU62" i="62"/>
  <c r="AD36" i="50"/>
  <c r="BP36" i="50" s="1"/>
  <c r="AE62" i="62"/>
  <c r="AE82" i="62"/>
  <c r="BU82" i="62"/>
  <c r="AD140" i="50"/>
  <c r="BP140" i="50" s="1"/>
  <c r="J156" i="62"/>
  <c r="AZ156" i="62"/>
  <c r="I216" i="50"/>
  <c r="AU216" i="50" s="1"/>
  <c r="I202" i="50"/>
  <c r="AT202" i="50"/>
  <c r="AI274" i="50"/>
  <c r="BU274" i="50" s="1"/>
  <c r="BU252" i="50"/>
  <c r="AE79" i="50"/>
  <c r="BP79" i="50"/>
  <c r="J96" i="62"/>
  <c r="AZ96" i="62"/>
  <c r="Q68" i="62"/>
  <c r="BG68" i="62"/>
  <c r="AE93" i="62"/>
  <c r="BU93" i="62"/>
  <c r="AD149" i="50"/>
  <c r="BP149" i="50" s="1"/>
  <c r="Q69" i="62"/>
  <c r="BG69" i="62"/>
  <c r="X205" i="50"/>
  <c r="BI205" i="50"/>
  <c r="AL209" i="50"/>
  <c r="BW209" i="50"/>
  <c r="G262" i="50"/>
  <c r="AS262" i="50" s="1"/>
  <c r="AS240" i="50"/>
  <c r="Q87" i="62"/>
  <c r="BG87" i="62"/>
  <c r="AL86" i="62"/>
  <c r="CB86" i="62"/>
  <c r="AK143" i="50"/>
  <c r="BW143" i="50" s="1"/>
  <c r="X68" i="62"/>
  <c r="BN68" i="62"/>
  <c r="AE205" i="50"/>
  <c r="BP205" i="50"/>
  <c r="AE68" i="62"/>
  <c r="BU68" i="62"/>
  <c r="AD39" i="50"/>
  <c r="BP39" i="50" s="1"/>
  <c r="J195" i="50"/>
  <c r="AU195" i="50"/>
  <c r="AL204" i="50"/>
  <c r="BW204" i="50"/>
  <c r="BO73" i="50"/>
  <c r="AE82" i="50"/>
  <c r="F57" i="49" s="1"/>
  <c r="L57" i="49" s="1"/>
  <c r="BP82" i="50"/>
  <c r="W216" i="50"/>
  <c r="BI216" i="50" s="1"/>
  <c r="BN156" i="62"/>
  <c r="AK139" i="50"/>
  <c r="BW139" i="50" s="1"/>
  <c r="CB81" i="62"/>
  <c r="C52" i="67"/>
  <c r="C123" i="67" s="1"/>
  <c r="BG192" i="50"/>
  <c r="C52" i="85" s="1"/>
  <c r="C123" i="85" s="1"/>
  <c r="G236" i="50"/>
  <c r="AA179" i="50"/>
  <c r="BM179" i="50" s="1"/>
  <c r="O252" i="50"/>
  <c r="BA252" i="50" s="1"/>
  <c r="BA230" i="50"/>
  <c r="O257" i="50"/>
  <c r="BA257" i="50" s="1"/>
  <c r="BA235" i="50"/>
  <c r="O251" i="50"/>
  <c r="BA251" i="50" s="1"/>
  <c r="BA229" i="50"/>
  <c r="V248" i="50"/>
  <c r="BH248" i="50" s="1"/>
  <c r="BH226" i="50"/>
  <c r="AC254" i="50"/>
  <c r="BO232" i="50"/>
  <c r="X204" i="50"/>
  <c r="BI204" i="50"/>
  <c r="J174" i="62"/>
  <c r="AZ174" i="62"/>
  <c r="I234" i="50"/>
  <c r="AU234" i="50" s="1"/>
  <c r="Q200" i="50"/>
  <c r="BB200" i="50"/>
  <c r="Q196" i="50"/>
  <c r="BB196" i="50"/>
  <c r="Q106" i="62"/>
  <c r="BG106" i="62"/>
  <c r="J102" i="62"/>
  <c r="AZ102" i="62"/>
  <c r="I201" i="50"/>
  <c r="AT201" i="50"/>
  <c r="J88" i="62"/>
  <c r="AZ88" i="62"/>
  <c r="AC84" i="50"/>
  <c r="BN84" i="50"/>
  <c r="X206" i="50"/>
  <c r="BI206" i="50"/>
  <c r="AB60" i="62"/>
  <c r="BS60" i="62" s="1"/>
  <c r="I94" i="62"/>
  <c r="AZ94" i="62" s="1"/>
  <c r="AB159" i="50"/>
  <c r="BN159" i="50" s="1"/>
  <c r="AK249" i="50"/>
  <c r="BW249" i="50" s="1"/>
  <c r="BW227" i="50"/>
  <c r="O241" i="50"/>
  <c r="BA241" i="50" s="1"/>
  <c r="BA219" i="50"/>
  <c r="AI260" i="50"/>
  <c r="BU260" i="50" s="1"/>
  <c r="U262" i="50"/>
  <c r="BG262" i="50" s="1"/>
  <c r="AA258" i="50"/>
  <c r="BM258" i="50" s="1"/>
  <c r="AD216" i="50"/>
  <c r="BP216" i="50" s="1"/>
  <c r="BU156" i="62"/>
  <c r="Q108" i="62"/>
  <c r="BG108" i="62"/>
  <c r="U278" i="50"/>
  <c r="BG278" i="50" s="1"/>
  <c r="BG256" i="50"/>
  <c r="AS255" i="50"/>
  <c r="G277" i="50"/>
  <c r="AS277" i="50" s="1"/>
  <c r="H255" i="50"/>
  <c r="H277" i="50" s="1"/>
  <c r="AT277" i="50" s="1"/>
  <c r="AL193" i="50"/>
  <c r="BW193" i="50"/>
  <c r="Q103" i="62"/>
  <c r="BG103" i="62"/>
  <c r="AL210" i="50"/>
  <c r="BW210" i="50"/>
  <c r="J170" i="62"/>
  <c r="AZ170" i="62"/>
  <c r="I230" i="50"/>
  <c r="AU230" i="50" s="1"/>
  <c r="AJ152" i="50"/>
  <c r="Q102" i="62"/>
  <c r="BG102" i="62"/>
  <c r="AI273" i="50"/>
  <c r="BU273" i="50" s="1"/>
  <c r="BU251" i="50"/>
  <c r="U276" i="50"/>
  <c r="BG276" i="50" s="1"/>
  <c r="U236" i="50"/>
  <c r="AC188" i="50"/>
  <c r="BO188" i="50" s="1"/>
  <c r="V250" i="50"/>
  <c r="BH250" i="50" s="1"/>
  <c r="BH228" i="50"/>
  <c r="W235" i="50"/>
  <c r="X163" i="62"/>
  <c r="BO163" i="62" s="1"/>
  <c r="AJ247" i="50"/>
  <c r="BV247" i="50" s="1"/>
  <c r="BV225" i="50"/>
  <c r="V242" i="50"/>
  <c r="BH242" i="50" s="1"/>
  <c r="BH220" i="50"/>
  <c r="V252" i="50"/>
  <c r="BH252" i="50" s="1"/>
  <c r="BH230" i="50"/>
  <c r="AJ248" i="50"/>
  <c r="BV248" i="50" s="1"/>
  <c r="BV226" i="50"/>
  <c r="G266" i="50"/>
  <c r="AS266" i="50" s="1"/>
  <c r="AB265" i="50"/>
  <c r="BN265" i="50" s="1"/>
  <c r="AI266" i="50"/>
  <c r="BU266" i="50" s="1"/>
  <c r="AB275" i="50"/>
  <c r="BN275" i="50" s="1"/>
  <c r="AB269" i="50"/>
  <c r="BN269" i="50" s="1"/>
  <c r="AK217" i="50"/>
  <c r="CB157" i="62"/>
  <c r="AC240" i="50"/>
  <c r="BO218" i="50"/>
  <c r="V237" i="50"/>
  <c r="BH237" i="50" s="1"/>
  <c r="BH215" i="50"/>
  <c r="N60" i="62"/>
  <c r="BE60" i="62" s="1"/>
  <c r="BE67" i="62"/>
  <c r="V79" i="62"/>
  <c r="BM79" i="62" s="1"/>
  <c r="AI77" i="50"/>
  <c r="BU77" i="50" s="1"/>
  <c r="AJ251" i="50"/>
  <c r="AK251" i="50" s="1"/>
  <c r="BW251" i="50" s="1"/>
  <c r="Y82" i="62"/>
  <c r="BP82" i="62" s="1"/>
  <c r="BO82" i="62"/>
  <c r="AE211" i="50"/>
  <c r="BP211" i="50"/>
  <c r="BU95" i="62"/>
  <c r="AE95" i="62"/>
  <c r="Q197" i="50"/>
  <c r="BB197" i="50"/>
  <c r="Q88" i="62"/>
  <c r="BG88" i="62"/>
  <c r="AE107" i="62"/>
  <c r="BU107" i="62"/>
  <c r="AL202" i="50"/>
  <c r="BW202" i="50"/>
  <c r="AL85" i="62"/>
  <c r="CB85" i="62"/>
  <c r="AB262" i="50"/>
  <c r="BN262" i="50" s="1"/>
  <c r="BN240" i="50"/>
  <c r="J68" i="62"/>
  <c r="AZ68" i="62"/>
  <c r="Q171" i="62"/>
  <c r="BG171" i="62"/>
  <c r="P231" i="50"/>
  <c r="BB231" i="50" s="1"/>
  <c r="AL197" i="50"/>
  <c r="BW197" i="50"/>
  <c r="AL73" i="62"/>
  <c r="CB73" i="62"/>
  <c r="AK135" i="50"/>
  <c r="BW135" i="50" s="1"/>
  <c r="BO81" i="50"/>
  <c r="Q211" i="50"/>
  <c r="BB211" i="50"/>
  <c r="AL196" i="50"/>
  <c r="BW196" i="50"/>
  <c r="AL93" i="62"/>
  <c r="CB93" i="62"/>
  <c r="AK149" i="50"/>
  <c r="BW149" i="50" s="1"/>
  <c r="J85" i="62"/>
  <c r="AZ85" i="62"/>
  <c r="X97" i="62"/>
  <c r="BN97" i="62"/>
  <c r="AL107" i="62"/>
  <c r="CB107" i="62"/>
  <c r="AL69" i="62"/>
  <c r="CB69" i="62"/>
  <c r="X69" i="62"/>
  <c r="BN69" i="62"/>
  <c r="AE77" i="62"/>
  <c r="BU77" i="62"/>
  <c r="Q209" i="50"/>
  <c r="BB209" i="50"/>
  <c r="AI275" i="50"/>
  <c r="BU275" i="50" s="1"/>
  <c r="BU253" i="50"/>
  <c r="G276" i="50"/>
  <c r="AS276" i="50" s="1"/>
  <c r="AS254" i="50"/>
  <c r="AB271" i="50"/>
  <c r="BN271" i="50" s="1"/>
  <c r="BN249" i="50"/>
  <c r="I207" i="50"/>
  <c r="AT207" i="50"/>
  <c r="AL102" i="62"/>
  <c r="CB102" i="62"/>
  <c r="AK52" i="50"/>
  <c r="BW52" i="50" s="1"/>
  <c r="X211" i="50"/>
  <c r="BI211" i="50"/>
  <c r="J210" i="50"/>
  <c r="AU210" i="50"/>
  <c r="AE208" i="50"/>
  <c r="BP208" i="50"/>
  <c r="AE97" i="62"/>
  <c r="BU97" i="62"/>
  <c r="BU84" i="62"/>
  <c r="AE84" i="62"/>
  <c r="AD83" i="62"/>
  <c r="BU83" i="62" s="1"/>
  <c r="Q89" i="62"/>
  <c r="BG89" i="62"/>
  <c r="AL82" i="62"/>
  <c r="CB82" i="62"/>
  <c r="AK140" i="50"/>
  <c r="BW140" i="50" s="1"/>
  <c r="Q73" i="62"/>
  <c r="BG73" i="62"/>
  <c r="AE199" i="50"/>
  <c r="BP199" i="50"/>
  <c r="U268" i="50"/>
  <c r="BG268" i="50" s="1"/>
  <c r="BG246" i="50"/>
  <c r="AL195" i="50"/>
  <c r="BW195" i="50"/>
  <c r="Q76" i="62"/>
  <c r="BG76" i="62"/>
  <c r="J159" i="62"/>
  <c r="AZ159" i="62"/>
  <c r="I219" i="50"/>
  <c r="AU219" i="50" s="1"/>
  <c r="AE139" i="50"/>
  <c r="BQ139" i="50" s="1"/>
  <c r="BV81" i="62"/>
  <c r="J87" i="62"/>
  <c r="AZ87" i="62"/>
  <c r="AL206" i="50"/>
  <c r="BW206" i="50"/>
  <c r="BU65" i="62"/>
  <c r="AE65" i="62"/>
  <c r="AD37" i="50"/>
  <c r="BP37" i="50" s="1"/>
  <c r="BN81" i="62"/>
  <c r="W80" i="62"/>
  <c r="BN80" i="62" s="1"/>
  <c r="X81" i="62"/>
  <c r="AL199" i="50"/>
  <c r="BW199" i="50"/>
  <c r="Q202" i="50"/>
  <c r="BB202" i="50"/>
  <c r="V256" i="50"/>
  <c r="BH234" i="50"/>
  <c r="BG253" i="50"/>
  <c r="U275" i="50"/>
  <c r="BG275" i="50" s="1"/>
  <c r="U273" i="50"/>
  <c r="BG273" i="50" s="1"/>
  <c r="BG251" i="50"/>
  <c r="J193" i="50"/>
  <c r="AU193" i="50"/>
  <c r="AE83" i="50"/>
  <c r="BP83" i="50"/>
  <c r="W64" i="62"/>
  <c r="BN64" i="62" s="1"/>
  <c r="O239" i="50"/>
  <c r="BA239" i="50" s="1"/>
  <c r="BA217" i="50"/>
  <c r="AI60" i="62"/>
  <c r="BZ60" i="62" s="1"/>
  <c r="BZ79" i="62"/>
  <c r="AL212" i="50"/>
  <c r="BW212" i="50"/>
  <c r="X196" i="50"/>
  <c r="BI196" i="50"/>
  <c r="AE102" i="62"/>
  <c r="BU102" i="62"/>
  <c r="AD52" i="50"/>
  <c r="BP52" i="50" s="1"/>
  <c r="AL200" i="50"/>
  <c r="BW200" i="50"/>
  <c r="X201" i="50"/>
  <c r="BI201" i="50"/>
  <c r="AL90" i="62"/>
  <c r="CB90" i="62"/>
  <c r="AL96" i="62"/>
  <c r="CB96" i="62"/>
  <c r="X102" i="62"/>
  <c r="BN102" i="62"/>
  <c r="BO77" i="50"/>
  <c r="Q70" i="62"/>
  <c r="BG70" i="62"/>
  <c r="U279" i="50"/>
  <c r="BG279" i="50" s="1"/>
  <c r="BG257" i="50"/>
  <c r="Q78" i="62"/>
  <c r="BG78" i="62"/>
  <c r="AE204" i="50"/>
  <c r="BP204" i="50"/>
  <c r="AJ79" i="62"/>
  <c r="CA79" i="62" s="1"/>
  <c r="CA80" i="62"/>
  <c r="V247" i="50"/>
  <c r="BH247" i="50" s="1"/>
  <c r="BH225" i="50"/>
  <c r="H250" i="50"/>
  <c r="AT250" i="50" s="1"/>
  <c r="AT228" i="50"/>
  <c r="O248" i="50"/>
  <c r="BA226" i="50"/>
  <c r="G272" i="50"/>
  <c r="AS272" i="50" s="1"/>
  <c r="AS250" i="50"/>
  <c r="J89" i="62"/>
  <c r="AZ89" i="62"/>
  <c r="AL208" i="50"/>
  <c r="BW208" i="50"/>
  <c r="AJ254" i="50"/>
  <c r="BV254" i="50" s="1"/>
  <c r="BV232" i="50"/>
  <c r="AJ252" i="50"/>
  <c r="BV252" i="50" s="1"/>
  <c r="BV230" i="50"/>
  <c r="AB180" i="50"/>
  <c r="BN180" i="50" s="1"/>
  <c r="AB270" i="50"/>
  <c r="BN270" i="50" s="1"/>
  <c r="BN248" i="50"/>
  <c r="X87" i="62"/>
  <c r="BN87" i="62"/>
  <c r="J77" i="62"/>
  <c r="AZ77" i="62"/>
  <c r="Q201" i="50"/>
  <c r="BB201" i="50"/>
  <c r="Q90" i="62"/>
  <c r="BG90" i="62"/>
  <c r="X92" i="62"/>
  <c r="BN92" i="62"/>
  <c r="Q63" i="62"/>
  <c r="BG63" i="62"/>
  <c r="X208" i="50"/>
  <c r="BI208" i="50"/>
  <c r="I205" i="50"/>
  <c r="AT205" i="50"/>
  <c r="AL103" i="62"/>
  <c r="CB103" i="62"/>
  <c r="AK49" i="50"/>
  <c r="BW49" i="50" s="1"/>
  <c r="Q213" i="50"/>
  <c r="BB213" i="50"/>
  <c r="J169" i="62"/>
  <c r="AZ169" i="62"/>
  <c r="I229" i="50"/>
  <c r="AU229" i="50" s="1"/>
  <c r="G259" i="50"/>
  <c r="AS259" i="50" s="1"/>
  <c r="AJ242" i="50"/>
  <c r="BV242" i="50" s="1"/>
  <c r="BV220" i="50"/>
  <c r="W223" i="50"/>
  <c r="Q204" i="50"/>
  <c r="BB204" i="50"/>
  <c r="AE104" i="62"/>
  <c r="BU104" i="62"/>
  <c r="AD53" i="50"/>
  <c r="BP53" i="50" s="1"/>
  <c r="X93" i="62"/>
  <c r="BN93" i="62"/>
  <c r="H253" i="50"/>
  <c r="AT231" i="50"/>
  <c r="Q104" i="62"/>
  <c r="BG104" i="62"/>
  <c r="X89" i="62"/>
  <c r="BN89" i="62"/>
  <c r="BW219" i="50"/>
  <c r="AL36" i="50"/>
  <c r="BX36" i="50" s="1"/>
  <c r="CC62" i="62"/>
  <c r="AJ246" i="50"/>
  <c r="BV246" i="50" s="1"/>
  <c r="BV224" i="50"/>
  <c r="H244" i="50"/>
  <c r="AT244" i="50" s="1"/>
  <c r="AT222" i="50"/>
  <c r="AJ238" i="50"/>
  <c r="BV238" i="50" s="1"/>
  <c r="BV216" i="50"/>
  <c r="AC249" i="50"/>
  <c r="BO249" i="50" s="1"/>
  <c r="BO227" i="50"/>
  <c r="G270" i="50"/>
  <c r="AS270" i="50" s="1"/>
  <c r="U266" i="50"/>
  <c r="BG266" i="50" s="1"/>
  <c r="AJ255" i="50"/>
  <c r="BV255" i="50" s="1"/>
  <c r="BV233" i="50"/>
  <c r="AC252" i="50"/>
  <c r="BO230" i="50"/>
  <c r="AJ253" i="50"/>
  <c r="BV253" i="50" s="1"/>
  <c r="BV231" i="50"/>
  <c r="V67" i="62"/>
  <c r="BM67" i="62" s="1"/>
  <c r="O238" i="50"/>
  <c r="P238" i="50" s="1"/>
  <c r="BB238" i="50" s="1"/>
  <c r="BA216" i="50"/>
  <c r="J173" i="62"/>
  <c r="AZ173" i="62"/>
  <c r="I233" i="50"/>
  <c r="AU233" i="50" s="1"/>
  <c r="J209" i="50"/>
  <c r="AU209" i="50"/>
  <c r="X107" i="62"/>
  <c r="BN107" i="62"/>
  <c r="H238" i="50"/>
  <c r="H260" i="50" s="1"/>
  <c r="AT260" i="50" s="1"/>
  <c r="N277" i="50"/>
  <c r="AZ277" i="50" s="1"/>
  <c r="AZ255" i="50"/>
  <c r="N264" i="50"/>
  <c r="AZ264" i="50" s="1"/>
  <c r="AZ242" i="50"/>
  <c r="AL213" i="50"/>
  <c r="BW213" i="50"/>
  <c r="AE92" i="62"/>
  <c r="BU92" i="62"/>
  <c r="AD43" i="50"/>
  <c r="BP43" i="50" s="1"/>
  <c r="J167" i="62"/>
  <c r="AZ167" i="62"/>
  <c r="I227" i="50"/>
  <c r="AU227" i="50" s="1"/>
  <c r="BV155" i="50"/>
  <c r="BN169" i="62"/>
  <c r="X169" i="62"/>
  <c r="W229" i="50"/>
  <c r="BI229" i="50" s="1"/>
  <c r="X63" i="62"/>
  <c r="BN63" i="62"/>
  <c r="U274" i="50"/>
  <c r="BG274" i="50" s="1"/>
  <c r="BG252" i="50"/>
  <c r="AJ239" i="50"/>
  <c r="BV217" i="50"/>
  <c r="AL92" i="62"/>
  <c r="CB92" i="62"/>
  <c r="AK43" i="50"/>
  <c r="BW43" i="50" s="1"/>
  <c r="BU100" i="62"/>
  <c r="AE100" i="62"/>
  <c r="AD50" i="50"/>
  <c r="BP50" i="50" s="1"/>
  <c r="AE105" i="62"/>
  <c r="BU105" i="62"/>
  <c r="AD55" i="50"/>
  <c r="BP55" i="50" s="1"/>
  <c r="AL91" i="62"/>
  <c r="CB91" i="62"/>
  <c r="AK148" i="50"/>
  <c r="BW148" i="50" s="1"/>
  <c r="Q92" i="62"/>
  <c r="BG92" i="62"/>
  <c r="AD80" i="62"/>
  <c r="J63" i="62"/>
  <c r="AZ63" i="62"/>
  <c r="AE203" i="50"/>
  <c r="BP203" i="50"/>
  <c r="AJ166" i="50"/>
  <c r="BU166" i="50"/>
  <c r="Q212" i="50"/>
  <c r="BB212" i="50"/>
  <c r="AL101" i="62"/>
  <c r="CB101" i="62"/>
  <c r="AK51" i="50"/>
  <c r="BW51" i="50" s="1"/>
  <c r="AL63" i="62"/>
  <c r="CB63" i="62"/>
  <c r="AK132" i="50"/>
  <c r="BW132" i="50" s="1"/>
  <c r="J86" i="62"/>
  <c r="AZ86" i="62"/>
  <c r="X85" i="62"/>
  <c r="BN85" i="62"/>
  <c r="J92" i="62"/>
  <c r="AZ92" i="62"/>
  <c r="X73" i="62"/>
  <c r="X71" i="62" s="1"/>
  <c r="BO71" i="62" s="1"/>
  <c r="BN73" i="62"/>
  <c r="BG95" i="62"/>
  <c r="Q95" i="62"/>
  <c r="P94" i="62"/>
  <c r="BG94" i="62" s="1"/>
  <c r="O253" i="50"/>
  <c r="O275" i="50" s="1"/>
  <c r="BA275" i="50" s="1"/>
  <c r="AC80" i="50"/>
  <c r="X105" i="62"/>
  <c r="BN105" i="62"/>
  <c r="J105" i="62"/>
  <c r="AZ105" i="62"/>
  <c r="AC239" i="50"/>
  <c r="BO239" i="50" s="1"/>
  <c r="BO217" i="50"/>
  <c r="O245" i="50"/>
  <c r="BA245" i="50" s="1"/>
  <c r="BA223" i="50"/>
  <c r="BW229" i="50"/>
  <c r="AJ250" i="50"/>
  <c r="BV250" i="50" s="1"/>
  <c r="BV228" i="50"/>
  <c r="O244" i="50"/>
  <c r="BA222" i="50"/>
  <c r="AC264" i="50"/>
  <c r="BO264" i="50" s="1"/>
  <c r="BO242" i="50"/>
  <c r="AL104" i="62"/>
  <c r="CB104" i="62"/>
  <c r="AK53" i="50"/>
  <c r="BW53" i="50" s="1"/>
  <c r="BN256" i="50"/>
  <c r="AB278" i="50"/>
  <c r="BN278" i="50" s="1"/>
  <c r="I194" i="50"/>
  <c r="AT194" i="50"/>
  <c r="X197" i="50"/>
  <c r="BI197" i="50"/>
  <c r="AE194" i="50"/>
  <c r="BP194" i="50"/>
  <c r="Q86" i="62"/>
  <c r="BG86" i="62"/>
  <c r="J76" i="62"/>
  <c r="AZ76" i="62"/>
  <c r="J196" i="50"/>
  <c r="AU196" i="50"/>
  <c r="X77" i="62"/>
  <c r="BN77" i="62"/>
  <c r="AE202" i="50"/>
  <c r="BP202" i="50"/>
  <c r="J106" i="62"/>
  <c r="AZ106" i="62"/>
  <c r="X98" i="62"/>
  <c r="BN98" i="62"/>
  <c r="Q210" i="50"/>
  <c r="BB210" i="50"/>
  <c r="AL194" i="50"/>
  <c r="BW194" i="50"/>
  <c r="K66" i="62"/>
  <c r="BB66" i="62" s="1"/>
  <c r="BA66" i="62"/>
  <c r="Q215" i="50"/>
  <c r="BC215" i="50" s="1"/>
  <c r="BH155" i="62"/>
  <c r="AC253" i="50"/>
  <c r="BO253" i="50" s="1"/>
  <c r="BO231" i="50"/>
  <c r="AC241" i="50"/>
  <c r="BO241" i="50" s="1"/>
  <c r="BO219" i="50"/>
  <c r="V254" i="50"/>
  <c r="BH254" i="50" s="1"/>
  <c r="BH232" i="50"/>
  <c r="V244" i="50"/>
  <c r="BH244" i="50" s="1"/>
  <c r="BH222" i="50"/>
  <c r="AI276" i="50"/>
  <c r="BU276" i="50" s="1"/>
  <c r="M258" i="50"/>
  <c r="AY258" i="50" s="1"/>
  <c r="AY259" i="50"/>
  <c r="AC268" i="50"/>
  <c r="BO268" i="50" s="1"/>
  <c r="BO246" i="50"/>
  <c r="AE73" i="62"/>
  <c r="BU73" i="62"/>
  <c r="AD135" i="50"/>
  <c r="BP135" i="50" s="1"/>
  <c r="X194" i="50"/>
  <c r="BI194" i="50"/>
  <c r="Q205" i="50"/>
  <c r="BB205" i="50"/>
  <c r="J213" i="50"/>
  <c r="AU213" i="50"/>
  <c r="Q194" i="50"/>
  <c r="BB194" i="50"/>
  <c r="AL98" i="62"/>
  <c r="CB98" i="62"/>
  <c r="AK48" i="50"/>
  <c r="BW48" i="50" s="1"/>
  <c r="AE70" i="62"/>
  <c r="BU70" i="62"/>
  <c r="X70" i="62"/>
  <c r="BN70" i="62"/>
  <c r="AL198" i="50"/>
  <c r="BW198" i="50"/>
  <c r="J206" i="50"/>
  <c r="AU206" i="50"/>
  <c r="AL87" i="62"/>
  <c r="CB87" i="62"/>
  <c r="AE85" i="62"/>
  <c r="BU85" i="62"/>
  <c r="X86" i="62"/>
  <c r="BN86" i="62"/>
  <c r="AB272" i="50"/>
  <c r="BN272" i="50" s="1"/>
  <c r="BN250" i="50"/>
  <c r="V243" i="50"/>
  <c r="BH243" i="50" s="1"/>
  <c r="BH221" i="50"/>
  <c r="V241" i="50"/>
  <c r="BH241" i="50" s="1"/>
  <c r="BH219" i="50"/>
  <c r="O247" i="50"/>
  <c r="BA247" i="50" s="1"/>
  <c r="BA225" i="50"/>
  <c r="AJ244" i="50"/>
  <c r="BV244" i="50" s="1"/>
  <c r="BV222" i="50"/>
  <c r="AD220" i="50"/>
  <c r="BP220" i="50" s="1"/>
  <c r="H239" i="50"/>
  <c r="AT239" i="50" s="1"/>
  <c r="AT217" i="50"/>
  <c r="Q65" i="62"/>
  <c r="BH65" i="62" s="1"/>
  <c r="BG65" i="62"/>
  <c r="J97" i="62"/>
  <c r="AZ97" i="62"/>
  <c r="Q198" i="50"/>
  <c r="BB198" i="50"/>
  <c r="X212" i="50"/>
  <c r="BI212" i="50"/>
  <c r="X101" i="62"/>
  <c r="BN101" i="62"/>
  <c r="N270" i="50"/>
  <c r="AZ270" i="50" s="1"/>
  <c r="AZ248" i="50"/>
  <c r="J200" i="50"/>
  <c r="AU200" i="50"/>
  <c r="AI264" i="50"/>
  <c r="BU264" i="50" s="1"/>
  <c r="BU242" i="50"/>
  <c r="AE98" i="62"/>
  <c r="BU98" i="62"/>
  <c r="AD48" i="50"/>
  <c r="BP48" i="50" s="1"/>
  <c r="H241" i="50"/>
  <c r="H263" i="50" s="1"/>
  <c r="AT263" i="50" s="1"/>
  <c r="AS241" i="50"/>
  <c r="AE210" i="50"/>
  <c r="BP210" i="50"/>
  <c r="J93" i="62"/>
  <c r="AZ93" i="62"/>
  <c r="AE198" i="50"/>
  <c r="BP198" i="50"/>
  <c r="Q107" i="62"/>
  <c r="BG107" i="62"/>
  <c r="AL37" i="50"/>
  <c r="BX37" i="50" s="1"/>
  <c r="CC65" i="62"/>
  <c r="C16" i="67"/>
  <c r="C119" i="67" s="1"/>
  <c r="AS192" i="50"/>
  <c r="C16" i="85" s="1"/>
  <c r="D70" i="67"/>
  <c r="D125" i="67" s="1"/>
  <c r="BO192" i="50"/>
  <c r="D70" i="85" s="1"/>
  <c r="D125" i="85" s="1"/>
  <c r="AJ256" i="50"/>
  <c r="BV234" i="50"/>
  <c r="H246" i="50"/>
  <c r="AT246" i="50" s="1"/>
  <c r="AT224" i="50"/>
  <c r="O250" i="50"/>
  <c r="BA250" i="50" s="1"/>
  <c r="BA228" i="50"/>
  <c r="AE160" i="62"/>
  <c r="BV160" i="62" s="1"/>
  <c r="G261" i="50"/>
  <c r="AS261" i="50" s="1"/>
  <c r="AE195" i="50"/>
  <c r="BP195" i="50"/>
  <c r="AI263" i="50"/>
  <c r="BU263" i="50" s="1"/>
  <c r="BU241" i="50"/>
  <c r="AL105" i="62"/>
  <c r="CB105" i="62"/>
  <c r="AK55" i="50"/>
  <c r="BW55" i="50" s="1"/>
  <c r="AL76" i="62"/>
  <c r="CB76" i="62"/>
  <c r="Q77" i="62"/>
  <c r="BG77" i="62"/>
  <c r="AI278" i="50"/>
  <c r="BU278" i="50" s="1"/>
  <c r="BU256" i="50"/>
  <c r="AB274" i="50"/>
  <c r="BN274" i="50" s="1"/>
  <c r="BN252" i="50"/>
  <c r="AL201" i="50"/>
  <c r="BW201" i="50"/>
  <c r="J104" i="62"/>
  <c r="AZ104" i="62"/>
  <c r="N278" i="50"/>
  <c r="AZ278" i="50" s="1"/>
  <c r="AZ256" i="50"/>
  <c r="J91" i="62"/>
  <c r="AZ91" i="62"/>
  <c r="X88" i="62"/>
  <c r="BN88" i="62"/>
  <c r="X193" i="50"/>
  <c r="BI193" i="50"/>
  <c r="AL108" i="62"/>
  <c r="CB108" i="62"/>
  <c r="AK59" i="50"/>
  <c r="BW59" i="50" s="1"/>
  <c r="AL97" i="62"/>
  <c r="CB97" i="62"/>
  <c r="X199" i="50"/>
  <c r="BI199" i="50"/>
  <c r="AI279" i="50"/>
  <c r="BU279" i="50" s="1"/>
  <c r="BU257" i="50"/>
  <c r="J204" i="50"/>
  <c r="AU204" i="50"/>
  <c r="AE193" i="50"/>
  <c r="BP193" i="50"/>
  <c r="AL89" i="62"/>
  <c r="CB89" i="62"/>
  <c r="AK146" i="50"/>
  <c r="BW146" i="50" s="1"/>
  <c r="J98" i="62"/>
  <c r="AZ98" i="62"/>
  <c r="AJ168" i="50"/>
  <c r="BU168" i="50"/>
  <c r="CB84" i="62"/>
  <c r="AL84" i="62"/>
  <c r="AK83" i="62"/>
  <c r="CB83" i="62" s="1"/>
  <c r="AE106" i="62"/>
  <c r="BU106" i="62"/>
  <c r="AD56" i="50"/>
  <c r="BP56" i="50" s="1"/>
  <c r="U271" i="50"/>
  <c r="BG271" i="50" s="1"/>
  <c r="BG249" i="50"/>
  <c r="Q85" i="62"/>
  <c r="BG85" i="62"/>
  <c r="AD74" i="62"/>
  <c r="BU74" i="62" s="1"/>
  <c r="AE216" i="50"/>
  <c r="BQ216" i="50" s="1"/>
  <c r="BV156" i="62"/>
  <c r="P61" i="62"/>
  <c r="BG61" i="62" s="1"/>
  <c r="F258" i="50"/>
  <c r="AR258" i="50" s="1"/>
  <c r="AC255" i="50"/>
  <c r="BO255" i="50" s="1"/>
  <c r="BO233" i="50"/>
  <c r="AC250" i="50"/>
  <c r="BO250" i="50" s="1"/>
  <c r="BO228" i="50"/>
  <c r="AC243" i="50"/>
  <c r="BO243" i="50" s="1"/>
  <c r="BO221" i="50"/>
  <c r="U270" i="50"/>
  <c r="BG270" i="50" s="1"/>
  <c r="AC189" i="50"/>
  <c r="BO189" i="50" s="1"/>
  <c r="G273" i="50"/>
  <c r="AS273" i="50" s="1"/>
  <c r="AC248" i="50"/>
  <c r="AD248" i="50" s="1"/>
  <c r="X207" i="50"/>
  <c r="BI207" i="50"/>
  <c r="X91" i="62"/>
  <c r="BN91" i="62"/>
  <c r="AE78" i="62"/>
  <c r="BU78" i="62"/>
  <c r="AC244" i="50"/>
  <c r="BO222" i="50"/>
  <c r="AI268" i="50"/>
  <c r="BU268" i="50" s="1"/>
  <c r="BU246" i="50"/>
  <c r="N267" i="50"/>
  <c r="AZ267" i="50" s="1"/>
  <c r="AZ245" i="50"/>
  <c r="BG245" i="50"/>
  <c r="U267" i="50"/>
  <c r="BG267" i="50" s="1"/>
  <c r="Q193" i="50"/>
  <c r="BB193" i="50"/>
  <c r="AZ84" i="62"/>
  <c r="I83" i="62"/>
  <c r="AZ83" i="62" s="1"/>
  <c r="J84" i="62"/>
  <c r="AL211" i="50"/>
  <c r="BW211" i="50"/>
  <c r="X78" i="62"/>
  <c r="BN78" i="62"/>
  <c r="Q207" i="50"/>
  <c r="BB207" i="50"/>
  <c r="H252" i="50"/>
  <c r="AS252" i="50"/>
  <c r="AJ241" i="50"/>
  <c r="AZ75" i="62"/>
  <c r="I74" i="62"/>
  <c r="AZ74" i="62" s="1"/>
  <c r="J75" i="62"/>
  <c r="AE200" i="50"/>
  <c r="BP200" i="50"/>
  <c r="J197" i="50"/>
  <c r="AU197" i="50"/>
  <c r="AC78" i="50"/>
  <c r="O254" i="50"/>
  <c r="BA254" i="50" s="1"/>
  <c r="BA232" i="50"/>
  <c r="AJ67" i="62"/>
  <c r="CA67" i="62" s="1"/>
  <c r="CA74" i="62"/>
  <c r="W83" i="62"/>
  <c r="O79" i="62"/>
  <c r="BF79" i="62" s="1"/>
  <c r="BF83" i="62"/>
  <c r="D52" i="67"/>
  <c r="D123" i="67" s="1"/>
  <c r="BH192" i="50"/>
  <c r="D52" i="85" s="1"/>
  <c r="D123" i="85" s="1"/>
  <c r="D94" i="67"/>
  <c r="D127" i="67" s="1"/>
  <c r="BV192" i="50"/>
  <c r="D94" i="85" s="1"/>
  <c r="D127" i="85" s="1"/>
  <c r="AJ271" i="50"/>
  <c r="BV271" i="50" s="1"/>
  <c r="X175" i="62"/>
  <c r="BO175" i="62" s="1"/>
  <c r="BP232" i="50"/>
  <c r="W231" i="50"/>
  <c r="V249" i="50"/>
  <c r="BH249" i="50" s="1"/>
  <c r="BH227" i="50"/>
  <c r="N276" i="50"/>
  <c r="AZ276" i="50" s="1"/>
  <c r="AB279" i="50"/>
  <c r="BN279" i="50" s="1"/>
  <c r="AD51" i="50"/>
  <c r="BP51" i="50" s="1"/>
  <c r="BU101" i="62"/>
  <c r="AK94" i="62"/>
  <c r="CB94" i="62" s="1"/>
  <c r="AB75" i="50"/>
  <c r="BN75" i="50" s="1"/>
  <c r="AJ240" i="50"/>
  <c r="BV240" i="50" s="1"/>
  <c r="BV218" i="50"/>
  <c r="AJ243" i="50"/>
  <c r="BV243" i="50" s="1"/>
  <c r="BV221" i="50"/>
  <c r="AB263" i="50"/>
  <c r="BN263" i="50" s="1"/>
  <c r="AC247" i="50"/>
  <c r="BO247" i="50" s="1"/>
  <c r="BO225" i="50"/>
  <c r="AC237" i="50"/>
  <c r="BO237" i="50" s="1"/>
  <c r="BO215" i="50"/>
  <c r="X171" i="62"/>
  <c r="BO171" i="62" s="1"/>
  <c r="AC76" i="50"/>
  <c r="BO76" i="50" s="1"/>
  <c r="N274" i="50"/>
  <c r="AZ274" i="50" s="1"/>
  <c r="V255" i="50"/>
  <c r="BH233" i="50"/>
  <c r="AC257" i="50"/>
  <c r="BO257" i="50" s="1"/>
  <c r="BO235" i="50"/>
  <c r="AI269" i="50"/>
  <c r="BU269" i="50" s="1"/>
  <c r="AJ159" i="50"/>
  <c r="BV159" i="50" s="1"/>
  <c r="AJ245" i="50"/>
  <c r="BV245" i="50" s="1"/>
  <c r="BV223" i="50"/>
  <c r="H267" i="50"/>
  <c r="AT267" i="50" s="1"/>
  <c r="AT245" i="50"/>
  <c r="V251" i="50"/>
  <c r="AJ257" i="50"/>
  <c r="AK257" i="50" s="1"/>
  <c r="BW257" i="50" s="1"/>
  <c r="X209" i="50"/>
  <c r="BI209" i="50"/>
  <c r="J161" i="62"/>
  <c r="AZ161" i="62"/>
  <c r="I221" i="50"/>
  <c r="AU221" i="50" s="1"/>
  <c r="I208" i="50"/>
  <c r="AT208" i="50"/>
  <c r="X203" i="50"/>
  <c r="BI203" i="50"/>
  <c r="X96" i="62"/>
  <c r="BN96" i="62"/>
  <c r="AE86" i="62"/>
  <c r="BU86" i="62"/>
  <c r="AD143" i="50"/>
  <c r="BP143" i="50" s="1"/>
  <c r="J160" i="62"/>
  <c r="AZ160" i="62"/>
  <c r="I220" i="50"/>
  <c r="AU220" i="50" s="1"/>
  <c r="AE87" i="62"/>
  <c r="BU87" i="62"/>
  <c r="AS253" i="50"/>
  <c r="G275" i="50"/>
  <c r="AS275" i="50" s="1"/>
  <c r="AI271" i="50"/>
  <c r="BU271" i="50" s="1"/>
  <c r="BU249" i="50"/>
  <c r="AB260" i="50"/>
  <c r="BN260" i="50" s="1"/>
  <c r="BN238" i="50"/>
  <c r="AI267" i="50"/>
  <c r="BU267" i="50" s="1"/>
  <c r="BU245" i="50"/>
  <c r="AL88" i="62"/>
  <c r="CB88" i="62"/>
  <c r="J107" i="62"/>
  <c r="AZ107" i="62"/>
  <c r="I199" i="50"/>
  <c r="AT199" i="50"/>
  <c r="X76" i="62"/>
  <c r="BN76" i="62"/>
  <c r="AE196" i="50"/>
  <c r="BP196" i="50"/>
  <c r="AE212" i="50"/>
  <c r="BP212" i="50"/>
  <c r="X108" i="62"/>
  <c r="BN108" i="62"/>
  <c r="AB261" i="50"/>
  <c r="BN261" i="50" s="1"/>
  <c r="BN239" i="50"/>
  <c r="Q208" i="50"/>
  <c r="BB208" i="50"/>
  <c r="I212" i="50"/>
  <c r="AT212" i="50"/>
  <c r="AE88" i="62"/>
  <c r="BU88" i="62"/>
  <c r="AE213" i="50"/>
  <c r="BP213" i="50"/>
  <c r="AL106" i="62"/>
  <c r="CB106" i="62"/>
  <c r="AK56" i="50"/>
  <c r="BW56" i="50" s="1"/>
  <c r="AL66" i="62"/>
  <c r="CB66" i="62"/>
  <c r="AE91" i="62"/>
  <c r="BU91" i="62"/>
  <c r="AD148" i="50"/>
  <c r="BP148" i="50" s="1"/>
  <c r="X103" i="62"/>
  <c r="BN103" i="62"/>
  <c r="Q199" i="50"/>
  <c r="BB199" i="50"/>
  <c r="BG100" i="62"/>
  <c r="Q100" i="62"/>
  <c r="BN254" i="50"/>
  <c r="AB276" i="50"/>
  <c r="BN276" i="50" s="1"/>
  <c r="AB268" i="50"/>
  <c r="BN268" i="50" s="1"/>
  <c r="BN246" i="50"/>
  <c r="AE197" i="50"/>
  <c r="BP197" i="50"/>
  <c r="J103" i="62"/>
  <c r="AZ103" i="62"/>
  <c r="Q97" i="62"/>
  <c r="BG97" i="62"/>
  <c r="AE209" i="50"/>
  <c r="BP209" i="50"/>
  <c r="X104" i="62"/>
  <c r="BN104" i="62"/>
  <c r="AL205" i="50"/>
  <c r="BW205" i="50"/>
  <c r="AE89" i="62"/>
  <c r="BU89" i="62"/>
  <c r="AD146" i="50"/>
  <c r="BP146" i="50" s="1"/>
  <c r="BU239" i="50"/>
  <c r="AI261" i="50"/>
  <c r="BU261" i="50" s="1"/>
  <c r="X200" i="50"/>
  <c r="BI200" i="50"/>
  <c r="AE201" i="50"/>
  <c r="BP201" i="50"/>
  <c r="BV169" i="50"/>
  <c r="X202" i="50"/>
  <c r="BI202" i="50"/>
  <c r="N272" i="50"/>
  <c r="AZ272" i="50" s="1"/>
  <c r="AZ250" i="50"/>
  <c r="BN244" i="50"/>
  <c r="AB266" i="50"/>
  <c r="BN266" i="50" s="1"/>
  <c r="Q206" i="50"/>
  <c r="BB206" i="50"/>
  <c r="H249" i="50"/>
  <c r="H271" i="50" s="1"/>
  <c r="AT271" i="50" s="1"/>
  <c r="J198" i="50"/>
  <c r="AU198" i="50"/>
  <c r="Q66" i="62"/>
  <c r="BG66" i="62"/>
  <c r="Q98" i="62"/>
  <c r="BG98" i="62"/>
  <c r="J108" i="62"/>
  <c r="AZ108" i="62"/>
  <c r="N268" i="50"/>
  <c r="AZ268" i="50" s="1"/>
  <c r="AZ246" i="50"/>
  <c r="AB264" i="50"/>
  <c r="BN264" i="50" s="1"/>
  <c r="BN242" i="50"/>
  <c r="Q91" i="62"/>
  <c r="BG91" i="62"/>
  <c r="AZ72" i="62"/>
  <c r="I71" i="62"/>
  <c r="AZ71" i="62" s="1"/>
  <c r="J72" i="62"/>
  <c r="AC68" i="50"/>
  <c r="BN68" i="50"/>
  <c r="X198" i="50"/>
  <c r="BI198" i="50"/>
  <c r="G268" i="50"/>
  <c r="AS268" i="50" s="1"/>
  <c r="AS246" i="50"/>
  <c r="AI84" i="50"/>
  <c r="BT84" i="50"/>
  <c r="AI73" i="50"/>
  <c r="BT73" i="50"/>
  <c r="AL82" i="50"/>
  <c r="BW82" i="50"/>
  <c r="E71" i="49"/>
  <c r="K71" i="49" s="1"/>
  <c r="AI81" i="50"/>
  <c r="BT81" i="50"/>
  <c r="AI75" i="50"/>
  <c r="BT75" i="50"/>
  <c r="AI78" i="50"/>
  <c r="BT78" i="50"/>
  <c r="AL79" i="50"/>
  <c r="BW79" i="50"/>
  <c r="AL83" i="50"/>
  <c r="BW83" i="50"/>
  <c r="AI76" i="50"/>
  <c r="BT76" i="50"/>
  <c r="AI62" i="50"/>
  <c r="BT62" i="50"/>
  <c r="AI80" i="50"/>
  <c r="BT80" i="50"/>
  <c r="AI74" i="50"/>
  <c r="BT74" i="50"/>
  <c r="AI68" i="50"/>
  <c r="BT68" i="50"/>
  <c r="L8" i="7"/>
  <c r="T8" i="7" s="1"/>
  <c r="AB8" i="7" s="1"/>
  <c r="AJ8" i="7" s="1"/>
  <c r="BA8" i="7"/>
  <c r="BI8" i="7" s="1"/>
  <c r="BQ8" i="7" s="1"/>
  <c r="BY8" i="7" s="1"/>
  <c r="CG8" i="7" s="1"/>
  <c r="CO8" i="7" s="1"/>
  <c r="P64" i="62"/>
  <c r="BG64" i="62" s="1"/>
  <c r="AF9" i="41"/>
  <c r="X9" i="41"/>
  <c r="Z9" i="62"/>
  <c r="AG9" i="62" s="1"/>
  <c r="AN9" i="62"/>
  <c r="H8" i="82"/>
  <c r="AC8" i="82" s="1"/>
  <c r="AG8" i="82" s="1"/>
  <c r="AK8" i="82" s="1"/>
  <c r="AO8" i="82" s="1"/>
  <c r="AS8" i="82" s="1"/>
  <c r="K8" i="82"/>
  <c r="O8" i="82" s="1"/>
  <c r="S8" i="82" s="1"/>
  <c r="W8" i="82" s="1"/>
  <c r="D58" i="7"/>
  <c r="D36" i="7"/>
  <c r="AD154" i="62"/>
  <c r="BU154" i="62" s="1"/>
  <c r="F30" i="7"/>
  <c r="BC30" i="7" s="1"/>
  <c r="J132" i="67"/>
  <c r="C17" i="67"/>
  <c r="AD30" i="7"/>
  <c r="CA30" i="7" s="1"/>
  <c r="C71" i="67"/>
  <c r="V30" i="7"/>
  <c r="BS30" i="7" s="1"/>
  <c r="C53" i="67"/>
  <c r="AL30" i="7"/>
  <c r="CI30" i="7" s="1"/>
  <c r="C95" i="67"/>
  <c r="N30" i="7"/>
  <c r="BK30" i="7" s="1"/>
  <c r="C35" i="67"/>
  <c r="AL157" i="62"/>
  <c r="AM157" i="62" s="1"/>
  <c r="CD157" i="62" s="1"/>
  <c r="P154" i="62"/>
  <c r="BG154" i="62" s="1"/>
  <c r="I245" i="50"/>
  <c r="AK154" i="62"/>
  <c r="CB154" i="62" s="1"/>
  <c r="AK233" i="50"/>
  <c r="AL173" i="62"/>
  <c r="CC173" i="62" s="1"/>
  <c r="P226" i="50"/>
  <c r="Q166" i="62"/>
  <c r="BH166" i="62" s="1"/>
  <c r="AD230" i="50"/>
  <c r="AE170" i="62"/>
  <c r="BV170" i="62" s="1"/>
  <c r="I217" i="50"/>
  <c r="J157" i="62"/>
  <c r="BA157" i="62" s="1"/>
  <c r="H214" i="50"/>
  <c r="AT214" i="50" s="1"/>
  <c r="J175" i="62"/>
  <c r="BA175" i="62" s="1"/>
  <c r="I235" i="50"/>
  <c r="AD218" i="50"/>
  <c r="AE158" i="62"/>
  <c r="BV158" i="62" s="1"/>
  <c r="AL163" i="62"/>
  <c r="CC163" i="62" s="1"/>
  <c r="AK223" i="50"/>
  <c r="Q162" i="62"/>
  <c r="BH162" i="62" s="1"/>
  <c r="P222" i="50"/>
  <c r="AK231" i="50"/>
  <c r="AL171" i="62"/>
  <c r="CC171" i="62" s="1"/>
  <c r="I215" i="50"/>
  <c r="J155" i="62"/>
  <c r="BA155" i="62" s="1"/>
  <c r="W215" i="50"/>
  <c r="X155" i="62"/>
  <c r="BO155" i="62" s="1"/>
  <c r="AW18" i="53"/>
  <c r="CY18" i="53" s="1"/>
  <c r="AZ18" i="53"/>
  <c r="DB18" i="53" s="1"/>
  <c r="BA18" i="53"/>
  <c r="DC18" i="53" s="1"/>
  <c r="BC18" i="53"/>
  <c r="DE18" i="53" s="1"/>
  <c r="BF18" i="53"/>
  <c r="DH18" i="53" s="1"/>
  <c r="BG18" i="53"/>
  <c r="DI18" i="53" s="1"/>
  <c r="AX18" i="53"/>
  <c r="CZ18" i="53" s="1"/>
  <c r="BB18" i="53"/>
  <c r="DD18" i="53" s="1"/>
  <c r="AY18" i="53"/>
  <c r="DA18" i="53" s="1"/>
  <c r="BD18" i="53"/>
  <c r="DF18" i="53" s="1"/>
  <c r="BH18" i="53"/>
  <c r="DJ18" i="53" s="1"/>
  <c r="BE18" i="53"/>
  <c r="DG18" i="53" s="1"/>
  <c r="AE169" i="62"/>
  <c r="BV169" i="62" s="1"/>
  <c r="AD229" i="50"/>
  <c r="AL172" i="62"/>
  <c r="CC172" i="62" s="1"/>
  <c r="AK232" i="50"/>
  <c r="AE171" i="62"/>
  <c r="BV171" i="62" s="1"/>
  <c r="AD231" i="50"/>
  <c r="Q172" i="62"/>
  <c r="BH172" i="62" s="1"/>
  <c r="P232" i="50"/>
  <c r="X157" i="62"/>
  <c r="BO157" i="62" s="1"/>
  <c r="W217" i="50"/>
  <c r="AE159" i="62"/>
  <c r="BV159" i="62" s="1"/>
  <c r="AD219" i="50"/>
  <c r="Q173" i="62"/>
  <c r="BH173" i="62" s="1"/>
  <c r="P233" i="50"/>
  <c r="X165" i="62"/>
  <c r="BO165" i="62" s="1"/>
  <c r="W225" i="50"/>
  <c r="AD215" i="50"/>
  <c r="AE155" i="62"/>
  <c r="BV155" i="62" s="1"/>
  <c r="H240" i="50"/>
  <c r="AF174" i="62"/>
  <c r="AE234" i="50"/>
  <c r="W220" i="50"/>
  <c r="X160" i="62"/>
  <c r="BO160" i="62" s="1"/>
  <c r="X164" i="62"/>
  <c r="BO164" i="62" s="1"/>
  <c r="W224" i="50"/>
  <c r="J168" i="62"/>
  <c r="BA168" i="62" s="1"/>
  <c r="I228" i="50"/>
  <c r="AL168" i="62"/>
  <c r="CC168" i="62" s="1"/>
  <c r="AK228" i="50"/>
  <c r="Q168" i="62"/>
  <c r="BH168" i="62" s="1"/>
  <c r="P228" i="50"/>
  <c r="X174" i="62"/>
  <c r="BO174" i="62" s="1"/>
  <c r="W234" i="50"/>
  <c r="AJ214" i="50"/>
  <c r="BV214" i="50" s="1"/>
  <c r="D95" i="85" s="1"/>
  <c r="R156" i="62"/>
  <c r="Q216" i="50"/>
  <c r="AF139" i="50"/>
  <c r="BR139" i="50" s="1"/>
  <c r="X161" i="62"/>
  <c r="BO161" i="62" s="1"/>
  <c r="W221" i="50"/>
  <c r="AL161" i="62"/>
  <c r="CC161" i="62" s="1"/>
  <c r="AK221" i="50"/>
  <c r="P223" i="50"/>
  <c r="Q163" i="62"/>
  <c r="BH163" i="62" s="1"/>
  <c r="W228" i="50"/>
  <c r="X168" i="62"/>
  <c r="BO168" i="62" s="1"/>
  <c r="P217" i="50"/>
  <c r="Q157" i="62"/>
  <c r="BH157" i="62" s="1"/>
  <c r="AL160" i="62"/>
  <c r="CC160" i="62" s="1"/>
  <c r="AK220" i="50"/>
  <c r="P227" i="50"/>
  <c r="Q167" i="62"/>
  <c r="BH167" i="62" s="1"/>
  <c r="AC214" i="50"/>
  <c r="BO214" i="50" s="1"/>
  <c r="D71" i="85" s="1"/>
  <c r="X159" i="62"/>
  <c r="BO159" i="62" s="1"/>
  <c r="W219" i="50"/>
  <c r="Q218" i="50"/>
  <c r="X223" i="50"/>
  <c r="Y163" i="62"/>
  <c r="AI259" i="50"/>
  <c r="AI236" i="50"/>
  <c r="AJ237" i="50"/>
  <c r="BV237" i="50" s="1"/>
  <c r="Q234" i="50"/>
  <c r="Q169" i="62"/>
  <c r="BH169" i="62" s="1"/>
  <c r="P229" i="50"/>
  <c r="AF164" i="62"/>
  <c r="AE224" i="50"/>
  <c r="BQ224" i="50" s="1"/>
  <c r="X166" i="62"/>
  <c r="BO166" i="62" s="1"/>
  <c r="W226" i="50"/>
  <c r="AK216" i="50"/>
  <c r="AL156" i="62"/>
  <c r="CC156" i="62" s="1"/>
  <c r="AL155" i="62"/>
  <c r="CC155" i="62" s="1"/>
  <c r="AK215" i="50"/>
  <c r="BW215" i="50" s="1"/>
  <c r="AK218" i="50"/>
  <c r="AL158" i="62"/>
  <c r="CC158" i="62" s="1"/>
  <c r="AM159" i="62"/>
  <c r="AL219" i="50"/>
  <c r="Q170" i="62"/>
  <c r="BH170" i="62" s="1"/>
  <c r="P230" i="50"/>
  <c r="AD233" i="50"/>
  <c r="AE173" i="62"/>
  <c r="BV173" i="62" s="1"/>
  <c r="O214" i="50"/>
  <c r="BA214" i="50" s="1"/>
  <c r="D35" i="85" s="1"/>
  <c r="AL174" i="62"/>
  <c r="CC174" i="62" s="1"/>
  <c r="AK234" i="50"/>
  <c r="AM167" i="62"/>
  <c r="AL227" i="50"/>
  <c r="AM169" i="62"/>
  <c r="AL229" i="50"/>
  <c r="AE168" i="62"/>
  <c r="BV168" i="62" s="1"/>
  <c r="AD228" i="50"/>
  <c r="Q175" i="62"/>
  <c r="BH175" i="62" s="1"/>
  <c r="P235" i="50"/>
  <c r="J166" i="62"/>
  <c r="BA166" i="62" s="1"/>
  <c r="I226" i="50"/>
  <c r="AL165" i="62"/>
  <c r="CC165" i="62" s="1"/>
  <c r="AK225" i="50"/>
  <c r="K163" i="62"/>
  <c r="J223" i="50"/>
  <c r="AV223" i="50" s="1"/>
  <c r="J231" i="50"/>
  <c r="K171" i="62"/>
  <c r="X167" i="62"/>
  <c r="BO167" i="62" s="1"/>
  <c r="W227" i="50"/>
  <c r="AE175" i="62"/>
  <c r="BV175" i="62" s="1"/>
  <c r="AD235" i="50"/>
  <c r="AL170" i="62"/>
  <c r="CC170" i="62" s="1"/>
  <c r="AK230" i="50"/>
  <c r="V214" i="50"/>
  <c r="BH214" i="50" s="1"/>
  <c r="D53" i="85" s="1"/>
  <c r="AE157" i="62"/>
  <c r="BV157" i="62" s="1"/>
  <c r="AD217" i="50"/>
  <c r="J158" i="62"/>
  <c r="BA158" i="62" s="1"/>
  <c r="I218" i="50"/>
  <c r="AU218" i="50" s="1"/>
  <c r="I154" i="62"/>
  <c r="AZ154" i="62" s="1"/>
  <c r="AE165" i="62"/>
  <c r="BV165" i="62" s="1"/>
  <c r="AD225" i="50"/>
  <c r="Q160" i="62"/>
  <c r="BH160" i="62" s="1"/>
  <c r="P220" i="50"/>
  <c r="Q159" i="62"/>
  <c r="BH159" i="62" s="1"/>
  <c r="P219" i="50"/>
  <c r="AF172" i="62"/>
  <c r="J164" i="62"/>
  <c r="BA164" i="62" s="1"/>
  <c r="I224" i="50"/>
  <c r="P225" i="50"/>
  <c r="Q165" i="62"/>
  <c r="BH165" i="62" s="1"/>
  <c r="AL164" i="62"/>
  <c r="CC164" i="62" s="1"/>
  <c r="AK224" i="50"/>
  <c r="X172" i="62"/>
  <c r="BO172" i="62" s="1"/>
  <c r="W232" i="50"/>
  <c r="W230" i="50"/>
  <c r="X170" i="62"/>
  <c r="BO170" i="62" s="1"/>
  <c r="AD223" i="50"/>
  <c r="AE163" i="62"/>
  <c r="BV163" i="62" s="1"/>
  <c r="AL166" i="62"/>
  <c r="CC166" i="62" s="1"/>
  <c r="AK226" i="50"/>
  <c r="X173" i="62"/>
  <c r="BO173" i="62" s="1"/>
  <c r="W233" i="50"/>
  <c r="AE226" i="50"/>
  <c r="BQ226" i="50" s="1"/>
  <c r="AF166" i="62"/>
  <c r="X162" i="62"/>
  <c r="BO162" i="62" s="1"/>
  <c r="W222" i="50"/>
  <c r="I222" i="50"/>
  <c r="J162" i="62"/>
  <c r="BA162" i="62" s="1"/>
  <c r="Q161" i="62"/>
  <c r="BH161" i="62" s="1"/>
  <c r="P221" i="50"/>
  <c r="AE161" i="62"/>
  <c r="BV161" i="62" s="1"/>
  <c r="AD221" i="50"/>
  <c r="I232" i="50"/>
  <c r="J172" i="62"/>
  <c r="BA172" i="62" s="1"/>
  <c r="AL162" i="62"/>
  <c r="CC162" i="62" s="1"/>
  <c r="AK222" i="50"/>
  <c r="AE167" i="62"/>
  <c r="BV167" i="62" s="1"/>
  <c r="AD227" i="50"/>
  <c r="X158" i="62"/>
  <c r="BO158" i="62" s="1"/>
  <c r="W218" i="50"/>
  <c r="N259" i="50"/>
  <c r="N236" i="50"/>
  <c r="O237" i="50"/>
  <c r="BA237" i="50" s="1"/>
  <c r="AC152" i="50"/>
  <c r="BO152" i="50" s="1"/>
  <c r="AB172" i="50"/>
  <c r="BN172" i="50" s="1"/>
  <c r="AC62" i="50"/>
  <c r="BO62" i="50" s="1"/>
  <c r="AC175" i="50"/>
  <c r="BO175" i="50" s="1"/>
  <c r="AB61" i="50"/>
  <c r="BN61" i="50" s="1"/>
  <c r="AI61" i="50"/>
  <c r="BU61" i="50" s="1"/>
  <c r="AC64" i="50"/>
  <c r="BO64" i="50" s="1"/>
  <c r="V276" i="50"/>
  <c r="BH276" i="50" s="1"/>
  <c r="H278" i="50"/>
  <c r="AT278" i="50" s="1"/>
  <c r="AD192" i="50"/>
  <c r="W192" i="50"/>
  <c r="H192" i="50"/>
  <c r="AK192" i="50"/>
  <c r="Y62" i="62"/>
  <c r="AM95" i="62"/>
  <c r="AM62" i="62"/>
  <c r="X156" i="62"/>
  <c r="W154" i="62"/>
  <c r="BN154" i="62" s="1"/>
  <c r="W67" i="62"/>
  <c r="BN67" i="62" s="1"/>
  <c r="AM100" i="62"/>
  <c r="AM72" i="62"/>
  <c r="AE101" i="62"/>
  <c r="AD99" i="62"/>
  <c r="BU99" i="62" s="1"/>
  <c r="Y84" i="62"/>
  <c r="AM65" i="62"/>
  <c r="AL64" i="62"/>
  <c r="CC64" i="62" s="1"/>
  <c r="Y65" i="62"/>
  <c r="X64" i="62"/>
  <c r="BO64" i="62" s="1"/>
  <c r="Q75" i="62"/>
  <c r="BH75" i="62" s="1"/>
  <c r="P74" i="62"/>
  <c r="BG74" i="62" s="1"/>
  <c r="R62" i="62"/>
  <c r="AF75" i="62"/>
  <c r="P71" i="62"/>
  <c r="BG71" i="62" s="1"/>
  <c r="Q72" i="62"/>
  <c r="BH72" i="62" s="1"/>
  <c r="K100" i="62"/>
  <c r="BB100" i="62" s="1"/>
  <c r="J81" i="62"/>
  <c r="BA81" i="62" s="1"/>
  <c r="I80" i="62"/>
  <c r="Q80" i="62"/>
  <c r="BH80" i="62" s="1"/>
  <c r="R81" i="62"/>
  <c r="AL75" i="62"/>
  <c r="CC75" i="62" s="1"/>
  <c r="AK74" i="62"/>
  <c r="AF156" i="62"/>
  <c r="BW156" i="62" s="1"/>
  <c r="Q101" i="62"/>
  <c r="BH101" i="62" s="1"/>
  <c r="P99" i="62"/>
  <c r="BG99" i="62" s="1"/>
  <c r="Y75" i="62"/>
  <c r="AE66" i="62"/>
  <c r="BV66" i="62" s="1"/>
  <c r="AD64" i="62"/>
  <c r="BU64" i="62" s="1"/>
  <c r="Y72" i="62"/>
  <c r="AE63" i="62"/>
  <c r="AD61" i="62"/>
  <c r="BU61" i="62" s="1"/>
  <c r="AE96" i="62"/>
  <c r="BV96" i="62" s="1"/>
  <c r="AD94" i="62"/>
  <c r="BU94" i="62" s="1"/>
  <c r="K65" i="62"/>
  <c r="J64" i="62"/>
  <c r="BA64" i="62" s="1"/>
  <c r="O67" i="62"/>
  <c r="AF72" i="62"/>
  <c r="AE71" i="62"/>
  <c r="BV71" i="62" s="1"/>
  <c r="R155" i="62"/>
  <c r="BI155" i="62" s="1"/>
  <c r="W99" i="62"/>
  <c r="BN99" i="62" s="1"/>
  <c r="X100" i="62"/>
  <c r="BO100" i="62" s="1"/>
  <c r="K95" i="62"/>
  <c r="Q84" i="62"/>
  <c r="BH84" i="62" s="1"/>
  <c r="P83" i="62"/>
  <c r="AL81" i="62"/>
  <c r="AK80" i="62"/>
  <c r="W94" i="62"/>
  <c r="BN94" i="62" s="1"/>
  <c r="X95" i="62"/>
  <c r="BO95" i="62" s="1"/>
  <c r="E57" i="49"/>
  <c r="K57" i="49" s="1"/>
  <c r="D57" i="49"/>
  <c r="J57" i="49" s="1"/>
  <c r="C57" i="49"/>
  <c r="I57" i="49" s="1"/>
  <c r="AD246" i="50" l="1"/>
  <c r="BP246" i="50" s="1"/>
  <c r="AJ64" i="50"/>
  <c r="BV64" i="50" s="1"/>
  <c r="O268" i="50"/>
  <c r="BA268" i="50" s="1"/>
  <c r="P240" i="50"/>
  <c r="BB240" i="50" s="1"/>
  <c r="P246" i="50"/>
  <c r="AC267" i="50"/>
  <c r="BO267" i="50" s="1"/>
  <c r="O279" i="50"/>
  <c r="BA279" i="50" s="1"/>
  <c r="BA240" i="50"/>
  <c r="AD169" i="50"/>
  <c r="BN77" i="50"/>
  <c r="BO169" i="50"/>
  <c r="AD244" i="50"/>
  <c r="BP244" i="50" s="1"/>
  <c r="I253" i="50"/>
  <c r="I275" i="50" s="1"/>
  <c r="AU275" i="50" s="1"/>
  <c r="V259" i="50"/>
  <c r="BH259" i="50" s="1"/>
  <c r="AM175" i="62"/>
  <c r="AM235" i="50" s="1"/>
  <c r="BY235" i="50" s="1"/>
  <c r="H264" i="50"/>
  <c r="AT264" i="50" s="1"/>
  <c r="AL235" i="50"/>
  <c r="BX235" i="50" s="1"/>
  <c r="R158" i="62"/>
  <c r="Q224" i="50"/>
  <c r="BC224" i="50" s="1"/>
  <c r="AJ264" i="50"/>
  <c r="BV264" i="50" s="1"/>
  <c r="BO166" i="50"/>
  <c r="AD254" i="50"/>
  <c r="AD276" i="50" s="1"/>
  <c r="BP276" i="50" s="1"/>
  <c r="AC271" i="50"/>
  <c r="BO271" i="50" s="1"/>
  <c r="AE232" i="50"/>
  <c r="AE254" i="50" s="1"/>
  <c r="BQ254" i="50" s="1"/>
  <c r="R164" i="62"/>
  <c r="R224" i="50" s="1"/>
  <c r="BD224" i="50" s="1"/>
  <c r="V262" i="50"/>
  <c r="BH262" i="50" s="1"/>
  <c r="K132" i="85"/>
  <c r="D17" i="85"/>
  <c r="D113" i="85" s="1"/>
  <c r="C112" i="85"/>
  <c r="C119" i="85"/>
  <c r="C129" i="85" s="1"/>
  <c r="AD74" i="50"/>
  <c r="H269" i="50"/>
  <c r="AT269" i="50" s="1"/>
  <c r="BO74" i="50"/>
  <c r="AL99" i="62"/>
  <c r="CC99" i="62" s="1"/>
  <c r="BH238" i="50"/>
  <c r="AE74" i="62"/>
  <c r="BV74" i="62" s="1"/>
  <c r="AD67" i="62"/>
  <c r="BU67" i="62" s="1"/>
  <c r="AM12" i="50"/>
  <c r="BY12" i="50" s="1"/>
  <c r="BX12" i="50"/>
  <c r="AF14" i="50"/>
  <c r="BR14" i="50" s="1"/>
  <c r="BQ14" i="50"/>
  <c r="AM23" i="50"/>
  <c r="BY23" i="50" s="1"/>
  <c r="BX23" i="50"/>
  <c r="AM115" i="50"/>
  <c r="BY115" i="50" s="1"/>
  <c r="BX115" i="50"/>
  <c r="AF128" i="50"/>
  <c r="BR128" i="50" s="1"/>
  <c r="BQ128" i="50"/>
  <c r="AF119" i="50"/>
  <c r="BR119" i="50" s="1"/>
  <c r="BQ119" i="50"/>
  <c r="AB179" i="50"/>
  <c r="BN179" i="50" s="1"/>
  <c r="AM112" i="50"/>
  <c r="BY112" i="50" s="1"/>
  <c r="BX112" i="50"/>
  <c r="AM126" i="50"/>
  <c r="BY126" i="50" s="1"/>
  <c r="BX126" i="50"/>
  <c r="AM120" i="50"/>
  <c r="BY120" i="50" s="1"/>
  <c r="BX120" i="50"/>
  <c r="AF115" i="50"/>
  <c r="BR115" i="50" s="1"/>
  <c r="BQ115" i="50"/>
  <c r="AM34" i="50"/>
  <c r="BY34" i="50" s="1"/>
  <c r="BX34" i="50"/>
  <c r="AM24" i="50"/>
  <c r="BY24" i="50" s="1"/>
  <c r="BX24" i="50"/>
  <c r="AF34" i="50"/>
  <c r="BR34" i="50" s="1"/>
  <c r="BQ34" i="50"/>
  <c r="AF120" i="50"/>
  <c r="BR120" i="50" s="1"/>
  <c r="BQ120" i="50"/>
  <c r="AF28" i="50"/>
  <c r="BR28" i="50" s="1"/>
  <c r="BQ28" i="50"/>
  <c r="AM30" i="50"/>
  <c r="BY30" i="50" s="1"/>
  <c r="BX30" i="50"/>
  <c r="AF23" i="50"/>
  <c r="BR23" i="50" s="1"/>
  <c r="BQ23" i="50"/>
  <c r="AK159" i="50"/>
  <c r="BW159" i="50" s="1"/>
  <c r="AF112" i="50"/>
  <c r="BR112" i="50" s="1"/>
  <c r="BQ112" i="50"/>
  <c r="AM119" i="50"/>
  <c r="BY119" i="50" s="1"/>
  <c r="BX119" i="50"/>
  <c r="AM18" i="50"/>
  <c r="BY18" i="50" s="1"/>
  <c r="BX18" i="50"/>
  <c r="AL11" i="50"/>
  <c r="BW11" i="50"/>
  <c r="AF12" i="50"/>
  <c r="BR12" i="50" s="1"/>
  <c r="BQ12" i="50"/>
  <c r="AF129" i="50"/>
  <c r="BR129" i="50" s="1"/>
  <c r="BQ129" i="50"/>
  <c r="AF31" i="50"/>
  <c r="BR31" i="50" s="1"/>
  <c r="BQ31" i="50"/>
  <c r="AF11" i="50"/>
  <c r="BR11" i="50" s="1"/>
  <c r="BQ11" i="50"/>
  <c r="AF18" i="50"/>
  <c r="BR18" i="50" s="1"/>
  <c r="BQ18" i="50"/>
  <c r="AM123" i="50"/>
  <c r="BY123" i="50" s="1"/>
  <c r="BX123" i="50"/>
  <c r="X231" i="50"/>
  <c r="BJ231" i="50" s="1"/>
  <c r="AC60" i="62"/>
  <c r="BT60" i="62" s="1"/>
  <c r="P262" i="50"/>
  <c r="BB262" i="50" s="1"/>
  <c r="AC75" i="50"/>
  <c r="BO75" i="50" s="1"/>
  <c r="Y171" i="62"/>
  <c r="V269" i="50"/>
  <c r="BH269" i="50" s="1"/>
  <c r="AL94" i="62"/>
  <c r="CC94" i="62" s="1"/>
  <c r="X74" i="62"/>
  <c r="BO74" i="62" s="1"/>
  <c r="AF24" i="50"/>
  <c r="BR24" i="50" s="1"/>
  <c r="BQ24" i="50"/>
  <c r="AF26" i="50"/>
  <c r="BR26" i="50" s="1"/>
  <c r="BQ26" i="50"/>
  <c r="AM28" i="50"/>
  <c r="BY28" i="50" s="1"/>
  <c r="BX28" i="50"/>
  <c r="AM129" i="50"/>
  <c r="BY129" i="50" s="1"/>
  <c r="BX129" i="50"/>
  <c r="O267" i="50"/>
  <c r="BA267" i="50" s="1"/>
  <c r="AM27" i="50"/>
  <c r="BY27" i="50" s="1"/>
  <c r="BX27" i="50"/>
  <c r="AF126" i="50"/>
  <c r="BR126" i="50" s="1"/>
  <c r="BQ126" i="50"/>
  <c r="AF27" i="50"/>
  <c r="BR27" i="50" s="1"/>
  <c r="BQ27" i="50"/>
  <c r="AF25" i="50"/>
  <c r="BR25" i="50" s="1"/>
  <c r="BQ25" i="50"/>
  <c r="AM31" i="50"/>
  <c r="BY31" i="50" s="1"/>
  <c r="BX31" i="50"/>
  <c r="AM128" i="50"/>
  <c r="BY128" i="50" s="1"/>
  <c r="BX128" i="50"/>
  <c r="AM25" i="50"/>
  <c r="BY25" i="50" s="1"/>
  <c r="BX25" i="50"/>
  <c r="AC159" i="50"/>
  <c r="BO159" i="50" s="1"/>
  <c r="AF30" i="50"/>
  <c r="BR30" i="50" s="1"/>
  <c r="BQ30" i="50"/>
  <c r="AM26" i="50"/>
  <c r="BY26" i="50" s="1"/>
  <c r="BX26" i="50"/>
  <c r="AM14" i="50"/>
  <c r="BY14" i="50" s="1"/>
  <c r="BX14" i="50"/>
  <c r="AF123" i="50"/>
  <c r="BR123" i="50" s="1"/>
  <c r="BQ123" i="50"/>
  <c r="V261" i="50"/>
  <c r="BH261" i="50" s="1"/>
  <c r="AD242" i="50"/>
  <c r="AD264" i="50" s="1"/>
  <c r="BP264" i="50" s="1"/>
  <c r="AC260" i="50"/>
  <c r="BO260" i="50" s="1"/>
  <c r="AJ262" i="50"/>
  <c r="BV262" i="50" s="1"/>
  <c r="BN236" i="50"/>
  <c r="C72" i="85" s="1"/>
  <c r="AJ260" i="50"/>
  <c r="BV260" i="50" s="1"/>
  <c r="AC277" i="50"/>
  <c r="BO277" i="50" s="1"/>
  <c r="V265" i="50"/>
  <c r="BH265" i="50" s="1"/>
  <c r="O274" i="50"/>
  <c r="BA274" i="50" s="1"/>
  <c r="AJ77" i="50"/>
  <c r="AK77" i="50" s="1"/>
  <c r="C129" i="67"/>
  <c r="V266" i="50"/>
  <c r="BH266" i="50" s="1"/>
  <c r="AD77" i="50"/>
  <c r="BO163" i="50"/>
  <c r="AL192" i="50"/>
  <c r="F94" i="67" s="1"/>
  <c r="F127" i="67" s="1"/>
  <c r="AE222" i="50"/>
  <c r="BQ222" i="50" s="1"/>
  <c r="AC265" i="50"/>
  <c r="BO265" i="50" s="1"/>
  <c r="K62" i="62"/>
  <c r="BB62" i="62" s="1"/>
  <c r="AK271" i="50"/>
  <c r="BW271" i="50" s="1"/>
  <c r="AD155" i="50"/>
  <c r="BP155" i="50" s="1"/>
  <c r="X235" i="50"/>
  <c r="BJ235" i="50" s="1"/>
  <c r="AJ272" i="50"/>
  <c r="BV272" i="50" s="1"/>
  <c r="V60" i="62"/>
  <c r="BM60" i="62" s="1"/>
  <c r="BO160" i="50"/>
  <c r="AT243" i="50"/>
  <c r="Y175" i="62"/>
  <c r="Y235" i="50" s="1"/>
  <c r="BK235" i="50" s="1"/>
  <c r="AJ270" i="50"/>
  <c r="BV270" i="50" s="1"/>
  <c r="AD268" i="50"/>
  <c r="BP268" i="50" s="1"/>
  <c r="AK279" i="50"/>
  <c r="BW279" i="50" s="1"/>
  <c r="AJ267" i="50"/>
  <c r="BV267" i="50" s="1"/>
  <c r="P256" i="50"/>
  <c r="Q256" i="50" s="1"/>
  <c r="BC256" i="50" s="1"/>
  <c r="AD163" i="50"/>
  <c r="AD183" i="50" s="1"/>
  <c r="BP183" i="50" s="1"/>
  <c r="BP234" i="50"/>
  <c r="AC269" i="50"/>
  <c r="BO269" i="50" s="1"/>
  <c r="O273" i="50"/>
  <c r="BA273" i="50" s="1"/>
  <c r="AJ275" i="50"/>
  <c r="BV275" i="50" s="1"/>
  <c r="O272" i="50"/>
  <c r="BA272" i="50" s="1"/>
  <c r="AF162" i="62"/>
  <c r="AF222" i="50" s="1"/>
  <c r="BR222" i="50" s="1"/>
  <c r="O264" i="50"/>
  <c r="BA264" i="50" s="1"/>
  <c r="O271" i="50"/>
  <c r="BA271" i="50" s="1"/>
  <c r="AK160" i="50"/>
  <c r="BW160" i="50" s="1"/>
  <c r="AJ265" i="50"/>
  <c r="BV265" i="50" s="1"/>
  <c r="O261" i="50"/>
  <c r="BA261" i="50" s="1"/>
  <c r="H261" i="50"/>
  <c r="AT261" i="50" s="1"/>
  <c r="AC259" i="50"/>
  <c r="BO259" i="50" s="1"/>
  <c r="AJ274" i="50"/>
  <c r="BV274" i="50" s="1"/>
  <c r="R174" i="62"/>
  <c r="R234" i="50" s="1"/>
  <c r="BD234" i="50" s="1"/>
  <c r="V270" i="50"/>
  <c r="BH270" i="50" s="1"/>
  <c r="AC272" i="50"/>
  <c r="BO272" i="50" s="1"/>
  <c r="AD266" i="50"/>
  <c r="BP266" i="50" s="1"/>
  <c r="BI81" i="62"/>
  <c r="AM50" i="50"/>
  <c r="BY50" i="50" s="1"/>
  <c r="CD100" i="62"/>
  <c r="E52" i="67"/>
  <c r="E123" i="67" s="1"/>
  <c r="BI192" i="50"/>
  <c r="E52" i="85" s="1"/>
  <c r="E123" i="85" s="1"/>
  <c r="AK248" i="50"/>
  <c r="BW248" i="50" s="1"/>
  <c r="BW226" i="50"/>
  <c r="W249" i="50"/>
  <c r="BI249" i="50" s="1"/>
  <c r="BI227" i="50"/>
  <c r="AM229" i="50"/>
  <c r="BY229" i="50" s="1"/>
  <c r="CD169" i="62"/>
  <c r="AD255" i="50"/>
  <c r="BP255" i="50" s="1"/>
  <c r="BP233" i="50"/>
  <c r="AE256" i="50"/>
  <c r="BQ256" i="50" s="1"/>
  <c r="BQ234" i="50"/>
  <c r="P254" i="50"/>
  <c r="BB232" i="50"/>
  <c r="Y202" i="50"/>
  <c r="BK202" i="50" s="1"/>
  <c r="BJ202" i="50"/>
  <c r="W251" i="50"/>
  <c r="BH251" i="50"/>
  <c r="V273" i="50"/>
  <c r="BH273" i="50" s="1"/>
  <c r="AF78" i="62"/>
  <c r="BW78" i="62" s="1"/>
  <c r="BV78" i="62"/>
  <c r="AF198" i="50"/>
  <c r="BR198" i="50" s="1"/>
  <c r="BQ198" i="50"/>
  <c r="BP74" i="50"/>
  <c r="AF70" i="62"/>
  <c r="BW70" i="62" s="1"/>
  <c r="BV70" i="62"/>
  <c r="AM63" i="62"/>
  <c r="CC63" i="62"/>
  <c r="AL132" i="50"/>
  <c r="BX132" i="50" s="1"/>
  <c r="Y63" i="62"/>
  <c r="BP63" i="62" s="1"/>
  <c r="BO63" i="62"/>
  <c r="K167" i="62"/>
  <c r="BA167" i="62"/>
  <c r="J227" i="50"/>
  <c r="AV227" i="50" s="1"/>
  <c r="AC274" i="50"/>
  <c r="BO274" i="50" s="1"/>
  <c r="BO252" i="50"/>
  <c r="R63" i="62"/>
  <c r="BI63" i="62" s="1"/>
  <c r="BH63" i="62"/>
  <c r="Y196" i="50"/>
  <c r="BK196" i="50" s="1"/>
  <c r="BJ196" i="50"/>
  <c r="AD81" i="50"/>
  <c r="AM202" i="50"/>
  <c r="BY202" i="50" s="1"/>
  <c r="BX202" i="50"/>
  <c r="BV152" i="50"/>
  <c r="AK152" i="50"/>
  <c r="R196" i="50"/>
  <c r="BD196" i="50" s="1"/>
  <c r="BC196" i="50"/>
  <c r="Y68" i="62"/>
  <c r="BP68" i="62" s="1"/>
  <c r="BO68" i="62"/>
  <c r="AF93" i="62"/>
  <c r="BV93" i="62"/>
  <c r="AE149" i="50"/>
  <c r="BQ149" i="50" s="1"/>
  <c r="AF79" i="50"/>
  <c r="BR79" i="50" s="1"/>
  <c r="BQ79" i="50"/>
  <c r="K82" i="62"/>
  <c r="BB82" i="62" s="1"/>
  <c r="BA82" i="62"/>
  <c r="AM78" i="62"/>
  <c r="CD78" i="62" s="1"/>
  <c r="CC78" i="62"/>
  <c r="AL139" i="50"/>
  <c r="BX139" i="50" s="1"/>
  <c r="CC81" i="62"/>
  <c r="AE132" i="50"/>
  <c r="BQ132" i="50" s="1"/>
  <c r="BV63" i="62"/>
  <c r="AM37" i="50"/>
  <c r="BY37" i="50" s="1"/>
  <c r="CD65" i="62"/>
  <c r="X61" i="62"/>
  <c r="BO61" i="62" s="1"/>
  <c r="AK246" i="50"/>
  <c r="BW246" i="50" s="1"/>
  <c r="BW224" i="50"/>
  <c r="Y231" i="50"/>
  <c r="BK231" i="50" s="1"/>
  <c r="BP171" i="62"/>
  <c r="I248" i="50"/>
  <c r="AU248" i="50" s="1"/>
  <c r="AU226" i="50"/>
  <c r="P252" i="50"/>
  <c r="BB252" i="50" s="1"/>
  <c r="BB230" i="50"/>
  <c r="AL257" i="50"/>
  <c r="BX257" i="50" s="1"/>
  <c r="W243" i="50"/>
  <c r="BI243" i="50" s="1"/>
  <c r="BI221" i="50"/>
  <c r="W246" i="50"/>
  <c r="BI224" i="50"/>
  <c r="AF234" i="50"/>
  <c r="BR234" i="50" s="1"/>
  <c r="BW174" i="62"/>
  <c r="AJ266" i="50"/>
  <c r="BV266" i="50" s="1"/>
  <c r="AC279" i="50"/>
  <c r="BO279" i="50" s="1"/>
  <c r="AK253" i="50"/>
  <c r="BW253" i="50" s="1"/>
  <c r="BW231" i="50"/>
  <c r="AF209" i="50"/>
  <c r="BR209" i="50" s="1"/>
  <c r="BQ209" i="50"/>
  <c r="Y103" i="62"/>
  <c r="BP103" i="62" s="1"/>
  <c r="BO103" i="62"/>
  <c r="AM106" i="62"/>
  <c r="CC106" i="62"/>
  <c r="AL56" i="50"/>
  <c r="BX56" i="50" s="1"/>
  <c r="AF196" i="50"/>
  <c r="BR196" i="50" s="1"/>
  <c r="BQ196" i="50"/>
  <c r="AF86" i="62"/>
  <c r="BV86" i="62"/>
  <c r="AE143" i="50"/>
  <c r="BQ143" i="50" s="1"/>
  <c r="W253" i="50"/>
  <c r="BI231" i="50"/>
  <c r="AD78" i="50"/>
  <c r="BO78" i="50"/>
  <c r="BV241" i="50"/>
  <c r="AJ263" i="50"/>
  <c r="BV263" i="50" s="1"/>
  <c r="AM211" i="50"/>
  <c r="BY211" i="50" s="1"/>
  <c r="BX211" i="50"/>
  <c r="K98" i="62"/>
  <c r="BB98" i="62" s="1"/>
  <c r="BA98" i="62"/>
  <c r="K91" i="62"/>
  <c r="BB91" i="62" s="1"/>
  <c r="BA91" i="62"/>
  <c r="AM194" i="50"/>
  <c r="BY194" i="50" s="1"/>
  <c r="BX194" i="50"/>
  <c r="AF203" i="50"/>
  <c r="BR203" i="50" s="1"/>
  <c r="BQ203" i="50"/>
  <c r="AM91" i="62"/>
  <c r="CC91" i="62"/>
  <c r="AL148" i="50"/>
  <c r="BX148" i="50" s="1"/>
  <c r="K173" i="62"/>
  <c r="BA173" i="62"/>
  <c r="J233" i="50"/>
  <c r="AV233" i="50" s="1"/>
  <c r="AK241" i="50"/>
  <c r="AF204" i="50"/>
  <c r="BR204" i="50" s="1"/>
  <c r="BQ204" i="50"/>
  <c r="BP77" i="50"/>
  <c r="Y201" i="50"/>
  <c r="BK201" i="50" s="1"/>
  <c r="BJ201" i="50"/>
  <c r="AF83" i="50"/>
  <c r="BR83" i="50" s="1"/>
  <c r="BQ83" i="50"/>
  <c r="AM193" i="50"/>
  <c r="BY193" i="50" s="1"/>
  <c r="BX193" i="50"/>
  <c r="AF206" i="50"/>
  <c r="BR206" i="50" s="1"/>
  <c r="BQ206" i="50"/>
  <c r="AM68" i="62"/>
  <c r="CC68" i="62"/>
  <c r="AL39" i="50"/>
  <c r="BX39" i="50" s="1"/>
  <c r="H279" i="50"/>
  <c r="AT279" i="50" s="1"/>
  <c r="AT257" i="50"/>
  <c r="J203" i="50"/>
  <c r="AU203" i="50"/>
  <c r="Y195" i="50"/>
  <c r="BK195" i="50" s="1"/>
  <c r="BJ195" i="50"/>
  <c r="K73" i="62"/>
  <c r="BB73" i="62" s="1"/>
  <c r="BA73" i="62"/>
  <c r="AF69" i="62"/>
  <c r="BW69" i="62" s="1"/>
  <c r="BV69" i="62"/>
  <c r="P79" i="62"/>
  <c r="BG79" i="62" s="1"/>
  <c r="BG83" i="62"/>
  <c r="BW72" i="62"/>
  <c r="BP75" i="62"/>
  <c r="I79" i="62"/>
  <c r="AZ79" i="62" s="1"/>
  <c r="AZ80" i="62"/>
  <c r="BI62" i="62"/>
  <c r="BP84" i="62"/>
  <c r="BP62" i="62"/>
  <c r="V236" i="50"/>
  <c r="G258" i="50"/>
  <c r="C36" i="67"/>
  <c r="AZ236" i="50"/>
  <c r="C36" i="85" s="1"/>
  <c r="AF232" i="50"/>
  <c r="BR232" i="50" s="1"/>
  <c r="BW172" i="62"/>
  <c r="AF160" i="62"/>
  <c r="W250" i="50"/>
  <c r="BI250" i="50" s="1"/>
  <c r="BI228" i="50"/>
  <c r="H236" i="50"/>
  <c r="AT240" i="50"/>
  <c r="P244" i="50"/>
  <c r="BB222" i="50"/>
  <c r="AB258" i="50"/>
  <c r="AD270" i="50"/>
  <c r="BP270" i="50" s="1"/>
  <c r="BP248" i="50"/>
  <c r="R206" i="50"/>
  <c r="BD206" i="50" s="1"/>
  <c r="BC206" i="50"/>
  <c r="AK169" i="50"/>
  <c r="BA84" i="62"/>
  <c r="K84" i="62"/>
  <c r="J83" i="62"/>
  <c r="BA83" i="62" s="1"/>
  <c r="Y91" i="62"/>
  <c r="BP91" i="62" s="1"/>
  <c r="BO91" i="62"/>
  <c r="AF106" i="62"/>
  <c r="BV106" i="62"/>
  <c r="AE56" i="50"/>
  <c r="BQ56" i="50" s="1"/>
  <c r="AM105" i="62"/>
  <c r="CC105" i="62"/>
  <c r="AL55" i="50"/>
  <c r="BX55" i="50" s="1"/>
  <c r="K206" i="50"/>
  <c r="AW206" i="50" s="1"/>
  <c r="AV206" i="50"/>
  <c r="O266" i="50"/>
  <c r="BA266" i="50" s="1"/>
  <c r="BA244" i="50"/>
  <c r="P253" i="50"/>
  <c r="BA253" i="50"/>
  <c r="AM103" i="62"/>
  <c r="CC103" i="62"/>
  <c r="AL49" i="50"/>
  <c r="BX49" i="50" s="1"/>
  <c r="Y92" i="62"/>
  <c r="BP92" i="62" s="1"/>
  <c r="BO92" i="62"/>
  <c r="Y87" i="62"/>
  <c r="BP87" i="62" s="1"/>
  <c r="BO87" i="62"/>
  <c r="AF211" i="50"/>
  <c r="BR211" i="50" s="1"/>
  <c r="BQ211" i="50"/>
  <c r="Y206" i="50"/>
  <c r="BK206" i="50" s="1"/>
  <c r="BJ206" i="50"/>
  <c r="K102" i="62"/>
  <c r="BB102" i="62" s="1"/>
  <c r="BA102" i="62"/>
  <c r="R68" i="62"/>
  <c r="BI68" i="62" s="1"/>
  <c r="BH68" i="62"/>
  <c r="AF82" i="62"/>
  <c r="BV82" i="62"/>
  <c r="AE140" i="50"/>
  <c r="BQ140" i="50" s="1"/>
  <c r="AE80" i="62"/>
  <c r="BA165" i="62"/>
  <c r="K165" i="62"/>
  <c r="J225" i="50"/>
  <c r="AV225" i="50" s="1"/>
  <c r="R105" i="62"/>
  <c r="BI105" i="62" s="1"/>
  <c r="BH105" i="62"/>
  <c r="Y213" i="50"/>
  <c r="BK213" i="50" s="1"/>
  <c r="BJ213" i="50"/>
  <c r="BP72" i="62"/>
  <c r="Q61" i="62"/>
  <c r="BH61" i="62" s="1"/>
  <c r="X83" i="62"/>
  <c r="I254" i="50"/>
  <c r="AU254" i="50" s="1"/>
  <c r="AU232" i="50"/>
  <c r="AV231" i="50"/>
  <c r="AK256" i="50"/>
  <c r="BW256" i="50" s="1"/>
  <c r="BW234" i="50"/>
  <c r="AK238" i="50"/>
  <c r="BW238" i="50" s="1"/>
  <c r="BW216" i="50"/>
  <c r="Y223" i="50"/>
  <c r="BK223" i="50" s="1"/>
  <c r="BP163" i="62"/>
  <c r="P249" i="50"/>
  <c r="BB249" i="50" s="1"/>
  <c r="BB227" i="50"/>
  <c r="P250" i="50"/>
  <c r="BB250" i="50" s="1"/>
  <c r="BB228" i="50"/>
  <c r="AK255" i="50"/>
  <c r="BW233" i="50"/>
  <c r="I267" i="50"/>
  <c r="AU267" i="50" s="1"/>
  <c r="AU245" i="50"/>
  <c r="R91" i="62"/>
  <c r="BI91" i="62" s="1"/>
  <c r="BH91" i="62"/>
  <c r="R98" i="62"/>
  <c r="BI98" i="62" s="1"/>
  <c r="BH98" i="62"/>
  <c r="AF89" i="62"/>
  <c r="BV89" i="62"/>
  <c r="AE146" i="50"/>
  <c r="BQ146" i="50" s="1"/>
  <c r="R97" i="62"/>
  <c r="BI97" i="62" s="1"/>
  <c r="BH97" i="62"/>
  <c r="Y76" i="62"/>
  <c r="BP76" i="62" s="1"/>
  <c r="BO76" i="62"/>
  <c r="Y96" i="62"/>
  <c r="BP96" i="62" s="1"/>
  <c r="BO96" i="62"/>
  <c r="K197" i="50"/>
  <c r="AW197" i="50" s="1"/>
  <c r="AV197" i="50"/>
  <c r="I252" i="50"/>
  <c r="I274" i="50" s="1"/>
  <c r="AU274" i="50" s="1"/>
  <c r="AT252" i="50"/>
  <c r="BP169" i="50"/>
  <c r="AD189" i="50"/>
  <c r="BP189" i="50" s="1"/>
  <c r="AM108" i="62"/>
  <c r="CC108" i="62"/>
  <c r="AL59" i="50"/>
  <c r="BX59" i="50" s="1"/>
  <c r="Y194" i="50"/>
  <c r="BK194" i="50" s="1"/>
  <c r="BJ194" i="50"/>
  <c r="R210" i="50"/>
  <c r="BD210" i="50" s="1"/>
  <c r="BC210" i="50"/>
  <c r="Y77" i="62"/>
  <c r="BP77" i="62" s="1"/>
  <c r="BO77" i="62"/>
  <c r="Y85" i="62"/>
  <c r="BP85" i="62" s="1"/>
  <c r="BO85" i="62"/>
  <c r="K63" i="62"/>
  <c r="BB63" i="62" s="1"/>
  <c r="BA63" i="62"/>
  <c r="AF92" i="62"/>
  <c r="BV92" i="62"/>
  <c r="AE43" i="50"/>
  <c r="BQ43" i="50" s="1"/>
  <c r="BA238" i="50"/>
  <c r="O260" i="50"/>
  <c r="BA260" i="50" s="1"/>
  <c r="Y89" i="62"/>
  <c r="BP89" i="62" s="1"/>
  <c r="BO89" i="62"/>
  <c r="AM200" i="50"/>
  <c r="BY200" i="50" s="1"/>
  <c r="BX200" i="50"/>
  <c r="K193" i="50"/>
  <c r="AW193" i="50" s="1"/>
  <c r="AV193" i="50"/>
  <c r="R202" i="50"/>
  <c r="BD202" i="50" s="1"/>
  <c r="BC202" i="50"/>
  <c r="R89" i="62"/>
  <c r="BI89" i="62" s="1"/>
  <c r="BH89" i="62"/>
  <c r="J207" i="50"/>
  <c r="AU207" i="50"/>
  <c r="R209" i="50"/>
  <c r="BD209" i="50" s="1"/>
  <c r="BC209" i="50"/>
  <c r="AM107" i="62"/>
  <c r="CD107" i="62" s="1"/>
  <c r="CC107" i="62"/>
  <c r="AM73" i="62"/>
  <c r="CC73" i="62"/>
  <c r="AL135" i="50"/>
  <c r="BX135" i="50" s="1"/>
  <c r="C18" i="67"/>
  <c r="AS236" i="50"/>
  <c r="C18" i="85" s="1"/>
  <c r="AF82" i="50"/>
  <c r="BQ82" i="50"/>
  <c r="AM86" i="62"/>
  <c r="CC86" i="62"/>
  <c r="AL143" i="50"/>
  <c r="BX143" i="50" s="1"/>
  <c r="Y205" i="50"/>
  <c r="BK205" i="50" s="1"/>
  <c r="BJ205" i="50"/>
  <c r="AE36" i="50"/>
  <c r="BQ36" i="50" s="1"/>
  <c r="BV62" i="62"/>
  <c r="AF62" i="62"/>
  <c r="AF90" i="62"/>
  <c r="BW90" i="62" s="1"/>
  <c r="BV90" i="62"/>
  <c r="AF103" i="62"/>
  <c r="BV103" i="62"/>
  <c r="AE49" i="50"/>
  <c r="BQ49" i="50" s="1"/>
  <c r="Y90" i="62"/>
  <c r="BP90" i="62" s="1"/>
  <c r="BO90" i="62"/>
  <c r="AF76" i="62"/>
  <c r="BW76" i="62" s="1"/>
  <c r="BV76" i="62"/>
  <c r="Y106" i="62"/>
  <c r="BP106" i="62" s="1"/>
  <c r="BO106" i="62"/>
  <c r="R82" i="62"/>
  <c r="BI82" i="62" s="1"/>
  <c r="BH82" i="62"/>
  <c r="H276" i="50"/>
  <c r="AT276" i="50" s="1"/>
  <c r="AT254" i="50"/>
  <c r="BB95" i="62"/>
  <c r="X216" i="50"/>
  <c r="BJ216" i="50" s="1"/>
  <c r="BO156" i="62"/>
  <c r="AC236" i="50"/>
  <c r="H274" i="50"/>
  <c r="AT274" i="50" s="1"/>
  <c r="W240" i="50"/>
  <c r="BI240" i="50" s="1"/>
  <c r="BI218" i="50"/>
  <c r="AD243" i="50"/>
  <c r="BP243" i="50" s="1"/>
  <c r="BP221" i="50"/>
  <c r="AF226" i="50"/>
  <c r="BR226" i="50" s="1"/>
  <c r="BW166" i="62"/>
  <c r="P247" i="50"/>
  <c r="BB247" i="50" s="1"/>
  <c r="BB225" i="50"/>
  <c r="P241" i="50"/>
  <c r="BB241" i="50" s="1"/>
  <c r="BB219" i="50"/>
  <c r="AK252" i="50"/>
  <c r="BW252" i="50" s="1"/>
  <c r="BW230" i="50"/>
  <c r="BX219" i="50"/>
  <c r="W248" i="50"/>
  <c r="BI248" i="50" s="1"/>
  <c r="BI226" i="50"/>
  <c r="BC234" i="50"/>
  <c r="BJ223" i="50"/>
  <c r="AK242" i="50"/>
  <c r="BW242" i="50" s="1"/>
  <c r="BW220" i="50"/>
  <c r="P245" i="50"/>
  <c r="BB245" i="50" s="1"/>
  <c r="BB223" i="50"/>
  <c r="BI164" i="62"/>
  <c r="AD237" i="50"/>
  <c r="BP237" i="50" s="1"/>
  <c r="BP215" i="50"/>
  <c r="AD241" i="50"/>
  <c r="BP241" i="50" s="1"/>
  <c r="BP219" i="50"/>
  <c r="AK254" i="50"/>
  <c r="BW254" i="50" s="1"/>
  <c r="BW232" i="50"/>
  <c r="O276" i="50"/>
  <c r="BA276" i="50" s="1"/>
  <c r="V274" i="50"/>
  <c r="BH274" i="50" s="1"/>
  <c r="H266" i="50"/>
  <c r="AT266" i="50" s="1"/>
  <c r="AK245" i="50"/>
  <c r="BW223" i="50"/>
  <c r="P268" i="50"/>
  <c r="BB268" i="50" s="1"/>
  <c r="BB246" i="50"/>
  <c r="Y198" i="50"/>
  <c r="BK198" i="50" s="1"/>
  <c r="BJ198" i="50"/>
  <c r="AF201" i="50"/>
  <c r="BR201" i="50" s="1"/>
  <c r="BQ201" i="50"/>
  <c r="BH100" i="62"/>
  <c r="R100" i="62"/>
  <c r="BI100" i="62" s="1"/>
  <c r="AF91" i="62"/>
  <c r="BV91" i="62"/>
  <c r="AE148" i="50"/>
  <c r="BQ148" i="50" s="1"/>
  <c r="Y209" i="50"/>
  <c r="BK209" i="50" s="1"/>
  <c r="BJ209" i="50"/>
  <c r="W79" i="62"/>
  <c r="BN79" i="62" s="1"/>
  <c r="BN83" i="62"/>
  <c r="Y207" i="50"/>
  <c r="BK207" i="50" s="1"/>
  <c r="BJ207" i="50"/>
  <c r="CC84" i="62"/>
  <c r="AM84" i="62"/>
  <c r="AL83" i="62"/>
  <c r="CC83" i="62" s="1"/>
  <c r="AF210" i="50"/>
  <c r="BR210" i="50" s="1"/>
  <c r="BQ210" i="50"/>
  <c r="Y86" i="62"/>
  <c r="BP86" i="62" s="1"/>
  <c r="BO86" i="62"/>
  <c r="AM198" i="50"/>
  <c r="BY198" i="50" s="1"/>
  <c r="BX198" i="50"/>
  <c r="AM104" i="62"/>
  <c r="CC104" i="62"/>
  <c r="AL53" i="50"/>
  <c r="BX53" i="50" s="1"/>
  <c r="BH95" i="62"/>
  <c r="R95" i="62"/>
  <c r="Q94" i="62"/>
  <c r="BH94" i="62" s="1"/>
  <c r="BU80" i="62"/>
  <c r="AD79" i="62"/>
  <c r="BU79" i="62" s="1"/>
  <c r="AF105" i="62"/>
  <c r="BV105" i="62"/>
  <c r="AE55" i="50"/>
  <c r="BQ55" i="50" s="1"/>
  <c r="BV239" i="50"/>
  <c r="AJ261" i="50"/>
  <c r="BV261" i="50" s="1"/>
  <c r="Y107" i="62"/>
  <c r="BP107" i="62" s="1"/>
  <c r="BO107" i="62"/>
  <c r="AD84" i="50"/>
  <c r="BO84" i="50"/>
  <c r="R106" i="62"/>
  <c r="BI106" i="62" s="1"/>
  <c r="BH106" i="62"/>
  <c r="AF68" i="62"/>
  <c r="BV68" i="62"/>
  <c r="AE39" i="50"/>
  <c r="BQ39" i="50" s="1"/>
  <c r="J202" i="50"/>
  <c r="AU202" i="50"/>
  <c r="AK163" i="50"/>
  <c r="R203" i="50"/>
  <c r="BD203" i="50" s="1"/>
  <c r="BC203" i="50"/>
  <c r="K90" i="62"/>
  <c r="BB90" i="62" s="1"/>
  <c r="BA90" i="62"/>
  <c r="J94" i="62"/>
  <c r="BA94" i="62" s="1"/>
  <c r="K64" i="62"/>
  <c r="BB64" i="62" s="1"/>
  <c r="BB65" i="62"/>
  <c r="R65" i="62"/>
  <c r="AE51" i="50"/>
  <c r="BQ51" i="50" s="1"/>
  <c r="BV101" i="62"/>
  <c r="AL61" i="62"/>
  <c r="CC61" i="62" s="1"/>
  <c r="E94" i="67"/>
  <c r="E127" i="67" s="1"/>
  <c r="BW192" i="50"/>
  <c r="E94" i="85" s="1"/>
  <c r="E127" i="85" s="1"/>
  <c r="D16" i="67"/>
  <c r="D112" i="67" s="1"/>
  <c r="AT192" i="50"/>
  <c r="D16" i="85" s="1"/>
  <c r="E70" i="67"/>
  <c r="E125" i="67" s="1"/>
  <c r="BP192" i="50"/>
  <c r="E70" i="85" s="1"/>
  <c r="E125" i="85" s="1"/>
  <c r="I256" i="50"/>
  <c r="AU256" i="50" s="1"/>
  <c r="W252" i="50"/>
  <c r="BI252" i="50" s="1"/>
  <c r="BI230" i="50"/>
  <c r="H272" i="50"/>
  <c r="AT272" i="50" s="1"/>
  <c r="K223" i="50"/>
  <c r="AW223" i="50" s="1"/>
  <c r="BB163" i="62"/>
  <c r="AD250" i="50"/>
  <c r="BP250" i="50" s="1"/>
  <c r="BP228" i="50"/>
  <c r="AM219" i="50"/>
  <c r="BY219" i="50" s="1"/>
  <c r="CD159" i="62"/>
  <c r="Q240" i="50"/>
  <c r="BC240" i="50" s="1"/>
  <c r="BC218" i="50"/>
  <c r="AK243" i="50"/>
  <c r="BW243" i="50" s="1"/>
  <c r="BW221" i="50"/>
  <c r="AK250" i="50"/>
  <c r="BW250" i="50" s="1"/>
  <c r="BW228" i="50"/>
  <c r="W247" i="50"/>
  <c r="BI247" i="50" s="1"/>
  <c r="BI225" i="50"/>
  <c r="V271" i="50"/>
  <c r="BH271" i="50" s="1"/>
  <c r="AC275" i="50"/>
  <c r="BO275" i="50" s="1"/>
  <c r="AD278" i="50"/>
  <c r="BP278" i="50" s="1"/>
  <c r="V264" i="50"/>
  <c r="BH264" i="50" s="1"/>
  <c r="AJ268" i="50"/>
  <c r="BV268" i="50" s="1"/>
  <c r="V272" i="50"/>
  <c r="BH272" i="50" s="1"/>
  <c r="W237" i="50"/>
  <c r="BI237" i="50" s="1"/>
  <c r="BI215" i="50"/>
  <c r="I239" i="50"/>
  <c r="AU239" i="50" s="1"/>
  <c r="AU217" i="50"/>
  <c r="AL217" i="50"/>
  <c r="CC157" i="62"/>
  <c r="C112" i="67"/>
  <c r="AJ60" i="62"/>
  <c r="CA60" i="62" s="1"/>
  <c r="AD238" i="50"/>
  <c r="R66" i="62"/>
  <c r="BI66" i="62" s="1"/>
  <c r="BH66" i="62"/>
  <c r="AM205" i="50"/>
  <c r="BY205" i="50" s="1"/>
  <c r="BX205" i="50"/>
  <c r="K103" i="62"/>
  <c r="BB103" i="62" s="1"/>
  <c r="BA103" i="62"/>
  <c r="AF88" i="62"/>
  <c r="BW88" i="62" s="1"/>
  <c r="BV88" i="62"/>
  <c r="Y108" i="62"/>
  <c r="BP108" i="62" s="1"/>
  <c r="BO108" i="62"/>
  <c r="J199" i="50"/>
  <c r="AU199" i="50"/>
  <c r="Y203" i="50"/>
  <c r="BK203" i="50" s="1"/>
  <c r="BJ203" i="50"/>
  <c r="BV257" i="50"/>
  <c r="AJ279" i="50"/>
  <c r="BV279" i="50" s="1"/>
  <c r="AF200" i="50"/>
  <c r="BR200" i="50" s="1"/>
  <c r="BQ200" i="50"/>
  <c r="R207" i="50"/>
  <c r="BD207" i="50" s="1"/>
  <c r="BC207" i="50"/>
  <c r="AC270" i="50"/>
  <c r="BO270" i="50" s="1"/>
  <c r="BO248" i="50"/>
  <c r="R85" i="62"/>
  <c r="BI85" i="62" s="1"/>
  <c r="BH85" i="62"/>
  <c r="Y193" i="50"/>
  <c r="BK193" i="50" s="1"/>
  <c r="BJ193" i="50"/>
  <c r="K104" i="62"/>
  <c r="BB104" i="62" s="1"/>
  <c r="BA104" i="62"/>
  <c r="R77" i="62"/>
  <c r="BI77" i="62" s="1"/>
  <c r="BH77" i="62"/>
  <c r="K200" i="50"/>
  <c r="AW200" i="50" s="1"/>
  <c r="AV200" i="50"/>
  <c r="R198" i="50"/>
  <c r="BD198" i="50" s="1"/>
  <c r="BC198" i="50"/>
  <c r="R194" i="50"/>
  <c r="BD194" i="50" s="1"/>
  <c r="BC194" i="50"/>
  <c r="Y98" i="62"/>
  <c r="BP98" i="62" s="1"/>
  <c r="BO98" i="62"/>
  <c r="K196" i="50"/>
  <c r="AW196" i="50" s="1"/>
  <c r="AV196" i="50"/>
  <c r="Y197" i="50"/>
  <c r="BK197" i="50" s="1"/>
  <c r="BJ197" i="50"/>
  <c r="K86" i="62"/>
  <c r="BB86" i="62" s="1"/>
  <c r="BA86" i="62"/>
  <c r="R212" i="50"/>
  <c r="BD212" i="50" s="1"/>
  <c r="BC212" i="50"/>
  <c r="AK155" i="50"/>
  <c r="AM213" i="50"/>
  <c r="BY213" i="50" s="1"/>
  <c r="BX213" i="50"/>
  <c r="R104" i="62"/>
  <c r="BI104" i="62" s="1"/>
  <c r="BH104" i="62"/>
  <c r="K169" i="62"/>
  <c r="BA169" i="62"/>
  <c r="J229" i="50"/>
  <c r="AV229" i="50" s="1"/>
  <c r="K89" i="62"/>
  <c r="BB89" i="62" s="1"/>
  <c r="BA89" i="62"/>
  <c r="AM96" i="62"/>
  <c r="CD96" i="62" s="1"/>
  <c r="CC96" i="62"/>
  <c r="I242" i="50"/>
  <c r="I264" i="50" s="1"/>
  <c r="AU264" i="50" s="1"/>
  <c r="AM199" i="50"/>
  <c r="BY199" i="50" s="1"/>
  <c r="BX199" i="50"/>
  <c r="AM206" i="50"/>
  <c r="BY206" i="50" s="1"/>
  <c r="BX206" i="50"/>
  <c r="BV84" i="62"/>
  <c r="AF84" i="62"/>
  <c r="AE83" i="62"/>
  <c r="BV83" i="62" s="1"/>
  <c r="AF77" i="62"/>
  <c r="BW77" i="62" s="1"/>
  <c r="BV77" i="62"/>
  <c r="Y97" i="62"/>
  <c r="BP97" i="62" s="1"/>
  <c r="BO97" i="62"/>
  <c r="AM197" i="50"/>
  <c r="BY197" i="50" s="1"/>
  <c r="BX197" i="50"/>
  <c r="BV251" i="50"/>
  <c r="AJ273" i="50"/>
  <c r="BV273" i="50" s="1"/>
  <c r="AC262" i="50"/>
  <c r="BO262" i="50" s="1"/>
  <c r="BO240" i="50"/>
  <c r="AM210" i="50"/>
  <c r="BY210" i="50" s="1"/>
  <c r="BX210" i="50"/>
  <c r="K174" i="62"/>
  <c r="BA174" i="62"/>
  <c r="J234" i="50"/>
  <c r="AV234" i="50" s="1"/>
  <c r="AD73" i="50"/>
  <c r="R87" i="62"/>
  <c r="BI87" i="62" s="1"/>
  <c r="BH87" i="62"/>
  <c r="R69" i="62"/>
  <c r="BI69" i="62" s="1"/>
  <c r="BH69" i="62"/>
  <c r="I251" i="50"/>
  <c r="I273" i="50" s="1"/>
  <c r="AU273" i="50" s="1"/>
  <c r="AT251" i="50"/>
  <c r="H273" i="50"/>
  <c r="AT273" i="50" s="1"/>
  <c r="R93" i="62"/>
  <c r="BI93" i="62" s="1"/>
  <c r="BH93" i="62"/>
  <c r="AD168" i="50"/>
  <c r="AM207" i="50"/>
  <c r="BY207" i="50" s="1"/>
  <c r="BX207" i="50"/>
  <c r="Y66" i="62"/>
  <c r="BP66" i="62" s="1"/>
  <c r="BO66" i="62"/>
  <c r="V268" i="50"/>
  <c r="BH268" i="50" s="1"/>
  <c r="BH246" i="50"/>
  <c r="AK79" i="62"/>
  <c r="CB79" i="62" s="1"/>
  <c r="CB80" i="62"/>
  <c r="AK244" i="50"/>
  <c r="BW244" i="50" s="1"/>
  <c r="BW222" i="50"/>
  <c r="AD247" i="50"/>
  <c r="BP247" i="50" s="1"/>
  <c r="BP225" i="50"/>
  <c r="CD175" i="62"/>
  <c r="I257" i="50"/>
  <c r="AU235" i="50"/>
  <c r="I249" i="50"/>
  <c r="I271" i="50" s="1"/>
  <c r="AU271" i="50" s="1"/>
  <c r="AT249" i="50"/>
  <c r="AF193" i="50"/>
  <c r="BR193" i="50" s="1"/>
  <c r="BQ193" i="50"/>
  <c r="AM97" i="62"/>
  <c r="CD97" i="62" s="1"/>
  <c r="CC97" i="62"/>
  <c r="AM87" i="62"/>
  <c r="CD87" i="62" s="1"/>
  <c r="CC87" i="62"/>
  <c r="Y105" i="62"/>
  <c r="BP105" i="62" s="1"/>
  <c r="BO105" i="62"/>
  <c r="K77" i="62"/>
  <c r="BB77" i="62" s="1"/>
  <c r="BA77" i="62"/>
  <c r="AM195" i="50"/>
  <c r="BY195" i="50" s="1"/>
  <c r="BX195" i="50"/>
  <c r="AF97" i="62"/>
  <c r="BW97" i="62" s="1"/>
  <c r="BV97" i="62"/>
  <c r="R171" i="62"/>
  <c r="BH171" i="62"/>
  <c r="Q231" i="50"/>
  <c r="BC231" i="50" s="1"/>
  <c r="J201" i="50"/>
  <c r="AU201" i="50"/>
  <c r="I244" i="50"/>
  <c r="AU244" i="50" s="1"/>
  <c r="AU222" i="50"/>
  <c r="AL249" i="50"/>
  <c r="BX249" i="50" s="1"/>
  <c r="BX227" i="50"/>
  <c r="P251" i="50"/>
  <c r="BB251" i="50" s="1"/>
  <c r="BB229" i="50"/>
  <c r="W256" i="50"/>
  <c r="BI234" i="50"/>
  <c r="P248" i="50"/>
  <c r="BB248" i="50" s="1"/>
  <c r="BB226" i="50"/>
  <c r="K108" i="62"/>
  <c r="BB108" i="62" s="1"/>
  <c r="BA108" i="62"/>
  <c r="R208" i="50"/>
  <c r="BD208" i="50" s="1"/>
  <c r="BC208" i="50"/>
  <c r="AM88" i="62"/>
  <c r="CD88" i="62" s="1"/>
  <c r="CC88" i="62"/>
  <c r="AF98" i="62"/>
  <c r="BV98" i="62"/>
  <c r="AE48" i="50"/>
  <c r="BQ48" i="50" s="1"/>
  <c r="Y101" i="62"/>
  <c r="BP101" i="62" s="1"/>
  <c r="BO101" i="62"/>
  <c r="R205" i="50"/>
  <c r="BD205" i="50" s="1"/>
  <c r="BC205" i="50"/>
  <c r="AF202" i="50"/>
  <c r="BR202" i="50" s="1"/>
  <c r="BQ202" i="50"/>
  <c r="R86" i="62"/>
  <c r="BI86" i="62" s="1"/>
  <c r="BH86" i="62"/>
  <c r="AD80" i="50"/>
  <c r="BO80" i="50"/>
  <c r="K92" i="62"/>
  <c r="BB92" i="62" s="1"/>
  <c r="BA92" i="62"/>
  <c r="Y93" i="62"/>
  <c r="BP93" i="62" s="1"/>
  <c r="BO93" i="62"/>
  <c r="O270" i="50"/>
  <c r="BA270" i="50" s="1"/>
  <c r="BA248" i="50"/>
  <c r="AM82" i="62"/>
  <c r="CC82" i="62"/>
  <c r="AL140" i="50"/>
  <c r="BX140" i="50" s="1"/>
  <c r="AM102" i="62"/>
  <c r="CC102" i="62"/>
  <c r="AL52" i="50"/>
  <c r="BX52" i="50" s="1"/>
  <c r="AM69" i="62"/>
  <c r="CD69" i="62" s="1"/>
  <c r="CC69" i="62"/>
  <c r="AC276" i="50"/>
  <c r="BO276" i="50" s="1"/>
  <c r="BO254" i="50"/>
  <c r="K195" i="50"/>
  <c r="AW195" i="50" s="1"/>
  <c r="AV195" i="50"/>
  <c r="AM209" i="50"/>
  <c r="BY209" i="50" s="1"/>
  <c r="BX209" i="50"/>
  <c r="W244" i="50"/>
  <c r="BI244" i="50" s="1"/>
  <c r="BI222" i="50"/>
  <c r="K231" i="50"/>
  <c r="AW231" i="50" s="1"/>
  <c r="BB171" i="62"/>
  <c r="AM227" i="50"/>
  <c r="BY227" i="50" s="1"/>
  <c r="CD167" i="62"/>
  <c r="AD253" i="50"/>
  <c r="BP253" i="50" s="1"/>
  <c r="BP231" i="50"/>
  <c r="K161" i="62"/>
  <c r="BA161" i="62"/>
  <c r="J221" i="50"/>
  <c r="AV221" i="50" s="1"/>
  <c r="V277" i="50"/>
  <c r="BH277" i="50" s="1"/>
  <c r="BH255" i="50"/>
  <c r="K204" i="50"/>
  <c r="AW204" i="50" s="1"/>
  <c r="AV204" i="50"/>
  <c r="K93" i="62"/>
  <c r="BB93" i="62" s="1"/>
  <c r="BA93" i="62"/>
  <c r="AM92" i="62"/>
  <c r="CC92" i="62"/>
  <c r="AL43" i="50"/>
  <c r="BX43" i="50" s="1"/>
  <c r="BO169" i="62"/>
  <c r="Y169" i="62"/>
  <c r="X229" i="50"/>
  <c r="BJ229" i="50" s="1"/>
  <c r="I238" i="50"/>
  <c r="AT238" i="50"/>
  <c r="AM212" i="50"/>
  <c r="BY212" i="50" s="1"/>
  <c r="BX212" i="50"/>
  <c r="AE37" i="50"/>
  <c r="BQ37" i="50" s="1"/>
  <c r="BV65" i="62"/>
  <c r="AF65" i="62"/>
  <c r="AF208" i="50"/>
  <c r="BR208" i="50" s="1"/>
  <c r="BQ208" i="50"/>
  <c r="AM93" i="62"/>
  <c r="CC93" i="62"/>
  <c r="AL149" i="50"/>
  <c r="BX149" i="50" s="1"/>
  <c r="K68" i="62"/>
  <c r="BB68" i="62" s="1"/>
  <c r="BA68" i="62"/>
  <c r="AF107" i="62"/>
  <c r="BW107" i="62" s="1"/>
  <c r="BV107" i="62"/>
  <c r="C54" i="67"/>
  <c r="BG236" i="50"/>
  <c r="C54" i="85" s="1"/>
  <c r="AT255" i="50"/>
  <c r="I255" i="50"/>
  <c r="R108" i="62"/>
  <c r="BI108" i="62" s="1"/>
  <c r="BH108" i="62"/>
  <c r="R200" i="50"/>
  <c r="BD200" i="50" s="1"/>
  <c r="BC200" i="50"/>
  <c r="O60" i="62"/>
  <c r="BF60" i="62" s="1"/>
  <c r="BF67" i="62"/>
  <c r="P260" i="50"/>
  <c r="BB260" i="50" s="1"/>
  <c r="N258" i="50"/>
  <c r="AZ259" i="50"/>
  <c r="AD245" i="50"/>
  <c r="BP245" i="50" s="1"/>
  <c r="BP223" i="50"/>
  <c r="AE220" i="50"/>
  <c r="BQ220" i="50" s="1"/>
  <c r="P257" i="50"/>
  <c r="BB257" i="50" s="1"/>
  <c r="BB235" i="50"/>
  <c r="O265" i="50"/>
  <c r="BA265" i="50" s="1"/>
  <c r="O263" i="50"/>
  <c r="BA263" i="50" s="1"/>
  <c r="AF213" i="50"/>
  <c r="BR213" i="50" s="1"/>
  <c r="BQ213" i="50"/>
  <c r="AF87" i="62"/>
  <c r="BW87" i="62" s="1"/>
  <c r="BV87" i="62"/>
  <c r="Y212" i="50"/>
  <c r="BK212" i="50" s="1"/>
  <c r="BJ212" i="50"/>
  <c r="AM98" i="62"/>
  <c r="CC98" i="62"/>
  <c r="AL48" i="50"/>
  <c r="BX48" i="50" s="1"/>
  <c r="AF194" i="50"/>
  <c r="BR194" i="50" s="1"/>
  <c r="BQ194" i="50"/>
  <c r="AM101" i="62"/>
  <c r="CC101" i="62"/>
  <c r="AL51" i="50"/>
  <c r="BX51" i="50" s="1"/>
  <c r="AM208" i="50"/>
  <c r="BY208" i="50" s="1"/>
  <c r="BX208" i="50"/>
  <c r="R78" i="62"/>
  <c r="BI78" i="62" s="1"/>
  <c r="BH78" i="62"/>
  <c r="Y102" i="62"/>
  <c r="BP102" i="62" s="1"/>
  <c r="BO102" i="62"/>
  <c r="K170" i="62"/>
  <c r="BA170" i="62"/>
  <c r="J230" i="50"/>
  <c r="AV230" i="50" s="1"/>
  <c r="AF104" i="62"/>
  <c r="BV104" i="62"/>
  <c r="AE53" i="50"/>
  <c r="BQ53" i="50" s="1"/>
  <c r="K159" i="62"/>
  <c r="BA159" i="62"/>
  <c r="J219" i="50"/>
  <c r="AV219" i="50" s="1"/>
  <c r="J61" i="62"/>
  <c r="BA61" i="62" s="1"/>
  <c r="AD249" i="50"/>
  <c r="BP249" i="50" s="1"/>
  <c r="BP227" i="50"/>
  <c r="W254" i="50"/>
  <c r="BI254" i="50" s="1"/>
  <c r="BI232" i="50"/>
  <c r="AD239" i="50"/>
  <c r="BP239" i="50" s="1"/>
  <c r="BP217" i="50"/>
  <c r="AD257" i="50"/>
  <c r="BP257" i="50" s="1"/>
  <c r="BP235" i="50"/>
  <c r="AD76" i="50"/>
  <c r="BP76" i="50" s="1"/>
  <c r="AC263" i="50"/>
  <c r="BO263" i="50" s="1"/>
  <c r="C96" i="67"/>
  <c r="BU236" i="50"/>
  <c r="C96" i="85" s="1"/>
  <c r="R218" i="50"/>
  <c r="BD218" i="50" s="1"/>
  <c r="BI158" i="62"/>
  <c r="Q238" i="50"/>
  <c r="BC238" i="50" s="1"/>
  <c r="BC216" i="50"/>
  <c r="W242" i="50"/>
  <c r="BI242" i="50" s="1"/>
  <c r="BI220" i="50"/>
  <c r="W239" i="50"/>
  <c r="BI239" i="50" s="1"/>
  <c r="BI217" i="50"/>
  <c r="AD251" i="50"/>
  <c r="BP251" i="50" s="1"/>
  <c r="BP229" i="50"/>
  <c r="O269" i="50"/>
  <c r="BA269" i="50" s="1"/>
  <c r="AJ276" i="50"/>
  <c r="BV276" i="50" s="1"/>
  <c r="AJ269" i="50"/>
  <c r="BV269" i="50" s="1"/>
  <c r="V263" i="50"/>
  <c r="BH263" i="50" s="1"/>
  <c r="AC273" i="50"/>
  <c r="BO273" i="50" s="1"/>
  <c r="AD68" i="50"/>
  <c r="BO68" i="50"/>
  <c r="Y200" i="50"/>
  <c r="BK200" i="50" s="1"/>
  <c r="BJ200" i="50"/>
  <c r="AM66" i="62"/>
  <c r="CD66" i="62" s="1"/>
  <c r="CC66" i="62"/>
  <c r="K160" i="62"/>
  <c r="BA160" i="62"/>
  <c r="J220" i="50"/>
  <c r="AV220" i="50" s="1"/>
  <c r="BA75" i="62"/>
  <c r="K75" i="62"/>
  <c r="J74" i="62"/>
  <c r="BA74" i="62" s="1"/>
  <c r="R193" i="50"/>
  <c r="BD193" i="50" s="1"/>
  <c r="BC193" i="50"/>
  <c r="BO244" i="50"/>
  <c r="AC266" i="50"/>
  <c r="BO266" i="50" s="1"/>
  <c r="AM89" i="62"/>
  <c r="CC89" i="62"/>
  <c r="AL146" i="50"/>
  <c r="BX146" i="50" s="1"/>
  <c r="Y199" i="50"/>
  <c r="BK199" i="50" s="1"/>
  <c r="BJ199" i="50"/>
  <c r="AF195" i="50"/>
  <c r="BR195" i="50" s="1"/>
  <c r="BQ195" i="50"/>
  <c r="AJ278" i="50"/>
  <c r="BV278" i="50" s="1"/>
  <c r="BV256" i="50"/>
  <c r="R107" i="62"/>
  <c r="BI107" i="62" s="1"/>
  <c r="BH107" i="62"/>
  <c r="I241" i="50"/>
  <c r="I263" i="50" s="1"/>
  <c r="AU263" i="50" s="1"/>
  <c r="AT241" i="50"/>
  <c r="AF85" i="62"/>
  <c r="BW85" i="62" s="1"/>
  <c r="BV85" i="62"/>
  <c r="Y70" i="62"/>
  <c r="BP70" i="62" s="1"/>
  <c r="BO70" i="62"/>
  <c r="AF73" i="62"/>
  <c r="AF71" i="62" s="1"/>
  <c r="BW71" i="62" s="1"/>
  <c r="BV73" i="62"/>
  <c r="AE135" i="50"/>
  <c r="BQ135" i="50" s="1"/>
  <c r="AD160" i="50"/>
  <c r="K105" i="62"/>
  <c r="BB105" i="62" s="1"/>
  <c r="BA105" i="62"/>
  <c r="R92" i="62"/>
  <c r="BI92" i="62" s="1"/>
  <c r="BH92" i="62"/>
  <c r="AE50" i="50"/>
  <c r="BQ50" i="50" s="1"/>
  <c r="BV100" i="62"/>
  <c r="AF100" i="62"/>
  <c r="K209" i="50"/>
  <c r="AW209" i="50" s="1"/>
  <c r="AV209" i="50"/>
  <c r="R204" i="50"/>
  <c r="BD204" i="50" s="1"/>
  <c r="BC204" i="50"/>
  <c r="Y208" i="50"/>
  <c r="BK208" i="50" s="1"/>
  <c r="BJ208" i="50"/>
  <c r="R201" i="50"/>
  <c r="BD201" i="50" s="1"/>
  <c r="BC201" i="50"/>
  <c r="AF102" i="62"/>
  <c r="BV102" i="62"/>
  <c r="AE52" i="50"/>
  <c r="BQ52" i="50" s="1"/>
  <c r="BO81" i="62"/>
  <c r="Y81" i="62"/>
  <c r="X80" i="62"/>
  <c r="BO80" i="62" s="1"/>
  <c r="R76" i="62"/>
  <c r="BI76" i="62" s="1"/>
  <c r="BH76" i="62"/>
  <c r="R73" i="62"/>
  <c r="BI73" i="62" s="1"/>
  <c r="BH73" i="62"/>
  <c r="Y211" i="50"/>
  <c r="BK211" i="50" s="1"/>
  <c r="BJ211" i="50"/>
  <c r="R211" i="50"/>
  <c r="BD211" i="50" s="1"/>
  <c r="BC211" i="50"/>
  <c r="AM85" i="62"/>
  <c r="CD85" i="62" s="1"/>
  <c r="CC85" i="62"/>
  <c r="R197" i="50"/>
  <c r="BD197" i="50" s="1"/>
  <c r="BC197" i="50"/>
  <c r="W257" i="50"/>
  <c r="BI235" i="50"/>
  <c r="AD166" i="50"/>
  <c r="K88" i="62"/>
  <c r="BB88" i="62" s="1"/>
  <c r="BA88" i="62"/>
  <c r="I243" i="50"/>
  <c r="I265" i="50" s="1"/>
  <c r="AU265" i="50" s="1"/>
  <c r="AF205" i="50"/>
  <c r="BR205" i="50" s="1"/>
  <c r="BQ205" i="50"/>
  <c r="K96" i="62"/>
  <c r="BB96" i="62" s="1"/>
  <c r="BA96" i="62"/>
  <c r="O277" i="50"/>
  <c r="BA277" i="50" s="1"/>
  <c r="BA255" i="50"/>
  <c r="AF108" i="62"/>
  <c r="BV108" i="62"/>
  <c r="AE59" i="50"/>
  <c r="BQ59" i="50" s="1"/>
  <c r="AM77" i="62"/>
  <c r="CD77" i="62" s="1"/>
  <c r="CC77" i="62"/>
  <c r="J211" i="50"/>
  <c r="AU211" i="50"/>
  <c r="J205" i="50"/>
  <c r="AU205" i="50"/>
  <c r="R90" i="62"/>
  <c r="BI90" i="62" s="1"/>
  <c r="BH90" i="62"/>
  <c r="AF199" i="50"/>
  <c r="BR199" i="50" s="1"/>
  <c r="BQ199" i="50"/>
  <c r="K210" i="50"/>
  <c r="AW210" i="50" s="1"/>
  <c r="AV210" i="50"/>
  <c r="AM196" i="50"/>
  <c r="BY196" i="50" s="1"/>
  <c r="BX196" i="50"/>
  <c r="R88" i="62"/>
  <c r="BI88" i="62" s="1"/>
  <c r="BH88" i="62"/>
  <c r="Q64" i="62"/>
  <c r="BH64" i="62" s="1"/>
  <c r="AK67" i="62"/>
  <c r="CB67" i="62" s="1"/>
  <c r="CB74" i="62"/>
  <c r="AL71" i="62"/>
  <c r="CC71" i="62" s="1"/>
  <c r="AM36" i="50"/>
  <c r="BY36" i="50" s="1"/>
  <c r="CD62" i="62"/>
  <c r="AK273" i="50"/>
  <c r="BW273" i="50" s="1"/>
  <c r="H259" i="50"/>
  <c r="AT259" i="50" s="1"/>
  <c r="P243" i="50"/>
  <c r="BB243" i="50" s="1"/>
  <c r="BB221" i="50"/>
  <c r="W255" i="50"/>
  <c r="BI255" i="50" s="1"/>
  <c r="BI233" i="50"/>
  <c r="I246" i="50"/>
  <c r="AU246" i="50" s="1"/>
  <c r="AU224" i="50"/>
  <c r="P242" i="50"/>
  <c r="BB242" i="50" s="1"/>
  <c r="BB220" i="50"/>
  <c r="BW75" i="62"/>
  <c r="BP65" i="62"/>
  <c r="CD72" i="62"/>
  <c r="CD95" i="62"/>
  <c r="U258" i="50"/>
  <c r="I247" i="50"/>
  <c r="AU247" i="50" s="1"/>
  <c r="AK247" i="50"/>
  <c r="BW247" i="50" s="1"/>
  <c r="BW225" i="50"/>
  <c r="AL251" i="50"/>
  <c r="BX251" i="50" s="1"/>
  <c r="BX229" i="50"/>
  <c r="AK240" i="50"/>
  <c r="BW240" i="50" s="1"/>
  <c r="BW218" i="50"/>
  <c r="AF224" i="50"/>
  <c r="BR224" i="50" s="1"/>
  <c r="BW164" i="62"/>
  <c r="AI258" i="50"/>
  <c r="BU259" i="50"/>
  <c r="W241" i="50"/>
  <c r="BI241" i="50" s="1"/>
  <c r="BI219" i="50"/>
  <c r="P239" i="50"/>
  <c r="BB239" i="50" s="1"/>
  <c r="BB217" i="50"/>
  <c r="R216" i="50"/>
  <c r="BD216" i="50" s="1"/>
  <c r="BI156" i="62"/>
  <c r="I250" i="50"/>
  <c r="AU250" i="50" s="1"/>
  <c r="AU228" i="50"/>
  <c r="W238" i="50"/>
  <c r="P255" i="50"/>
  <c r="BB255" i="50" s="1"/>
  <c r="BB233" i="50"/>
  <c r="H270" i="50"/>
  <c r="AT270" i="50" s="1"/>
  <c r="H268" i="50"/>
  <c r="AT268" i="50" s="1"/>
  <c r="AC261" i="50"/>
  <c r="BO261" i="50" s="1"/>
  <c r="I237" i="50"/>
  <c r="AU237" i="50" s="1"/>
  <c r="AU215" i="50"/>
  <c r="AD240" i="50"/>
  <c r="BP218" i="50"/>
  <c r="AD252" i="50"/>
  <c r="BP230" i="50"/>
  <c r="AJ277" i="50"/>
  <c r="BV277" i="50" s="1"/>
  <c r="BA72" i="62"/>
  <c r="K72" i="62"/>
  <c r="J71" i="62"/>
  <c r="BA71" i="62" s="1"/>
  <c r="K198" i="50"/>
  <c r="AW198" i="50" s="1"/>
  <c r="AV198" i="50"/>
  <c r="Y104" i="62"/>
  <c r="BP104" i="62" s="1"/>
  <c r="BO104" i="62"/>
  <c r="AF197" i="50"/>
  <c r="BR197" i="50" s="1"/>
  <c r="BQ197" i="50"/>
  <c r="R199" i="50"/>
  <c r="BD199" i="50" s="1"/>
  <c r="BC199" i="50"/>
  <c r="J212" i="50"/>
  <c r="AU212" i="50"/>
  <c r="AF212" i="50"/>
  <c r="BR212" i="50" s="1"/>
  <c r="BQ212" i="50"/>
  <c r="K107" i="62"/>
  <c r="BB107" i="62" s="1"/>
  <c r="BA107" i="62"/>
  <c r="J208" i="50"/>
  <c r="AU208" i="50"/>
  <c r="Y78" i="62"/>
  <c r="BP78" i="62" s="1"/>
  <c r="BO78" i="62"/>
  <c r="AK168" i="50"/>
  <c r="BV168" i="50"/>
  <c r="Y88" i="62"/>
  <c r="BP88" i="62" s="1"/>
  <c r="BO88" i="62"/>
  <c r="AM201" i="50"/>
  <c r="BY201" i="50" s="1"/>
  <c r="BX201" i="50"/>
  <c r="AM76" i="62"/>
  <c r="CD76" i="62" s="1"/>
  <c r="CC76" i="62"/>
  <c r="K97" i="62"/>
  <c r="BB97" i="62" s="1"/>
  <c r="BA97" i="62"/>
  <c r="K213" i="50"/>
  <c r="AW213" i="50" s="1"/>
  <c r="AV213" i="50"/>
  <c r="K106" i="62"/>
  <c r="BB106" i="62" s="1"/>
  <c r="BA106" i="62"/>
  <c r="K76" i="62"/>
  <c r="BB76" i="62" s="1"/>
  <c r="BA76" i="62"/>
  <c r="J194" i="50"/>
  <c r="AU194" i="50"/>
  <c r="Y73" i="62"/>
  <c r="BP73" i="62" s="1"/>
  <c r="BO73" i="62"/>
  <c r="AK166" i="50"/>
  <c r="BV166" i="50"/>
  <c r="AT253" i="50"/>
  <c r="H275" i="50"/>
  <c r="AT275" i="50" s="1"/>
  <c r="W245" i="50"/>
  <c r="X245" i="50" s="1"/>
  <c r="BI223" i="50"/>
  <c r="R213" i="50"/>
  <c r="BD213" i="50" s="1"/>
  <c r="BC213" i="50"/>
  <c r="R70" i="62"/>
  <c r="BI70" i="62" s="1"/>
  <c r="BH70" i="62"/>
  <c r="AM90" i="62"/>
  <c r="CD90" i="62" s="1"/>
  <c r="CC90" i="62"/>
  <c r="V278" i="50"/>
  <c r="BH278" i="50" s="1"/>
  <c r="BH256" i="50"/>
  <c r="K87" i="62"/>
  <c r="BB87" i="62" s="1"/>
  <c r="BA87" i="62"/>
  <c r="Y69" i="62"/>
  <c r="BP69" i="62" s="1"/>
  <c r="BO69" i="62"/>
  <c r="K85" i="62"/>
  <c r="BB85" i="62" s="1"/>
  <c r="BA85" i="62"/>
  <c r="BV95" i="62"/>
  <c r="AF95" i="62"/>
  <c r="BW95" i="62" s="1"/>
  <c r="AK239" i="50"/>
  <c r="BW217" i="50"/>
  <c r="R102" i="62"/>
  <c r="BI102" i="62" s="1"/>
  <c r="BH102" i="62"/>
  <c r="R103" i="62"/>
  <c r="BI103" i="62" s="1"/>
  <c r="BH103" i="62"/>
  <c r="Y204" i="50"/>
  <c r="BK204" i="50" s="1"/>
  <c r="BJ204" i="50"/>
  <c r="AM204" i="50"/>
  <c r="BY204" i="50" s="1"/>
  <c r="BX204" i="50"/>
  <c r="K156" i="62"/>
  <c r="BA156" i="62"/>
  <c r="J216" i="50"/>
  <c r="AV216" i="50" s="1"/>
  <c r="AF207" i="50"/>
  <c r="BR207" i="50" s="1"/>
  <c r="BQ207" i="50"/>
  <c r="BH257" i="50"/>
  <c r="V279" i="50"/>
  <c r="BH279" i="50" s="1"/>
  <c r="AM203" i="50"/>
  <c r="BY203" i="50" s="1"/>
  <c r="BX203" i="50"/>
  <c r="AM70" i="62"/>
  <c r="CD70" i="62" s="1"/>
  <c r="CC70" i="62"/>
  <c r="Y210" i="50"/>
  <c r="BK210" i="50" s="1"/>
  <c r="BJ210" i="50"/>
  <c r="R195" i="50"/>
  <c r="BD195" i="50" s="1"/>
  <c r="BC195" i="50"/>
  <c r="AJ80" i="50"/>
  <c r="BU80" i="50"/>
  <c r="BU62" i="50"/>
  <c r="AJ62" i="50"/>
  <c r="AJ73" i="50"/>
  <c r="BU73" i="50"/>
  <c r="AJ68" i="50"/>
  <c r="BU68" i="50"/>
  <c r="BU76" i="50"/>
  <c r="AJ76" i="50"/>
  <c r="BU75" i="50"/>
  <c r="AJ75" i="50"/>
  <c r="AM79" i="50"/>
  <c r="BY79" i="50" s="1"/>
  <c r="BX79" i="50"/>
  <c r="AM82" i="50"/>
  <c r="BX82" i="50"/>
  <c r="F71" i="49"/>
  <c r="L71" i="49" s="1"/>
  <c r="AJ78" i="50"/>
  <c r="BU78" i="50"/>
  <c r="BU84" i="50"/>
  <c r="AJ84" i="50"/>
  <c r="BU74" i="50"/>
  <c r="AJ74" i="50"/>
  <c r="AM83" i="50"/>
  <c r="BY83" i="50" s="1"/>
  <c r="BX83" i="50"/>
  <c r="AJ81" i="50"/>
  <c r="BU81" i="50"/>
  <c r="L8" i="82"/>
  <c r="P8" i="82" s="1"/>
  <c r="T8" i="82" s="1"/>
  <c r="X8" i="82" s="1"/>
  <c r="E10" i="51"/>
  <c r="AE246" i="50"/>
  <c r="AE268" i="50" s="1"/>
  <c r="BQ268" i="50" s="1"/>
  <c r="L58" i="7"/>
  <c r="L36" i="7"/>
  <c r="D69" i="7"/>
  <c r="D47" i="7"/>
  <c r="AE248" i="50"/>
  <c r="BQ248" i="50" s="1"/>
  <c r="J245" i="50"/>
  <c r="AT30" i="7"/>
  <c r="CQ30" i="7" s="1"/>
  <c r="O30" i="7"/>
  <c r="BL30" i="7" s="1"/>
  <c r="D35" i="67"/>
  <c r="AM30" i="7"/>
  <c r="CJ30" i="7" s="1"/>
  <c r="D95" i="67"/>
  <c r="C113" i="67"/>
  <c r="W30" i="7"/>
  <c r="BT30" i="7" s="1"/>
  <c r="D53" i="67"/>
  <c r="AE30" i="7"/>
  <c r="CB30" i="7" s="1"/>
  <c r="D71" i="67"/>
  <c r="G30" i="7"/>
  <c r="BD30" i="7" s="1"/>
  <c r="K132" i="67"/>
  <c r="D17" i="67"/>
  <c r="AE154" i="62"/>
  <c r="BV154" i="62" s="1"/>
  <c r="AL154" i="62"/>
  <c r="CC154" i="62" s="1"/>
  <c r="Q154" i="62"/>
  <c r="BH154" i="62" s="1"/>
  <c r="J215" i="50"/>
  <c r="K155" i="62"/>
  <c r="AF158" i="62"/>
  <c r="AE218" i="50"/>
  <c r="AF170" i="62"/>
  <c r="AE230" i="50"/>
  <c r="AL233" i="50"/>
  <c r="AM173" i="62"/>
  <c r="Q222" i="50"/>
  <c r="R162" i="62"/>
  <c r="X215" i="50"/>
  <c r="Y155" i="62"/>
  <c r="AM171" i="62"/>
  <c r="AL231" i="50"/>
  <c r="J217" i="50"/>
  <c r="K157" i="62"/>
  <c r="R166" i="62"/>
  <c r="Q226" i="50"/>
  <c r="AM163" i="62"/>
  <c r="AL223" i="50"/>
  <c r="J235" i="50"/>
  <c r="K175" i="62"/>
  <c r="O236" i="50"/>
  <c r="O259" i="50"/>
  <c r="P237" i="50"/>
  <c r="BB237" i="50" s="1"/>
  <c r="Y158" i="62"/>
  <c r="X218" i="50"/>
  <c r="AM162" i="62"/>
  <c r="AL222" i="50"/>
  <c r="AF161" i="62"/>
  <c r="AE221" i="50"/>
  <c r="AM166" i="62"/>
  <c r="AL226" i="50"/>
  <c r="R159" i="62"/>
  <c r="Q219" i="50"/>
  <c r="AF165" i="62"/>
  <c r="AE225" i="50"/>
  <c r="AF157" i="62"/>
  <c r="AE217" i="50"/>
  <c r="AM165" i="62"/>
  <c r="AL225" i="50"/>
  <c r="R175" i="62"/>
  <c r="Q235" i="50"/>
  <c r="AF173" i="62"/>
  <c r="AE233" i="50"/>
  <c r="AM158" i="62"/>
  <c r="AL218" i="50"/>
  <c r="AL215" i="50"/>
  <c r="BX215" i="50" s="1"/>
  <c r="AM155" i="62"/>
  <c r="Y166" i="62"/>
  <c r="X226" i="50"/>
  <c r="R167" i="62"/>
  <c r="Q227" i="50"/>
  <c r="R157" i="62"/>
  <c r="Q217" i="50"/>
  <c r="Y168" i="62"/>
  <c r="X228" i="50"/>
  <c r="R168" i="62"/>
  <c r="Q228" i="50"/>
  <c r="K168" i="62"/>
  <c r="J228" i="50"/>
  <c r="C72" i="49"/>
  <c r="C58" i="49"/>
  <c r="R215" i="50"/>
  <c r="BD215" i="50" s="1"/>
  <c r="AM217" i="50"/>
  <c r="AF216" i="50"/>
  <c r="K172" i="62"/>
  <c r="J232" i="50"/>
  <c r="AF163" i="62"/>
  <c r="AE223" i="50"/>
  <c r="Y167" i="62"/>
  <c r="X227" i="50"/>
  <c r="AM174" i="62"/>
  <c r="AL234" i="50"/>
  <c r="AM156" i="62"/>
  <c r="AL216" i="50"/>
  <c r="AK237" i="50"/>
  <c r="BW237" i="50" s="1"/>
  <c r="AJ259" i="50"/>
  <c r="AJ236" i="50"/>
  <c r="P214" i="50"/>
  <c r="BB214" i="50" s="1"/>
  <c r="E35" i="85" s="1"/>
  <c r="I240" i="50"/>
  <c r="H262" i="50"/>
  <c r="Y165" i="62"/>
  <c r="X225" i="50"/>
  <c r="AF159" i="62"/>
  <c r="AE219" i="50"/>
  <c r="Q232" i="50"/>
  <c r="R172" i="62"/>
  <c r="AM172" i="62"/>
  <c r="AL232" i="50"/>
  <c r="AE67" i="62"/>
  <c r="BV67" i="62" s="1"/>
  <c r="AF167" i="62"/>
  <c r="AE227" i="50"/>
  <c r="R161" i="62"/>
  <c r="Q221" i="50"/>
  <c r="Y162" i="62"/>
  <c r="X222" i="50"/>
  <c r="Y173" i="62"/>
  <c r="X233" i="50"/>
  <c r="Y172" i="62"/>
  <c r="X232" i="50"/>
  <c r="AM164" i="62"/>
  <c r="AL224" i="50"/>
  <c r="K164" i="62"/>
  <c r="J224" i="50"/>
  <c r="Q220" i="50"/>
  <c r="R160" i="62"/>
  <c r="I214" i="50"/>
  <c r="AU214" i="50" s="1"/>
  <c r="K166" i="62"/>
  <c r="J226" i="50"/>
  <c r="AF168" i="62"/>
  <c r="AE228" i="50"/>
  <c r="R169" i="62"/>
  <c r="Q229" i="50"/>
  <c r="Y159" i="62"/>
  <c r="X219" i="50"/>
  <c r="AM161" i="62"/>
  <c r="AL221" i="50"/>
  <c r="Y161" i="62"/>
  <c r="X221" i="50"/>
  <c r="Y174" i="62"/>
  <c r="X234" i="50"/>
  <c r="AM168" i="62"/>
  <c r="AL228" i="50"/>
  <c r="Y164" i="62"/>
  <c r="X224" i="50"/>
  <c r="Y160" i="62"/>
  <c r="X220" i="50"/>
  <c r="AF155" i="62"/>
  <c r="AE215" i="50"/>
  <c r="AM61" i="62"/>
  <c r="CD61" i="62" s="1"/>
  <c r="K162" i="62"/>
  <c r="J222" i="50"/>
  <c r="Y170" i="62"/>
  <c r="X230" i="50"/>
  <c r="R165" i="62"/>
  <c r="Q225" i="50"/>
  <c r="K158" i="62"/>
  <c r="BB158" i="62" s="1"/>
  <c r="J218" i="50"/>
  <c r="AV218" i="50" s="1"/>
  <c r="J154" i="62"/>
  <c r="BA154" i="62" s="1"/>
  <c r="W214" i="50"/>
  <c r="BI214" i="50" s="1"/>
  <c r="E53" i="85" s="1"/>
  <c r="AM170" i="62"/>
  <c r="AL230" i="50"/>
  <c r="AF175" i="62"/>
  <c r="AE235" i="50"/>
  <c r="R170" i="62"/>
  <c r="Q230" i="50"/>
  <c r="AK214" i="50"/>
  <c r="BW214" i="50" s="1"/>
  <c r="E95" i="85" s="1"/>
  <c r="AM160" i="62"/>
  <c r="AL220" i="50"/>
  <c r="R163" i="62"/>
  <c r="Q223" i="50"/>
  <c r="AD214" i="50"/>
  <c r="BP214" i="50" s="1"/>
  <c r="E71" i="85" s="1"/>
  <c r="R173" i="62"/>
  <c r="Q233" i="50"/>
  <c r="X217" i="50"/>
  <c r="Y157" i="62"/>
  <c r="AF171" i="62"/>
  <c r="AE231" i="50"/>
  <c r="AF169" i="62"/>
  <c r="AE229" i="50"/>
  <c r="AD62" i="50"/>
  <c r="BP62" i="50" s="1"/>
  <c r="AD64" i="50"/>
  <c r="BP64" i="50" s="1"/>
  <c r="AJ61" i="50"/>
  <c r="BV61" i="50" s="1"/>
  <c r="AC61" i="50"/>
  <c r="BO61" i="50" s="1"/>
  <c r="AC179" i="50"/>
  <c r="BO179" i="50" s="1"/>
  <c r="AC172" i="50"/>
  <c r="BO172" i="50" s="1"/>
  <c r="AD152" i="50"/>
  <c r="BP152" i="50" s="1"/>
  <c r="AD259" i="50"/>
  <c r="BP259" i="50" s="1"/>
  <c r="AE192" i="50"/>
  <c r="P192" i="50"/>
  <c r="I192" i="50"/>
  <c r="Q192" i="50"/>
  <c r="Q262" i="50"/>
  <c r="BC262" i="50" s="1"/>
  <c r="AF96" i="62"/>
  <c r="AE94" i="62"/>
  <c r="BV94" i="62" s="1"/>
  <c r="AM75" i="62"/>
  <c r="AL74" i="62"/>
  <c r="AF101" i="62"/>
  <c r="BW101" i="62" s="1"/>
  <c r="AE99" i="62"/>
  <c r="BV99" i="62" s="1"/>
  <c r="Y156" i="62"/>
  <c r="BP156" i="62" s="1"/>
  <c r="X154" i="62"/>
  <c r="BO154" i="62" s="1"/>
  <c r="X94" i="62"/>
  <c r="BO94" i="62" s="1"/>
  <c r="Y95" i="62"/>
  <c r="AM81" i="62"/>
  <c r="CD81" i="62" s="1"/>
  <c r="AL80" i="62"/>
  <c r="AF63" i="62"/>
  <c r="BW63" i="62" s="1"/>
  <c r="AE61" i="62"/>
  <c r="BV61" i="62" s="1"/>
  <c r="AF66" i="62"/>
  <c r="AE64" i="62"/>
  <c r="BV64" i="62" s="1"/>
  <c r="Q71" i="62"/>
  <c r="BH71" i="62" s="1"/>
  <c r="R72" i="62"/>
  <c r="Q83" i="62"/>
  <c r="R84" i="62"/>
  <c r="X99" i="62"/>
  <c r="BO99" i="62" s="1"/>
  <c r="Y100" i="62"/>
  <c r="R101" i="62"/>
  <c r="Q99" i="62"/>
  <c r="BH99" i="62" s="1"/>
  <c r="K81" i="62"/>
  <c r="J80" i="62"/>
  <c r="P67" i="62"/>
  <c r="Q74" i="62"/>
  <c r="BH74" i="62" s="1"/>
  <c r="R75" i="62"/>
  <c r="AU65" i="73"/>
  <c r="CE65" i="73" s="1"/>
  <c r="AU61" i="73"/>
  <c r="CE61" i="73" s="1"/>
  <c r="AU48" i="73"/>
  <c r="CE48" i="73" s="1"/>
  <c r="AU24" i="73"/>
  <c r="CE24" i="73" s="1"/>
  <c r="AU253" i="50" l="1"/>
  <c r="AK64" i="50"/>
  <c r="BW64" i="50" s="1"/>
  <c r="P278" i="50"/>
  <c r="BB278" i="50" s="1"/>
  <c r="W60" i="62"/>
  <c r="BN60" i="62" s="1"/>
  <c r="AK275" i="50"/>
  <c r="BW275" i="50" s="1"/>
  <c r="AK274" i="50"/>
  <c r="BW274" i="50" s="1"/>
  <c r="W265" i="50"/>
  <c r="BI265" i="50" s="1"/>
  <c r="J253" i="50"/>
  <c r="AV253" i="50" s="1"/>
  <c r="Q246" i="50"/>
  <c r="BP242" i="50"/>
  <c r="BP254" i="50"/>
  <c r="AE169" i="50"/>
  <c r="AD261" i="50"/>
  <c r="BP261" i="50" s="1"/>
  <c r="W264" i="50"/>
  <c r="BI264" i="50" s="1"/>
  <c r="W274" i="50"/>
  <c r="BI274" i="50" s="1"/>
  <c r="AD159" i="50"/>
  <c r="BP159" i="50" s="1"/>
  <c r="J256" i="50"/>
  <c r="AV256" i="50" s="1"/>
  <c r="BI174" i="62"/>
  <c r="BQ232" i="50"/>
  <c r="AD75" i="50"/>
  <c r="BP75" i="50" s="1"/>
  <c r="W261" i="50"/>
  <c r="BI261" i="50" s="1"/>
  <c r="AL279" i="50"/>
  <c r="BX279" i="50" s="1"/>
  <c r="I261" i="50"/>
  <c r="AU261" i="50" s="1"/>
  <c r="BB256" i="50"/>
  <c r="W269" i="50"/>
  <c r="BI269" i="50" s="1"/>
  <c r="J267" i="50"/>
  <c r="AV267" i="50" s="1"/>
  <c r="L132" i="85"/>
  <c r="E17" i="85"/>
  <c r="E113" i="85" s="1"/>
  <c r="D112" i="85"/>
  <c r="D119" i="85"/>
  <c r="D129" i="85" s="1"/>
  <c r="AD267" i="50"/>
  <c r="BP267" i="50" s="1"/>
  <c r="C114" i="85"/>
  <c r="AM99" i="62"/>
  <c r="CD99" i="62" s="1"/>
  <c r="BV77" i="50"/>
  <c r="BP175" i="62"/>
  <c r="AL39" i="67"/>
  <c r="I72" i="49"/>
  <c r="AL39" i="85" s="1"/>
  <c r="AD275" i="50"/>
  <c r="BP275" i="50" s="1"/>
  <c r="AD271" i="50"/>
  <c r="BP271" i="50" s="1"/>
  <c r="AL31" i="67"/>
  <c r="I58" i="49"/>
  <c r="AL31" i="85" s="1"/>
  <c r="AF74" i="62"/>
  <c r="BW74" i="62" s="1"/>
  <c r="L10" i="51"/>
  <c r="S10" i="51" s="1"/>
  <c r="Z10" i="51" s="1"/>
  <c r="AG10" i="51" s="1"/>
  <c r="AV10" i="51"/>
  <c r="BC10" i="51" s="1"/>
  <c r="BJ10" i="51" s="1"/>
  <c r="AE244" i="50"/>
  <c r="BQ244" i="50" s="1"/>
  <c r="AM11" i="50"/>
  <c r="BY11" i="50" s="1"/>
  <c r="BX11" i="50"/>
  <c r="X67" i="62"/>
  <c r="BO67" i="62" s="1"/>
  <c r="R238" i="50"/>
  <c r="BD238" i="50" s="1"/>
  <c r="Q260" i="50"/>
  <c r="BC260" i="50" s="1"/>
  <c r="AE270" i="50"/>
  <c r="BQ270" i="50" s="1"/>
  <c r="AF248" i="50"/>
  <c r="BR248" i="50" s="1"/>
  <c r="BP163" i="50"/>
  <c r="BX192" i="50"/>
  <c r="F94" i="85" s="1"/>
  <c r="F127" i="85" s="1"/>
  <c r="P264" i="50"/>
  <c r="BB264" i="50" s="1"/>
  <c r="AD265" i="50"/>
  <c r="BP265" i="50" s="1"/>
  <c r="AE163" i="50"/>
  <c r="BQ163" i="50" s="1"/>
  <c r="AK268" i="50"/>
  <c r="BW268" i="50" s="1"/>
  <c r="AE278" i="50"/>
  <c r="BQ278" i="50" s="1"/>
  <c r="AL159" i="50"/>
  <c r="BX159" i="50" s="1"/>
  <c r="AD263" i="50"/>
  <c r="BP263" i="50" s="1"/>
  <c r="AD279" i="50"/>
  <c r="BP279" i="50" s="1"/>
  <c r="K253" i="50"/>
  <c r="K275" i="50" s="1"/>
  <c r="AW275" i="50" s="1"/>
  <c r="BW162" i="62"/>
  <c r="AK272" i="50"/>
  <c r="BW272" i="50" s="1"/>
  <c r="P277" i="50"/>
  <c r="BB277" i="50" s="1"/>
  <c r="I268" i="50"/>
  <c r="AU268" i="50" s="1"/>
  <c r="AE242" i="50"/>
  <c r="BQ242" i="50" s="1"/>
  <c r="AD269" i="50"/>
  <c r="BP269" i="50" s="1"/>
  <c r="I272" i="50"/>
  <c r="AU272" i="50" s="1"/>
  <c r="P271" i="50"/>
  <c r="BB271" i="50" s="1"/>
  <c r="P270" i="50"/>
  <c r="BB270" i="50" s="1"/>
  <c r="K61" i="62"/>
  <c r="BB61" i="62" s="1"/>
  <c r="I259" i="50"/>
  <c r="AU259" i="50" s="1"/>
  <c r="I269" i="50"/>
  <c r="AU269" i="50" s="1"/>
  <c r="AL273" i="50"/>
  <c r="BX273" i="50" s="1"/>
  <c r="Y61" i="62"/>
  <c r="BP61" i="62" s="1"/>
  <c r="Y64" i="62"/>
  <c r="BP64" i="62" s="1"/>
  <c r="W266" i="50"/>
  <c r="BI266" i="50" s="1"/>
  <c r="AD272" i="50"/>
  <c r="BP272" i="50" s="1"/>
  <c r="I270" i="50"/>
  <c r="AU270" i="50" s="1"/>
  <c r="AE76" i="50"/>
  <c r="BQ76" i="50" s="1"/>
  <c r="P279" i="50"/>
  <c r="BB279" i="50" s="1"/>
  <c r="AL271" i="50"/>
  <c r="BX271" i="50" s="1"/>
  <c r="AD175" i="50"/>
  <c r="BP175" i="50" s="1"/>
  <c r="AK269" i="50"/>
  <c r="BW269" i="50" s="1"/>
  <c r="AM64" i="62"/>
  <c r="CD64" i="62" s="1"/>
  <c r="AD273" i="50"/>
  <c r="BP273" i="50" s="1"/>
  <c r="W263" i="50"/>
  <c r="BI263" i="50" s="1"/>
  <c r="W271" i="50"/>
  <c r="BI271" i="50" s="1"/>
  <c r="D119" i="67"/>
  <c r="D129" i="67" s="1"/>
  <c r="C114" i="67"/>
  <c r="BJ245" i="50"/>
  <c r="Y245" i="50"/>
  <c r="X267" i="50"/>
  <c r="BJ267" i="50" s="1"/>
  <c r="Y99" i="62"/>
  <c r="BP99" i="62" s="1"/>
  <c r="BP100" i="62"/>
  <c r="AF229" i="50"/>
  <c r="BR229" i="50" s="1"/>
  <c r="BW169" i="62"/>
  <c r="R230" i="50"/>
  <c r="BD230" i="50" s="1"/>
  <c r="BI170" i="62"/>
  <c r="J244" i="50"/>
  <c r="AV244" i="50" s="1"/>
  <c r="AV222" i="50"/>
  <c r="Y224" i="50"/>
  <c r="BK224" i="50" s="1"/>
  <c r="BP164" i="62"/>
  <c r="AM221" i="50"/>
  <c r="BY221" i="50" s="1"/>
  <c r="CD161" i="62"/>
  <c r="K226" i="50"/>
  <c r="AW226" i="50" s="1"/>
  <c r="BB166" i="62"/>
  <c r="AM224" i="50"/>
  <c r="BY224" i="50" s="1"/>
  <c r="CD164" i="62"/>
  <c r="R221" i="50"/>
  <c r="BD221" i="50" s="1"/>
  <c r="BI161" i="62"/>
  <c r="AL256" i="50"/>
  <c r="BX256" i="50" s="1"/>
  <c r="BX234" i="50"/>
  <c r="K228" i="50"/>
  <c r="AW228" i="50" s="1"/>
  <c r="BB168" i="62"/>
  <c r="AF225" i="50"/>
  <c r="BR225" i="50" s="1"/>
  <c r="BW165" i="62"/>
  <c r="AL255" i="50"/>
  <c r="BX233" i="50"/>
  <c r="AE166" i="50"/>
  <c r="BP166" i="50"/>
  <c r="AD186" i="50"/>
  <c r="BP186" i="50" s="1"/>
  <c r="Y80" i="62"/>
  <c r="BP80" i="62" s="1"/>
  <c r="BP81" i="62"/>
  <c r="AE68" i="50"/>
  <c r="BP68" i="50"/>
  <c r="CD108" i="62"/>
  <c r="AM59" i="50"/>
  <c r="BY59" i="50" s="1"/>
  <c r="BW89" i="62"/>
  <c r="AF146" i="50"/>
  <c r="BR146" i="50" s="1"/>
  <c r="CD103" i="62"/>
  <c r="AM49" i="50"/>
  <c r="BY49" i="50" s="1"/>
  <c r="D54" i="67"/>
  <c r="BH236" i="50"/>
  <c r="D54" i="85" s="1"/>
  <c r="BW241" i="50"/>
  <c r="AK263" i="50"/>
  <c r="BW263" i="50" s="1"/>
  <c r="AE253" i="50"/>
  <c r="BQ253" i="50" s="1"/>
  <c r="BQ231" i="50"/>
  <c r="X241" i="50"/>
  <c r="BJ241" i="50" s="1"/>
  <c r="BJ219" i="50"/>
  <c r="AE249" i="50"/>
  <c r="BQ249" i="50" s="1"/>
  <c r="BQ227" i="50"/>
  <c r="AM232" i="50"/>
  <c r="BY232" i="50" s="1"/>
  <c r="CD172" i="62"/>
  <c r="I236" i="50"/>
  <c r="AU240" i="50"/>
  <c r="AM234" i="50"/>
  <c r="BY234" i="50" s="1"/>
  <c r="CD174" i="62"/>
  <c r="X248" i="50"/>
  <c r="BJ248" i="50" s="1"/>
  <c r="BJ226" i="50"/>
  <c r="Q241" i="50"/>
  <c r="BC241" i="50" s="1"/>
  <c r="BC219" i="50"/>
  <c r="AM222" i="50"/>
  <c r="BY222" i="50" s="1"/>
  <c r="CD162" i="62"/>
  <c r="AF256" i="50"/>
  <c r="Y215" i="50"/>
  <c r="BK215" i="50" s="1"/>
  <c r="BP155" i="62"/>
  <c r="C55" i="67"/>
  <c r="BG258" i="50"/>
  <c r="C55" i="85" s="1"/>
  <c r="K211" i="50"/>
  <c r="AV211" i="50"/>
  <c r="Y229" i="50"/>
  <c r="BK229" i="50" s="1"/>
  <c r="BP169" i="62"/>
  <c r="AL239" i="50"/>
  <c r="AM239" i="50" s="1"/>
  <c r="BX217" i="50"/>
  <c r="K202" i="50"/>
  <c r="AW202" i="50" s="1"/>
  <c r="AV202" i="50"/>
  <c r="BW105" i="62"/>
  <c r="AF55" i="50"/>
  <c r="BR55" i="50" s="1"/>
  <c r="CD104" i="62"/>
  <c r="AM53" i="50"/>
  <c r="BY53" i="50" s="1"/>
  <c r="BW82" i="62"/>
  <c r="AF140" i="50"/>
  <c r="BR140" i="50" s="1"/>
  <c r="AF80" i="62"/>
  <c r="BW86" i="62"/>
  <c r="AF143" i="50"/>
  <c r="BR143" i="50" s="1"/>
  <c r="AE74" i="50"/>
  <c r="AF231" i="50"/>
  <c r="BR231" i="50" s="1"/>
  <c r="BW171" i="62"/>
  <c r="R223" i="50"/>
  <c r="BD223" i="50" s="1"/>
  <c r="BI163" i="62"/>
  <c r="AM228" i="50"/>
  <c r="BY228" i="50" s="1"/>
  <c r="CD168" i="62"/>
  <c r="Y232" i="50"/>
  <c r="BK232" i="50" s="1"/>
  <c r="BP172" i="62"/>
  <c r="AF227" i="50"/>
  <c r="BR227" i="50" s="1"/>
  <c r="BW167" i="62"/>
  <c r="R232" i="50"/>
  <c r="BD232" i="50" s="1"/>
  <c r="BI172" i="62"/>
  <c r="X240" i="50"/>
  <c r="BJ240" i="50" s="1"/>
  <c r="BJ218" i="50"/>
  <c r="W272" i="50"/>
  <c r="BI272" i="50" s="1"/>
  <c r="AM223" i="50"/>
  <c r="BY223" i="50" s="1"/>
  <c r="CD163" i="62"/>
  <c r="W260" i="50"/>
  <c r="BI260" i="50" s="1"/>
  <c r="BI238" i="50"/>
  <c r="BI257" i="50"/>
  <c r="W279" i="50"/>
  <c r="BI279" i="50" s="1"/>
  <c r="K199" i="50"/>
  <c r="AW199" i="50" s="1"/>
  <c r="AV199" i="50"/>
  <c r="Q253" i="50"/>
  <c r="Q275" i="50" s="1"/>
  <c r="BC275" i="50" s="1"/>
  <c r="BB253" i="50"/>
  <c r="AL169" i="50"/>
  <c r="BW169" i="50"/>
  <c r="AF220" i="50"/>
  <c r="BR220" i="50" s="1"/>
  <c r="BW160" i="62"/>
  <c r="W268" i="50"/>
  <c r="BI268" i="50" s="1"/>
  <c r="BI246" i="50"/>
  <c r="Q79" i="62"/>
  <c r="BH79" i="62" s="1"/>
  <c r="BH83" i="62"/>
  <c r="F70" i="67"/>
  <c r="F125" i="67" s="1"/>
  <c r="BQ192" i="50"/>
  <c r="F70" i="85" s="1"/>
  <c r="F125" i="85" s="1"/>
  <c r="P275" i="50"/>
  <c r="BB275" i="50" s="1"/>
  <c r="Y217" i="50"/>
  <c r="BK217" i="50" s="1"/>
  <c r="BP157" i="62"/>
  <c r="P272" i="50"/>
  <c r="BB272" i="50" s="1"/>
  <c r="Q251" i="50"/>
  <c r="BC229" i="50"/>
  <c r="R220" i="50"/>
  <c r="BD220" i="50" s="1"/>
  <c r="BI160" i="62"/>
  <c r="Q254" i="50"/>
  <c r="BC254" i="50" s="1"/>
  <c r="BC232" i="50"/>
  <c r="D96" i="67"/>
  <c r="BV236" i="50"/>
  <c r="D96" i="85" s="1"/>
  <c r="Y227" i="50"/>
  <c r="BK227" i="50" s="1"/>
  <c r="BP167" i="62"/>
  <c r="X250" i="50"/>
  <c r="BJ250" i="50" s="1"/>
  <c r="BJ228" i="50"/>
  <c r="AM215" i="50"/>
  <c r="BY215" i="50" s="1"/>
  <c r="CD155" i="62"/>
  <c r="I276" i="50"/>
  <c r="AU276" i="50" s="1"/>
  <c r="Q248" i="50"/>
  <c r="BC248" i="50" s="1"/>
  <c r="BC226" i="50"/>
  <c r="K245" i="50"/>
  <c r="AV245" i="50"/>
  <c r="K201" i="50"/>
  <c r="AW201" i="50" s="1"/>
  <c r="AV201" i="50"/>
  <c r="BW91" i="62"/>
  <c r="AF148" i="50"/>
  <c r="BR148" i="50" s="1"/>
  <c r="BW103" i="62"/>
  <c r="AF49" i="50"/>
  <c r="BR49" i="50" s="1"/>
  <c r="P266" i="50"/>
  <c r="BB266" i="50" s="1"/>
  <c r="BB244" i="50"/>
  <c r="BW152" i="50"/>
  <c r="AL152" i="50"/>
  <c r="AL79" i="62"/>
  <c r="CC79" i="62" s="1"/>
  <c r="CC80" i="62"/>
  <c r="AL242" i="50"/>
  <c r="BX242" i="50" s="1"/>
  <c r="BX220" i="50"/>
  <c r="Q242" i="50"/>
  <c r="BC242" i="50" s="1"/>
  <c r="BC220" i="50"/>
  <c r="Y233" i="50"/>
  <c r="BK233" i="50" s="1"/>
  <c r="BP173" i="62"/>
  <c r="AK60" i="62"/>
  <c r="CB60" i="62" s="1"/>
  <c r="AE245" i="50"/>
  <c r="BQ245" i="50" s="1"/>
  <c r="BQ223" i="50"/>
  <c r="Y228" i="50"/>
  <c r="BK228" i="50" s="1"/>
  <c r="BP168" i="62"/>
  <c r="AM225" i="50"/>
  <c r="BY225" i="50" s="1"/>
  <c r="CD165" i="62"/>
  <c r="R226" i="50"/>
  <c r="BD226" i="50" s="1"/>
  <c r="BI166" i="62"/>
  <c r="AF218" i="50"/>
  <c r="BR218" i="50" s="1"/>
  <c r="BW158" i="62"/>
  <c r="C37" i="67"/>
  <c r="AZ258" i="50"/>
  <c r="C37" i="85" s="1"/>
  <c r="J255" i="50"/>
  <c r="J277" i="50" s="1"/>
  <c r="AV277" i="50" s="1"/>
  <c r="AU255" i="50"/>
  <c r="I277" i="50"/>
  <c r="AU277" i="50" s="1"/>
  <c r="AL241" i="50"/>
  <c r="BW106" i="62"/>
  <c r="AF56" i="50"/>
  <c r="BR56" i="50" s="1"/>
  <c r="F34" i="67"/>
  <c r="F121" i="67" s="1"/>
  <c r="BC192" i="50"/>
  <c r="F34" i="85" s="1"/>
  <c r="F121" i="85" s="1"/>
  <c r="AL254" i="50"/>
  <c r="BX254" i="50" s="1"/>
  <c r="BX232" i="50"/>
  <c r="H258" i="50"/>
  <c r="AT262" i="50"/>
  <c r="R227" i="50"/>
  <c r="BD227" i="50" s="1"/>
  <c r="BI167" i="62"/>
  <c r="AF233" i="50"/>
  <c r="BR233" i="50" s="1"/>
  <c r="BW173" i="62"/>
  <c r="K194" i="50"/>
  <c r="AV194" i="50"/>
  <c r="AL168" i="50"/>
  <c r="BW168" i="50"/>
  <c r="AK277" i="50"/>
  <c r="BW277" i="50" s="1"/>
  <c r="BW255" i="50"/>
  <c r="AL250" i="50"/>
  <c r="BX250" i="50" s="1"/>
  <c r="BX228" i="50"/>
  <c r="Q250" i="50"/>
  <c r="BC250" i="50" s="1"/>
  <c r="BC228" i="50"/>
  <c r="AL245" i="50"/>
  <c r="BX223" i="50"/>
  <c r="BB169" i="62"/>
  <c r="K229" i="50"/>
  <c r="AW229" i="50" s="1"/>
  <c r="CD84" i="62"/>
  <c r="AM83" i="62"/>
  <c r="CD83" i="62" s="1"/>
  <c r="X249" i="50"/>
  <c r="BJ249" i="50" s="1"/>
  <c r="BJ227" i="50"/>
  <c r="R228" i="50"/>
  <c r="BD228" i="50" s="1"/>
  <c r="BI168" i="62"/>
  <c r="Y226" i="50"/>
  <c r="BK226" i="50" s="1"/>
  <c r="BP166" i="62"/>
  <c r="R219" i="50"/>
  <c r="BD219" i="50" s="1"/>
  <c r="BI159" i="62"/>
  <c r="Q278" i="50"/>
  <c r="BC278" i="50" s="1"/>
  <c r="K212" i="50"/>
  <c r="AW212" i="50" s="1"/>
  <c r="AV212" i="50"/>
  <c r="X256" i="50"/>
  <c r="BJ234" i="50"/>
  <c r="CD98" i="62"/>
  <c r="AM48" i="50"/>
  <c r="BY48" i="50" s="1"/>
  <c r="AE73" i="50"/>
  <c r="BP73" i="50"/>
  <c r="BW92" i="62"/>
  <c r="AF43" i="50"/>
  <c r="BR43" i="50" s="1"/>
  <c r="X79" i="62"/>
  <c r="BO79" i="62" s="1"/>
  <c r="BO83" i="62"/>
  <c r="CD68" i="62"/>
  <c r="AM39" i="50"/>
  <c r="BY39" i="50" s="1"/>
  <c r="J79" i="62"/>
  <c r="BA79" i="62" s="1"/>
  <c r="BA80" i="62"/>
  <c r="AL67" i="62"/>
  <c r="CC67" i="62" s="1"/>
  <c r="CC74" i="62"/>
  <c r="AE257" i="50"/>
  <c r="BQ257" i="50" s="1"/>
  <c r="BQ235" i="50"/>
  <c r="AF215" i="50"/>
  <c r="BR215" i="50" s="1"/>
  <c r="BW155" i="62"/>
  <c r="R229" i="50"/>
  <c r="BD229" i="50" s="1"/>
  <c r="BI169" i="62"/>
  <c r="AF244" i="50"/>
  <c r="K208" i="50"/>
  <c r="AW208" i="50" s="1"/>
  <c r="AV208" i="50"/>
  <c r="BW102" i="62"/>
  <c r="AF52" i="50"/>
  <c r="BR52" i="50" s="1"/>
  <c r="CD73" i="62"/>
  <c r="AM135" i="50"/>
  <c r="BY135" i="50" s="1"/>
  <c r="K225" i="50"/>
  <c r="AW225" i="50" s="1"/>
  <c r="BB165" i="62"/>
  <c r="Y83" i="62"/>
  <c r="AM74" i="62"/>
  <c r="CD75" i="62"/>
  <c r="E34" i="67"/>
  <c r="E121" i="67" s="1"/>
  <c r="BB192" i="50"/>
  <c r="E34" i="85" s="1"/>
  <c r="E121" i="85" s="1"/>
  <c r="AE276" i="50"/>
  <c r="BQ276" i="50" s="1"/>
  <c r="AF235" i="50"/>
  <c r="BR235" i="50" s="1"/>
  <c r="BW175" i="62"/>
  <c r="R225" i="50"/>
  <c r="BD225" i="50" s="1"/>
  <c r="BI165" i="62"/>
  <c r="AE250" i="50"/>
  <c r="BQ250" i="50" s="1"/>
  <c r="BQ228" i="50"/>
  <c r="AL240" i="50"/>
  <c r="BX240" i="50" s="1"/>
  <c r="BX218" i="50"/>
  <c r="J241" i="50"/>
  <c r="AU241" i="50"/>
  <c r="AD260" i="50"/>
  <c r="BP260" i="50" s="1"/>
  <c r="BP238" i="50"/>
  <c r="AE238" i="50"/>
  <c r="R94" i="62"/>
  <c r="BI94" i="62" s="1"/>
  <c r="BI95" i="62"/>
  <c r="J252" i="50"/>
  <c r="J274" i="50" s="1"/>
  <c r="AV274" i="50" s="1"/>
  <c r="AU252" i="50"/>
  <c r="AE77" i="50"/>
  <c r="Y94" i="62"/>
  <c r="BP94" i="62" s="1"/>
  <c r="BP95" i="62"/>
  <c r="J247" i="50"/>
  <c r="AV247" i="50" s="1"/>
  <c r="W276" i="50"/>
  <c r="BI276" i="50" s="1"/>
  <c r="W259" i="50"/>
  <c r="BI259" i="50" s="1"/>
  <c r="AE155" i="50"/>
  <c r="BQ155" i="50" s="1"/>
  <c r="AK276" i="50"/>
  <c r="BW276" i="50" s="1"/>
  <c r="R233" i="50"/>
  <c r="BD233" i="50" s="1"/>
  <c r="BI173" i="62"/>
  <c r="AL252" i="50"/>
  <c r="BX252" i="50" s="1"/>
  <c r="BX230" i="50"/>
  <c r="X252" i="50"/>
  <c r="BJ230" i="50"/>
  <c r="Y220" i="50"/>
  <c r="BK220" i="50" s="1"/>
  <c r="BP160" i="62"/>
  <c r="Y221" i="50"/>
  <c r="BK221" i="50" s="1"/>
  <c r="BP161" i="62"/>
  <c r="AF228" i="50"/>
  <c r="BR228" i="50" s="1"/>
  <c r="BW168" i="62"/>
  <c r="K224" i="50"/>
  <c r="AW224" i="50" s="1"/>
  <c r="BB164" i="62"/>
  <c r="Y222" i="50"/>
  <c r="BK222" i="50" s="1"/>
  <c r="BP162" i="62"/>
  <c r="AD60" i="62"/>
  <c r="BU60" i="62" s="1"/>
  <c r="X247" i="50"/>
  <c r="BJ247" i="50" s="1"/>
  <c r="BJ225" i="50"/>
  <c r="AL238" i="50"/>
  <c r="BX238" i="50" s="1"/>
  <c r="BX216" i="50"/>
  <c r="J254" i="50"/>
  <c r="AV254" i="50" s="1"/>
  <c r="AV232" i="50"/>
  <c r="X238" i="50"/>
  <c r="R217" i="50"/>
  <c r="BD217" i="50" s="1"/>
  <c r="BI157" i="62"/>
  <c r="AM218" i="50"/>
  <c r="BY218" i="50" s="1"/>
  <c r="CD158" i="62"/>
  <c r="AF217" i="50"/>
  <c r="BR217" i="50" s="1"/>
  <c r="BW157" i="62"/>
  <c r="AE243" i="50"/>
  <c r="BQ243" i="50" s="1"/>
  <c r="BQ221" i="50"/>
  <c r="D36" i="67"/>
  <c r="BA236" i="50"/>
  <c r="D36" i="85" s="1"/>
  <c r="AK262" i="50"/>
  <c r="BW262" i="50" s="1"/>
  <c r="P269" i="50"/>
  <c r="BB269" i="50" s="1"/>
  <c r="AM257" i="50"/>
  <c r="W270" i="50"/>
  <c r="BI270" i="50" s="1"/>
  <c r="W262" i="50"/>
  <c r="BI262" i="50" s="1"/>
  <c r="J239" i="50"/>
  <c r="AV239" i="50" s="1"/>
  <c r="AV217" i="50"/>
  <c r="Q244" i="50"/>
  <c r="BC244" i="50" s="1"/>
  <c r="BC222" i="50"/>
  <c r="J237" i="50"/>
  <c r="AV237" i="50" s="1"/>
  <c r="AV215" i="50"/>
  <c r="V258" i="50"/>
  <c r="BW239" i="50"/>
  <c r="AK261" i="50"/>
  <c r="BW261" i="50" s="1"/>
  <c r="C97" i="67"/>
  <c r="BU258" i="50"/>
  <c r="C97" i="85" s="1"/>
  <c r="BW108" i="62"/>
  <c r="AF59" i="50"/>
  <c r="BR59" i="50" s="1"/>
  <c r="K74" i="62"/>
  <c r="BB74" i="62" s="1"/>
  <c r="BB75" i="62"/>
  <c r="CD101" i="62"/>
  <c r="AM51" i="50"/>
  <c r="BY51" i="50" s="1"/>
  <c r="CD93" i="62"/>
  <c r="AM149" i="50"/>
  <c r="BY149" i="50" s="1"/>
  <c r="BB161" i="62"/>
  <c r="K221" i="50"/>
  <c r="AW221" i="50" s="1"/>
  <c r="BI171" i="62"/>
  <c r="R231" i="50"/>
  <c r="BD231" i="50" s="1"/>
  <c r="J249" i="50"/>
  <c r="AU249" i="50"/>
  <c r="J251" i="50"/>
  <c r="AU251" i="50"/>
  <c r="BB174" i="62"/>
  <c r="K234" i="50"/>
  <c r="AW234" i="50" s="1"/>
  <c r="AL155" i="50"/>
  <c r="BW155" i="50"/>
  <c r="BW68" i="62"/>
  <c r="AF39" i="50"/>
  <c r="BR39" i="50" s="1"/>
  <c r="K94" i="62"/>
  <c r="BB94" i="62" s="1"/>
  <c r="AF36" i="50"/>
  <c r="BR36" i="50" s="1"/>
  <c r="BW62" i="62"/>
  <c r="Y71" i="62"/>
  <c r="BV80" i="62"/>
  <c r="AE79" i="62"/>
  <c r="BV79" i="62" s="1"/>
  <c r="R61" i="62"/>
  <c r="BI61" i="62" s="1"/>
  <c r="K203" i="50"/>
  <c r="AW203" i="50" s="1"/>
  <c r="AV203" i="50"/>
  <c r="CD91" i="62"/>
  <c r="AM148" i="50"/>
  <c r="BY148" i="50" s="1"/>
  <c r="BI253" i="50"/>
  <c r="W275" i="50"/>
  <c r="BI275" i="50" s="1"/>
  <c r="CD106" i="62"/>
  <c r="AM56" i="50"/>
  <c r="BY56" i="50" s="1"/>
  <c r="BW93" i="62"/>
  <c r="AF149" i="50"/>
  <c r="BR149" i="50" s="1"/>
  <c r="X253" i="50"/>
  <c r="R80" i="62"/>
  <c r="BI80" i="62" s="1"/>
  <c r="AL244" i="50"/>
  <c r="BX244" i="50" s="1"/>
  <c r="BX222" i="50"/>
  <c r="J257" i="50"/>
  <c r="AV257" i="50" s="1"/>
  <c r="AV235" i="50"/>
  <c r="AM231" i="50"/>
  <c r="BY231" i="50" s="1"/>
  <c r="CD171" i="62"/>
  <c r="BI245" i="50"/>
  <c r="W267" i="50"/>
  <c r="BI267" i="50" s="1"/>
  <c r="AD274" i="50"/>
  <c r="BP274" i="50" s="1"/>
  <c r="BP252" i="50"/>
  <c r="CD89" i="62"/>
  <c r="AM146" i="50"/>
  <c r="BY146" i="50" s="1"/>
  <c r="I279" i="50"/>
  <c r="AU279" i="50" s="1"/>
  <c r="AU257" i="50"/>
  <c r="K83" i="62"/>
  <c r="BB83" i="62" s="1"/>
  <c r="BB84" i="62"/>
  <c r="BB167" i="62"/>
  <c r="K227" i="50"/>
  <c r="AW227" i="50" s="1"/>
  <c r="BI251" i="50"/>
  <c r="X251" i="50"/>
  <c r="W273" i="50"/>
  <c r="BI273" i="50" s="1"/>
  <c r="R74" i="62"/>
  <c r="BI74" i="62" s="1"/>
  <c r="BI75" i="62"/>
  <c r="Q245" i="50"/>
  <c r="BC245" i="50" s="1"/>
  <c r="BC223" i="50"/>
  <c r="K222" i="50"/>
  <c r="AW222" i="50" s="1"/>
  <c r="BB162" i="62"/>
  <c r="X254" i="50"/>
  <c r="BJ254" i="50" s="1"/>
  <c r="BJ232" i="50"/>
  <c r="BR216" i="50"/>
  <c r="Q257" i="50"/>
  <c r="BC257" i="50" s="1"/>
  <c r="BC235" i="50"/>
  <c r="AE252" i="50"/>
  <c r="BQ252" i="50" s="1"/>
  <c r="BQ230" i="50"/>
  <c r="AF37" i="50"/>
  <c r="BR37" i="50" s="1"/>
  <c r="BW65" i="62"/>
  <c r="CD102" i="62"/>
  <c r="AM52" i="50"/>
  <c r="BY52" i="50" s="1"/>
  <c r="AE168" i="50"/>
  <c r="BP168" i="50"/>
  <c r="AD188" i="50"/>
  <c r="BP188" i="50" s="1"/>
  <c r="CD105" i="62"/>
  <c r="AM55" i="50"/>
  <c r="BY55" i="50" s="1"/>
  <c r="C73" i="67"/>
  <c r="BN258" i="50"/>
  <c r="C73" i="85" s="1"/>
  <c r="R83" i="62"/>
  <c r="BI84" i="62"/>
  <c r="Y219" i="50"/>
  <c r="BK219" i="50" s="1"/>
  <c r="BP159" i="62"/>
  <c r="BY217" i="50"/>
  <c r="R235" i="50"/>
  <c r="BD235" i="50" s="1"/>
  <c r="BI175" i="62"/>
  <c r="X237" i="50"/>
  <c r="BJ237" i="50" s="1"/>
  <c r="BJ215" i="50"/>
  <c r="AF230" i="50"/>
  <c r="BR230" i="50" s="1"/>
  <c r="BW170" i="62"/>
  <c r="AD262" i="50"/>
  <c r="BP262" i="50" s="1"/>
  <c r="BP240" i="50"/>
  <c r="BB160" i="62"/>
  <c r="K220" i="50"/>
  <c r="AW220" i="50" s="1"/>
  <c r="BW104" i="62"/>
  <c r="AF53" i="50"/>
  <c r="BR53" i="50" s="1"/>
  <c r="J242" i="50"/>
  <c r="J264" i="50" s="1"/>
  <c r="AV264" i="50" s="1"/>
  <c r="AU242" i="50"/>
  <c r="AE84" i="50"/>
  <c r="BP84" i="50"/>
  <c r="D72" i="67"/>
  <c r="BO236" i="50"/>
  <c r="D72" i="85" s="1"/>
  <c r="K207" i="50"/>
  <c r="AV207" i="50"/>
  <c r="Y74" i="62"/>
  <c r="BP74" i="62" s="1"/>
  <c r="P60" i="62"/>
  <c r="BG60" i="62" s="1"/>
  <c r="BG67" i="62"/>
  <c r="E16" i="67"/>
  <c r="E119" i="67" s="1"/>
  <c r="AU192" i="50"/>
  <c r="E16" i="85" s="1"/>
  <c r="AE237" i="50"/>
  <c r="BQ237" i="50" s="1"/>
  <c r="BQ215" i="50"/>
  <c r="X255" i="50"/>
  <c r="BJ255" i="50" s="1"/>
  <c r="BJ233" i="50"/>
  <c r="AL247" i="50"/>
  <c r="BX247" i="50" s="1"/>
  <c r="BX225" i="50"/>
  <c r="Y218" i="50"/>
  <c r="BK218" i="50" s="1"/>
  <c r="BP158" i="62"/>
  <c r="R256" i="50"/>
  <c r="P261" i="50"/>
  <c r="BB261" i="50" s="1"/>
  <c r="I266" i="50"/>
  <c r="AU266" i="50" s="1"/>
  <c r="AE240" i="50"/>
  <c r="AF240" i="50" s="1"/>
  <c r="BQ218" i="50"/>
  <c r="AM94" i="62"/>
  <c r="CD94" i="62" s="1"/>
  <c r="W278" i="50"/>
  <c r="BI278" i="50" s="1"/>
  <c r="BI256" i="50"/>
  <c r="AL160" i="50"/>
  <c r="BB173" i="62"/>
  <c r="K233" i="50"/>
  <c r="AW233" i="50" s="1"/>
  <c r="R71" i="62"/>
  <c r="BI71" i="62" s="1"/>
  <c r="BI72" i="62"/>
  <c r="X239" i="50"/>
  <c r="BJ239" i="50" s="1"/>
  <c r="BJ217" i="50"/>
  <c r="Q247" i="50"/>
  <c r="BC247" i="50" s="1"/>
  <c r="BC225" i="50"/>
  <c r="Y234" i="50"/>
  <c r="BK234" i="50" s="1"/>
  <c r="BP174" i="62"/>
  <c r="AE241" i="50"/>
  <c r="BQ241" i="50" s="1"/>
  <c r="BQ219" i="50"/>
  <c r="AJ258" i="50"/>
  <c r="BV259" i="50"/>
  <c r="AL248" i="50"/>
  <c r="BX248" i="50" s="1"/>
  <c r="BX226" i="50"/>
  <c r="P267" i="50"/>
  <c r="BB267" i="50" s="1"/>
  <c r="AD277" i="50"/>
  <c r="BP277" i="50" s="1"/>
  <c r="P263" i="50"/>
  <c r="BB263" i="50" s="1"/>
  <c r="R246" i="50"/>
  <c r="AK270" i="50"/>
  <c r="BW270" i="50" s="1"/>
  <c r="R240" i="50"/>
  <c r="AM251" i="50"/>
  <c r="BB156" i="62"/>
  <c r="K216" i="50"/>
  <c r="AW216" i="50" s="1"/>
  <c r="AL166" i="50"/>
  <c r="BW166" i="50"/>
  <c r="K71" i="62"/>
  <c r="BB71" i="62" s="1"/>
  <c r="BB72" i="62"/>
  <c r="AE160" i="50"/>
  <c r="BP160" i="50"/>
  <c r="AD180" i="50"/>
  <c r="BP180" i="50" s="1"/>
  <c r="CD82" i="62"/>
  <c r="AM140" i="50"/>
  <c r="BY140" i="50" s="1"/>
  <c r="AE80" i="50"/>
  <c r="BP80" i="50"/>
  <c r="AF83" i="62"/>
  <c r="BW83" i="62" s="1"/>
  <c r="BW84" i="62"/>
  <c r="AE78" i="50"/>
  <c r="BP78" i="50"/>
  <c r="P276" i="50"/>
  <c r="BB276" i="50" s="1"/>
  <c r="BB254" i="50"/>
  <c r="K80" i="62"/>
  <c r="BB81" i="62"/>
  <c r="Q255" i="50"/>
  <c r="BC255" i="50" s="1"/>
  <c r="BC233" i="50"/>
  <c r="AM220" i="50"/>
  <c r="BY220" i="50" s="1"/>
  <c r="CD160" i="62"/>
  <c r="X242" i="50"/>
  <c r="BJ242" i="50" s="1"/>
  <c r="BJ220" i="50"/>
  <c r="X243" i="50"/>
  <c r="BJ243" i="50" s="1"/>
  <c r="BJ221" i="50"/>
  <c r="J246" i="50"/>
  <c r="AV246" i="50" s="1"/>
  <c r="AV224" i="50"/>
  <c r="X244" i="50"/>
  <c r="BJ244" i="50" s="1"/>
  <c r="BJ222" i="50"/>
  <c r="AF219" i="50"/>
  <c r="BR219" i="50" s="1"/>
  <c r="BW159" i="62"/>
  <c r="AF223" i="50"/>
  <c r="BR223" i="50" s="1"/>
  <c r="BW163" i="62"/>
  <c r="Q239" i="50"/>
  <c r="BC239" i="50" s="1"/>
  <c r="BC217" i="50"/>
  <c r="AE239" i="50"/>
  <c r="BQ217" i="50"/>
  <c r="AM226" i="50"/>
  <c r="BY226" i="50" s="1"/>
  <c r="CD166" i="62"/>
  <c r="O258" i="50"/>
  <c r="BA259" i="50"/>
  <c r="AK260" i="50"/>
  <c r="BW260" i="50" s="1"/>
  <c r="P274" i="50"/>
  <c r="BB274" i="50" s="1"/>
  <c r="AK264" i="50"/>
  <c r="BW264" i="50" s="1"/>
  <c r="W277" i="50"/>
  <c r="BI277" i="50" s="1"/>
  <c r="AK265" i="50"/>
  <c r="BW265" i="50" s="1"/>
  <c r="K217" i="50"/>
  <c r="AW217" i="50" s="1"/>
  <c r="BB157" i="62"/>
  <c r="R222" i="50"/>
  <c r="BD222" i="50" s="1"/>
  <c r="BI162" i="62"/>
  <c r="K215" i="50"/>
  <c r="AW215" i="50" s="1"/>
  <c r="BB155" i="62"/>
  <c r="AC258" i="50"/>
  <c r="AM249" i="50"/>
  <c r="AF246" i="50"/>
  <c r="BQ246" i="50"/>
  <c r="AM71" i="62"/>
  <c r="CD71" i="62" s="1"/>
  <c r="J243" i="50"/>
  <c r="J265" i="50" s="1"/>
  <c r="AV265" i="50" s="1"/>
  <c r="AU243" i="50"/>
  <c r="AF50" i="50"/>
  <c r="BR50" i="50" s="1"/>
  <c r="BW100" i="62"/>
  <c r="BB170" i="62"/>
  <c r="K230" i="50"/>
  <c r="AW230" i="50" s="1"/>
  <c r="CD92" i="62"/>
  <c r="AM43" i="50"/>
  <c r="BY43" i="50" s="1"/>
  <c r="AK267" i="50"/>
  <c r="BW267" i="50" s="1"/>
  <c r="BW245" i="50"/>
  <c r="CD86" i="62"/>
  <c r="AM143" i="50"/>
  <c r="BY143" i="50" s="1"/>
  <c r="X257" i="50"/>
  <c r="CD63" i="62"/>
  <c r="AM132" i="50"/>
  <c r="BY132" i="50" s="1"/>
  <c r="R99" i="62"/>
  <c r="BI99" i="62" s="1"/>
  <c r="BI101" i="62"/>
  <c r="AF64" i="62"/>
  <c r="BW64" i="62" s="1"/>
  <c r="BW66" i="62"/>
  <c r="AF94" i="62"/>
  <c r="BW94" i="62" s="1"/>
  <c r="BW96" i="62"/>
  <c r="I278" i="50"/>
  <c r="AU278" i="50" s="1"/>
  <c r="W236" i="50"/>
  <c r="AD236" i="50"/>
  <c r="AE251" i="50"/>
  <c r="BQ251" i="50" s="1"/>
  <c r="BQ229" i="50"/>
  <c r="Q252" i="50"/>
  <c r="BC252" i="50" s="1"/>
  <c r="BC230" i="50"/>
  <c r="AM230" i="50"/>
  <c r="BY230" i="50" s="1"/>
  <c r="CD170" i="62"/>
  <c r="Y230" i="50"/>
  <c r="BK230" i="50" s="1"/>
  <c r="BP170" i="62"/>
  <c r="X246" i="50"/>
  <c r="BJ224" i="50"/>
  <c r="AL243" i="50"/>
  <c r="BX243" i="50" s="1"/>
  <c r="BX221" i="50"/>
  <c r="J248" i="50"/>
  <c r="AV248" i="50" s="1"/>
  <c r="AV226" i="50"/>
  <c r="AL246" i="50"/>
  <c r="BX224" i="50"/>
  <c r="Q243" i="50"/>
  <c r="BC243" i="50" s="1"/>
  <c r="BC221" i="50"/>
  <c r="Y225" i="50"/>
  <c r="BK225" i="50" s="1"/>
  <c r="BP165" i="62"/>
  <c r="AM216" i="50"/>
  <c r="BY216" i="50" s="1"/>
  <c r="CD156" i="62"/>
  <c r="K232" i="50"/>
  <c r="AW232" i="50" s="1"/>
  <c r="BB172" i="62"/>
  <c r="J250" i="50"/>
  <c r="AV250" i="50" s="1"/>
  <c r="AV228" i="50"/>
  <c r="Q249" i="50"/>
  <c r="BC249" i="50" s="1"/>
  <c r="BC227" i="50"/>
  <c r="AE255" i="50"/>
  <c r="BQ255" i="50" s="1"/>
  <c r="BQ233" i="50"/>
  <c r="AE247" i="50"/>
  <c r="BQ225" i="50"/>
  <c r="AF221" i="50"/>
  <c r="BR221" i="50" s="1"/>
  <c r="BW161" i="62"/>
  <c r="AK278" i="50"/>
  <c r="BW278" i="50" s="1"/>
  <c r="AK266" i="50"/>
  <c r="BW266" i="50" s="1"/>
  <c r="P265" i="50"/>
  <c r="BB265" i="50" s="1"/>
  <c r="P273" i="50"/>
  <c r="BB273" i="50" s="1"/>
  <c r="K235" i="50"/>
  <c r="AW235" i="50" s="1"/>
  <c r="BB175" i="62"/>
  <c r="AL253" i="50"/>
  <c r="BX253" i="50" s="1"/>
  <c r="BX231" i="50"/>
  <c r="AM233" i="50"/>
  <c r="BY233" i="50" s="1"/>
  <c r="CD173" i="62"/>
  <c r="AF254" i="50"/>
  <c r="K205" i="50"/>
  <c r="AV205" i="50"/>
  <c r="BW73" i="62"/>
  <c r="AF135" i="50"/>
  <c r="BR135" i="50" s="1"/>
  <c r="BB159" i="62"/>
  <c r="K219" i="50"/>
  <c r="AW219" i="50" s="1"/>
  <c r="J238" i="50"/>
  <c r="AU238" i="50"/>
  <c r="I260" i="50"/>
  <c r="AU260" i="50" s="1"/>
  <c r="BW98" i="62"/>
  <c r="AF48" i="50"/>
  <c r="BR48" i="50" s="1"/>
  <c r="R64" i="62"/>
  <c r="BI64" i="62" s="1"/>
  <c r="BI65" i="62"/>
  <c r="AL163" i="50"/>
  <c r="BW163" i="50"/>
  <c r="BR82" i="50"/>
  <c r="G57" i="49"/>
  <c r="M57" i="49" s="1"/>
  <c r="D18" i="67"/>
  <c r="AT236" i="50"/>
  <c r="D18" i="85" s="1"/>
  <c r="C19" i="67"/>
  <c r="AS258" i="50"/>
  <c r="C19" i="85" s="1"/>
  <c r="AE81" i="50"/>
  <c r="BP81" i="50"/>
  <c r="AK68" i="50"/>
  <c r="BV68" i="50"/>
  <c r="BV84" i="50"/>
  <c r="AK84" i="50"/>
  <c r="AK73" i="50"/>
  <c r="BV73" i="50"/>
  <c r="AL77" i="50"/>
  <c r="BW77" i="50"/>
  <c r="AK75" i="50"/>
  <c r="BV75" i="50"/>
  <c r="AK62" i="50"/>
  <c r="BV62" i="50"/>
  <c r="BV74" i="50"/>
  <c r="AK74" i="50"/>
  <c r="BV76" i="50"/>
  <c r="AK76" i="50"/>
  <c r="G71" i="49"/>
  <c r="M71" i="49" s="1"/>
  <c r="BY82" i="50"/>
  <c r="AK81" i="50"/>
  <c r="BV81" i="50"/>
  <c r="AK78" i="50"/>
  <c r="BV78" i="50"/>
  <c r="AK80" i="50"/>
  <c r="BV80" i="50"/>
  <c r="T36" i="7"/>
  <c r="T58" i="7"/>
  <c r="L69" i="7"/>
  <c r="L47" i="7"/>
  <c r="AU30" i="7"/>
  <c r="CR30" i="7" s="1"/>
  <c r="AN30" i="7"/>
  <c r="CK30" i="7" s="1"/>
  <c r="E95" i="67"/>
  <c r="H30" i="7"/>
  <c r="BE30" i="7" s="1"/>
  <c r="L132" i="67"/>
  <c r="E17" i="67"/>
  <c r="D113" i="67"/>
  <c r="AF30" i="7"/>
  <c r="CC30" i="7" s="1"/>
  <c r="E71" i="67"/>
  <c r="P30" i="7"/>
  <c r="BM30" i="7" s="1"/>
  <c r="E35" i="67"/>
  <c r="X30" i="7"/>
  <c r="BU30" i="7" s="1"/>
  <c r="E53" i="67"/>
  <c r="AZ24" i="73"/>
  <c r="CH24" i="73" s="1"/>
  <c r="BA24" i="73"/>
  <c r="BD48" i="73"/>
  <c r="CJ48" i="73" s="1"/>
  <c r="BE48" i="73"/>
  <c r="AV65" i="73"/>
  <c r="CF65" i="73" s="1"/>
  <c r="AW65" i="73"/>
  <c r="BC24" i="73"/>
  <c r="BB24" i="73"/>
  <c r="CI24" i="73" s="1"/>
  <c r="AY48" i="73"/>
  <c r="AX48" i="73"/>
  <c r="CG48" i="73" s="1"/>
  <c r="BC61" i="73"/>
  <c r="BB61" i="73"/>
  <c r="CI61" i="73" s="1"/>
  <c r="AV24" i="73"/>
  <c r="CF24" i="73" s="1"/>
  <c r="AW24" i="73"/>
  <c r="AV61" i="73"/>
  <c r="CF61" i="73" s="1"/>
  <c r="AW61" i="73"/>
  <c r="AZ65" i="73"/>
  <c r="CH65" i="73" s="1"/>
  <c r="BA65" i="73"/>
  <c r="AV48" i="73"/>
  <c r="CF48" i="73" s="1"/>
  <c r="AW48" i="73"/>
  <c r="AZ61" i="73"/>
  <c r="CH61" i="73" s="1"/>
  <c r="BA61" i="73"/>
  <c r="BD65" i="73"/>
  <c r="CJ65" i="73" s="1"/>
  <c r="BE65" i="73"/>
  <c r="AY65" i="73"/>
  <c r="AX65" i="73"/>
  <c r="CG65" i="73" s="1"/>
  <c r="BD24" i="73"/>
  <c r="CJ24" i="73" s="1"/>
  <c r="BE24" i="73"/>
  <c r="AZ48" i="73"/>
  <c r="CH48" i="73" s="1"/>
  <c r="BA48" i="73"/>
  <c r="BD61" i="73"/>
  <c r="CJ61" i="73" s="1"/>
  <c r="BE61" i="73"/>
  <c r="AY24" i="73"/>
  <c r="AX24" i="73"/>
  <c r="CG24" i="73" s="1"/>
  <c r="BC48" i="73"/>
  <c r="BB48" i="73"/>
  <c r="CI48" i="73" s="1"/>
  <c r="AY61" i="73"/>
  <c r="AX61" i="73"/>
  <c r="CG61" i="73" s="1"/>
  <c r="BC65" i="73"/>
  <c r="BB65" i="73"/>
  <c r="CI65" i="73" s="1"/>
  <c r="J214" i="50"/>
  <c r="AV214" i="50" s="1"/>
  <c r="BC24" i="53"/>
  <c r="DE24" i="53" s="1"/>
  <c r="AW24" i="53"/>
  <c r="CY24" i="53" s="1"/>
  <c r="BG24" i="53"/>
  <c r="DI24" i="53" s="1"/>
  <c r="BA24" i="53"/>
  <c r="DC24" i="53" s="1"/>
  <c r="BE48" i="53"/>
  <c r="AY48" i="53"/>
  <c r="DA48" i="53" s="1"/>
  <c r="BC61" i="53"/>
  <c r="DE61" i="53" s="1"/>
  <c r="AW61" i="53"/>
  <c r="CY61" i="53" s="1"/>
  <c r="BG61" i="53"/>
  <c r="DI61" i="53" s="1"/>
  <c r="BA61" i="53"/>
  <c r="DC61" i="53" s="1"/>
  <c r="BE65" i="53"/>
  <c r="DG65" i="53" s="1"/>
  <c r="AY65" i="53"/>
  <c r="DA65" i="53" s="1"/>
  <c r="BD24" i="53"/>
  <c r="DF24" i="53" s="1"/>
  <c r="AX24" i="53"/>
  <c r="CZ24" i="53" s="1"/>
  <c r="BH24" i="53"/>
  <c r="DJ24" i="53" s="1"/>
  <c r="BB24" i="53"/>
  <c r="DD24" i="53" s="1"/>
  <c r="BF48" i="53"/>
  <c r="AZ48" i="53"/>
  <c r="DB48" i="53" s="1"/>
  <c r="BD61" i="53"/>
  <c r="DF61" i="53" s="1"/>
  <c r="AX61" i="53"/>
  <c r="CZ61" i="53" s="1"/>
  <c r="BH61" i="53"/>
  <c r="DJ61" i="53" s="1"/>
  <c r="BB61" i="53"/>
  <c r="DD61" i="53" s="1"/>
  <c r="BF65" i="53"/>
  <c r="DH65" i="53" s="1"/>
  <c r="AZ65" i="53"/>
  <c r="DB65" i="53" s="1"/>
  <c r="BE24" i="53"/>
  <c r="DG24" i="53" s="1"/>
  <c r="AY24" i="53"/>
  <c r="DA24" i="53" s="1"/>
  <c r="BC48" i="53"/>
  <c r="AW48" i="53"/>
  <c r="BG48" i="53"/>
  <c r="BA48" i="53"/>
  <c r="BE61" i="53"/>
  <c r="DG61" i="53" s="1"/>
  <c r="AY61" i="53"/>
  <c r="DA61" i="53" s="1"/>
  <c r="BC65" i="53"/>
  <c r="DE65" i="53" s="1"/>
  <c r="BG65" i="53"/>
  <c r="DI65" i="53" s="1"/>
  <c r="BA65" i="53"/>
  <c r="DC65" i="53" s="1"/>
  <c r="BF24" i="53"/>
  <c r="DH24" i="53" s="1"/>
  <c r="AZ24" i="53"/>
  <c r="DB24" i="53" s="1"/>
  <c r="BD48" i="53"/>
  <c r="AX48" i="53"/>
  <c r="CZ48" i="53" s="1"/>
  <c r="BH48" i="53"/>
  <c r="BB48" i="53"/>
  <c r="DD48" i="53" s="1"/>
  <c r="AZ61" i="53"/>
  <c r="DB61" i="53" s="1"/>
  <c r="BF61" i="53"/>
  <c r="DH61" i="53" s="1"/>
  <c r="BD65" i="53"/>
  <c r="DF65" i="53" s="1"/>
  <c r="BH65" i="53"/>
  <c r="DJ65" i="53" s="1"/>
  <c r="BB65" i="53"/>
  <c r="DD65" i="53" s="1"/>
  <c r="AF99" i="62"/>
  <c r="BW99" i="62" s="1"/>
  <c r="AF51" i="50"/>
  <c r="Q67" i="62"/>
  <c r="AM80" i="62"/>
  <c r="AM139" i="50"/>
  <c r="AF61" i="62"/>
  <c r="BW61" i="62" s="1"/>
  <c r="AF132" i="50"/>
  <c r="BR132" i="50" s="1"/>
  <c r="AE214" i="50"/>
  <c r="BQ214" i="50" s="1"/>
  <c r="F71" i="85" s="1"/>
  <c r="J240" i="50"/>
  <c r="I262" i="50"/>
  <c r="X214" i="50"/>
  <c r="BJ214" i="50" s="1"/>
  <c r="F53" i="85" s="1"/>
  <c r="AM154" i="62"/>
  <c r="CD154" i="62" s="1"/>
  <c r="Q237" i="50"/>
  <c r="BC237" i="50" s="1"/>
  <c r="P236" i="50"/>
  <c r="P259" i="50"/>
  <c r="Y154" i="62"/>
  <c r="BP154" i="62" s="1"/>
  <c r="Y216" i="50"/>
  <c r="Q214" i="50"/>
  <c r="BC214" i="50" s="1"/>
  <c r="F35" i="85" s="1"/>
  <c r="AL214" i="50"/>
  <c r="BX214" i="50" s="1"/>
  <c r="F95" i="85" s="1"/>
  <c r="AL266" i="50"/>
  <c r="BX266" i="50" s="1"/>
  <c r="K218" i="50"/>
  <c r="K154" i="62"/>
  <c r="BB154" i="62" s="1"/>
  <c r="AK259" i="50"/>
  <c r="AL237" i="50"/>
  <c r="BX237" i="50" s="1"/>
  <c r="AK236" i="50"/>
  <c r="AF154" i="62"/>
  <c r="BW154" i="62" s="1"/>
  <c r="R154" i="62"/>
  <c r="BI154" i="62" s="1"/>
  <c r="AE152" i="50"/>
  <c r="BQ152" i="50" s="1"/>
  <c r="AD172" i="50"/>
  <c r="BP172" i="50" s="1"/>
  <c r="AE64" i="50"/>
  <c r="BQ64" i="50" s="1"/>
  <c r="AE62" i="50"/>
  <c r="BQ62" i="50" s="1"/>
  <c r="AK61" i="50"/>
  <c r="BW61" i="50" s="1"/>
  <c r="AD61" i="50"/>
  <c r="BP61" i="50" s="1"/>
  <c r="AM192" i="50"/>
  <c r="Y192" i="50"/>
  <c r="J192" i="50"/>
  <c r="AF192" i="50"/>
  <c r="X192" i="50"/>
  <c r="R192" i="50"/>
  <c r="Q268" i="50" l="1"/>
  <c r="BC268" i="50" s="1"/>
  <c r="BC246" i="50"/>
  <c r="BQ169" i="50"/>
  <c r="AE189" i="50"/>
  <c r="BQ189" i="50" s="1"/>
  <c r="AE266" i="50"/>
  <c r="BQ266" i="50" s="1"/>
  <c r="AM244" i="50"/>
  <c r="AM254" i="50"/>
  <c r="AE75" i="50"/>
  <c r="BQ75" i="50" s="1"/>
  <c r="AE159" i="50"/>
  <c r="BQ159" i="50" s="1"/>
  <c r="AD179" i="50"/>
  <c r="BP179" i="50" s="1"/>
  <c r="R260" i="50"/>
  <c r="BD260" i="50" s="1"/>
  <c r="J278" i="50"/>
  <c r="AV278" i="50" s="1"/>
  <c r="J275" i="50"/>
  <c r="AV275" i="50" s="1"/>
  <c r="AL64" i="50"/>
  <c r="BX64" i="50" s="1"/>
  <c r="AF270" i="50"/>
  <c r="BR270" i="50" s="1"/>
  <c r="AM245" i="50"/>
  <c r="AE279" i="50"/>
  <c r="BQ279" i="50" s="1"/>
  <c r="AL270" i="50"/>
  <c r="BX270" i="50" s="1"/>
  <c r="X270" i="50"/>
  <c r="BJ270" i="50" s="1"/>
  <c r="AF67" i="62"/>
  <c r="BW67" i="62" s="1"/>
  <c r="AE183" i="50"/>
  <c r="BQ183" i="50" s="1"/>
  <c r="Q279" i="50"/>
  <c r="BC279" i="50" s="1"/>
  <c r="Q266" i="50"/>
  <c r="BC266" i="50" s="1"/>
  <c r="X60" i="62"/>
  <c r="BO60" i="62" s="1"/>
  <c r="X272" i="50"/>
  <c r="BJ272" i="50" s="1"/>
  <c r="X259" i="50"/>
  <c r="BJ259" i="50" s="1"/>
  <c r="X277" i="50"/>
  <c r="BJ277" i="50" s="1"/>
  <c r="X269" i="50"/>
  <c r="BJ269" i="50" s="1"/>
  <c r="Q272" i="50"/>
  <c r="BC272" i="50" s="1"/>
  <c r="AN10" i="51"/>
  <c r="Q269" i="50"/>
  <c r="BC269" i="50" s="1"/>
  <c r="D114" i="85"/>
  <c r="E112" i="85"/>
  <c r="E119" i="85"/>
  <c r="E129" i="85" s="1"/>
  <c r="R247" i="50"/>
  <c r="R269" i="50" s="1"/>
  <c r="BD269" i="50" s="1"/>
  <c r="F17" i="85"/>
  <c r="F113" i="85" s="1"/>
  <c r="C115" i="85"/>
  <c r="X266" i="50"/>
  <c r="BJ266" i="50" s="1"/>
  <c r="AE259" i="50"/>
  <c r="BQ259" i="50" s="1"/>
  <c r="Y243" i="50"/>
  <c r="BK243" i="50" s="1"/>
  <c r="AL265" i="50"/>
  <c r="BX265" i="50" s="1"/>
  <c r="AM248" i="50"/>
  <c r="AM270" i="50" s="1"/>
  <c r="BY270" i="50" s="1"/>
  <c r="AF169" i="50"/>
  <c r="AF189" i="50" s="1"/>
  <c r="BR189" i="50" s="1"/>
  <c r="Y256" i="50"/>
  <c r="BK256" i="50" s="1"/>
  <c r="Q274" i="50"/>
  <c r="BC274" i="50" s="1"/>
  <c r="BQ10" i="51"/>
  <c r="BX10" i="51" s="1"/>
  <c r="CE10" i="51"/>
  <c r="BC29" i="53"/>
  <c r="DE29" i="53" s="1"/>
  <c r="DE48" i="53"/>
  <c r="BD29" i="53"/>
  <c r="DF29" i="53" s="1"/>
  <c r="DF48" i="53"/>
  <c r="BG29" i="53"/>
  <c r="DI29" i="53" s="1"/>
  <c r="DI48" i="53"/>
  <c r="BE29" i="53"/>
  <c r="DG29" i="53" s="1"/>
  <c r="DG48" i="53"/>
  <c r="BF29" i="53"/>
  <c r="DH29" i="53" s="1"/>
  <c r="DH48" i="53"/>
  <c r="BH29" i="53"/>
  <c r="DJ29" i="53" s="1"/>
  <c r="DJ48" i="53"/>
  <c r="BA29" i="53"/>
  <c r="DC29" i="53" s="1"/>
  <c r="DC48" i="53"/>
  <c r="AW29" i="53"/>
  <c r="CY29" i="53" s="1"/>
  <c r="CY48" i="53"/>
  <c r="AF243" i="50"/>
  <c r="BR243" i="50" s="1"/>
  <c r="AF247" i="50"/>
  <c r="AF269" i="50" s="1"/>
  <c r="BR269" i="50" s="1"/>
  <c r="AW253" i="50"/>
  <c r="R243" i="50"/>
  <c r="R265" i="50" s="1"/>
  <c r="BD265" i="50" s="1"/>
  <c r="R252" i="50"/>
  <c r="R274" i="50" s="1"/>
  <c r="BD274" i="50" s="1"/>
  <c r="AE236" i="50"/>
  <c r="BQ236" i="50" s="1"/>
  <c r="F72" i="85" s="1"/>
  <c r="K250" i="50"/>
  <c r="K272" i="50" s="1"/>
  <c r="AW272" i="50" s="1"/>
  <c r="J272" i="50"/>
  <c r="AV272" i="50" s="1"/>
  <c r="Y248" i="50"/>
  <c r="BK248" i="50" s="1"/>
  <c r="J276" i="50"/>
  <c r="AV276" i="50" s="1"/>
  <c r="J279" i="50"/>
  <c r="AV279" i="50" s="1"/>
  <c r="AM243" i="50"/>
  <c r="BY243" i="50" s="1"/>
  <c r="Y241" i="50"/>
  <c r="BK241" i="50" s="1"/>
  <c r="AE275" i="50"/>
  <c r="BQ275" i="50" s="1"/>
  <c r="AL276" i="50"/>
  <c r="BX276" i="50" s="1"/>
  <c r="Y247" i="50"/>
  <c r="Y269" i="50" s="1"/>
  <c r="BK269" i="50" s="1"/>
  <c r="X271" i="50"/>
  <c r="BJ271" i="50" s="1"/>
  <c r="J266" i="50"/>
  <c r="AV266" i="50" s="1"/>
  <c r="AM242" i="50"/>
  <c r="BY242" i="50" s="1"/>
  <c r="AL274" i="50"/>
  <c r="BX274" i="50" s="1"/>
  <c r="Q276" i="50"/>
  <c r="BC276" i="50" s="1"/>
  <c r="AE264" i="50"/>
  <c r="BQ264" i="50" s="1"/>
  <c r="R248" i="50"/>
  <c r="BD248" i="50" s="1"/>
  <c r="AF214" i="50"/>
  <c r="BR214" i="50" s="1"/>
  <c r="G71" i="85" s="1"/>
  <c r="AE267" i="50"/>
  <c r="BQ267" i="50" s="1"/>
  <c r="AL264" i="50"/>
  <c r="BX264" i="50" s="1"/>
  <c r="AM238" i="50"/>
  <c r="BY238" i="50" s="1"/>
  <c r="X264" i="50"/>
  <c r="BJ264" i="50" s="1"/>
  <c r="AE274" i="50"/>
  <c r="BQ274" i="50" s="1"/>
  <c r="E129" i="67"/>
  <c r="AF163" i="50"/>
  <c r="BR163" i="50" s="1"/>
  <c r="X263" i="50"/>
  <c r="BJ263" i="50" s="1"/>
  <c r="AL260" i="50"/>
  <c r="BX260" i="50" s="1"/>
  <c r="K244" i="50"/>
  <c r="K266" i="50" s="1"/>
  <c r="AW266" i="50" s="1"/>
  <c r="Q267" i="50"/>
  <c r="BC267" i="50" s="1"/>
  <c r="AD258" i="50"/>
  <c r="E73" i="67" s="1"/>
  <c r="AF237" i="50"/>
  <c r="BR237" i="50" s="1"/>
  <c r="R67" i="62"/>
  <c r="BI67" i="62" s="1"/>
  <c r="X265" i="50"/>
  <c r="BJ265" i="50" s="1"/>
  <c r="AL269" i="50"/>
  <c r="BX269" i="50" s="1"/>
  <c r="Q265" i="50"/>
  <c r="BC265" i="50" s="1"/>
  <c r="Y254" i="50"/>
  <c r="Y276" i="50" s="1"/>
  <c r="BK276" i="50" s="1"/>
  <c r="D114" i="67"/>
  <c r="R251" i="50"/>
  <c r="R273" i="50" s="1"/>
  <c r="BD273" i="50" s="1"/>
  <c r="AF262" i="50"/>
  <c r="BR262" i="50" s="1"/>
  <c r="BR240" i="50"/>
  <c r="E72" i="67"/>
  <c r="BP236" i="50"/>
  <c r="E72" i="85" s="1"/>
  <c r="X260" i="50"/>
  <c r="BJ260" i="50" s="1"/>
  <c r="BJ238" i="50"/>
  <c r="K241" i="50"/>
  <c r="AV241" i="50"/>
  <c r="AM159" i="50"/>
  <c r="BY159" i="50" s="1"/>
  <c r="BY139" i="50"/>
  <c r="K246" i="50"/>
  <c r="J261" i="50"/>
  <c r="AV261" i="50" s="1"/>
  <c r="AL268" i="50"/>
  <c r="BX268" i="50" s="1"/>
  <c r="BX246" i="50"/>
  <c r="R268" i="50"/>
  <c r="BD268" i="50" s="1"/>
  <c r="BD246" i="50"/>
  <c r="K267" i="50"/>
  <c r="AW267" i="50" s="1"/>
  <c r="AW245" i="50"/>
  <c r="AF79" i="62"/>
  <c r="BW79" i="62" s="1"/>
  <c r="BW80" i="62"/>
  <c r="AF166" i="50"/>
  <c r="BQ166" i="50"/>
  <c r="AE186" i="50"/>
  <c r="BQ186" i="50" s="1"/>
  <c r="J263" i="50"/>
  <c r="AV263" i="50" s="1"/>
  <c r="K214" i="50"/>
  <c r="AW214" i="50" s="1"/>
  <c r="AW218" i="50"/>
  <c r="P258" i="50"/>
  <c r="BB259" i="50"/>
  <c r="J236" i="50"/>
  <c r="AV240" i="50"/>
  <c r="AM79" i="62"/>
  <c r="CD80" i="62"/>
  <c r="AL272" i="50"/>
  <c r="BX272" i="50" s="1"/>
  <c r="K257" i="50"/>
  <c r="Y242" i="50"/>
  <c r="K239" i="50"/>
  <c r="X261" i="50"/>
  <c r="BJ261" i="50" s="1"/>
  <c r="E54" i="67"/>
  <c r="BI236" i="50"/>
  <c r="E54" i="85" s="1"/>
  <c r="D55" i="67"/>
  <c r="BH258" i="50"/>
  <c r="D55" i="85" s="1"/>
  <c r="G70" i="67"/>
  <c r="G125" i="67" s="1"/>
  <c r="BR192" i="50"/>
  <c r="G70" i="85" s="1"/>
  <c r="G125" i="85" s="1"/>
  <c r="AM250" i="50"/>
  <c r="Y252" i="50"/>
  <c r="AL60" i="62"/>
  <c r="CC60" i="62" s="1"/>
  <c r="R254" i="50"/>
  <c r="AF276" i="50"/>
  <c r="BR276" i="50" s="1"/>
  <c r="BR254" i="50"/>
  <c r="AF268" i="50"/>
  <c r="BR268" i="50" s="1"/>
  <c r="BR246" i="50"/>
  <c r="R244" i="50"/>
  <c r="BJ257" i="50"/>
  <c r="X279" i="50"/>
  <c r="BJ279" i="50" s="1"/>
  <c r="Y257" i="50"/>
  <c r="BQ238" i="50"/>
  <c r="AE260" i="50"/>
  <c r="BQ260" i="50" s="1"/>
  <c r="AF278" i="50"/>
  <c r="BR278" i="50" s="1"/>
  <c r="BR256" i="50"/>
  <c r="AK258" i="50"/>
  <c r="BW259" i="50"/>
  <c r="AM276" i="50"/>
  <c r="BY276" i="50" s="1"/>
  <c r="BY254" i="50"/>
  <c r="K243" i="50"/>
  <c r="AV243" i="50"/>
  <c r="D97" i="67"/>
  <c r="BV258" i="50"/>
  <c r="D97" i="85" s="1"/>
  <c r="I258" i="50"/>
  <c r="AU262" i="50"/>
  <c r="Y250" i="50"/>
  <c r="J268" i="50"/>
  <c r="AV268" i="50" s="1"/>
  <c r="AE269" i="50"/>
  <c r="BQ269" i="50" s="1"/>
  <c r="BQ247" i="50"/>
  <c r="K249" i="50"/>
  <c r="AW249" i="50" s="1"/>
  <c r="AV249" i="50"/>
  <c r="J271" i="50"/>
  <c r="AV271" i="50" s="1"/>
  <c r="X278" i="50"/>
  <c r="BJ278" i="50" s="1"/>
  <c r="BJ256" i="50"/>
  <c r="AF76" i="50"/>
  <c r="BR76" i="50" s="1"/>
  <c r="BR51" i="50"/>
  <c r="AW205" i="50"/>
  <c r="K79" i="62"/>
  <c r="BB79" i="62" s="1"/>
  <c r="BB80" i="62"/>
  <c r="AF80" i="50"/>
  <c r="BR80" i="50" s="1"/>
  <c r="BQ80" i="50"/>
  <c r="AF84" i="50"/>
  <c r="BR84" i="50" s="1"/>
  <c r="BQ84" i="50"/>
  <c r="AM261" i="50"/>
  <c r="BY261" i="50" s="1"/>
  <c r="BY239" i="50"/>
  <c r="X236" i="50"/>
  <c r="G34" i="67"/>
  <c r="G121" i="67" s="1"/>
  <c r="BD192" i="50"/>
  <c r="G34" i="85" s="1"/>
  <c r="G121" i="85" s="1"/>
  <c r="W258" i="50"/>
  <c r="AE263" i="50"/>
  <c r="BQ263" i="50" s="1"/>
  <c r="E36" i="67"/>
  <c r="BB236" i="50"/>
  <c r="E36" i="85" s="1"/>
  <c r="AM247" i="50"/>
  <c r="AE60" i="62"/>
  <c r="BV60" i="62" s="1"/>
  <c r="K254" i="50"/>
  <c r="AM166" i="50"/>
  <c r="BY166" i="50" s="1"/>
  <c r="BX166" i="50"/>
  <c r="BX155" i="50"/>
  <c r="AM155" i="50"/>
  <c r="BY155" i="50" s="1"/>
  <c r="AM279" i="50"/>
  <c r="BY279" i="50" s="1"/>
  <c r="BY257" i="50"/>
  <c r="BX241" i="50"/>
  <c r="AL263" i="50"/>
  <c r="BX263" i="50" s="1"/>
  <c r="AM241" i="50"/>
  <c r="AF242" i="50"/>
  <c r="AM169" i="50"/>
  <c r="BY169" i="50" s="1"/>
  <c r="BX169" i="50"/>
  <c r="BX239" i="50"/>
  <c r="AL261" i="50"/>
  <c r="BX261" i="50" s="1"/>
  <c r="AL277" i="50"/>
  <c r="BX277" i="50" s="1"/>
  <c r="BX255" i="50"/>
  <c r="Y237" i="50"/>
  <c r="BK237" i="50" s="1"/>
  <c r="AF241" i="50"/>
  <c r="AM266" i="50"/>
  <c r="BY266" i="50" s="1"/>
  <c r="BY244" i="50"/>
  <c r="Q261" i="50"/>
  <c r="BC261" i="50" s="1"/>
  <c r="AE277" i="50"/>
  <c r="BQ277" i="50" s="1"/>
  <c r="Q60" i="62"/>
  <c r="BH60" i="62" s="1"/>
  <c r="BH67" i="62"/>
  <c r="Q277" i="50"/>
  <c r="BC277" i="50" s="1"/>
  <c r="AF252" i="50"/>
  <c r="K238" i="50"/>
  <c r="AW238" i="50" s="1"/>
  <c r="AV238" i="50"/>
  <c r="AM271" i="50"/>
  <c r="BY271" i="50" s="1"/>
  <c r="BY249" i="50"/>
  <c r="K242" i="50"/>
  <c r="AV242" i="50"/>
  <c r="AL267" i="50"/>
  <c r="BX267" i="50" s="1"/>
  <c r="BX245" i="50"/>
  <c r="AM168" i="50"/>
  <c r="BY168" i="50" s="1"/>
  <c r="BX168" i="50"/>
  <c r="D19" i="67"/>
  <c r="AT258" i="50"/>
  <c r="D19" i="85" s="1"/>
  <c r="AF68" i="50"/>
  <c r="BR68" i="50" s="1"/>
  <c r="BQ68" i="50"/>
  <c r="J260" i="50"/>
  <c r="AV260" i="50" s="1"/>
  <c r="K237" i="50"/>
  <c r="AW237" i="50" s="1"/>
  <c r="F16" i="67"/>
  <c r="F119" i="67" s="1"/>
  <c r="AV192" i="50"/>
  <c r="F16" i="85" s="1"/>
  <c r="X276" i="50"/>
  <c r="BJ276" i="50" s="1"/>
  <c r="AE175" i="50"/>
  <c r="BQ175" i="50" s="1"/>
  <c r="AM214" i="50"/>
  <c r="BY214" i="50" s="1"/>
  <c r="G95" i="85" s="1"/>
  <c r="R239" i="50"/>
  <c r="AF255" i="50"/>
  <c r="AF245" i="50"/>
  <c r="Y255" i="50"/>
  <c r="R245" i="50"/>
  <c r="X262" i="50"/>
  <c r="BJ262" i="50" s="1"/>
  <c r="R257" i="50"/>
  <c r="Y244" i="50"/>
  <c r="AM252" i="50"/>
  <c r="R241" i="50"/>
  <c r="AL275" i="50"/>
  <c r="BX275" i="50" s="1"/>
  <c r="AM246" i="50"/>
  <c r="R255" i="50"/>
  <c r="AF81" i="50"/>
  <c r="BR81" i="50" s="1"/>
  <c r="BQ81" i="50"/>
  <c r="AM163" i="50"/>
  <c r="BY163" i="50" s="1"/>
  <c r="BX163" i="50"/>
  <c r="D73" i="67"/>
  <c r="BO258" i="50"/>
  <c r="D73" i="85" s="1"/>
  <c r="AM160" i="50"/>
  <c r="BY160" i="50" s="1"/>
  <c r="BX160" i="50"/>
  <c r="AF168" i="50"/>
  <c r="BQ168" i="50"/>
  <c r="AE188" i="50"/>
  <c r="BQ188" i="50" s="1"/>
  <c r="AF73" i="50"/>
  <c r="BR73" i="50" s="1"/>
  <c r="BQ73" i="50"/>
  <c r="R253" i="50"/>
  <c r="BC253" i="50"/>
  <c r="K256" i="50"/>
  <c r="F52" i="67"/>
  <c r="F123" i="67" s="1"/>
  <c r="BJ192" i="50"/>
  <c r="F52" i="85" s="1"/>
  <c r="F123" i="85" s="1"/>
  <c r="J259" i="50"/>
  <c r="AV259" i="50" s="1"/>
  <c r="J269" i="50"/>
  <c r="AV269" i="50" s="1"/>
  <c r="AF155" i="50"/>
  <c r="E96" i="67"/>
  <c r="BW236" i="50"/>
  <c r="E96" i="85" s="1"/>
  <c r="R250" i="50"/>
  <c r="AE271" i="50"/>
  <c r="BQ271" i="50" s="1"/>
  <c r="Q264" i="50"/>
  <c r="BC264" i="50" s="1"/>
  <c r="Q271" i="50"/>
  <c r="BC271" i="50" s="1"/>
  <c r="J270" i="50"/>
  <c r="AV270" i="50" s="1"/>
  <c r="Q263" i="50"/>
  <c r="BC263" i="50" s="1"/>
  <c r="Y240" i="50"/>
  <c r="AL262" i="50"/>
  <c r="BX262" i="50" s="1"/>
  <c r="AE272" i="50"/>
  <c r="BQ272" i="50" s="1"/>
  <c r="AE273" i="50"/>
  <c r="BQ273" i="50" s="1"/>
  <c r="AM255" i="50"/>
  <c r="AF239" i="50"/>
  <c r="AM253" i="50"/>
  <c r="AF253" i="50"/>
  <c r="E112" i="67"/>
  <c r="AE261" i="50"/>
  <c r="BQ261" i="50" s="1"/>
  <c r="BQ239" i="50"/>
  <c r="AF78" i="50"/>
  <c r="BR78" i="50" s="1"/>
  <c r="BQ78" i="50"/>
  <c r="AM273" i="50"/>
  <c r="BY273" i="50" s="1"/>
  <c r="BY251" i="50"/>
  <c r="R278" i="50"/>
  <c r="BD278" i="50" s="1"/>
  <c r="BD256" i="50"/>
  <c r="AW207" i="50"/>
  <c r="R79" i="62"/>
  <c r="BI79" i="62" s="1"/>
  <c r="BI83" i="62"/>
  <c r="BJ253" i="50"/>
  <c r="Y253" i="50"/>
  <c r="X275" i="50"/>
  <c r="BJ275" i="50" s="1"/>
  <c r="AM67" i="62"/>
  <c r="CD67" i="62" s="1"/>
  <c r="CD74" i="62"/>
  <c r="AW194" i="50"/>
  <c r="K255" i="50"/>
  <c r="AW255" i="50" s="1"/>
  <c r="AV255" i="50"/>
  <c r="BX152" i="50"/>
  <c r="AM152" i="50"/>
  <c r="BY152" i="50" s="1"/>
  <c r="AF74" i="50"/>
  <c r="BR74" i="50" s="1"/>
  <c r="BQ74" i="50"/>
  <c r="E18" i="67"/>
  <c r="AU236" i="50"/>
  <c r="E18" i="85" s="1"/>
  <c r="Y267" i="50"/>
  <c r="BK267" i="50" s="1"/>
  <c r="BK245" i="50"/>
  <c r="Y214" i="50"/>
  <c r="BK214" i="50" s="1"/>
  <c r="G53" i="85" s="1"/>
  <c r="BK216" i="50"/>
  <c r="AF266" i="50"/>
  <c r="BR266" i="50" s="1"/>
  <c r="BR244" i="50"/>
  <c r="Y251" i="50"/>
  <c r="BJ251" i="50"/>
  <c r="X273" i="50"/>
  <c r="BJ273" i="50" s="1"/>
  <c r="K252" i="50"/>
  <c r="AV252" i="50"/>
  <c r="G52" i="67"/>
  <c r="G123" i="67" s="1"/>
  <c r="BK192" i="50"/>
  <c r="G52" i="85" s="1"/>
  <c r="G123" i="85" s="1"/>
  <c r="D37" i="67"/>
  <c r="BA258" i="50"/>
  <c r="D37" i="85" s="1"/>
  <c r="AE262" i="50"/>
  <c r="BQ262" i="50" s="1"/>
  <c r="BQ240" i="50"/>
  <c r="Q273" i="50"/>
  <c r="BC273" i="50" s="1"/>
  <c r="BC251" i="50"/>
  <c r="X274" i="50"/>
  <c r="BJ274" i="50" s="1"/>
  <c r="BJ252" i="50"/>
  <c r="G94" i="67"/>
  <c r="G127" i="67" s="1"/>
  <c r="BY192" i="50"/>
  <c r="G94" i="85" s="1"/>
  <c r="G127" i="85" s="1"/>
  <c r="BP71" i="62"/>
  <c r="Y67" i="62"/>
  <c r="K247" i="50"/>
  <c r="R214" i="50"/>
  <c r="BD214" i="50" s="1"/>
  <c r="G35" i="85" s="1"/>
  <c r="AF249" i="50"/>
  <c r="R242" i="50"/>
  <c r="R249" i="50"/>
  <c r="Y249" i="50"/>
  <c r="K248" i="50"/>
  <c r="AF257" i="50"/>
  <c r="AL278" i="50"/>
  <c r="BX278" i="50" s="1"/>
  <c r="AE265" i="50"/>
  <c r="BQ265" i="50" s="1"/>
  <c r="AM240" i="50"/>
  <c r="AF250" i="50"/>
  <c r="AF251" i="50"/>
  <c r="AM256" i="50"/>
  <c r="Q270" i="50"/>
  <c r="BC270" i="50" s="1"/>
  <c r="Y246" i="50"/>
  <c r="Y239" i="50"/>
  <c r="C115" i="67"/>
  <c r="X268" i="50"/>
  <c r="BJ268" i="50" s="1"/>
  <c r="BJ246" i="50"/>
  <c r="AF160" i="50"/>
  <c r="BQ160" i="50"/>
  <c r="AE180" i="50"/>
  <c r="BQ180" i="50" s="1"/>
  <c r="R262" i="50"/>
  <c r="BD262" i="50" s="1"/>
  <c r="BD240" i="50"/>
  <c r="AF238" i="50"/>
  <c r="K251" i="50"/>
  <c r="AW251" i="50" s="1"/>
  <c r="AV251" i="50"/>
  <c r="J273" i="50"/>
  <c r="AV273" i="50" s="1"/>
  <c r="AF77" i="50"/>
  <c r="BR77" i="50" s="1"/>
  <c r="BQ77" i="50"/>
  <c r="Y79" i="62"/>
  <c r="BP79" i="62" s="1"/>
  <c r="BP83" i="62"/>
  <c r="AW211" i="50"/>
  <c r="AM77" i="50"/>
  <c r="BY77" i="50" s="1"/>
  <c r="BX77" i="50"/>
  <c r="BW74" i="50"/>
  <c r="AL74" i="50"/>
  <c r="AL78" i="50"/>
  <c r="BW78" i="50"/>
  <c r="AL73" i="50"/>
  <c r="BW73" i="50"/>
  <c r="BW84" i="50"/>
  <c r="AL84" i="50"/>
  <c r="BW76" i="50"/>
  <c r="AL76" i="50"/>
  <c r="AL80" i="50"/>
  <c r="BW80" i="50"/>
  <c r="AL81" i="50"/>
  <c r="BW81" i="50"/>
  <c r="BW62" i="50"/>
  <c r="AL62" i="50"/>
  <c r="BW75" i="50"/>
  <c r="AL75" i="50"/>
  <c r="AL68" i="50"/>
  <c r="BW68" i="50"/>
  <c r="BD90" i="53"/>
  <c r="DF90" i="53" s="1"/>
  <c r="AB36" i="7"/>
  <c r="AB58" i="7"/>
  <c r="T69" i="7"/>
  <c r="T47" i="7"/>
  <c r="AV30" i="7"/>
  <c r="CS30" i="7" s="1"/>
  <c r="Q30" i="7"/>
  <c r="BN30" i="7" s="1"/>
  <c r="F35" i="67"/>
  <c r="I30" i="7"/>
  <c r="BF30" i="7" s="1"/>
  <c r="F17" i="67"/>
  <c r="M132" i="67"/>
  <c r="Y30" i="7"/>
  <c r="BV30" i="7" s="1"/>
  <c r="F53" i="67"/>
  <c r="AG30" i="7"/>
  <c r="CD30" i="7" s="1"/>
  <c r="F71" i="67"/>
  <c r="AO30" i="7"/>
  <c r="CL30" i="7" s="1"/>
  <c r="F95" i="67"/>
  <c r="E113" i="67"/>
  <c r="Y238" i="50"/>
  <c r="AL259" i="50"/>
  <c r="AL236" i="50"/>
  <c r="AM237" i="50"/>
  <c r="BY237" i="50" s="1"/>
  <c r="K240" i="50"/>
  <c r="J262" i="50"/>
  <c r="R237" i="50"/>
  <c r="BD237" i="50" s="1"/>
  <c r="Q236" i="50"/>
  <c r="Q259" i="50"/>
  <c r="D72" i="49"/>
  <c r="D58" i="49"/>
  <c r="AE61" i="50"/>
  <c r="BQ61" i="50" s="1"/>
  <c r="AE172" i="50"/>
  <c r="BQ172" i="50" s="1"/>
  <c r="AF152" i="50"/>
  <c r="BR152" i="50" s="1"/>
  <c r="AF159" i="50"/>
  <c r="AE179" i="50"/>
  <c r="BQ179" i="50" s="1"/>
  <c r="AL61" i="50"/>
  <c r="BX61" i="50" s="1"/>
  <c r="AF64" i="50"/>
  <c r="BR64" i="50" s="1"/>
  <c r="AF62" i="50"/>
  <c r="BR62" i="50" s="1"/>
  <c r="AF75" i="50"/>
  <c r="BR75" i="50" s="1"/>
  <c r="K192" i="50"/>
  <c r="AA83" i="53"/>
  <c r="CE83" i="53" s="1"/>
  <c r="AA51" i="53"/>
  <c r="AA38" i="53"/>
  <c r="AV18" i="53"/>
  <c r="CX18" i="53" s="1"/>
  <c r="AU18" i="53"/>
  <c r="CW18" i="53" s="1"/>
  <c r="AT18" i="53"/>
  <c r="CV18" i="53" s="1"/>
  <c r="AS18" i="53"/>
  <c r="CU18" i="53" s="1"/>
  <c r="AR18" i="53"/>
  <c r="CT18" i="53" s="1"/>
  <c r="AQ18" i="53"/>
  <c r="CS18" i="53" s="1"/>
  <c r="AQ25" i="53"/>
  <c r="CS25" i="53" s="1"/>
  <c r="AN25" i="53"/>
  <c r="CQ25" i="53" s="1"/>
  <c r="AM25" i="53"/>
  <c r="CP25" i="53" s="1"/>
  <c r="AL25" i="53"/>
  <c r="CO25" i="53" s="1"/>
  <c r="AK25" i="53"/>
  <c r="CN25" i="53" s="1"/>
  <c r="AJ25" i="53"/>
  <c r="CM25" i="53" s="1"/>
  <c r="AI25" i="53"/>
  <c r="AF25" i="53"/>
  <c r="CJ25" i="53" s="1"/>
  <c r="AE25" i="53"/>
  <c r="CI25" i="53" s="1"/>
  <c r="AD25" i="53"/>
  <c r="CH25" i="53" s="1"/>
  <c r="AC25" i="53"/>
  <c r="CG25" i="53" s="1"/>
  <c r="AB25" i="53"/>
  <c r="CF25" i="53" s="1"/>
  <c r="AA25" i="53"/>
  <c r="AN83" i="53"/>
  <c r="CQ83" i="53" s="1"/>
  <c r="AM83" i="53"/>
  <c r="CP83" i="53" s="1"/>
  <c r="AL83" i="53"/>
  <c r="CO83" i="53" s="1"/>
  <c r="AK83" i="53"/>
  <c r="CN83" i="53" s="1"/>
  <c r="AJ83" i="53"/>
  <c r="CM83" i="53" s="1"/>
  <c r="AI83" i="53"/>
  <c r="CL83" i="53" s="1"/>
  <c r="AF83" i="53"/>
  <c r="CJ83" i="53" s="1"/>
  <c r="AE83" i="53"/>
  <c r="CI83" i="53" s="1"/>
  <c r="AD83" i="53"/>
  <c r="CH83" i="53" s="1"/>
  <c r="AC83" i="53"/>
  <c r="CG83" i="53" s="1"/>
  <c r="AB83" i="53"/>
  <c r="CF83" i="53" s="1"/>
  <c r="AN70" i="53"/>
  <c r="AM70" i="53"/>
  <c r="AL70" i="53"/>
  <c r="AK70" i="53"/>
  <c r="AJ70" i="53"/>
  <c r="CM70" i="53" s="1"/>
  <c r="U110" i="85" s="1"/>
  <c r="AI70" i="53"/>
  <c r="CL70" i="53" s="1"/>
  <c r="T110" i="85" s="1"/>
  <c r="AF70" i="53"/>
  <c r="AE70" i="53"/>
  <c r="AD70" i="53"/>
  <c r="AC70" i="53"/>
  <c r="AB70" i="53"/>
  <c r="CF70" i="53" s="1"/>
  <c r="U86" i="85" s="1"/>
  <c r="AA70" i="53"/>
  <c r="CE70" i="53" s="1"/>
  <c r="T86" i="85" s="1"/>
  <c r="AI55" i="53"/>
  <c r="CL55" i="53" s="1"/>
  <c r="T104" i="85" s="1"/>
  <c r="AA55" i="53"/>
  <c r="CE55" i="53" s="1"/>
  <c r="T80" i="85" s="1"/>
  <c r="AN51" i="53"/>
  <c r="CQ51" i="53" s="1"/>
  <c r="AM51" i="53"/>
  <c r="CP51" i="53" s="1"/>
  <c r="AL51" i="53"/>
  <c r="CO51" i="53" s="1"/>
  <c r="AK51" i="53"/>
  <c r="CN51" i="53" s="1"/>
  <c r="AJ51" i="53"/>
  <c r="CM51" i="53" s="1"/>
  <c r="AI51" i="53"/>
  <c r="AF51" i="53"/>
  <c r="CJ51" i="53" s="1"/>
  <c r="AE51" i="53"/>
  <c r="CI51" i="53" s="1"/>
  <c r="AD51" i="53"/>
  <c r="CH51" i="53" s="1"/>
  <c r="AC51" i="53"/>
  <c r="CG51" i="53" s="1"/>
  <c r="AB51" i="53"/>
  <c r="CF51" i="53" s="1"/>
  <c r="AN38" i="53"/>
  <c r="CQ38" i="53" s="1"/>
  <c r="AM38" i="53"/>
  <c r="CP38" i="53" s="1"/>
  <c r="AL38" i="53"/>
  <c r="CO38" i="53" s="1"/>
  <c r="AK38" i="53"/>
  <c r="CN38" i="53" s="1"/>
  <c r="AJ38" i="53"/>
  <c r="CM38" i="53" s="1"/>
  <c r="AI38" i="53"/>
  <c r="AF38" i="53"/>
  <c r="CJ38" i="53" s="1"/>
  <c r="AE38" i="53"/>
  <c r="CI38" i="53" s="1"/>
  <c r="AD38" i="53"/>
  <c r="CH38" i="53" s="1"/>
  <c r="AC38" i="53"/>
  <c r="CG38" i="53" s="1"/>
  <c r="AB38" i="53"/>
  <c r="CF38" i="53" s="1"/>
  <c r="AN18" i="53"/>
  <c r="CQ18" i="53" s="1"/>
  <c r="AM18" i="53"/>
  <c r="CP18" i="53" s="1"/>
  <c r="AL18" i="53"/>
  <c r="CO18" i="53" s="1"/>
  <c r="AK18" i="53"/>
  <c r="CN18" i="53" s="1"/>
  <c r="AJ18" i="53"/>
  <c r="CM18" i="53" s="1"/>
  <c r="AI18" i="53"/>
  <c r="AF18" i="53"/>
  <c r="CJ18" i="53" s="1"/>
  <c r="AE18" i="53"/>
  <c r="CI18" i="53" s="1"/>
  <c r="AD18" i="53"/>
  <c r="CH18" i="53" s="1"/>
  <c r="AC18" i="53"/>
  <c r="CG18" i="53" s="1"/>
  <c r="AB18" i="53"/>
  <c r="CF18" i="53" s="1"/>
  <c r="AA18" i="53"/>
  <c r="AN12" i="53"/>
  <c r="CQ12" i="53" s="1"/>
  <c r="AM12" i="53"/>
  <c r="CP12" i="53" s="1"/>
  <c r="AL12" i="53"/>
  <c r="CO12" i="53" s="1"/>
  <c r="AK12" i="53"/>
  <c r="CN12" i="53" s="1"/>
  <c r="AJ12" i="53"/>
  <c r="CM12" i="53" s="1"/>
  <c r="AI12" i="53"/>
  <c r="AF12" i="53"/>
  <c r="CJ12" i="53" s="1"/>
  <c r="AE12" i="53"/>
  <c r="CI12" i="53" s="1"/>
  <c r="AD12" i="53"/>
  <c r="CH12" i="53" s="1"/>
  <c r="AC12" i="53"/>
  <c r="CG12" i="53" s="1"/>
  <c r="AB12" i="53"/>
  <c r="CF12" i="53" s="1"/>
  <c r="AA12" i="53"/>
  <c r="AM64" i="50" l="1"/>
  <c r="BY64" i="50" s="1"/>
  <c r="AM260" i="50"/>
  <c r="BY260" i="50" s="1"/>
  <c r="AM265" i="50"/>
  <c r="BY265" i="50" s="1"/>
  <c r="BR169" i="50"/>
  <c r="AM267" i="50"/>
  <c r="BY267" i="50" s="1"/>
  <c r="BY245" i="50"/>
  <c r="AW244" i="50"/>
  <c r="Y270" i="50"/>
  <c r="BK270" i="50" s="1"/>
  <c r="AF60" i="62"/>
  <c r="BW60" i="62" s="1"/>
  <c r="AF259" i="50"/>
  <c r="Y265" i="50"/>
  <c r="BK265" i="50" s="1"/>
  <c r="Z86" i="85"/>
  <c r="BY248" i="50"/>
  <c r="AM264" i="50"/>
  <c r="BY264" i="50" s="1"/>
  <c r="E114" i="85"/>
  <c r="BD247" i="50"/>
  <c r="BD243" i="50"/>
  <c r="Y278" i="50"/>
  <c r="BK278" i="50" s="1"/>
  <c r="BD252" i="50"/>
  <c r="Y263" i="50"/>
  <c r="BK263" i="50" s="1"/>
  <c r="F112" i="85"/>
  <c r="F119" i="85"/>
  <c r="F129" i="85" s="1"/>
  <c r="Z110" i="85"/>
  <c r="M132" i="85"/>
  <c r="N132" i="85"/>
  <c r="G17" i="85"/>
  <c r="G113" i="85" s="1"/>
  <c r="D115" i="85"/>
  <c r="AF265" i="50"/>
  <c r="BR265" i="50" s="1"/>
  <c r="BR247" i="50"/>
  <c r="AM39" i="67"/>
  <c r="J72" i="49"/>
  <c r="AM39" i="85" s="1"/>
  <c r="F72" i="67"/>
  <c r="AM31" i="67"/>
  <c r="J58" i="49"/>
  <c r="AM31" i="85" s="1"/>
  <c r="BK247" i="50"/>
  <c r="K271" i="50"/>
  <c r="AW271" i="50" s="1"/>
  <c r="W110" i="67"/>
  <c r="CO70" i="53"/>
  <c r="W110" i="85" s="1"/>
  <c r="AU18" i="73"/>
  <c r="CE18" i="73" s="1"/>
  <c r="CL18" i="53"/>
  <c r="V86" i="67"/>
  <c r="CG70" i="53"/>
  <c r="V86" i="85" s="1"/>
  <c r="X110" i="67"/>
  <c r="CP70" i="53"/>
  <c r="X110" i="85" s="1"/>
  <c r="AJ38" i="73"/>
  <c r="BY38" i="73" s="1"/>
  <c r="CE38" i="53"/>
  <c r="W86" i="67"/>
  <c r="CH70" i="53"/>
  <c r="W86" i="85" s="1"/>
  <c r="Y110" i="67"/>
  <c r="CQ70" i="53"/>
  <c r="Y110" i="85" s="1"/>
  <c r="AA110" i="85" s="1"/>
  <c r="AJ51" i="73"/>
  <c r="BY51" i="73" s="1"/>
  <c r="CE51" i="53"/>
  <c r="AJ18" i="73"/>
  <c r="BY18" i="73" s="1"/>
  <c r="CE18" i="53"/>
  <c r="X86" i="67"/>
  <c r="CI70" i="53"/>
  <c r="X86" i="85" s="1"/>
  <c r="AU38" i="73"/>
  <c r="CE38" i="73" s="1"/>
  <c r="CL38" i="53"/>
  <c r="Y86" i="67"/>
  <c r="CJ70" i="53"/>
  <c r="Y86" i="85" s="1"/>
  <c r="AA86" i="85" s="1"/>
  <c r="AU25" i="73"/>
  <c r="CE25" i="73" s="1"/>
  <c r="CL25" i="53"/>
  <c r="AJ25" i="73"/>
  <c r="BY25" i="73" s="1"/>
  <c r="CE25" i="53"/>
  <c r="AU12" i="73"/>
  <c r="CE12" i="73" s="1"/>
  <c r="CL12" i="53"/>
  <c r="AJ12" i="73"/>
  <c r="BY12" i="73" s="1"/>
  <c r="CE12" i="53"/>
  <c r="AU51" i="73"/>
  <c r="CE51" i="73" s="1"/>
  <c r="CL51" i="53"/>
  <c r="V110" i="67"/>
  <c r="CN70" i="53"/>
  <c r="V110" i="85" s="1"/>
  <c r="G71" i="67"/>
  <c r="AW250" i="50"/>
  <c r="R270" i="50"/>
  <c r="BD270" i="50" s="1"/>
  <c r="AH30" i="7"/>
  <c r="CE30" i="7" s="1"/>
  <c r="G17" i="67"/>
  <c r="J30" i="7"/>
  <c r="BG30" i="7" s="1"/>
  <c r="Y259" i="50"/>
  <c r="BK259" i="50" s="1"/>
  <c r="X258" i="50"/>
  <c r="F55" i="67" s="1"/>
  <c r="G95" i="67"/>
  <c r="BP258" i="50"/>
  <c r="E73" i="85" s="1"/>
  <c r="K260" i="50"/>
  <c r="AW260" i="50" s="1"/>
  <c r="AF183" i="50"/>
  <c r="BR183" i="50" s="1"/>
  <c r="R30" i="7"/>
  <c r="BO30" i="7" s="1"/>
  <c r="N132" i="67"/>
  <c r="O132" i="67" s="1"/>
  <c r="E114" i="67"/>
  <c r="F112" i="67"/>
  <c r="BK254" i="50"/>
  <c r="BD251" i="50"/>
  <c r="G53" i="67"/>
  <c r="K259" i="50"/>
  <c r="AW259" i="50" s="1"/>
  <c r="AE258" i="50"/>
  <c r="BQ258" i="50" s="1"/>
  <c r="F73" i="85" s="1"/>
  <c r="Z30" i="7"/>
  <c r="BW30" i="7" s="1"/>
  <c r="AF179" i="50"/>
  <c r="BR179" i="50" s="1"/>
  <c r="BR159" i="50"/>
  <c r="Y271" i="50"/>
  <c r="BK271" i="50" s="1"/>
  <c r="BK249" i="50"/>
  <c r="BK251" i="50"/>
  <c r="Y273" i="50"/>
  <c r="BK273" i="50" s="1"/>
  <c r="AF263" i="50"/>
  <c r="BR263" i="50" s="1"/>
  <c r="BR241" i="50"/>
  <c r="AM269" i="50"/>
  <c r="BY269" i="50" s="1"/>
  <c r="BY247" i="50"/>
  <c r="K277" i="50"/>
  <c r="AW277" i="50" s="1"/>
  <c r="R271" i="50"/>
  <c r="BD271" i="50" s="1"/>
  <c r="BD249" i="50"/>
  <c r="BR168" i="50"/>
  <c r="AF188" i="50"/>
  <c r="BR188" i="50" s="1"/>
  <c r="AM263" i="50"/>
  <c r="BY263" i="50" s="1"/>
  <c r="BY241" i="50"/>
  <c r="F54" i="67"/>
  <c r="BJ236" i="50"/>
  <c r="F54" i="85" s="1"/>
  <c r="F18" i="67"/>
  <c r="AV236" i="50"/>
  <c r="F18" i="85" s="1"/>
  <c r="F129" i="67"/>
  <c r="R264" i="50"/>
  <c r="BD264" i="50" s="1"/>
  <c r="BD242" i="50"/>
  <c r="K278" i="50"/>
  <c r="AW278" i="50" s="1"/>
  <c r="AW256" i="50"/>
  <c r="R277" i="50"/>
  <c r="BD277" i="50" s="1"/>
  <c r="BD255" i="50"/>
  <c r="R261" i="50"/>
  <c r="BD261" i="50" s="1"/>
  <c r="BD239" i="50"/>
  <c r="K262" i="50"/>
  <c r="AW262" i="50" s="1"/>
  <c r="AW240" i="50"/>
  <c r="AM262" i="50"/>
  <c r="BY262" i="50" s="1"/>
  <c r="BY240" i="50"/>
  <c r="Y279" i="50"/>
  <c r="BK279" i="50" s="1"/>
  <c r="BK257" i="50"/>
  <c r="R276" i="50"/>
  <c r="BD276" i="50" s="1"/>
  <c r="BD254" i="50"/>
  <c r="Y264" i="50"/>
  <c r="BK264" i="50" s="1"/>
  <c r="BK242" i="50"/>
  <c r="E37" i="67"/>
  <c r="BB258" i="50"/>
  <c r="E37" i="85" s="1"/>
  <c r="BR166" i="50"/>
  <c r="AF186" i="50"/>
  <c r="BR186" i="50" s="1"/>
  <c r="Y268" i="50"/>
  <c r="BK268" i="50" s="1"/>
  <c r="BK246" i="50"/>
  <c r="Y262" i="50"/>
  <c r="BK262" i="50" s="1"/>
  <c r="BK240" i="50"/>
  <c r="BD253" i="50"/>
  <c r="R275" i="50"/>
  <c r="BD275" i="50" s="1"/>
  <c r="E19" i="67"/>
  <c r="AU258" i="50"/>
  <c r="E19" i="85" s="1"/>
  <c r="E97" i="67"/>
  <c r="BW258" i="50"/>
  <c r="E97" i="85" s="1"/>
  <c r="K279" i="50"/>
  <c r="AW279" i="50" s="1"/>
  <c r="AW257" i="50"/>
  <c r="BR259" i="50"/>
  <c r="F96" i="67"/>
  <c r="BX236" i="50"/>
  <c r="F96" i="85" s="1"/>
  <c r="K269" i="50"/>
  <c r="AW269" i="50" s="1"/>
  <c r="AW247" i="50"/>
  <c r="AW252" i="50"/>
  <c r="K274" i="50"/>
  <c r="AW274" i="50" s="1"/>
  <c r="AF275" i="50"/>
  <c r="BR275" i="50" s="1"/>
  <c r="BR253" i="50"/>
  <c r="AF175" i="50"/>
  <c r="BR175" i="50" s="1"/>
  <c r="BR155" i="50"/>
  <c r="R263" i="50"/>
  <c r="BD263" i="50" s="1"/>
  <c r="BD241" i="50"/>
  <c r="Y277" i="50"/>
  <c r="BK277" i="50" s="1"/>
  <c r="BK255" i="50"/>
  <c r="D115" i="67"/>
  <c r="Y274" i="50"/>
  <c r="BK274" i="50" s="1"/>
  <c r="BK252" i="50"/>
  <c r="R60" i="62"/>
  <c r="BI60" i="62" s="1"/>
  <c r="K268" i="50"/>
  <c r="AW268" i="50" s="1"/>
  <c r="AW246" i="50"/>
  <c r="AW241" i="50"/>
  <c r="K263" i="50"/>
  <c r="AW263" i="50" s="1"/>
  <c r="AM277" i="50"/>
  <c r="BY277" i="50" s="1"/>
  <c r="BY255" i="50"/>
  <c r="R279" i="50"/>
  <c r="BD279" i="50" s="1"/>
  <c r="BD257" i="50"/>
  <c r="AF274" i="50"/>
  <c r="BR274" i="50" s="1"/>
  <c r="BR252" i="50"/>
  <c r="AF264" i="50"/>
  <c r="BR264" i="50" s="1"/>
  <c r="BR242" i="50"/>
  <c r="Y272" i="50"/>
  <c r="BK272" i="50" s="1"/>
  <c r="BK250" i="50"/>
  <c r="AW243" i="50"/>
  <c r="K265" i="50"/>
  <c r="AW265" i="50" s="1"/>
  <c r="AF273" i="50"/>
  <c r="BR273" i="50" s="1"/>
  <c r="BR251" i="50"/>
  <c r="J258" i="50"/>
  <c r="AV262" i="50"/>
  <c r="BR238" i="50"/>
  <c r="AF260" i="50"/>
  <c r="BR260" i="50" s="1"/>
  <c r="AF272" i="50"/>
  <c r="BR272" i="50" s="1"/>
  <c r="BR250" i="50"/>
  <c r="K273" i="50"/>
  <c r="AW273" i="50" s="1"/>
  <c r="R272" i="50"/>
  <c r="BD272" i="50" s="1"/>
  <c r="BD250" i="50"/>
  <c r="R267" i="50"/>
  <c r="BD267" i="50" s="1"/>
  <c r="BD245" i="50"/>
  <c r="K276" i="50"/>
  <c r="AW276" i="50" s="1"/>
  <c r="AW254" i="50"/>
  <c r="K261" i="50"/>
  <c r="AW261" i="50" s="1"/>
  <c r="AW239" i="50"/>
  <c r="Y261" i="50"/>
  <c r="BK261" i="50" s="1"/>
  <c r="BK239" i="50"/>
  <c r="AF271" i="50"/>
  <c r="BR271" i="50" s="1"/>
  <c r="BR249" i="50"/>
  <c r="AM268" i="50"/>
  <c r="BY268" i="50" s="1"/>
  <c r="BY246" i="50"/>
  <c r="AW242" i="50"/>
  <c r="K264" i="50"/>
  <c r="AW264" i="50" s="1"/>
  <c r="AP30" i="7"/>
  <c r="CM30" i="7" s="1"/>
  <c r="AF236" i="50"/>
  <c r="Q258" i="50"/>
  <c r="BC259" i="50"/>
  <c r="AL258" i="50"/>
  <c r="BX259" i="50"/>
  <c r="AM278" i="50"/>
  <c r="BY278" i="50" s="1"/>
  <c r="BY256" i="50"/>
  <c r="AF279" i="50"/>
  <c r="BR279" i="50" s="1"/>
  <c r="BR257" i="50"/>
  <c r="BP67" i="62"/>
  <c r="Y60" i="62"/>
  <c r="BP60" i="62" s="1"/>
  <c r="Y275" i="50"/>
  <c r="BK275" i="50" s="1"/>
  <c r="BK253" i="50"/>
  <c r="AM275" i="50"/>
  <c r="BY275" i="50" s="1"/>
  <c r="BY253" i="50"/>
  <c r="AM274" i="50"/>
  <c r="BY274" i="50" s="1"/>
  <c r="BY252" i="50"/>
  <c r="AF267" i="50"/>
  <c r="BR267" i="50" s="1"/>
  <c r="BR245" i="50"/>
  <c r="E55" i="67"/>
  <c r="BI258" i="50"/>
  <c r="E55" i="85" s="1"/>
  <c r="R266" i="50"/>
  <c r="BD266" i="50" s="1"/>
  <c r="BD244" i="50"/>
  <c r="AM272" i="50"/>
  <c r="BY272" i="50" s="1"/>
  <c r="BY250" i="50"/>
  <c r="G16" i="67"/>
  <c r="G112" i="67" s="1"/>
  <c r="AW192" i="50"/>
  <c r="G16" i="85" s="1"/>
  <c r="F36" i="67"/>
  <c r="BC236" i="50"/>
  <c r="F36" i="85" s="1"/>
  <c r="Y260" i="50"/>
  <c r="BK260" i="50" s="1"/>
  <c r="BK238" i="50"/>
  <c r="G35" i="67"/>
  <c r="BR160" i="50"/>
  <c r="AF180" i="50"/>
  <c r="BR180" i="50" s="1"/>
  <c r="K270" i="50"/>
  <c r="AW270" i="50" s="1"/>
  <c r="AW248" i="50"/>
  <c r="AF261" i="50"/>
  <c r="BR261" i="50" s="1"/>
  <c r="BR239" i="50"/>
  <c r="Y266" i="50"/>
  <c r="BK266" i="50" s="1"/>
  <c r="BK244" i="50"/>
  <c r="AF277" i="50"/>
  <c r="BR277" i="50" s="1"/>
  <c r="BR255" i="50"/>
  <c r="AM60" i="62"/>
  <c r="CD60" i="62" s="1"/>
  <c r="CD79" i="62"/>
  <c r="AM68" i="50"/>
  <c r="BY68" i="50" s="1"/>
  <c r="BX68" i="50"/>
  <c r="AM80" i="50"/>
  <c r="BY80" i="50" s="1"/>
  <c r="BX80" i="50"/>
  <c r="AM78" i="50"/>
  <c r="BY78" i="50" s="1"/>
  <c r="BX78" i="50"/>
  <c r="BX75" i="50"/>
  <c r="AM75" i="50"/>
  <c r="BY75" i="50" s="1"/>
  <c r="BX76" i="50"/>
  <c r="AM76" i="50"/>
  <c r="BY76" i="50" s="1"/>
  <c r="BX74" i="50"/>
  <c r="AM74" i="50"/>
  <c r="BY74" i="50" s="1"/>
  <c r="AM81" i="50"/>
  <c r="BY81" i="50" s="1"/>
  <c r="BX81" i="50"/>
  <c r="AM73" i="50"/>
  <c r="BY73" i="50" s="1"/>
  <c r="BX73" i="50"/>
  <c r="BX62" i="50"/>
  <c r="AM62" i="50"/>
  <c r="BY62" i="50" s="1"/>
  <c r="BX84" i="50"/>
  <c r="AM84" i="50"/>
  <c r="BY84" i="50" s="1"/>
  <c r="AH83" i="53"/>
  <c r="AG83" i="53"/>
  <c r="CK83" i="53" s="1"/>
  <c r="AH18" i="53"/>
  <c r="AG18" i="53"/>
  <c r="CK18" i="53" s="1"/>
  <c r="AP83" i="53"/>
  <c r="AO83" i="53"/>
  <c r="CR83" i="53" s="1"/>
  <c r="AO18" i="53"/>
  <c r="CR18" i="53" s="1"/>
  <c r="AP18" i="53"/>
  <c r="AP12" i="53"/>
  <c r="AO12" i="53"/>
  <c r="CR12" i="53" s="1"/>
  <c r="U110" i="67"/>
  <c r="AP70" i="53"/>
  <c r="AO70" i="53"/>
  <c r="CR70" i="53" s="1"/>
  <c r="AH38" i="53"/>
  <c r="AG38" i="53"/>
  <c r="CK38" i="53" s="1"/>
  <c r="AH25" i="53"/>
  <c r="AG25" i="53"/>
  <c r="CK25" i="53" s="1"/>
  <c r="AH51" i="53"/>
  <c r="AG51" i="53"/>
  <c r="CK51" i="53" s="1"/>
  <c r="AO38" i="53"/>
  <c r="CR38" i="53" s="1"/>
  <c r="AP38" i="53"/>
  <c r="AP25" i="53"/>
  <c r="AO25" i="53"/>
  <c r="CR25" i="53" s="1"/>
  <c r="AG12" i="53"/>
  <c r="CK12" i="53" s="1"/>
  <c r="AH12" i="53"/>
  <c r="AP51" i="53"/>
  <c r="AO51" i="53"/>
  <c r="CR51" i="53" s="1"/>
  <c r="U86" i="67"/>
  <c r="AG70" i="53"/>
  <c r="CK70" i="53" s="1"/>
  <c r="AH70" i="53"/>
  <c r="AR8" i="7"/>
  <c r="AJ36" i="7"/>
  <c r="AJ58" i="7"/>
  <c r="AB69" i="7"/>
  <c r="AB47" i="7"/>
  <c r="AW30" i="7"/>
  <c r="CT30" i="7" s="1"/>
  <c r="AJ70" i="73"/>
  <c r="BY70" i="73" s="1"/>
  <c r="T86" i="67"/>
  <c r="F113" i="67"/>
  <c r="AU70" i="73"/>
  <c r="CE70" i="73" s="1"/>
  <c r="T110" i="67"/>
  <c r="AU55" i="73"/>
  <c r="CE55" i="73" s="1"/>
  <c r="T104" i="67"/>
  <c r="AJ55" i="73"/>
  <c r="BY55" i="73" s="1"/>
  <c r="T80" i="67"/>
  <c r="K236" i="50"/>
  <c r="Y236" i="50"/>
  <c r="BA12" i="73"/>
  <c r="AZ12" i="73"/>
  <c r="CH12" i="73" s="1"/>
  <c r="AO12" i="73"/>
  <c r="CB12" i="73" s="1"/>
  <c r="AP12" i="73"/>
  <c r="BE12" i="73"/>
  <c r="BD12" i="73"/>
  <c r="CJ12" i="73" s="1"/>
  <c r="AR12" i="73"/>
  <c r="AQ12" i="73"/>
  <c r="CC12" i="73" s="1"/>
  <c r="AX12" i="73"/>
  <c r="CG12" i="73" s="1"/>
  <c r="AY12" i="73"/>
  <c r="AK38" i="73"/>
  <c r="BZ38" i="73" s="1"/>
  <c r="AL38" i="73"/>
  <c r="AS38" i="73"/>
  <c r="CD38" i="73" s="1"/>
  <c r="AT38" i="73"/>
  <c r="BA38" i="73"/>
  <c r="AZ38" i="73"/>
  <c r="CH38" i="73" s="1"/>
  <c r="AN51" i="73"/>
  <c r="AM51" i="73"/>
  <c r="CA51" i="73" s="1"/>
  <c r="BB51" i="73"/>
  <c r="CI51" i="73" s="1"/>
  <c r="BC51" i="73"/>
  <c r="AQ70" i="73"/>
  <c r="CC70" i="73" s="1"/>
  <c r="AR70" i="73"/>
  <c r="AY70" i="73"/>
  <c r="AX70" i="73"/>
  <c r="CG70" i="73" s="1"/>
  <c r="AB76" i="53"/>
  <c r="CF76" i="53" s="1"/>
  <c r="U87" i="85" s="1"/>
  <c r="AK83" i="73"/>
  <c r="BZ83" i="73" s="1"/>
  <c r="AL83" i="73"/>
  <c r="AS83" i="73"/>
  <c r="CD83" i="73" s="1"/>
  <c r="AT83" i="73"/>
  <c r="AL76" i="53"/>
  <c r="BA83" i="73"/>
  <c r="AZ83" i="73"/>
  <c r="CH83" i="73" s="1"/>
  <c r="AK25" i="73"/>
  <c r="BZ25" i="73" s="1"/>
  <c r="AL25" i="73"/>
  <c r="AS25" i="73"/>
  <c r="CD25" i="73" s="1"/>
  <c r="AT25" i="73"/>
  <c r="BA25" i="73"/>
  <c r="AZ25" i="73"/>
  <c r="CH25" i="73" s="1"/>
  <c r="AA76" i="53"/>
  <c r="CE76" i="53" s="1"/>
  <c r="T87" i="85" s="1"/>
  <c r="AJ83" i="73"/>
  <c r="BY83" i="73" s="1"/>
  <c r="AS12" i="73"/>
  <c r="CD12" i="73" s="1"/>
  <c r="AT12" i="73"/>
  <c r="BB38" i="73"/>
  <c r="CI38" i="73" s="1"/>
  <c r="BC38" i="73"/>
  <c r="AW51" i="73"/>
  <c r="AV51" i="73"/>
  <c r="CF51" i="73" s="1"/>
  <c r="BE51" i="73"/>
  <c r="BD51" i="73"/>
  <c r="CJ51" i="73" s="1"/>
  <c r="AL70" i="73"/>
  <c r="AK70" i="73"/>
  <c r="BZ70" i="73" s="1"/>
  <c r="AT70" i="73"/>
  <c r="AS70" i="73"/>
  <c r="CD70" i="73" s="1"/>
  <c r="AZ70" i="73"/>
  <c r="CH70" i="73" s="1"/>
  <c r="BA70" i="73"/>
  <c r="AC76" i="53"/>
  <c r="AN83" i="73"/>
  <c r="AM83" i="73"/>
  <c r="CA83" i="73" s="1"/>
  <c r="AI76" i="53"/>
  <c r="CL76" i="53" s="1"/>
  <c r="T111" i="85" s="1"/>
  <c r="AU83" i="73"/>
  <c r="CE83" i="73" s="1"/>
  <c r="AM76" i="53"/>
  <c r="BB83" i="73"/>
  <c r="CI83" i="73" s="1"/>
  <c r="BC83" i="73"/>
  <c r="AN25" i="73"/>
  <c r="AM25" i="73"/>
  <c r="CA25" i="73" s="1"/>
  <c r="BB25" i="73"/>
  <c r="CI25" i="73" s="1"/>
  <c r="BC25" i="73"/>
  <c r="AK12" i="73"/>
  <c r="BZ12" i="73" s="1"/>
  <c r="AL12" i="73"/>
  <c r="AN38" i="73"/>
  <c r="AM38" i="73"/>
  <c r="CA38" i="73" s="1"/>
  <c r="AO51" i="73"/>
  <c r="CB51" i="73" s="1"/>
  <c r="AP51" i="73"/>
  <c r="AN12" i="73"/>
  <c r="AM12" i="73"/>
  <c r="CA12" i="73" s="1"/>
  <c r="BB12" i="73"/>
  <c r="CI12" i="73" s="1"/>
  <c r="BC12" i="73"/>
  <c r="AO38" i="73"/>
  <c r="CB38" i="73" s="1"/>
  <c r="AP38" i="73"/>
  <c r="AW38" i="73"/>
  <c r="AV38" i="73"/>
  <c r="CF38" i="73" s="1"/>
  <c r="BE38" i="73"/>
  <c r="BD38" i="73"/>
  <c r="CJ38" i="73" s="1"/>
  <c r="AR51" i="73"/>
  <c r="AQ51" i="73"/>
  <c r="CC51" i="73" s="1"/>
  <c r="AX51" i="73"/>
  <c r="CG51" i="73" s="1"/>
  <c r="AY51" i="73"/>
  <c r="AM70" i="73"/>
  <c r="CA70" i="73" s="1"/>
  <c r="AN70" i="73"/>
  <c r="BC70" i="73"/>
  <c r="BB70" i="73"/>
  <c r="CI70" i="73" s="1"/>
  <c r="AD76" i="53"/>
  <c r="AO83" i="73"/>
  <c r="CB83" i="73" s="1"/>
  <c r="AP83" i="73"/>
  <c r="AJ76" i="53"/>
  <c r="CM76" i="53" s="1"/>
  <c r="U111" i="85" s="1"/>
  <c r="AW83" i="73"/>
  <c r="AV83" i="73"/>
  <c r="CF83" i="73" s="1"/>
  <c r="BE83" i="73"/>
  <c r="BD83" i="73"/>
  <c r="CJ83" i="73" s="1"/>
  <c r="AO25" i="73"/>
  <c r="CB25" i="73" s="1"/>
  <c r="AP25" i="73"/>
  <c r="AW25" i="73"/>
  <c r="AV25" i="73"/>
  <c r="CF25" i="73" s="1"/>
  <c r="BE25" i="73"/>
  <c r="BD25" i="73"/>
  <c r="CJ25" i="73" s="1"/>
  <c r="AW12" i="73"/>
  <c r="AV12" i="73"/>
  <c r="CF12" i="73" s="1"/>
  <c r="AR38" i="73"/>
  <c r="AQ38" i="73"/>
  <c r="CC38" i="73" s="1"/>
  <c r="AX38" i="73"/>
  <c r="CG38" i="73" s="1"/>
  <c r="AY38" i="73"/>
  <c r="AK51" i="73"/>
  <c r="BZ51" i="73" s="1"/>
  <c r="AL51" i="73"/>
  <c r="AS51" i="73"/>
  <c r="CD51" i="73" s="1"/>
  <c r="AT51" i="73"/>
  <c r="BA51" i="73"/>
  <c r="AZ51" i="73"/>
  <c r="CH51" i="73" s="1"/>
  <c r="AP70" i="73"/>
  <c r="AO70" i="73"/>
  <c r="CB70" i="73" s="1"/>
  <c r="AV70" i="73"/>
  <c r="CF70" i="73" s="1"/>
  <c r="AW70" i="73"/>
  <c r="BD70" i="73"/>
  <c r="CJ70" i="73" s="1"/>
  <c r="BE70" i="73"/>
  <c r="AE76" i="53"/>
  <c r="AR83" i="73"/>
  <c r="AQ83" i="73"/>
  <c r="CC83" i="73" s="1"/>
  <c r="AK76" i="53"/>
  <c r="AX83" i="73"/>
  <c r="CG83" i="73" s="1"/>
  <c r="AY83" i="73"/>
  <c r="AR25" i="73"/>
  <c r="AQ25" i="73"/>
  <c r="CC25" i="73" s="1"/>
  <c r="AX25" i="73"/>
  <c r="CG25" i="73" s="1"/>
  <c r="AY25" i="73"/>
  <c r="AN18" i="73"/>
  <c r="AM18" i="73"/>
  <c r="CA18" i="73" s="1"/>
  <c r="BC18" i="73"/>
  <c r="BB18" i="73"/>
  <c r="CI18" i="73" s="1"/>
  <c r="AO18" i="73"/>
  <c r="CB18" i="73" s="1"/>
  <c r="AP18" i="73"/>
  <c r="AV18" i="73"/>
  <c r="CF18" i="73" s="1"/>
  <c r="AW18" i="73"/>
  <c r="BD18" i="73"/>
  <c r="CJ18" i="73" s="1"/>
  <c r="BE18" i="73"/>
  <c r="AR18" i="73"/>
  <c r="AQ18" i="73"/>
  <c r="CC18" i="73" s="1"/>
  <c r="AY18" i="73"/>
  <c r="AX18" i="73"/>
  <c r="CG18" i="73" s="1"/>
  <c r="AL18" i="73"/>
  <c r="AK18" i="73"/>
  <c r="BZ18" i="73" s="1"/>
  <c r="AT18" i="73"/>
  <c r="AS18" i="73"/>
  <c r="CD18" i="73" s="1"/>
  <c r="AZ18" i="73"/>
  <c r="CH18" i="73" s="1"/>
  <c r="BA18" i="73"/>
  <c r="AN76" i="53"/>
  <c r="AF76" i="53"/>
  <c r="AM29" i="53"/>
  <c r="R236" i="50"/>
  <c r="R259" i="50"/>
  <c r="AM236" i="50"/>
  <c r="AM259" i="50"/>
  <c r="AM61" i="50"/>
  <c r="BY61" i="50" s="1"/>
  <c r="AF172" i="50"/>
  <c r="BR172" i="50" s="1"/>
  <c r="AF61" i="50"/>
  <c r="BR61" i="50" s="1"/>
  <c r="AJ29" i="53"/>
  <c r="CM29" i="53" s="1"/>
  <c r="U103" i="85" s="1"/>
  <c r="AF29" i="53"/>
  <c r="AN29" i="53"/>
  <c r="AC29" i="53"/>
  <c r="AI29" i="53"/>
  <c r="CL29" i="53" s="1"/>
  <c r="T103" i="85" s="1"/>
  <c r="AL29" i="53"/>
  <c r="AA29" i="53"/>
  <c r="CE29" i="53" s="1"/>
  <c r="T79" i="85" s="1"/>
  <c r="AD29" i="53"/>
  <c r="AE29" i="53"/>
  <c r="AB29" i="53"/>
  <c r="CF29" i="53" s="1"/>
  <c r="U79" i="85" s="1"/>
  <c r="AK29" i="53"/>
  <c r="Z103" i="85" l="1"/>
  <c r="Z79" i="85"/>
  <c r="Z87" i="85"/>
  <c r="F114" i="85"/>
  <c r="E115" i="85"/>
  <c r="Z111" i="85"/>
  <c r="O132" i="85"/>
  <c r="G112" i="85"/>
  <c r="G119" i="85"/>
  <c r="G129" i="85" s="1"/>
  <c r="G113" i="67"/>
  <c r="F73" i="67"/>
  <c r="Y111" i="67"/>
  <c r="CQ76" i="53"/>
  <c r="Y111" i="85" s="1"/>
  <c r="AA111" i="85" s="1"/>
  <c r="W111" i="67"/>
  <c r="CO76" i="53"/>
  <c r="W111" i="85" s="1"/>
  <c r="V103" i="67"/>
  <c r="CN29" i="53"/>
  <c r="V103" i="85" s="1"/>
  <c r="X79" i="67"/>
  <c r="CI29" i="53"/>
  <c r="X79" i="85" s="1"/>
  <c r="X103" i="67"/>
  <c r="CP29" i="53"/>
  <c r="X103" i="85" s="1"/>
  <c r="X87" i="67"/>
  <c r="CI76" i="53"/>
  <c r="X87" i="85" s="1"/>
  <c r="W87" i="67"/>
  <c r="CH76" i="53"/>
  <c r="W87" i="85" s="1"/>
  <c r="W103" i="67"/>
  <c r="CO29" i="53"/>
  <c r="W103" i="85" s="1"/>
  <c r="V87" i="67"/>
  <c r="CG76" i="53"/>
  <c r="V87" i="85" s="1"/>
  <c r="V79" i="67"/>
  <c r="CG29" i="53"/>
  <c r="V79" i="85" s="1"/>
  <c r="V111" i="67"/>
  <c r="CN76" i="53"/>
  <c r="V111" i="85" s="1"/>
  <c r="Y103" i="67"/>
  <c r="CQ29" i="53"/>
  <c r="Y103" i="85" s="1"/>
  <c r="AA103" i="85" s="1"/>
  <c r="Y79" i="67"/>
  <c r="CJ29" i="53"/>
  <c r="Y79" i="85" s="1"/>
  <c r="AA79" i="85" s="1"/>
  <c r="X111" i="67"/>
  <c r="CP76" i="53"/>
  <c r="X111" i="85" s="1"/>
  <c r="W79" i="67"/>
  <c r="CH29" i="53"/>
  <c r="W79" i="85" s="1"/>
  <c r="Y87" i="67"/>
  <c r="CJ76" i="53"/>
  <c r="Y87" i="85" s="1"/>
  <c r="AA87" i="85" s="1"/>
  <c r="AX30" i="7"/>
  <c r="CU30" i="7" s="1"/>
  <c r="F114" i="67"/>
  <c r="BJ258" i="50"/>
  <c r="F55" i="85" s="1"/>
  <c r="Y258" i="50"/>
  <c r="G55" i="67" s="1"/>
  <c r="G119" i="67"/>
  <c r="G129" i="67" s="1"/>
  <c r="R258" i="50"/>
  <c r="BD259" i="50"/>
  <c r="K258" i="50"/>
  <c r="G36" i="67"/>
  <c r="BD236" i="50"/>
  <c r="G36" i="85" s="1"/>
  <c r="F97" i="67"/>
  <c r="BX258" i="50"/>
  <c r="F97" i="85" s="1"/>
  <c r="E115" i="67"/>
  <c r="F37" i="67"/>
  <c r="BC258" i="50"/>
  <c r="F37" i="85" s="1"/>
  <c r="G72" i="67"/>
  <c r="BR236" i="50"/>
  <c r="G72" i="85" s="1"/>
  <c r="F19" i="67"/>
  <c r="AV258" i="50"/>
  <c r="F19" i="85" s="1"/>
  <c r="AF258" i="50"/>
  <c r="G96" i="67"/>
  <c r="BY236" i="50"/>
  <c r="G96" i="85" s="1"/>
  <c r="G54" i="67"/>
  <c r="BK236" i="50"/>
  <c r="G54" i="85" s="1"/>
  <c r="AM258" i="50"/>
  <c r="BY259" i="50"/>
  <c r="G18" i="67"/>
  <c r="AW236" i="50"/>
  <c r="G18" i="85" s="1"/>
  <c r="Z110" i="67"/>
  <c r="Z86" i="67"/>
  <c r="U111" i="67"/>
  <c r="AP76" i="53"/>
  <c r="AO76" i="53"/>
  <c r="CR76" i="53" s="1"/>
  <c r="U103" i="67"/>
  <c r="AP29" i="53"/>
  <c r="AO29" i="53"/>
  <c r="CR29" i="53" s="1"/>
  <c r="U79" i="67"/>
  <c r="AH29" i="53"/>
  <c r="AG29" i="53"/>
  <c r="CK29" i="53" s="1"/>
  <c r="U87" i="67"/>
  <c r="AG76" i="53"/>
  <c r="CK76" i="53" s="1"/>
  <c r="AH76" i="53"/>
  <c r="AJ69" i="7"/>
  <c r="AJ47" i="7"/>
  <c r="AR36" i="7"/>
  <c r="AR58" i="7"/>
  <c r="AA110" i="67"/>
  <c r="AJ76" i="73"/>
  <c r="BY76" i="73" s="1"/>
  <c r="T87" i="67"/>
  <c r="AA86" i="67"/>
  <c r="AU76" i="73"/>
  <c r="CE76" i="73" s="1"/>
  <c r="T111" i="67"/>
  <c r="AU29" i="73"/>
  <c r="CE29" i="73" s="1"/>
  <c r="T103" i="67"/>
  <c r="AJ29" i="73"/>
  <c r="BY29" i="73" s="1"/>
  <c r="T79" i="67"/>
  <c r="BC76" i="73"/>
  <c r="BB76" i="73"/>
  <c r="CI76" i="73" s="1"/>
  <c r="AQ76" i="73"/>
  <c r="CC76" i="73" s="1"/>
  <c r="AR76" i="73"/>
  <c r="AP76" i="73"/>
  <c r="AO76" i="73"/>
  <c r="CB76" i="73" s="1"/>
  <c r="AM76" i="73"/>
  <c r="CA76" i="73" s="1"/>
  <c r="AN76" i="73"/>
  <c r="AT76" i="73"/>
  <c r="AS76" i="73"/>
  <c r="CD76" i="73" s="1"/>
  <c r="AY76" i="73"/>
  <c r="AX76" i="73"/>
  <c r="CG76" i="73" s="1"/>
  <c r="AV76" i="73"/>
  <c r="CF76" i="73" s="1"/>
  <c r="AW76" i="73"/>
  <c r="AZ76" i="73"/>
  <c r="CH76" i="73" s="1"/>
  <c r="BA76" i="73"/>
  <c r="BD76" i="73"/>
  <c r="CJ76" i="73" s="1"/>
  <c r="BE76" i="73"/>
  <c r="AL76" i="73"/>
  <c r="AK76" i="73"/>
  <c r="BZ76" i="73" s="1"/>
  <c r="AL29" i="73"/>
  <c r="AK29" i="73"/>
  <c r="BZ29" i="73" s="1"/>
  <c r="BA29" i="73"/>
  <c r="AZ29" i="73"/>
  <c r="CH29" i="73" s="1"/>
  <c r="AT29" i="73"/>
  <c r="AS29" i="73"/>
  <c r="CD29" i="73" s="1"/>
  <c r="BB29" i="73"/>
  <c r="CI29" i="73" s="1"/>
  <c r="BC29" i="73"/>
  <c r="AQ29" i="73"/>
  <c r="CC29" i="73" s="1"/>
  <c r="AR29" i="73"/>
  <c r="AW29" i="73"/>
  <c r="AV29" i="73"/>
  <c r="CF29" i="73" s="1"/>
  <c r="AP29" i="73"/>
  <c r="AO29" i="73"/>
  <c r="CB29" i="73" s="1"/>
  <c r="AN29" i="73"/>
  <c r="AM29" i="73"/>
  <c r="CA29" i="73" s="1"/>
  <c r="AX29" i="73"/>
  <c r="CG29" i="73" s="1"/>
  <c r="AY29" i="73"/>
  <c r="BE29" i="73"/>
  <c r="BD29" i="73"/>
  <c r="CJ29" i="73" s="1"/>
  <c r="E72" i="49"/>
  <c r="E58" i="49"/>
  <c r="G114" i="85" l="1"/>
  <c r="F115" i="85"/>
  <c r="AN31" i="67"/>
  <c r="K58" i="49"/>
  <c r="AN31" i="85" s="1"/>
  <c r="AN39" i="67"/>
  <c r="K72" i="49"/>
  <c r="AN39" i="85" s="1"/>
  <c r="AA87" i="67"/>
  <c r="G114" i="67"/>
  <c r="BK258" i="50"/>
  <c r="G55" i="85" s="1"/>
  <c r="G73" i="67"/>
  <c r="BR258" i="50"/>
  <c r="G73" i="85" s="1"/>
  <c r="G97" i="67"/>
  <c r="BY258" i="50"/>
  <c r="G97" i="85" s="1"/>
  <c r="F115" i="67"/>
  <c r="G19" i="67"/>
  <c r="AW258" i="50"/>
  <c r="G19" i="85" s="1"/>
  <c r="G37" i="67"/>
  <c r="BD258" i="50"/>
  <c r="G37" i="85" s="1"/>
  <c r="Z111" i="67"/>
  <c r="Z79" i="67"/>
  <c r="Z103" i="67"/>
  <c r="AR47" i="7"/>
  <c r="AR69" i="7"/>
  <c r="Z87" i="67"/>
  <c r="AA111" i="67"/>
  <c r="AA79" i="67"/>
  <c r="AA103" i="67"/>
  <c r="F72" i="49"/>
  <c r="F58" i="49"/>
  <c r="H101" i="39"/>
  <c r="G101" i="39"/>
  <c r="F101" i="39"/>
  <c r="E101" i="39"/>
  <c r="D101" i="39"/>
  <c r="C101" i="39"/>
  <c r="H92" i="39"/>
  <c r="G92" i="39"/>
  <c r="F92" i="39"/>
  <c r="E92" i="39"/>
  <c r="D92" i="39"/>
  <c r="I91" i="39"/>
  <c r="V91" i="39" s="1"/>
  <c r="H91" i="39"/>
  <c r="G91" i="39"/>
  <c r="F91" i="39"/>
  <c r="E91" i="39"/>
  <c r="D91" i="39"/>
  <c r="C91" i="39"/>
  <c r="H90" i="39"/>
  <c r="G90" i="39"/>
  <c r="F90" i="39"/>
  <c r="E90" i="39"/>
  <c r="D90" i="39"/>
  <c r="I89" i="39"/>
  <c r="V89" i="39" s="1"/>
  <c r="D89" i="39"/>
  <c r="H81" i="39"/>
  <c r="Q15" i="83" s="1"/>
  <c r="G81" i="39"/>
  <c r="P15" i="83" s="1"/>
  <c r="F81" i="39"/>
  <c r="O15" i="83" s="1"/>
  <c r="E81" i="39"/>
  <c r="N15" i="83" s="1"/>
  <c r="D81" i="39"/>
  <c r="M15" i="83" s="1"/>
  <c r="M81" i="39"/>
  <c r="Z81" i="39" s="1"/>
  <c r="L81" i="39"/>
  <c r="Y81" i="39" s="1"/>
  <c r="N72" i="39"/>
  <c r="M72" i="39"/>
  <c r="L72" i="39"/>
  <c r="K72" i="39"/>
  <c r="J72" i="39"/>
  <c r="I72" i="39"/>
  <c r="I65" i="39"/>
  <c r="H65" i="39"/>
  <c r="Q13" i="83" s="1"/>
  <c r="G65" i="39"/>
  <c r="P13" i="83" s="1"/>
  <c r="F65" i="39"/>
  <c r="O13" i="83" s="1"/>
  <c r="E65" i="39"/>
  <c r="N13" i="83" s="1"/>
  <c r="D65" i="39"/>
  <c r="M13" i="83" s="1"/>
  <c r="C65" i="39"/>
  <c r="L13" i="83" s="1"/>
  <c r="N65" i="39"/>
  <c r="AA65" i="39" s="1"/>
  <c r="N56" i="39"/>
  <c r="M56" i="39"/>
  <c r="L56" i="39"/>
  <c r="K56" i="39"/>
  <c r="J56" i="39"/>
  <c r="I56" i="39"/>
  <c r="D49" i="39"/>
  <c r="M10" i="83" s="1"/>
  <c r="I34" i="39"/>
  <c r="H34" i="39"/>
  <c r="G34" i="39"/>
  <c r="F34" i="39"/>
  <c r="E34" i="39"/>
  <c r="D34" i="39"/>
  <c r="C34" i="39"/>
  <c r="H40" i="39"/>
  <c r="G40" i="39"/>
  <c r="F40" i="39"/>
  <c r="D40" i="39"/>
  <c r="C40" i="39"/>
  <c r="I18" i="39"/>
  <c r="V18" i="39" s="1"/>
  <c r="R5" i="83" s="1"/>
  <c r="H18" i="39"/>
  <c r="Q5" i="83" s="1"/>
  <c r="G18" i="39"/>
  <c r="P5" i="83" s="1"/>
  <c r="F18" i="39"/>
  <c r="O5" i="83" s="1"/>
  <c r="D18" i="39"/>
  <c r="L5" i="78"/>
  <c r="N92" i="39"/>
  <c r="AA92" i="39" s="1"/>
  <c r="M92" i="39"/>
  <c r="Z92" i="39" s="1"/>
  <c r="L92" i="39"/>
  <c r="Y92" i="39" s="1"/>
  <c r="K92" i="39"/>
  <c r="X92" i="39" s="1"/>
  <c r="J92" i="39"/>
  <c r="W92" i="39" s="1"/>
  <c r="N91" i="39"/>
  <c r="AA91" i="39" s="1"/>
  <c r="M91" i="39"/>
  <c r="Z91" i="39" s="1"/>
  <c r="L91" i="39"/>
  <c r="Y91" i="39" s="1"/>
  <c r="K91" i="39"/>
  <c r="X91" i="39" s="1"/>
  <c r="J91" i="39"/>
  <c r="W91" i="39" s="1"/>
  <c r="N9" i="39"/>
  <c r="M9" i="39"/>
  <c r="L9" i="39"/>
  <c r="K9" i="39"/>
  <c r="J9" i="39"/>
  <c r="I9" i="39"/>
  <c r="Q8" i="78" l="1"/>
  <c r="Q8" i="83"/>
  <c r="V15" i="83"/>
  <c r="Z82" i="39"/>
  <c r="V16" i="83" s="1"/>
  <c r="M5" i="78"/>
  <c r="M5" i="83"/>
  <c r="W13" i="83"/>
  <c r="P8" i="78"/>
  <c r="P8" i="83"/>
  <c r="L8" i="78"/>
  <c r="L8" i="83"/>
  <c r="L18" i="83" s="1"/>
  <c r="M8" i="78"/>
  <c r="M8" i="83"/>
  <c r="G115" i="85"/>
  <c r="U15" i="83"/>
  <c r="N8" i="78"/>
  <c r="N8" i="83"/>
  <c r="O8" i="78"/>
  <c r="O8" i="83"/>
  <c r="AO31" i="67"/>
  <c r="L58" i="49"/>
  <c r="AO31" i="85" s="1"/>
  <c r="AO39" i="67"/>
  <c r="L72" i="49"/>
  <c r="AO39" i="85" s="1"/>
  <c r="G115" i="67"/>
  <c r="Q9" i="39"/>
  <c r="AD9" i="39" s="1"/>
  <c r="X9" i="39"/>
  <c r="P72" i="39"/>
  <c r="AC72" i="39" s="1"/>
  <c r="W72" i="39"/>
  <c r="R9" i="39"/>
  <c r="AE9" i="39" s="1"/>
  <c r="Y9" i="39"/>
  <c r="O56" i="39"/>
  <c r="AB56" i="39" s="1"/>
  <c r="V56" i="39"/>
  <c r="S56" i="39"/>
  <c r="AF56" i="39" s="1"/>
  <c r="Z56" i="39"/>
  <c r="Q72" i="39"/>
  <c r="AD72" i="39" s="1"/>
  <c r="X72" i="39"/>
  <c r="P56" i="39"/>
  <c r="AC56" i="39" s="1"/>
  <c r="W56" i="39"/>
  <c r="T56" i="39"/>
  <c r="AG56" i="39" s="1"/>
  <c r="AA56" i="39"/>
  <c r="R13" i="78"/>
  <c r="V65" i="39"/>
  <c r="R13" i="83" s="1"/>
  <c r="R72" i="39"/>
  <c r="AE72" i="39" s="1"/>
  <c r="Y72" i="39"/>
  <c r="R56" i="39"/>
  <c r="AE56" i="39" s="1"/>
  <c r="Y56" i="39"/>
  <c r="T72" i="39"/>
  <c r="AG72" i="39" s="1"/>
  <c r="AA72" i="39"/>
  <c r="O9" i="39"/>
  <c r="AB9" i="39" s="1"/>
  <c r="V9" i="39"/>
  <c r="S9" i="39"/>
  <c r="AF9" i="39" s="1"/>
  <c r="Z9" i="39"/>
  <c r="P9" i="39"/>
  <c r="AC9" i="39" s="1"/>
  <c r="W9" i="39"/>
  <c r="T9" i="39"/>
  <c r="AG9" i="39" s="1"/>
  <c r="AA9" i="39"/>
  <c r="R8" i="78"/>
  <c r="V34" i="39"/>
  <c r="R8" i="83" s="1"/>
  <c r="Q56" i="39"/>
  <c r="AD56" i="39" s="1"/>
  <c r="X56" i="39"/>
  <c r="O72" i="39"/>
  <c r="AB72" i="39" s="1"/>
  <c r="V72" i="39"/>
  <c r="S72" i="39"/>
  <c r="AF72" i="39" s="1"/>
  <c r="Z72" i="39"/>
  <c r="D93" i="39"/>
  <c r="C96" i="39"/>
  <c r="C93" i="39"/>
  <c r="Q15" i="78"/>
  <c r="H84" i="39"/>
  <c r="D84" i="39"/>
  <c r="N15" i="78"/>
  <c r="E84" i="39"/>
  <c r="O15" i="78"/>
  <c r="F84" i="39"/>
  <c r="P15" i="78"/>
  <c r="G84" i="39"/>
  <c r="P13" i="78"/>
  <c r="G68" i="39"/>
  <c r="O13" i="78"/>
  <c r="F68" i="39"/>
  <c r="Q13" i="78"/>
  <c r="H68" i="39"/>
  <c r="N13" i="78"/>
  <c r="E68" i="39"/>
  <c r="M13" i="78"/>
  <c r="D68" i="39"/>
  <c r="L13" i="78"/>
  <c r="C68" i="39"/>
  <c r="F21" i="39"/>
  <c r="O5" i="78"/>
  <c r="AM17" i="53"/>
  <c r="CP17" i="53" s="1"/>
  <c r="AV31" i="85" s="1"/>
  <c r="V15" i="78"/>
  <c r="AS17" i="53"/>
  <c r="CU17" i="53" s="1"/>
  <c r="T21" i="78"/>
  <c r="D82" i="39"/>
  <c r="M15" i="78"/>
  <c r="H21" i="39"/>
  <c r="Q5" i="78"/>
  <c r="G21" i="39"/>
  <c r="P5" i="78"/>
  <c r="C51" i="39"/>
  <c r="L10" i="78"/>
  <c r="AF17" i="53"/>
  <c r="CJ17" i="53" s="1"/>
  <c r="AW25" i="85" s="1"/>
  <c r="W13" i="78"/>
  <c r="D51" i="39"/>
  <c r="M10" i="78"/>
  <c r="C17" i="53"/>
  <c r="R5" i="78"/>
  <c r="AL17" i="53"/>
  <c r="CO17" i="53" s="1"/>
  <c r="AU31" i="85" s="1"/>
  <c r="U15" i="78"/>
  <c r="O89" i="39"/>
  <c r="AB89" i="39" s="1"/>
  <c r="D50" i="39"/>
  <c r="D19" i="39"/>
  <c r="E19" i="39"/>
  <c r="D35" i="39"/>
  <c r="D66" i="39"/>
  <c r="AI17" i="53"/>
  <c r="CL17" i="53" s="1"/>
  <c r="AA17" i="53"/>
  <c r="CE17" i="53" s="1"/>
  <c r="P91" i="39"/>
  <c r="AC91" i="39" s="1"/>
  <c r="T91" i="39"/>
  <c r="AG91" i="39" s="1"/>
  <c r="S91" i="39"/>
  <c r="AF91" i="39" s="1"/>
  <c r="D96" i="39"/>
  <c r="P92" i="39"/>
  <c r="AC92" i="39" s="1"/>
  <c r="T92" i="39"/>
  <c r="AG92" i="39" s="1"/>
  <c r="S92" i="39"/>
  <c r="AF92" i="39" s="1"/>
  <c r="R91" i="39"/>
  <c r="AE91" i="39" s="1"/>
  <c r="H35" i="39"/>
  <c r="F66" i="39"/>
  <c r="G82" i="39"/>
  <c r="O92" i="39"/>
  <c r="AB92" i="39" s="1"/>
  <c r="G35" i="39"/>
  <c r="Q92" i="39"/>
  <c r="AD92" i="39" s="1"/>
  <c r="K17" i="53"/>
  <c r="R92" i="39"/>
  <c r="AE92" i="39" s="1"/>
  <c r="O34" i="39"/>
  <c r="AB34" i="39" s="1"/>
  <c r="H66" i="39"/>
  <c r="G66" i="39"/>
  <c r="H82" i="39"/>
  <c r="T17" i="78"/>
  <c r="E89" i="39"/>
  <c r="E93" i="39" s="1"/>
  <c r="O65" i="39"/>
  <c r="AB65" i="39" s="1"/>
  <c r="E35" i="39"/>
  <c r="F49" i="39"/>
  <c r="O10" i="83" s="1"/>
  <c r="O91" i="39"/>
  <c r="AB91" i="39" s="1"/>
  <c r="Q91" i="39"/>
  <c r="AD91" i="39" s="1"/>
  <c r="I90" i="39"/>
  <c r="J25" i="39"/>
  <c r="N25" i="39"/>
  <c r="K18" i="39"/>
  <c r="L18" i="39"/>
  <c r="M18" i="39"/>
  <c r="F19" i="39"/>
  <c r="G88" i="39"/>
  <c r="M40" i="39"/>
  <c r="K34" i="39"/>
  <c r="X34" i="39" s="1"/>
  <c r="T65" i="39"/>
  <c r="AG65" i="39" s="1"/>
  <c r="G19" i="39"/>
  <c r="D88" i="39"/>
  <c r="J40" i="39"/>
  <c r="H88" i="39"/>
  <c r="N40" i="39"/>
  <c r="L25" i="39"/>
  <c r="H19" i="39"/>
  <c r="O18" i="39"/>
  <c r="AB18" i="39" s="1"/>
  <c r="K25" i="39"/>
  <c r="E40" i="39"/>
  <c r="I25" i="39"/>
  <c r="M25" i="39"/>
  <c r="M34" i="39"/>
  <c r="Z34" i="39" s="1"/>
  <c r="C88" i="39"/>
  <c r="I40" i="39"/>
  <c r="F88" i="39"/>
  <c r="L40" i="39"/>
  <c r="J34" i="39"/>
  <c r="W34" i="39" s="1"/>
  <c r="N34" i="39"/>
  <c r="AA34" i="39" s="1"/>
  <c r="F35" i="39"/>
  <c r="K65" i="39"/>
  <c r="X65" i="39" s="1"/>
  <c r="E66" i="39"/>
  <c r="K81" i="39"/>
  <c r="L65" i="39"/>
  <c r="Y65" i="39" s="1"/>
  <c r="R81" i="39"/>
  <c r="AE81" i="39" s="1"/>
  <c r="L34" i="39"/>
  <c r="Y34" i="39" s="1"/>
  <c r="M65" i="39"/>
  <c r="Z65" i="39" s="1"/>
  <c r="AA66" i="39" s="1"/>
  <c r="W14" i="83" s="1"/>
  <c r="S81" i="39"/>
  <c r="AF81" i="39" s="1"/>
  <c r="M82" i="39"/>
  <c r="V16" i="78" s="1"/>
  <c r="E49" i="39"/>
  <c r="J65" i="39"/>
  <c r="W65" i="39" s="1"/>
  <c r="E82" i="39"/>
  <c r="J81" i="39"/>
  <c r="W81" i="39" s="1"/>
  <c r="N81" i="39"/>
  <c r="AA81" i="39" s="1"/>
  <c r="F82" i="39"/>
  <c r="O81" i="39"/>
  <c r="AB81" i="39" s="1"/>
  <c r="R18" i="83" l="1"/>
  <c r="O18" i="83"/>
  <c r="AF82" i="39"/>
  <c r="M18" i="83"/>
  <c r="M20" i="83" s="1"/>
  <c r="O20" i="83"/>
  <c r="T13" i="83"/>
  <c r="X66" i="39"/>
  <c r="T14" i="83" s="1"/>
  <c r="V8" i="83"/>
  <c r="Z35" i="39"/>
  <c r="V9" i="83" s="1"/>
  <c r="P14" i="78"/>
  <c r="P14" i="83"/>
  <c r="P16" i="78"/>
  <c r="P16" i="83"/>
  <c r="M6" i="78"/>
  <c r="M6" i="83"/>
  <c r="M12" i="78"/>
  <c r="M12" i="83"/>
  <c r="O9" i="78"/>
  <c r="O9" i="83"/>
  <c r="O6" i="78"/>
  <c r="O6" i="83"/>
  <c r="Q14" i="78"/>
  <c r="Q14" i="83"/>
  <c r="O14" i="78"/>
  <c r="O14" i="83"/>
  <c r="M11" i="78"/>
  <c r="M11" i="83"/>
  <c r="N6" i="78"/>
  <c r="N6" i="83"/>
  <c r="W8" i="83"/>
  <c r="AA35" i="39"/>
  <c r="W9" i="83" s="1"/>
  <c r="Q9" i="78"/>
  <c r="Q9" i="83"/>
  <c r="M16" i="78"/>
  <c r="M16" i="83"/>
  <c r="V13" i="83"/>
  <c r="Z66" i="39"/>
  <c r="V14" i="83" s="1"/>
  <c r="Y35" i="39"/>
  <c r="U9" i="83" s="1"/>
  <c r="U8" i="83"/>
  <c r="W35" i="39"/>
  <c r="S9" i="83" s="1"/>
  <c r="S8" i="83"/>
  <c r="N9" i="78"/>
  <c r="N9" i="83"/>
  <c r="N10" i="78"/>
  <c r="N18" i="78" s="1"/>
  <c r="N10" i="83"/>
  <c r="N18" i="83" s="1"/>
  <c r="O16" i="78"/>
  <c r="O16" i="83"/>
  <c r="P6" i="78"/>
  <c r="P6" i="83"/>
  <c r="L12" i="78"/>
  <c r="L12" i="83"/>
  <c r="N14" i="78"/>
  <c r="N14" i="83"/>
  <c r="Q16" i="78"/>
  <c r="Q16" i="83"/>
  <c r="AA82" i="39"/>
  <c r="W16" i="83" s="1"/>
  <c r="W15" i="83"/>
  <c r="N16" i="78"/>
  <c r="N16" i="83"/>
  <c r="M14" i="78"/>
  <c r="M14" i="83"/>
  <c r="W82" i="39"/>
  <c r="S16" i="83" s="1"/>
  <c r="S15" i="83"/>
  <c r="U13" i="83"/>
  <c r="Y66" i="39"/>
  <c r="U14" i="83" s="1"/>
  <c r="S13" i="83"/>
  <c r="W66" i="39"/>
  <c r="S14" i="83" s="1"/>
  <c r="Q6" i="78"/>
  <c r="Q6" i="83"/>
  <c r="X35" i="39"/>
  <c r="T9" i="83" s="1"/>
  <c r="T8" i="83"/>
  <c r="P9" i="78"/>
  <c r="P9" i="83"/>
  <c r="M9" i="78"/>
  <c r="M9" i="83"/>
  <c r="C17" i="73"/>
  <c r="BG17" i="73" s="1"/>
  <c r="BJ17" i="53"/>
  <c r="N17" i="73"/>
  <c r="BM17" i="73" s="1"/>
  <c r="BQ17" i="53"/>
  <c r="T25" i="39"/>
  <c r="AG25" i="39" s="1"/>
  <c r="AA25" i="39"/>
  <c r="T15" i="78"/>
  <c r="X81" i="39"/>
  <c r="O40" i="39"/>
  <c r="AB40" i="39" s="1"/>
  <c r="V40" i="39"/>
  <c r="O25" i="39"/>
  <c r="AB25" i="39" s="1"/>
  <c r="V25" i="39"/>
  <c r="P40" i="39"/>
  <c r="AC40" i="39" s="1"/>
  <c r="W40" i="39"/>
  <c r="V5" i="78"/>
  <c r="Z18" i="39"/>
  <c r="P25" i="39"/>
  <c r="AC25" i="39" s="1"/>
  <c r="W25" i="39"/>
  <c r="R25" i="39"/>
  <c r="AE25" i="39" s="1"/>
  <c r="Y25" i="39"/>
  <c r="S40" i="39"/>
  <c r="AF40" i="39" s="1"/>
  <c r="Z40" i="39"/>
  <c r="U5" i="78"/>
  <c r="Y18" i="39"/>
  <c r="O90" i="39"/>
  <c r="AB90" i="39" s="1"/>
  <c r="V90" i="39"/>
  <c r="S25" i="39"/>
  <c r="AF25" i="39" s="1"/>
  <c r="Z25" i="39"/>
  <c r="R40" i="39"/>
  <c r="AE40" i="39" s="1"/>
  <c r="Y40" i="39"/>
  <c r="Q25" i="39"/>
  <c r="AD25" i="39" s="1"/>
  <c r="X25" i="39"/>
  <c r="T40" i="39"/>
  <c r="AG40" i="39" s="1"/>
  <c r="AA40" i="39"/>
  <c r="T5" i="78"/>
  <c r="X18" i="39"/>
  <c r="AF89" i="53"/>
  <c r="AW25" i="67"/>
  <c r="AM11" i="53"/>
  <c r="AV31" i="67"/>
  <c r="AL89" i="53"/>
  <c r="AU31" i="67"/>
  <c r="AL11" i="53"/>
  <c r="I93" i="39"/>
  <c r="AF11" i="53"/>
  <c r="L18" i="78"/>
  <c r="AS17" i="73"/>
  <c r="CD17" i="73" s="1"/>
  <c r="AM89" i="53"/>
  <c r="M18" i="78"/>
  <c r="AU17" i="53"/>
  <c r="CW17" i="53" s="1"/>
  <c r="V21" i="78"/>
  <c r="AT17" i="53"/>
  <c r="CV17" i="53" s="1"/>
  <c r="U21" i="78"/>
  <c r="N17" i="53"/>
  <c r="U8" i="78"/>
  <c r="L17" i="53"/>
  <c r="S8" i="78"/>
  <c r="AV17" i="53"/>
  <c r="CX17" i="53" s="1"/>
  <c r="W21" i="78"/>
  <c r="AC17" i="53"/>
  <c r="CG17" i="53" s="1"/>
  <c r="AT25" i="85" s="1"/>
  <c r="T13" i="78"/>
  <c r="O17" i="53"/>
  <c r="V8" i="78"/>
  <c r="AR17" i="53"/>
  <c r="CT17" i="53" s="1"/>
  <c r="S21" i="78"/>
  <c r="AN17" i="53"/>
  <c r="CQ17" i="53" s="1"/>
  <c r="AW31" i="85" s="1"/>
  <c r="W15" i="78"/>
  <c r="AB17" i="53"/>
  <c r="CF17" i="53" s="1"/>
  <c r="AS25" i="85" s="1"/>
  <c r="S13" i="78"/>
  <c r="AD17" i="53"/>
  <c r="CH17" i="53" s="1"/>
  <c r="AU25" i="85" s="1"/>
  <c r="U13" i="78"/>
  <c r="F51" i="39"/>
  <c r="O10" i="78"/>
  <c r="O18" i="78" s="1"/>
  <c r="E96" i="39"/>
  <c r="AJ17" i="53"/>
  <c r="CM17" i="53" s="1"/>
  <c r="AS31" i="85" s="1"/>
  <c r="S15" i="78"/>
  <c r="S17" i="53"/>
  <c r="R10" i="78"/>
  <c r="R18" i="78" s="1"/>
  <c r="AE17" i="53"/>
  <c r="CI17" i="53" s="1"/>
  <c r="AV25" i="85" s="1"/>
  <c r="V13" i="78"/>
  <c r="P17" i="53"/>
  <c r="W8" i="78"/>
  <c r="M17" i="53"/>
  <c r="T8" i="78"/>
  <c r="G17" i="53"/>
  <c r="F17" i="53"/>
  <c r="E17" i="53"/>
  <c r="AA11" i="53"/>
  <c r="CE11" i="53" s="1"/>
  <c r="T78" i="85" s="1"/>
  <c r="E50" i="39"/>
  <c r="E51" i="39"/>
  <c r="AT17" i="73"/>
  <c r="AI89" i="53"/>
  <c r="CL89" i="53" s="1"/>
  <c r="T118" i="85" s="1"/>
  <c r="AU17" i="73"/>
  <c r="CE17" i="73" s="1"/>
  <c r="BB17" i="73"/>
  <c r="CI17" i="73" s="1"/>
  <c r="BA17" i="73"/>
  <c r="AJ17" i="73"/>
  <c r="BY17" i="73" s="1"/>
  <c r="BC17" i="73"/>
  <c r="AZ17" i="73"/>
  <c r="CH17" i="73" s="1"/>
  <c r="AI11" i="53"/>
  <c r="CL11" i="53" s="1"/>
  <c r="T102" i="85" s="1"/>
  <c r="J66" i="39"/>
  <c r="S14" i="78" s="1"/>
  <c r="J35" i="39"/>
  <c r="S9" i="78" s="1"/>
  <c r="AK17" i="53"/>
  <c r="K82" i="39"/>
  <c r="T16" i="78" s="1"/>
  <c r="J82" i="39"/>
  <c r="S16" i="78" s="1"/>
  <c r="I96" i="39"/>
  <c r="AA89" i="53"/>
  <c r="CE89" i="53" s="1"/>
  <c r="T94" i="85" s="1"/>
  <c r="BC17" i="53"/>
  <c r="S82" i="39"/>
  <c r="U17" i="78"/>
  <c r="W17" i="78"/>
  <c r="V17" i="78"/>
  <c r="S17" i="78"/>
  <c r="G72" i="49"/>
  <c r="G58" i="49"/>
  <c r="L82" i="39"/>
  <c r="U16" i="78" s="1"/>
  <c r="F89" i="39"/>
  <c r="F93" i="39" s="1"/>
  <c r="P81" i="39"/>
  <c r="S18" i="39"/>
  <c r="AF18" i="39" s="1"/>
  <c r="M19" i="39"/>
  <c r="V6" i="78" s="1"/>
  <c r="T34" i="39"/>
  <c r="AG34" i="39" s="1"/>
  <c r="N35" i="39"/>
  <c r="W9" i="78" s="1"/>
  <c r="P34" i="39"/>
  <c r="L19" i="39"/>
  <c r="U6" i="78" s="1"/>
  <c r="R18" i="39"/>
  <c r="AE18" i="39" s="1"/>
  <c r="N82" i="39"/>
  <c r="W16" i="78" s="1"/>
  <c r="T81" i="39"/>
  <c r="L35" i="39"/>
  <c r="U9" i="78" s="1"/>
  <c r="R34" i="39"/>
  <c r="AE34" i="39" s="1"/>
  <c r="P65" i="39"/>
  <c r="J49" i="39"/>
  <c r="S65" i="39"/>
  <c r="AF65" i="39" s="1"/>
  <c r="AG66" i="39" s="1"/>
  <c r="M66" i="39"/>
  <c r="V14" i="78" s="1"/>
  <c r="Q81" i="39"/>
  <c r="Q65" i="39"/>
  <c r="AD65" i="39" s="1"/>
  <c r="K66" i="39"/>
  <c r="T14" i="78" s="1"/>
  <c r="J89" i="39"/>
  <c r="W89" i="39" s="1"/>
  <c r="D100" i="39"/>
  <c r="J88" i="39"/>
  <c r="O49" i="39"/>
  <c r="AB49" i="39" s="1"/>
  <c r="L66" i="39"/>
  <c r="U14" i="78" s="1"/>
  <c r="R65" i="39"/>
  <c r="AE65" i="39" s="1"/>
  <c r="N90" i="39"/>
  <c r="N66" i="39"/>
  <c r="W14" i="78" s="1"/>
  <c r="K35" i="39"/>
  <c r="T9" i="78" s="1"/>
  <c r="Q34" i="39"/>
  <c r="AD34" i="39" s="1"/>
  <c r="L90" i="39"/>
  <c r="C100" i="39"/>
  <c r="I88" i="39"/>
  <c r="H100" i="39"/>
  <c r="N88" i="39"/>
  <c r="J90" i="39"/>
  <c r="Q18" i="39"/>
  <c r="AD18" i="39" s="1"/>
  <c r="F50" i="39"/>
  <c r="F100" i="39"/>
  <c r="L88" i="39"/>
  <c r="M35" i="39"/>
  <c r="V9" i="78" s="1"/>
  <c r="S34" i="39"/>
  <c r="AF34" i="39" s="1"/>
  <c r="E88" i="39"/>
  <c r="K40" i="39"/>
  <c r="N18" i="39"/>
  <c r="G100" i="39"/>
  <c r="M88" i="39"/>
  <c r="M90" i="39"/>
  <c r="J18" i="39"/>
  <c r="K89" i="39"/>
  <c r="X89" i="39" s="1"/>
  <c r="AE66" i="39" l="1"/>
  <c r="AF35" i="39"/>
  <c r="BS17" i="53"/>
  <c r="AT13" i="85" s="1"/>
  <c r="BV17" i="53"/>
  <c r="AW13" i="85" s="1"/>
  <c r="BR17" i="53"/>
  <c r="BL17" i="53"/>
  <c r="AT7" i="85" s="1"/>
  <c r="M19" i="83"/>
  <c r="BM17" i="53"/>
  <c r="AU7" i="85" s="1"/>
  <c r="BU17" i="53"/>
  <c r="AV13" i="85" s="1"/>
  <c r="BT17" i="53"/>
  <c r="AU13" i="85" s="1"/>
  <c r="AE35" i="39"/>
  <c r="AG35" i="39"/>
  <c r="O12" i="78"/>
  <c r="O12" i="83"/>
  <c r="AS13" i="85"/>
  <c r="N20" i="83"/>
  <c r="N19" i="83"/>
  <c r="U5" i="83"/>
  <c r="Y19" i="39"/>
  <c r="U6" i="83" s="1"/>
  <c r="Z19" i="39"/>
  <c r="V6" i="83" s="1"/>
  <c r="V5" i="83"/>
  <c r="T15" i="83"/>
  <c r="X82" i="39"/>
  <c r="T16" i="83" s="1"/>
  <c r="Y82" i="39"/>
  <c r="U16" i="83" s="1"/>
  <c r="AF19" i="39"/>
  <c r="N11" i="78"/>
  <c r="N11" i="83"/>
  <c r="O11" i="78"/>
  <c r="O11" i="83"/>
  <c r="AE19" i="39"/>
  <c r="AF66" i="39"/>
  <c r="T5" i="83"/>
  <c r="O19" i="83"/>
  <c r="N12" i="78"/>
  <c r="N12" i="83"/>
  <c r="AP31" i="67"/>
  <c r="M58" i="49"/>
  <c r="AP31" i="85" s="1"/>
  <c r="AP39" i="67"/>
  <c r="M72" i="49"/>
  <c r="AP39" i="85" s="1"/>
  <c r="AT31" i="67"/>
  <c r="CN17" i="53"/>
  <c r="AT31" i="85" s="1"/>
  <c r="Y17" i="73"/>
  <c r="BS17" i="73" s="1"/>
  <c r="BX17" i="53"/>
  <c r="Y78" i="67"/>
  <c r="CJ11" i="53"/>
  <c r="Y78" i="85" s="1"/>
  <c r="AA78" i="85" s="1"/>
  <c r="W102" i="67"/>
  <c r="CO11" i="53"/>
  <c r="W102" i="85" s="1"/>
  <c r="X102" i="67"/>
  <c r="CP11" i="53"/>
  <c r="X102" i="85" s="1"/>
  <c r="AV7" i="67"/>
  <c r="BN17" i="53"/>
  <c r="Y94" i="67"/>
  <c r="CJ89" i="53"/>
  <c r="Y94" i="85" s="1"/>
  <c r="AA94" i="85" s="1"/>
  <c r="BC89" i="53"/>
  <c r="DE89" i="53" s="1"/>
  <c r="DE17" i="53"/>
  <c r="X118" i="67"/>
  <c r="CP89" i="53"/>
  <c r="X118" i="85" s="1"/>
  <c r="W118" i="67"/>
  <c r="CO89" i="53"/>
  <c r="W118" i="85" s="1"/>
  <c r="S90" i="39"/>
  <c r="AF90" i="39" s="1"/>
  <c r="Z90" i="39"/>
  <c r="R88" i="39"/>
  <c r="AE88" i="39" s="1"/>
  <c r="Y88" i="39"/>
  <c r="O93" i="39"/>
  <c r="AB93" i="39" s="1"/>
  <c r="V93" i="39"/>
  <c r="S88" i="39"/>
  <c r="AF88" i="39" s="1"/>
  <c r="Z88" i="39"/>
  <c r="T88" i="39"/>
  <c r="AG88" i="39" s="1"/>
  <c r="AA88" i="39"/>
  <c r="R90" i="39"/>
  <c r="AE90" i="39" s="1"/>
  <c r="Y90" i="39"/>
  <c r="T90" i="39"/>
  <c r="AG90" i="39" s="1"/>
  <c r="AA90" i="39"/>
  <c r="P88" i="39"/>
  <c r="AC88" i="39" s="1"/>
  <c r="W88" i="39"/>
  <c r="S10" i="78"/>
  <c r="W49" i="39"/>
  <c r="T82" i="39"/>
  <c r="AG81" i="39"/>
  <c r="AG82" i="39" s="1"/>
  <c r="P35" i="39"/>
  <c r="AC34" i="39"/>
  <c r="AC35" i="39" s="1"/>
  <c r="Q40" i="39"/>
  <c r="AD40" i="39" s="1"/>
  <c r="X40" i="39"/>
  <c r="R82" i="39"/>
  <c r="AD81" i="39"/>
  <c r="P66" i="39"/>
  <c r="AC65" i="39"/>
  <c r="AC66" i="39" s="1"/>
  <c r="P82" i="39"/>
  <c r="AC81" i="39"/>
  <c r="AC82" i="39" s="1"/>
  <c r="O96" i="39"/>
  <c r="AB96" i="39" s="1"/>
  <c r="V96" i="39"/>
  <c r="P90" i="39"/>
  <c r="AC90" i="39" s="1"/>
  <c r="W90" i="39"/>
  <c r="S5" i="78"/>
  <c r="W18" i="39"/>
  <c r="W5" i="78"/>
  <c r="AA18" i="39"/>
  <c r="O88" i="39"/>
  <c r="AB88" i="39" s="1"/>
  <c r="V88" i="39"/>
  <c r="R17" i="53"/>
  <c r="Q17" i="53"/>
  <c r="BW17" i="53" s="1"/>
  <c r="AP17" i="53"/>
  <c r="AO17" i="53"/>
  <c r="CR17" i="53" s="1"/>
  <c r="AH17" i="53"/>
  <c r="AG17" i="53"/>
  <c r="CK17" i="53" s="1"/>
  <c r="G17" i="73"/>
  <c r="AT7" i="67"/>
  <c r="Q17" i="73"/>
  <c r="BO17" i="73" s="1"/>
  <c r="AT13" i="67"/>
  <c r="AE89" i="53"/>
  <c r="AV25" i="67"/>
  <c r="AW17" i="73"/>
  <c r="AS31" i="67"/>
  <c r="BD17" i="73"/>
  <c r="CJ17" i="73" s="1"/>
  <c r="AW31" i="67"/>
  <c r="U17" i="73"/>
  <c r="BQ17" i="73" s="1"/>
  <c r="AV13" i="67"/>
  <c r="X17" i="73"/>
  <c r="AW13" i="67"/>
  <c r="I17" i="73"/>
  <c r="AU7" i="67"/>
  <c r="AO17" i="73"/>
  <c r="CB17" i="73" s="1"/>
  <c r="AU25" i="67"/>
  <c r="S17" i="73"/>
  <c r="BP17" i="73" s="1"/>
  <c r="AU13" i="67"/>
  <c r="AK17" i="73"/>
  <c r="BZ17" i="73" s="1"/>
  <c r="AS25" i="67"/>
  <c r="AN17" i="73"/>
  <c r="AT25" i="67"/>
  <c r="O17" i="73"/>
  <c r="BN17" i="73" s="1"/>
  <c r="AS13" i="67"/>
  <c r="AT11" i="73"/>
  <c r="BE17" i="73"/>
  <c r="M20" i="78"/>
  <c r="N20" i="78"/>
  <c r="J93" i="39"/>
  <c r="T17" i="73"/>
  <c r="W17" i="73"/>
  <c r="BR17" i="73" s="1"/>
  <c r="P17" i="73"/>
  <c r="N19" i="78"/>
  <c r="AC11" i="53"/>
  <c r="AM17" i="73"/>
  <c r="CA17" i="73" s="1"/>
  <c r="AD89" i="53"/>
  <c r="AP17" i="73"/>
  <c r="M19" i="78"/>
  <c r="AN11" i="53"/>
  <c r="AJ89" i="53"/>
  <c r="CM89" i="53" s="1"/>
  <c r="U118" i="85" s="1"/>
  <c r="Z118" i="85" s="1"/>
  <c r="AC89" i="53"/>
  <c r="AE11" i="53"/>
  <c r="AB89" i="53"/>
  <c r="CF89" i="53" s="1"/>
  <c r="U94" i="85" s="1"/>
  <c r="Z94" i="85" s="1"/>
  <c r="AQ17" i="73"/>
  <c r="CC17" i="73" s="1"/>
  <c r="H17" i="73"/>
  <c r="BJ17" i="73" s="1"/>
  <c r="AR17" i="73"/>
  <c r="AN89" i="53"/>
  <c r="AD11" i="53"/>
  <c r="AW17" i="53"/>
  <c r="AJ11" i="53"/>
  <c r="CM11" i="53" s="1"/>
  <c r="U102" i="85" s="1"/>
  <c r="AB11" i="53"/>
  <c r="CF11" i="53" s="1"/>
  <c r="U78" i="85" s="1"/>
  <c r="F17" i="73"/>
  <c r="BI17" i="73" s="1"/>
  <c r="R17" i="73"/>
  <c r="AU89" i="73"/>
  <c r="CE89" i="73" s="1"/>
  <c r="T118" i="67"/>
  <c r="AL17" i="73"/>
  <c r="V17" i="73"/>
  <c r="AV17" i="73"/>
  <c r="CF17" i="73" s="1"/>
  <c r="AT89" i="73"/>
  <c r="T94" i="67"/>
  <c r="O19" i="78"/>
  <c r="O20" i="78"/>
  <c r="BG17" i="53"/>
  <c r="AJ11" i="73"/>
  <c r="BY11" i="73" s="1"/>
  <c r="T78" i="67"/>
  <c r="AU11" i="73"/>
  <c r="CE11" i="73" s="1"/>
  <c r="T102" i="67"/>
  <c r="BF17" i="53"/>
  <c r="K17" i="73"/>
  <c r="J17" i="73"/>
  <c r="BK17" i="73" s="1"/>
  <c r="J19" i="39"/>
  <c r="S6" i="78" s="1"/>
  <c r="H17" i="53"/>
  <c r="AS11" i="73"/>
  <c r="CD11" i="73" s="1"/>
  <c r="AJ89" i="73"/>
  <c r="BY89" i="73" s="1"/>
  <c r="AS89" i="73"/>
  <c r="CD89" i="73" s="1"/>
  <c r="AK11" i="53"/>
  <c r="CN11" i="53" s="1"/>
  <c r="V102" i="85" s="1"/>
  <c r="AY17" i="73"/>
  <c r="AX17" i="73"/>
  <c r="CG17" i="73" s="1"/>
  <c r="BC11" i="73"/>
  <c r="AZ11" i="73"/>
  <c r="CH11" i="73" s="1"/>
  <c r="BA89" i="73"/>
  <c r="BB89" i="73"/>
  <c r="CI89" i="73" s="1"/>
  <c r="BB11" i="73"/>
  <c r="CI11" i="73" s="1"/>
  <c r="BA11" i="73"/>
  <c r="AZ89" i="73"/>
  <c r="CH89" i="73" s="1"/>
  <c r="BC89" i="73"/>
  <c r="J96" i="39"/>
  <c r="AK89" i="53"/>
  <c r="BC11" i="53"/>
  <c r="DE11" i="53" s="1"/>
  <c r="BE17" i="53"/>
  <c r="T17" i="53"/>
  <c r="J50" i="39"/>
  <c r="S11" i="78" s="1"/>
  <c r="F96" i="39"/>
  <c r="L49" i="39"/>
  <c r="Y49" i="39" s="1"/>
  <c r="R66" i="39"/>
  <c r="Q35" i="39"/>
  <c r="G89" i="39"/>
  <c r="G93" i="39" s="1"/>
  <c r="G49" i="39"/>
  <c r="P10" i="83" s="1"/>
  <c r="P18" i="83" s="1"/>
  <c r="K19" i="39"/>
  <c r="T6" i="78" s="1"/>
  <c r="D17" i="53"/>
  <c r="L89" i="39"/>
  <c r="Q66" i="39"/>
  <c r="Q82" i="39"/>
  <c r="S35" i="39"/>
  <c r="J100" i="39"/>
  <c r="W100" i="39" s="1"/>
  <c r="S19" i="39"/>
  <c r="Q89" i="39"/>
  <c r="AD89" i="39" s="1"/>
  <c r="E100" i="39"/>
  <c r="K88" i="39"/>
  <c r="N100" i="39"/>
  <c r="AA100" i="39" s="1"/>
  <c r="P89" i="39"/>
  <c r="AC89" i="39" s="1"/>
  <c r="S66" i="39"/>
  <c r="P49" i="39"/>
  <c r="R19" i="39"/>
  <c r="M100" i="39"/>
  <c r="Z100" i="39" s="1"/>
  <c r="L100" i="39"/>
  <c r="Y100" i="39" s="1"/>
  <c r="T66" i="39"/>
  <c r="T35" i="39"/>
  <c r="P18" i="39"/>
  <c r="N19" i="39"/>
  <c r="W6" i="78" s="1"/>
  <c r="T18" i="39"/>
  <c r="I100" i="39"/>
  <c r="V100" i="39" s="1"/>
  <c r="K90" i="39"/>
  <c r="K49" i="39"/>
  <c r="X49" i="39" s="1"/>
  <c r="R35" i="39"/>
  <c r="AA94" i="67" l="1"/>
  <c r="BO17" i="53"/>
  <c r="AW7" i="85" s="1"/>
  <c r="BK17" i="53"/>
  <c r="AS7" i="85" s="1"/>
  <c r="BY17" i="53"/>
  <c r="AS19" i="85" s="1"/>
  <c r="P20" i="83"/>
  <c r="P19" i="83"/>
  <c r="Z102" i="85"/>
  <c r="AD82" i="39"/>
  <c r="AE82" i="39"/>
  <c r="S10" i="83"/>
  <c r="W50" i="39"/>
  <c r="S11" i="83" s="1"/>
  <c r="AD66" i="39"/>
  <c r="X50" i="39"/>
  <c r="T11" i="83" s="1"/>
  <c r="T10" i="83"/>
  <c r="S5" i="83"/>
  <c r="W19" i="39"/>
  <c r="S6" i="83" s="1"/>
  <c r="Z78" i="85"/>
  <c r="T18" i="83"/>
  <c r="T20" i="83" s="1"/>
  <c r="AV7" i="85"/>
  <c r="AD35" i="39"/>
  <c r="U10" i="83"/>
  <c r="U18" i="83" s="1"/>
  <c r="Y50" i="39"/>
  <c r="U11" i="83" s="1"/>
  <c r="AA19" i="39"/>
  <c r="W6" i="83" s="1"/>
  <c r="W5" i="83"/>
  <c r="X19" i="39"/>
  <c r="T6" i="83" s="1"/>
  <c r="BF89" i="53"/>
  <c r="DH89" i="53" s="1"/>
  <c r="DH17" i="53"/>
  <c r="W94" i="67"/>
  <c r="CH89" i="53"/>
  <c r="W94" i="85" s="1"/>
  <c r="X94" i="67"/>
  <c r="CI89" i="53"/>
  <c r="X94" i="85" s="1"/>
  <c r="AW11" i="53"/>
  <c r="CY11" i="53" s="1"/>
  <c r="CY17" i="53"/>
  <c r="V118" i="67"/>
  <c r="CN89" i="53"/>
  <c r="V118" i="85" s="1"/>
  <c r="Y118" i="67"/>
  <c r="CQ89" i="53"/>
  <c r="Y118" i="85" s="1"/>
  <c r="AA118" i="85" s="1"/>
  <c r="BE89" i="53"/>
  <c r="DG89" i="53" s="1"/>
  <c r="DG17" i="53"/>
  <c r="X78" i="67"/>
  <c r="CI11" i="53"/>
  <c r="X78" i="85" s="1"/>
  <c r="V78" i="67"/>
  <c r="CG11" i="53"/>
  <c r="V78" i="85" s="1"/>
  <c r="V94" i="67"/>
  <c r="CG89" i="53"/>
  <c r="V94" i="85" s="1"/>
  <c r="W78" i="67"/>
  <c r="CH11" i="53"/>
  <c r="W78" i="85" s="1"/>
  <c r="BG11" i="53"/>
  <c r="DI11" i="53" s="1"/>
  <c r="DI17" i="53"/>
  <c r="Y102" i="67"/>
  <c r="AA102" i="67" s="1"/>
  <c r="CQ11" i="53"/>
  <c r="Y102" i="85" s="1"/>
  <c r="S18" i="78"/>
  <c r="S19" i="78" s="1"/>
  <c r="P19" i="39"/>
  <c r="AC18" i="39"/>
  <c r="Q88" i="39"/>
  <c r="AD88" i="39" s="1"/>
  <c r="X88" i="39"/>
  <c r="L93" i="39"/>
  <c r="Y93" i="39" s="1"/>
  <c r="Y89" i="39"/>
  <c r="Q90" i="39"/>
  <c r="AD90" i="39" s="1"/>
  <c r="X90" i="39"/>
  <c r="P96" i="39"/>
  <c r="AC96" i="39" s="1"/>
  <c r="W96" i="39"/>
  <c r="T19" i="39"/>
  <c r="AG18" i="39"/>
  <c r="AG19" i="39" s="1"/>
  <c r="P50" i="39"/>
  <c r="AC49" i="39"/>
  <c r="AC50" i="39" s="1"/>
  <c r="P93" i="39"/>
  <c r="AC93" i="39" s="1"/>
  <c r="W93" i="39"/>
  <c r="AR89" i="73"/>
  <c r="AQ89" i="73"/>
  <c r="CC89" i="73" s="1"/>
  <c r="AS19" i="67"/>
  <c r="Z17" i="53"/>
  <c r="Y17" i="53"/>
  <c r="CD17" i="53" s="1"/>
  <c r="AS7" i="67"/>
  <c r="I17" i="53"/>
  <c r="BP17" i="53" s="1"/>
  <c r="J17" i="53"/>
  <c r="U118" i="67"/>
  <c r="Z118" i="67" s="1"/>
  <c r="AP89" i="53"/>
  <c r="AO89" i="53"/>
  <c r="CR89" i="53" s="1"/>
  <c r="U78" i="67"/>
  <c r="Z78" i="67" s="1"/>
  <c r="AH11" i="53"/>
  <c r="AG11" i="53"/>
  <c r="CK11" i="53" s="1"/>
  <c r="U102" i="67"/>
  <c r="Z102" i="67" s="1"/>
  <c r="AP11" i="53"/>
  <c r="AO11" i="53"/>
  <c r="CR11" i="53" s="1"/>
  <c r="U94" i="67"/>
  <c r="Z94" i="67" s="1"/>
  <c r="AH89" i="53"/>
  <c r="AG89" i="53"/>
  <c r="CK89" i="53" s="1"/>
  <c r="BH17" i="53"/>
  <c r="AW7" i="67"/>
  <c r="AV89" i="73"/>
  <c r="CF89" i="73" s="1"/>
  <c r="K93" i="39"/>
  <c r="AL89" i="73"/>
  <c r="AN11" i="73"/>
  <c r="AM11" i="73"/>
  <c r="CA11" i="73" s="1"/>
  <c r="AA118" i="67"/>
  <c r="AQ11" i="73"/>
  <c r="CC11" i="73" s="1"/>
  <c r="AR11" i="73"/>
  <c r="AO89" i="73"/>
  <c r="CB89" i="73" s="1"/>
  <c r="AP89" i="73"/>
  <c r="AM89" i="73"/>
  <c r="CA89" i="73" s="1"/>
  <c r="AN89" i="73"/>
  <c r="BE11" i="73"/>
  <c r="BD11" i="73"/>
  <c r="CJ11" i="73" s="1"/>
  <c r="AW89" i="73"/>
  <c r="BG89" i="53"/>
  <c r="DI89" i="53" s="1"/>
  <c r="AL11" i="73"/>
  <c r="AK11" i="73"/>
  <c r="BZ11" i="73" s="1"/>
  <c r="AK89" i="73"/>
  <c r="BZ89" i="73" s="1"/>
  <c r="M17" i="73"/>
  <c r="AW89" i="53"/>
  <c r="CY89" i="53" s="1"/>
  <c r="L17" i="73"/>
  <c r="BL17" i="73" s="1"/>
  <c r="AP11" i="73"/>
  <c r="AO11" i="73"/>
  <c r="CB11" i="73" s="1"/>
  <c r="BE89" i="73"/>
  <c r="AV11" i="73"/>
  <c r="CF11" i="73" s="1"/>
  <c r="BD89" i="73"/>
  <c r="CJ89" i="73" s="1"/>
  <c r="V17" i="53"/>
  <c r="U10" i="78"/>
  <c r="U18" i="78" s="1"/>
  <c r="BF11" i="53"/>
  <c r="DH11" i="53" s="1"/>
  <c r="G51" i="39"/>
  <c r="P10" i="78"/>
  <c r="P18" i="78" s="1"/>
  <c r="U17" i="53"/>
  <c r="T10" i="78"/>
  <c r="T18" i="78" s="1"/>
  <c r="L96" i="39"/>
  <c r="AW11" i="73"/>
  <c r="AA78" i="67"/>
  <c r="AY11" i="73"/>
  <c r="V102" i="67"/>
  <c r="AX11" i="73"/>
  <c r="CG11" i="73" s="1"/>
  <c r="Z17" i="73"/>
  <c r="BT17" i="73" s="1"/>
  <c r="AA17" i="73"/>
  <c r="AY89" i="73"/>
  <c r="AX89" i="73"/>
  <c r="CG89" i="73" s="1"/>
  <c r="BE11" i="53"/>
  <c r="DG11" i="53" s="1"/>
  <c r="K96" i="39"/>
  <c r="R49" i="39"/>
  <c r="AE49" i="39" s="1"/>
  <c r="G96" i="39"/>
  <c r="R89" i="39"/>
  <c r="AE89" i="39" s="1"/>
  <c r="BD17" i="53"/>
  <c r="DF17" i="53" s="1"/>
  <c r="AX17" i="53"/>
  <c r="CZ17" i="53" s="1"/>
  <c r="E17" i="73"/>
  <c r="D17" i="73"/>
  <c r="BH17" i="73" s="1"/>
  <c r="H89" i="39"/>
  <c r="H93" i="39" s="1"/>
  <c r="H49" i="39"/>
  <c r="Q10" i="83" s="1"/>
  <c r="Q18" i="83" s="1"/>
  <c r="G50" i="39"/>
  <c r="M89" i="39"/>
  <c r="M49" i="39"/>
  <c r="K50" i="39"/>
  <c r="T11" i="78" s="1"/>
  <c r="Q49" i="39"/>
  <c r="L50" i="39"/>
  <c r="U11" i="78" s="1"/>
  <c r="Q19" i="39"/>
  <c r="K100" i="39"/>
  <c r="X100" i="39" s="1"/>
  <c r="BZ17" i="53" l="1"/>
  <c r="AT19" i="85" s="1"/>
  <c r="CA17" i="53"/>
  <c r="AU19" i="85" s="1"/>
  <c r="S18" i="83"/>
  <c r="S20" i="83" s="1"/>
  <c r="AC19" i="39"/>
  <c r="AD19" i="39"/>
  <c r="U19" i="83"/>
  <c r="U20" i="83"/>
  <c r="P11" i="78"/>
  <c r="P11" i="83"/>
  <c r="AA102" i="85"/>
  <c r="P12" i="78"/>
  <c r="P12" i="83"/>
  <c r="Q19" i="83"/>
  <c r="Q20" i="83"/>
  <c r="S20" i="78"/>
  <c r="R93" i="39"/>
  <c r="AE93" i="39" s="1"/>
  <c r="BH11" i="53"/>
  <c r="DJ11" i="53" s="1"/>
  <c r="DJ17" i="53"/>
  <c r="Q93" i="39"/>
  <c r="AD93" i="39" s="1"/>
  <c r="X93" i="39"/>
  <c r="V10" i="78"/>
  <c r="V18" i="78" s="1"/>
  <c r="V19" i="78" s="1"/>
  <c r="Z49" i="39"/>
  <c r="Q96" i="39"/>
  <c r="AD96" i="39" s="1"/>
  <c r="X96" i="39"/>
  <c r="M93" i="39"/>
  <c r="Z93" i="39" s="1"/>
  <c r="Z89" i="39"/>
  <c r="R96" i="39"/>
  <c r="AE96" i="39" s="1"/>
  <c r="Y96" i="39"/>
  <c r="Q50" i="39"/>
  <c r="AD49" i="39"/>
  <c r="AD50" i="39" s="1"/>
  <c r="BH89" i="53"/>
  <c r="DJ89" i="53" s="1"/>
  <c r="AZ17" i="53"/>
  <c r="AU19" i="67"/>
  <c r="AY17" i="53"/>
  <c r="AT19" i="67"/>
  <c r="AE17" i="73"/>
  <c r="AB17" i="73"/>
  <c r="BU17" i="73" s="1"/>
  <c r="AD17" i="73"/>
  <c r="BV17" i="73" s="1"/>
  <c r="H51" i="39"/>
  <c r="Q10" i="78"/>
  <c r="Q18" i="78" s="1"/>
  <c r="P19" i="78"/>
  <c r="P20" i="78"/>
  <c r="M96" i="39"/>
  <c r="AC17" i="73"/>
  <c r="T20" i="78"/>
  <c r="T19" i="78"/>
  <c r="U20" i="78"/>
  <c r="U19" i="78"/>
  <c r="H96" i="39"/>
  <c r="BD11" i="53"/>
  <c r="DF11" i="53" s="1"/>
  <c r="BD89" i="53"/>
  <c r="DF89" i="53" s="1"/>
  <c r="AX11" i="53"/>
  <c r="CZ11" i="53" s="1"/>
  <c r="H50" i="39"/>
  <c r="S89" i="39"/>
  <c r="AF89" i="39" s="1"/>
  <c r="W17" i="53"/>
  <c r="S49" i="39"/>
  <c r="M50" i="39"/>
  <c r="V11" i="78" s="1"/>
  <c r="N49" i="39"/>
  <c r="N89" i="39"/>
  <c r="R50" i="39"/>
  <c r="T19" i="83" l="1"/>
  <c r="S19" i="83"/>
  <c r="V10" i="83"/>
  <c r="V18" i="83" s="1"/>
  <c r="Z50" i="39"/>
  <c r="V11" i="83" s="1"/>
  <c r="Q12" i="78"/>
  <c r="Q12" i="83"/>
  <c r="Q11" i="78"/>
  <c r="Q11" i="83"/>
  <c r="AE50" i="39"/>
  <c r="V20" i="78"/>
  <c r="AV19" i="67"/>
  <c r="CB17" i="53"/>
  <c r="AZ11" i="53"/>
  <c r="DB11" i="53" s="1"/>
  <c r="DB17" i="53"/>
  <c r="AY11" i="53"/>
  <c r="DA11" i="53" s="1"/>
  <c r="DA17" i="53"/>
  <c r="S93" i="39"/>
  <c r="AF93" i="39" s="1"/>
  <c r="W10" i="78"/>
  <c r="W18" i="78" s="1"/>
  <c r="W20" i="78" s="1"/>
  <c r="AA49" i="39"/>
  <c r="N93" i="39"/>
  <c r="AA93" i="39" s="1"/>
  <c r="AA89" i="39"/>
  <c r="S50" i="39"/>
  <c r="AF49" i="39"/>
  <c r="AF50" i="39" s="1"/>
  <c r="S96" i="39"/>
  <c r="AF96" i="39" s="1"/>
  <c r="Z96" i="39"/>
  <c r="Q19" i="78"/>
  <c r="Q20" i="78"/>
  <c r="BA17" i="53"/>
  <c r="AF17" i="73"/>
  <c r="BW17" i="73" s="1"/>
  <c r="AG17" i="73"/>
  <c r="N96" i="39"/>
  <c r="T89" i="39"/>
  <c r="AG89" i="39" s="1"/>
  <c r="X17" i="53"/>
  <c r="T49" i="39"/>
  <c r="N50" i="39"/>
  <c r="W11" i="78" s="1"/>
  <c r="AM29" i="51"/>
  <c r="CD29" i="51" s="1"/>
  <c r="AL29" i="51"/>
  <c r="CC29" i="51" s="1"/>
  <c r="AK29" i="51"/>
  <c r="CB29" i="51" s="1"/>
  <c r="AJ29" i="51"/>
  <c r="CA29" i="51" s="1"/>
  <c r="AI29" i="51"/>
  <c r="BZ29" i="51" s="1"/>
  <c r="AH29" i="51"/>
  <c r="AM21" i="51"/>
  <c r="CD21" i="51" s="1"/>
  <c r="AL21" i="51"/>
  <c r="CC21" i="51" s="1"/>
  <c r="AK21" i="51"/>
  <c r="CB21" i="51" s="1"/>
  <c r="AJ21" i="51"/>
  <c r="CA21" i="51" s="1"/>
  <c r="AI21" i="51"/>
  <c r="BZ21" i="51" s="1"/>
  <c r="AH21" i="51"/>
  <c r="AM48" i="51"/>
  <c r="CD48" i="51" s="1"/>
  <c r="AL48" i="51"/>
  <c r="CC48" i="51" s="1"/>
  <c r="AK48" i="51"/>
  <c r="CB48" i="51" s="1"/>
  <c r="AJ48" i="51"/>
  <c r="CA48" i="51" s="1"/>
  <c r="AI48" i="51"/>
  <c r="BZ48" i="51" s="1"/>
  <c r="AH48" i="51"/>
  <c r="AM46" i="51"/>
  <c r="CD46" i="51" s="1"/>
  <c r="AL46" i="51"/>
  <c r="CC46" i="51" s="1"/>
  <c r="AK46" i="51"/>
  <c r="CB46" i="51" s="1"/>
  <c r="AJ46" i="51"/>
  <c r="CA46" i="51" s="1"/>
  <c r="AI46" i="51"/>
  <c r="BZ46" i="51" s="1"/>
  <c r="AH46" i="51"/>
  <c r="AM47" i="51"/>
  <c r="CD47" i="51" s="1"/>
  <c r="AL47" i="51"/>
  <c r="CC47" i="51" s="1"/>
  <c r="AK47" i="51"/>
  <c r="CB47" i="51" s="1"/>
  <c r="AJ47" i="51"/>
  <c r="CA47" i="51" s="1"/>
  <c r="AI47" i="51"/>
  <c r="BZ47" i="51" s="1"/>
  <c r="AH47" i="51"/>
  <c r="AM20" i="51"/>
  <c r="CD20" i="51" s="1"/>
  <c r="AL20" i="51"/>
  <c r="CC20" i="51" s="1"/>
  <c r="AK20" i="51"/>
  <c r="CB20" i="51" s="1"/>
  <c r="AJ20" i="51"/>
  <c r="CA20" i="51" s="1"/>
  <c r="AI20" i="51"/>
  <c r="BZ20" i="51" s="1"/>
  <c r="AH20" i="51"/>
  <c r="AM28" i="51"/>
  <c r="CD28" i="51" s="1"/>
  <c r="AL28" i="51"/>
  <c r="CC28" i="51" s="1"/>
  <c r="AK28" i="51"/>
  <c r="CB28" i="51" s="1"/>
  <c r="AJ28" i="51"/>
  <c r="CA28" i="51" s="1"/>
  <c r="AI28" i="51"/>
  <c r="BZ28" i="51" s="1"/>
  <c r="AH28" i="51"/>
  <c r="AM58" i="51"/>
  <c r="CD58" i="51" s="1"/>
  <c r="AL58" i="51"/>
  <c r="CC58" i="51" s="1"/>
  <c r="AK58" i="51"/>
  <c r="CB58" i="51" s="1"/>
  <c r="AJ58" i="51"/>
  <c r="CA58" i="51" s="1"/>
  <c r="AI58" i="51"/>
  <c r="BZ58" i="51" s="1"/>
  <c r="AH58" i="51"/>
  <c r="AK26" i="51"/>
  <c r="CB26" i="51" s="1"/>
  <c r="AL27" i="51"/>
  <c r="CC27" i="51" s="1"/>
  <c r="AH27" i="51"/>
  <c r="AM23" i="51"/>
  <c r="AL23" i="51"/>
  <c r="AK23" i="51"/>
  <c r="AJ23" i="51"/>
  <c r="AI23" i="51"/>
  <c r="AH23" i="51"/>
  <c r="AK39" i="51"/>
  <c r="CB39" i="51" s="1"/>
  <c r="AM17" i="51"/>
  <c r="AL17" i="51"/>
  <c r="AK17" i="51"/>
  <c r="AJ17" i="51"/>
  <c r="AI17" i="51"/>
  <c r="AH17" i="51"/>
  <c r="AM38" i="51"/>
  <c r="CD38" i="51" s="1"/>
  <c r="AL38" i="51"/>
  <c r="CC38" i="51" s="1"/>
  <c r="AK38" i="51"/>
  <c r="CB38" i="51" s="1"/>
  <c r="AJ38" i="51"/>
  <c r="CA38" i="51" s="1"/>
  <c r="AI38" i="51"/>
  <c r="BZ38" i="51" s="1"/>
  <c r="AH38" i="51"/>
  <c r="AM36" i="51"/>
  <c r="CD36" i="51" s="1"/>
  <c r="AL36" i="51"/>
  <c r="CC36" i="51" s="1"/>
  <c r="AK36" i="51"/>
  <c r="CB36" i="51" s="1"/>
  <c r="AJ36" i="51"/>
  <c r="CA36" i="51" s="1"/>
  <c r="AI36" i="51"/>
  <c r="BZ36" i="51" s="1"/>
  <c r="AH36" i="51"/>
  <c r="AM35" i="51"/>
  <c r="CD35" i="51" s="1"/>
  <c r="AL35" i="51"/>
  <c r="CC35" i="51" s="1"/>
  <c r="AK35" i="51"/>
  <c r="CB35" i="51" s="1"/>
  <c r="AJ35" i="51"/>
  <c r="CA35" i="51" s="1"/>
  <c r="AI35" i="51"/>
  <c r="BZ35" i="51" s="1"/>
  <c r="AH35" i="51"/>
  <c r="AF29" i="51"/>
  <c r="BW29" i="51" s="1"/>
  <c r="AE29" i="51"/>
  <c r="BV29" i="51" s="1"/>
  <c r="AD29" i="51"/>
  <c r="BU29" i="51" s="1"/>
  <c r="AC29" i="51"/>
  <c r="BT29" i="51" s="1"/>
  <c r="AB29" i="51"/>
  <c r="BS29" i="51" s="1"/>
  <c r="AA29" i="51"/>
  <c r="AF21" i="51"/>
  <c r="BW21" i="51" s="1"/>
  <c r="AE21" i="51"/>
  <c r="BV21" i="51" s="1"/>
  <c r="AD21" i="51"/>
  <c r="BU21" i="51" s="1"/>
  <c r="AC21" i="51"/>
  <c r="BT21" i="51" s="1"/>
  <c r="AB21" i="51"/>
  <c r="BS21" i="51" s="1"/>
  <c r="AA21" i="51"/>
  <c r="AF48" i="51"/>
  <c r="BW48" i="51" s="1"/>
  <c r="AE48" i="51"/>
  <c r="BV48" i="51" s="1"/>
  <c r="AD48" i="51"/>
  <c r="BU48" i="51" s="1"/>
  <c r="AC48" i="51"/>
  <c r="BT48" i="51" s="1"/>
  <c r="AB48" i="51"/>
  <c r="BS48" i="51" s="1"/>
  <c r="AA48" i="51"/>
  <c r="AF46" i="51"/>
  <c r="BW46" i="51" s="1"/>
  <c r="AE46" i="51"/>
  <c r="BV46" i="51" s="1"/>
  <c r="AD46" i="51"/>
  <c r="BU46" i="51" s="1"/>
  <c r="AC46" i="51"/>
  <c r="BT46" i="51" s="1"/>
  <c r="AB46" i="51"/>
  <c r="BS46" i="51" s="1"/>
  <c r="AA46" i="51"/>
  <c r="AF47" i="51"/>
  <c r="BW47" i="51" s="1"/>
  <c r="AE47" i="51"/>
  <c r="BV47" i="51" s="1"/>
  <c r="AD47" i="51"/>
  <c r="BU47" i="51" s="1"/>
  <c r="AC47" i="51"/>
  <c r="BT47" i="51" s="1"/>
  <c r="AB47" i="51"/>
  <c r="BS47" i="51" s="1"/>
  <c r="AA47" i="51"/>
  <c r="AF20" i="51"/>
  <c r="BW20" i="51" s="1"/>
  <c r="AE20" i="51"/>
  <c r="BV20" i="51" s="1"/>
  <c r="AD20" i="51"/>
  <c r="BU20" i="51" s="1"/>
  <c r="AC20" i="51"/>
  <c r="BT20" i="51" s="1"/>
  <c r="AB20" i="51"/>
  <c r="BS20" i="51" s="1"/>
  <c r="AA20" i="51"/>
  <c r="AF28" i="51"/>
  <c r="BW28" i="51" s="1"/>
  <c r="AE28" i="51"/>
  <c r="BV28" i="51" s="1"/>
  <c r="AD28" i="51"/>
  <c r="BU28" i="51" s="1"/>
  <c r="AC28" i="51"/>
  <c r="BT28" i="51" s="1"/>
  <c r="AB28" i="51"/>
  <c r="BS28" i="51" s="1"/>
  <c r="AA28" i="51"/>
  <c r="BR28" i="51" s="1"/>
  <c r="AF58" i="51"/>
  <c r="BW58" i="51" s="1"/>
  <c r="AE58" i="51"/>
  <c r="BV58" i="51" s="1"/>
  <c r="AD58" i="51"/>
  <c r="BU58" i="51" s="1"/>
  <c r="AC58" i="51"/>
  <c r="BT58" i="51" s="1"/>
  <c r="AB58" i="51"/>
  <c r="BS58" i="51" s="1"/>
  <c r="AA58" i="51"/>
  <c r="BR58" i="51" s="1"/>
  <c r="AA26" i="51"/>
  <c r="BR26" i="51" s="1"/>
  <c r="AF27" i="51"/>
  <c r="BW27" i="51" s="1"/>
  <c r="AB27" i="51"/>
  <c r="BS27" i="51" s="1"/>
  <c r="AF23" i="51"/>
  <c r="AE23" i="51"/>
  <c r="AD23" i="51"/>
  <c r="AC23" i="51"/>
  <c r="AB23" i="51"/>
  <c r="AA23" i="51"/>
  <c r="BR23" i="51" s="1"/>
  <c r="AE39" i="51"/>
  <c r="BV39" i="51" s="1"/>
  <c r="AD39" i="51"/>
  <c r="BU39" i="51" s="1"/>
  <c r="AF17" i="51"/>
  <c r="AE17" i="51"/>
  <c r="AD17" i="51"/>
  <c r="AC17" i="51"/>
  <c r="AB17" i="51"/>
  <c r="AA17" i="51"/>
  <c r="BR17" i="51" s="1"/>
  <c r="AF38" i="51"/>
  <c r="BW38" i="51" s="1"/>
  <c r="AE38" i="51"/>
  <c r="BV38" i="51" s="1"/>
  <c r="AD38" i="51"/>
  <c r="BU38" i="51" s="1"/>
  <c r="AC38" i="51"/>
  <c r="BT38" i="51" s="1"/>
  <c r="AB38" i="51"/>
  <c r="BS38" i="51" s="1"/>
  <c r="AA38" i="51"/>
  <c r="BR38" i="51" s="1"/>
  <c r="AF36" i="51"/>
  <c r="BW36" i="51" s="1"/>
  <c r="AE36" i="51"/>
  <c r="BV36" i="51" s="1"/>
  <c r="AD36" i="51"/>
  <c r="BU36" i="51" s="1"/>
  <c r="AC36" i="51"/>
  <c r="BT36" i="51" s="1"/>
  <c r="AB36" i="51"/>
  <c r="BS36" i="51" s="1"/>
  <c r="AA36" i="51"/>
  <c r="BR36" i="51" s="1"/>
  <c r="AF35" i="51"/>
  <c r="BW35" i="51" s="1"/>
  <c r="AE35" i="51"/>
  <c r="BV35" i="51" s="1"/>
  <c r="AD35" i="51"/>
  <c r="BU35" i="51" s="1"/>
  <c r="AC35" i="51"/>
  <c r="BT35" i="51" s="1"/>
  <c r="AB35" i="51"/>
  <c r="BS35" i="51" s="1"/>
  <c r="AA35" i="51"/>
  <c r="BR35" i="51" s="1"/>
  <c r="AO21" i="51"/>
  <c r="CF21" i="51" s="1"/>
  <c r="AP21" i="51"/>
  <c r="CG21" i="51" s="1"/>
  <c r="AQ21" i="51"/>
  <c r="CH21" i="51" s="1"/>
  <c r="AR21" i="51"/>
  <c r="CI21" i="51" s="1"/>
  <c r="AS21" i="51"/>
  <c r="CJ21" i="51" s="1"/>
  <c r="AT21" i="51"/>
  <c r="CK21" i="51" s="1"/>
  <c r="AO29" i="51"/>
  <c r="CF29" i="51" s="1"/>
  <c r="AP29" i="51"/>
  <c r="CG29" i="51" s="1"/>
  <c r="AQ29" i="51"/>
  <c r="CH29" i="51" s="1"/>
  <c r="AR29" i="51"/>
  <c r="CI29" i="51" s="1"/>
  <c r="AS29" i="51"/>
  <c r="CJ29" i="51" s="1"/>
  <c r="AT29" i="51"/>
  <c r="CK29" i="51" s="1"/>
  <c r="AV19" i="85" l="1"/>
  <c r="AA50" i="39"/>
  <c r="W11" i="83" s="1"/>
  <c r="W10" i="83"/>
  <c r="W18" i="83" s="1"/>
  <c r="V19" i="83"/>
  <c r="V20" i="83"/>
  <c r="AJ22" i="51"/>
  <c r="CA22" i="51" s="1"/>
  <c r="CA23" i="51"/>
  <c r="AF15" i="51"/>
  <c r="BW15" i="51" s="1"/>
  <c r="BW17" i="51"/>
  <c r="AF22" i="51"/>
  <c r="BW22" i="51" s="1"/>
  <c r="BW23" i="51"/>
  <c r="AA15" i="50"/>
  <c r="BM15" i="50" s="1"/>
  <c r="BR20" i="51"/>
  <c r="AA16" i="50"/>
  <c r="BM16" i="50" s="1"/>
  <c r="BR21" i="51"/>
  <c r="AH124" i="50"/>
  <c r="BT124" i="50" s="1"/>
  <c r="BY38" i="51"/>
  <c r="AJ15" i="51"/>
  <c r="CA15" i="51" s="1"/>
  <c r="CA17" i="51"/>
  <c r="AK22" i="51"/>
  <c r="CB22" i="51" s="1"/>
  <c r="CB23" i="51"/>
  <c r="AH21" i="50"/>
  <c r="BT21" i="50" s="1"/>
  <c r="BY47" i="51"/>
  <c r="AH17" i="50"/>
  <c r="BT17" i="50" s="1"/>
  <c r="BY29" i="51"/>
  <c r="AE15" i="51"/>
  <c r="BV15" i="51" s="1"/>
  <c r="BV17" i="51"/>
  <c r="AK15" i="51"/>
  <c r="CB15" i="51" s="1"/>
  <c r="CB17" i="51"/>
  <c r="AL22" i="51"/>
  <c r="CC22" i="51" s="1"/>
  <c r="CC23" i="51"/>
  <c r="AA22" i="50"/>
  <c r="BM22" i="50" s="1"/>
  <c r="BR48" i="51"/>
  <c r="AH122" i="50"/>
  <c r="BT122" i="50" s="1"/>
  <c r="BY36" i="51"/>
  <c r="AL15" i="51"/>
  <c r="CC15" i="51" s="1"/>
  <c r="CC17" i="51"/>
  <c r="AM22" i="51"/>
  <c r="CD22" i="51" s="1"/>
  <c r="CD23" i="51"/>
  <c r="AH15" i="50"/>
  <c r="BT15" i="50" s="1"/>
  <c r="BY20" i="51"/>
  <c r="AH16" i="50"/>
  <c r="BT16" i="50" s="1"/>
  <c r="BY21" i="51"/>
  <c r="AM15" i="51"/>
  <c r="CD15" i="51" s="1"/>
  <c r="CD17" i="51"/>
  <c r="AH117" i="50"/>
  <c r="BT117" i="50" s="1"/>
  <c r="BY27" i="51"/>
  <c r="AB15" i="51"/>
  <c r="BS15" i="51" s="1"/>
  <c r="BS17" i="51"/>
  <c r="AB22" i="51"/>
  <c r="BS22" i="51" s="1"/>
  <c r="BS23" i="51"/>
  <c r="AA20" i="50"/>
  <c r="BM20" i="50" s="1"/>
  <c r="BR46" i="51"/>
  <c r="AH121" i="50"/>
  <c r="BT121" i="50" s="1"/>
  <c r="BY35" i="51"/>
  <c r="AH118" i="50"/>
  <c r="BT118" i="50" s="1"/>
  <c r="BY28" i="51"/>
  <c r="AH22" i="50"/>
  <c r="BT22" i="50" s="1"/>
  <c r="BY48" i="51"/>
  <c r="AE22" i="51"/>
  <c r="BV22" i="51" s="1"/>
  <c r="BV23" i="51"/>
  <c r="AC15" i="51"/>
  <c r="BT15" i="51" s="1"/>
  <c r="BT17" i="51"/>
  <c r="AC22" i="51"/>
  <c r="BT22" i="51" s="1"/>
  <c r="BT23" i="51"/>
  <c r="AH114" i="50"/>
  <c r="BT114" i="50" s="1"/>
  <c r="BY23" i="51"/>
  <c r="AI15" i="51"/>
  <c r="BZ15" i="51" s="1"/>
  <c r="BZ17" i="51"/>
  <c r="AD15" i="51"/>
  <c r="BU15" i="51" s="1"/>
  <c r="BU17" i="51"/>
  <c r="AD22" i="51"/>
  <c r="BU22" i="51" s="1"/>
  <c r="BU23" i="51"/>
  <c r="AA21" i="50"/>
  <c r="BM21" i="50" s="1"/>
  <c r="BR47" i="51"/>
  <c r="AA17" i="50"/>
  <c r="BM17" i="50" s="1"/>
  <c r="BR29" i="51"/>
  <c r="AH113" i="50"/>
  <c r="BT113" i="50" s="1"/>
  <c r="BY17" i="51"/>
  <c r="AI22" i="51"/>
  <c r="BZ22" i="51" s="1"/>
  <c r="BZ23" i="51"/>
  <c r="AH130" i="50"/>
  <c r="BT130" i="50" s="1"/>
  <c r="BY58" i="51"/>
  <c r="AH20" i="50"/>
  <c r="BT20" i="50" s="1"/>
  <c r="BY46" i="51"/>
  <c r="AW19" i="67"/>
  <c r="CC17" i="53"/>
  <c r="BA89" i="53"/>
  <c r="DC89" i="53" s="1"/>
  <c r="DC17" i="53"/>
  <c r="W19" i="78"/>
  <c r="T93" i="39"/>
  <c r="AG93" i="39" s="1"/>
  <c r="T50" i="39"/>
  <c r="AG49" i="39"/>
  <c r="AG50" i="39" s="1"/>
  <c r="T96" i="39"/>
  <c r="AG96" i="39" s="1"/>
  <c r="AA96" i="39"/>
  <c r="BA11" i="53"/>
  <c r="DC11" i="53" s="1"/>
  <c r="BB17" i="53"/>
  <c r="AH17" i="73"/>
  <c r="BX17" i="73" s="1"/>
  <c r="AI17" i="73"/>
  <c r="AA27" i="51"/>
  <c r="BR27" i="51" s="1"/>
  <c r="AE27" i="51"/>
  <c r="BV27" i="51" s="1"/>
  <c r="AH41" i="51"/>
  <c r="BY41" i="51" s="1"/>
  <c r="AL41" i="51"/>
  <c r="CC41" i="51" s="1"/>
  <c r="AK27" i="51"/>
  <c r="AH26" i="51"/>
  <c r="BY26" i="51" s="1"/>
  <c r="AL26" i="51"/>
  <c r="AH39" i="51"/>
  <c r="AL39" i="51"/>
  <c r="CC39" i="51" s="1"/>
  <c r="AI27" i="51"/>
  <c r="AM27" i="51"/>
  <c r="CD27" i="51" s="1"/>
  <c r="AE26" i="51"/>
  <c r="BV26" i="51" s="1"/>
  <c r="AJ26" i="51"/>
  <c r="CA26" i="51" s="1"/>
  <c r="AC39" i="51"/>
  <c r="BT39" i="51" s="1"/>
  <c r="AK45" i="51"/>
  <c r="CB45" i="51" s="1"/>
  <c r="AH22" i="51"/>
  <c r="BY22" i="51" s="1"/>
  <c r="AM72" i="51"/>
  <c r="CD72" i="51" s="1"/>
  <c r="AJ72" i="51"/>
  <c r="CA72" i="51" s="1"/>
  <c r="AL72" i="51"/>
  <c r="CC72" i="51" s="1"/>
  <c r="AI72" i="51"/>
  <c r="BZ72" i="51" s="1"/>
  <c r="AH72" i="51"/>
  <c r="BY72" i="51" s="1"/>
  <c r="AK72" i="51"/>
  <c r="CB72" i="51" s="1"/>
  <c r="AM77" i="51"/>
  <c r="AI77" i="51"/>
  <c r="AH77" i="51"/>
  <c r="AL77" i="51"/>
  <c r="AJ77" i="51"/>
  <c r="AK77" i="51"/>
  <c r="AI97" i="51"/>
  <c r="AH97" i="51"/>
  <c r="BY97" i="51" s="1"/>
  <c r="AL97" i="51"/>
  <c r="AK97" i="51"/>
  <c r="AM97" i="51"/>
  <c r="AJ97" i="51"/>
  <c r="AC26" i="51"/>
  <c r="BT26" i="51" s="1"/>
  <c r="AB45" i="51"/>
  <c r="BS45" i="51" s="1"/>
  <c r="AH84" i="51"/>
  <c r="BY84" i="51" s="1"/>
  <c r="AJ84" i="51"/>
  <c r="CA84" i="51" s="1"/>
  <c r="AM84" i="51"/>
  <c r="CD84" i="51" s="1"/>
  <c r="AK84" i="51"/>
  <c r="CB84" i="51" s="1"/>
  <c r="AI84" i="51"/>
  <c r="BZ84" i="51" s="1"/>
  <c r="AL84" i="51"/>
  <c r="CC84" i="51" s="1"/>
  <c r="AI41" i="51"/>
  <c r="BZ41" i="51" s="1"/>
  <c r="AM41" i="51"/>
  <c r="CD41" i="51" s="1"/>
  <c r="AH76" i="51"/>
  <c r="AI26" i="51"/>
  <c r="BZ26" i="51" s="1"/>
  <c r="AM26" i="51"/>
  <c r="CD26" i="51" s="1"/>
  <c r="AL107" i="51"/>
  <c r="AI107" i="51"/>
  <c r="AH107" i="51"/>
  <c r="AM107" i="51"/>
  <c r="AK107" i="51"/>
  <c r="AJ107" i="51"/>
  <c r="AL95" i="51"/>
  <c r="AM95" i="51"/>
  <c r="AH95" i="51"/>
  <c r="AJ95" i="51"/>
  <c r="AK95" i="51"/>
  <c r="AH45" i="51"/>
  <c r="BY45" i="51" s="1"/>
  <c r="AI95" i="51"/>
  <c r="AL45" i="51"/>
  <c r="CC45" i="51" s="1"/>
  <c r="AJ85" i="51"/>
  <c r="AH85" i="51"/>
  <c r="AM85" i="51"/>
  <c r="AL85" i="51"/>
  <c r="AK85" i="51"/>
  <c r="AI85" i="51"/>
  <c r="AT70" i="51"/>
  <c r="CK70" i="51" s="1"/>
  <c r="AS70" i="51"/>
  <c r="CJ70" i="51" s="1"/>
  <c r="AP70" i="51"/>
  <c r="CG70" i="51" s="1"/>
  <c r="AQ70" i="51"/>
  <c r="CH70" i="51" s="1"/>
  <c r="AR70" i="51"/>
  <c r="CI70" i="51" s="1"/>
  <c r="AO70" i="51"/>
  <c r="CF70" i="51" s="1"/>
  <c r="AT78" i="51"/>
  <c r="CK78" i="51" s="1"/>
  <c r="AR78" i="51"/>
  <c r="CI78" i="51" s="1"/>
  <c r="AP78" i="51"/>
  <c r="CG78" i="51" s="1"/>
  <c r="AQ78" i="51"/>
  <c r="CH78" i="51" s="1"/>
  <c r="AS78" i="51"/>
  <c r="CJ78" i="51" s="1"/>
  <c r="AO78" i="51"/>
  <c r="CF78" i="51" s="1"/>
  <c r="AB39" i="51"/>
  <c r="BS39" i="51" s="1"/>
  <c r="AL66" i="51"/>
  <c r="CC66" i="51" s="1"/>
  <c r="AM66" i="51"/>
  <c r="CD66" i="51" s="1"/>
  <c r="AH15" i="51"/>
  <c r="BY15" i="51" s="1"/>
  <c r="AI66" i="51"/>
  <c r="BZ66" i="51" s="1"/>
  <c r="AH66" i="51"/>
  <c r="BY66" i="51" s="1"/>
  <c r="AK66" i="51"/>
  <c r="CB66" i="51" s="1"/>
  <c r="AJ66" i="51"/>
  <c r="CA66" i="51" s="1"/>
  <c r="AI39" i="51"/>
  <c r="BZ39" i="51" s="1"/>
  <c r="AM39" i="51"/>
  <c r="CD39" i="51" s="1"/>
  <c r="AJ41" i="51"/>
  <c r="CA41" i="51" s="1"/>
  <c r="AI96" i="51"/>
  <c r="AK96" i="51"/>
  <c r="AJ96" i="51"/>
  <c r="AH96" i="51"/>
  <c r="BY96" i="51" s="1"/>
  <c r="AM96" i="51"/>
  <c r="AL96" i="51"/>
  <c r="AI45" i="51"/>
  <c r="BZ45" i="51" s="1"/>
  <c r="AM45" i="51"/>
  <c r="CD45" i="51" s="1"/>
  <c r="AH78" i="51"/>
  <c r="BY78" i="51" s="1"/>
  <c r="AI78" i="51"/>
  <c r="AK78" i="51"/>
  <c r="AM78" i="51"/>
  <c r="AL78" i="51"/>
  <c r="AJ78" i="51"/>
  <c r="AD41" i="51"/>
  <c r="AD27" i="51"/>
  <c r="BU27" i="51" s="1"/>
  <c r="AD69" i="51"/>
  <c r="AD45" i="51"/>
  <c r="BU45" i="51" s="1"/>
  <c r="AH87" i="51"/>
  <c r="AK87" i="51"/>
  <c r="AI87" i="51"/>
  <c r="AJ87" i="51"/>
  <c r="AM87" i="51"/>
  <c r="AL87" i="51"/>
  <c r="AJ39" i="51"/>
  <c r="CA39" i="51" s="1"/>
  <c r="AK41" i="51"/>
  <c r="AJ27" i="51"/>
  <c r="CA27" i="51" s="1"/>
  <c r="AI69" i="51"/>
  <c r="AL69" i="51"/>
  <c r="AJ69" i="51"/>
  <c r="AK69" i="51"/>
  <c r="AM69" i="51"/>
  <c r="AH69" i="51"/>
  <c r="AJ45" i="51"/>
  <c r="CA45" i="51" s="1"/>
  <c r="AM70" i="51"/>
  <c r="AK70" i="51"/>
  <c r="AJ70" i="51"/>
  <c r="AL70" i="51"/>
  <c r="AI70" i="51"/>
  <c r="AH70" i="51"/>
  <c r="BY70" i="51" s="1"/>
  <c r="AA124" i="50"/>
  <c r="AF87" i="51"/>
  <c r="AA87" i="51"/>
  <c r="AB87" i="51"/>
  <c r="AE87" i="51"/>
  <c r="AC87" i="51"/>
  <c r="AD87" i="51"/>
  <c r="AA122" i="50"/>
  <c r="AF85" i="51"/>
  <c r="AB85" i="51"/>
  <c r="AE85" i="51"/>
  <c r="AC85" i="51"/>
  <c r="AA85" i="51"/>
  <c r="AD85" i="51"/>
  <c r="AA41" i="51"/>
  <c r="BR41" i="51" s="1"/>
  <c r="AE41" i="51"/>
  <c r="AA114" i="50"/>
  <c r="AA72" i="51"/>
  <c r="BR72" i="51" s="1"/>
  <c r="AE72" i="51"/>
  <c r="BV72" i="51" s="1"/>
  <c r="AA22" i="51"/>
  <c r="BR22" i="51" s="1"/>
  <c r="AD72" i="51"/>
  <c r="BU72" i="51" s="1"/>
  <c r="AC72" i="51"/>
  <c r="BT72" i="51" s="1"/>
  <c r="AF72" i="51"/>
  <c r="BW72" i="51" s="1"/>
  <c r="AB72" i="51"/>
  <c r="BS72" i="51" s="1"/>
  <c r="AB26" i="51"/>
  <c r="AF26" i="51"/>
  <c r="AA130" i="50"/>
  <c r="BM130" i="50" s="1"/>
  <c r="AD107" i="51"/>
  <c r="AA107" i="51"/>
  <c r="AC107" i="51"/>
  <c r="AF107" i="51"/>
  <c r="AE107" i="51"/>
  <c r="AB107" i="51"/>
  <c r="AB95" i="51"/>
  <c r="BS95" i="51" s="1"/>
  <c r="AE95" i="51"/>
  <c r="BV95" i="51" s="1"/>
  <c r="AA95" i="51"/>
  <c r="BR95" i="51" s="1"/>
  <c r="AD95" i="51"/>
  <c r="BU95" i="51" s="1"/>
  <c r="AF95" i="51"/>
  <c r="BW95" i="51" s="1"/>
  <c r="AC95" i="51"/>
  <c r="BT95" i="51" s="1"/>
  <c r="AA45" i="51"/>
  <c r="BR45" i="51" s="1"/>
  <c r="AE45" i="51"/>
  <c r="BV45" i="51" s="1"/>
  <c r="AA39" i="51"/>
  <c r="BR39" i="51" s="1"/>
  <c r="AB41" i="51"/>
  <c r="BS41" i="51" s="1"/>
  <c r="AF41" i="51"/>
  <c r="BW41" i="51" s="1"/>
  <c r="AE96" i="51"/>
  <c r="AA96" i="51"/>
  <c r="AF96" i="51"/>
  <c r="AC96" i="51"/>
  <c r="AD96" i="51"/>
  <c r="AB96" i="51"/>
  <c r="AF45" i="51"/>
  <c r="BW45" i="51" s="1"/>
  <c r="AF78" i="51"/>
  <c r="AE78" i="51"/>
  <c r="AD78" i="51"/>
  <c r="AB78" i="51"/>
  <c r="AA78" i="51"/>
  <c r="AC78" i="51"/>
  <c r="AA121" i="50"/>
  <c r="AD84" i="51"/>
  <c r="BU84" i="51" s="1"/>
  <c r="AF84" i="51"/>
  <c r="BW84" i="51" s="1"/>
  <c r="AE84" i="51"/>
  <c r="BV84" i="51" s="1"/>
  <c r="AC84" i="51"/>
  <c r="BT84" i="51" s="1"/>
  <c r="AA84" i="51"/>
  <c r="BR84" i="51" s="1"/>
  <c r="AB84" i="51"/>
  <c r="BS84" i="51" s="1"/>
  <c r="AA113" i="50"/>
  <c r="BM113" i="50" s="1"/>
  <c r="AE66" i="51"/>
  <c r="BV66" i="51" s="1"/>
  <c r="AC66" i="51"/>
  <c r="BT66" i="51" s="1"/>
  <c r="AA66" i="51"/>
  <c r="BR66" i="51" s="1"/>
  <c r="AD66" i="51"/>
  <c r="BU66" i="51" s="1"/>
  <c r="AA15" i="51"/>
  <c r="BR15" i="51" s="1"/>
  <c r="AF66" i="51"/>
  <c r="BW66" i="51" s="1"/>
  <c r="AB66" i="51"/>
  <c r="BS66" i="51" s="1"/>
  <c r="AF39" i="51"/>
  <c r="BW39" i="51" s="1"/>
  <c r="AC41" i="51"/>
  <c r="BT41" i="51" s="1"/>
  <c r="AC27" i="51"/>
  <c r="BT27" i="51" s="1"/>
  <c r="AD26" i="51"/>
  <c r="BU26" i="51" s="1"/>
  <c r="AF69" i="51"/>
  <c r="AE69" i="51"/>
  <c r="AB69" i="51"/>
  <c r="AC69" i="51"/>
  <c r="AA69" i="51"/>
  <c r="AC45" i="51"/>
  <c r="BT45" i="51" s="1"/>
  <c r="AD70" i="51"/>
  <c r="AC70" i="51"/>
  <c r="AF70" i="51"/>
  <c r="AB70" i="51"/>
  <c r="AA70" i="51"/>
  <c r="AE70" i="51"/>
  <c r="AA116" i="50"/>
  <c r="BM116" i="50" s="1"/>
  <c r="AA75" i="51"/>
  <c r="BR75" i="51" s="1"/>
  <c r="AA118" i="50"/>
  <c r="AA77" i="51"/>
  <c r="AF77" i="51"/>
  <c r="AD77" i="51"/>
  <c r="AB77" i="51"/>
  <c r="AC77" i="51"/>
  <c r="AE77" i="51"/>
  <c r="AF97" i="51"/>
  <c r="AE97" i="51"/>
  <c r="AD97" i="51"/>
  <c r="AA97" i="51"/>
  <c r="AC97" i="51"/>
  <c r="AB97" i="51"/>
  <c r="AI114" i="50" l="1"/>
  <c r="AB15" i="50"/>
  <c r="AI21" i="50"/>
  <c r="AI124" i="50"/>
  <c r="AJ124" i="50" s="1"/>
  <c r="AB17" i="50"/>
  <c r="BN17" i="50" s="1"/>
  <c r="AW19" i="85"/>
  <c r="AI121" i="50"/>
  <c r="AJ121" i="50" s="1"/>
  <c r="AI113" i="50"/>
  <c r="W19" i="83"/>
  <c r="W20" i="83"/>
  <c r="AB21" i="50"/>
  <c r="AI17" i="50"/>
  <c r="AJ17" i="50" s="1"/>
  <c r="AB22" i="50"/>
  <c r="AC22" i="50" s="1"/>
  <c r="AI20" i="50"/>
  <c r="AB16" i="50"/>
  <c r="BN16" i="50" s="1"/>
  <c r="AB144" i="50"/>
  <c r="BN144" i="50" s="1"/>
  <c r="BS87" i="51"/>
  <c r="AB118" i="50"/>
  <c r="BN118" i="50" s="1"/>
  <c r="BM118" i="50"/>
  <c r="AD41" i="50"/>
  <c r="BP41" i="50" s="1"/>
  <c r="BU70" i="51"/>
  <c r="AH144" i="50"/>
  <c r="AH164" i="50" s="1"/>
  <c r="BT164" i="50" s="1"/>
  <c r="BY87" i="51"/>
  <c r="CB78" i="51"/>
  <c r="CA96" i="51"/>
  <c r="AJ150" i="50"/>
  <c r="BV150" i="50" s="1"/>
  <c r="CA107" i="51"/>
  <c r="AH137" i="50"/>
  <c r="AH157" i="50" s="1"/>
  <c r="BY76" i="51"/>
  <c r="AI47" i="50"/>
  <c r="BU47" i="50" s="1"/>
  <c r="BZ97" i="51"/>
  <c r="AK25" i="51"/>
  <c r="CB27" i="51"/>
  <c r="AJ114" i="50"/>
  <c r="BU114" i="50"/>
  <c r="CC95" i="51"/>
  <c r="AE47" i="50"/>
  <c r="BQ47" i="50" s="1"/>
  <c r="BV97" i="51"/>
  <c r="AE142" i="50"/>
  <c r="BQ142" i="50" s="1"/>
  <c r="BV85" i="51"/>
  <c r="AA144" i="50"/>
  <c r="AA164" i="50" s="1"/>
  <c r="BM164" i="50" s="1"/>
  <c r="BR87" i="51"/>
  <c r="CD70" i="51"/>
  <c r="AF47" i="50"/>
  <c r="BR47" i="50" s="1"/>
  <c r="BW97" i="51"/>
  <c r="AB121" i="50"/>
  <c r="BN121" i="50" s="1"/>
  <c r="BM121" i="50"/>
  <c r="AB46" i="50"/>
  <c r="BN46" i="50" s="1"/>
  <c r="BS96" i="51"/>
  <c r="AF25" i="51"/>
  <c r="BW26" i="51"/>
  <c r="AB142" i="50"/>
  <c r="BN142" i="50" s="1"/>
  <c r="BS85" i="51"/>
  <c r="AF144" i="50"/>
  <c r="BR144" i="50" s="1"/>
  <c r="BW87" i="51"/>
  <c r="AK34" i="51"/>
  <c r="CB41" i="51"/>
  <c r="AI42" i="50"/>
  <c r="BU42" i="50" s="1"/>
  <c r="BZ78" i="51"/>
  <c r="CB96" i="51"/>
  <c r="AI45" i="50"/>
  <c r="BU45" i="50" s="1"/>
  <c r="BZ95" i="51"/>
  <c r="AK150" i="50"/>
  <c r="BW150" i="50" s="1"/>
  <c r="CB107" i="51"/>
  <c r="AK138" i="50"/>
  <c r="BW138" i="50" s="1"/>
  <c r="CB77" i="51"/>
  <c r="AB20" i="50"/>
  <c r="AI16" i="50"/>
  <c r="AD47" i="50"/>
  <c r="BP47" i="50" s="1"/>
  <c r="BU97" i="51"/>
  <c r="AF42" i="50"/>
  <c r="BR42" i="50" s="1"/>
  <c r="BW78" i="51"/>
  <c r="CB70" i="51"/>
  <c r="AA40" i="50"/>
  <c r="BM40" i="50" s="1"/>
  <c r="BR69" i="51"/>
  <c r="AC42" i="50"/>
  <c r="BO42" i="50" s="1"/>
  <c r="BT78" i="51"/>
  <c r="AB124" i="50"/>
  <c r="BN124" i="50" s="1"/>
  <c r="BM124" i="50"/>
  <c r="BY69" i="51"/>
  <c r="AD40" i="50"/>
  <c r="BP40" i="50" s="1"/>
  <c r="BU69" i="51"/>
  <c r="AI46" i="50"/>
  <c r="BU46" i="50" s="1"/>
  <c r="BZ96" i="51"/>
  <c r="AI142" i="50"/>
  <c r="BU142" i="50" s="1"/>
  <c r="BZ85" i="51"/>
  <c r="AM150" i="50"/>
  <c r="BY150" i="50" s="1"/>
  <c r="CD107" i="51"/>
  <c r="AJ138" i="50"/>
  <c r="BV138" i="50" s="1"/>
  <c r="CA77" i="51"/>
  <c r="BU17" i="50"/>
  <c r="AC15" i="50"/>
  <c r="BN15" i="50"/>
  <c r="AJ20" i="50"/>
  <c r="BU20" i="50"/>
  <c r="CD78" i="51"/>
  <c r="AD46" i="50"/>
  <c r="BP46" i="50" s="1"/>
  <c r="BU96" i="51"/>
  <c r="AB150" i="50"/>
  <c r="BN150" i="50" s="1"/>
  <c r="BS107" i="51"/>
  <c r="AF142" i="50"/>
  <c r="BR142" i="50" s="1"/>
  <c r="BW85" i="51"/>
  <c r="AC138" i="50"/>
  <c r="BO138" i="50" s="1"/>
  <c r="BT77" i="51"/>
  <c r="AE41" i="50"/>
  <c r="BQ41" i="50" s="1"/>
  <c r="BV70" i="51"/>
  <c r="AC40" i="50"/>
  <c r="BO40" i="50" s="1"/>
  <c r="BT69" i="51"/>
  <c r="AA42" i="50"/>
  <c r="BM42" i="50" s="1"/>
  <c r="BR78" i="51"/>
  <c r="AC46" i="50"/>
  <c r="BO46" i="50" s="1"/>
  <c r="BT96" i="51"/>
  <c r="AE150" i="50"/>
  <c r="BQ150" i="50" s="1"/>
  <c r="BV107" i="51"/>
  <c r="AE34" i="51"/>
  <c r="BV41" i="51"/>
  <c r="AB122" i="50"/>
  <c r="BN122" i="50" s="1"/>
  <c r="BM122" i="50"/>
  <c r="AM40" i="50"/>
  <c r="BY40" i="50" s="1"/>
  <c r="CD69" i="51"/>
  <c r="AL144" i="50"/>
  <c r="BX144" i="50" s="1"/>
  <c r="CC87" i="51"/>
  <c r="AK142" i="50"/>
  <c r="BW142" i="50" s="1"/>
  <c r="CB85" i="51"/>
  <c r="CB95" i="51"/>
  <c r="AH150" i="50"/>
  <c r="AH170" i="50" s="1"/>
  <c r="BY107" i="51"/>
  <c r="CA97" i="51"/>
  <c r="AL138" i="50"/>
  <c r="BX138" i="50" s="1"/>
  <c r="CC77" i="51"/>
  <c r="AI76" i="51"/>
  <c r="BZ27" i="51"/>
  <c r="AI22" i="50"/>
  <c r="AI130" i="50"/>
  <c r="AI15" i="50"/>
  <c r="AC142" i="50"/>
  <c r="BO142" i="50" s="1"/>
  <c r="BT85" i="51"/>
  <c r="AB25" i="51"/>
  <c r="BS26" i="51"/>
  <c r="AB47" i="50"/>
  <c r="BN47" i="50" s="1"/>
  <c r="BS97" i="51"/>
  <c r="AB42" i="50"/>
  <c r="BN42" i="50" s="1"/>
  <c r="BS78" i="51"/>
  <c r="AI41" i="50"/>
  <c r="BU41" i="50" s="1"/>
  <c r="BZ70" i="51"/>
  <c r="AM144" i="50"/>
  <c r="BY144" i="50" s="1"/>
  <c r="CD87" i="51"/>
  <c r="CA95" i="51"/>
  <c r="AH138" i="50"/>
  <c r="BT138" i="50" s="1"/>
  <c r="BY77" i="51"/>
  <c r="AJ21" i="50"/>
  <c r="BU21" i="50"/>
  <c r="AJ113" i="50"/>
  <c r="BU113" i="50"/>
  <c r="AC21" i="50"/>
  <c r="BN21" i="50"/>
  <c r="AA138" i="50"/>
  <c r="BM138" i="50" s="1"/>
  <c r="BR77" i="51"/>
  <c r="AD150" i="50"/>
  <c r="BP150" i="50" s="1"/>
  <c r="BU107" i="51"/>
  <c r="AK144" i="50"/>
  <c r="BW144" i="50" s="1"/>
  <c r="CB87" i="51"/>
  <c r="AJ142" i="50"/>
  <c r="BV142" i="50" s="1"/>
  <c r="CA85" i="51"/>
  <c r="AE138" i="50"/>
  <c r="BQ138" i="50" s="1"/>
  <c r="BV77" i="51"/>
  <c r="AB114" i="50"/>
  <c r="BN114" i="50" s="1"/>
  <c r="BM114" i="50"/>
  <c r="AB138" i="50"/>
  <c r="BN138" i="50" s="1"/>
  <c r="BS77" i="51"/>
  <c r="AA41" i="50"/>
  <c r="AA66" i="50" s="1"/>
  <c r="BM66" i="50" s="1"/>
  <c r="BR70" i="51"/>
  <c r="AB40" i="50"/>
  <c r="BN40" i="50" s="1"/>
  <c r="BS69" i="51"/>
  <c r="AF46" i="50"/>
  <c r="BR46" i="50" s="1"/>
  <c r="BW96" i="51"/>
  <c r="AF150" i="50"/>
  <c r="BR150" i="50" s="1"/>
  <c r="BW107" i="51"/>
  <c r="AD144" i="50"/>
  <c r="BP144" i="50" s="1"/>
  <c r="BU87" i="51"/>
  <c r="AK40" i="50"/>
  <c r="BW40" i="50" s="1"/>
  <c r="CB69" i="51"/>
  <c r="AD34" i="51"/>
  <c r="BU41" i="51"/>
  <c r="AL142" i="50"/>
  <c r="BX142" i="50" s="1"/>
  <c r="CC85" i="51"/>
  <c r="AI150" i="50"/>
  <c r="BU150" i="50" s="1"/>
  <c r="BZ107" i="51"/>
  <c r="CD97" i="51"/>
  <c r="AC47" i="50"/>
  <c r="BO47" i="50" s="1"/>
  <c r="BT97" i="51"/>
  <c r="AD138" i="50"/>
  <c r="BP138" i="50" s="1"/>
  <c r="BU77" i="51"/>
  <c r="AB41" i="50"/>
  <c r="BN41" i="50" s="1"/>
  <c r="BS70" i="51"/>
  <c r="AE40" i="50"/>
  <c r="BQ40" i="50" s="1"/>
  <c r="BV69" i="51"/>
  <c r="AD42" i="50"/>
  <c r="BP42" i="50" s="1"/>
  <c r="BU78" i="51"/>
  <c r="AA46" i="50"/>
  <c r="BR96" i="51"/>
  <c r="AC150" i="50"/>
  <c r="BO150" i="50" s="1"/>
  <c r="BT107" i="51"/>
  <c r="AD142" i="50"/>
  <c r="BP142" i="50" s="1"/>
  <c r="BU85" i="51"/>
  <c r="AC144" i="50"/>
  <c r="BO144" i="50" s="1"/>
  <c r="BT87" i="51"/>
  <c r="CC70" i="51"/>
  <c r="AJ40" i="50"/>
  <c r="BV40" i="50" s="1"/>
  <c r="CA69" i="51"/>
  <c r="AJ144" i="50"/>
  <c r="BV144" i="50" s="1"/>
  <c r="CA87" i="51"/>
  <c r="CA78" i="51"/>
  <c r="CC96" i="51"/>
  <c r="AM142" i="50"/>
  <c r="BY142" i="50" s="1"/>
  <c r="CD85" i="51"/>
  <c r="BY95" i="51"/>
  <c r="AL150" i="50"/>
  <c r="BX150" i="50" s="1"/>
  <c r="CC107" i="51"/>
  <c r="CB97" i="51"/>
  <c r="AI138" i="50"/>
  <c r="BU138" i="50" s="1"/>
  <c r="BZ77" i="51"/>
  <c r="AH125" i="50"/>
  <c r="BT125" i="50" s="1"/>
  <c r="BY39" i="51"/>
  <c r="AI118" i="50"/>
  <c r="AI122" i="50"/>
  <c r="AC41" i="50"/>
  <c r="BO41" i="50" s="1"/>
  <c r="BT70" i="51"/>
  <c r="AI40" i="50"/>
  <c r="BU40" i="50" s="1"/>
  <c r="BZ69" i="51"/>
  <c r="AA47" i="50"/>
  <c r="AA72" i="50" s="1"/>
  <c r="BM72" i="50" s="1"/>
  <c r="BR97" i="51"/>
  <c r="AF138" i="50"/>
  <c r="BR138" i="50" s="1"/>
  <c r="BW77" i="51"/>
  <c r="AF41" i="50"/>
  <c r="BR41" i="50" s="1"/>
  <c r="BW70" i="51"/>
  <c r="AF40" i="50"/>
  <c r="BR40" i="50" s="1"/>
  <c r="BW69" i="51"/>
  <c r="AE42" i="50"/>
  <c r="BQ42" i="50" s="1"/>
  <c r="BV78" i="51"/>
  <c r="AE46" i="50"/>
  <c r="BQ46" i="50" s="1"/>
  <c r="BV96" i="51"/>
  <c r="AA150" i="50"/>
  <c r="BM150" i="50" s="1"/>
  <c r="BR107" i="51"/>
  <c r="AA142" i="50"/>
  <c r="BM142" i="50" s="1"/>
  <c r="BR85" i="51"/>
  <c r="AE144" i="50"/>
  <c r="BQ144" i="50" s="1"/>
  <c r="BV87" i="51"/>
  <c r="CA70" i="51"/>
  <c r="AL40" i="50"/>
  <c r="BX40" i="50" s="1"/>
  <c r="CC69" i="51"/>
  <c r="AI144" i="50"/>
  <c r="BU144" i="50" s="1"/>
  <c r="BZ87" i="51"/>
  <c r="CC78" i="51"/>
  <c r="CD96" i="51"/>
  <c r="AH142" i="50"/>
  <c r="AH162" i="50" s="1"/>
  <c r="BT162" i="50" s="1"/>
  <c r="BY85" i="51"/>
  <c r="CD95" i="51"/>
  <c r="CC97" i="51"/>
  <c r="AM138" i="50"/>
  <c r="BY138" i="50" s="1"/>
  <c r="CD77" i="51"/>
  <c r="AL25" i="51"/>
  <c r="CC26" i="51"/>
  <c r="BU124" i="50"/>
  <c r="AC17" i="50"/>
  <c r="BB11" i="53"/>
  <c r="DD11" i="53" s="1"/>
  <c r="DD17" i="53"/>
  <c r="BT142" i="50"/>
  <c r="AB34" i="51"/>
  <c r="AJ76" i="51"/>
  <c r="AC34" i="51"/>
  <c r="AA117" i="50"/>
  <c r="AE76" i="51"/>
  <c r="AA76" i="51"/>
  <c r="AC76" i="51"/>
  <c r="AB76" i="51"/>
  <c r="AD76" i="51"/>
  <c r="AF76" i="51"/>
  <c r="AH25" i="51"/>
  <c r="AH116" i="50"/>
  <c r="AI117" i="50"/>
  <c r="AH90" i="51"/>
  <c r="AH127" i="50"/>
  <c r="AA25" i="51"/>
  <c r="AD25" i="51"/>
  <c r="AI25" i="51"/>
  <c r="AM25" i="51"/>
  <c r="AB75" i="51"/>
  <c r="AE25" i="51"/>
  <c r="AH34" i="51"/>
  <c r="AL34" i="51"/>
  <c r="AH88" i="51"/>
  <c r="AC75" i="51"/>
  <c r="AF34" i="51"/>
  <c r="AD75" i="51"/>
  <c r="AJ34" i="51"/>
  <c r="AH75" i="51"/>
  <c r="AM34" i="51"/>
  <c r="AA34" i="51"/>
  <c r="AE75" i="51"/>
  <c r="BV75" i="51" s="1"/>
  <c r="AF75" i="51"/>
  <c r="BW75" i="51" s="1"/>
  <c r="AC25" i="51"/>
  <c r="AJ88" i="51"/>
  <c r="AI34" i="51"/>
  <c r="AJ90" i="51"/>
  <c r="C75" i="49"/>
  <c r="D75" i="49"/>
  <c r="AI133" i="50"/>
  <c r="BU133" i="50" s="1"/>
  <c r="AI64" i="51"/>
  <c r="BZ64" i="51" s="1"/>
  <c r="AI94" i="51"/>
  <c r="BZ94" i="51" s="1"/>
  <c r="AH94" i="51"/>
  <c r="BY94" i="51" s="1"/>
  <c r="AK76" i="51"/>
  <c r="AL76" i="51"/>
  <c r="AM88" i="51"/>
  <c r="AI88" i="51"/>
  <c r="AL141" i="50"/>
  <c r="BX141" i="50" s="1"/>
  <c r="AJ141" i="50"/>
  <c r="BV141" i="50" s="1"/>
  <c r="AK75" i="51"/>
  <c r="CB75" i="51" s="1"/>
  <c r="AI75" i="51"/>
  <c r="BZ75" i="51" s="1"/>
  <c r="AK71" i="51"/>
  <c r="CB71" i="51" s="1"/>
  <c r="AK134" i="50"/>
  <c r="BW134" i="50" s="1"/>
  <c r="AJ134" i="50"/>
  <c r="BV134" i="50" s="1"/>
  <c r="AJ71" i="51"/>
  <c r="CA71" i="51" s="1"/>
  <c r="AI90" i="51"/>
  <c r="G75" i="49"/>
  <c r="AJ133" i="50"/>
  <c r="BV133" i="50" s="1"/>
  <c r="AJ64" i="51"/>
  <c r="CA64" i="51" s="1"/>
  <c r="AM94" i="51"/>
  <c r="CD94" i="51" s="1"/>
  <c r="AM76" i="51"/>
  <c r="AI141" i="50"/>
  <c r="BU141" i="50" s="1"/>
  <c r="AH141" i="50"/>
  <c r="AJ75" i="51"/>
  <c r="CA75" i="51" s="1"/>
  <c r="AH71" i="51"/>
  <c r="BY71" i="51" s="1"/>
  <c r="AH134" i="50"/>
  <c r="AM134" i="50"/>
  <c r="BY134" i="50" s="1"/>
  <c r="AM71" i="51"/>
  <c r="CD71" i="51" s="1"/>
  <c r="AK90" i="51"/>
  <c r="AL90" i="51"/>
  <c r="AK133" i="50"/>
  <c r="BW133" i="50" s="1"/>
  <c r="AK64" i="51"/>
  <c r="CB64" i="51" s="1"/>
  <c r="AM133" i="50"/>
  <c r="BY133" i="50" s="1"/>
  <c r="AM64" i="51"/>
  <c r="CD64" i="51" s="1"/>
  <c r="AK94" i="51"/>
  <c r="CB94" i="51" s="1"/>
  <c r="AL94" i="51"/>
  <c r="CC94" i="51" s="1"/>
  <c r="AK141" i="50"/>
  <c r="BW141" i="50" s="1"/>
  <c r="AM75" i="51"/>
  <c r="CD75" i="51" s="1"/>
  <c r="AI71" i="51"/>
  <c r="BZ71" i="51" s="1"/>
  <c r="AI134" i="50"/>
  <c r="BU134" i="50" s="1"/>
  <c r="AM90" i="51"/>
  <c r="E75" i="49"/>
  <c r="AJ25" i="51"/>
  <c r="AH133" i="50"/>
  <c r="BT133" i="50" s="1"/>
  <c r="AH64" i="51"/>
  <c r="BY64" i="51" s="1"/>
  <c r="AL133" i="50"/>
  <c r="BX133" i="50" s="1"/>
  <c r="AL64" i="51"/>
  <c r="CC64" i="51" s="1"/>
  <c r="AJ94" i="51"/>
  <c r="CA94" i="51" s="1"/>
  <c r="AK88" i="51"/>
  <c r="AL88" i="51"/>
  <c r="AM141" i="50"/>
  <c r="BY141" i="50" s="1"/>
  <c r="AL75" i="51"/>
  <c r="CC75" i="51" s="1"/>
  <c r="AL71" i="51"/>
  <c r="CC71" i="51" s="1"/>
  <c r="AL134" i="50"/>
  <c r="BX134" i="50" s="1"/>
  <c r="AA136" i="50"/>
  <c r="AB133" i="50"/>
  <c r="BN133" i="50" s="1"/>
  <c r="AB64" i="51"/>
  <c r="BS64" i="51" s="1"/>
  <c r="AA133" i="50"/>
  <c r="BM133" i="50" s="1"/>
  <c r="AA64" i="51"/>
  <c r="BR64" i="51" s="1"/>
  <c r="AB141" i="50"/>
  <c r="BN141" i="50" s="1"/>
  <c r="AF141" i="50"/>
  <c r="BR141" i="50" s="1"/>
  <c r="AA125" i="50"/>
  <c r="BM125" i="50" s="1"/>
  <c r="AE88" i="51"/>
  <c r="AC88" i="51"/>
  <c r="AA88" i="51"/>
  <c r="AB88" i="51"/>
  <c r="AD88" i="51"/>
  <c r="AF88" i="51"/>
  <c r="AA45" i="50"/>
  <c r="BM45" i="50" s="1"/>
  <c r="AA94" i="51"/>
  <c r="BR94" i="51" s="1"/>
  <c r="AB71" i="51"/>
  <c r="BS71" i="51" s="1"/>
  <c r="AB134" i="50"/>
  <c r="BN134" i="50" s="1"/>
  <c r="F61" i="49"/>
  <c r="C61" i="49"/>
  <c r="AC118" i="50"/>
  <c r="BO118" i="50" s="1"/>
  <c r="AB116" i="50"/>
  <c r="BN116" i="50" s="1"/>
  <c r="AF133" i="50"/>
  <c r="BR133" i="50" s="1"/>
  <c r="AF64" i="51"/>
  <c r="BW64" i="51" s="1"/>
  <c r="AC133" i="50"/>
  <c r="BO133" i="50" s="1"/>
  <c r="AC64" i="51"/>
  <c r="BT64" i="51" s="1"/>
  <c r="AA141" i="50"/>
  <c r="AD141" i="50"/>
  <c r="BP141" i="50" s="1"/>
  <c r="AC45" i="50"/>
  <c r="AC94" i="51"/>
  <c r="BT94" i="51" s="1"/>
  <c r="AE45" i="50"/>
  <c r="AE94" i="51"/>
  <c r="BV94" i="51" s="1"/>
  <c r="AF134" i="50"/>
  <c r="BR134" i="50" s="1"/>
  <c r="AF71" i="51"/>
  <c r="BW71" i="51" s="1"/>
  <c r="AE134" i="50"/>
  <c r="BQ134" i="50" s="1"/>
  <c r="AE71" i="51"/>
  <c r="BV71" i="51" s="1"/>
  <c r="AA127" i="50"/>
  <c r="BM127" i="50" s="1"/>
  <c r="AE90" i="51"/>
  <c r="AC90" i="51"/>
  <c r="AB90" i="51"/>
  <c r="AA90" i="51"/>
  <c r="AD90" i="51"/>
  <c r="AF90" i="51"/>
  <c r="E61" i="49"/>
  <c r="AE133" i="50"/>
  <c r="BQ133" i="50" s="1"/>
  <c r="AE64" i="51"/>
  <c r="BV64" i="51" s="1"/>
  <c r="AC141" i="50"/>
  <c r="BO141" i="50" s="1"/>
  <c r="AF45" i="50"/>
  <c r="AF94" i="51"/>
  <c r="BW94" i="51" s="1"/>
  <c r="AB45" i="50"/>
  <c r="AB94" i="51"/>
  <c r="BS94" i="51" s="1"/>
  <c r="AB130" i="50"/>
  <c r="BN130" i="50" s="1"/>
  <c r="AC134" i="50"/>
  <c r="BO134" i="50" s="1"/>
  <c r="AC71" i="51"/>
  <c r="BT71" i="51" s="1"/>
  <c r="AA134" i="50"/>
  <c r="AA71" i="51"/>
  <c r="BR71" i="51" s="1"/>
  <c r="AC124" i="50"/>
  <c r="BO124" i="50" s="1"/>
  <c r="AD133" i="50"/>
  <c r="BP133" i="50" s="1"/>
  <c r="AD64" i="51"/>
  <c r="BU64" i="51" s="1"/>
  <c r="AB113" i="50"/>
  <c r="BN113" i="50" s="1"/>
  <c r="AE141" i="50"/>
  <c r="BQ141" i="50" s="1"/>
  <c r="AD45" i="50"/>
  <c r="AD94" i="51"/>
  <c r="BU94" i="51" s="1"/>
  <c r="AD71" i="51"/>
  <c r="BU71" i="51" s="1"/>
  <c r="AD134" i="50"/>
  <c r="BP134" i="50" s="1"/>
  <c r="AC114" i="50"/>
  <c r="BO114" i="50" s="1"/>
  <c r="D61" i="49"/>
  <c r="F75" i="49"/>
  <c r="G61" i="49"/>
  <c r="AH158" i="50" l="1"/>
  <c r="BT158" i="50" s="1"/>
  <c r="BM144" i="50"/>
  <c r="AA67" i="50"/>
  <c r="BM67" i="50" s="1"/>
  <c r="AA71" i="50"/>
  <c r="BM71" i="50" s="1"/>
  <c r="BM46" i="50"/>
  <c r="AA65" i="50"/>
  <c r="BM65" i="50" s="1"/>
  <c r="AD38" i="50"/>
  <c r="BP38" i="50" s="1"/>
  <c r="BT150" i="50"/>
  <c r="BN22" i="50"/>
  <c r="AC122" i="50"/>
  <c r="BO122" i="50" s="1"/>
  <c r="AA38" i="50"/>
  <c r="BM38" i="50" s="1"/>
  <c r="AI38" i="50"/>
  <c r="BU38" i="50" s="1"/>
  <c r="AA162" i="50"/>
  <c r="BU121" i="50"/>
  <c r="AC16" i="50"/>
  <c r="AA170" i="50"/>
  <c r="BM170" i="50" s="1"/>
  <c r="AC38" i="50"/>
  <c r="BO38" i="50" s="1"/>
  <c r="BM41" i="50"/>
  <c r="AA190" i="50"/>
  <c r="BM190" i="50" s="1"/>
  <c r="AF38" i="50"/>
  <c r="BR38" i="50" s="1"/>
  <c r="AB170" i="50"/>
  <c r="AB190" i="50" s="1"/>
  <c r="BN190" i="50" s="1"/>
  <c r="BT170" i="50"/>
  <c r="AI170" i="50"/>
  <c r="BU170" i="50" s="1"/>
  <c r="BT157" i="50"/>
  <c r="AK147" i="50"/>
  <c r="BW147" i="50" s="1"/>
  <c r="CB90" i="51"/>
  <c r="AI145" i="50"/>
  <c r="BU145" i="50" s="1"/>
  <c r="BZ88" i="51"/>
  <c r="AC30" i="51"/>
  <c r="BT30" i="51" s="1"/>
  <c r="BT34" i="51"/>
  <c r="AB38" i="50"/>
  <c r="BN38" i="50" s="1"/>
  <c r="AE147" i="50"/>
  <c r="BQ147" i="50" s="1"/>
  <c r="BV90" i="51"/>
  <c r="AA145" i="50"/>
  <c r="AA165" i="50" s="1"/>
  <c r="BM165" i="50" s="1"/>
  <c r="BR88" i="51"/>
  <c r="AF137" i="50"/>
  <c r="BR137" i="50" s="1"/>
  <c r="BW76" i="51"/>
  <c r="AK17" i="50"/>
  <c r="BV17" i="50"/>
  <c r="AD16" i="50"/>
  <c r="BO16" i="50"/>
  <c r="AC145" i="50"/>
  <c r="BO145" i="50" s="1"/>
  <c r="BT88" i="51"/>
  <c r="AL137" i="50"/>
  <c r="BX137" i="50" s="1"/>
  <c r="CC76" i="51"/>
  <c r="AM40" i="67"/>
  <c r="J75" i="49"/>
  <c r="AM40" i="85" s="1"/>
  <c r="AC18" i="51"/>
  <c r="BT25" i="51"/>
  <c r="AJ30" i="51"/>
  <c r="CA30" i="51" s="1"/>
  <c r="CA34" i="51"/>
  <c r="AB136" i="50"/>
  <c r="BN136" i="50" s="1"/>
  <c r="BS75" i="51"/>
  <c r="AJ117" i="50"/>
  <c r="BU117" i="50"/>
  <c r="AD137" i="50"/>
  <c r="BP137" i="50" s="1"/>
  <c r="BU76" i="51"/>
  <c r="AB30" i="51"/>
  <c r="BS30" i="51" s="1"/>
  <c r="BS34" i="51"/>
  <c r="AA158" i="50"/>
  <c r="AK124" i="50"/>
  <c r="BV124" i="50"/>
  <c r="AD21" i="50"/>
  <c r="BO21" i="50"/>
  <c r="AJ16" i="50"/>
  <c r="BU16" i="50"/>
  <c r="AD17" i="50"/>
  <c r="BO17" i="50"/>
  <c r="AM145" i="50"/>
  <c r="BY145" i="50" s="1"/>
  <c r="CD88" i="51"/>
  <c r="AI125" i="50"/>
  <c r="AL145" i="50"/>
  <c r="BX145" i="50" s="1"/>
  <c r="CC88" i="51"/>
  <c r="AJ18" i="51"/>
  <c r="CA18" i="51" s="1"/>
  <c r="CA25" i="51"/>
  <c r="AP32" i="67"/>
  <c r="M61" i="49"/>
  <c r="AP32" i="85" s="1"/>
  <c r="AC121" i="50"/>
  <c r="BO121" i="50" s="1"/>
  <c r="AE145" i="50"/>
  <c r="BQ145" i="50" s="1"/>
  <c r="BV88" i="51"/>
  <c r="AE38" i="50"/>
  <c r="BQ38" i="50" s="1"/>
  <c r="AK145" i="50"/>
  <c r="BW145" i="50" s="1"/>
  <c r="CB88" i="51"/>
  <c r="AK137" i="50"/>
  <c r="BW137" i="50" s="1"/>
  <c r="CB76" i="51"/>
  <c r="AL40" i="67"/>
  <c r="I75" i="49"/>
  <c r="AL40" i="85" s="1"/>
  <c r="AD136" i="50"/>
  <c r="BP136" i="50" s="1"/>
  <c r="BU75" i="51"/>
  <c r="AM18" i="51"/>
  <c r="CD18" i="51" s="1"/>
  <c r="CD25" i="51"/>
  <c r="AB137" i="50"/>
  <c r="BN137" i="50" s="1"/>
  <c r="BS76" i="51"/>
  <c r="BT137" i="50"/>
  <c r="AI137" i="50"/>
  <c r="BU137" i="50" s="1"/>
  <c r="BZ76" i="51"/>
  <c r="BN20" i="50"/>
  <c r="AC20" i="50"/>
  <c r="AK114" i="50"/>
  <c r="BV114" i="50"/>
  <c r="AB145" i="50"/>
  <c r="BN145" i="50" s="1"/>
  <c r="BS88" i="51"/>
  <c r="AM137" i="50"/>
  <c r="BY137" i="50" s="1"/>
  <c r="CD76" i="51"/>
  <c r="AH30" i="51"/>
  <c r="BY30" i="51" s="1"/>
  <c r="BY34" i="51"/>
  <c r="AH136" i="50"/>
  <c r="AH156" i="50" s="1"/>
  <c r="BT156" i="50" s="1"/>
  <c r="BY75" i="51"/>
  <c r="AJ22" i="50"/>
  <c r="BU22" i="50"/>
  <c r="AJ147" i="50"/>
  <c r="BV147" i="50" s="1"/>
  <c r="CA90" i="51"/>
  <c r="AF30" i="51"/>
  <c r="BW34" i="51"/>
  <c r="AI18" i="51"/>
  <c r="BZ18" i="51" s="1"/>
  <c r="BZ25" i="51"/>
  <c r="AC137" i="50"/>
  <c r="BO137" i="50" s="1"/>
  <c r="BT76" i="51"/>
  <c r="AL18" i="51"/>
  <c r="CC18" i="51" s="1"/>
  <c r="CC25" i="51"/>
  <c r="AK113" i="50"/>
  <c r="BV113" i="50"/>
  <c r="AB18" i="51"/>
  <c r="BS25" i="51"/>
  <c r="AN32" i="67"/>
  <c r="K61" i="49"/>
  <c r="AN32" i="85" s="1"/>
  <c r="AO40" i="67"/>
  <c r="L75" i="49"/>
  <c r="AO40" i="85" s="1"/>
  <c r="AF147" i="50"/>
  <c r="BR147" i="50" s="1"/>
  <c r="BW90" i="51"/>
  <c r="AM32" i="67"/>
  <c r="J61" i="49"/>
  <c r="AM32" i="85" s="1"/>
  <c r="AD147" i="50"/>
  <c r="BP147" i="50" s="1"/>
  <c r="BU90" i="51"/>
  <c r="AB67" i="50"/>
  <c r="AI30" i="51"/>
  <c r="BZ30" i="51" s="1"/>
  <c r="BZ34" i="51"/>
  <c r="AA30" i="51"/>
  <c r="BR30" i="51" s="1"/>
  <c r="BR34" i="51"/>
  <c r="AC136" i="50"/>
  <c r="BO136" i="50" s="1"/>
  <c r="BT75" i="51"/>
  <c r="AD18" i="51"/>
  <c r="BU25" i="51"/>
  <c r="AA137" i="50"/>
  <c r="BM137" i="50" s="1"/>
  <c r="BR76" i="51"/>
  <c r="BM47" i="50"/>
  <c r="BT144" i="50"/>
  <c r="AJ122" i="50"/>
  <c r="BU122" i="50"/>
  <c r="AE30" i="51"/>
  <c r="BV30" i="51" s="1"/>
  <c r="BV34" i="51"/>
  <c r="AK20" i="50"/>
  <c r="BV20" i="50"/>
  <c r="AF18" i="51"/>
  <c r="BW18" i="51" s="1"/>
  <c r="BW25" i="51"/>
  <c r="AK121" i="50"/>
  <c r="BV121" i="50"/>
  <c r="AK18" i="51"/>
  <c r="CB25" i="51"/>
  <c r="AH147" i="50"/>
  <c r="AH167" i="50" s="1"/>
  <c r="BT167" i="50" s="1"/>
  <c r="BY90" i="51"/>
  <c r="AE18" i="51"/>
  <c r="BV25" i="51"/>
  <c r="AA147" i="50"/>
  <c r="AA167" i="50" s="1"/>
  <c r="BR90" i="51"/>
  <c r="AF145" i="50"/>
  <c r="BR145" i="50" s="1"/>
  <c r="BW88" i="51"/>
  <c r="AN40" i="67"/>
  <c r="K75" i="49"/>
  <c r="AN40" i="85" s="1"/>
  <c r="AP40" i="67"/>
  <c r="M75" i="49"/>
  <c r="AP40" i="85" s="1"/>
  <c r="AI44" i="50"/>
  <c r="BU44" i="50" s="1"/>
  <c r="AB66" i="50"/>
  <c r="AC66" i="50" s="1"/>
  <c r="AH145" i="50"/>
  <c r="AH165" i="50" s="1"/>
  <c r="BY88" i="51"/>
  <c r="AA18" i="51"/>
  <c r="BR18" i="51" s="1"/>
  <c r="BR25" i="51"/>
  <c r="AI116" i="50"/>
  <c r="BT116" i="50"/>
  <c r="AE137" i="50"/>
  <c r="BQ137" i="50" s="1"/>
  <c r="BV76" i="51"/>
  <c r="AJ118" i="50"/>
  <c r="BU118" i="50"/>
  <c r="AD30" i="51"/>
  <c r="BU30" i="51" s="1"/>
  <c r="BU34" i="51"/>
  <c r="AK21" i="50"/>
  <c r="BV21" i="50"/>
  <c r="AC147" i="50"/>
  <c r="BO147" i="50" s="1"/>
  <c r="BT90" i="51"/>
  <c r="AO32" i="67"/>
  <c r="L61" i="49"/>
  <c r="AO32" i="85" s="1"/>
  <c r="AJ130" i="50"/>
  <c r="BU130" i="50"/>
  <c r="AJ137" i="50"/>
  <c r="BV137" i="50" s="1"/>
  <c r="CA76" i="51"/>
  <c r="AD22" i="50"/>
  <c r="BO22" i="50"/>
  <c r="AB147" i="50"/>
  <c r="BN147" i="50" s="1"/>
  <c r="BS90" i="51"/>
  <c r="AL32" i="67"/>
  <c r="I61" i="49"/>
  <c r="AL32" i="85" s="1"/>
  <c r="AD145" i="50"/>
  <c r="BP145" i="50" s="1"/>
  <c r="BU88" i="51"/>
  <c r="AM147" i="50"/>
  <c r="BY147" i="50" s="1"/>
  <c r="CD90" i="51"/>
  <c r="AL147" i="50"/>
  <c r="BX147" i="50" s="1"/>
  <c r="CC90" i="51"/>
  <c r="AI147" i="50"/>
  <c r="BU147" i="50" s="1"/>
  <c r="BZ90" i="51"/>
  <c r="AJ145" i="50"/>
  <c r="BV145" i="50" s="1"/>
  <c r="CA88" i="51"/>
  <c r="AM30" i="51"/>
  <c r="CD30" i="51" s="1"/>
  <c r="CD34" i="51"/>
  <c r="AL30" i="51"/>
  <c r="CC34" i="51"/>
  <c r="AI127" i="50"/>
  <c r="BT127" i="50"/>
  <c r="AH18" i="51"/>
  <c r="BY18" i="51" s="1"/>
  <c r="BY25" i="51"/>
  <c r="AB117" i="50"/>
  <c r="BM117" i="50"/>
  <c r="AJ15" i="50"/>
  <c r="BU15" i="50"/>
  <c r="AD15" i="50"/>
  <c r="BO15" i="50"/>
  <c r="AK30" i="51"/>
  <c r="CB30" i="51" s="1"/>
  <c r="CB34" i="51"/>
  <c r="AI162" i="50"/>
  <c r="BU162" i="50" s="1"/>
  <c r="AB72" i="50"/>
  <c r="BN72" i="50" s="1"/>
  <c r="AA161" i="50"/>
  <c r="BM161" i="50" s="1"/>
  <c r="BM141" i="50"/>
  <c r="AH154" i="50"/>
  <c r="BT154" i="50" s="1"/>
  <c r="BT134" i="50"/>
  <c r="AI164" i="50"/>
  <c r="AD44" i="50"/>
  <c r="BP44" i="50" s="1"/>
  <c r="BP45" i="50"/>
  <c r="AC44" i="50"/>
  <c r="BO44" i="50" s="1"/>
  <c r="BO45" i="50"/>
  <c r="AA184" i="50"/>
  <c r="BM184" i="50" s="1"/>
  <c r="AI158" i="50"/>
  <c r="AF44" i="50"/>
  <c r="BR44" i="50" s="1"/>
  <c r="BR45" i="50"/>
  <c r="AA156" i="50"/>
  <c r="BM136" i="50"/>
  <c r="AE44" i="50"/>
  <c r="BQ44" i="50" s="1"/>
  <c r="BQ45" i="50"/>
  <c r="AB164" i="50"/>
  <c r="AB184" i="50" s="1"/>
  <c r="BN184" i="50" s="1"/>
  <c r="AH161" i="50"/>
  <c r="BT161" i="50" s="1"/>
  <c r="BT141" i="50"/>
  <c r="BT145" i="50"/>
  <c r="AB71" i="50"/>
  <c r="AJ170" i="50"/>
  <c r="AB44" i="50"/>
  <c r="BN44" i="50" s="1"/>
  <c r="BN45" i="50"/>
  <c r="AA154" i="50"/>
  <c r="BM154" i="50" s="1"/>
  <c r="BM134" i="50"/>
  <c r="AE74" i="51"/>
  <c r="AC74" i="51"/>
  <c r="AA74" i="51"/>
  <c r="AF74" i="51"/>
  <c r="AH83" i="51"/>
  <c r="AJ11" i="51"/>
  <c r="CA11" i="51" s="1"/>
  <c r="AH74" i="51"/>
  <c r="AD74" i="51"/>
  <c r="AB74" i="51"/>
  <c r="AJ83" i="51"/>
  <c r="AE136" i="50"/>
  <c r="AA111" i="50"/>
  <c r="BM111" i="50" s="1"/>
  <c r="AF136" i="50"/>
  <c r="AC83" i="51"/>
  <c r="AI83" i="51"/>
  <c r="AK83" i="51"/>
  <c r="AI136" i="50"/>
  <c r="AI74" i="51"/>
  <c r="AE83" i="51"/>
  <c r="AL136" i="50"/>
  <c r="AL74" i="51"/>
  <c r="AK136" i="50"/>
  <c r="AK74" i="51"/>
  <c r="AL83" i="51"/>
  <c r="AJ136" i="50"/>
  <c r="AJ74" i="51"/>
  <c r="AM83" i="51"/>
  <c r="AH153" i="50"/>
  <c r="BT153" i="50" s="1"/>
  <c r="AM136" i="50"/>
  <c r="AM74" i="51"/>
  <c r="AD83" i="51"/>
  <c r="AC116" i="50"/>
  <c r="BO116" i="50" s="1"/>
  <c r="AD118" i="50"/>
  <c r="BP118" i="50" s="1"/>
  <c r="AA153" i="50"/>
  <c r="BM153" i="50" s="1"/>
  <c r="AD114" i="50"/>
  <c r="BP114" i="50" s="1"/>
  <c r="AC113" i="50"/>
  <c r="BO113" i="50" s="1"/>
  <c r="AB127" i="50"/>
  <c r="BN127" i="50" s="1"/>
  <c r="AB125" i="50"/>
  <c r="BN125" i="50" s="1"/>
  <c r="AB83" i="51"/>
  <c r="AD124" i="50"/>
  <c r="BP124" i="50" s="1"/>
  <c r="AC130" i="50"/>
  <c r="BO130" i="50" s="1"/>
  <c r="AA83" i="51"/>
  <c r="AB65" i="50"/>
  <c r="BN65" i="50" s="1"/>
  <c r="AA63" i="50"/>
  <c r="BM63" i="50" s="1"/>
  <c r="AA70" i="50"/>
  <c r="BM70" i="50" s="1"/>
  <c r="AA44" i="50"/>
  <c r="AD122" i="50"/>
  <c r="BP122" i="50" s="1"/>
  <c r="AF83" i="51"/>
  <c r="AT54" i="51"/>
  <c r="CK54" i="51" s="1"/>
  <c r="AS54" i="51"/>
  <c r="CJ54" i="51" s="1"/>
  <c r="AR54" i="51"/>
  <c r="CI54" i="51" s="1"/>
  <c r="AQ54" i="51"/>
  <c r="CH54" i="51" s="1"/>
  <c r="AP54" i="51"/>
  <c r="CG54" i="51" s="1"/>
  <c r="AO54" i="51"/>
  <c r="CF54" i="51" s="1"/>
  <c r="AT56" i="51"/>
  <c r="CK56" i="51" s="1"/>
  <c r="AS56" i="51"/>
  <c r="CJ56" i="51" s="1"/>
  <c r="AR56" i="51"/>
  <c r="CI56" i="51" s="1"/>
  <c r="AQ56" i="51"/>
  <c r="CH56" i="51" s="1"/>
  <c r="AP56" i="51"/>
  <c r="CG56" i="51" s="1"/>
  <c r="AO56" i="51"/>
  <c r="CF56" i="51" s="1"/>
  <c r="AT48" i="51"/>
  <c r="CK48" i="51" s="1"/>
  <c r="AS48" i="51"/>
  <c r="CJ48" i="51" s="1"/>
  <c r="AR48" i="51"/>
  <c r="CI48" i="51" s="1"/>
  <c r="AQ48" i="51"/>
  <c r="CH48" i="51" s="1"/>
  <c r="AP48" i="51"/>
  <c r="CG48" i="51" s="1"/>
  <c r="AO48" i="51"/>
  <c r="CF48" i="51" s="1"/>
  <c r="AT47" i="51"/>
  <c r="CK47" i="51" s="1"/>
  <c r="AS47" i="51"/>
  <c r="CJ47" i="51" s="1"/>
  <c r="AR47" i="51"/>
  <c r="CI47" i="51" s="1"/>
  <c r="AQ47" i="51"/>
  <c r="CH47" i="51" s="1"/>
  <c r="AP47" i="51"/>
  <c r="CG47" i="51" s="1"/>
  <c r="AO47" i="51"/>
  <c r="CF47" i="51" s="1"/>
  <c r="AT51" i="51"/>
  <c r="AS51" i="51"/>
  <c r="AR51" i="51"/>
  <c r="AQ51" i="51"/>
  <c r="AP51" i="51"/>
  <c r="AO51" i="51"/>
  <c r="CF51" i="51" s="1"/>
  <c r="AT16" i="51"/>
  <c r="AS16" i="51"/>
  <c r="AR16" i="51"/>
  <c r="AQ16" i="51"/>
  <c r="AP16" i="51"/>
  <c r="AO16" i="51"/>
  <c r="CF16" i="51" s="1"/>
  <c r="Y29" i="51"/>
  <c r="BP29" i="51" s="1"/>
  <c r="X29" i="51"/>
  <c r="BO29" i="51" s="1"/>
  <c r="W29" i="51"/>
  <c r="BN29" i="51" s="1"/>
  <c r="V29" i="51"/>
  <c r="BM29" i="51" s="1"/>
  <c r="U29" i="51"/>
  <c r="BL29" i="51" s="1"/>
  <c r="T29" i="51"/>
  <c r="BK29" i="51" s="1"/>
  <c r="Y21" i="51"/>
  <c r="BP21" i="51" s="1"/>
  <c r="X21" i="51"/>
  <c r="BO21" i="51" s="1"/>
  <c r="W21" i="51"/>
  <c r="BN21" i="51" s="1"/>
  <c r="V21" i="51"/>
  <c r="BM21" i="51" s="1"/>
  <c r="U21" i="51"/>
  <c r="BL21" i="51" s="1"/>
  <c r="T21" i="51"/>
  <c r="BK21" i="51" s="1"/>
  <c r="Y48" i="51"/>
  <c r="BP48" i="51" s="1"/>
  <c r="X48" i="51"/>
  <c r="BO48" i="51" s="1"/>
  <c r="W48" i="51"/>
  <c r="BN48" i="51" s="1"/>
  <c r="V48" i="51"/>
  <c r="BM48" i="51" s="1"/>
  <c r="U48" i="51"/>
  <c r="BL48" i="51" s="1"/>
  <c r="T48" i="51"/>
  <c r="BK48" i="51" s="1"/>
  <c r="Y46" i="51"/>
  <c r="BP46" i="51" s="1"/>
  <c r="X46" i="51"/>
  <c r="BO46" i="51" s="1"/>
  <c r="W46" i="51"/>
  <c r="BN46" i="51" s="1"/>
  <c r="V46" i="51"/>
  <c r="BM46" i="51" s="1"/>
  <c r="U46" i="51"/>
  <c r="BL46" i="51" s="1"/>
  <c r="T46" i="51"/>
  <c r="BK46" i="51" s="1"/>
  <c r="Y47" i="51"/>
  <c r="BP47" i="51" s="1"/>
  <c r="X47" i="51"/>
  <c r="BO47" i="51" s="1"/>
  <c r="W47" i="51"/>
  <c r="BN47" i="51" s="1"/>
  <c r="V47" i="51"/>
  <c r="BM47" i="51" s="1"/>
  <c r="U47" i="51"/>
  <c r="BL47" i="51" s="1"/>
  <c r="T47" i="51"/>
  <c r="BK47" i="51" s="1"/>
  <c r="Y28" i="51"/>
  <c r="X28" i="51"/>
  <c r="W28" i="51"/>
  <c r="V28" i="51"/>
  <c r="U28" i="51"/>
  <c r="T28" i="51"/>
  <c r="BK28" i="51" s="1"/>
  <c r="Y20" i="51"/>
  <c r="BP20" i="51" s="1"/>
  <c r="X20" i="51"/>
  <c r="BO20" i="51" s="1"/>
  <c r="W20" i="51"/>
  <c r="BN20" i="51" s="1"/>
  <c r="V20" i="51"/>
  <c r="BM20" i="51" s="1"/>
  <c r="U20" i="51"/>
  <c r="BL20" i="51" s="1"/>
  <c r="T20" i="51"/>
  <c r="BK20" i="51" s="1"/>
  <c r="Y41" i="51"/>
  <c r="X41" i="51"/>
  <c r="W41" i="51"/>
  <c r="V41" i="51"/>
  <c r="U41" i="51"/>
  <c r="T41" i="51"/>
  <c r="BK41" i="51" s="1"/>
  <c r="R29" i="51"/>
  <c r="BI29" i="51" s="1"/>
  <c r="Q29" i="51"/>
  <c r="BH29" i="51" s="1"/>
  <c r="P29" i="51"/>
  <c r="BG29" i="51" s="1"/>
  <c r="O29" i="51"/>
  <c r="BF29" i="51" s="1"/>
  <c r="N29" i="51"/>
  <c r="BE29" i="51" s="1"/>
  <c r="M29" i="51"/>
  <c r="BD29" i="51" s="1"/>
  <c r="R21" i="51"/>
  <c r="BI21" i="51" s="1"/>
  <c r="Q21" i="51"/>
  <c r="BH21" i="51" s="1"/>
  <c r="P21" i="51"/>
  <c r="BG21" i="51" s="1"/>
  <c r="O21" i="51"/>
  <c r="BF21" i="51" s="1"/>
  <c r="N21" i="51"/>
  <c r="BE21" i="51" s="1"/>
  <c r="M21" i="51"/>
  <c r="BD21" i="51" s="1"/>
  <c r="R48" i="51"/>
  <c r="BI48" i="51" s="1"/>
  <c r="Q48" i="51"/>
  <c r="BH48" i="51" s="1"/>
  <c r="P48" i="51"/>
  <c r="BG48" i="51" s="1"/>
  <c r="O48" i="51"/>
  <c r="BF48" i="51" s="1"/>
  <c r="N48" i="51"/>
  <c r="BE48" i="51" s="1"/>
  <c r="M48" i="51"/>
  <c r="BD48" i="51" s="1"/>
  <c r="R46" i="51"/>
  <c r="BI46" i="51" s="1"/>
  <c r="Q46" i="51"/>
  <c r="BH46" i="51" s="1"/>
  <c r="P46" i="51"/>
  <c r="BG46" i="51" s="1"/>
  <c r="O46" i="51"/>
  <c r="BF46" i="51" s="1"/>
  <c r="N46" i="51"/>
  <c r="BE46" i="51" s="1"/>
  <c r="M46" i="51"/>
  <c r="BD46" i="51" s="1"/>
  <c r="R47" i="51"/>
  <c r="BI47" i="51" s="1"/>
  <c r="Q47" i="51"/>
  <c r="BH47" i="51" s="1"/>
  <c r="P47" i="51"/>
  <c r="BG47" i="51" s="1"/>
  <c r="O47" i="51"/>
  <c r="BF47" i="51" s="1"/>
  <c r="N47" i="51"/>
  <c r="BE47" i="51" s="1"/>
  <c r="M47" i="51"/>
  <c r="BD47" i="51" s="1"/>
  <c r="R58" i="51"/>
  <c r="BI58" i="51" s="1"/>
  <c r="Q58" i="51"/>
  <c r="BH58" i="51" s="1"/>
  <c r="P58" i="51"/>
  <c r="BG58" i="51" s="1"/>
  <c r="O58" i="51"/>
  <c r="BF58" i="51" s="1"/>
  <c r="N58" i="51"/>
  <c r="BE58" i="51" s="1"/>
  <c r="M58" i="51"/>
  <c r="BD58" i="51" s="1"/>
  <c r="R28" i="51"/>
  <c r="Q28" i="51"/>
  <c r="P28" i="51"/>
  <c r="O28" i="51"/>
  <c r="N28" i="51"/>
  <c r="M28" i="51"/>
  <c r="BD28" i="51" s="1"/>
  <c r="R41" i="51"/>
  <c r="BI41" i="51" s="1"/>
  <c r="Q41" i="51"/>
  <c r="BH41" i="51" s="1"/>
  <c r="P41" i="51"/>
  <c r="BG41" i="51" s="1"/>
  <c r="O41" i="51"/>
  <c r="BF41" i="51" s="1"/>
  <c r="N41" i="51"/>
  <c r="BE41" i="51" s="1"/>
  <c r="M41" i="51"/>
  <c r="BD41" i="51" s="1"/>
  <c r="K29" i="51"/>
  <c r="BB29" i="51" s="1"/>
  <c r="J29" i="51"/>
  <c r="BA29" i="51" s="1"/>
  <c r="I29" i="51"/>
  <c r="AZ29" i="51" s="1"/>
  <c r="H29" i="51"/>
  <c r="AY29" i="51" s="1"/>
  <c r="G29" i="51"/>
  <c r="AX29" i="51" s="1"/>
  <c r="F29" i="51"/>
  <c r="AW29" i="51" s="1"/>
  <c r="K21" i="51"/>
  <c r="BB21" i="51" s="1"/>
  <c r="J21" i="51"/>
  <c r="BA21" i="51" s="1"/>
  <c r="I21" i="51"/>
  <c r="AZ21" i="51" s="1"/>
  <c r="H21" i="51"/>
  <c r="AY21" i="51" s="1"/>
  <c r="G21" i="51"/>
  <c r="AX21" i="51" s="1"/>
  <c r="F21" i="51"/>
  <c r="AW21" i="51" s="1"/>
  <c r="K48" i="51"/>
  <c r="BB48" i="51" s="1"/>
  <c r="J48" i="51"/>
  <c r="BA48" i="51" s="1"/>
  <c r="I48" i="51"/>
  <c r="AZ48" i="51" s="1"/>
  <c r="H48" i="51"/>
  <c r="AY48" i="51" s="1"/>
  <c r="G48" i="51"/>
  <c r="AX48" i="51" s="1"/>
  <c r="F48" i="51"/>
  <c r="AW48" i="51" s="1"/>
  <c r="K46" i="51"/>
  <c r="BB46" i="51" s="1"/>
  <c r="J46" i="51"/>
  <c r="BA46" i="51" s="1"/>
  <c r="I46" i="51"/>
  <c r="AZ46" i="51" s="1"/>
  <c r="H46" i="51"/>
  <c r="AY46" i="51" s="1"/>
  <c r="G46" i="51"/>
  <c r="AX46" i="51" s="1"/>
  <c r="F46" i="51"/>
  <c r="AW46" i="51" s="1"/>
  <c r="K47" i="51"/>
  <c r="BB47" i="51" s="1"/>
  <c r="J47" i="51"/>
  <c r="BA47" i="51" s="1"/>
  <c r="I47" i="51"/>
  <c r="AZ47" i="51" s="1"/>
  <c r="H47" i="51"/>
  <c r="AY47" i="51" s="1"/>
  <c r="G47" i="51"/>
  <c r="AX47" i="51" s="1"/>
  <c r="F47" i="51"/>
  <c r="AW47" i="51" s="1"/>
  <c r="K28" i="51"/>
  <c r="BB28" i="51" s="1"/>
  <c r="J28" i="51"/>
  <c r="BA28" i="51" s="1"/>
  <c r="I28" i="51"/>
  <c r="AZ28" i="51" s="1"/>
  <c r="H28" i="51"/>
  <c r="AY28" i="51" s="1"/>
  <c r="G28" i="51"/>
  <c r="AX28" i="51" s="1"/>
  <c r="F28" i="51"/>
  <c r="AW28" i="51" s="1"/>
  <c r="K58" i="51"/>
  <c r="BB58" i="51" s="1"/>
  <c r="J58" i="51"/>
  <c r="BA58" i="51" s="1"/>
  <c r="I58" i="51"/>
  <c r="AZ58" i="51" s="1"/>
  <c r="H58" i="51"/>
  <c r="AY58" i="51" s="1"/>
  <c r="G58" i="51"/>
  <c r="AX58" i="51" s="1"/>
  <c r="F58" i="51"/>
  <c r="AW58" i="51" s="1"/>
  <c r="J27" i="51"/>
  <c r="BA27" i="51" s="1"/>
  <c r="F27" i="51"/>
  <c r="AW27" i="51" s="1"/>
  <c r="K23" i="51"/>
  <c r="J23" i="51"/>
  <c r="I23" i="51"/>
  <c r="H23" i="51"/>
  <c r="G23" i="51"/>
  <c r="F23" i="51"/>
  <c r="AW23" i="51" s="1"/>
  <c r="K17" i="51"/>
  <c r="J17" i="51"/>
  <c r="I17" i="51"/>
  <c r="H17" i="51"/>
  <c r="G17" i="51"/>
  <c r="F17" i="51"/>
  <c r="AW17" i="51" s="1"/>
  <c r="K38" i="51"/>
  <c r="BB38" i="51" s="1"/>
  <c r="J38" i="51"/>
  <c r="BA38" i="51" s="1"/>
  <c r="I38" i="51"/>
  <c r="AZ38" i="51" s="1"/>
  <c r="H38" i="51"/>
  <c r="AY38" i="51" s="1"/>
  <c r="G38" i="51"/>
  <c r="AX38" i="51" s="1"/>
  <c r="F38" i="51"/>
  <c r="AW38" i="51" s="1"/>
  <c r="K36" i="51"/>
  <c r="BB36" i="51" s="1"/>
  <c r="J36" i="51"/>
  <c r="BA36" i="51" s="1"/>
  <c r="I36" i="51"/>
  <c r="AZ36" i="51" s="1"/>
  <c r="H36" i="51"/>
  <c r="AY36" i="51" s="1"/>
  <c r="G36" i="51"/>
  <c r="AX36" i="51" s="1"/>
  <c r="F36" i="51"/>
  <c r="AW36" i="51" s="1"/>
  <c r="AC67" i="50" l="1"/>
  <c r="BN67" i="50"/>
  <c r="AD121" i="50"/>
  <c r="BP121" i="50" s="1"/>
  <c r="AA181" i="50"/>
  <c r="BM181" i="50" s="1"/>
  <c r="BM145" i="50"/>
  <c r="BN170" i="50"/>
  <c r="AC170" i="50"/>
  <c r="BM162" i="50"/>
  <c r="AA182" i="50"/>
  <c r="BM182" i="50" s="1"/>
  <c r="AA157" i="50"/>
  <c r="BM157" i="50" s="1"/>
  <c r="AD35" i="50"/>
  <c r="BP35" i="50" s="1"/>
  <c r="E61" i="85" s="1"/>
  <c r="AC72" i="50"/>
  <c r="BO72" i="50" s="1"/>
  <c r="AB162" i="50"/>
  <c r="BN66" i="50"/>
  <c r="AA131" i="50"/>
  <c r="BM131" i="50" s="1"/>
  <c r="AA11" i="51"/>
  <c r="BR11" i="51" s="1"/>
  <c r="AB161" i="50"/>
  <c r="BN161" i="50" s="1"/>
  <c r="AH131" i="50"/>
  <c r="BT131" i="50" s="1"/>
  <c r="AI35" i="50"/>
  <c r="C85" i="67" s="1"/>
  <c r="BT147" i="50"/>
  <c r="AC131" i="50"/>
  <c r="BO131" i="50" s="1"/>
  <c r="D66" i="85" s="1"/>
  <c r="BM147" i="50"/>
  <c r="BM167" i="50"/>
  <c r="AB167" i="50"/>
  <c r="BT165" i="50"/>
  <c r="AI165" i="50"/>
  <c r="BU165" i="50" s="1"/>
  <c r="I15" i="51"/>
  <c r="AZ15" i="51" s="1"/>
  <c r="AZ17" i="51"/>
  <c r="R25" i="51"/>
  <c r="BI25" i="51" s="1"/>
  <c r="BI28" i="51"/>
  <c r="AF67" i="51"/>
  <c r="BW67" i="51" s="1"/>
  <c r="BW74" i="51"/>
  <c r="AL21" i="50"/>
  <c r="BW21" i="50"/>
  <c r="AJ116" i="50"/>
  <c r="BU116" i="50"/>
  <c r="BS18" i="51"/>
  <c r="AB11" i="51"/>
  <c r="BS11" i="51" s="1"/>
  <c r="AL114" i="50"/>
  <c r="BW114" i="50"/>
  <c r="BM158" i="50"/>
  <c r="AB158" i="50"/>
  <c r="AT50" i="51"/>
  <c r="CK50" i="51" s="1"/>
  <c r="CK51" i="51"/>
  <c r="J15" i="51"/>
  <c r="BA15" i="51" s="1"/>
  <c r="BA17" i="51"/>
  <c r="AS15" i="51"/>
  <c r="CJ15" i="51" s="1"/>
  <c r="CJ16" i="51"/>
  <c r="AF79" i="51"/>
  <c r="BW79" i="51" s="1"/>
  <c r="BW83" i="51"/>
  <c r="AI154" i="50"/>
  <c r="BU154" i="50" s="1"/>
  <c r="AH11" i="51"/>
  <c r="BY11" i="51" s="1"/>
  <c r="AE11" i="51"/>
  <c r="BV11" i="51" s="1"/>
  <c r="BV18" i="51"/>
  <c r="AD20" i="50"/>
  <c r="BO20" i="50"/>
  <c r="AE17" i="50"/>
  <c r="BP17" i="50"/>
  <c r="K22" i="51"/>
  <c r="BB22" i="51" s="1"/>
  <c r="BB23" i="51"/>
  <c r="AC79" i="51"/>
  <c r="BT79" i="51" s="1"/>
  <c r="BT83" i="51"/>
  <c r="X34" i="51"/>
  <c r="BO41" i="51"/>
  <c r="Y34" i="51"/>
  <c r="BP41" i="51"/>
  <c r="U25" i="51"/>
  <c r="BL25" i="51" s="1"/>
  <c r="BL28" i="51"/>
  <c r="AT15" i="51"/>
  <c r="CK15" i="51" s="1"/>
  <c r="CK16" i="51"/>
  <c r="AA79" i="51"/>
  <c r="BR79" i="51" s="1"/>
  <c r="BR83" i="51"/>
  <c r="AD79" i="51"/>
  <c r="BU79" i="51" s="1"/>
  <c r="BU83" i="51"/>
  <c r="AM79" i="51"/>
  <c r="CD79" i="51" s="1"/>
  <c r="CD83" i="51"/>
  <c r="AL67" i="51"/>
  <c r="CC67" i="51" s="1"/>
  <c r="CC74" i="51"/>
  <c r="AK79" i="51"/>
  <c r="CB79" i="51" s="1"/>
  <c r="CB83" i="51"/>
  <c r="AA67" i="51"/>
  <c r="BR67" i="51" s="1"/>
  <c r="BR74" i="51"/>
  <c r="AE15" i="50"/>
  <c r="BP15" i="50"/>
  <c r="AJ127" i="50"/>
  <c r="BU127" i="50"/>
  <c r="AK130" i="50"/>
  <c r="BV130" i="50"/>
  <c r="AL113" i="50"/>
  <c r="BW113" i="50"/>
  <c r="AF11" i="51"/>
  <c r="BW11" i="51" s="1"/>
  <c r="BW30" i="51"/>
  <c r="AD67" i="51"/>
  <c r="BU67" i="51" s="1"/>
  <c r="BU74" i="51"/>
  <c r="K15" i="51"/>
  <c r="BB15" i="51" s="1"/>
  <c r="BB17" i="51"/>
  <c r="V25" i="51"/>
  <c r="BM25" i="51" s="1"/>
  <c r="BM28" i="51"/>
  <c r="AH67" i="51"/>
  <c r="BY67" i="51" s="1"/>
  <c r="BY74" i="51"/>
  <c r="AC67" i="51"/>
  <c r="BT67" i="51" s="1"/>
  <c r="BT74" i="51"/>
  <c r="AL20" i="50"/>
  <c r="BW20" i="50"/>
  <c r="AK16" i="50"/>
  <c r="BV16" i="50"/>
  <c r="W25" i="51"/>
  <c r="BN25" i="51" s="1"/>
  <c r="BN28" i="51"/>
  <c r="AE67" i="51"/>
  <c r="BV67" i="51" s="1"/>
  <c r="BV74" i="51"/>
  <c r="BT136" i="50"/>
  <c r="AA178" i="50"/>
  <c r="BM178" i="50" s="1"/>
  <c r="AK15" i="50"/>
  <c r="BV15" i="50"/>
  <c r="AL11" i="51"/>
  <c r="CC11" i="51" s="1"/>
  <c r="CC30" i="51"/>
  <c r="AK118" i="50"/>
  <c r="BV118" i="50"/>
  <c r="AC11" i="51"/>
  <c r="BT11" i="51" s="1"/>
  <c r="BT18" i="51"/>
  <c r="AE16" i="50"/>
  <c r="BP16" i="50"/>
  <c r="AI157" i="50"/>
  <c r="G22" i="51"/>
  <c r="AX22" i="51" s="1"/>
  <c r="AX23" i="51"/>
  <c r="N25" i="51"/>
  <c r="BE25" i="51" s="1"/>
  <c r="BE28" i="51"/>
  <c r="AP50" i="51"/>
  <c r="CG50" i="51" s="1"/>
  <c r="CG51" i="51"/>
  <c r="AJ67" i="51"/>
  <c r="CA67" i="51" s="1"/>
  <c r="CA74" i="51"/>
  <c r="AE79" i="51"/>
  <c r="BV79" i="51" s="1"/>
  <c r="BV83" i="51"/>
  <c r="AD131" i="50"/>
  <c r="BP131" i="50" s="1"/>
  <c r="E66" i="85" s="1"/>
  <c r="AI11" i="51"/>
  <c r="BZ11" i="51" s="1"/>
  <c r="H22" i="51"/>
  <c r="AY22" i="51" s="1"/>
  <c r="AY23" i="51"/>
  <c r="O25" i="51"/>
  <c r="BF25" i="51" s="1"/>
  <c r="BF28" i="51"/>
  <c r="X25" i="51"/>
  <c r="BO25" i="51" s="1"/>
  <c r="BO28" i="51"/>
  <c r="AQ50" i="51"/>
  <c r="CH50" i="51" s="1"/>
  <c r="CH51" i="51"/>
  <c r="AM67" i="51"/>
  <c r="CD67" i="51" s="1"/>
  <c r="CD74" i="51"/>
  <c r="AM11" i="51"/>
  <c r="CD11" i="51" s="1"/>
  <c r="CB18" i="51"/>
  <c r="AK11" i="51"/>
  <c r="CB11" i="51" s="1"/>
  <c r="AD11" i="51"/>
  <c r="BU11" i="51" s="1"/>
  <c r="BU18" i="51"/>
  <c r="AJ125" i="50"/>
  <c r="BU125" i="50"/>
  <c r="AE21" i="50"/>
  <c r="BP21" i="50"/>
  <c r="W34" i="51"/>
  <c r="BN41" i="51"/>
  <c r="AR15" i="51"/>
  <c r="CI15" i="51" s="1"/>
  <c r="CI16" i="51"/>
  <c r="AK67" i="51"/>
  <c r="CB67" i="51" s="1"/>
  <c r="CB74" i="51"/>
  <c r="G15" i="51"/>
  <c r="AX15" i="51" s="1"/>
  <c r="AX17" i="51"/>
  <c r="P25" i="51"/>
  <c r="BG25" i="51" s="1"/>
  <c r="BG28" i="51"/>
  <c r="U34" i="51"/>
  <c r="BL41" i="51"/>
  <c r="Y25" i="51"/>
  <c r="BP25" i="51" s="1"/>
  <c r="BP28" i="51"/>
  <c r="AP15" i="51"/>
  <c r="CG15" i="51" s="1"/>
  <c r="CG16" i="51"/>
  <c r="AR50" i="51"/>
  <c r="CI50" i="51" s="1"/>
  <c r="CI51" i="51"/>
  <c r="AB79" i="51"/>
  <c r="BS79" i="51" s="1"/>
  <c r="BS83" i="51"/>
  <c r="AI79" i="51"/>
  <c r="BZ79" i="51" s="1"/>
  <c r="BZ83" i="51"/>
  <c r="AJ79" i="51"/>
  <c r="CA79" i="51" s="1"/>
  <c r="CA83" i="51"/>
  <c r="BN117" i="50"/>
  <c r="AC117" i="50"/>
  <c r="AE22" i="50"/>
  <c r="BP22" i="50"/>
  <c r="AK22" i="50"/>
  <c r="BV22" i="50"/>
  <c r="AK117" i="50"/>
  <c r="BV117" i="50"/>
  <c r="AL17" i="50"/>
  <c r="BW17" i="50"/>
  <c r="I22" i="51"/>
  <c r="AZ22" i="51" s="1"/>
  <c r="AZ23" i="51"/>
  <c r="H15" i="51"/>
  <c r="AY15" i="51" s="1"/>
  <c r="AY17" i="51"/>
  <c r="J22" i="51"/>
  <c r="BA22" i="51" s="1"/>
  <c r="BA23" i="51"/>
  <c r="Q25" i="51"/>
  <c r="BH25" i="51" s="1"/>
  <c r="BH28" i="51"/>
  <c r="V34" i="51"/>
  <c r="BM41" i="51"/>
  <c r="AQ15" i="51"/>
  <c r="CH15" i="51" s="1"/>
  <c r="CH16" i="51"/>
  <c r="AS50" i="51"/>
  <c r="CJ50" i="51" s="1"/>
  <c r="CJ51" i="51"/>
  <c r="AB131" i="50"/>
  <c r="BN131" i="50" s="1"/>
  <c r="C66" i="85" s="1"/>
  <c r="AL79" i="51"/>
  <c r="CC79" i="51" s="1"/>
  <c r="CC83" i="51"/>
  <c r="AI67" i="51"/>
  <c r="BZ67" i="51" s="1"/>
  <c r="BZ74" i="51"/>
  <c r="AB67" i="51"/>
  <c r="BS67" i="51" s="1"/>
  <c r="BS74" i="51"/>
  <c r="AH79" i="51"/>
  <c r="BY79" i="51" s="1"/>
  <c r="BY83" i="51"/>
  <c r="AL121" i="50"/>
  <c r="BW121" i="50"/>
  <c r="AK122" i="50"/>
  <c r="BV122" i="50"/>
  <c r="AL124" i="50"/>
  <c r="BW124" i="50"/>
  <c r="AB154" i="50"/>
  <c r="BN154" i="50" s="1"/>
  <c r="AA187" i="50"/>
  <c r="BM187" i="50" s="1"/>
  <c r="AC35" i="50"/>
  <c r="BO35" i="50" s="1"/>
  <c r="D61" i="85" s="1"/>
  <c r="AJ162" i="50"/>
  <c r="AK162" i="50" s="1"/>
  <c r="AI161" i="50"/>
  <c r="AJ161" i="50" s="1"/>
  <c r="AI167" i="50"/>
  <c r="AF131" i="50"/>
  <c r="BR131" i="50" s="1"/>
  <c r="G66" i="85" s="1"/>
  <c r="BR136" i="50"/>
  <c r="AA176" i="50"/>
  <c r="BM176" i="50" s="1"/>
  <c r="BM156" i="50"/>
  <c r="AA174" i="50"/>
  <c r="BM174" i="50" s="1"/>
  <c r="AD67" i="50"/>
  <c r="BO67" i="50"/>
  <c r="AJ154" i="50"/>
  <c r="AA35" i="50"/>
  <c r="BM35" i="50" s="1"/>
  <c r="BM44" i="50"/>
  <c r="AC167" i="50"/>
  <c r="BN167" i="50"/>
  <c r="AL131" i="50"/>
  <c r="BX131" i="50" s="1"/>
  <c r="F90" i="85" s="1"/>
  <c r="BX136" i="50"/>
  <c r="AJ131" i="50"/>
  <c r="BV131" i="50" s="1"/>
  <c r="D90" i="85" s="1"/>
  <c r="BV136" i="50"/>
  <c r="AC164" i="50"/>
  <c r="BN164" i="50"/>
  <c r="AE35" i="50"/>
  <c r="BQ35" i="50" s="1"/>
  <c r="F61" i="85" s="1"/>
  <c r="AF35" i="50"/>
  <c r="BR35" i="50" s="1"/>
  <c r="G61" i="85" s="1"/>
  <c r="AM131" i="50"/>
  <c r="BY131" i="50" s="1"/>
  <c r="G90" i="85" s="1"/>
  <c r="BY136" i="50"/>
  <c r="AB35" i="50"/>
  <c r="AD170" i="50"/>
  <c r="BO170" i="50"/>
  <c r="AK131" i="50"/>
  <c r="BW131" i="50" s="1"/>
  <c r="E90" i="85" s="1"/>
  <c r="BW136" i="50"/>
  <c r="AI156" i="50"/>
  <c r="BU156" i="50" s="1"/>
  <c r="BU136" i="50"/>
  <c r="AD66" i="50"/>
  <c r="BO66" i="50"/>
  <c r="AE131" i="50"/>
  <c r="BQ131" i="50" s="1"/>
  <c r="F66" i="85" s="1"/>
  <c r="BQ136" i="50"/>
  <c r="AC71" i="50"/>
  <c r="BN71" i="50"/>
  <c r="AD72" i="50"/>
  <c r="AA185" i="50"/>
  <c r="BM185" i="50" s="1"/>
  <c r="AB165" i="50"/>
  <c r="AB185" i="50" s="1"/>
  <c r="BN185" i="50" s="1"/>
  <c r="AK170" i="50"/>
  <c r="BV170" i="50"/>
  <c r="AB156" i="50"/>
  <c r="AJ158" i="50"/>
  <c r="BU158" i="50"/>
  <c r="AJ164" i="50"/>
  <c r="BU164" i="50"/>
  <c r="AF26" i="7"/>
  <c r="E61" i="67"/>
  <c r="AD56" i="53"/>
  <c r="J39" i="51"/>
  <c r="BA39" i="51" s="1"/>
  <c r="G26" i="51"/>
  <c r="AX26" i="51" s="1"/>
  <c r="K26" i="51"/>
  <c r="BB26" i="51" s="1"/>
  <c r="J45" i="51"/>
  <c r="BA45" i="51" s="1"/>
  <c r="N40" i="51"/>
  <c r="R40" i="51"/>
  <c r="P45" i="51"/>
  <c r="BG45" i="51" s="1"/>
  <c r="U18" i="51"/>
  <c r="BL18" i="51" s="1"/>
  <c r="W45" i="51"/>
  <c r="BN45" i="51" s="1"/>
  <c r="AR26" i="51"/>
  <c r="AQ58" i="51"/>
  <c r="CH58" i="51" s="1"/>
  <c r="AF60" i="51"/>
  <c r="BW60" i="51" s="1"/>
  <c r="F39" i="51"/>
  <c r="F35" i="51"/>
  <c r="AW35" i="51" s="1"/>
  <c r="J35" i="51"/>
  <c r="BA35" i="51" s="1"/>
  <c r="H35" i="51"/>
  <c r="AY35" i="51" s="1"/>
  <c r="F20" i="51"/>
  <c r="J20" i="51"/>
  <c r="BA20" i="51" s="1"/>
  <c r="I35" i="51"/>
  <c r="AZ35" i="51" s="1"/>
  <c r="I39" i="51"/>
  <c r="AZ39" i="51" s="1"/>
  <c r="F41" i="51"/>
  <c r="J41" i="51"/>
  <c r="BA41" i="51" s="1"/>
  <c r="I27" i="51"/>
  <c r="AZ27" i="51" s="1"/>
  <c r="F26" i="51"/>
  <c r="J26" i="51"/>
  <c r="G20" i="51"/>
  <c r="AX20" i="51" s="1"/>
  <c r="K20" i="51"/>
  <c r="BB20" i="51" s="1"/>
  <c r="M40" i="51"/>
  <c r="Q40" i="51"/>
  <c r="AQ26" i="51"/>
  <c r="AP58" i="51"/>
  <c r="CG58" i="51" s="1"/>
  <c r="AT58" i="51"/>
  <c r="CK58" i="51" s="1"/>
  <c r="H20" i="51"/>
  <c r="AY20" i="51" s="1"/>
  <c r="G35" i="51"/>
  <c r="AX35" i="51" s="1"/>
  <c r="K35" i="51"/>
  <c r="BB35" i="51" s="1"/>
  <c r="G27" i="51"/>
  <c r="K27" i="51"/>
  <c r="BB27" i="51" s="1"/>
  <c r="F69" i="62"/>
  <c r="AW69" i="62" s="1"/>
  <c r="I20" i="51"/>
  <c r="AZ20" i="51" s="1"/>
  <c r="G41" i="51"/>
  <c r="AX41" i="51" s="1"/>
  <c r="I107" i="51"/>
  <c r="AZ107" i="51" s="1"/>
  <c r="H107" i="51"/>
  <c r="AY107" i="51" s="1"/>
  <c r="J107" i="51"/>
  <c r="BA107" i="51" s="1"/>
  <c r="G107" i="51"/>
  <c r="AX107" i="51" s="1"/>
  <c r="F107" i="51"/>
  <c r="AW107" i="51" s="1"/>
  <c r="K107" i="51"/>
  <c r="BB107" i="51" s="1"/>
  <c r="G39" i="51"/>
  <c r="AX39" i="51" s="1"/>
  <c r="K39" i="51"/>
  <c r="BB39" i="51" s="1"/>
  <c r="H41" i="51"/>
  <c r="AY41" i="51" s="1"/>
  <c r="H26" i="51"/>
  <c r="AY26" i="51" s="1"/>
  <c r="H96" i="51"/>
  <c r="AY96" i="51" s="1"/>
  <c r="F96" i="51"/>
  <c r="AW96" i="51" s="1"/>
  <c r="K96" i="51"/>
  <c r="BB96" i="51" s="1"/>
  <c r="AH46" i="50" s="1"/>
  <c r="J96" i="51"/>
  <c r="BA96" i="51" s="1"/>
  <c r="G96" i="51"/>
  <c r="AX96" i="51" s="1"/>
  <c r="I96" i="51"/>
  <c r="AZ96" i="51" s="1"/>
  <c r="G45" i="51"/>
  <c r="AX45" i="51" s="1"/>
  <c r="K45" i="51"/>
  <c r="BB45" i="51" s="1"/>
  <c r="E21" i="51"/>
  <c r="AV21" i="51" s="1"/>
  <c r="F70" i="62"/>
  <c r="K78" i="51"/>
  <c r="BB78" i="51" s="1"/>
  <c r="AH42" i="50" s="1"/>
  <c r="J78" i="51"/>
  <c r="BA78" i="51" s="1"/>
  <c r="H78" i="51"/>
  <c r="AY78" i="51" s="1"/>
  <c r="F78" i="51"/>
  <c r="AW78" i="51" s="1"/>
  <c r="G78" i="51"/>
  <c r="AX78" i="51" s="1"/>
  <c r="I78" i="51"/>
  <c r="AZ78" i="51" s="1"/>
  <c r="O40" i="51"/>
  <c r="M45" i="51"/>
  <c r="BD45" i="51" s="1"/>
  <c r="P95" i="51"/>
  <c r="BG95" i="51" s="1"/>
  <c r="AM45" i="50" s="1"/>
  <c r="Q95" i="51"/>
  <c r="BH95" i="51" s="1"/>
  <c r="M95" i="51"/>
  <c r="BD95" i="51" s="1"/>
  <c r="AJ45" i="50" s="1"/>
  <c r="R95" i="51"/>
  <c r="BI95" i="51" s="1"/>
  <c r="O95" i="51"/>
  <c r="BF95" i="51" s="1"/>
  <c r="AL45" i="50" s="1"/>
  <c r="N95" i="51"/>
  <c r="BE95" i="51" s="1"/>
  <c r="AK45" i="50" s="1"/>
  <c r="Q45" i="51"/>
  <c r="BH45" i="51" s="1"/>
  <c r="P97" i="51"/>
  <c r="BG97" i="51" s="1"/>
  <c r="AM47" i="50" s="1"/>
  <c r="BY47" i="50" s="1"/>
  <c r="Y90" i="51"/>
  <c r="T34" i="51"/>
  <c r="X90" i="51"/>
  <c r="T90" i="51"/>
  <c r="W90" i="51"/>
  <c r="U90" i="51"/>
  <c r="V90" i="51"/>
  <c r="V18" i="51"/>
  <c r="BM18" i="51" s="1"/>
  <c r="T45" i="51"/>
  <c r="BK45" i="51" s="1"/>
  <c r="U95" i="51"/>
  <c r="BL95" i="51" s="1"/>
  <c r="W95" i="51"/>
  <c r="BN95" i="51" s="1"/>
  <c r="V95" i="51"/>
  <c r="BM95" i="51" s="1"/>
  <c r="T95" i="51"/>
  <c r="BK95" i="51" s="1"/>
  <c r="Y95" i="51"/>
  <c r="BP95" i="51" s="1"/>
  <c r="X95" i="51"/>
  <c r="BO95" i="51" s="1"/>
  <c r="X45" i="51"/>
  <c r="BO45" i="51" s="1"/>
  <c r="AO26" i="51"/>
  <c r="CF26" i="51" s="1"/>
  <c r="AS26" i="51"/>
  <c r="E52" i="51"/>
  <c r="F101" i="62"/>
  <c r="AW101" i="62" s="1"/>
  <c r="E50" i="62"/>
  <c r="AV50" i="62" s="1"/>
  <c r="AQ96" i="51"/>
  <c r="CH96" i="51" s="1"/>
  <c r="AS96" i="51"/>
  <c r="CJ96" i="51" s="1"/>
  <c r="AP96" i="51"/>
  <c r="CG96" i="51" s="1"/>
  <c r="AO96" i="51"/>
  <c r="CF96" i="51" s="1"/>
  <c r="AR96" i="51"/>
  <c r="CI96" i="51" s="1"/>
  <c r="AT96" i="51"/>
  <c r="CK96" i="51" s="1"/>
  <c r="AR58" i="51"/>
  <c r="CI58" i="51" s="1"/>
  <c r="AI131" i="50"/>
  <c r="BU131" i="50" s="1"/>
  <c r="C90" i="85" s="1"/>
  <c r="K41" i="51"/>
  <c r="BB41" i="51" s="1"/>
  <c r="F76" i="51"/>
  <c r="AW76" i="51" s="1"/>
  <c r="G95" i="51"/>
  <c r="AX95" i="51" s="1"/>
  <c r="J95" i="51"/>
  <c r="BA95" i="51" s="1"/>
  <c r="K95" i="51"/>
  <c r="BB95" i="51" s="1"/>
  <c r="AH45" i="50" s="1"/>
  <c r="F95" i="51"/>
  <c r="AW95" i="51" s="1"/>
  <c r="H95" i="51"/>
  <c r="AY95" i="51" s="1"/>
  <c r="I95" i="51"/>
  <c r="AZ95" i="51" s="1"/>
  <c r="F45" i="51"/>
  <c r="AW45" i="51" s="1"/>
  <c r="J66" i="51"/>
  <c r="F15" i="51"/>
  <c r="AW15" i="51" s="1"/>
  <c r="K66" i="51"/>
  <c r="G66" i="51"/>
  <c r="F66" i="51"/>
  <c r="I66" i="51"/>
  <c r="H66" i="51"/>
  <c r="K87" i="51"/>
  <c r="BB87" i="51" s="1"/>
  <c r="J87" i="51"/>
  <c r="BA87" i="51" s="1"/>
  <c r="I87" i="51"/>
  <c r="AZ87" i="51" s="1"/>
  <c r="G87" i="51"/>
  <c r="AX87" i="51" s="1"/>
  <c r="H87" i="51"/>
  <c r="AY87" i="51" s="1"/>
  <c r="F87" i="51"/>
  <c r="AW87" i="51" s="1"/>
  <c r="H39" i="51"/>
  <c r="AY39" i="51" s="1"/>
  <c r="I41" i="51"/>
  <c r="AZ41" i="51" s="1"/>
  <c r="H27" i="51"/>
  <c r="AY27" i="51" s="1"/>
  <c r="I26" i="51"/>
  <c r="AZ26" i="51" s="1"/>
  <c r="H45" i="51"/>
  <c r="AY45" i="51" s="1"/>
  <c r="H70" i="51"/>
  <c r="AY70" i="51" s="1"/>
  <c r="K70" i="51"/>
  <c r="BB70" i="51" s="1"/>
  <c r="AH41" i="50" s="1"/>
  <c r="J70" i="51"/>
  <c r="BA70" i="51" s="1"/>
  <c r="I70" i="51"/>
  <c r="AZ70" i="51" s="1"/>
  <c r="F70" i="51"/>
  <c r="AW70" i="51" s="1"/>
  <c r="G70" i="51"/>
  <c r="AX70" i="51" s="1"/>
  <c r="P40" i="51"/>
  <c r="M96" i="51"/>
  <c r="BD96" i="51" s="1"/>
  <c r="AJ46" i="50" s="1"/>
  <c r="BV46" i="50" s="1"/>
  <c r="P96" i="51"/>
  <c r="BG96" i="51" s="1"/>
  <c r="AM46" i="50" s="1"/>
  <c r="BY46" i="50" s="1"/>
  <c r="R96" i="51"/>
  <c r="BI96" i="51" s="1"/>
  <c r="O96" i="51"/>
  <c r="BF96" i="51" s="1"/>
  <c r="AL46" i="50" s="1"/>
  <c r="BX46" i="50" s="1"/>
  <c r="Q96" i="51"/>
  <c r="BH96" i="51" s="1"/>
  <c r="N96" i="51"/>
  <c r="BE96" i="51" s="1"/>
  <c r="AK46" i="50" s="1"/>
  <c r="BW46" i="50" s="1"/>
  <c r="N45" i="51"/>
  <c r="BE45" i="51" s="1"/>
  <c r="R45" i="51"/>
  <c r="BI45" i="51" s="1"/>
  <c r="Q78" i="51"/>
  <c r="BH78" i="51" s="1"/>
  <c r="M78" i="51"/>
  <c r="BD78" i="51" s="1"/>
  <c r="AJ42" i="50" s="1"/>
  <c r="BV42" i="50" s="1"/>
  <c r="R78" i="51"/>
  <c r="BI78" i="51" s="1"/>
  <c r="P78" i="51"/>
  <c r="BG78" i="51" s="1"/>
  <c r="AM42" i="50" s="1"/>
  <c r="BY42" i="50" s="1"/>
  <c r="N78" i="51"/>
  <c r="BE78" i="51" s="1"/>
  <c r="AK42" i="50" s="1"/>
  <c r="BW42" i="50" s="1"/>
  <c r="O78" i="51"/>
  <c r="BF78" i="51" s="1"/>
  <c r="AL42" i="50" s="1"/>
  <c r="BX42" i="50" s="1"/>
  <c r="T96" i="51"/>
  <c r="BK96" i="51" s="1"/>
  <c r="V96" i="51"/>
  <c r="BM96" i="51" s="1"/>
  <c r="W96" i="51"/>
  <c r="BN96" i="51" s="1"/>
  <c r="U96" i="51"/>
  <c r="BL96" i="51" s="1"/>
  <c r="X96" i="51"/>
  <c r="BO96" i="51" s="1"/>
  <c r="Y96" i="51"/>
  <c r="BP96" i="51" s="1"/>
  <c r="U45" i="51"/>
  <c r="BL45" i="51" s="1"/>
  <c r="Y45" i="51"/>
  <c r="BP45" i="51" s="1"/>
  <c r="V78" i="51"/>
  <c r="BM78" i="51" s="1"/>
  <c r="W78" i="51"/>
  <c r="BN78" i="51" s="1"/>
  <c r="Y78" i="51"/>
  <c r="BP78" i="51" s="1"/>
  <c r="T78" i="51"/>
  <c r="BK78" i="51" s="1"/>
  <c r="U78" i="51"/>
  <c r="BL78" i="51" s="1"/>
  <c r="X78" i="51"/>
  <c r="BO78" i="51" s="1"/>
  <c r="AP26" i="51"/>
  <c r="AT26" i="51"/>
  <c r="AQ100" i="51"/>
  <c r="AO50" i="51"/>
  <c r="CF50" i="51" s="1"/>
  <c r="AT100" i="51"/>
  <c r="AR100" i="51"/>
  <c r="AO100" i="51"/>
  <c r="AS100" i="51"/>
  <c r="AP100" i="51"/>
  <c r="AO58" i="51"/>
  <c r="CF58" i="51" s="1"/>
  <c r="AS58" i="51"/>
  <c r="CJ58" i="51" s="1"/>
  <c r="F22" i="51"/>
  <c r="AW22" i="51" s="1"/>
  <c r="H72" i="51"/>
  <c r="J72" i="51"/>
  <c r="I72" i="51"/>
  <c r="F72" i="51"/>
  <c r="G72" i="51"/>
  <c r="K72" i="51"/>
  <c r="G77" i="51"/>
  <c r="AX77" i="51" s="1"/>
  <c r="F77" i="51"/>
  <c r="AW77" i="51" s="1"/>
  <c r="J77" i="51"/>
  <c r="BA77" i="51" s="1"/>
  <c r="H77" i="51"/>
  <c r="AY77" i="51" s="1"/>
  <c r="I77" i="51"/>
  <c r="AZ77" i="51" s="1"/>
  <c r="K77" i="51"/>
  <c r="BB77" i="51" s="1"/>
  <c r="I45" i="51"/>
  <c r="AZ45" i="51" s="1"/>
  <c r="G97" i="51"/>
  <c r="AX97" i="51" s="1"/>
  <c r="J97" i="51"/>
  <c r="BA97" i="51" s="1"/>
  <c r="K97" i="51"/>
  <c r="BB97" i="51" s="1"/>
  <c r="AH47" i="50" s="1"/>
  <c r="F97" i="51"/>
  <c r="AW97" i="51" s="1"/>
  <c r="H97" i="51"/>
  <c r="AY97" i="51" s="1"/>
  <c r="I97" i="51"/>
  <c r="AZ97" i="51" s="1"/>
  <c r="M107" i="51"/>
  <c r="BD107" i="51" s="1"/>
  <c r="R107" i="51"/>
  <c r="BI107" i="51" s="1"/>
  <c r="P107" i="51"/>
  <c r="BG107" i="51" s="1"/>
  <c r="N107" i="51"/>
  <c r="BE107" i="51" s="1"/>
  <c r="O107" i="51"/>
  <c r="BF107" i="51" s="1"/>
  <c r="Q107" i="51"/>
  <c r="BH107" i="51" s="1"/>
  <c r="O45" i="51"/>
  <c r="BF45" i="51" s="1"/>
  <c r="M70" i="51"/>
  <c r="BD70" i="51" s="1"/>
  <c r="AJ41" i="50" s="1"/>
  <c r="R70" i="51"/>
  <c r="BI70" i="51" s="1"/>
  <c r="O70" i="51"/>
  <c r="BF70" i="51" s="1"/>
  <c r="AL41" i="50" s="1"/>
  <c r="N70" i="51"/>
  <c r="BE70" i="51" s="1"/>
  <c r="AK41" i="50" s="1"/>
  <c r="Q70" i="51"/>
  <c r="BH70" i="51" s="1"/>
  <c r="P70" i="51"/>
  <c r="BG70" i="51" s="1"/>
  <c r="AM41" i="50" s="1"/>
  <c r="T77" i="51"/>
  <c r="U77" i="51"/>
  <c r="T25" i="51"/>
  <c r="W77" i="51"/>
  <c r="Y77" i="51"/>
  <c r="X77" i="51"/>
  <c r="V77" i="51"/>
  <c r="V45" i="51"/>
  <c r="BM45" i="51" s="1"/>
  <c r="X70" i="51"/>
  <c r="BO70" i="51" s="1"/>
  <c r="U70" i="51"/>
  <c r="BL70" i="51" s="1"/>
  <c r="Y70" i="51"/>
  <c r="BP70" i="51" s="1"/>
  <c r="V70" i="51"/>
  <c r="BM70" i="51" s="1"/>
  <c r="T70" i="51"/>
  <c r="BK70" i="51" s="1"/>
  <c r="W70" i="51"/>
  <c r="BN70" i="51" s="1"/>
  <c r="AQ65" i="51"/>
  <c r="AO65" i="51"/>
  <c r="AR65" i="51"/>
  <c r="AT65" i="51"/>
  <c r="AO15" i="51"/>
  <c r="CF15" i="51" s="1"/>
  <c r="AP65" i="51"/>
  <c r="AS65" i="51"/>
  <c r="AQ105" i="51"/>
  <c r="CH105" i="51" s="1"/>
  <c r="AT105" i="51"/>
  <c r="CK105" i="51" s="1"/>
  <c r="AS105" i="51"/>
  <c r="CJ105" i="51" s="1"/>
  <c r="AR105" i="51"/>
  <c r="CI105" i="51" s="1"/>
  <c r="AP105" i="51"/>
  <c r="CG105" i="51" s="1"/>
  <c r="AO105" i="51"/>
  <c r="CF105" i="51" s="1"/>
  <c r="K85" i="51"/>
  <c r="BB85" i="51" s="1"/>
  <c r="J85" i="51"/>
  <c r="BA85" i="51" s="1"/>
  <c r="I85" i="51"/>
  <c r="AZ85" i="51" s="1"/>
  <c r="G85" i="51"/>
  <c r="AX85" i="51" s="1"/>
  <c r="F85" i="51"/>
  <c r="AW85" i="51" s="1"/>
  <c r="H85" i="51"/>
  <c r="AY85" i="51" s="1"/>
  <c r="E29" i="51"/>
  <c r="AV29" i="51" s="1"/>
  <c r="F78" i="62"/>
  <c r="O90" i="51"/>
  <c r="BF90" i="51" s="1"/>
  <c r="P90" i="51"/>
  <c r="BG90" i="51" s="1"/>
  <c r="R90" i="51"/>
  <c r="BI90" i="51" s="1"/>
  <c r="N90" i="51"/>
  <c r="BE90" i="51" s="1"/>
  <c r="Q90" i="51"/>
  <c r="BH90" i="51" s="1"/>
  <c r="M90" i="51"/>
  <c r="BD90" i="51" s="1"/>
  <c r="P77" i="51"/>
  <c r="N77" i="51"/>
  <c r="R77" i="51"/>
  <c r="Q77" i="51"/>
  <c r="M25" i="51"/>
  <c r="M77" i="51"/>
  <c r="O77" i="51"/>
  <c r="R97" i="51"/>
  <c r="BI97" i="51" s="1"/>
  <c r="O97" i="51"/>
  <c r="BF97" i="51" s="1"/>
  <c r="AL47" i="50" s="1"/>
  <c r="BX47" i="50" s="1"/>
  <c r="N97" i="51"/>
  <c r="BE97" i="51" s="1"/>
  <c r="AK47" i="50" s="1"/>
  <c r="BW47" i="50" s="1"/>
  <c r="Q97" i="51"/>
  <c r="BH97" i="51" s="1"/>
  <c r="M97" i="51"/>
  <c r="BD97" i="51" s="1"/>
  <c r="AJ47" i="50" s="1"/>
  <c r="BV47" i="50" s="1"/>
  <c r="Y69" i="51"/>
  <c r="BP69" i="51" s="1"/>
  <c r="X69" i="51"/>
  <c r="BO69" i="51" s="1"/>
  <c r="U69" i="51"/>
  <c r="BL69" i="51" s="1"/>
  <c r="T69" i="51"/>
  <c r="BK69" i="51" s="1"/>
  <c r="W69" i="51"/>
  <c r="BN69" i="51" s="1"/>
  <c r="V69" i="51"/>
  <c r="BM69" i="51" s="1"/>
  <c r="W97" i="51"/>
  <c r="BN97" i="51" s="1"/>
  <c r="T97" i="51"/>
  <c r="BK97" i="51" s="1"/>
  <c r="V97" i="51"/>
  <c r="BM97" i="51" s="1"/>
  <c r="Y97" i="51"/>
  <c r="BP97" i="51" s="1"/>
  <c r="U97" i="51"/>
  <c r="BL97" i="51" s="1"/>
  <c r="X97" i="51"/>
  <c r="BO97" i="51" s="1"/>
  <c r="AT97" i="51"/>
  <c r="CK97" i="51" s="1"/>
  <c r="AS97" i="51"/>
  <c r="CJ97" i="51" s="1"/>
  <c r="AQ97" i="51"/>
  <c r="CH97" i="51" s="1"/>
  <c r="AR97" i="51"/>
  <c r="CI97" i="51" s="1"/>
  <c r="AO97" i="51"/>
  <c r="CF97" i="51" s="1"/>
  <c r="AP97" i="51"/>
  <c r="CG97" i="51" s="1"/>
  <c r="AP103" i="51"/>
  <c r="CG103" i="51" s="1"/>
  <c r="AR103" i="51"/>
  <c r="CI103" i="51" s="1"/>
  <c r="AO103" i="51"/>
  <c r="CF103" i="51" s="1"/>
  <c r="AQ103" i="51"/>
  <c r="CH103" i="51" s="1"/>
  <c r="AS103" i="51"/>
  <c r="CJ103" i="51" s="1"/>
  <c r="AT103" i="51"/>
  <c r="CK103" i="51" s="1"/>
  <c r="AI153" i="50"/>
  <c r="BU153" i="50" s="1"/>
  <c r="AH151" i="50"/>
  <c r="BT151" i="50" s="1"/>
  <c r="AE121" i="50"/>
  <c r="BQ121" i="50" s="1"/>
  <c r="AC65" i="50"/>
  <c r="BO65" i="50" s="1"/>
  <c r="AB63" i="50"/>
  <c r="BN63" i="50" s="1"/>
  <c r="AE124" i="50"/>
  <c r="BQ124" i="50" s="1"/>
  <c r="AE118" i="50"/>
  <c r="BQ118" i="50" s="1"/>
  <c r="AA69" i="50"/>
  <c r="AB70" i="50"/>
  <c r="BN70" i="50" s="1"/>
  <c r="AD113" i="50"/>
  <c r="BP113" i="50" s="1"/>
  <c r="AE114" i="50"/>
  <c r="BQ114" i="50" s="1"/>
  <c r="AE122" i="50"/>
  <c r="BQ122" i="50" s="1"/>
  <c r="AD130" i="50"/>
  <c r="BP130" i="50" s="1"/>
  <c r="AC190" i="50"/>
  <c r="BO190" i="50" s="1"/>
  <c r="AC125" i="50"/>
  <c r="BO125" i="50" s="1"/>
  <c r="AC127" i="50"/>
  <c r="BO127" i="50" s="1"/>
  <c r="AB187" i="50"/>
  <c r="BN187" i="50" s="1"/>
  <c r="AB111" i="50"/>
  <c r="AB153" i="50"/>
  <c r="BN153" i="50" s="1"/>
  <c r="AA173" i="50"/>
  <c r="AD116" i="50"/>
  <c r="BP116" i="50" s="1"/>
  <c r="C14" i="60"/>
  <c r="C5" i="84" s="1"/>
  <c r="AC154" i="50" l="1"/>
  <c r="BO154" i="50" s="1"/>
  <c r="AB174" i="50"/>
  <c r="BN174" i="50" s="1"/>
  <c r="W18" i="51"/>
  <c r="BN18" i="51" s="1"/>
  <c r="O18" i="51"/>
  <c r="BF18" i="51" s="1"/>
  <c r="AJ60" i="51"/>
  <c r="CA60" i="51" s="1"/>
  <c r="AK60" i="51"/>
  <c r="CB60" i="51" s="1"/>
  <c r="AI60" i="51"/>
  <c r="BZ60" i="51" s="1"/>
  <c r="AM60" i="51"/>
  <c r="CD60" i="51" s="1"/>
  <c r="Y18" i="51"/>
  <c r="BP18" i="51" s="1"/>
  <c r="AB181" i="50"/>
  <c r="BN181" i="50" s="1"/>
  <c r="AL26" i="7"/>
  <c r="AJ56" i="53"/>
  <c r="CM56" i="53" s="1"/>
  <c r="U105" i="85" s="1"/>
  <c r="Z105" i="85" s="1"/>
  <c r="BU35" i="50"/>
  <c r="C85" i="85" s="1"/>
  <c r="AC161" i="50"/>
  <c r="BO161" i="50" s="1"/>
  <c r="AA177" i="50"/>
  <c r="BM177" i="50" s="1"/>
  <c r="AJ165" i="50"/>
  <c r="BV165" i="50" s="1"/>
  <c r="AC162" i="50"/>
  <c r="BN162" i="50"/>
  <c r="AB182" i="50"/>
  <c r="BN182" i="50" s="1"/>
  <c r="AA151" i="50"/>
  <c r="BM151" i="50" s="1"/>
  <c r="AA60" i="51"/>
  <c r="BR60" i="51" s="1"/>
  <c r="AB157" i="50"/>
  <c r="AB151" i="50" s="1"/>
  <c r="AC60" i="51"/>
  <c r="BT60" i="51" s="1"/>
  <c r="D66" i="67"/>
  <c r="AC57" i="53"/>
  <c r="V82" i="67" s="1"/>
  <c r="AE28" i="7"/>
  <c r="CB28" i="7" s="1"/>
  <c r="AJ156" i="50"/>
  <c r="AH60" i="51"/>
  <c r="BY60" i="51" s="1"/>
  <c r="X18" i="51"/>
  <c r="BO18" i="51" s="1"/>
  <c r="P18" i="51"/>
  <c r="BG18" i="51" s="1"/>
  <c r="AB57" i="53"/>
  <c r="CF57" i="53" s="1"/>
  <c r="U82" i="85" s="1"/>
  <c r="Z82" i="85" s="1"/>
  <c r="Q18" i="51"/>
  <c r="BH18" i="51" s="1"/>
  <c r="F61" i="67"/>
  <c r="AD28" i="7"/>
  <c r="CA28" i="7" s="1"/>
  <c r="C66" i="67"/>
  <c r="AS25" i="51"/>
  <c r="CJ26" i="51"/>
  <c r="AR25" i="51"/>
  <c r="CI26" i="51"/>
  <c r="Y83" i="51"/>
  <c r="BP90" i="51"/>
  <c r="F25" i="51"/>
  <c r="AW25" i="51" s="1"/>
  <c r="AW26" i="51"/>
  <c r="BY41" i="50"/>
  <c r="AM38" i="50"/>
  <c r="BT47" i="50"/>
  <c r="AH72" i="50"/>
  <c r="AS99" i="51"/>
  <c r="CJ99" i="51" s="1"/>
  <c r="CJ100" i="51"/>
  <c r="H64" i="51"/>
  <c r="AY64" i="51" s="1"/>
  <c r="AY66" i="51"/>
  <c r="AD281" i="50"/>
  <c r="BP281" i="50" s="1"/>
  <c r="AM17" i="50"/>
  <c r="BY17" i="50" s="1"/>
  <c r="BX17" i="50"/>
  <c r="W30" i="51"/>
  <c r="BN30" i="51" s="1"/>
  <c r="BN34" i="51"/>
  <c r="P34" i="51"/>
  <c r="BG40" i="51"/>
  <c r="AF22" i="50"/>
  <c r="BR22" i="50" s="1"/>
  <c r="BQ22" i="50"/>
  <c r="AO64" i="51"/>
  <c r="CF64" i="51" s="1"/>
  <c r="CF65" i="51"/>
  <c r="AP25" i="51"/>
  <c r="CG26" i="51"/>
  <c r="AM121" i="50"/>
  <c r="BY121" i="50" s="1"/>
  <c r="BX121" i="50"/>
  <c r="AL118" i="50"/>
  <c r="BW118" i="50"/>
  <c r="M74" i="51"/>
  <c r="BD74" i="51" s="1"/>
  <c r="BD77" i="51"/>
  <c r="AQ64" i="51"/>
  <c r="CH64" i="51" s="1"/>
  <c r="CH65" i="51"/>
  <c r="I64" i="51"/>
  <c r="AZ64" i="51" s="1"/>
  <c r="AZ66" i="51"/>
  <c r="V83" i="51"/>
  <c r="BM90" i="51"/>
  <c r="R18" i="51"/>
  <c r="BI18" i="51" s="1"/>
  <c r="AH67" i="50"/>
  <c r="BT42" i="50"/>
  <c r="AH71" i="50"/>
  <c r="BT46" i="50"/>
  <c r="AQ25" i="51"/>
  <c r="CH26" i="51"/>
  <c r="AB60" i="51"/>
  <c r="BS60" i="51" s="1"/>
  <c r="D61" i="67"/>
  <c r="BU157" i="50"/>
  <c r="AJ157" i="50"/>
  <c r="AF15" i="50"/>
  <c r="BR15" i="50" s="1"/>
  <c r="BQ15" i="50"/>
  <c r="AK116" i="50"/>
  <c r="BV116" i="50"/>
  <c r="U74" i="51"/>
  <c r="BL74" i="51" s="1"/>
  <c r="BL77" i="51"/>
  <c r="J71" i="51"/>
  <c r="BA71" i="51" s="1"/>
  <c r="BA72" i="51"/>
  <c r="J25" i="51"/>
  <c r="BA25" i="51" s="1"/>
  <c r="BA26" i="51"/>
  <c r="V30" i="51"/>
  <c r="BM30" i="51" s="1"/>
  <c r="BM34" i="51"/>
  <c r="U30" i="51"/>
  <c r="BL30" i="51" s="1"/>
  <c r="BL34" i="51"/>
  <c r="BY45" i="50"/>
  <c r="AM44" i="50"/>
  <c r="BY44" i="50" s="1"/>
  <c r="BO117" i="50"/>
  <c r="AD117" i="50"/>
  <c r="AK127" i="50"/>
  <c r="BV127" i="50"/>
  <c r="C65" i="67"/>
  <c r="BN111" i="50"/>
  <c r="C65" i="85" s="1"/>
  <c r="M18" i="51"/>
  <c r="BD18" i="51" s="1"/>
  <c r="BD25" i="51"/>
  <c r="V74" i="51"/>
  <c r="BM74" i="51" s="1"/>
  <c r="BM77" i="51"/>
  <c r="AL60" i="51"/>
  <c r="CC60" i="51" s="1"/>
  <c r="AO99" i="51"/>
  <c r="CF99" i="51" s="1"/>
  <c r="CF100" i="51"/>
  <c r="Q74" i="51"/>
  <c r="BH74" i="51" s="1"/>
  <c r="BH77" i="51"/>
  <c r="AS64" i="51"/>
  <c r="CJ64" i="51" s="1"/>
  <c r="CJ65" i="51"/>
  <c r="X74" i="51"/>
  <c r="BO74" i="51" s="1"/>
  <c r="BO77" i="51"/>
  <c r="BW41" i="50"/>
  <c r="AK38" i="50"/>
  <c r="K71" i="51"/>
  <c r="BB71" i="51" s="1"/>
  <c r="BB72" i="51"/>
  <c r="AR99" i="51"/>
  <c r="CI99" i="51" s="1"/>
  <c r="CI100" i="51"/>
  <c r="F64" i="51"/>
  <c r="AW64" i="51" s="1"/>
  <c r="AW66" i="51"/>
  <c r="U83" i="51"/>
  <c r="BL90" i="51"/>
  <c r="BW45" i="50"/>
  <c r="AK44" i="50"/>
  <c r="BW44" i="50" s="1"/>
  <c r="N18" i="51"/>
  <c r="BE18" i="51" s="1"/>
  <c r="Q34" i="51"/>
  <c r="BH40" i="51"/>
  <c r="F90" i="51"/>
  <c r="AW90" i="51" s="1"/>
  <c r="AW41" i="51"/>
  <c r="F88" i="51"/>
  <c r="AW88" i="51" s="1"/>
  <c r="AW39" i="51"/>
  <c r="AE26" i="7"/>
  <c r="AL117" i="50"/>
  <c r="BW117" i="50"/>
  <c r="AF21" i="50"/>
  <c r="BR21" i="50" s="1"/>
  <c r="BQ21" i="50"/>
  <c r="AB178" i="50"/>
  <c r="BN178" i="50" s="1"/>
  <c r="AC158" i="50"/>
  <c r="BN158" i="50"/>
  <c r="AR64" i="51"/>
  <c r="CI64" i="51" s="1"/>
  <c r="CI65" i="51"/>
  <c r="J64" i="51"/>
  <c r="BA64" i="51" s="1"/>
  <c r="BA66" i="51"/>
  <c r="R74" i="51"/>
  <c r="BI74" i="51" s="1"/>
  <c r="BI77" i="51"/>
  <c r="AP64" i="51"/>
  <c r="CG64" i="51" s="1"/>
  <c r="CG65" i="51"/>
  <c r="Y74" i="51"/>
  <c r="BP74" i="51" s="1"/>
  <c r="BP77" i="51"/>
  <c r="AT99" i="51"/>
  <c r="CK99" i="51" s="1"/>
  <c r="CK100" i="51"/>
  <c r="AH66" i="50"/>
  <c r="BT41" i="50"/>
  <c r="G64" i="51"/>
  <c r="AX64" i="51" s="1"/>
  <c r="AX66" i="51"/>
  <c r="BT45" i="50"/>
  <c r="AH44" i="50"/>
  <c r="BT44" i="50" s="1"/>
  <c r="AH70" i="50"/>
  <c r="W83" i="51"/>
  <c r="BN90" i="51"/>
  <c r="BX45" i="50"/>
  <c r="AL44" i="50"/>
  <c r="BX44" i="50" s="1"/>
  <c r="O34" i="51"/>
  <c r="BF40" i="51"/>
  <c r="G76" i="51"/>
  <c r="AX76" i="51" s="1"/>
  <c r="AX27" i="51"/>
  <c r="M34" i="51"/>
  <c r="BD40" i="51"/>
  <c r="AD57" i="53"/>
  <c r="AO57" i="73" s="1"/>
  <c r="CB57" i="73" s="1"/>
  <c r="AM124" i="50"/>
  <c r="BY124" i="50" s="1"/>
  <c r="BX124" i="50"/>
  <c r="AF16" i="50"/>
  <c r="BR16" i="50" s="1"/>
  <c r="BQ16" i="50"/>
  <c r="AL15" i="50"/>
  <c r="BW15" i="50"/>
  <c r="AL16" i="50"/>
  <c r="BW16" i="50"/>
  <c r="AM113" i="50"/>
  <c r="BY113" i="50" s="1"/>
  <c r="BX113" i="50"/>
  <c r="Y30" i="51"/>
  <c r="BP30" i="51" s="1"/>
  <c r="BP34" i="51"/>
  <c r="AF17" i="50"/>
  <c r="BR17" i="50" s="1"/>
  <c r="BQ17" i="50"/>
  <c r="AM21" i="50"/>
  <c r="BY21" i="50" s="1"/>
  <c r="BX21" i="50"/>
  <c r="AT25" i="51"/>
  <c r="CK26" i="51"/>
  <c r="T30" i="51"/>
  <c r="BK30" i="51" s="1"/>
  <c r="BK34" i="51"/>
  <c r="AP99" i="51"/>
  <c r="CG99" i="51" s="1"/>
  <c r="CG100" i="51"/>
  <c r="BX41" i="50"/>
  <c r="AL38" i="50"/>
  <c r="G71" i="51"/>
  <c r="AX71" i="51" s="1"/>
  <c r="AX72" i="51"/>
  <c r="N74" i="51"/>
  <c r="BE74" i="51" s="1"/>
  <c r="BE77" i="51"/>
  <c r="W74" i="51"/>
  <c r="BN74" i="51" s="1"/>
  <c r="BN77" i="51"/>
  <c r="F71" i="51"/>
  <c r="AW71" i="51" s="1"/>
  <c r="AW72" i="51"/>
  <c r="K64" i="51"/>
  <c r="BB64" i="51" s="1"/>
  <c r="BB66" i="51"/>
  <c r="T83" i="51"/>
  <c r="BK90" i="51"/>
  <c r="R34" i="51"/>
  <c r="BI40" i="51"/>
  <c r="AD60" i="51"/>
  <c r="BU60" i="51" s="1"/>
  <c r="E66" i="67"/>
  <c r="AL22" i="50"/>
  <c r="BW22" i="50"/>
  <c r="AK125" i="50"/>
  <c r="BV125" i="50"/>
  <c r="F69" i="51"/>
  <c r="AW69" i="51" s="1"/>
  <c r="AW20" i="51"/>
  <c r="O74" i="51"/>
  <c r="BF74" i="51" s="1"/>
  <c r="BF77" i="51"/>
  <c r="T74" i="51"/>
  <c r="BK74" i="51" s="1"/>
  <c r="BK77" i="51"/>
  <c r="H71" i="51"/>
  <c r="AY71" i="51" s="1"/>
  <c r="AY72" i="51"/>
  <c r="P74" i="51"/>
  <c r="BG74" i="51" s="1"/>
  <c r="BG77" i="51"/>
  <c r="AT64" i="51"/>
  <c r="CK64" i="51" s="1"/>
  <c r="CK65" i="51"/>
  <c r="T18" i="51"/>
  <c r="BK18" i="51" s="1"/>
  <c r="BK25" i="51"/>
  <c r="BV41" i="50"/>
  <c r="AJ38" i="50"/>
  <c r="I71" i="51"/>
  <c r="AZ71" i="51" s="1"/>
  <c r="AZ72" i="51"/>
  <c r="AQ99" i="51"/>
  <c r="CH99" i="51" s="1"/>
  <c r="CH100" i="51"/>
  <c r="X83" i="51"/>
  <c r="BO90" i="51"/>
  <c r="BV45" i="50"/>
  <c r="AJ44" i="50"/>
  <c r="BV44" i="50" s="1"/>
  <c r="N34" i="51"/>
  <c r="BE40" i="51"/>
  <c r="AE60" i="51"/>
  <c r="BV60" i="51" s="1"/>
  <c r="AF28" i="7"/>
  <c r="CC28" i="7" s="1"/>
  <c r="AL122" i="50"/>
  <c r="BW122" i="50"/>
  <c r="AM20" i="50"/>
  <c r="BY20" i="50" s="1"/>
  <c r="BX20" i="50"/>
  <c r="AL130" i="50"/>
  <c r="BW130" i="50"/>
  <c r="X30" i="51"/>
  <c r="BO30" i="51" s="1"/>
  <c r="BO34" i="51"/>
  <c r="AE20" i="50"/>
  <c r="BP20" i="50"/>
  <c r="AM114" i="50"/>
  <c r="BY114" i="50" s="1"/>
  <c r="BX114" i="50"/>
  <c r="W81" i="67"/>
  <c r="CH56" i="53"/>
  <c r="W81" i="85" s="1"/>
  <c r="G66" i="67"/>
  <c r="AF57" i="53"/>
  <c r="AT57" i="73" s="1"/>
  <c r="AE57" i="53"/>
  <c r="AQ57" i="73" s="1"/>
  <c r="CC57" i="73" s="1"/>
  <c r="AE281" i="50"/>
  <c r="BQ281" i="50" s="1"/>
  <c r="AC56" i="53"/>
  <c r="E90" i="67"/>
  <c r="AE56" i="53"/>
  <c r="AF281" i="50"/>
  <c r="BR281" i="50" s="1"/>
  <c r="AL57" i="53"/>
  <c r="AC281" i="50"/>
  <c r="BO281" i="50" s="1"/>
  <c r="G61" i="67"/>
  <c r="AG26" i="7"/>
  <c r="AG27" i="7" s="1"/>
  <c r="CD27" i="7" s="1"/>
  <c r="BV162" i="50"/>
  <c r="AH26" i="7"/>
  <c r="CE26" i="7" s="1"/>
  <c r="F66" i="67"/>
  <c r="BU161" i="50"/>
  <c r="AA281" i="50"/>
  <c r="BM281" i="50" s="1"/>
  <c r="AM57" i="53"/>
  <c r="BB57" i="73" s="1"/>
  <c r="CI57" i="73" s="1"/>
  <c r="BU167" i="50"/>
  <c r="AJ167" i="50"/>
  <c r="AK156" i="50"/>
  <c r="BV156" i="50"/>
  <c r="AC156" i="50"/>
  <c r="BN156" i="50"/>
  <c r="AD71" i="50"/>
  <c r="BO71" i="50"/>
  <c r="C61" i="67"/>
  <c r="BN35" i="50"/>
  <c r="C61" i="85" s="1"/>
  <c r="AB176" i="50"/>
  <c r="BN176" i="50" s="1"/>
  <c r="AD26" i="7"/>
  <c r="CA26" i="7" s="1"/>
  <c r="AL170" i="50"/>
  <c r="BW170" i="50"/>
  <c r="E50" i="51"/>
  <c r="AV50" i="51" s="1"/>
  <c r="AV52" i="51"/>
  <c r="AB56" i="53"/>
  <c r="AN28" i="7"/>
  <c r="CK28" i="7" s="1"/>
  <c r="AH28" i="7"/>
  <c r="CE28" i="7" s="1"/>
  <c r="AG28" i="7"/>
  <c r="CD28" i="7" s="1"/>
  <c r="AC165" i="50"/>
  <c r="AC185" i="50" s="1"/>
  <c r="BO185" i="50" s="1"/>
  <c r="BN165" i="50"/>
  <c r="AK154" i="50"/>
  <c r="BV154" i="50"/>
  <c r="AF56" i="53"/>
  <c r="D90" i="67"/>
  <c r="F90" i="67"/>
  <c r="G90" i="67"/>
  <c r="AK164" i="50"/>
  <c r="BV164" i="50"/>
  <c r="AE66" i="50"/>
  <c r="BP66" i="50"/>
  <c r="AE170" i="50"/>
  <c r="BP170" i="50"/>
  <c r="AA171" i="50"/>
  <c r="BM171" i="50" s="1"/>
  <c r="BM173" i="50"/>
  <c r="AN57" i="53"/>
  <c r="BE57" i="73" s="1"/>
  <c r="AB281" i="50"/>
  <c r="BN281" i="50" s="1"/>
  <c r="AM28" i="7"/>
  <c r="CJ28" i="7" s="1"/>
  <c r="AO28" i="7"/>
  <c r="CL28" i="7" s="1"/>
  <c r="AP28" i="7"/>
  <c r="CM28" i="7" s="1"/>
  <c r="AD167" i="50"/>
  <c r="BO167" i="50"/>
  <c r="AE67" i="50"/>
  <c r="BP67" i="50"/>
  <c r="G78" i="62"/>
  <c r="AW78" i="62"/>
  <c r="AK158" i="50"/>
  <c r="BV158" i="50"/>
  <c r="AE72" i="50"/>
  <c r="BP72" i="50"/>
  <c r="AL162" i="50"/>
  <c r="BW162" i="50"/>
  <c r="AD164" i="50"/>
  <c r="BO164" i="50"/>
  <c r="AC184" i="50"/>
  <c r="BO184" i="50" s="1"/>
  <c r="G70" i="62"/>
  <c r="AW70" i="62"/>
  <c r="AA60" i="50"/>
  <c r="BM60" i="50" s="1"/>
  <c r="BM69" i="50"/>
  <c r="AK57" i="53"/>
  <c r="AK161" i="50"/>
  <c r="BV161" i="50"/>
  <c r="AF27" i="7"/>
  <c r="CC27" i="7" s="1"/>
  <c r="CC26" i="7"/>
  <c r="AP56" i="73"/>
  <c r="C5" i="79"/>
  <c r="C25" i="60"/>
  <c r="AO56" i="73"/>
  <c r="CB56" i="73" s="1"/>
  <c r="F75" i="51"/>
  <c r="H88" i="51"/>
  <c r="AY88" i="51" s="1"/>
  <c r="G90" i="51"/>
  <c r="AX90" i="51" s="1"/>
  <c r="F34" i="51"/>
  <c r="AL28" i="7"/>
  <c r="CI28" i="7" s="1"/>
  <c r="C90" i="67"/>
  <c r="AV56" i="73"/>
  <c r="CF56" i="73" s="1"/>
  <c r="U105" i="67"/>
  <c r="Z105" i="67" s="1"/>
  <c r="M89" i="51"/>
  <c r="AW56" i="73"/>
  <c r="I25" i="51"/>
  <c r="H84" i="51"/>
  <c r="AY84" i="51" s="1"/>
  <c r="N89" i="51"/>
  <c r="I69" i="51"/>
  <c r="AZ69" i="51" s="1"/>
  <c r="I75" i="51"/>
  <c r="AZ75" i="51" s="1"/>
  <c r="G84" i="51"/>
  <c r="AX84" i="51" s="1"/>
  <c r="H90" i="51"/>
  <c r="AY90" i="51" s="1"/>
  <c r="G88" i="51"/>
  <c r="AX88" i="51" s="1"/>
  <c r="E18" i="62"/>
  <c r="F84" i="51"/>
  <c r="I90" i="51"/>
  <c r="AZ90" i="51" s="1"/>
  <c r="G34" i="51"/>
  <c r="H75" i="51"/>
  <c r="AY75" i="51" s="1"/>
  <c r="J69" i="51"/>
  <c r="BA69" i="51" s="1"/>
  <c r="J34" i="51"/>
  <c r="G75" i="51"/>
  <c r="I84" i="51"/>
  <c r="AZ84" i="51" s="1"/>
  <c r="K76" i="51"/>
  <c r="BB76" i="51" s="1"/>
  <c r="J84" i="51"/>
  <c r="BA84" i="51" s="1"/>
  <c r="K84" i="51"/>
  <c r="BB84" i="51" s="1"/>
  <c r="P89" i="51"/>
  <c r="Q89" i="51"/>
  <c r="K69" i="51"/>
  <c r="BB69" i="51" s="1"/>
  <c r="AH40" i="50" s="1"/>
  <c r="H69" i="51"/>
  <c r="AY69" i="51" s="1"/>
  <c r="I34" i="51"/>
  <c r="E20" i="51"/>
  <c r="K25" i="51"/>
  <c r="O89" i="51"/>
  <c r="R89" i="51"/>
  <c r="K75" i="51"/>
  <c r="BB75" i="51" s="1"/>
  <c r="G69" i="51"/>
  <c r="AX69" i="51" s="1"/>
  <c r="G25" i="51"/>
  <c r="F94" i="51"/>
  <c r="AW94" i="51" s="1"/>
  <c r="H76" i="51"/>
  <c r="AY76" i="51" s="1"/>
  <c r="K34" i="51"/>
  <c r="J76" i="51"/>
  <c r="BA76" i="51" s="1"/>
  <c r="K88" i="51"/>
  <c r="BB88" i="51" s="1"/>
  <c r="I76" i="51"/>
  <c r="AZ76" i="51" s="1"/>
  <c r="H25" i="51"/>
  <c r="F18" i="51"/>
  <c r="AW18" i="51" s="1"/>
  <c r="J75" i="51"/>
  <c r="BA75" i="51" s="1"/>
  <c r="J90" i="51"/>
  <c r="BA90" i="51" s="1"/>
  <c r="H34" i="51"/>
  <c r="H94" i="51"/>
  <c r="AY94" i="51" s="1"/>
  <c r="G94" i="51"/>
  <c r="AX94" i="51" s="1"/>
  <c r="Y94" i="51"/>
  <c r="BP94" i="51" s="1"/>
  <c r="U94" i="51"/>
  <c r="BL94" i="51" s="1"/>
  <c r="M94" i="51"/>
  <c r="BD94" i="51" s="1"/>
  <c r="J88" i="51"/>
  <c r="BA88" i="51" s="1"/>
  <c r="AQ75" i="51"/>
  <c r="AS75" i="51"/>
  <c r="AR75" i="51"/>
  <c r="AT75" i="51"/>
  <c r="AO25" i="51"/>
  <c r="AP75" i="51"/>
  <c r="AO75" i="51"/>
  <c r="T94" i="51"/>
  <c r="BK94" i="51" s="1"/>
  <c r="N94" i="51"/>
  <c r="BE94" i="51" s="1"/>
  <c r="Q94" i="51"/>
  <c r="BH94" i="51" s="1"/>
  <c r="G69" i="62"/>
  <c r="AX69" i="62" s="1"/>
  <c r="F67" i="62"/>
  <c r="AW67" i="62" s="1"/>
  <c r="AJ153" i="50"/>
  <c r="BV153" i="50" s="1"/>
  <c r="AI151" i="50"/>
  <c r="K94" i="51"/>
  <c r="BB94" i="51" s="1"/>
  <c r="I88" i="51"/>
  <c r="AZ88" i="51" s="1"/>
  <c r="AJ57" i="53"/>
  <c r="CM57" i="53" s="1"/>
  <c r="U106" i="85" s="1"/>
  <c r="Z106" i="85" s="1"/>
  <c r="AI281" i="50"/>
  <c r="BU281" i="50" s="1"/>
  <c r="G101" i="62"/>
  <c r="AX101" i="62" s="1"/>
  <c r="F99" i="62"/>
  <c r="AW99" i="62" s="1"/>
  <c r="V94" i="51"/>
  <c r="BM94" i="51" s="1"/>
  <c r="O94" i="51"/>
  <c r="BF94" i="51" s="1"/>
  <c r="P94" i="51"/>
  <c r="BG94" i="51" s="1"/>
  <c r="K90" i="51"/>
  <c r="BB90" i="51" s="1"/>
  <c r="AP107" i="51"/>
  <c r="CG107" i="51" s="1"/>
  <c r="AQ107" i="51"/>
  <c r="CH107" i="51" s="1"/>
  <c r="AS107" i="51"/>
  <c r="CJ107" i="51" s="1"/>
  <c r="AO107" i="51"/>
  <c r="CF107" i="51" s="1"/>
  <c r="AT107" i="51"/>
  <c r="CK107" i="51" s="1"/>
  <c r="AR107" i="51"/>
  <c r="CI107" i="51" s="1"/>
  <c r="I94" i="51"/>
  <c r="AZ94" i="51" s="1"/>
  <c r="J94" i="51"/>
  <c r="BA94" i="51" s="1"/>
  <c r="X94" i="51"/>
  <c r="BO94" i="51" s="1"/>
  <c r="W94" i="51"/>
  <c r="BN94" i="51" s="1"/>
  <c r="R94" i="51"/>
  <c r="BI94" i="51" s="1"/>
  <c r="AC153" i="50"/>
  <c r="BO153" i="50" s="1"/>
  <c r="AB173" i="50"/>
  <c r="AF114" i="50"/>
  <c r="BR114" i="50" s="1"/>
  <c r="AD65" i="50"/>
  <c r="BP65" i="50" s="1"/>
  <c r="AC63" i="50"/>
  <c r="BO63" i="50" s="1"/>
  <c r="AE116" i="50"/>
  <c r="BQ116" i="50" s="1"/>
  <c r="AD125" i="50"/>
  <c r="BP125" i="50" s="1"/>
  <c r="AE130" i="50"/>
  <c r="BQ130" i="50" s="1"/>
  <c r="AD190" i="50"/>
  <c r="BP190" i="50" s="1"/>
  <c r="AC111" i="50"/>
  <c r="AC70" i="50"/>
  <c r="BO70" i="50" s="1"/>
  <c r="AB69" i="50"/>
  <c r="AF118" i="50"/>
  <c r="BR118" i="50" s="1"/>
  <c r="AF124" i="50"/>
  <c r="BR124" i="50" s="1"/>
  <c r="AD154" i="50"/>
  <c r="BP154" i="50" s="1"/>
  <c r="AC174" i="50"/>
  <c r="BO174" i="50" s="1"/>
  <c r="AD127" i="50"/>
  <c r="BP127" i="50" s="1"/>
  <c r="AC187" i="50"/>
  <c r="BO187" i="50" s="1"/>
  <c r="AF122" i="50"/>
  <c r="BR122" i="50" s="1"/>
  <c r="AE113" i="50"/>
  <c r="BQ113" i="50" s="1"/>
  <c r="AF121" i="50"/>
  <c r="BR121" i="50" s="1"/>
  <c r="CJ69" i="60"/>
  <c r="AT61" i="60"/>
  <c r="CQ61" i="60" s="1"/>
  <c r="AS61" i="60"/>
  <c r="CP61" i="60" s="1"/>
  <c r="AR61" i="60"/>
  <c r="CO61" i="60" s="1"/>
  <c r="AQ61" i="60"/>
  <c r="CN61" i="60" s="1"/>
  <c r="AP61" i="60"/>
  <c r="AT60" i="60"/>
  <c r="CQ60" i="60" s="1"/>
  <c r="AS60" i="60"/>
  <c r="CP60" i="60" s="1"/>
  <c r="AR60" i="60"/>
  <c r="CO60" i="60" s="1"/>
  <c r="AQ60" i="60"/>
  <c r="CN60" i="60" s="1"/>
  <c r="AP60" i="60"/>
  <c r="AT59" i="60"/>
  <c r="CQ59" i="60" s="1"/>
  <c r="AS59" i="60"/>
  <c r="CP59" i="60" s="1"/>
  <c r="AR59" i="60"/>
  <c r="CO59" i="60" s="1"/>
  <c r="AQ59" i="60"/>
  <c r="CN59" i="60" s="1"/>
  <c r="AP59" i="60"/>
  <c r="AT58" i="60"/>
  <c r="CQ58" i="60" s="1"/>
  <c r="AS58" i="60"/>
  <c r="CP58" i="60" s="1"/>
  <c r="AR58" i="60"/>
  <c r="CO58" i="60" s="1"/>
  <c r="AQ58" i="60"/>
  <c r="CN58" i="60" s="1"/>
  <c r="AT57" i="60"/>
  <c r="CQ57" i="60" s="1"/>
  <c r="AS57" i="60"/>
  <c r="CP57" i="60" s="1"/>
  <c r="AR57" i="60"/>
  <c r="CO57" i="60" s="1"/>
  <c r="AQ57" i="60"/>
  <c r="CN57" i="60" s="1"/>
  <c r="AP57" i="60"/>
  <c r="AT56" i="60"/>
  <c r="CQ56" i="60" s="1"/>
  <c r="AS56" i="60"/>
  <c r="CP56" i="60" s="1"/>
  <c r="AR56" i="60"/>
  <c r="CO56" i="60" s="1"/>
  <c r="AQ56" i="60"/>
  <c r="CN56" i="60" s="1"/>
  <c r="AP56" i="60"/>
  <c r="AT55" i="60"/>
  <c r="CQ55" i="60" s="1"/>
  <c r="AS55" i="60"/>
  <c r="CP55" i="60" s="1"/>
  <c r="AR55" i="60"/>
  <c r="CO55" i="60" s="1"/>
  <c r="AQ55" i="60"/>
  <c r="CN55" i="60" s="1"/>
  <c r="AP55" i="60"/>
  <c r="AT54" i="60"/>
  <c r="CQ54" i="60" s="1"/>
  <c r="AS54" i="60"/>
  <c r="CP54" i="60" s="1"/>
  <c r="AR54" i="60"/>
  <c r="CO54" i="60" s="1"/>
  <c r="AQ54" i="60"/>
  <c r="CN54" i="60" s="1"/>
  <c r="AS53" i="60"/>
  <c r="CP53" i="60" s="1"/>
  <c r="AR53" i="60"/>
  <c r="CO53" i="60" s="1"/>
  <c r="AQ53" i="60"/>
  <c r="CN53" i="60" s="1"/>
  <c r="AL29" i="60"/>
  <c r="CI29" i="60" s="1"/>
  <c r="AK29" i="60"/>
  <c r="AJ29" i="60"/>
  <c r="AI29" i="60"/>
  <c r="AH29" i="60"/>
  <c r="AG29" i="60"/>
  <c r="AF29" i="60"/>
  <c r="AE29" i="60"/>
  <c r="AD29" i="60"/>
  <c r="AC29" i="60"/>
  <c r="AB29" i="60"/>
  <c r="AA29" i="60"/>
  <c r="Z29" i="60"/>
  <c r="Y29" i="60"/>
  <c r="X29" i="60"/>
  <c r="W29" i="60"/>
  <c r="V29" i="60"/>
  <c r="U29" i="60"/>
  <c r="T29" i="60"/>
  <c r="BQ29" i="60" s="1"/>
  <c r="S29" i="60"/>
  <c r="BP29" i="60" s="1"/>
  <c r="R29" i="60"/>
  <c r="BO29" i="60" s="1"/>
  <c r="Q29" i="60"/>
  <c r="BN29" i="60" s="1"/>
  <c r="P29" i="60"/>
  <c r="BM29" i="60" s="1"/>
  <c r="O29" i="60"/>
  <c r="N29" i="60"/>
  <c r="M29" i="60"/>
  <c r="L29" i="60"/>
  <c r="K29" i="60"/>
  <c r="J29" i="60"/>
  <c r="I29" i="60"/>
  <c r="H29" i="60"/>
  <c r="G29" i="60"/>
  <c r="F29" i="60"/>
  <c r="E29" i="60"/>
  <c r="D29" i="60"/>
  <c r="C29" i="60"/>
  <c r="AL14" i="60"/>
  <c r="AL25" i="60" s="1"/>
  <c r="AK14" i="60"/>
  <c r="AK25" i="60" s="1"/>
  <c r="AJ14" i="60"/>
  <c r="AJ25" i="60" s="1"/>
  <c r="AI14" i="60"/>
  <c r="AI25" i="60" s="1"/>
  <c r="AH14" i="60"/>
  <c r="AH25" i="60" s="1"/>
  <c r="AG14" i="60"/>
  <c r="AG25" i="60" s="1"/>
  <c r="AF14" i="60"/>
  <c r="AE14" i="60"/>
  <c r="AD14" i="60"/>
  <c r="AC14" i="60"/>
  <c r="AB14" i="60"/>
  <c r="AA14" i="60"/>
  <c r="Z14" i="60"/>
  <c r="Y14" i="60"/>
  <c r="X14" i="60"/>
  <c r="W14" i="60"/>
  <c r="V14" i="60"/>
  <c r="U14" i="60"/>
  <c r="T14" i="60"/>
  <c r="H16" i="84" s="1"/>
  <c r="S14" i="60"/>
  <c r="G16" i="84" s="1"/>
  <c r="R14" i="60"/>
  <c r="F16" i="84" s="1"/>
  <c r="Q14" i="60"/>
  <c r="E16" i="84" s="1"/>
  <c r="P14" i="60"/>
  <c r="D16" i="84" s="1"/>
  <c r="O14" i="60"/>
  <c r="C16" i="84" s="1"/>
  <c r="N14" i="60"/>
  <c r="N5" i="84" s="1"/>
  <c r="M14" i="60"/>
  <c r="M5" i="84" s="1"/>
  <c r="L14" i="60"/>
  <c r="L5" i="84" s="1"/>
  <c r="K14" i="60"/>
  <c r="K5" i="84" s="1"/>
  <c r="J14" i="60"/>
  <c r="J5" i="84" s="1"/>
  <c r="I14" i="60"/>
  <c r="I5" i="84" s="1"/>
  <c r="H14" i="60"/>
  <c r="H5" i="84" s="1"/>
  <c r="G14" i="60"/>
  <c r="G5" i="84" s="1"/>
  <c r="F14" i="60"/>
  <c r="F5" i="84" s="1"/>
  <c r="E14" i="60"/>
  <c r="E5" i="84" s="1"/>
  <c r="D14" i="60"/>
  <c r="D5" i="84" s="1"/>
  <c r="AT65" i="60"/>
  <c r="AT69" i="60" s="1"/>
  <c r="CQ69" i="60" s="1"/>
  <c r="AS65" i="60"/>
  <c r="AS69" i="60" s="1"/>
  <c r="CP69" i="60" s="1"/>
  <c r="AR65" i="60"/>
  <c r="AR69" i="60" s="1"/>
  <c r="CO69" i="60" s="1"/>
  <c r="AQ65" i="60"/>
  <c r="AQ69" i="60" s="1"/>
  <c r="CN69" i="60" s="1"/>
  <c r="AP65" i="60"/>
  <c r="N9" i="60"/>
  <c r="T9" i="60" s="1"/>
  <c r="AL9" i="60" s="1"/>
  <c r="M9" i="60"/>
  <c r="S9" i="60" s="1"/>
  <c r="AK9" i="60" s="1"/>
  <c r="L9" i="60"/>
  <c r="R9" i="60" s="1"/>
  <c r="AJ9" i="60" s="1"/>
  <c r="K9" i="60"/>
  <c r="Q9" i="60" s="1"/>
  <c r="AI9" i="60" s="1"/>
  <c r="J9" i="60"/>
  <c r="P9" i="60" s="1"/>
  <c r="AH9" i="60" s="1"/>
  <c r="I9" i="60"/>
  <c r="O9" i="60" s="1"/>
  <c r="AG9" i="60" s="1"/>
  <c r="T67" i="51" l="1"/>
  <c r="BK67" i="51" s="1"/>
  <c r="AK165" i="50"/>
  <c r="AL27" i="7"/>
  <c r="CI27" i="7" s="1"/>
  <c r="CI26" i="7"/>
  <c r="AE27" i="7"/>
  <c r="CB27" i="7" s="1"/>
  <c r="CB26" i="7"/>
  <c r="U82" i="67"/>
  <c r="Z82" i="67" s="1"/>
  <c r="AH57" i="53"/>
  <c r="AG57" i="53"/>
  <c r="CK57" i="53" s="1"/>
  <c r="AO56" i="53"/>
  <c r="CR56" i="53" s="1"/>
  <c r="AP56" i="53"/>
  <c r="Y11" i="51"/>
  <c r="BP11" i="51" s="1"/>
  <c r="T11" i="51"/>
  <c r="BK11" i="51" s="1"/>
  <c r="AD161" i="50"/>
  <c r="BP161" i="50" s="1"/>
  <c r="AC181" i="50"/>
  <c r="BO181" i="50" s="1"/>
  <c r="X11" i="51"/>
  <c r="BO11" i="51" s="1"/>
  <c r="W11" i="51"/>
  <c r="BN11" i="51" s="1"/>
  <c r="X67" i="51"/>
  <c r="BO67" i="51" s="1"/>
  <c r="V11" i="51"/>
  <c r="BM11" i="51" s="1"/>
  <c r="Y67" i="51"/>
  <c r="BP67" i="51" s="1"/>
  <c r="O67" i="51"/>
  <c r="BF67" i="51" s="1"/>
  <c r="R67" i="51"/>
  <c r="BI67" i="51" s="1"/>
  <c r="N67" i="51"/>
  <c r="BE67" i="51" s="1"/>
  <c r="CD26" i="7"/>
  <c r="AD27" i="7"/>
  <c r="CA27" i="7" s="1"/>
  <c r="AL57" i="73"/>
  <c r="AK57" i="73"/>
  <c r="BZ57" i="73" s="1"/>
  <c r="I16" i="84"/>
  <c r="AD162" i="50"/>
  <c r="AC182" i="50"/>
  <c r="BO182" i="50" s="1"/>
  <c r="BO162" i="50"/>
  <c r="AM57" i="73"/>
  <c r="CA57" i="73" s="1"/>
  <c r="E18" i="84"/>
  <c r="V67" i="51"/>
  <c r="BM67" i="51" s="1"/>
  <c r="AN57" i="73"/>
  <c r="CG57" i="53"/>
  <c r="V82" i="85" s="1"/>
  <c r="U67" i="51"/>
  <c r="BL67" i="51" s="1"/>
  <c r="U11" i="51"/>
  <c r="BL11" i="51" s="1"/>
  <c r="BN157" i="50"/>
  <c r="AC157" i="50"/>
  <c r="AB177" i="50"/>
  <c r="BN177" i="50" s="1"/>
  <c r="Q67" i="51"/>
  <c r="BH67" i="51" s="1"/>
  <c r="M67" i="51"/>
  <c r="BD67" i="51" s="1"/>
  <c r="O5" i="84"/>
  <c r="H6" i="84"/>
  <c r="N16" i="84"/>
  <c r="H7" i="84"/>
  <c r="F6" i="84"/>
  <c r="F7" i="84"/>
  <c r="L16" i="84"/>
  <c r="V24" i="60"/>
  <c r="D27" i="84"/>
  <c r="AD24" i="60"/>
  <c r="L27" i="84"/>
  <c r="BG29" i="60"/>
  <c r="J45" i="84"/>
  <c r="J44" i="84"/>
  <c r="D17" i="84"/>
  <c r="D18" i="84"/>
  <c r="BI29" i="60"/>
  <c r="L45" i="84"/>
  <c r="L44" i="84"/>
  <c r="N38" i="84"/>
  <c r="P5" i="84"/>
  <c r="N7" i="84"/>
  <c r="N6" i="84"/>
  <c r="G7" i="84"/>
  <c r="M16" i="84"/>
  <c r="G6" i="84"/>
  <c r="W24" i="60"/>
  <c r="E27" i="84"/>
  <c r="AE24" i="60"/>
  <c r="M27" i="84"/>
  <c r="AZ29" i="60"/>
  <c r="C45" i="84"/>
  <c r="I22" i="84"/>
  <c r="C44" i="84"/>
  <c r="I23" i="84"/>
  <c r="BH29" i="60"/>
  <c r="K45" i="84"/>
  <c r="K44" i="84"/>
  <c r="BA29" i="60"/>
  <c r="D45" i="84"/>
  <c r="J22" i="84"/>
  <c r="D44" i="84"/>
  <c r="J23" i="84"/>
  <c r="I38" i="84"/>
  <c r="E17" i="84"/>
  <c r="Y24" i="60"/>
  <c r="G27" i="84"/>
  <c r="G38" i="84" s="1"/>
  <c r="BB29" i="60"/>
  <c r="E45" i="84"/>
  <c r="K22" i="84"/>
  <c r="E44" i="84"/>
  <c r="K23" i="84"/>
  <c r="BJ29" i="60"/>
  <c r="M45" i="84"/>
  <c r="M44" i="84"/>
  <c r="J18" i="51"/>
  <c r="BA18" i="51" s="1"/>
  <c r="J6" i="84"/>
  <c r="J7" i="84"/>
  <c r="P7" i="84" s="1"/>
  <c r="J38" i="84"/>
  <c r="F17" i="84"/>
  <c r="F18" i="84"/>
  <c r="Z24" i="60"/>
  <c r="H27" i="84"/>
  <c r="BC29" i="60"/>
  <c r="F45" i="84"/>
  <c r="L22" i="84"/>
  <c r="F44" i="84"/>
  <c r="L23" i="84"/>
  <c r="BK29" i="60"/>
  <c r="N45" i="84"/>
  <c r="N44" i="84"/>
  <c r="W67" i="51"/>
  <c r="BN67" i="51" s="1"/>
  <c r="K7" i="84"/>
  <c r="K38" i="84"/>
  <c r="K6" i="84"/>
  <c r="G17" i="84"/>
  <c r="G18" i="84"/>
  <c r="AA24" i="60"/>
  <c r="I27" i="84"/>
  <c r="BD29" i="60"/>
  <c r="M22" i="84"/>
  <c r="G44" i="84"/>
  <c r="M23" i="84"/>
  <c r="G45" i="84"/>
  <c r="P67" i="51"/>
  <c r="BG67" i="51" s="1"/>
  <c r="X24" i="60"/>
  <c r="F27" i="84"/>
  <c r="D7" i="84"/>
  <c r="J16" i="84"/>
  <c r="D6" i="84"/>
  <c r="O16" i="84"/>
  <c r="H17" i="84"/>
  <c r="H18" i="84"/>
  <c r="BE29" i="60"/>
  <c r="H44" i="84"/>
  <c r="N23" i="84"/>
  <c r="H45" i="84"/>
  <c r="N22" i="84"/>
  <c r="AF24" i="60"/>
  <c r="N27" i="84"/>
  <c r="L38" i="84"/>
  <c r="L6" i="84"/>
  <c r="L7" i="84"/>
  <c r="AB24" i="60"/>
  <c r="J27" i="84"/>
  <c r="E7" i="84"/>
  <c r="K16" i="84"/>
  <c r="E6" i="84"/>
  <c r="M38" i="84"/>
  <c r="M7" i="84"/>
  <c r="M6" i="84"/>
  <c r="U24" i="60"/>
  <c r="AM24" i="60" s="1"/>
  <c r="AM27" i="60" s="1"/>
  <c r="C27" i="84"/>
  <c r="AC24" i="60"/>
  <c r="K27" i="84"/>
  <c r="BF29" i="60"/>
  <c r="I45" i="84"/>
  <c r="I44" i="84"/>
  <c r="AU65" i="60"/>
  <c r="AP69" i="60"/>
  <c r="CM69" i="60" s="1"/>
  <c r="AR57" i="73"/>
  <c r="BC57" i="73"/>
  <c r="G74" i="51"/>
  <c r="AX74" i="51" s="1"/>
  <c r="AX75" i="51"/>
  <c r="U79" i="51"/>
  <c r="BL79" i="51" s="1"/>
  <c r="BL83" i="51"/>
  <c r="AE60" i="53"/>
  <c r="CI60" i="53" s="1"/>
  <c r="BV29" i="60"/>
  <c r="AQ60" i="53"/>
  <c r="CS60" i="53" s="1"/>
  <c r="CD29" i="60"/>
  <c r="AU59" i="60"/>
  <c r="CM59" i="60"/>
  <c r="AP74" i="51"/>
  <c r="CG75" i="51"/>
  <c r="K30" i="51"/>
  <c r="BB30" i="51" s="1"/>
  <c r="BB34" i="51"/>
  <c r="O83" i="51"/>
  <c r="BF89" i="51"/>
  <c r="Q83" i="51"/>
  <c r="BH89" i="51"/>
  <c r="J30" i="51"/>
  <c r="BA30" i="51" s="1"/>
  <c r="BA34" i="51"/>
  <c r="F83" i="51"/>
  <c r="AW84" i="51"/>
  <c r="AM16" i="50"/>
  <c r="BY16" i="50" s="1"/>
  <c r="BX16" i="50"/>
  <c r="AI66" i="50"/>
  <c r="BT66" i="50"/>
  <c r="AL127" i="50"/>
  <c r="BW127" i="50"/>
  <c r="AL116" i="50"/>
  <c r="BW116" i="50"/>
  <c r="AQ18" i="51"/>
  <c r="CH18" i="51" s="1"/>
  <c r="CH25" i="51"/>
  <c r="AF60" i="53"/>
  <c r="CJ60" i="53" s="1"/>
  <c r="BW29" i="60"/>
  <c r="AR60" i="53"/>
  <c r="CT60" i="53" s="1"/>
  <c r="CE29" i="60"/>
  <c r="AO18" i="51"/>
  <c r="CF18" i="51" s="1"/>
  <c r="CF25" i="51"/>
  <c r="P83" i="51"/>
  <c r="BG89" i="51"/>
  <c r="CH57" i="53"/>
  <c r="W82" i="85" s="1"/>
  <c r="M30" i="51"/>
  <c r="BD34" i="51"/>
  <c r="W79" i="51"/>
  <c r="BN79" i="51" s="1"/>
  <c r="BN83" i="51"/>
  <c r="BP117" i="50"/>
  <c r="AE117" i="50"/>
  <c r="P30" i="51"/>
  <c r="BG34" i="51"/>
  <c r="AN60" i="53"/>
  <c r="CQ60" i="53" s="1"/>
  <c r="CC29" i="60"/>
  <c r="AU57" i="60"/>
  <c r="CM57" i="60"/>
  <c r="V79" i="51"/>
  <c r="BM79" i="51" s="1"/>
  <c r="BM83" i="51"/>
  <c r="D65" i="67"/>
  <c r="BO111" i="50"/>
  <c r="D65" i="85" s="1"/>
  <c r="AT74" i="51"/>
  <c r="CK75" i="51"/>
  <c r="H18" i="51"/>
  <c r="AY18" i="51" s="1"/>
  <c r="AY25" i="51"/>
  <c r="K18" i="51"/>
  <c r="BB18" i="51" s="1"/>
  <c r="BB25" i="51"/>
  <c r="W82" i="67"/>
  <c r="AM130" i="50"/>
  <c r="BY130" i="50" s="1"/>
  <c r="BX130" i="50"/>
  <c r="N30" i="51"/>
  <c r="BE34" i="51"/>
  <c r="R30" i="51"/>
  <c r="BI34" i="51"/>
  <c r="AM15" i="50"/>
  <c r="BY15" i="50" s="1"/>
  <c r="BX15" i="50"/>
  <c r="BT70" i="50"/>
  <c r="AH69" i="50"/>
  <c r="BT69" i="50" s="1"/>
  <c r="AI70" i="50"/>
  <c r="Q30" i="51"/>
  <c r="BH34" i="51"/>
  <c r="AI71" i="50"/>
  <c r="BT71" i="50"/>
  <c r="Y79" i="51"/>
  <c r="BP79" i="51" s="1"/>
  <c r="BP83" i="51"/>
  <c r="BX38" i="50"/>
  <c r="AL35" i="50"/>
  <c r="AI60" i="53"/>
  <c r="BX29" i="60"/>
  <c r="AS60" i="53"/>
  <c r="CU60" i="53" s="1"/>
  <c r="CF29" i="60"/>
  <c r="AU56" i="60"/>
  <c r="CM56" i="60"/>
  <c r="AU61" i="60"/>
  <c r="CM61" i="60"/>
  <c r="AJ60" i="53"/>
  <c r="CM60" i="53" s="1"/>
  <c r="BY29" i="60"/>
  <c r="AT60" i="53"/>
  <c r="CV60" i="53" s="1"/>
  <c r="CG29" i="60"/>
  <c r="AR74" i="51"/>
  <c r="CI75" i="51"/>
  <c r="H30" i="51"/>
  <c r="AY30" i="51" s="1"/>
  <c r="AY34" i="51"/>
  <c r="G18" i="51"/>
  <c r="AX18" i="51" s="1"/>
  <c r="AX25" i="51"/>
  <c r="AP57" i="73"/>
  <c r="F30" i="51"/>
  <c r="AW30" i="51" s="1"/>
  <c r="AW34" i="51"/>
  <c r="BV38" i="50"/>
  <c r="AJ35" i="50"/>
  <c r="AM117" i="50"/>
  <c r="BY117" i="50" s="1"/>
  <c r="BX117" i="50"/>
  <c r="BV157" i="50"/>
  <c r="AK157" i="50"/>
  <c r="AP18" i="51"/>
  <c r="CG18" i="51" s="1"/>
  <c r="CG25" i="51"/>
  <c r="AI72" i="50"/>
  <c r="BT72" i="50"/>
  <c r="AO74" i="51"/>
  <c r="CF75" i="51"/>
  <c r="AA60" i="53"/>
  <c r="AJ60" i="73" s="1"/>
  <c r="BY60" i="73" s="1"/>
  <c r="BR29" i="60"/>
  <c r="AK60" i="53"/>
  <c r="CN60" i="53" s="1"/>
  <c r="BZ29" i="60"/>
  <c r="AU60" i="53"/>
  <c r="CW60" i="53" s="1"/>
  <c r="CH29" i="60"/>
  <c r="AS74" i="51"/>
  <c r="CJ75" i="51"/>
  <c r="I30" i="51"/>
  <c r="AZ30" i="51" s="1"/>
  <c r="AZ34" i="51"/>
  <c r="G30" i="51"/>
  <c r="AX30" i="51" s="1"/>
  <c r="AX34" i="51"/>
  <c r="I18" i="51"/>
  <c r="AZ18" i="51" s="1"/>
  <c r="AZ25" i="51"/>
  <c r="AL125" i="50"/>
  <c r="BW125" i="50"/>
  <c r="T79" i="51"/>
  <c r="BK79" i="51" s="1"/>
  <c r="BK83" i="51"/>
  <c r="AI67" i="50"/>
  <c r="BT67" i="50"/>
  <c r="AR18" i="51"/>
  <c r="CI18" i="51" s="1"/>
  <c r="CI25" i="51"/>
  <c r="AD60" i="53"/>
  <c r="CH60" i="53" s="1"/>
  <c r="BU29" i="60"/>
  <c r="AM118" i="50"/>
  <c r="BY118" i="50" s="1"/>
  <c r="BX118" i="50"/>
  <c r="AB60" i="53"/>
  <c r="CF60" i="53" s="1"/>
  <c r="BS29" i="60"/>
  <c r="AL60" i="53"/>
  <c r="CO60" i="53" s="1"/>
  <c r="CA29" i="60"/>
  <c r="AU55" i="60"/>
  <c r="CM55" i="60"/>
  <c r="AU60" i="60"/>
  <c r="CM60" i="60"/>
  <c r="AQ74" i="51"/>
  <c r="CH75" i="51"/>
  <c r="N83" i="51"/>
  <c r="BE89" i="51"/>
  <c r="AH27" i="7"/>
  <c r="CE27" i="7" s="1"/>
  <c r="O30" i="51"/>
  <c r="BF34" i="51"/>
  <c r="BY38" i="50"/>
  <c r="AM35" i="50"/>
  <c r="S60" i="53"/>
  <c r="Y60" i="73" s="1"/>
  <c r="BS60" i="73" s="1"/>
  <c r="BL29" i="60"/>
  <c r="AC60" i="53"/>
  <c r="CG60" i="53" s="1"/>
  <c r="BT29" i="60"/>
  <c r="AM60" i="53"/>
  <c r="CP60" i="53" s="1"/>
  <c r="CB29" i="60"/>
  <c r="R83" i="51"/>
  <c r="BI89" i="51"/>
  <c r="BT40" i="50"/>
  <c r="AH65" i="50"/>
  <c r="AH38" i="50"/>
  <c r="M83" i="51"/>
  <c r="BD89" i="51"/>
  <c r="F74" i="51"/>
  <c r="AW75" i="51"/>
  <c r="AF20" i="50"/>
  <c r="BR20" i="50" s="1"/>
  <c r="BQ20" i="50"/>
  <c r="AM122" i="50"/>
  <c r="BY122" i="50" s="1"/>
  <c r="BX122" i="50"/>
  <c r="X79" i="51"/>
  <c r="BO79" i="51" s="1"/>
  <c r="BO83" i="51"/>
  <c r="AM22" i="50"/>
  <c r="BY22" i="50" s="1"/>
  <c r="BX22" i="50"/>
  <c r="AT18" i="51"/>
  <c r="CK18" i="51" s="1"/>
  <c r="CK25" i="51"/>
  <c r="AC178" i="50"/>
  <c r="BO178" i="50" s="1"/>
  <c r="BO158" i="50"/>
  <c r="AD158" i="50"/>
  <c r="BW38" i="50"/>
  <c r="AK35" i="50"/>
  <c r="AS18" i="51"/>
  <c r="CJ18" i="51" s="1"/>
  <c r="CJ25" i="51"/>
  <c r="Y81" i="67"/>
  <c r="AA81" i="67" s="1"/>
  <c r="CJ56" i="53"/>
  <c r="Y81" i="85" s="1"/>
  <c r="AA81" i="85" s="1"/>
  <c r="V81" i="67"/>
  <c r="CG56" i="53"/>
  <c r="V81" i="85" s="1"/>
  <c r="Y106" i="67"/>
  <c r="AA106" i="67" s="1"/>
  <c r="CQ57" i="53"/>
  <c r="Y106" i="85" s="1"/>
  <c r="AA106" i="85" s="1"/>
  <c r="X106" i="67"/>
  <c r="CP57" i="53"/>
  <c r="X106" i="85" s="1"/>
  <c r="Y82" i="67"/>
  <c r="AA82" i="67" s="1"/>
  <c r="CJ57" i="53"/>
  <c r="Y82" i="85" s="1"/>
  <c r="AA82" i="85" s="1"/>
  <c r="AS57" i="73"/>
  <c r="CD57" i="73" s="1"/>
  <c r="W106" i="67"/>
  <c r="CO57" i="53"/>
  <c r="W106" i="85" s="1"/>
  <c r="AH56" i="53"/>
  <c r="CF56" i="53"/>
  <c r="U81" i="85" s="1"/>
  <c r="Z81" i="85" s="1"/>
  <c r="X81" i="67"/>
  <c r="CI56" i="53"/>
  <c r="X81" i="85" s="1"/>
  <c r="V106" i="67"/>
  <c r="CN57" i="53"/>
  <c r="V106" i="85" s="1"/>
  <c r="X82" i="67"/>
  <c r="CI57" i="53"/>
  <c r="X82" i="85" s="1"/>
  <c r="AS56" i="73"/>
  <c r="CD56" i="73" s="1"/>
  <c r="AQ56" i="73"/>
  <c r="CC56" i="73" s="1"/>
  <c r="AN56" i="73"/>
  <c r="AX57" i="73"/>
  <c r="CG57" i="73" s="1"/>
  <c r="AM56" i="73"/>
  <c r="CA56" i="73" s="1"/>
  <c r="BD57" i="73"/>
  <c r="CJ57" i="73" s="1"/>
  <c r="AZ57" i="73"/>
  <c r="CH57" i="73" s="1"/>
  <c r="AR56" i="73"/>
  <c r="AK167" i="50"/>
  <c r="BV167" i="50"/>
  <c r="BA57" i="73"/>
  <c r="AF66" i="50"/>
  <c r="BR66" i="50" s="1"/>
  <c r="BQ66" i="50"/>
  <c r="AL154" i="50"/>
  <c r="BW154" i="50"/>
  <c r="E11" i="62"/>
  <c r="AV11" i="62" s="1"/>
  <c r="AV18" i="62"/>
  <c r="AL161" i="50"/>
  <c r="BW161" i="50"/>
  <c r="BN173" i="50"/>
  <c r="H70" i="62"/>
  <c r="AX70" i="62"/>
  <c r="AL164" i="50"/>
  <c r="BW164" i="50"/>
  <c r="AD165" i="50"/>
  <c r="BO165" i="50"/>
  <c r="AM170" i="50"/>
  <c r="BY170" i="50" s="1"/>
  <c r="BX170" i="50"/>
  <c r="C67" i="67"/>
  <c r="BN151" i="50"/>
  <c r="C67" i="85" s="1"/>
  <c r="AA282" i="50"/>
  <c r="BM282" i="50" s="1"/>
  <c r="E18" i="51"/>
  <c r="AV20" i="51"/>
  <c r="C56" i="49"/>
  <c r="I56" i="49" s="1"/>
  <c r="AL165" i="50"/>
  <c r="BW165" i="50"/>
  <c r="AF72" i="50"/>
  <c r="BR72" i="50" s="1"/>
  <c r="BQ72" i="50"/>
  <c r="AF67" i="50"/>
  <c r="BR67" i="50" s="1"/>
  <c r="BQ67" i="50"/>
  <c r="AE71" i="50"/>
  <c r="BP71" i="50"/>
  <c r="AL56" i="73"/>
  <c r="U81" i="67"/>
  <c r="Z81" i="67" s="1"/>
  <c r="AG56" i="53"/>
  <c r="CK56" i="53" s="1"/>
  <c r="AB60" i="50"/>
  <c r="BN60" i="50" s="1"/>
  <c r="C62" i="85" s="1"/>
  <c r="BN69" i="50"/>
  <c r="AK56" i="73"/>
  <c r="BZ56" i="73" s="1"/>
  <c r="AE164" i="50"/>
  <c r="BP164" i="50"/>
  <c r="AD184" i="50"/>
  <c r="BP184" i="50" s="1"/>
  <c r="AL158" i="50"/>
  <c r="BW158" i="50"/>
  <c r="AE167" i="50"/>
  <c r="BP167" i="50"/>
  <c r="AD156" i="50"/>
  <c r="BO156" i="50"/>
  <c r="AC176" i="50"/>
  <c r="BO176" i="50" s="1"/>
  <c r="AF170" i="50"/>
  <c r="BR170" i="50" s="1"/>
  <c r="BQ170" i="50"/>
  <c r="C91" i="67"/>
  <c r="BU151" i="50"/>
  <c r="C91" i="85" s="1"/>
  <c r="AY57" i="73"/>
  <c r="AT56" i="73"/>
  <c r="AM162" i="50"/>
  <c r="BY162" i="50" s="1"/>
  <c r="BX162" i="50"/>
  <c r="H78" i="62"/>
  <c r="AX78" i="62"/>
  <c r="AL156" i="50"/>
  <c r="BW156" i="50"/>
  <c r="AW14" i="60"/>
  <c r="AW29" i="60"/>
  <c r="AV14" i="60"/>
  <c r="AV29" i="60"/>
  <c r="U106" i="67"/>
  <c r="Z106" i="67" s="1"/>
  <c r="AP57" i="53"/>
  <c r="AO57" i="53"/>
  <c r="CR57" i="53" s="1"/>
  <c r="AP29" i="60"/>
  <c r="AQ29" i="60"/>
  <c r="AT29" i="60"/>
  <c r="AR29" i="60"/>
  <c r="AM29" i="60"/>
  <c r="AS29" i="60"/>
  <c r="N27" i="79"/>
  <c r="K27" i="79"/>
  <c r="H5" i="79"/>
  <c r="H25" i="60"/>
  <c r="D16" i="79"/>
  <c r="P25" i="60"/>
  <c r="F27" i="79"/>
  <c r="J27" i="79"/>
  <c r="D60" i="53"/>
  <c r="BK60" i="53" s="1"/>
  <c r="D44" i="79"/>
  <c r="D45" i="79"/>
  <c r="J23" i="79"/>
  <c r="J22" i="79"/>
  <c r="N60" i="53"/>
  <c r="BT60" i="53" s="1"/>
  <c r="L44" i="79"/>
  <c r="L45" i="79"/>
  <c r="I5" i="79"/>
  <c r="I25" i="60"/>
  <c r="C27" i="79"/>
  <c r="E60" i="53"/>
  <c r="BL60" i="53" s="1"/>
  <c r="E45" i="79"/>
  <c r="K23" i="79"/>
  <c r="K22" i="79"/>
  <c r="E44" i="79"/>
  <c r="O60" i="53"/>
  <c r="BU60" i="53" s="1"/>
  <c r="M44" i="79"/>
  <c r="M45" i="79"/>
  <c r="F5" i="79"/>
  <c r="F25" i="60"/>
  <c r="J5" i="79"/>
  <c r="J25" i="60"/>
  <c r="N5" i="79"/>
  <c r="N25" i="60"/>
  <c r="F16" i="79"/>
  <c r="R25" i="60"/>
  <c r="D27" i="79"/>
  <c r="H27" i="79"/>
  <c r="L27" i="79"/>
  <c r="F60" i="53"/>
  <c r="BM60" i="53" s="1"/>
  <c r="F45" i="79"/>
  <c r="F44" i="79"/>
  <c r="L22" i="79"/>
  <c r="L23" i="79"/>
  <c r="L60" i="53"/>
  <c r="BR60" i="53" s="1"/>
  <c r="J45" i="79"/>
  <c r="J44" i="79"/>
  <c r="N45" i="79"/>
  <c r="N44" i="79"/>
  <c r="D27" i="60"/>
  <c r="AV27" i="60" s="1"/>
  <c r="D5" i="79"/>
  <c r="D25" i="60"/>
  <c r="AV25" i="60" s="1"/>
  <c r="L5" i="79"/>
  <c r="L25" i="60"/>
  <c r="H16" i="79"/>
  <c r="T25" i="60"/>
  <c r="H60" i="53"/>
  <c r="BO60" i="53" s="1"/>
  <c r="H45" i="79"/>
  <c r="N23" i="79"/>
  <c r="N22" i="79"/>
  <c r="H44" i="79"/>
  <c r="E5" i="79"/>
  <c r="E25" i="60"/>
  <c r="M5" i="79"/>
  <c r="M25" i="60"/>
  <c r="Q25" i="60"/>
  <c r="E16" i="79"/>
  <c r="G27" i="79"/>
  <c r="K60" i="53"/>
  <c r="I45" i="79"/>
  <c r="I44" i="79"/>
  <c r="G27" i="60"/>
  <c r="G5" i="79"/>
  <c r="G25" i="60"/>
  <c r="K27" i="60"/>
  <c r="K5" i="79"/>
  <c r="K25" i="60"/>
  <c r="O27" i="60"/>
  <c r="C16" i="79"/>
  <c r="O25" i="60"/>
  <c r="G16" i="79"/>
  <c r="S25" i="60"/>
  <c r="E27" i="79"/>
  <c r="I27" i="79"/>
  <c r="M27" i="79"/>
  <c r="C60" i="53"/>
  <c r="C45" i="79"/>
  <c r="I23" i="79"/>
  <c r="C44" i="79"/>
  <c r="I22" i="79"/>
  <c r="G60" i="53"/>
  <c r="BN60" i="53" s="1"/>
  <c r="G44" i="79"/>
  <c r="M22" i="79"/>
  <c r="G45" i="79"/>
  <c r="M23" i="79"/>
  <c r="M60" i="53"/>
  <c r="BS60" i="53" s="1"/>
  <c r="K44" i="79"/>
  <c r="K45" i="79"/>
  <c r="F11" i="51"/>
  <c r="AW11" i="51" s="1"/>
  <c r="J74" i="51"/>
  <c r="I74" i="51"/>
  <c r="L27" i="60"/>
  <c r="H27" i="60"/>
  <c r="P27" i="60"/>
  <c r="E27" i="60"/>
  <c r="I27" i="60"/>
  <c r="M27" i="60"/>
  <c r="Q27" i="60"/>
  <c r="AG27" i="60"/>
  <c r="AK27" i="60"/>
  <c r="S27" i="60"/>
  <c r="AI27" i="60"/>
  <c r="T27" i="60"/>
  <c r="AJ27" i="60"/>
  <c r="F27" i="60"/>
  <c r="J27" i="60"/>
  <c r="N27" i="60"/>
  <c r="R27" i="60"/>
  <c r="AH27" i="60"/>
  <c r="AL27" i="60"/>
  <c r="H83" i="51"/>
  <c r="C50" i="60"/>
  <c r="AO60" i="73"/>
  <c r="CB60" i="73" s="1"/>
  <c r="AW57" i="73"/>
  <c r="AV57" i="73"/>
  <c r="CF57" i="73" s="1"/>
  <c r="H74" i="51"/>
  <c r="Q62" i="60"/>
  <c r="U60" i="53"/>
  <c r="BZ60" i="53" s="1"/>
  <c r="P60" i="53"/>
  <c r="BV60" i="53" s="1"/>
  <c r="R62" i="60"/>
  <c r="V60" i="53"/>
  <c r="CA60" i="53" s="1"/>
  <c r="AL63" i="60"/>
  <c r="AV60" i="53"/>
  <c r="CX60" i="53" s="1"/>
  <c r="S62" i="60"/>
  <c r="W60" i="53"/>
  <c r="CB60" i="53" s="1"/>
  <c r="P62" i="60"/>
  <c r="T60" i="53"/>
  <c r="BY60" i="53" s="1"/>
  <c r="T62" i="60"/>
  <c r="X60" i="53"/>
  <c r="CC60" i="53" s="1"/>
  <c r="AL50" i="60"/>
  <c r="CI50" i="60" s="1"/>
  <c r="F63" i="60"/>
  <c r="F62" i="60"/>
  <c r="J63" i="60"/>
  <c r="J62" i="60"/>
  <c r="N63" i="60"/>
  <c r="N62" i="60"/>
  <c r="R63" i="60"/>
  <c r="V63" i="60"/>
  <c r="V62" i="60"/>
  <c r="Z63" i="60"/>
  <c r="Z62" i="60"/>
  <c r="AD63" i="60"/>
  <c r="AD62" i="60"/>
  <c r="AK63" i="60"/>
  <c r="AK62" i="60"/>
  <c r="C63" i="60"/>
  <c r="C62" i="60"/>
  <c r="G63" i="60"/>
  <c r="G62" i="60"/>
  <c r="K63" i="60"/>
  <c r="K62" i="60"/>
  <c r="O63" i="60"/>
  <c r="O62" i="60"/>
  <c r="S63" i="60"/>
  <c r="W63" i="60"/>
  <c r="W62" i="60"/>
  <c r="AA63" i="60"/>
  <c r="AA62" i="60"/>
  <c r="AE63" i="60"/>
  <c r="AE62" i="60"/>
  <c r="AH63" i="60"/>
  <c r="AH62" i="60"/>
  <c r="AL62" i="60"/>
  <c r="D62" i="60"/>
  <c r="D63" i="60"/>
  <c r="H62" i="60"/>
  <c r="H63" i="60"/>
  <c r="L62" i="60"/>
  <c r="L63" i="60"/>
  <c r="P63" i="60"/>
  <c r="T63" i="60"/>
  <c r="X62" i="60"/>
  <c r="X63" i="60"/>
  <c r="AB62" i="60"/>
  <c r="AB63" i="60"/>
  <c r="AF62" i="60"/>
  <c r="AF63" i="60"/>
  <c r="AI62" i="60"/>
  <c r="AI63" i="60"/>
  <c r="E63" i="60"/>
  <c r="E62" i="60"/>
  <c r="I63" i="60"/>
  <c r="I62" i="60"/>
  <c r="M63" i="60"/>
  <c r="M62" i="60"/>
  <c r="Q63" i="60"/>
  <c r="U63" i="60"/>
  <c r="U62" i="60"/>
  <c r="Y63" i="60"/>
  <c r="Y62" i="60"/>
  <c r="AC63" i="60"/>
  <c r="AC62" i="60"/>
  <c r="AG63" i="60"/>
  <c r="AG62" i="60"/>
  <c r="AJ63" i="60"/>
  <c r="AJ62" i="60"/>
  <c r="AP54" i="60"/>
  <c r="AT53" i="60"/>
  <c r="CQ53" i="60" s="1"/>
  <c r="D50" i="60"/>
  <c r="H50" i="60"/>
  <c r="K50" i="60"/>
  <c r="O50" i="60"/>
  <c r="R50" i="60"/>
  <c r="Y50" i="60"/>
  <c r="AB50" i="60"/>
  <c r="AF50" i="60"/>
  <c r="F50" i="60"/>
  <c r="M50" i="60"/>
  <c r="P50" i="60"/>
  <c r="T50" i="60"/>
  <c r="W50" i="60"/>
  <c r="AA50" i="60"/>
  <c r="AD50" i="60"/>
  <c r="G50" i="60"/>
  <c r="J50" i="60"/>
  <c r="N50" i="60"/>
  <c r="Q50" i="60"/>
  <c r="U50" i="60"/>
  <c r="X50" i="60"/>
  <c r="AE50" i="60"/>
  <c r="AH50" i="60"/>
  <c r="CE50" i="60" s="1"/>
  <c r="AI50" i="60"/>
  <c r="CF50" i="60" s="1"/>
  <c r="E50" i="60"/>
  <c r="I50" i="60"/>
  <c r="L50" i="60"/>
  <c r="S50" i="60"/>
  <c r="V50" i="60"/>
  <c r="Z50" i="60"/>
  <c r="AC50" i="60"/>
  <c r="AG50" i="60"/>
  <c r="CD50" i="60" s="1"/>
  <c r="AJ50" i="60"/>
  <c r="CG50" i="60" s="1"/>
  <c r="AK50" i="60"/>
  <c r="CH50" i="60" s="1"/>
  <c r="E114" i="1"/>
  <c r="E38" i="2" s="1"/>
  <c r="H114" i="1"/>
  <c r="H38" i="2" s="1"/>
  <c r="I113" i="1"/>
  <c r="I37" i="2" s="1"/>
  <c r="AQ14" i="60"/>
  <c r="G83" i="51"/>
  <c r="I83" i="51"/>
  <c r="K74" i="51"/>
  <c r="J83" i="51"/>
  <c r="K83" i="51"/>
  <c r="E113" i="1"/>
  <c r="E37" i="2" s="1"/>
  <c r="G113" i="1"/>
  <c r="G37" i="2" s="1"/>
  <c r="AI59" i="53"/>
  <c r="CL59" i="53" s="1"/>
  <c r="T108" i="85" s="1"/>
  <c r="AS14" i="60"/>
  <c r="H101" i="62"/>
  <c r="AY101" i="62" s="1"/>
  <c r="G99" i="62"/>
  <c r="AX99" i="62" s="1"/>
  <c r="F60" i="62"/>
  <c r="AW60" i="62" s="1"/>
  <c r="H69" i="62"/>
  <c r="AY69" i="62" s="1"/>
  <c r="G67" i="62"/>
  <c r="AX67" i="62" s="1"/>
  <c r="AK153" i="50"/>
  <c r="BW153" i="50" s="1"/>
  <c r="AJ151" i="50"/>
  <c r="AE127" i="50"/>
  <c r="BQ127" i="50" s="1"/>
  <c r="AD187" i="50"/>
  <c r="BP187" i="50" s="1"/>
  <c r="AD111" i="50"/>
  <c r="AF130" i="50"/>
  <c r="BR130" i="50" s="1"/>
  <c r="AE190" i="50"/>
  <c r="BQ190" i="50" s="1"/>
  <c r="AF116" i="50"/>
  <c r="BR116" i="50" s="1"/>
  <c r="AE65" i="50"/>
  <c r="BQ65" i="50" s="1"/>
  <c r="AD63" i="50"/>
  <c r="BP63" i="50" s="1"/>
  <c r="AF113" i="50"/>
  <c r="BR113" i="50" s="1"/>
  <c r="AE154" i="50"/>
  <c r="BQ154" i="50" s="1"/>
  <c r="AD174" i="50"/>
  <c r="BP174" i="50" s="1"/>
  <c r="AE161" i="50"/>
  <c r="BQ161" i="50" s="1"/>
  <c r="AD181" i="50"/>
  <c r="BP181" i="50" s="1"/>
  <c r="AD70" i="50"/>
  <c r="BP70" i="50" s="1"/>
  <c r="AC69" i="50"/>
  <c r="AD153" i="50"/>
  <c r="BP153" i="50" s="1"/>
  <c r="AC173" i="50"/>
  <c r="AE125" i="50"/>
  <c r="BQ125" i="50" s="1"/>
  <c r="G114" i="1"/>
  <c r="G38" i="2" s="1"/>
  <c r="H113" i="1"/>
  <c r="I114" i="1"/>
  <c r="F114" i="1"/>
  <c r="J114" i="1"/>
  <c r="J38" i="2" s="1"/>
  <c r="AP14" i="60"/>
  <c r="AU14" i="60" s="1"/>
  <c r="AT14" i="60"/>
  <c r="AR14" i="60"/>
  <c r="F113" i="1"/>
  <c r="F37" i="2" s="1"/>
  <c r="AC32" i="83" s="1"/>
  <c r="J113" i="1"/>
  <c r="J37" i="2" s="1"/>
  <c r="AP9" i="60"/>
  <c r="CM9" i="60" s="1"/>
  <c r="V9" i="60"/>
  <c r="AB9" i="60" s="1"/>
  <c r="AR9" i="60"/>
  <c r="CO9" i="60" s="1"/>
  <c r="X9" i="60"/>
  <c r="AD9" i="60" s="1"/>
  <c r="AM9" i="60"/>
  <c r="CJ9" i="60" s="1"/>
  <c r="U9" i="60"/>
  <c r="AA9" i="60" s="1"/>
  <c r="AQ9" i="60"/>
  <c r="CN9" i="60" s="1"/>
  <c r="W9" i="60"/>
  <c r="AC9" i="60" s="1"/>
  <c r="Y9" i="60"/>
  <c r="AE9" i="60" s="1"/>
  <c r="AS9" i="60"/>
  <c r="CP9" i="60" s="1"/>
  <c r="AT9" i="60"/>
  <c r="CQ9" i="60" s="1"/>
  <c r="Z9" i="60"/>
  <c r="AF9" i="60" s="1"/>
  <c r="AM60" i="73" l="1"/>
  <c r="CA60" i="73" s="1"/>
  <c r="BC60" i="73"/>
  <c r="T60" i="51"/>
  <c r="BK60" i="51" s="1"/>
  <c r="AB59" i="53"/>
  <c r="CF59" i="53" s="1"/>
  <c r="U84" i="85" s="1"/>
  <c r="AC59" i="53"/>
  <c r="AL59" i="53"/>
  <c r="AA59" i="53"/>
  <c r="CE59" i="53" s="1"/>
  <c r="T84" i="85" s="1"/>
  <c r="Y60" i="51"/>
  <c r="BP60" i="51" s="1"/>
  <c r="I11" i="51"/>
  <c r="AZ11" i="51" s="1"/>
  <c r="AT24" i="60"/>
  <c r="AP24" i="60"/>
  <c r="AR24" i="60"/>
  <c r="AT60" i="73"/>
  <c r="AS60" i="73"/>
  <c r="CD60" i="73" s="1"/>
  <c r="AR60" i="73"/>
  <c r="AQ60" i="73"/>
  <c r="CC60" i="73" s="1"/>
  <c r="G67" i="51"/>
  <c r="AX67" i="51" s="1"/>
  <c r="AE59" i="53"/>
  <c r="C62" i="67"/>
  <c r="AB171" i="50"/>
  <c r="P44" i="84"/>
  <c r="BX60" i="53"/>
  <c r="AS24" i="60"/>
  <c r="P23" i="79"/>
  <c r="O45" i="79"/>
  <c r="O44" i="84"/>
  <c r="O45" i="84"/>
  <c r="O18" i="84"/>
  <c r="O17" i="84"/>
  <c r="BO157" i="50"/>
  <c r="AD157" i="50"/>
  <c r="AD151" i="50" s="1"/>
  <c r="AC177" i="50"/>
  <c r="BO177" i="50" s="1"/>
  <c r="AC151" i="50"/>
  <c r="BO151" i="50" s="1"/>
  <c r="D67" i="85" s="1"/>
  <c r="C55" i="49"/>
  <c r="AL30" i="67" s="1"/>
  <c r="X60" i="51"/>
  <c r="BO60" i="51" s="1"/>
  <c r="U60" i="51"/>
  <c r="BL60" i="51" s="1"/>
  <c r="AL60" i="73"/>
  <c r="E38" i="84"/>
  <c r="F28" i="84"/>
  <c r="AP60" i="73"/>
  <c r="AK60" i="73"/>
  <c r="BZ60" i="73" s="1"/>
  <c r="AD59" i="53"/>
  <c r="AB282" i="50"/>
  <c r="BN282" i="50" s="1"/>
  <c r="AK59" i="53"/>
  <c r="AY59" i="73" s="1"/>
  <c r="J11" i="51"/>
  <c r="BA11" i="51" s="1"/>
  <c r="AN60" i="73"/>
  <c r="P22" i="84"/>
  <c r="P45" i="84"/>
  <c r="AD182" i="50"/>
  <c r="BP182" i="50" s="1"/>
  <c r="BP162" i="50"/>
  <c r="AE162" i="50"/>
  <c r="CJ29" i="60"/>
  <c r="AM62" i="60"/>
  <c r="CO29" i="60"/>
  <c r="AR62" i="60"/>
  <c r="CE60" i="53"/>
  <c r="I19" i="84"/>
  <c r="F38" i="84"/>
  <c r="G39" i="84" s="1"/>
  <c r="CQ29" i="60"/>
  <c r="AT62" i="60"/>
  <c r="AQ24" i="60"/>
  <c r="AQ27" i="60" s="1"/>
  <c r="CN29" i="60"/>
  <c r="AQ62" i="60"/>
  <c r="CM29" i="60"/>
  <c r="AP62" i="60"/>
  <c r="H38" i="84"/>
  <c r="H39" i="84" s="1"/>
  <c r="CP29" i="60"/>
  <c r="AS62" i="60"/>
  <c r="N33" i="79"/>
  <c r="N33" i="84"/>
  <c r="H22" i="79"/>
  <c r="H22" i="84"/>
  <c r="N40" i="84"/>
  <c r="N39" i="84"/>
  <c r="P38" i="84"/>
  <c r="AE33" i="78"/>
  <c r="AE33" i="83"/>
  <c r="E23" i="79"/>
  <c r="E23" i="84"/>
  <c r="D23" i="79"/>
  <c r="D23" i="84"/>
  <c r="G23" i="79"/>
  <c r="G23" i="84"/>
  <c r="C12" i="79"/>
  <c r="C12" i="84"/>
  <c r="D34" i="79"/>
  <c r="D34" i="84"/>
  <c r="K18" i="84"/>
  <c r="K17" i="84"/>
  <c r="N41" i="84"/>
  <c r="M41" i="84"/>
  <c r="Z84" i="85"/>
  <c r="M33" i="79"/>
  <c r="M33" i="84"/>
  <c r="V60" i="51"/>
  <c r="BM60" i="51" s="1"/>
  <c r="AB33" i="78"/>
  <c r="AB33" i="83"/>
  <c r="M11" i="79"/>
  <c r="M11" i="84"/>
  <c r="N34" i="79"/>
  <c r="N34" i="84"/>
  <c r="L12" i="79"/>
  <c r="L12" i="84"/>
  <c r="C22" i="79"/>
  <c r="C22" i="84"/>
  <c r="F23" i="79"/>
  <c r="F23" i="84"/>
  <c r="O27" i="79"/>
  <c r="F29" i="84"/>
  <c r="C38" i="84"/>
  <c r="C41" i="84" s="1"/>
  <c r="I41" i="84"/>
  <c r="K41" i="84"/>
  <c r="E29" i="84"/>
  <c r="E28" i="84"/>
  <c r="L11" i="79"/>
  <c r="L11" i="84"/>
  <c r="N11" i="79"/>
  <c r="N11" i="84"/>
  <c r="J28" i="84"/>
  <c r="J29" i="84"/>
  <c r="AD33" i="78"/>
  <c r="AD33" i="83"/>
  <c r="AB32" i="78"/>
  <c r="AB32" i="83"/>
  <c r="K34" i="79"/>
  <c r="K34" i="84"/>
  <c r="I11" i="79"/>
  <c r="I11" i="84"/>
  <c r="J34" i="79"/>
  <c r="J34" i="84"/>
  <c r="H12" i="79"/>
  <c r="H12" i="84"/>
  <c r="M34" i="79"/>
  <c r="M34" i="84"/>
  <c r="K11" i="79"/>
  <c r="K11" i="84"/>
  <c r="L33" i="79"/>
  <c r="L33" i="84"/>
  <c r="N12" i="79"/>
  <c r="N12" i="84"/>
  <c r="P23" i="84"/>
  <c r="D38" i="84"/>
  <c r="O38" i="84" s="1"/>
  <c r="L29" i="84"/>
  <c r="L28" i="84"/>
  <c r="O7" i="84"/>
  <c r="C23" i="79"/>
  <c r="C23" i="84"/>
  <c r="L39" i="84"/>
  <c r="K39" i="84"/>
  <c r="K40" i="84"/>
  <c r="J41" i="84"/>
  <c r="J39" i="84"/>
  <c r="J40" i="84"/>
  <c r="F40" i="84"/>
  <c r="G33" i="79"/>
  <c r="G33" i="84"/>
  <c r="I12" i="79"/>
  <c r="I12" i="84"/>
  <c r="J33" i="79"/>
  <c r="J33" i="84"/>
  <c r="H11" i="79"/>
  <c r="H11" i="84"/>
  <c r="I33" i="79"/>
  <c r="I33" i="84"/>
  <c r="K12" i="79"/>
  <c r="K12" i="84"/>
  <c r="L34" i="79"/>
  <c r="L34" i="84"/>
  <c r="J11" i="79"/>
  <c r="J11" i="84"/>
  <c r="D22" i="79"/>
  <c r="D22" i="84"/>
  <c r="BA60" i="73"/>
  <c r="G41" i="84"/>
  <c r="M19" i="84"/>
  <c r="M18" i="84"/>
  <c r="M17" i="84"/>
  <c r="N17" i="84"/>
  <c r="N18" i="84"/>
  <c r="P16" i="84"/>
  <c r="M12" i="79"/>
  <c r="M12" i="84"/>
  <c r="K11" i="51"/>
  <c r="BB11" i="51" s="1"/>
  <c r="G34" i="79"/>
  <c r="G34" i="84"/>
  <c r="E11" i="79"/>
  <c r="E11" i="84"/>
  <c r="F34" i="79"/>
  <c r="F34" i="84"/>
  <c r="D12" i="79"/>
  <c r="D12" i="84"/>
  <c r="I34" i="79"/>
  <c r="I34" i="84"/>
  <c r="G11" i="79"/>
  <c r="G11" i="84"/>
  <c r="H33" i="79"/>
  <c r="H33" i="84"/>
  <c r="J12" i="79"/>
  <c r="J12" i="84"/>
  <c r="E22" i="79"/>
  <c r="E22" i="84"/>
  <c r="AV24" i="60"/>
  <c r="M39" i="84"/>
  <c r="M40" i="84"/>
  <c r="N19" i="84"/>
  <c r="H41" i="84"/>
  <c r="N29" i="84"/>
  <c r="L19" i="84"/>
  <c r="K19" i="84"/>
  <c r="E41" i="84"/>
  <c r="D29" i="84"/>
  <c r="D28" i="84"/>
  <c r="AG32" i="78"/>
  <c r="AG32" i="83"/>
  <c r="K33" i="79"/>
  <c r="K33" i="84"/>
  <c r="F22" i="79"/>
  <c r="F22" i="84"/>
  <c r="C33" i="79"/>
  <c r="C33" i="84"/>
  <c r="E12" i="79"/>
  <c r="E12" i="84"/>
  <c r="F33" i="79"/>
  <c r="F33" i="84"/>
  <c r="D11" i="79"/>
  <c r="D11" i="84"/>
  <c r="E33" i="79"/>
  <c r="E33" i="84"/>
  <c r="G12" i="79"/>
  <c r="G12" i="84"/>
  <c r="H34" i="79"/>
  <c r="H34" i="84"/>
  <c r="F11" i="79"/>
  <c r="F11" i="84"/>
  <c r="G22" i="79"/>
  <c r="G22" i="84"/>
  <c r="AH60" i="53"/>
  <c r="L41" i="84"/>
  <c r="L40" i="84"/>
  <c r="H28" i="84"/>
  <c r="H29" i="84"/>
  <c r="O27" i="84"/>
  <c r="G28" i="84"/>
  <c r="G29" i="84"/>
  <c r="J19" i="84"/>
  <c r="O6" i="84"/>
  <c r="J17" i="84"/>
  <c r="J18" i="84"/>
  <c r="AG33" i="78"/>
  <c r="AG33" i="83"/>
  <c r="AD32" i="78"/>
  <c r="AD32" i="83"/>
  <c r="AF32" i="78"/>
  <c r="AF32" i="83"/>
  <c r="C34" i="79"/>
  <c r="C34" i="84"/>
  <c r="H23" i="79"/>
  <c r="H23" i="84"/>
  <c r="E34" i="79"/>
  <c r="E34" i="84"/>
  <c r="C11" i="79"/>
  <c r="C11" i="84"/>
  <c r="D33" i="79"/>
  <c r="D33" i="84"/>
  <c r="F12" i="79"/>
  <c r="F12" i="84"/>
  <c r="K28" i="84"/>
  <c r="K29" i="84"/>
  <c r="P27" i="84"/>
  <c r="N28" i="84"/>
  <c r="M28" i="84"/>
  <c r="M29" i="84"/>
  <c r="P6" i="84"/>
  <c r="L18" i="84"/>
  <c r="L17" i="84"/>
  <c r="AM59" i="53"/>
  <c r="W60" i="51"/>
  <c r="BN60" i="51" s="1"/>
  <c r="BB60" i="73"/>
  <c r="CI60" i="73" s="1"/>
  <c r="CL60" i="53"/>
  <c r="BD60" i="73"/>
  <c r="CJ60" i="73" s="1"/>
  <c r="AP60" i="53"/>
  <c r="AU60" i="73"/>
  <c r="CE60" i="73" s="1"/>
  <c r="BE60" i="73"/>
  <c r="AO60" i="53"/>
  <c r="CR60" i="53" s="1"/>
  <c r="AV60" i="73"/>
  <c r="CF60" i="73" s="1"/>
  <c r="AY60" i="73"/>
  <c r="G11" i="51"/>
  <c r="AX11" i="51" s="1"/>
  <c r="AW60" i="73"/>
  <c r="AX60" i="73"/>
  <c r="CG60" i="73" s="1"/>
  <c r="AJ59" i="53"/>
  <c r="CM59" i="53" s="1"/>
  <c r="U108" i="85" s="1"/>
  <c r="Z108" i="85" s="1"/>
  <c r="H11" i="51"/>
  <c r="AY11" i="51" s="1"/>
  <c r="AZ60" i="73"/>
  <c r="CH60" i="73" s="1"/>
  <c r="L8" i="79"/>
  <c r="BI50" i="60"/>
  <c r="L8" i="84" s="1"/>
  <c r="E19" i="79"/>
  <c r="BN50" i="60"/>
  <c r="E19" i="84" s="1"/>
  <c r="D19" i="79"/>
  <c r="BM50" i="60"/>
  <c r="D19" i="84" s="1"/>
  <c r="K8" i="79"/>
  <c r="BH50" i="60"/>
  <c r="K8" i="84" s="1"/>
  <c r="BY35" i="50"/>
  <c r="G85" i="85" s="1"/>
  <c r="AP26" i="7"/>
  <c r="AN56" i="53"/>
  <c r="G85" i="67"/>
  <c r="AM281" i="50"/>
  <c r="BY281" i="50" s="1"/>
  <c r="AQ67" i="51"/>
  <c r="CH67" i="51" s="1"/>
  <c r="CH74" i="51"/>
  <c r="BU67" i="50"/>
  <c r="AJ67" i="50"/>
  <c r="BQ117" i="50"/>
  <c r="AF117" i="50"/>
  <c r="BR117" i="50" s="1"/>
  <c r="P79" i="51"/>
  <c r="BG83" i="51"/>
  <c r="O79" i="51"/>
  <c r="BF83" i="51"/>
  <c r="H19" i="79"/>
  <c r="BQ50" i="60"/>
  <c r="H19" i="84" s="1"/>
  <c r="J79" i="51"/>
  <c r="BA79" i="51" s="1"/>
  <c r="BA83" i="51"/>
  <c r="K67" i="51"/>
  <c r="BB67" i="51" s="1"/>
  <c r="BB74" i="51"/>
  <c r="I8" i="79"/>
  <c r="BF50" i="60"/>
  <c r="I8" i="84" s="1"/>
  <c r="N8" i="79"/>
  <c r="BK50" i="60"/>
  <c r="N8" i="84" s="1"/>
  <c r="M8" i="79"/>
  <c r="BJ50" i="60"/>
  <c r="M8" i="84" s="1"/>
  <c r="H8" i="79"/>
  <c r="BE50" i="60"/>
  <c r="H8" i="84" s="1"/>
  <c r="AG60" i="53"/>
  <c r="CK60" i="53" s="1"/>
  <c r="R79" i="51"/>
  <c r="BI83" i="51"/>
  <c r="AL157" i="50"/>
  <c r="BW157" i="50"/>
  <c r="AJ71" i="50"/>
  <c r="BU71" i="50"/>
  <c r="C19" i="79"/>
  <c r="BL50" i="60"/>
  <c r="C19" i="84" s="1"/>
  <c r="H67" i="51"/>
  <c r="AY67" i="51" s="1"/>
  <c r="AY74" i="51"/>
  <c r="AR67" i="51"/>
  <c r="CI67" i="51" s="1"/>
  <c r="CI74" i="51"/>
  <c r="BG30" i="51"/>
  <c r="P11" i="51"/>
  <c r="BG11" i="51" s="1"/>
  <c r="I79" i="51"/>
  <c r="AZ79" i="51" s="1"/>
  <c r="AZ83" i="51"/>
  <c r="E8" i="79"/>
  <c r="BB50" i="60"/>
  <c r="E8" i="84" s="1"/>
  <c r="J8" i="79"/>
  <c r="BG50" i="60"/>
  <c r="J8" i="84" s="1"/>
  <c r="F8" i="79"/>
  <c r="BC50" i="60"/>
  <c r="F8" i="84" s="1"/>
  <c r="D8" i="79"/>
  <c r="BA50" i="60"/>
  <c r="D8" i="84" s="1"/>
  <c r="BW35" i="50"/>
  <c r="E85" i="85" s="1"/>
  <c r="AL56" i="53"/>
  <c r="AK281" i="50"/>
  <c r="BW281" i="50" s="1"/>
  <c r="AN26" i="7"/>
  <c r="E85" i="67"/>
  <c r="F67" i="51"/>
  <c r="AW74" i="51"/>
  <c r="BI30" i="51"/>
  <c r="R11" i="51"/>
  <c r="BI11" i="51" s="1"/>
  <c r="AM116" i="50"/>
  <c r="BY116" i="50" s="1"/>
  <c r="BX116" i="50"/>
  <c r="F79" i="51"/>
  <c r="AW79" i="51" s="1"/>
  <c r="AW83" i="51"/>
  <c r="G79" i="51"/>
  <c r="AX79" i="51" s="1"/>
  <c r="AX83" i="51"/>
  <c r="G8" i="79"/>
  <c r="BD50" i="60"/>
  <c r="G8" i="84" s="1"/>
  <c r="N30" i="79"/>
  <c r="CC50" i="60"/>
  <c r="N30" i="84" s="1"/>
  <c r="C8" i="79"/>
  <c r="AZ50" i="60"/>
  <c r="C8" i="84" s="1"/>
  <c r="I67" i="51"/>
  <c r="AZ67" i="51" s="1"/>
  <c r="AZ74" i="51"/>
  <c r="BF30" i="51"/>
  <c r="O11" i="51"/>
  <c r="BF11" i="51" s="1"/>
  <c r="BH30" i="51"/>
  <c r="Q11" i="51"/>
  <c r="BH11" i="51" s="1"/>
  <c r="G19" i="79"/>
  <c r="BP50" i="60"/>
  <c r="G19" i="84" s="1"/>
  <c r="E65" i="67"/>
  <c r="BP111" i="50"/>
  <c r="E65" i="85" s="1"/>
  <c r="K30" i="79"/>
  <c r="BZ50" i="60"/>
  <c r="K30" i="84" s="1"/>
  <c r="L30" i="79"/>
  <c r="CA50" i="60"/>
  <c r="L30" i="84" s="1"/>
  <c r="J30" i="79"/>
  <c r="BY50" i="60"/>
  <c r="J30" i="84" s="1"/>
  <c r="AU54" i="60"/>
  <c r="CM54" i="60"/>
  <c r="H79" i="51"/>
  <c r="AY79" i="51" s="1"/>
  <c r="AY83" i="51"/>
  <c r="J67" i="51"/>
  <c r="BA67" i="51" s="1"/>
  <c r="BA74" i="51"/>
  <c r="AE158" i="50"/>
  <c r="BP158" i="50"/>
  <c r="AD178" i="50"/>
  <c r="BP178" i="50" s="1"/>
  <c r="M79" i="51"/>
  <c r="BD83" i="51"/>
  <c r="AM125" i="50"/>
  <c r="BY125" i="50" s="1"/>
  <c r="BX125" i="50"/>
  <c r="AS67" i="51"/>
  <c r="CJ67" i="51" s="1"/>
  <c r="CJ74" i="51"/>
  <c r="AO67" i="51"/>
  <c r="CF67" i="51" s="1"/>
  <c r="CF74" i="51"/>
  <c r="F85" i="67"/>
  <c r="AM56" i="53"/>
  <c r="BX35" i="50"/>
  <c r="F85" i="85" s="1"/>
  <c r="AO26" i="7"/>
  <c r="AL281" i="50"/>
  <c r="BX281" i="50" s="1"/>
  <c r="BU70" i="50"/>
  <c r="AJ70" i="50"/>
  <c r="AI69" i="50"/>
  <c r="BU69" i="50" s="1"/>
  <c r="BE30" i="51"/>
  <c r="N11" i="51"/>
  <c r="BE11" i="51" s="1"/>
  <c r="AM127" i="50"/>
  <c r="BY127" i="50" s="1"/>
  <c r="BX127" i="50"/>
  <c r="AP67" i="51"/>
  <c r="CG67" i="51" s="1"/>
  <c r="CG74" i="51"/>
  <c r="H30" i="79"/>
  <c r="BW50" i="60"/>
  <c r="H30" i="84" s="1"/>
  <c r="M30" i="79"/>
  <c r="CB50" i="60"/>
  <c r="M30" i="84" s="1"/>
  <c r="I30" i="79"/>
  <c r="BX50" i="60"/>
  <c r="I30" i="84" s="1"/>
  <c r="G30" i="79"/>
  <c r="BV50" i="60"/>
  <c r="G30" i="84" s="1"/>
  <c r="BT38" i="50"/>
  <c r="AH35" i="50"/>
  <c r="BV35" i="50"/>
  <c r="D85" i="85" s="1"/>
  <c r="AK56" i="53"/>
  <c r="AM26" i="7"/>
  <c r="AJ281" i="50"/>
  <c r="BV281" i="50" s="1"/>
  <c r="D85" i="67"/>
  <c r="AT67" i="51"/>
  <c r="CK67" i="51" s="1"/>
  <c r="CK74" i="51"/>
  <c r="BD30" i="51"/>
  <c r="M11" i="51"/>
  <c r="BD11" i="51" s="1"/>
  <c r="C30" i="79"/>
  <c r="BR50" i="60"/>
  <c r="C30" i="84" s="1"/>
  <c r="K79" i="51"/>
  <c r="BB79" i="51" s="1"/>
  <c r="BB83" i="51"/>
  <c r="D30" i="79"/>
  <c r="BS50" i="60"/>
  <c r="D30" i="84" s="1"/>
  <c r="F30" i="79"/>
  <c r="BU50" i="60"/>
  <c r="F30" i="84" s="1"/>
  <c r="E30" i="79"/>
  <c r="E31" i="79" s="1"/>
  <c r="BT50" i="60"/>
  <c r="E30" i="84" s="1"/>
  <c r="F19" i="79"/>
  <c r="BO50" i="60"/>
  <c r="F19" i="84" s="1"/>
  <c r="BT65" i="50"/>
  <c r="AI65" i="50"/>
  <c r="AH63" i="50"/>
  <c r="N79" i="51"/>
  <c r="BE83" i="51"/>
  <c r="BU72" i="50"/>
  <c r="AJ72" i="50"/>
  <c r="AJ66" i="50"/>
  <c r="BU66" i="50"/>
  <c r="Q79" i="51"/>
  <c r="BH83" i="51"/>
  <c r="V84" i="67"/>
  <c r="CG59" i="53"/>
  <c r="V84" i="85" s="1"/>
  <c r="C60" i="73"/>
  <c r="BG60" i="73" s="1"/>
  <c r="BJ60" i="53"/>
  <c r="X84" i="67"/>
  <c r="CI59" i="53"/>
  <c r="X84" i="85" s="1"/>
  <c r="W84" i="67"/>
  <c r="CH59" i="53"/>
  <c r="W84" i="85" s="1"/>
  <c r="N60" i="73"/>
  <c r="BM60" i="73" s="1"/>
  <c r="BQ60" i="53"/>
  <c r="W108" i="67"/>
  <c r="CO59" i="53"/>
  <c r="W108" i="85" s="1"/>
  <c r="V108" i="67"/>
  <c r="CN59" i="53"/>
  <c r="V108" i="85" s="1"/>
  <c r="AF190" i="50"/>
  <c r="BR190" i="50" s="1"/>
  <c r="AL167" i="50"/>
  <c r="BW167" i="50"/>
  <c r="D56" i="49"/>
  <c r="AF164" i="50"/>
  <c r="BQ164" i="50"/>
  <c r="AE184" i="50"/>
  <c r="BQ184" i="50" s="1"/>
  <c r="BP156" i="50"/>
  <c r="AE156" i="50"/>
  <c r="AD176" i="50"/>
  <c r="BP176" i="50" s="1"/>
  <c r="AM165" i="50"/>
  <c r="BY165" i="50" s="1"/>
  <c r="BX165" i="50"/>
  <c r="C68" i="67"/>
  <c r="BN171" i="50"/>
  <c r="C68" i="85" s="1"/>
  <c r="AM161" i="50"/>
  <c r="BY161" i="50" s="1"/>
  <c r="BX161" i="50"/>
  <c r="AC60" i="50"/>
  <c r="BO60" i="50" s="1"/>
  <c r="D62" i="85" s="1"/>
  <c r="BO69" i="50"/>
  <c r="AM156" i="50"/>
  <c r="BY156" i="50" s="1"/>
  <c r="BX156" i="50"/>
  <c r="AF167" i="50"/>
  <c r="BR167" i="50" s="1"/>
  <c r="BQ167" i="50"/>
  <c r="AF71" i="50"/>
  <c r="BR71" i="50" s="1"/>
  <c r="BQ71" i="50"/>
  <c r="AE165" i="50"/>
  <c r="BP165" i="50"/>
  <c r="I78" i="62"/>
  <c r="AY78" i="62"/>
  <c r="E11" i="51"/>
  <c r="AV11" i="51" s="1"/>
  <c r="AV18" i="51"/>
  <c r="AD185" i="50"/>
  <c r="BP185" i="50" s="1"/>
  <c r="D91" i="67"/>
  <c r="BV151" i="50"/>
  <c r="D91" i="85" s="1"/>
  <c r="AM158" i="50"/>
  <c r="BY158" i="50" s="1"/>
  <c r="BX158" i="50"/>
  <c r="AM164" i="50"/>
  <c r="BY164" i="50" s="1"/>
  <c r="BX164" i="50"/>
  <c r="AM154" i="50"/>
  <c r="BY154" i="50" s="1"/>
  <c r="BX154" i="50"/>
  <c r="BO173" i="50"/>
  <c r="I70" i="62"/>
  <c r="AY70" i="62"/>
  <c r="P45" i="79"/>
  <c r="P27" i="79"/>
  <c r="AW27" i="60"/>
  <c r="AU29" i="60"/>
  <c r="P44" i="79"/>
  <c r="P5" i="79"/>
  <c r="U84" i="67"/>
  <c r="AH59" i="53"/>
  <c r="AG59" i="53"/>
  <c r="CK59" i="53" s="1"/>
  <c r="P22" i="79"/>
  <c r="O5" i="79"/>
  <c r="Z60" i="53"/>
  <c r="Y60" i="53"/>
  <c r="CD60" i="53" s="1"/>
  <c r="AW25" i="60"/>
  <c r="J60" i="53"/>
  <c r="I60" i="53"/>
  <c r="BP60" i="53" s="1"/>
  <c r="AU9" i="60"/>
  <c r="O16" i="79"/>
  <c r="O44" i="79"/>
  <c r="R60" i="53"/>
  <c r="Q60" i="53"/>
  <c r="BW60" i="53" s="1"/>
  <c r="R60" i="73"/>
  <c r="D28" i="79"/>
  <c r="C38" i="79"/>
  <c r="C41" i="79" s="1"/>
  <c r="AM25" i="60"/>
  <c r="Q60" i="73"/>
  <c r="BO60" i="73" s="1"/>
  <c r="V60" i="73"/>
  <c r="M60" i="73"/>
  <c r="K60" i="73"/>
  <c r="L60" i="73"/>
  <c r="BL60" i="73" s="1"/>
  <c r="G60" i="73"/>
  <c r="S60" i="73"/>
  <c r="BP60" i="73" s="1"/>
  <c r="D60" i="73"/>
  <c r="BH60" i="73" s="1"/>
  <c r="J60" i="73"/>
  <c r="BK60" i="73" s="1"/>
  <c r="U60" i="73"/>
  <c r="BQ60" i="73" s="1"/>
  <c r="H60" i="73"/>
  <c r="BJ60" i="73" s="1"/>
  <c r="F60" i="73"/>
  <c r="BI60" i="73" s="1"/>
  <c r="P60" i="73"/>
  <c r="T60" i="73"/>
  <c r="E60" i="73"/>
  <c r="I60" i="73"/>
  <c r="I16" i="79"/>
  <c r="I19" i="79" s="1"/>
  <c r="G29" i="79"/>
  <c r="G28" i="79"/>
  <c r="N6" i="79"/>
  <c r="N7" i="79"/>
  <c r="N38" i="79"/>
  <c r="L16" i="79"/>
  <c r="F38" i="79"/>
  <c r="F7" i="79"/>
  <c r="F6" i="79"/>
  <c r="J28" i="79"/>
  <c r="J29" i="79"/>
  <c r="K28" i="79"/>
  <c r="K29" i="79"/>
  <c r="O60" i="73"/>
  <c r="BN60" i="73" s="1"/>
  <c r="AS25" i="60"/>
  <c r="M7" i="79"/>
  <c r="M6" i="79"/>
  <c r="M38" i="79"/>
  <c r="L7" i="79"/>
  <c r="L6" i="79"/>
  <c r="L38" i="79"/>
  <c r="H29" i="79"/>
  <c r="H28" i="79"/>
  <c r="I38" i="79"/>
  <c r="I41" i="79" s="1"/>
  <c r="D17" i="79"/>
  <c r="D18" i="79"/>
  <c r="Q37" i="2"/>
  <c r="AC32" i="78"/>
  <c r="G17" i="79"/>
  <c r="G18" i="79"/>
  <c r="G6" i="79"/>
  <c r="G7" i="79"/>
  <c r="M16" i="79"/>
  <c r="G38" i="79"/>
  <c r="E18" i="79"/>
  <c r="E17" i="79"/>
  <c r="AQ25" i="60"/>
  <c r="AP25" i="60"/>
  <c r="F17" i="79"/>
  <c r="F18" i="79"/>
  <c r="J38" i="79"/>
  <c r="J6" i="79"/>
  <c r="J7" i="79"/>
  <c r="D29" i="79"/>
  <c r="F28" i="79"/>
  <c r="F29" i="79"/>
  <c r="AT25" i="60"/>
  <c r="N28" i="79"/>
  <c r="N29" i="79"/>
  <c r="M29" i="79"/>
  <c r="M28" i="79"/>
  <c r="E29" i="79"/>
  <c r="E28" i="79"/>
  <c r="K6" i="79"/>
  <c r="K7" i="79"/>
  <c r="K38" i="79"/>
  <c r="K16" i="79"/>
  <c r="E38" i="79"/>
  <c r="E6" i="79"/>
  <c r="E7" i="79"/>
  <c r="H17" i="79"/>
  <c r="H18" i="79"/>
  <c r="D7" i="79"/>
  <c r="J16" i="79"/>
  <c r="D38" i="79"/>
  <c r="D6" i="79"/>
  <c r="L29" i="79"/>
  <c r="L28" i="79"/>
  <c r="AR25" i="60"/>
  <c r="N16" i="79"/>
  <c r="H6" i="79"/>
  <c r="H38" i="79"/>
  <c r="H7" i="79"/>
  <c r="AU59" i="73"/>
  <c r="CE59" i="73" s="1"/>
  <c r="T108" i="67"/>
  <c r="AJ59" i="73"/>
  <c r="BY59" i="73" s="1"/>
  <c r="T84" i="67"/>
  <c r="R37" i="2"/>
  <c r="V38" i="2"/>
  <c r="U37" i="2"/>
  <c r="V37" i="2"/>
  <c r="S38" i="2"/>
  <c r="H37" i="2"/>
  <c r="AE32" i="83" s="1"/>
  <c r="F38" i="2"/>
  <c r="AC33" i="83" s="1"/>
  <c r="I38" i="2"/>
  <c r="AF33" i="83" s="1"/>
  <c r="D51" i="60"/>
  <c r="Z60" i="73"/>
  <c r="BT60" i="73" s="1"/>
  <c r="AA60" i="73"/>
  <c r="X60" i="73"/>
  <c r="W60" i="73"/>
  <c r="BR60" i="73" s="1"/>
  <c r="AZ59" i="73"/>
  <c r="CH59" i="73" s="1"/>
  <c r="BA59" i="73"/>
  <c r="AR59" i="73"/>
  <c r="AQ59" i="73"/>
  <c r="CC59" i="73" s="1"/>
  <c r="AL59" i="73"/>
  <c r="AK59" i="73"/>
  <c r="BZ59" i="73" s="1"/>
  <c r="AI60" i="73"/>
  <c r="AH60" i="73"/>
  <c r="BX60" i="73" s="1"/>
  <c r="AG60" i="73"/>
  <c r="AF60" i="73"/>
  <c r="BW60" i="73" s="1"/>
  <c r="AD60" i="73"/>
  <c r="BV60" i="73" s="1"/>
  <c r="AE60" i="73"/>
  <c r="AC60" i="73"/>
  <c r="AB60" i="73"/>
  <c r="BU60" i="73" s="1"/>
  <c r="AO59" i="73"/>
  <c r="CB59" i="73" s="1"/>
  <c r="AP59" i="73"/>
  <c r="AN59" i="73"/>
  <c r="AM59" i="73"/>
  <c r="CA59" i="73" s="1"/>
  <c r="AI51" i="60"/>
  <c r="AI52" i="60"/>
  <c r="G52" i="60"/>
  <c r="G51" i="60"/>
  <c r="T52" i="60"/>
  <c r="T51" i="60"/>
  <c r="AF51" i="60"/>
  <c r="AF52" i="60"/>
  <c r="AL51" i="60"/>
  <c r="AL52" i="60"/>
  <c r="AK51" i="60"/>
  <c r="AK52" i="60"/>
  <c r="L52" i="60"/>
  <c r="L51" i="60"/>
  <c r="Q51" i="60"/>
  <c r="Q52" i="60"/>
  <c r="AD52" i="60"/>
  <c r="AD51" i="60"/>
  <c r="P52" i="60"/>
  <c r="P51" i="60"/>
  <c r="K52" i="60"/>
  <c r="K51" i="60"/>
  <c r="S51" i="60"/>
  <c r="S52" i="60"/>
  <c r="AC51" i="60"/>
  <c r="AC52" i="60"/>
  <c r="AH52" i="60"/>
  <c r="AH51" i="60"/>
  <c r="AB51" i="60"/>
  <c r="AB52" i="60"/>
  <c r="Z52" i="60"/>
  <c r="Z51" i="60"/>
  <c r="AE51" i="60"/>
  <c r="AE52" i="60"/>
  <c r="N51" i="60"/>
  <c r="N52" i="60"/>
  <c r="M52" i="60"/>
  <c r="M51" i="60"/>
  <c r="Y52" i="60"/>
  <c r="Y51" i="60"/>
  <c r="H51" i="60"/>
  <c r="H52" i="60"/>
  <c r="D52" i="60"/>
  <c r="AJ52" i="60"/>
  <c r="AJ51" i="60"/>
  <c r="V52" i="60"/>
  <c r="V51" i="60"/>
  <c r="E51" i="60"/>
  <c r="E52" i="60"/>
  <c r="X52" i="60"/>
  <c r="X51" i="60"/>
  <c r="J52" i="60"/>
  <c r="J51" i="60"/>
  <c r="W51" i="60"/>
  <c r="W52" i="60"/>
  <c r="F51" i="60"/>
  <c r="F52" i="60"/>
  <c r="R51" i="60"/>
  <c r="R52" i="60"/>
  <c r="AR50" i="60"/>
  <c r="CO50" i="60" s="1"/>
  <c r="AR63" i="60"/>
  <c r="AM50" i="60"/>
  <c r="CJ50" i="60" s="1"/>
  <c r="AM63" i="60"/>
  <c r="AS50" i="60"/>
  <c r="CP50" i="60" s="1"/>
  <c r="AS63" i="60"/>
  <c r="AT50" i="60"/>
  <c r="CQ50" i="60" s="1"/>
  <c r="AT63" i="60"/>
  <c r="AP50" i="60"/>
  <c r="AP63" i="60"/>
  <c r="AQ50" i="60"/>
  <c r="CN50" i="60" s="1"/>
  <c r="AQ63" i="60"/>
  <c r="BF60" i="53"/>
  <c r="AZ60" i="53"/>
  <c r="BH60" i="53"/>
  <c r="BB60" i="53"/>
  <c r="BE60" i="53"/>
  <c r="AY60" i="53"/>
  <c r="BG60" i="53"/>
  <c r="BA60" i="53"/>
  <c r="BC60" i="53"/>
  <c r="AW60" i="53"/>
  <c r="BD60" i="53"/>
  <c r="AX60" i="53"/>
  <c r="AN59" i="53"/>
  <c r="AF59" i="53"/>
  <c r="AL153" i="50"/>
  <c r="BX153" i="50" s="1"/>
  <c r="AK151" i="50"/>
  <c r="G60" i="62"/>
  <c r="AX60" i="62" s="1"/>
  <c r="I69" i="62"/>
  <c r="AZ69" i="62" s="1"/>
  <c r="H67" i="62"/>
  <c r="AY67" i="62" s="1"/>
  <c r="H99" i="62"/>
  <c r="AY99" i="62" s="1"/>
  <c r="I101" i="62"/>
  <c r="AZ101" i="62" s="1"/>
  <c r="AF125" i="50"/>
  <c r="BR125" i="50" s="1"/>
  <c r="AE153" i="50"/>
  <c r="BQ153" i="50" s="1"/>
  <c r="AD173" i="50"/>
  <c r="AD69" i="50"/>
  <c r="AE70" i="50"/>
  <c r="BQ70" i="50" s="1"/>
  <c r="AF161" i="50"/>
  <c r="AE181" i="50"/>
  <c r="BQ181" i="50" s="1"/>
  <c r="AF127" i="50"/>
  <c r="AE187" i="50"/>
  <c r="BQ187" i="50" s="1"/>
  <c r="AF154" i="50"/>
  <c r="AE174" i="50"/>
  <c r="BQ174" i="50" s="1"/>
  <c r="AE111" i="50"/>
  <c r="AF65" i="50"/>
  <c r="AE63" i="50"/>
  <c r="BQ63" i="50" s="1"/>
  <c r="X108" i="67" l="1"/>
  <c r="CP59" i="53"/>
  <c r="X108" i="85" s="1"/>
  <c r="AO59" i="53"/>
  <c r="CR59" i="53" s="1"/>
  <c r="AV59" i="73"/>
  <c r="CF59" i="73" s="1"/>
  <c r="AW59" i="73"/>
  <c r="BC59" i="73"/>
  <c r="BB59" i="73"/>
  <c r="CI59" i="73" s="1"/>
  <c r="O11" i="79"/>
  <c r="H21" i="79"/>
  <c r="D20" i="79"/>
  <c r="I60" i="51"/>
  <c r="G60" i="51"/>
  <c r="O34" i="79"/>
  <c r="AU24" i="60"/>
  <c r="AR27" i="60"/>
  <c r="AS27" i="60"/>
  <c r="AT27" i="60"/>
  <c r="AP27" i="60"/>
  <c r="AU27" i="60" s="1"/>
  <c r="F20" i="79"/>
  <c r="H31" i="79"/>
  <c r="M31" i="79"/>
  <c r="E32" i="79"/>
  <c r="F10" i="79"/>
  <c r="G21" i="79"/>
  <c r="H20" i="79"/>
  <c r="O28" i="84"/>
  <c r="D9" i="79"/>
  <c r="P30" i="79"/>
  <c r="I55" i="49"/>
  <c r="AL30" i="85" s="1"/>
  <c r="AC171" i="50"/>
  <c r="L42" i="84"/>
  <c r="M10" i="79"/>
  <c r="F32" i="84"/>
  <c r="G31" i="79"/>
  <c r="L31" i="79"/>
  <c r="H10" i="79"/>
  <c r="H9" i="79"/>
  <c r="N10" i="79"/>
  <c r="G32" i="79"/>
  <c r="N31" i="79"/>
  <c r="O19" i="79"/>
  <c r="O23" i="79"/>
  <c r="P12" i="79"/>
  <c r="P11" i="79"/>
  <c r="O12" i="79"/>
  <c r="F39" i="84"/>
  <c r="F41" i="84"/>
  <c r="F43" i="84" s="1"/>
  <c r="D21" i="79"/>
  <c r="E20" i="79"/>
  <c r="P16" i="79"/>
  <c r="E21" i="79"/>
  <c r="G10" i="79"/>
  <c r="D10" i="79"/>
  <c r="O23" i="84"/>
  <c r="F21" i="79"/>
  <c r="J60" i="51"/>
  <c r="AP59" i="53"/>
  <c r="D67" i="67"/>
  <c r="K31" i="79"/>
  <c r="K9" i="79"/>
  <c r="M9" i="79"/>
  <c r="O29" i="84"/>
  <c r="AE182" i="50"/>
  <c r="BQ182" i="50" s="1"/>
  <c r="AF162" i="50"/>
  <c r="BQ162" i="50"/>
  <c r="BP157" i="50"/>
  <c r="AE157" i="50"/>
  <c r="AD177" i="50"/>
  <c r="BP177" i="50" s="1"/>
  <c r="AC282" i="50"/>
  <c r="BO282" i="50" s="1"/>
  <c r="K60" i="51"/>
  <c r="L10" i="84"/>
  <c r="AX59" i="73"/>
  <c r="CG59" i="73" s="1"/>
  <c r="G20" i="79"/>
  <c r="U108" i="67"/>
  <c r="P18" i="84"/>
  <c r="CM50" i="60"/>
  <c r="AU51" i="60"/>
  <c r="K32" i="79"/>
  <c r="P28" i="84"/>
  <c r="J10" i="79"/>
  <c r="J9" i="79"/>
  <c r="P33" i="79"/>
  <c r="L10" i="79"/>
  <c r="D32" i="79"/>
  <c r="G20" i="84"/>
  <c r="O22" i="79"/>
  <c r="P12" i="84"/>
  <c r="O12" i="84"/>
  <c r="P34" i="79"/>
  <c r="D31" i="79"/>
  <c r="H32" i="79"/>
  <c r="O34" i="84"/>
  <c r="L32" i="79"/>
  <c r="N9" i="79"/>
  <c r="M32" i="84"/>
  <c r="M31" i="84"/>
  <c r="P8" i="84"/>
  <c r="N10" i="84"/>
  <c r="N9" i="84"/>
  <c r="H20" i="84"/>
  <c r="O19" i="84"/>
  <c r="H21" i="84"/>
  <c r="P17" i="84"/>
  <c r="O11" i="84"/>
  <c r="E40" i="84"/>
  <c r="P30" i="84"/>
  <c r="N31" i="84"/>
  <c r="N32" i="84"/>
  <c r="F31" i="84"/>
  <c r="G10" i="84"/>
  <c r="G9" i="84"/>
  <c r="E10" i="84"/>
  <c r="E9" i="84"/>
  <c r="L9" i="84"/>
  <c r="K9" i="84"/>
  <c r="K10" i="84"/>
  <c r="M42" i="84"/>
  <c r="M43" i="84"/>
  <c r="E39" i="84"/>
  <c r="L21" i="84"/>
  <c r="L20" i="84"/>
  <c r="H32" i="84"/>
  <c r="H31" i="84"/>
  <c r="O30" i="84"/>
  <c r="E10" i="79"/>
  <c r="M10" i="84"/>
  <c r="K10" i="79"/>
  <c r="J21" i="84"/>
  <c r="J20" i="84"/>
  <c r="H43" i="84"/>
  <c r="H42" i="84"/>
  <c r="M21" i="84"/>
  <c r="M20" i="84"/>
  <c r="P41" i="84"/>
  <c r="N42" i="84"/>
  <c r="N43" i="84"/>
  <c r="P39" i="84"/>
  <c r="G40" i="84"/>
  <c r="D31" i="84"/>
  <c r="D32" i="84"/>
  <c r="J31" i="84"/>
  <c r="J32" i="84"/>
  <c r="D9" i="84"/>
  <c r="D10" i="84"/>
  <c r="G21" i="84"/>
  <c r="D20" i="84"/>
  <c r="D21" i="84"/>
  <c r="P19" i="84"/>
  <c r="N21" i="84"/>
  <c r="N20" i="84"/>
  <c r="O33" i="84"/>
  <c r="G43" i="84"/>
  <c r="P29" i="84"/>
  <c r="K43" i="84"/>
  <c r="K42" i="84"/>
  <c r="P40" i="84"/>
  <c r="J10" i="84"/>
  <c r="J9" i="84"/>
  <c r="J32" i="79"/>
  <c r="G32" i="84"/>
  <c r="G31" i="84"/>
  <c r="H9" i="84"/>
  <c r="H10" i="84"/>
  <c r="O8" i="84"/>
  <c r="O33" i="79"/>
  <c r="J43" i="84"/>
  <c r="J42" i="84"/>
  <c r="L43" i="84"/>
  <c r="O22" i="84"/>
  <c r="J31" i="79"/>
  <c r="N32" i="79"/>
  <c r="F20" i="84"/>
  <c r="F21" i="84"/>
  <c r="L32" i="84"/>
  <c r="L31" i="84"/>
  <c r="F10" i="84"/>
  <c r="F9" i="84"/>
  <c r="E20" i="84"/>
  <c r="E21" i="84"/>
  <c r="E43" i="84"/>
  <c r="D41" i="84"/>
  <c r="O41" i="84" s="1"/>
  <c r="D39" i="84"/>
  <c r="O39" i="84" s="1"/>
  <c r="D40" i="84"/>
  <c r="P11" i="84"/>
  <c r="H40" i="84"/>
  <c r="E31" i="84"/>
  <c r="E32" i="84"/>
  <c r="K32" i="84"/>
  <c r="K31" i="84"/>
  <c r="M9" i="84"/>
  <c r="K20" i="84"/>
  <c r="K21" i="84"/>
  <c r="P34" i="84"/>
  <c r="P33" i="84"/>
  <c r="L9" i="79"/>
  <c r="G9" i="79"/>
  <c r="F32" i="79"/>
  <c r="F31" i="79"/>
  <c r="E9" i="79"/>
  <c r="F9" i="79"/>
  <c r="H60" i="51"/>
  <c r="AY60" i="51" s="1"/>
  <c r="M32" i="79"/>
  <c r="P8" i="79"/>
  <c r="BE79" i="51"/>
  <c r="N60" i="51"/>
  <c r="BE60" i="51" s="1"/>
  <c r="BD79" i="51"/>
  <c r="M60" i="51"/>
  <c r="BT63" i="50"/>
  <c r="AH60" i="50"/>
  <c r="BT35" i="50"/>
  <c r="AH281" i="50"/>
  <c r="BT281" i="50" s="1"/>
  <c r="BI79" i="51"/>
  <c r="R60" i="51"/>
  <c r="BI60" i="51" s="1"/>
  <c r="D55" i="49"/>
  <c r="J56" i="49"/>
  <c r="BH79" i="51"/>
  <c r="Q60" i="51"/>
  <c r="BH60" i="51" s="1"/>
  <c r="BU65" i="50"/>
  <c r="AJ65" i="50"/>
  <c r="AJ63" i="50" s="1"/>
  <c r="AI63" i="50"/>
  <c r="O30" i="79"/>
  <c r="BV70" i="50"/>
  <c r="AK70" i="50"/>
  <c r="AJ69" i="50"/>
  <c r="BV69" i="50" s="1"/>
  <c r="BF79" i="51"/>
  <c r="O60" i="51"/>
  <c r="BF60" i="51" s="1"/>
  <c r="F65" i="67"/>
  <c r="BQ111" i="50"/>
  <c r="F65" i="85" s="1"/>
  <c r="AE178" i="50"/>
  <c r="BQ178" i="50" s="1"/>
  <c r="AF158" i="50"/>
  <c r="BQ158" i="50"/>
  <c r="AW67" i="51"/>
  <c r="F60" i="51"/>
  <c r="AK66" i="50"/>
  <c r="BV66" i="50"/>
  <c r="O8" i="79"/>
  <c r="BG79" i="51"/>
  <c r="P60" i="51"/>
  <c r="BG60" i="51" s="1"/>
  <c r="AK72" i="50"/>
  <c r="BV72" i="50"/>
  <c r="CL26" i="7"/>
  <c r="AO27" i="7"/>
  <c r="CL27" i="7" s="1"/>
  <c r="AN27" i="7"/>
  <c r="CK27" i="7" s="1"/>
  <c r="CK26" i="7"/>
  <c r="BV71" i="50"/>
  <c r="AK71" i="50"/>
  <c r="BD56" i="73"/>
  <c r="CJ56" i="73" s="1"/>
  <c r="Y105" i="67"/>
  <c r="AA105" i="67" s="1"/>
  <c r="CQ56" i="53"/>
  <c r="Y105" i="85" s="1"/>
  <c r="AA105" i="85" s="1"/>
  <c r="BE56" i="73"/>
  <c r="AF187" i="50"/>
  <c r="BR187" i="50" s="1"/>
  <c r="BR127" i="50"/>
  <c r="CJ26" i="7"/>
  <c r="AM27" i="7"/>
  <c r="CJ27" i="7" s="1"/>
  <c r="CM26" i="7"/>
  <c r="AP27" i="7"/>
  <c r="CM27" i="7" s="1"/>
  <c r="V105" i="67"/>
  <c r="CN56" i="53"/>
  <c r="V105" i="85" s="1"/>
  <c r="AY56" i="73"/>
  <c r="AX56" i="73"/>
  <c r="CG56" i="73" s="1"/>
  <c r="BB56" i="73"/>
  <c r="CI56" i="73" s="1"/>
  <c r="CP56" i="53"/>
  <c r="X105" i="85" s="1"/>
  <c r="BC56" i="73"/>
  <c r="X105" i="67"/>
  <c r="BA56" i="73"/>
  <c r="AZ56" i="73"/>
  <c r="CH56" i="73" s="1"/>
  <c r="W105" i="67"/>
  <c r="CO56" i="53"/>
  <c r="W105" i="85" s="1"/>
  <c r="AM157" i="50"/>
  <c r="BY157" i="50" s="1"/>
  <c r="BX157" i="50"/>
  <c r="AK67" i="50"/>
  <c r="BV67" i="50"/>
  <c r="Y84" i="67"/>
  <c r="AA84" i="67" s="1"/>
  <c r="CJ59" i="53"/>
  <c r="Y84" i="85" s="1"/>
  <c r="AA84" i="85" s="1"/>
  <c r="AY59" i="53"/>
  <c r="DA59" i="53" s="1"/>
  <c r="DA60" i="53"/>
  <c r="Y108" i="67"/>
  <c r="AA108" i="67" s="1"/>
  <c r="CQ59" i="53"/>
  <c r="Y108" i="85" s="1"/>
  <c r="AA108" i="85" s="1"/>
  <c r="BE59" i="53"/>
  <c r="DG59" i="53" s="1"/>
  <c r="DG60" i="53"/>
  <c r="AX59" i="53"/>
  <c r="CZ59" i="53" s="1"/>
  <c r="CZ60" i="53"/>
  <c r="BB59" i="53"/>
  <c r="DD59" i="53" s="1"/>
  <c r="DD60" i="53"/>
  <c r="BD59" i="53"/>
  <c r="DF59" i="53" s="1"/>
  <c r="DF60" i="53"/>
  <c r="BH59" i="53"/>
  <c r="DJ59" i="53" s="1"/>
  <c r="DJ60" i="53"/>
  <c r="AW59" i="53"/>
  <c r="CY59" i="53" s="1"/>
  <c r="CY60" i="53"/>
  <c r="AZ59" i="53"/>
  <c r="DB59" i="53" s="1"/>
  <c r="DB60" i="53"/>
  <c r="BC59" i="53"/>
  <c r="DE59" i="53" s="1"/>
  <c r="DE60" i="53"/>
  <c r="BF59" i="53"/>
  <c r="DH59" i="53" s="1"/>
  <c r="DH60" i="53"/>
  <c r="BA59" i="53"/>
  <c r="DC59" i="53" s="1"/>
  <c r="DC60" i="53"/>
  <c r="BG59" i="53"/>
  <c r="DI59" i="53" s="1"/>
  <c r="DI60" i="53"/>
  <c r="AM167" i="50"/>
  <c r="BY167" i="50" s="1"/>
  <c r="BX167" i="50"/>
  <c r="AF181" i="50"/>
  <c r="BR181" i="50" s="1"/>
  <c r="BR161" i="50"/>
  <c r="AF63" i="50"/>
  <c r="BR63" i="50" s="1"/>
  <c r="BR65" i="50"/>
  <c r="AD60" i="50"/>
  <c r="BP60" i="50" s="1"/>
  <c r="E62" i="85" s="1"/>
  <c r="BP69" i="50"/>
  <c r="AF165" i="50"/>
  <c r="BR165" i="50" s="1"/>
  <c r="BQ165" i="50"/>
  <c r="AF156" i="50"/>
  <c r="BQ156" i="50"/>
  <c r="AE176" i="50"/>
  <c r="BQ176" i="50" s="1"/>
  <c r="BP173" i="50"/>
  <c r="D62" i="67"/>
  <c r="AF174" i="50"/>
  <c r="BR174" i="50" s="1"/>
  <c r="BR154" i="50"/>
  <c r="E67" i="67"/>
  <c r="BP151" i="50"/>
  <c r="E67" i="85" s="1"/>
  <c r="E56" i="49"/>
  <c r="AE185" i="50"/>
  <c r="BQ185" i="50" s="1"/>
  <c r="J70" i="62"/>
  <c r="AZ70" i="62"/>
  <c r="BR164" i="50"/>
  <c r="AF184" i="50"/>
  <c r="BR184" i="50" s="1"/>
  <c r="E91" i="67"/>
  <c r="BW151" i="50"/>
  <c r="E91" i="85" s="1"/>
  <c r="J78" i="62"/>
  <c r="AZ78" i="62"/>
  <c r="Z84" i="67"/>
  <c r="O38" i="79"/>
  <c r="AU25" i="60"/>
  <c r="O7" i="79"/>
  <c r="O28" i="79"/>
  <c r="P28" i="79"/>
  <c r="O29" i="79"/>
  <c r="O18" i="79"/>
  <c r="P29" i="79"/>
  <c r="AW9" i="60"/>
  <c r="AV9" i="60"/>
  <c r="O6" i="79"/>
  <c r="P38" i="79"/>
  <c r="P7" i="79"/>
  <c r="P6" i="79"/>
  <c r="AS51" i="60"/>
  <c r="O17" i="79"/>
  <c r="AR51" i="60"/>
  <c r="AT51" i="60"/>
  <c r="AQ51" i="60"/>
  <c r="AP51" i="60"/>
  <c r="AP52" i="60"/>
  <c r="AQ52" i="60"/>
  <c r="AN51" i="60"/>
  <c r="AN52" i="60"/>
  <c r="AO52" i="60"/>
  <c r="N19" i="79"/>
  <c r="N17" i="79"/>
  <c r="N18" i="79"/>
  <c r="D41" i="79"/>
  <c r="D39" i="79"/>
  <c r="D40" i="79"/>
  <c r="K19" i="79"/>
  <c r="K17" i="79"/>
  <c r="K18" i="79"/>
  <c r="G40" i="79"/>
  <c r="G39" i="79"/>
  <c r="G41" i="79"/>
  <c r="L19" i="79"/>
  <c r="L18" i="79"/>
  <c r="L17" i="79"/>
  <c r="J19" i="79"/>
  <c r="J17" i="79"/>
  <c r="J18" i="79"/>
  <c r="K39" i="79"/>
  <c r="K40" i="79"/>
  <c r="K41" i="79"/>
  <c r="J41" i="79"/>
  <c r="J43" i="79" s="1"/>
  <c r="J39" i="79"/>
  <c r="J40" i="79"/>
  <c r="M17" i="79"/>
  <c r="M18" i="79"/>
  <c r="M19" i="79"/>
  <c r="N39" i="79"/>
  <c r="N40" i="79"/>
  <c r="N41" i="79"/>
  <c r="S37" i="2"/>
  <c r="AE32" i="78"/>
  <c r="T38" i="2"/>
  <c r="AF33" i="78"/>
  <c r="T37" i="2"/>
  <c r="H39" i="79"/>
  <c r="H40" i="79"/>
  <c r="H41" i="79"/>
  <c r="M41" i="79"/>
  <c r="M39" i="79"/>
  <c r="M40" i="79"/>
  <c r="Q38" i="2"/>
  <c r="AC33" i="78"/>
  <c r="E39" i="79"/>
  <c r="E40" i="79"/>
  <c r="E41" i="79"/>
  <c r="L41" i="79"/>
  <c r="L40" i="79"/>
  <c r="L39" i="79"/>
  <c r="F39" i="79"/>
  <c r="F40" i="79"/>
  <c r="F41" i="79"/>
  <c r="Z108" i="67"/>
  <c r="U38" i="2"/>
  <c r="R38" i="2"/>
  <c r="BD59" i="73"/>
  <c r="CJ59" i="73" s="1"/>
  <c r="BE59" i="73"/>
  <c r="AT59" i="73"/>
  <c r="AS59" i="73"/>
  <c r="CD59" i="73" s="1"/>
  <c r="H60" i="62"/>
  <c r="AY60" i="62" s="1"/>
  <c r="AS52" i="60"/>
  <c r="AR52" i="60"/>
  <c r="AT52" i="60"/>
  <c r="J101" i="62"/>
  <c r="BA101" i="62" s="1"/>
  <c r="I99" i="62"/>
  <c r="AZ99" i="62" s="1"/>
  <c r="J69" i="62"/>
  <c r="BA69" i="62" s="1"/>
  <c r="I67" i="62"/>
  <c r="AZ67" i="62" s="1"/>
  <c r="AM153" i="50"/>
  <c r="AL151" i="50"/>
  <c r="AF70" i="50"/>
  <c r="BR70" i="50" s="1"/>
  <c r="AE69" i="50"/>
  <c r="AF153" i="50"/>
  <c r="BR153" i="50" s="1"/>
  <c r="AE173" i="50"/>
  <c r="AF111" i="50"/>
  <c r="D68" i="67" l="1"/>
  <c r="BO171" i="50"/>
  <c r="D68" i="85" s="1"/>
  <c r="O31" i="84"/>
  <c r="AX60" i="51"/>
  <c r="AZ60" i="51"/>
  <c r="J112" i="51"/>
  <c r="X43" i="50" s="1"/>
  <c r="BJ43" i="50" s="1"/>
  <c r="I111" i="51"/>
  <c r="P54" i="50" s="1"/>
  <c r="BB54" i="50" s="1"/>
  <c r="G112" i="51"/>
  <c r="U134" i="50" s="1"/>
  <c r="BG134" i="50" s="1"/>
  <c r="G110" i="51"/>
  <c r="G43" i="50" s="1"/>
  <c r="AS43" i="50" s="1"/>
  <c r="J111" i="51"/>
  <c r="Q140" i="50" s="1"/>
  <c r="BC140" i="50" s="1"/>
  <c r="BA60" i="51"/>
  <c r="O31" i="79"/>
  <c r="O20" i="79"/>
  <c r="O9" i="79"/>
  <c r="O21" i="79"/>
  <c r="P32" i="79"/>
  <c r="O10" i="79"/>
  <c r="P31" i="79"/>
  <c r="BB60" i="51"/>
  <c r="AD171" i="50"/>
  <c r="O32" i="79"/>
  <c r="P10" i="79"/>
  <c r="F42" i="84"/>
  <c r="G42" i="84"/>
  <c r="O39" i="79"/>
  <c r="BQ157" i="50"/>
  <c r="AE177" i="50"/>
  <c r="BQ177" i="50" s="1"/>
  <c r="AF157" i="50"/>
  <c r="AF151" i="50" s="1"/>
  <c r="I110" i="51"/>
  <c r="I137" i="50" s="1"/>
  <c r="AU137" i="50" s="1"/>
  <c r="AE151" i="50"/>
  <c r="F67" i="67" s="1"/>
  <c r="BR162" i="50"/>
  <c r="AF182" i="50"/>
  <c r="BR182" i="50" s="1"/>
  <c r="O32" i="84"/>
  <c r="P20" i="84"/>
  <c r="O10" i="84"/>
  <c r="P9" i="79"/>
  <c r="H110" i="51"/>
  <c r="H142" i="50" s="1"/>
  <c r="AT142" i="50" s="1"/>
  <c r="H111" i="51"/>
  <c r="O37" i="50" s="1"/>
  <c r="BA37" i="50" s="1"/>
  <c r="P32" i="84"/>
  <c r="O20" i="84"/>
  <c r="P31" i="84"/>
  <c r="P9" i="84"/>
  <c r="O50" i="50"/>
  <c r="BA50" i="50" s="1"/>
  <c r="P10" i="84"/>
  <c r="D42" i="84"/>
  <c r="O42" i="84" s="1"/>
  <c r="D43" i="84"/>
  <c r="O43" i="84" s="1"/>
  <c r="P43" i="84"/>
  <c r="E42" i="84"/>
  <c r="O9" i="84"/>
  <c r="P42" i="84"/>
  <c r="P21" i="84"/>
  <c r="O21" i="84"/>
  <c r="I112" i="51"/>
  <c r="O40" i="84"/>
  <c r="O40" i="79"/>
  <c r="BD60" i="51"/>
  <c r="F111" i="51"/>
  <c r="AL67" i="50"/>
  <c r="BW67" i="50"/>
  <c r="K110" i="51"/>
  <c r="BU63" i="50"/>
  <c r="AI60" i="50"/>
  <c r="E55" i="49"/>
  <c r="K56" i="49"/>
  <c r="AL66" i="50"/>
  <c r="BW66" i="50"/>
  <c r="BV65" i="50"/>
  <c r="AK65" i="50"/>
  <c r="G65" i="67"/>
  <c r="BR111" i="50"/>
  <c r="G65" i="85" s="1"/>
  <c r="K111" i="51"/>
  <c r="R143" i="50" s="1"/>
  <c r="BD143" i="50" s="1"/>
  <c r="BV63" i="50"/>
  <c r="AJ60" i="50"/>
  <c r="AW60" i="51"/>
  <c r="F112" i="51"/>
  <c r="F110" i="51"/>
  <c r="BT60" i="50"/>
  <c r="C70" i="49"/>
  <c r="AH282" i="50"/>
  <c r="BT282" i="50" s="1"/>
  <c r="BW72" i="50"/>
  <c r="AL72" i="50"/>
  <c r="J110" i="51"/>
  <c r="J42" i="50" s="1"/>
  <c r="AV42" i="50" s="1"/>
  <c r="K112" i="51"/>
  <c r="Y149" i="50" s="1"/>
  <c r="BK149" i="50" s="1"/>
  <c r="AL71" i="50"/>
  <c r="BW71" i="50"/>
  <c r="BW70" i="50"/>
  <c r="AL70" i="50"/>
  <c r="AK69" i="50"/>
  <c r="BW69" i="50" s="1"/>
  <c r="BR158" i="50"/>
  <c r="AF178" i="50"/>
  <c r="BR178" i="50" s="1"/>
  <c r="AM30" i="67"/>
  <c r="J55" i="49"/>
  <c r="AM30" i="85" s="1"/>
  <c r="H112" i="51"/>
  <c r="G111" i="51"/>
  <c r="AF185" i="50"/>
  <c r="BR185" i="50" s="1"/>
  <c r="AD282" i="50"/>
  <c r="BP282" i="50" s="1"/>
  <c r="BR156" i="50"/>
  <c r="AF176" i="50"/>
  <c r="BR176" i="50" s="1"/>
  <c r="F56" i="49"/>
  <c r="K78" i="62"/>
  <c r="BA78" i="62"/>
  <c r="BQ173" i="50"/>
  <c r="AE60" i="50"/>
  <c r="BQ60" i="50" s="1"/>
  <c r="F62" i="85" s="1"/>
  <c r="BQ69" i="50"/>
  <c r="K70" i="62"/>
  <c r="BA70" i="62"/>
  <c r="E62" i="67"/>
  <c r="F91" i="67"/>
  <c r="BX151" i="50"/>
  <c r="F91" i="85" s="1"/>
  <c r="AM151" i="50"/>
  <c r="BY153" i="50"/>
  <c r="P41" i="79"/>
  <c r="O41" i="79"/>
  <c r="P18" i="79"/>
  <c r="P17" i="79"/>
  <c r="P19" i="79"/>
  <c r="P40" i="79"/>
  <c r="P39" i="79"/>
  <c r="L42" i="79"/>
  <c r="L43" i="79"/>
  <c r="H43" i="79"/>
  <c r="H42" i="79"/>
  <c r="N43" i="79"/>
  <c r="P43" i="79" s="1"/>
  <c r="N42" i="79"/>
  <c r="G42" i="79"/>
  <c r="G43" i="79"/>
  <c r="D43" i="79"/>
  <c r="D42" i="79"/>
  <c r="E42" i="79"/>
  <c r="E43" i="79"/>
  <c r="K42" i="79"/>
  <c r="K43" i="79"/>
  <c r="K21" i="79"/>
  <c r="K20" i="79"/>
  <c r="J21" i="79"/>
  <c r="J20" i="79"/>
  <c r="L21" i="79"/>
  <c r="L20" i="79"/>
  <c r="F42" i="79"/>
  <c r="F43" i="79"/>
  <c r="M42" i="79"/>
  <c r="M43" i="79"/>
  <c r="M20" i="79"/>
  <c r="M21" i="79"/>
  <c r="J42" i="79"/>
  <c r="N21" i="79"/>
  <c r="N20" i="79"/>
  <c r="K69" i="62"/>
  <c r="BB69" i="62" s="1"/>
  <c r="J67" i="62"/>
  <c r="BA67" i="62" s="1"/>
  <c r="I60" i="62"/>
  <c r="AZ60" i="62" s="1"/>
  <c r="J99" i="62"/>
  <c r="BA99" i="62" s="1"/>
  <c r="K101" i="62"/>
  <c r="BB101" i="62" s="1"/>
  <c r="AF173" i="50"/>
  <c r="AF69" i="50"/>
  <c r="D35" i="58"/>
  <c r="E68" i="67" l="1"/>
  <c r="BP171" i="50"/>
  <c r="E68" i="85" s="1"/>
  <c r="BQ151" i="50"/>
  <c r="F67" i="85" s="1"/>
  <c r="P145" i="50"/>
  <c r="BB145" i="50" s="1"/>
  <c r="P144" i="50"/>
  <c r="BB144" i="50" s="1"/>
  <c r="Q137" i="50"/>
  <c r="BC137" i="50" s="1"/>
  <c r="Q150" i="50"/>
  <c r="BC150" i="50" s="1"/>
  <c r="Q146" i="50"/>
  <c r="BC146" i="50" s="1"/>
  <c r="X39" i="50"/>
  <c r="BJ39" i="50" s="1"/>
  <c r="Q134" i="50"/>
  <c r="BC134" i="50" s="1"/>
  <c r="Q47" i="50"/>
  <c r="BC47" i="50" s="1"/>
  <c r="Q141" i="50"/>
  <c r="BC141" i="50" s="1"/>
  <c r="Q40" i="50"/>
  <c r="BC40" i="50" s="1"/>
  <c r="Q132" i="50"/>
  <c r="BC132" i="50" s="1"/>
  <c r="Q50" i="50"/>
  <c r="BC50" i="50" s="1"/>
  <c r="Q143" i="50"/>
  <c r="BC143" i="50" s="1"/>
  <c r="Q49" i="50"/>
  <c r="BC49" i="50" s="1"/>
  <c r="Q48" i="50"/>
  <c r="BC48" i="50" s="1"/>
  <c r="Q142" i="50"/>
  <c r="BC142" i="50" s="1"/>
  <c r="Q42" i="50"/>
  <c r="BC42" i="50" s="1"/>
  <c r="Q37" i="50"/>
  <c r="BC37" i="50" s="1"/>
  <c r="Q149" i="50"/>
  <c r="BC149" i="50" s="1"/>
  <c r="Q36" i="50"/>
  <c r="BC36" i="50" s="1"/>
  <c r="Q135" i="50"/>
  <c r="BC135" i="50" s="1"/>
  <c r="Q41" i="50"/>
  <c r="BC41" i="50" s="1"/>
  <c r="Q55" i="50"/>
  <c r="BC55" i="50" s="1"/>
  <c r="Q54" i="50"/>
  <c r="BC54" i="50" s="1"/>
  <c r="Q145" i="50"/>
  <c r="BC145" i="50" s="1"/>
  <c r="Q133" i="50"/>
  <c r="BC133" i="50" s="1"/>
  <c r="Q57" i="50"/>
  <c r="BC57" i="50" s="1"/>
  <c r="Q138" i="50"/>
  <c r="BC138" i="50" s="1"/>
  <c r="Q58" i="50"/>
  <c r="BC58" i="50" s="1"/>
  <c r="Q147" i="50"/>
  <c r="BC147" i="50" s="1"/>
  <c r="X59" i="50"/>
  <c r="BJ59" i="50" s="1"/>
  <c r="X144" i="50"/>
  <c r="BJ144" i="50" s="1"/>
  <c r="X136" i="50"/>
  <c r="BJ136" i="50" s="1"/>
  <c r="X137" i="50"/>
  <c r="BJ137" i="50" s="1"/>
  <c r="X50" i="50"/>
  <c r="BJ50" i="50" s="1"/>
  <c r="X141" i="50"/>
  <c r="BJ141" i="50" s="1"/>
  <c r="X58" i="50"/>
  <c r="BJ58" i="50" s="1"/>
  <c r="X52" i="50"/>
  <c r="BJ52" i="50" s="1"/>
  <c r="P37" i="50"/>
  <c r="BB37" i="50" s="1"/>
  <c r="X49" i="50"/>
  <c r="BJ49" i="50" s="1"/>
  <c r="X139" i="50"/>
  <c r="BJ139" i="50" s="1"/>
  <c r="X41" i="50"/>
  <c r="BJ41" i="50" s="1"/>
  <c r="X47" i="50"/>
  <c r="BJ47" i="50" s="1"/>
  <c r="X138" i="50"/>
  <c r="BJ138" i="50" s="1"/>
  <c r="X135" i="50"/>
  <c r="BJ135" i="50" s="1"/>
  <c r="X149" i="50"/>
  <c r="BJ149" i="50" s="1"/>
  <c r="X142" i="50"/>
  <c r="BJ142" i="50" s="1"/>
  <c r="X132" i="50"/>
  <c r="BJ132" i="50" s="1"/>
  <c r="X140" i="50"/>
  <c r="BJ140" i="50" s="1"/>
  <c r="X133" i="50"/>
  <c r="BJ133" i="50" s="1"/>
  <c r="X55" i="50"/>
  <c r="BJ55" i="50" s="1"/>
  <c r="X148" i="50"/>
  <c r="BJ148" i="50" s="1"/>
  <c r="X40" i="50"/>
  <c r="BJ40" i="50" s="1"/>
  <c r="X42" i="50"/>
  <c r="BJ42" i="50" s="1"/>
  <c r="X145" i="50"/>
  <c r="BJ145" i="50" s="1"/>
  <c r="X36" i="50"/>
  <c r="BJ36" i="50" s="1"/>
  <c r="X134" i="50"/>
  <c r="BJ134" i="50" s="1"/>
  <c r="X51" i="50"/>
  <c r="BJ51" i="50" s="1"/>
  <c r="X46" i="50"/>
  <c r="BJ46" i="50" s="1"/>
  <c r="X53" i="50"/>
  <c r="BJ53" i="50" s="1"/>
  <c r="P150" i="50"/>
  <c r="BB150" i="50" s="1"/>
  <c r="P36" i="50"/>
  <c r="BB36" i="50" s="1"/>
  <c r="P140" i="50"/>
  <c r="BB140" i="50" s="1"/>
  <c r="X54" i="50"/>
  <c r="BJ54" i="50" s="1"/>
  <c r="X150" i="50"/>
  <c r="BJ150" i="50" s="1"/>
  <c r="X48" i="50"/>
  <c r="BJ48" i="50" s="1"/>
  <c r="X147" i="50"/>
  <c r="BJ147" i="50" s="1"/>
  <c r="X57" i="50"/>
  <c r="BJ57" i="50" s="1"/>
  <c r="X143" i="50"/>
  <c r="BJ143" i="50" s="1"/>
  <c r="X56" i="50"/>
  <c r="BJ56" i="50" s="1"/>
  <c r="X37" i="50"/>
  <c r="BJ37" i="50" s="1"/>
  <c r="X146" i="50"/>
  <c r="BJ146" i="50" s="1"/>
  <c r="P46" i="50"/>
  <c r="BB46" i="50" s="1"/>
  <c r="P42" i="50"/>
  <c r="BB42" i="50" s="1"/>
  <c r="I132" i="50"/>
  <c r="AU132" i="50" s="1"/>
  <c r="O40" i="50"/>
  <c r="BA40" i="50" s="1"/>
  <c r="O145" i="50"/>
  <c r="BA145" i="50" s="1"/>
  <c r="O132" i="50"/>
  <c r="BA132" i="50" s="1"/>
  <c r="O47" i="50"/>
  <c r="BA47" i="50" s="1"/>
  <c r="O52" i="50"/>
  <c r="BA52" i="50" s="1"/>
  <c r="I42" i="50"/>
  <c r="AU42" i="50" s="1"/>
  <c r="O134" i="50"/>
  <c r="BA134" i="50" s="1"/>
  <c r="O147" i="50"/>
  <c r="BA147" i="50" s="1"/>
  <c r="U136" i="50"/>
  <c r="Q139" i="50"/>
  <c r="BC139" i="50" s="1"/>
  <c r="Q46" i="50"/>
  <c r="BC46" i="50" s="1"/>
  <c r="Q51" i="50"/>
  <c r="BC51" i="50" s="1"/>
  <c r="Q39" i="50"/>
  <c r="BC39" i="50" s="1"/>
  <c r="Q52" i="50"/>
  <c r="BC52" i="50" s="1"/>
  <c r="Q59" i="50"/>
  <c r="BC59" i="50" s="1"/>
  <c r="Q148" i="50"/>
  <c r="BC148" i="50" s="1"/>
  <c r="Q136" i="50"/>
  <c r="BC136" i="50" s="1"/>
  <c r="Q43" i="50"/>
  <c r="BC43" i="50" s="1"/>
  <c r="Q53" i="50"/>
  <c r="BC53" i="50" s="1"/>
  <c r="Q144" i="50"/>
  <c r="BC144" i="50" s="1"/>
  <c r="Q56" i="50"/>
  <c r="BC56" i="50" s="1"/>
  <c r="I37" i="50"/>
  <c r="AU37" i="50" s="1"/>
  <c r="I53" i="50"/>
  <c r="AU53" i="50" s="1"/>
  <c r="I36" i="50"/>
  <c r="AU36" i="50" s="1"/>
  <c r="I134" i="50"/>
  <c r="AU134" i="50" s="1"/>
  <c r="I48" i="50"/>
  <c r="AU48" i="50" s="1"/>
  <c r="I46" i="50"/>
  <c r="AU46" i="50" s="1"/>
  <c r="I47" i="50"/>
  <c r="AU47" i="50" s="1"/>
  <c r="P137" i="50"/>
  <c r="BB137" i="50" s="1"/>
  <c r="P139" i="50"/>
  <c r="BB139" i="50" s="1"/>
  <c r="P51" i="50"/>
  <c r="BB51" i="50" s="1"/>
  <c r="P52" i="50"/>
  <c r="BB52" i="50" s="1"/>
  <c r="P39" i="50"/>
  <c r="BB39" i="50" s="1"/>
  <c r="P50" i="50"/>
  <c r="BB50" i="50" s="1"/>
  <c r="P59" i="50"/>
  <c r="BB59" i="50" s="1"/>
  <c r="P41" i="50"/>
  <c r="BB41" i="50" s="1"/>
  <c r="P146" i="50"/>
  <c r="BB146" i="50" s="1"/>
  <c r="P56" i="50"/>
  <c r="BB56" i="50" s="1"/>
  <c r="P58" i="50"/>
  <c r="BB58" i="50" s="1"/>
  <c r="P142" i="50"/>
  <c r="BB142" i="50" s="1"/>
  <c r="P132" i="50"/>
  <c r="BB132" i="50" s="1"/>
  <c r="P136" i="50"/>
  <c r="BB136" i="50" s="1"/>
  <c r="P138" i="50"/>
  <c r="BB138" i="50" s="1"/>
  <c r="P149" i="50"/>
  <c r="BB149" i="50" s="1"/>
  <c r="P141" i="50"/>
  <c r="BB141" i="50" s="1"/>
  <c r="P43" i="50"/>
  <c r="BB43" i="50" s="1"/>
  <c r="P57" i="50"/>
  <c r="BB57" i="50" s="1"/>
  <c r="P49" i="50"/>
  <c r="BB49" i="50" s="1"/>
  <c r="P48" i="50"/>
  <c r="BB48" i="50" s="1"/>
  <c r="P135" i="50"/>
  <c r="BB135" i="50" s="1"/>
  <c r="P147" i="50"/>
  <c r="BB147" i="50" s="1"/>
  <c r="P53" i="50"/>
  <c r="BB53" i="50" s="1"/>
  <c r="P55" i="50"/>
  <c r="BB55" i="50" s="1"/>
  <c r="P47" i="50"/>
  <c r="BB47" i="50" s="1"/>
  <c r="P133" i="50"/>
  <c r="BB133" i="50" s="1"/>
  <c r="P134" i="50"/>
  <c r="BB134" i="50" s="1"/>
  <c r="P148" i="50"/>
  <c r="BB148" i="50" s="1"/>
  <c r="P143" i="50"/>
  <c r="BB143" i="50" s="1"/>
  <c r="P40" i="50"/>
  <c r="BB40" i="50" s="1"/>
  <c r="I142" i="50"/>
  <c r="AU142" i="50" s="1"/>
  <c r="O139" i="50"/>
  <c r="BA139" i="50" s="1"/>
  <c r="O57" i="50"/>
  <c r="BA57" i="50" s="1"/>
  <c r="O36" i="50"/>
  <c r="BA36" i="50" s="1"/>
  <c r="O137" i="50"/>
  <c r="BA137" i="50" s="1"/>
  <c r="O150" i="50"/>
  <c r="BA150" i="50" s="1"/>
  <c r="O143" i="50"/>
  <c r="BA143" i="50" s="1"/>
  <c r="O39" i="50"/>
  <c r="BA39" i="50" s="1"/>
  <c r="O149" i="50"/>
  <c r="BA149" i="50" s="1"/>
  <c r="O54" i="50"/>
  <c r="BA54" i="50" s="1"/>
  <c r="O133" i="50"/>
  <c r="BA133" i="50" s="1"/>
  <c r="O59" i="50"/>
  <c r="BA59" i="50" s="1"/>
  <c r="O138" i="50"/>
  <c r="BA138" i="50" s="1"/>
  <c r="O56" i="50"/>
  <c r="BA56" i="50" s="1"/>
  <c r="O140" i="50"/>
  <c r="BA140" i="50" s="1"/>
  <c r="O141" i="50"/>
  <c r="BA141" i="50" s="1"/>
  <c r="O43" i="50"/>
  <c r="BA43" i="50" s="1"/>
  <c r="O146" i="50"/>
  <c r="BA146" i="50" s="1"/>
  <c r="O41" i="50"/>
  <c r="BA41" i="50" s="1"/>
  <c r="O51" i="50"/>
  <c r="BA51" i="50" s="1"/>
  <c r="O136" i="50"/>
  <c r="O55" i="50"/>
  <c r="BA55" i="50" s="1"/>
  <c r="O142" i="50"/>
  <c r="BA142" i="50" s="1"/>
  <c r="O48" i="50"/>
  <c r="BA48" i="50" s="1"/>
  <c r="O53" i="50"/>
  <c r="BA53" i="50" s="1"/>
  <c r="H43" i="50"/>
  <c r="AT43" i="50" s="1"/>
  <c r="H36" i="50"/>
  <c r="AT36" i="50" s="1"/>
  <c r="H144" i="50"/>
  <c r="AT144" i="50" s="1"/>
  <c r="H51" i="50"/>
  <c r="AT51" i="50" s="1"/>
  <c r="H56" i="50"/>
  <c r="AT56" i="50" s="1"/>
  <c r="H52" i="50"/>
  <c r="AT52" i="50" s="1"/>
  <c r="H134" i="50"/>
  <c r="AT134" i="50" s="1"/>
  <c r="U137" i="50"/>
  <c r="U133" i="50"/>
  <c r="U51" i="50"/>
  <c r="U58" i="50"/>
  <c r="G142" i="50"/>
  <c r="G56" i="50"/>
  <c r="G148" i="50"/>
  <c r="G57" i="50"/>
  <c r="G138" i="50"/>
  <c r="G139" i="50"/>
  <c r="Y141" i="50"/>
  <c r="BK141" i="50" s="1"/>
  <c r="Y36" i="50"/>
  <c r="BK36" i="50" s="1"/>
  <c r="Y49" i="50"/>
  <c r="BK49" i="50" s="1"/>
  <c r="Y50" i="50"/>
  <c r="BK50" i="50" s="1"/>
  <c r="Y46" i="50"/>
  <c r="BK46" i="50" s="1"/>
  <c r="Y58" i="50"/>
  <c r="BK58" i="50" s="1"/>
  <c r="Y139" i="50"/>
  <c r="BK139" i="50" s="1"/>
  <c r="Y147" i="50"/>
  <c r="BK147" i="50" s="1"/>
  <c r="Y146" i="50"/>
  <c r="BK146" i="50" s="1"/>
  <c r="Y143" i="50"/>
  <c r="BK143" i="50" s="1"/>
  <c r="Y55" i="50"/>
  <c r="BK55" i="50" s="1"/>
  <c r="Y37" i="50"/>
  <c r="BK37" i="50" s="1"/>
  <c r="Y137" i="50"/>
  <c r="BK137" i="50" s="1"/>
  <c r="Y133" i="50"/>
  <c r="BK133" i="50" s="1"/>
  <c r="Y39" i="50"/>
  <c r="BK39" i="50" s="1"/>
  <c r="H137" i="50"/>
  <c r="AT137" i="50" s="1"/>
  <c r="H135" i="50"/>
  <c r="AT135" i="50" s="1"/>
  <c r="U149" i="50"/>
  <c r="U143" i="50"/>
  <c r="U141" i="50"/>
  <c r="R42" i="50"/>
  <c r="BD42" i="50" s="1"/>
  <c r="Y135" i="50"/>
  <c r="BK135" i="50" s="1"/>
  <c r="R145" i="50"/>
  <c r="BD145" i="50" s="1"/>
  <c r="R52" i="50"/>
  <c r="BD52" i="50" s="1"/>
  <c r="R40" i="50"/>
  <c r="BD40" i="50" s="1"/>
  <c r="U40" i="50"/>
  <c r="U135" i="50"/>
  <c r="U54" i="50"/>
  <c r="U41" i="50"/>
  <c r="U142" i="50"/>
  <c r="U37" i="50"/>
  <c r="U42" i="50"/>
  <c r="U43" i="50"/>
  <c r="U53" i="50"/>
  <c r="U56" i="50"/>
  <c r="U146" i="50"/>
  <c r="U59" i="50"/>
  <c r="U139" i="50"/>
  <c r="U49" i="50"/>
  <c r="U50" i="50"/>
  <c r="U132" i="50"/>
  <c r="G50" i="50"/>
  <c r="G53" i="50"/>
  <c r="G143" i="50"/>
  <c r="G54" i="50"/>
  <c r="G36" i="50"/>
  <c r="G51" i="50"/>
  <c r="G150" i="50"/>
  <c r="G49" i="50"/>
  <c r="Y134" i="50"/>
  <c r="BK134" i="50" s="1"/>
  <c r="Y132" i="50"/>
  <c r="BK132" i="50" s="1"/>
  <c r="G40" i="50"/>
  <c r="G133" i="50"/>
  <c r="G42" i="50"/>
  <c r="G145" i="50"/>
  <c r="Y48" i="50"/>
  <c r="BK48" i="50" s="1"/>
  <c r="Y138" i="50"/>
  <c r="BK138" i="50" s="1"/>
  <c r="U36" i="50"/>
  <c r="U145" i="50"/>
  <c r="U46" i="50"/>
  <c r="U47" i="50"/>
  <c r="U140" i="50"/>
  <c r="U150" i="50"/>
  <c r="U147" i="50"/>
  <c r="U57" i="50"/>
  <c r="U55" i="50"/>
  <c r="U148" i="50"/>
  <c r="G132" i="50"/>
  <c r="G147" i="50"/>
  <c r="G39" i="50"/>
  <c r="G149" i="50"/>
  <c r="G137" i="50"/>
  <c r="G59" i="50"/>
  <c r="G141" i="50"/>
  <c r="G144" i="50"/>
  <c r="G58" i="50"/>
  <c r="G41" i="50"/>
  <c r="Y59" i="50"/>
  <c r="BK59" i="50" s="1"/>
  <c r="G46" i="50"/>
  <c r="G48" i="50"/>
  <c r="G140" i="50"/>
  <c r="G37" i="50"/>
  <c r="Y51" i="50"/>
  <c r="BK51" i="50" s="1"/>
  <c r="Y41" i="50"/>
  <c r="BK41" i="50" s="1"/>
  <c r="U39" i="50"/>
  <c r="BG39" i="50" s="1"/>
  <c r="U138" i="50"/>
  <c r="U48" i="50"/>
  <c r="U52" i="50"/>
  <c r="U144" i="50"/>
  <c r="G52" i="50"/>
  <c r="G135" i="50"/>
  <c r="G55" i="50"/>
  <c r="G136" i="50"/>
  <c r="G134" i="50"/>
  <c r="G47" i="50"/>
  <c r="G146" i="50"/>
  <c r="Y57" i="50"/>
  <c r="BK57" i="50" s="1"/>
  <c r="Y145" i="50"/>
  <c r="BK145" i="50" s="1"/>
  <c r="Y53" i="50"/>
  <c r="BK53" i="50" s="1"/>
  <c r="Y42" i="50"/>
  <c r="BK42" i="50" s="1"/>
  <c r="Y150" i="50"/>
  <c r="BK150" i="50" s="1"/>
  <c r="Y136" i="50"/>
  <c r="BK136" i="50" s="1"/>
  <c r="Y142" i="50"/>
  <c r="BK142" i="50" s="1"/>
  <c r="Y52" i="50"/>
  <c r="BK52" i="50" s="1"/>
  <c r="Y47" i="50"/>
  <c r="BK47" i="50" s="1"/>
  <c r="Y148" i="50"/>
  <c r="BK148" i="50" s="1"/>
  <c r="Y43" i="50"/>
  <c r="BK43" i="50" s="1"/>
  <c r="Y140" i="50"/>
  <c r="BK140" i="50" s="1"/>
  <c r="Y54" i="50"/>
  <c r="BK54" i="50" s="1"/>
  <c r="Y144" i="50"/>
  <c r="BK144" i="50" s="1"/>
  <c r="J51" i="50"/>
  <c r="AV51" i="50" s="1"/>
  <c r="R49" i="50"/>
  <c r="BD49" i="50" s="1"/>
  <c r="R144" i="50"/>
  <c r="BD144" i="50" s="1"/>
  <c r="R133" i="50"/>
  <c r="BD133" i="50" s="1"/>
  <c r="R132" i="50"/>
  <c r="BD132" i="50" s="1"/>
  <c r="R150" i="50"/>
  <c r="BD150" i="50" s="1"/>
  <c r="R134" i="50"/>
  <c r="BD134" i="50" s="1"/>
  <c r="Y56" i="50"/>
  <c r="BK56" i="50" s="1"/>
  <c r="Y40" i="50"/>
  <c r="BK40" i="50" s="1"/>
  <c r="G113" i="51"/>
  <c r="AE171" i="50"/>
  <c r="R53" i="50"/>
  <c r="BD53" i="50" s="1"/>
  <c r="R136" i="50"/>
  <c r="BD136" i="50" s="1"/>
  <c r="R48" i="50"/>
  <c r="BD48" i="50" s="1"/>
  <c r="R50" i="50"/>
  <c r="BD50" i="50" s="1"/>
  <c r="R37" i="50"/>
  <c r="BD37" i="50" s="1"/>
  <c r="R141" i="50"/>
  <c r="BD141" i="50" s="1"/>
  <c r="R137" i="50"/>
  <c r="BD137" i="50" s="1"/>
  <c r="BR157" i="50"/>
  <c r="AF177" i="50"/>
  <c r="BR177" i="50" s="1"/>
  <c r="R147" i="50"/>
  <c r="BD147" i="50" s="1"/>
  <c r="R58" i="50"/>
  <c r="BD58" i="50" s="1"/>
  <c r="R41" i="50"/>
  <c r="BD41" i="50" s="1"/>
  <c r="R57" i="50"/>
  <c r="BD57" i="50" s="1"/>
  <c r="R55" i="50"/>
  <c r="BD55" i="50" s="1"/>
  <c r="R43" i="50"/>
  <c r="BD43" i="50" s="1"/>
  <c r="R146" i="50"/>
  <c r="BD146" i="50" s="1"/>
  <c r="R59" i="50"/>
  <c r="BD59" i="50" s="1"/>
  <c r="H136" i="50"/>
  <c r="AT136" i="50" s="1"/>
  <c r="H40" i="50"/>
  <c r="AT40" i="50" s="1"/>
  <c r="H41" i="50"/>
  <c r="AT41" i="50" s="1"/>
  <c r="H150" i="50"/>
  <c r="AT150" i="50" s="1"/>
  <c r="H46" i="50"/>
  <c r="AT46" i="50" s="1"/>
  <c r="H39" i="50"/>
  <c r="AT39" i="50" s="1"/>
  <c r="H143" i="50"/>
  <c r="AT143" i="50" s="1"/>
  <c r="H53" i="50"/>
  <c r="AT53" i="50" s="1"/>
  <c r="H141" i="50"/>
  <c r="AT141" i="50" s="1"/>
  <c r="H148" i="50"/>
  <c r="AT148" i="50" s="1"/>
  <c r="I145" i="50"/>
  <c r="AU145" i="50" s="1"/>
  <c r="I56" i="50"/>
  <c r="AU56" i="50" s="1"/>
  <c r="I133" i="50"/>
  <c r="AU133" i="50" s="1"/>
  <c r="I144" i="50"/>
  <c r="AU144" i="50" s="1"/>
  <c r="I52" i="50"/>
  <c r="AU52" i="50" s="1"/>
  <c r="I140" i="50"/>
  <c r="AU140" i="50" s="1"/>
  <c r="I141" i="50"/>
  <c r="AU141" i="50" s="1"/>
  <c r="R39" i="50"/>
  <c r="BD39" i="50" s="1"/>
  <c r="I55" i="50"/>
  <c r="AU55" i="50" s="1"/>
  <c r="I150" i="50"/>
  <c r="AU150" i="50" s="1"/>
  <c r="I146" i="50"/>
  <c r="AU146" i="50" s="1"/>
  <c r="R46" i="50"/>
  <c r="BD46" i="50" s="1"/>
  <c r="R139" i="50"/>
  <c r="BD139" i="50" s="1"/>
  <c r="H55" i="50"/>
  <c r="AT55" i="50" s="1"/>
  <c r="H48" i="50"/>
  <c r="AT48" i="50" s="1"/>
  <c r="H54" i="50"/>
  <c r="AT54" i="50" s="1"/>
  <c r="H133" i="50"/>
  <c r="AT133" i="50" s="1"/>
  <c r="H139" i="50"/>
  <c r="AT139" i="50" s="1"/>
  <c r="H58" i="50"/>
  <c r="AT58" i="50" s="1"/>
  <c r="H147" i="50"/>
  <c r="AT147" i="50" s="1"/>
  <c r="H138" i="50"/>
  <c r="AT138" i="50" s="1"/>
  <c r="H50" i="50"/>
  <c r="AT50" i="50" s="1"/>
  <c r="H49" i="50"/>
  <c r="AT49" i="50" s="1"/>
  <c r="H59" i="50"/>
  <c r="AT59" i="50" s="1"/>
  <c r="I143" i="50"/>
  <c r="AU143" i="50" s="1"/>
  <c r="I59" i="50"/>
  <c r="AU59" i="50" s="1"/>
  <c r="I51" i="50"/>
  <c r="AU51" i="50" s="1"/>
  <c r="I49" i="50"/>
  <c r="AU49" i="50" s="1"/>
  <c r="I139" i="50"/>
  <c r="AU139" i="50" s="1"/>
  <c r="I54" i="50"/>
  <c r="AU54" i="50" s="1"/>
  <c r="I135" i="50"/>
  <c r="AU135" i="50" s="1"/>
  <c r="I40" i="50"/>
  <c r="AU40" i="50" s="1"/>
  <c r="R142" i="50"/>
  <c r="BD142" i="50" s="1"/>
  <c r="I149" i="50"/>
  <c r="AU149" i="50" s="1"/>
  <c r="R51" i="50"/>
  <c r="BD51" i="50" s="1"/>
  <c r="R47" i="50"/>
  <c r="BD47" i="50" s="1"/>
  <c r="R140" i="50"/>
  <c r="BD140" i="50" s="1"/>
  <c r="R36" i="50"/>
  <c r="BD36" i="50" s="1"/>
  <c r="R56" i="50"/>
  <c r="BD56" i="50" s="1"/>
  <c r="R135" i="50"/>
  <c r="BD135" i="50" s="1"/>
  <c r="R148" i="50"/>
  <c r="BD148" i="50" s="1"/>
  <c r="R149" i="50"/>
  <c r="BD149" i="50" s="1"/>
  <c r="R54" i="50"/>
  <c r="BD54" i="50" s="1"/>
  <c r="R138" i="50"/>
  <c r="BD138" i="50" s="1"/>
  <c r="H42" i="50"/>
  <c r="AT42" i="50" s="1"/>
  <c r="H145" i="50"/>
  <c r="AT145" i="50" s="1"/>
  <c r="H47" i="50"/>
  <c r="AT47" i="50" s="1"/>
  <c r="H37" i="50"/>
  <c r="AT37" i="50" s="1"/>
  <c r="H140" i="50"/>
  <c r="AT140" i="50" s="1"/>
  <c r="H57" i="50"/>
  <c r="AT57" i="50" s="1"/>
  <c r="H132" i="50"/>
  <c r="AT132" i="50" s="1"/>
  <c r="H113" i="51"/>
  <c r="H149" i="50"/>
  <c r="AT149" i="50" s="1"/>
  <c r="H146" i="50"/>
  <c r="AT146" i="50" s="1"/>
  <c r="I136" i="50"/>
  <c r="AU136" i="50" s="1"/>
  <c r="I43" i="50"/>
  <c r="AU43" i="50" s="1"/>
  <c r="I147" i="50"/>
  <c r="AU147" i="50" s="1"/>
  <c r="I50" i="50"/>
  <c r="AU50" i="50" s="1"/>
  <c r="I138" i="50"/>
  <c r="AU138" i="50" s="1"/>
  <c r="I57" i="50"/>
  <c r="AU57" i="50" s="1"/>
  <c r="I58" i="50"/>
  <c r="AU58" i="50" s="1"/>
  <c r="I41" i="50"/>
  <c r="AU41" i="50" s="1"/>
  <c r="I148" i="50"/>
  <c r="AU148" i="50" s="1"/>
  <c r="I39" i="50"/>
  <c r="AU39" i="50" s="1"/>
  <c r="K113" i="51"/>
  <c r="I113" i="51"/>
  <c r="O144" i="50"/>
  <c r="BA144" i="50" s="1"/>
  <c r="O135" i="50"/>
  <c r="BA135" i="50" s="1"/>
  <c r="O49" i="50"/>
  <c r="BA49" i="50" s="1"/>
  <c r="O42" i="50"/>
  <c r="BA42" i="50" s="1"/>
  <c r="O46" i="50"/>
  <c r="BA46" i="50" s="1"/>
  <c r="O58" i="50"/>
  <c r="BA58" i="50" s="1"/>
  <c r="O148" i="50"/>
  <c r="BA148" i="50" s="1"/>
  <c r="J40" i="50"/>
  <c r="F62" i="67"/>
  <c r="J113" i="51"/>
  <c r="G56" i="49"/>
  <c r="M56" i="49" s="1"/>
  <c r="AE282" i="50"/>
  <c r="BQ282" i="50" s="1"/>
  <c r="W132" i="50"/>
  <c r="W54" i="50"/>
  <c r="BI54" i="50" s="1"/>
  <c r="W133" i="50"/>
  <c r="BI133" i="50" s="1"/>
  <c r="W57" i="50"/>
  <c r="BI57" i="50" s="1"/>
  <c r="W55" i="50"/>
  <c r="BI55" i="50" s="1"/>
  <c r="W52" i="50"/>
  <c r="BI52" i="50" s="1"/>
  <c r="W144" i="50"/>
  <c r="BI144" i="50" s="1"/>
  <c r="W137" i="50"/>
  <c r="BI137" i="50" s="1"/>
  <c r="W150" i="50"/>
  <c r="BI150" i="50" s="1"/>
  <c r="W58" i="50"/>
  <c r="BI58" i="50" s="1"/>
  <c r="W136" i="50"/>
  <c r="BI136" i="50" s="1"/>
  <c r="W138" i="50"/>
  <c r="BI138" i="50" s="1"/>
  <c r="W40" i="50"/>
  <c r="BI40" i="50" s="1"/>
  <c r="W145" i="50"/>
  <c r="BI145" i="50" s="1"/>
  <c r="W139" i="50"/>
  <c r="BI139" i="50" s="1"/>
  <c r="W46" i="50"/>
  <c r="BI46" i="50" s="1"/>
  <c r="W134" i="50"/>
  <c r="BI134" i="50" s="1"/>
  <c r="W36" i="50"/>
  <c r="BI36" i="50" s="1"/>
  <c r="W42" i="50"/>
  <c r="BI42" i="50" s="1"/>
  <c r="W149" i="50"/>
  <c r="BI149" i="50" s="1"/>
  <c r="W51" i="50"/>
  <c r="BI51" i="50" s="1"/>
  <c r="W49" i="50"/>
  <c r="BI49" i="50" s="1"/>
  <c r="W56" i="50"/>
  <c r="BI56" i="50" s="1"/>
  <c r="W146" i="50"/>
  <c r="BI146" i="50" s="1"/>
  <c r="W141" i="50"/>
  <c r="BI141" i="50" s="1"/>
  <c r="W140" i="50"/>
  <c r="BI140" i="50" s="1"/>
  <c r="W59" i="50"/>
  <c r="BI59" i="50" s="1"/>
  <c r="W41" i="50"/>
  <c r="BI41" i="50" s="1"/>
  <c r="W39" i="50"/>
  <c r="W43" i="50"/>
  <c r="BI43" i="50" s="1"/>
  <c r="W135" i="50"/>
  <c r="BI135" i="50" s="1"/>
  <c r="W47" i="50"/>
  <c r="BI47" i="50" s="1"/>
  <c r="W143" i="50"/>
  <c r="BI143" i="50" s="1"/>
  <c r="W53" i="50"/>
  <c r="BI53" i="50" s="1"/>
  <c r="W142" i="50"/>
  <c r="BI142" i="50" s="1"/>
  <c r="W147" i="50"/>
  <c r="BI147" i="50" s="1"/>
  <c r="W48" i="50"/>
  <c r="BI48" i="50" s="1"/>
  <c r="W50" i="50"/>
  <c r="BI50" i="50" s="1"/>
  <c r="W148" i="50"/>
  <c r="BI148" i="50" s="1"/>
  <c r="W37" i="50"/>
  <c r="BI37" i="50" s="1"/>
  <c r="F39" i="50"/>
  <c r="F140" i="50"/>
  <c r="F132" i="50"/>
  <c r="F144" i="50"/>
  <c r="F36" i="50"/>
  <c r="F139" i="50"/>
  <c r="F56" i="50"/>
  <c r="F40" i="50"/>
  <c r="F135" i="50"/>
  <c r="F145" i="50"/>
  <c r="F48" i="50"/>
  <c r="F51" i="50"/>
  <c r="F47" i="50"/>
  <c r="F37" i="50"/>
  <c r="F142" i="50"/>
  <c r="F137" i="50"/>
  <c r="F141" i="50"/>
  <c r="F138" i="50"/>
  <c r="F54" i="50"/>
  <c r="F49" i="50"/>
  <c r="F146" i="50"/>
  <c r="F150" i="50"/>
  <c r="F113" i="51"/>
  <c r="F55" i="50"/>
  <c r="F136" i="50"/>
  <c r="F148" i="50"/>
  <c r="F52" i="50"/>
  <c r="F50" i="50"/>
  <c r="F46" i="50"/>
  <c r="F41" i="50"/>
  <c r="F43" i="50"/>
  <c r="F149" i="50"/>
  <c r="F134" i="50"/>
  <c r="F58" i="50"/>
  <c r="F143" i="50"/>
  <c r="F147" i="50"/>
  <c r="F133" i="50"/>
  <c r="F42" i="50"/>
  <c r="F53" i="50"/>
  <c r="F59" i="50"/>
  <c r="F57" i="50"/>
  <c r="BU60" i="50"/>
  <c r="C86" i="85" s="1"/>
  <c r="AI282" i="50"/>
  <c r="BU282" i="50" s="1"/>
  <c r="C86" i="67"/>
  <c r="D70" i="49"/>
  <c r="T141" i="50"/>
  <c r="T40" i="50"/>
  <c r="T148" i="50"/>
  <c r="T43" i="50"/>
  <c r="T136" i="50"/>
  <c r="T39" i="50"/>
  <c r="T135" i="50"/>
  <c r="T145" i="50"/>
  <c r="T48" i="50"/>
  <c r="T144" i="50"/>
  <c r="T37" i="50"/>
  <c r="T146" i="50"/>
  <c r="T52" i="50"/>
  <c r="T138" i="50"/>
  <c r="T57" i="50"/>
  <c r="T147" i="50"/>
  <c r="T143" i="50"/>
  <c r="T133" i="50"/>
  <c r="T137" i="50"/>
  <c r="T36" i="50"/>
  <c r="T54" i="50"/>
  <c r="T58" i="50"/>
  <c r="T47" i="50"/>
  <c r="T59" i="50"/>
  <c r="T51" i="50"/>
  <c r="T134" i="50"/>
  <c r="T149" i="50"/>
  <c r="T49" i="50"/>
  <c r="T42" i="50"/>
  <c r="T46" i="50"/>
  <c r="T132" i="50"/>
  <c r="T50" i="50"/>
  <c r="T41" i="50"/>
  <c r="T142" i="50"/>
  <c r="T56" i="50"/>
  <c r="T150" i="50"/>
  <c r="T139" i="50"/>
  <c r="T55" i="50"/>
  <c r="T140" i="50"/>
  <c r="T53" i="50"/>
  <c r="BW65" i="50"/>
  <c r="AL65" i="50"/>
  <c r="AN30" i="67"/>
  <c r="K55" i="49"/>
  <c r="AN30" i="85" s="1"/>
  <c r="J145" i="50"/>
  <c r="AV145" i="50" s="1"/>
  <c r="J150" i="50"/>
  <c r="AV150" i="50" s="1"/>
  <c r="J52" i="50"/>
  <c r="AV52" i="50" s="1"/>
  <c r="J147" i="50"/>
  <c r="AV147" i="50" s="1"/>
  <c r="J141" i="50"/>
  <c r="AV141" i="50" s="1"/>
  <c r="J136" i="50"/>
  <c r="AV136" i="50" s="1"/>
  <c r="J142" i="50"/>
  <c r="AV142" i="50" s="1"/>
  <c r="J132" i="50"/>
  <c r="J48" i="50"/>
  <c r="AV48" i="50" s="1"/>
  <c r="J36" i="50"/>
  <c r="AV36" i="50" s="1"/>
  <c r="J140" i="50"/>
  <c r="AV140" i="50" s="1"/>
  <c r="J50" i="50"/>
  <c r="AV50" i="50" s="1"/>
  <c r="J46" i="50"/>
  <c r="AV46" i="50" s="1"/>
  <c r="J148" i="50"/>
  <c r="AV148" i="50" s="1"/>
  <c r="J139" i="50"/>
  <c r="AV139" i="50" s="1"/>
  <c r="J59" i="50"/>
  <c r="AV59" i="50" s="1"/>
  <c r="J149" i="50"/>
  <c r="AV149" i="50" s="1"/>
  <c r="J57" i="50"/>
  <c r="AV57" i="50" s="1"/>
  <c r="J41" i="50"/>
  <c r="AV41" i="50" s="1"/>
  <c r="J53" i="50"/>
  <c r="AV53" i="50" s="1"/>
  <c r="J49" i="50"/>
  <c r="AV49" i="50" s="1"/>
  <c r="J144" i="50"/>
  <c r="AV144" i="50" s="1"/>
  <c r="J54" i="50"/>
  <c r="AV54" i="50" s="1"/>
  <c r="J143" i="50"/>
  <c r="AV143" i="50" s="1"/>
  <c r="J47" i="50"/>
  <c r="AV47" i="50" s="1"/>
  <c r="J137" i="50"/>
  <c r="AV137" i="50" s="1"/>
  <c r="J133" i="50"/>
  <c r="AV133" i="50" s="1"/>
  <c r="J37" i="50"/>
  <c r="AV37" i="50" s="1"/>
  <c r="J134" i="50"/>
  <c r="AV134" i="50" s="1"/>
  <c r="J138" i="50"/>
  <c r="AV138" i="50" s="1"/>
  <c r="J55" i="50"/>
  <c r="AV55" i="50" s="1"/>
  <c r="J39" i="50"/>
  <c r="AV39" i="50" s="1"/>
  <c r="J56" i="50"/>
  <c r="AV56" i="50" s="1"/>
  <c r="J43" i="50"/>
  <c r="AV43" i="50" s="1"/>
  <c r="J146" i="50"/>
  <c r="AV146" i="50" s="1"/>
  <c r="J135" i="50"/>
  <c r="AV135" i="50" s="1"/>
  <c r="J58" i="50"/>
  <c r="AV58" i="50" s="1"/>
  <c r="K37" i="50"/>
  <c r="AW37" i="50" s="1"/>
  <c r="K55" i="50"/>
  <c r="AW55" i="50" s="1"/>
  <c r="K144" i="50"/>
  <c r="AW144" i="50" s="1"/>
  <c r="K147" i="50"/>
  <c r="AW147" i="50" s="1"/>
  <c r="K59" i="50"/>
  <c r="AW59" i="50" s="1"/>
  <c r="K53" i="50"/>
  <c r="AW53" i="50" s="1"/>
  <c r="K138" i="50"/>
  <c r="AW138" i="50" s="1"/>
  <c r="K143" i="50"/>
  <c r="AW143" i="50" s="1"/>
  <c r="K54" i="50"/>
  <c r="AW54" i="50" s="1"/>
  <c r="K47" i="50"/>
  <c r="AW47" i="50" s="1"/>
  <c r="K48" i="50"/>
  <c r="AW48" i="50" s="1"/>
  <c r="K43" i="50"/>
  <c r="AW43" i="50" s="1"/>
  <c r="K57" i="50"/>
  <c r="AW57" i="50" s="1"/>
  <c r="K141" i="50"/>
  <c r="AW141" i="50" s="1"/>
  <c r="K150" i="50"/>
  <c r="AW150" i="50" s="1"/>
  <c r="K46" i="50"/>
  <c r="AW46" i="50" s="1"/>
  <c r="K36" i="50"/>
  <c r="AW36" i="50" s="1"/>
  <c r="K136" i="50"/>
  <c r="AW136" i="50" s="1"/>
  <c r="K140" i="50"/>
  <c r="AW140" i="50" s="1"/>
  <c r="K134" i="50"/>
  <c r="AW134" i="50" s="1"/>
  <c r="K146" i="50"/>
  <c r="AW146" i="50" s="1"/>
  <c r="K58" i="50"/>
  <c r="AW58" i="50" s="1"/>
  <c r="K50" i="50"/>
  <c r="AW50" i="50" s="1"/>
  <c r="K56" i="50"/>
  <c r="AW56" i="50" s="1"/>
  <c r="K49" i="50"/>
  <c r="AW49" i="50" s="1"/>
  <c r="K137" i="50"/>
  <c r="AW137" i="50" s="1"/>
  <c r="K149" i="50"/>
  <c r="AW149" i="50" s="1"/>
  <c r="K142" i="50"/>
  <c r="AW142" i="50" s="1"/>
  <c r="K135" i="50"/>
  <c r="AW135" i="50" s="1"/>
  <c r="K139" i="50"/>
  <c r="AW139" i="50" s="1"/>
  <c r="K132" i="50"/>
  <c r="K133" i="50"/>
  <c r="AW133" i="50" s="1"/>
  <c r="K145" i="50"/>
  <c r="AW145" i="50" s="1"/>
  <c r="K39" i="50"/>
  <c r="AW39" i="50" s="1"/>
  <c r="K52" i="50"/>
  <c r="AW52" i="50" s="1"/>
  <c r="K148" i="50"/>
  <c r="AW148" i="50" s="1"/>
  <c r="F55" i="49"/>
  <c r="L56" i="49"/>
  <c r="BX70" i="50"/>
  <c r="AL69" i="50"/>
  <c r="BX69" i="50" s="1"/>
  <c r="AM70" i="50"/>
  <c r="BX72" i="50"/>
  <c r="AM72" i="50"/>
  <c r="BY72" i="50" s="1"/>
  <c r="N144" i="50"/>
  <c r="AZ144" i="50" s="1"/>
  <c r="N136" i="50"/>
  <c r="AZ136" i="50" s="1"/>
  <c r="N133" i="50"/>
  <c r="AZ133" i="50" s="1"/>
  <c r="N137" i="50"/>
  <c r="AZ137" i="50" s="1"/>
  <c r="N51" i="50"/>
  <c r="AZ51" i="50" s="1"/>
  <c r="N46" i="50"/>
  <c r="AZ46" i="50" s="1"/>
  <c r="N36" i="50"/>
  <c r="AZ36" i="50" s="1"/>
  <c r="N147" i="50"/>
  <c r="AZ147" i="50" s="1"/>
  <c r="N135" i="50"/>
  <c r="AZ135" i="50" s="1"/>
  <c r="N54" i="50"/>
  <c r="AZ54" i="50" s="1"/>
  <c r="N139" i="50"/>
  <c r="AZ139" i="50" s="1"/>
  <c r="N43" i="50"/>
  <c r="AZ43" i="50" s="1"/>
  <c r="N55" i="50"/>
  <c r="AZ55" i="50" s="1"/>
  <c r="N146" i="50"/>
  <c r="AZ146" i="50" s="1"/>
  <c r="N138" i="50"/>
  <c r="AZ138" i="50" s="1"/>
  <c r="N57" i="50"/>
  <c r="AZ57" i="50" s="1"/>
  <c r="N56" i="50"/>
  <c r="AZ56" i="50" s="1"/>
  <c r="N47" i="50"/>
  <c r="AZ47" i="50" s="1"/>
  <c r="N145" i="50"/>
  <c r="AZ145" i="50" s="1"/>
  <c r="N41" i="50"/>
  <c r="AZ41" i="50" s="1"/>
  <c r="N149" i="50"/>
  <c r="AZ149" i="50" s="1"/>
  <c r="N40" i="50"/>
  <c r="AZ40" i="50" s="1"/>
  <c r="N150" i="50"/>
  <c r="AZ150" i="50" s="1"/>
  <c r="N50" i="50"/>
  <c r="AZ50" i="50" s="1"/>
  <c r="N37" i="50"/>
  <c r="AZ37" i="50" s="1"/>
  <c r="N143" i="50"/>
  <c r="AZ143" i="50" s="1"/>
  <c r="N48" i="50"/>
  <c r="AZ48" i="50" s="1"/>
  <c r="N148" i="50"/>
  <c r="AZ148" i="50" s="1"/>
  <c r="N59" i="50"/>
  <c r="AZ59" i="50" s="1"/>
  <c r="N52" i="50"/>
  <c r="AZ52" i="50" s="1"/>
  <c r="N134" i="50"/>
  <c r="AZ134" i="50" s="1"/>
  <c r="N49" i="50"/>
  <c r="AZ49" i="50" s="1"/>
  <c r="N140" i="50"/>
  <c r="AZ140" i="50" s="1"/>
  <c r="N42" i="50"/>
  <c r="AZ42" i="50" s="1"/>
  <c r="N53" i="50"/>
  <c r="AZ53" i="50" s="1"/>
  <c r="N132" i="50"/>
  <c r="N58" i="50"/>
  <c r="AZ58" i="50" s="1"/>
  <c r="N39" i="50"/>
  <c r="N141" i="50"/>
  <c r="AZ141" i="50" s="1"/>
  <c r="N142" i="50"/>
  <c r="AZ142" i="50" s="1"/>
  <c r="BV60" i="50"/>
  <c r="D86" i="85" s="1"/>
  <c r="AJ282" i="50"/>
  <c r="BV282" i="50" s="1"/>
  <c r="E70" i="49"/>
  <c r="D86" i="67"/>
  <c r="AM66" i="50"/>
  <c r="BY66" i="50" s="1"/>
  <c r="BX66" i="50"/>
  <c r="AM67" i="50"/>
  <c r="BY67" i="50" s="1"/>
  <c r="BX67" i="50"/>
  <c r="V136" i="50"/>
  <c r="BH136" i="50" s="1"/>
  <c r="V144" i="50"/>
  <c r="BH144" i="50" s="1"/>
  <c r="V143" i="50"/>
  <c r="BH143" i="50" s="1"/>
  <c r="V50" i="50"/>
  <c r="BH50" i="50" s="1"/>
  <c r="V132" i="50"/>
  <c r="V137" i="50"/>
  <c r="BH137" i="50" s="1"/>
  <c r="V43" i="50"/>
  <c r="BH43" i="50" s="1"/>
  <c r="V36" i="50"/>
  <c r="BH36" i="50" s="1"/>
  <c r="V148" i="50"/>
  <c r="BH148" i="50" s="1"/>
  <c r="V51" i="50"/>
  <c r="BH51" i="50" s="1"/>
  <c r="V145" i="50"/>
  <c r="BH145" i="50" s="1"/>
  <c r="V53" i="50"/>
  <c r="BH53" i="50" s="1"/>
  <c r="V140" i="50"/>
  <c r="BH140" i="50" s="1"/>
  <c r="V150" i="50"/>
  <c r="BH150" i="50" s="1"/>
  <c r="V135" i="50"/>
  <c r="BH135" i="50" s="1"/>
  <c r="V56" i="50"/>
  <c r="BH56" i="50" s="1"/>
  <c r="V40" i="50"/>
  <c r="BH40" i="50" s="1"/>
  <c r="V39" i="50"/>
  <c r="V58" i="50"/>
  <c r="BH58" i="50" s="1"/>
  <c r="V142" i="50"/>
  <c r="BH142" i="50" s="1"/>
  <c r="V41" i="50"/>
  <c r="BH41" i="50" s="1"/>
  <c r="V149" i="50"/>
  <c r="BH149" i="50" s="1"/>
  <c r="V57" i="50"/>
  <c r="BH57" i="50" s="1"/>
  <c r="V138" i="50"/>
  <c r="BH138" i="50" s="1"/>
  <c r="V133" i="50"/>
  <c r="BH133" i="50" s="1"/>
  <c r="V147" i="50"/>
  <c r="BH147" i="50" s="1"/>
  <c r="V49" i="50"/>
  <c r="BH49" i="50" s="1"/>
  <c r="V46" i="50"/>
  <c r="BH46" i="50" s="1"/>
  <c r="V139" i="50"/>
  <c r="BH139" i="50" s="1"/>
  <c r="V47" i="50"/>
  <c r="BH47" i="50" s="1"/>
  <c r="V59" i="50"/>
  <c r="BH59" i="50" s="1"/>
  <c r="V37" i="50"/>
  <c r="BH37" i="50" s="1"/>
  <c r="V55" i="50"/>
  <c r="BH55" i="50" s="1"/>
  <c r="V141" i="50"/>
  <c r="BH141" i="50" s="1"/>
  <c r="V48" i="50"/>
  <c r="BH48" i="50" s="1"/>
  <c r="V146" i="50"/>
  <c r="BH146" i="50" s="1"/>
  <c r="V134" i="50"/>
  <c r="BH134" i="50" s="1"/>
  <c r="V54" i="50"/>
  <c r="BH54" i="50" s="1"/>
  <c r="V52" i="50"/>
  <c r="BH52" i="50" s="1"/>
  <c r="V42" i="50"/>
  <c r="BH42" i="50" s="1"/>
  <c r="AK63" i="50"/>
  <c r="M136" i="50"/>
  <c r="M143" i="50"/>
  <c r="M42" i="50"/>
  <c r="M52" i="50"/>
  <c r="M139" i="50"/>
  <c r="M53" i="50"/>
  <c r="M137" i="50"/>
  <c r="M134" i="50"/>
  <c r="M59" i="50"/>
  <c r="M48" i="50"/>
  <c r="M51" i="50"/>
  <c r="M132" i="50"/>
  <c r="M46" i="50"/>
  <c r="M58" i="50"/>
  <c r="M47" i="50"/>
  <c r="M40" i="50"/>
  <c r="M149" i="50"/>
  <c r="M56" i="50"/>
  <c r="M54" i="50"/>
  <c r="M140" i="50"/>
  <c r="M138" i="50"/>
  <c r="M135" i="50"/>
  <c r="M144" i="50"/>
  <c r="M39" i="50"/>
  <c r="M146" i="50"/>
  <c r="M142" i="50"/>
  <c r="M37" i="50"/>
  <c r="M41" i="50"/>
  <c r="M55" i="50"/>
  <c r="M43" i="50"/>
  <c r="M50" i="50"/>
  <c r="M147" i="50"/>
  <c r="M57" i="50"/>
  <c r="M36" i="50"/>
  <c r="M150" i="50"/>
  <c r="M133" i="50"/>
  <c r="M145" i="50"/>
  <c r="M141" i="50"/>
  <c r="M49" i="50"/>
  <c r="M148" i="50"/>
  <c r="BX71" i="50"/>
  <c r="AM71" i="50"/>
  <c r="BY71" i="50" s="1"/>
  <c r="C69" i="49"/>
  <c r="I70" i="49"/>
  <c r="BB70" i="62"/>
  <c r="K41" i="50"/>
  <c r="AW41" i="50" s="1"/>
  <c r="G91" i="67"/>
  <c r="BY151" i="50"/>
  <c r="G91" i="85" s="1"/>
  <c r="BB78" i="62"/>
  <c r="K42" i="50"/>
  <c r="AW42" i="50" s="1"/>
  <c r="G67" i="67"/>
  <c r="BR151" i="50"/>
  <c r="G67" i="85" s="1"/>
  <c r="AF60" i="50"/>
  <c r="BR69" i="50"/>
  <c r="BR173" i="50"/>
  <c r="P42" i="79"/>
  <c r="P20" i="79"/>
  <c r="P21" i="79"/>
  <c r="O42" i="79"/>
  <c r="O43" i="79"/>
  <c r="J60" i="62"/>
  <c r="BA60" i="62" s="1"/>
  <c r="K99" i="62"/>
  <c r="BB99" i="62" s="1"/>
  <c r="K51" i="50"/>
  <c r="AW51" i="50" s="1"/>
  <c r="K67" i="62"/>
  <c r="BB67" i="62" s="1"/>
  <c r="K40" i="50"/>
  <c r="G36" i="58"/>
  <c r="H36" i="58"/>
  <c r="I36" i="58"/>
  <c r="J36" i="58"/>
  <c r="K36" i="58"/>
  <c r="D36" i="58"/>
  <c r="D34" i="58"/>
  <c r="BG136" i="50" l="1"/>
  <c r="X38" i="50"/>
  <c r="BJ38" i="50" s="1"/>
  <c r="X131" i="50"/>
  <c r="Q38" i="50"/>
  <c r="BC38" i="50" s="1"/>
  <c r="Q131" i="50"/>
  <c r="P38" i="50"/>
  <c r="BB38" i="50" s="1"/>
  <c r="P131" i="50"/>
  <c r="BG138" i="50"/>
  <c r="AS149" i="50"/>
  <c r="BG150" i="50"/>
  <c r="AS145" i="50"/>
  <c r="AS54" i="50"/>
  <c r="BG53" i="50"/>
  <c r="BG37" i="50"/>
  <c r="AS144" i="50"/>
  <c r="AS50" i="50"/>
  <c r="BG36" i="50"/>
  <c r="BG143" i="50"/>
  <c r="BG57" i="50"/>
  <c r="AS36" i="50"/>
  <c r="AS41" i="50"/>
  <c r="AS42" i="50"/>
  <c r="BG43" i="50"/>
  <c r="AS55" i="50"/>
  <c r="AS58" i="50"/>
  <c r="BG47" i="50"/>
  <c r="AS53" i="50"/>
  <c r="BG42" i="50"/>
  <c r="U38" i="50"/>
  <c r="BG38" i="50" s="1"/>
  <c r="Y38" i="50"/>
  <c r="BK38" i="50" s="1"/>
  <c r="AS132" i="50"/>
  <c r="AS37" i="50"/>
  <c r="BG148" i="50"/>
  <c r="AS150" i="50"/>
  <c r="BG139" i="50"/>
  <c r="BG55" i="50"/>
  <c r="BG59" i="50"/>
  <c r="AS146" i="50"/>
  <c r="BG48" i="50"/>
  <c r="BG135" i="50"/>
  <c r="BG149" i="50"/>
  <c r="AS46" i="50"/>
  <c r="BG147" i="50"/>
  <c r="BG40" i="50"/>
  <c r="BG46" i="50"/>
  <c r="BG52" i="50"/>
  <c r="AS141" i="50"/>
  <c r="BG54" i="50"/>
  <c r="AS136" i="50"/>
  <c r="AS59" i="50"/>
  <c r="BG146" i="50"/>
  <c r="AS52" i="50"/>
  <c r="AS137" i="50"/>
  <c r="BG140" i="50"/>
  <c r="BG132" i="50"/>
  <c r="AS134" i="50"/>
  <c r="AS40" i="50"/>
  <c r="AS49" i="50"/>
  <c r="BG49" i="50"/>
  <c r="AS135" i="50"/>
  <c r="BG145" i="50"/>
  <c r="BG141" i="50"/>
  <c r="AS140" i="50"/>
  <c r="AS51" i="50"/>
  <c r="AS48" i="50"/>
  <c r="AS47" i="50"/>
  <c r="BG56" i="50"/>
  <c r="AS39" i="50"/>
  <c r="AS143" i="50"/>
  <c r="BG142" i="50"/>
  <c r="BG144" i="50"/>
  <c r="AS147" i="50"/>
  <c r="AS133" i="50"/>
  <c r="BG50" i="50"/>
  <c r="BG41" i="50"/>
  <c r="G38" i="50"/>
  <c r="AS38" i="50" s="1"/>
  <c r="BG133" i="50"/>
  <c r="AS142" i="50"/>
  <c r="BG137" i="50"/>
  <c r="AS148" i="50"/>
  <c r="AS139" i="50"/>
  <c r="U131" i="50"/>
  <c r="BG131" i="50" s="1"/>
  <c r="C48" i="85" s="1"/>
  <c r="BG51" i="50"/>
  <c r="AS138" i="50"/>
  <c r="AS56" i="50"/>
  <c r="BA136" i="50"/>
  <c r="AS57" i="50"/>
  <c r="BG58" i="50"/>
  <c r="G131" i="50"/>
  <c r="AS131" i="50" s="1"/>
  <c r="C12" i="85" s="1"/>
  <c r="Y131" i="50"/>
  <c r="F68" i="67"/>
  <c r="BQ171" i="50"/>
  <c r="F68" i="85" s="1"/>
  <c r="AV40" i="50"/>
  <c r="AF171" i="50"/>
  <c r="O38" i="50"/>
  <c r="BA38" i="50" s="1"/>
  <c r="H38" i="50"/>
  <c r="AT38" i="50" s="1"/>
  <c r="G55" i="49"/>
  <c r="R131" i="50"/>
  <c r="I38" i="50"/>
  <c r="AU38" i="50" s="1"/>
  <c r="I131" i="50"/>
  <c r="R38" i="50"/>
  <c r="BD38" i="50" s="1"/>
  <c r="H131" i="50"/>
  <c r="D12" i="67" s="1"/>
  <c r="O131" i="50"/>
  <c r="BA131" i="50" s="1"/>
  <c r="D30" i="85" s="1"/>
  <c r="J38" i="50"/>
  <c r="AV38" i="50" s="1"/>
  <c r="BI132" i="50"/>
  <c r="W131" i="50"/>
  <c r="BI39" i="50"/>
  <c r="W38" i="50"/>
  <c r="BI38" i="50" s="1"/>
  <c r="T62" i="50"/>
  <c r="BF37" i="50"/>
  <c r="T168" i="50"/>
  <c r="BF148" i="50"/>
  <c r="F84" i="50"/>
  <c r="AR59" i="50"/>
  <c r="F169" i="50"/>
  <c r="AR149" i="50"/>
  <c r="F80" i="50"/>
  <c r="AR55" i="50"/>
  <c r="F157" i="50"/>
  <c r="AR137" i="50"/>
  <c r="F65" i="50"/>
  <c r="AR40" i="50"/>
  <c r="M68" i="50"/>
  <c r="AY43" i="50"/>
  <c r="T157" i="50"/>
  <c r="BF137" i="50"/>
  <c r="AY145" i="50"/>
  <c r="M165" i="50"/>
  <c r="M80" i="50"/>
  <c r="AY55" i="50"/>
  <c r="M158" i="50"/>
  <c r="AY138" i="50"/>
  <c r="M71" i="50"/>
  <c r="AY46" i="50"/>
  <c r="M159" i="50"/>
  <c r="AY139" i="50"/>
  <c r="AZ39" i="50"/>
  <c r="N38" i="50"/>
  <c r="AZ38" i="50" s="1"/>
  <c r="AM69" i="50"/>
  <c r="BY69" i="50" s="1"/>
  <c r="BY70" i="50"/>
  <c r="BX65" i="50"/>
  <c r="AM65" i="50"/>
  <c r="AL63" i="50"/>
  <c r="T162" i="50"/>
  <c r="BF142" i="50"/>
  <c r="T154" i="50"/>
  <c r="BF134" i="50"/>
  <c r="BF133" i="50"/>
  <c r="T153" i="50"/>
  <c r="T164" i="50"/>
  <c r="BF144" i="50"/>
  <c r="T65" i="50"/>
  <c r="BF40" i="50"/>
  <c r="F78" i="50"/>
  <c r="AR53" i="50"/>
  <c r="F68" i="50"/>
  <c r="AR43" i="50"/>
  <c r="F162" i="50"/>
  <c r="AR142" i="50"/>
  <c r="AR56" i="50"/>
  <c r="F81" i="50"/>
  <c r="M83" i="50"/>
  <c r="AY58" i="50"/>
  <c r="BF56" i="50"/>
  <c r="T81" i="50"/>
  <c r="AP30" i="67"/>
  <c r="M55" i="49"/>
  <c r="AP30" i="85" s="1"/>
  <c r="AY140" i="50"/>
  <c r="M160" i="50"/>
  <c r="M152" i="50"/>
  <c r="AY132" i="50"/>
  <c r="M131" i="50"/>
  <c r="AY131" i="50" s="1"/>
  <c r="M77" i="50"/>
  <c r="AY52" i="50"/>
  <c r="BH132" i="50"/>
  <c r="V131" i="50"/>
  <c r="T66" i="50"/>
  <c r="BF41" i="50"/>
  <c r="BF51" i="50"/>
  <c r="T76" i="50"/>
  <c r="T163" i="50"/>
  <c r="BF143" i="50"/>
  <c r="T73" i="50"/>
  <c r="BF48" i="50"/>
  <c r="T161" i="50"/>
  <c r="BF141" i="50"/>
  <c r="F67" i="50"/>
  <c r="AR42" i="50"/>
  <c r="AR41" i="50"/>
  <c r="F66" i="50"/>
  <c r="F170" i="50"/>
  <c r="AR150" i="50"/>
  <c r="F62" i="50"/>
  <c r="AR37" i="50"/>
  <c r="F159" i="50"/>
  <c r="AR139" i="50"/>
  <c r="T169" i="50"/>
  <c r="BF149" i="50"/>
  <c r="M62" i="50"/>
  <c r="AY37" i="50"/>
  <c r="M76" i="50"/>
  <c r="AY51" i="50"/>
  <c r="AZ132" i="50"/>
  <c r="N131" i="50"/>
  <c r="AW132" i="50"/>
  <c r="K131" i="50"/>
  <c r="BF53" i="50"/>
  <c r="T78" i="50"/>
  <c r="T75" i="50"/>
  <c r="BF50" i="50"/>
  <c r="T84" i="50"/>
  <c r="BF59" i="50"/>
  <c r="T167" i="50"/>
  <c r="BF147" i="50"/>
  <c r="T165" i="50"/>
  <c r="BF145" i="50"/>
  <c r="J70" i="49"/>
  <c r="D69" i="49"/>
  <c r="F153" i="50"/>
  <c r="AR133" i="50"/>
  <c r="F71" i="50"/>
  <c r="AR46" i="50"/>
  <c r="AR146" i="50"/>
  <c r="F166" i="50"/>
  <c r="F72" i="50"/>
  <c r="AR47" i="50"/>
  <c r="AR36" i="50"/>
  <c r="F61" i="50"/>
  <c r="M155" i="50"/>
  <c r="AY135" i="50"/>
  <c r="AY41" i="50"/>
  <c r="M66" i="50"/>
  <c r="AL38" i="67"/>
  <c r="I69" i="49"/>
  <c r="AL38" i="85" s="1"/>
  <c r="AY150" i="50"/>
  <c r="M170" i="50"/>
  <c r="M79" i="50"/>
  <c r="AY54" i="50"/>
  <c r="M67" i="50"/>
  <c r="AY42" i="50"/>
  <c r="M61" i="50"/>
  <c r="AY36" i="50"/>
  <c r="M162" i="50"/>
  <c r="AY142" i="50"/>
  <c r="M81" i="50"/>
  <c r="AY56" i="50"/>
  <c r="AY48" i="50"/>
  <c r="M73" i="50"/>
  <c r="M163" i="50"/>
  <c r="AY143" i="50"/>
  <c r="E69" i="49"/>
  <c r="K70" i="49"/>
  <c r="T160" i="50"/>
  <c r="BF140" i="50"/>
  <c r="T152" i="50"/>
  <c r="BF132" i="50"/>
  <c r="T131" i="50"/>
  <c r="BF131" i="50" s="1"/>
  <c r="BF47" i="50"/>
  <c r="T72" i="50"/>
  <c r="T82" i="50"/>
  <c r="BF57" i="50"/>
  <c r="T155" i="50"/>
  <c r="BF135" i="50"/>
  <c r="F167" i="50"/>
  <c r="AR147" i="50"/>
  <c r="AR50" i="50"/>
  <c r="F75" i="50"/>
  <c r="F74" i="50"/>
  <c r="AR49" i="50"/>
  <c r="F76" i="50"/>
  <c r="AR51" i="50"/>
  <c r="F164" i="50"/>
  <c r="AR144" i="50"/>
  <c r="M153" i="50"/>
  <c r="AY133" i="50"/>
  <c r="M82" i="50"/>
  <c r="AY57" i="50"/>
  <c r="M166" i="50"/>
  <c r="AY146" i="50"/>
  <c r="M169" i="50"/>
  <c r="AY149" i="50"/>
  <c r="M84" i="50"/>
  <c r="AY59" i="50"/>
  <c r="AY136" i="50"/>
  <c r="M156" i="50"/>
  <c r="BH39" i="50"/>
  <c r="V38" i="50"/>
  <c r="BH38" i="50" s="1"/>
  <c r="AO30" i="67"/>
  <c r="L55" i="49"/>
  <c r="AO30" i="85" s="1"/>
  <c r="T80" i="50"/>
  <c r="BF55" i="50"/>
  <c r="T71" i="50"/>
  <c r="BF46" i="50"/>
  <c r="T83" i="50"/>
  <c r="BF58" i="50"/>
  <c r="T158" i="50"/>
  <c r="BF138" i="50"/>
  <c r="T64" i="50"/>
  <c r="BF39" i="50"/>
  <c r="T38" i="50"/>
  <c r="BF38" i="50" s="1"/>
  <c r="F163" i="50"/>
  <c r="AR143" i="50"/>
  <c r="F77" i="50"/>
  <c r="AR52" i="50"/>
  <c r="F79" i="50"/>
  <c r="AR54" i="50"/>
  <c r="F73" i="50"/>
  <c r="AR48" i="50"/>
  <c r="F131" i="50"/>
  <c r="AR131" i="50" s="1"/>
  <c r="F152" i="50"/>
  <c r="AR132" i="50"/>
  <c r="M78" i="50"/>
  <c r="AY53" i="50"/>
  <c r="M168" i="50"/>
  <c r="AY148" i="50"/>
  <c r="M167" i="50"/>
  <c r="AY147" i="50"/>
  <c r="AY39" i="50"/>
  <c r="M38" i="50"/>
  <c r="AY38" i="50" s="1"/>
  <c r="M64" i="50"/>
  <c r="M65" i="50"/>
  <c r="AY40" i="50"/>
  <c r="M154" i="50"/>
  <c r="AY134" i="50"/>
  <c r="BW63" i="50"/>
  <c r="AK60" i="50"/>
  <c r="T159" i="50"/>
  <c r="BF139" i="50"/>
  <c r="T67" i="50"/>
  <c r="BF42" i="50"/>
  <c r="T79" i="50"/>
  <c r="BF54" i="50"/>
  <c r="T77" i="50"/>
  <c r="BF52" i="50"/>
  <c r="BF136" i="50"/>
  <c r="T156" i="50"/>
  <c r="F83" i="50"/>
  <c r="AR58" i="50"/>
  <c r="F168" i="50"/>
  <c r="AR148" i="50"/>
  <c r="F158" i="50"/>
  <c r="AR138" i="50"/>
  <c r="F165" i="50"/>
  <c r="AR145" i="50"/>
  <c r="F160" i="50"/>
  <c r="AR140" i="50"/>
  <c r="M161" i="50"/>
  <c r="AY141" i="50"/>
  <c r="M74" i="50"/>
  <c r="AY49" i="50"/>
  <c r="M75" i="50"/>
  <c r="AY50" i="50"/>
  <c r="M164" i="50"/>
  <c r="AY144" i="50"/>
  <c r="M72" i="50"/>
  <c r="AY47" i="50"/>
  <c r="M157" i="50"/>
  <c r="AY137" i="50"/>
  <c r="AV132" i="50"/>
  <c r="J131" i="50"/>
  <c r="T170" i="50"/>
  <c r="BF150" i="50"/>
  <c r="BF49" i="50"/>
  <c r="T74" i="50"/>
  <c r="T61" i="50"/>
  <c r="BF36" i="50"/>
  <c r="T166" i="50"/>
  <c r="BF146" i="50"/>
  <c r="T68" i="50"/>
  <c r="BF43" i="50"/>
  <c r="F82" i="50"/>
  <c r="AR57" i="50"/>
  <c r="F154" i="50"/>
  <c r="AR134" i="50"/>
  <c r="F156" i="50"/>
  <c r="AR136" i="50"/>
  <c r="F161" i="50"/>
  <c r="AR141" i="50"/>
  <c r="AR135" i="50"/>
  <c r="F155" i="50"/>
  <c r="F64" i="50"/>
  <c r="AR39" i="50"/>
  <c r="F38" i="50"/>
  <c r="AR38" i="50" s="1"/>
  <c r="G62" i="67"/>
  <c r="BR60" i="50"/>
  <c r="G62" i="85" s="1"/>
  <c r="AF282" i="50"/>
  <c r="BR282" i="50" s="1"/>
  <c r="K38" i="50"/>
  <c r="AW38" i="50" s="1"/>
  <c r="AW40" i="50"/>
  <c r="K60" i="62"/>
  <c r="BB60" i="62" s="1"/>
  <c r="C32" i="5"/>
  <c r="BR171" i="50" l="1"/>
  <c r="G68" i="85" s="1"/>
  <c r="G68" i="67"/>
  <c r="P28" i="7"/>
  <c r="BM28" i="7" s="1"/>
  <c r="F48" i="67"/>
  <c r="E30" i="67"/>
  <c r="Y28" i="7"/>
  <c r="BV28" i="7" s="1"/>
  <c r="BJ131" i="50"/>
  <c r="F48" i="85" s="1"/>
  <c r="BB131" i="50"/>
  <c r="E30" i="85" s="1"/>
  <c r="Q28" i="7"/>
  <c r="BN28" i="7" s="1"/>
  <c r="BC131" i="50"/>
  <c r="F30" i="85" s="1"/>
  <c r="F30" i="67"/>
  <c r="V28" i="7"/>
  <c r="BS28" i="7" s="1"/>
  <c r="C48" i="67"/>
  <c r="X57" i="53"/>
  <c r="CC57" i="53" s="1"/>
  <c r="Y51" i="85" s="1"/>
  <c r="BK131" i="50"/>
  <c r="G48" i="85" s="1"/>
  <c r="Z28" i="7"/>
  <c r="BW28" i="7" s="1"/>
  <c r="G48" i="67"/>
  <c r="F28" i="7"/>
  <c r="BC28" i="7" s="1"/>
  <c r="C12" i="67"/>
  <c r="O28" i="7"/>
  <c r="BL28" i="7" s="1"/>
  <c r="H28" i="7"/>
  <c r="G30" i="67"/>
  <c r="BD131" i="50"/>
  <c r="G30" i="85" s="1"/>
  <c r="R28" i="7"/>
  <c r="BO28" i="7" s="1"/>
  <c r="E12" i="67"/>
  <c r="AU131" i="50"/>
  <c r="E12" i="85" s="1"/>
  <c r="G28" i="7"/>
  <c r="BD28" i="7" s="1"/>
  <c r="D30" i="67"/>
  <c r="AT131" i="50"/>
  <c r="D12" i="85" s="1"/>
  <c r="BI131" i="50"/>
  <c r="E48" i="85" s="1"/>
  <c r="E108" i="85" s="1"/>
  <c r="X28" i="7"/>
  <c r="BU28" i="7" s="1"/>
  <c r="E48" i="67"/>
  <c r="E108" i="67" s="1"/>
  <c r="BF74" i="50"/>
  <c r="U74" i="50"/>
  <c r="AY82" i="50"/>
  <c r="N82" i="50"/>
  <c r="BF82" i="50"/>
  <c r="U82" i="50"/>
  <c r="AR61" i="50"/>
  <c r="G61" i="50"/>
  <c r="AZ131" i="50"/>
  <c r="C30" i="85" s="1"/>
  <c r="C108" i="85" s="1"/>
  <c r="C30" i="67"/>
  <c r="N28" i="7"/>
  <c r="BK28" i="7" s="1"/>
  <c r="BF76" i="50"/>
  <c r="U76" i="50"/>
  <c r="AR82" i="50"/>
  <c r="G82" i="50"/>
  <c r="AY72" i="50"/>
  <c r="N72" i="50"/>
  <c r="AY161" i="50"/>
  <c r="N161" i="50"/>
  <c r="AR168" i="50"/>
  <c r="G168" i="50"/>
  <c r="BF79" i="50"/>
  <c r="U79" i="50"/>
  <c r="AY154" i="50"/>
  <c r="N154" i="50"/>
  <c r="AR73" i="50"/>
  <c r="G73" i="50"/>
  <c r="AR75" i="50"/>
  <c r="G75" i="50"/>
  <c r="BF72" i="50"/>
  <c r="U72" i="50"/>
  <c r="AN38" i="67"/>
  <c r="K69" i="49"/>
  <c r="AN38" i="85" s="1"/>
  <c r="AY162" i="50"/>
  <c r="N162" i="50"/>
  <c r="AR153" i="50"/>
  <c r="G153" i="50"/>
  <c r="BF84" i="50"/>
  <c r="U84" i="50"/>
  <c r="AR159" i="50"/>
  <c r="G159" i="50"/>
  <c r="AR67" i="50"/>
  <c r="G67" i="50"/>
  <c r="AY158" i="50"/>
  <c r="N158" i="50"/>
  <c r="AY68" i="50"/>
  <c r="N68" i="50"/>
  <c r="AR169" i="50"/>
  <c r="G169" i="50"/>
  <c r="AR68" i="50"/>
  <c r="G68" i="50"/>
  <c r="AY168" i="50"/>
  <c r="N168" i="50"/>
  <c r="BF64" i="50"/>
  <c r="T63" i="50"/>
  <c r="BF63" i="50" s="1"/>
  <c r="U64" i="50"/>
  <c r="BF80" i="50"/>
  <c r="U80" i="50"/>
  <c r="AY84" i="50"/>
  <c r="N84" i="50"/>
  <c r="AY153" i="50"/>
  <c r="N153" i="50"/>
  <c r="AM38" i="67"/>
  <c r="J69" i="49"/>
  <c r="AM38" i="85" s="1"/>
  <c r="AY152" i="50"/>
  <c r="N152" i="50"/>
  <c r="M151" i="50"/>
  <c r="AY151" i="50" s="1"/>
  <c r="AY83" i="50"/>
  <c r="N83" i="50"/>
  <c r="AR78" i="50"/>
  <c r="G78" i="50"/>
  <c r="BF154" i="50"/>
  <c r="U154" i="50"/>
  <c r="AY167" i="50"/>
  <c r="N167" i="50"/>
  <c r="AR161" i="50"/>
  <c r="G161" i="50"/>
  <c r="BF68" i="50"/>
  <c r="U68" i="50"/>
  <c r="BF170" i="50"/>
  <c r="U170" i="50"/>
  <c r="AY164" i="50"/>
  <c r="N164" i="50"/>
  <c r="AR160" i="50"/>
  <c r="G160" i="50"/>
  <c r="AR83" i="50"/>
  <c r="G83" i="50"/>
  <c r="BF67" i="50"/>
  <c r="U67" i="50"/>
  <c r="AY65" i="50"/>
  <c r="N65" i="50"/>
  <c r="AR79" i="50"/>
  <c r="G79" i="50"/>
  <c r="AY163" i="50"/>
  <c r="N163" i="50"/>
  <c r="AY61" i="50"/>
  <c r="N61" i="50"/>
  <c r="AR72" i="50"/>
  <c r="G72" i="50"/>
  <c r="BF75" i="50"/>
  <c r="U75" i="50"/>
  <c r="AY76" i="50"/>
  <c r="N76" i="50"/>
  <c r="AR62" i="50"/>
  <c r="G62" i="50"/>
  <c r="BF161" i="50"/>
  <c r="U161" i="50"/>
  <c r="BF66" i="50"/>
  <c r="U66" i="50"/>
  <c r="AY160" i="50"/>
  <c r="N160" i="50"/>
  <c r="AR81" i="50"/>
  <c r="G81" i="50"/>
  <c r="AY80" i="50"/>
  <c r="N80" i="50"/>
  <c r="AR65" i="50"/>
  <c r="G65" i="50"/>
  <c r="AR84" i="50"/>
  <c r="G84" i="50"/>
  <c r="BF71" i="50"/>
  <c r="U71" i="50"/>
  <c r="AV131" i="50"/>
  <c r="F12" i="85" s="1"/>
  <c r="I28" i="7"/>
  <c r="BF28" i="7" s="1"/>
  <c r="F12" i="67"/>
  <c r="BF156" i="50"/>
  <c r="U156" i="50"/>
  <c r="N64" i="50"/>
  <c r="AY64" i="50"/>
  <c r="M63" i="50"/>
  <c r="AY63" i="50" s="1"/>
  <c r="AY78" i="50"/>
  <c r="N78" i="50"/>
  <c r="BF158" i="50"/>
  <c r="U158" i="50"/>
  <c r="AY169" i="50"/>
  <c r="N169" i="50"/>
  <c r="AR164" i="50"/>
  <c r="G164" i="50"/>
  <c r="AR167" i="50"/>
  <c r="G167" i="50"/>
  <c r="AY73" i="50"/>
  <c r="N73" i="50"/>
  <c r="AY66" i="50"/>
  <c r="N66" i="50"/>
  <c r="AR166" i="50"/>
  <c r="G166" i="50"/>
  <c r="BF78" i="50"/>
  <c r="U78" i="50"/>
  <c r="BH131" i="50"/>
  <c r="D48" i="85" s="1"/>
  <c r="W28" i="7"/>
  <c r="BT28" i="7" s="1"/>
  <c r="D48" i="67"/>
  <c r="BF65" i="50"/>
  <c r="U65" i="50"/>
  <c r="BF162" i="50"/>
  <c r="U162" i="50"/>
  <c r="AY165" i="50"/>
  <c r="N165" i="50"/>
  <c r="AR155" i="50"/>
  <c r="G155" i="50"/>
  <c r="AR74" i="50"/>
  <c r="G74" i="50"/>
  <c r="AY170" i="50"/>
  <c r="N170" i="50"/>
  <c r="AR156" i="50"/>
  <c r="G156" i="50"/>
  <c r="BF166" i="50"/>
  <c r="U166" i="50"/>
  <c r="AY75" i="50"/>
  <c r="N75" i="50"/>
  <c r="AR165" i="50"/>
  <c r="G165" i="50"/>
  <c r="BF159" i="50"/>
  <c r="U159" i="50"/>
  <c r="AR77" i="50"/>
  <c r="G77" i="50"/>
  <c r="BF152" i="50"/>
  <c r="U152" i="50"/>
  <c r="T151" i="50"/>
  <c r="BF151" i="50" s="1"/>
  <c r="AY67" i="50"/>
  <c r="N67" i="50"/>
  <c r="BF165" i="50"/>
  <c r="U165" i="50"/>
  <c r="AY62" i="50"/>
  <c r="N62" i="50"/>
  <c r="AR170" i="50"/>
  <c r="G170" i="50"/>
  <c r="BF73" i="50"/>
  <c r="U73" i="50"/>
  <c r="BX63" i="50"/>
  <c r="AL60" i="50"/>
  <c r="AY159" i="50"/>
  <c r="N159" i="50"/>
  <c r="AR157" i="50"/>
  <c r="G157" i="50"/>
  <c r="BF168" i="50"/>
  <c r="U168" i="50"/>
  <c r="BW60" i="50"/>
  <c r="E86" i="85" s="1"/>
  <c r="AK282" i="50"/>
  <c r="BW282" i="50" s="1"/>
  <c r="F70" i="49"/>
  <c r="E86" i="67"/>
  <c r="AR152" i="50"/>
  <c r="F151" i="50"/>
  <c r="AR151" i="50" s="1"/>
  <c r="G152" i="50"/>
  <c r="BF83" i="50"/>
  <c r="U83" i="50"/>
  <c r="AY166" i="50"/>
  <c r="N166" i="50"/>
  <c r="AR76" i="50"/>
  <c r="G76" i="50"/>
  <c r="BF155" i="50"/>
  <c r="U155" i="50"/>
  <c r="AW131" i="50"/>
  <c r="G12" i="85" s="1"/>
  <c r="J28" i="7"/>
  <c r="BG28" i="7" s="1"/>
  <c r="G12" i="67"/>
  <c r="AR66" i="50"/>
  <c r="G66" i="50"/>
  <c r="AR162" i="50"/>
  <c r="G162" i="50"/>
  <c r="BF164" i="50"/>
  <c r="U164" i="50"/>
  <c r="BY65" i="50"/>
  <c r="AM63" i="50"/>
  <c r="AR64" i="50"/>
  <c r="F63" i="50"/>
  <c r="AR63" i="50" s="1"/>
  <c r="G64" i="50"/>
  <c r="AR154" i="50"/>
  <c r="G154" i="50"/>
  <c r="BF61" i="50"/>
  <c r="U61" i="50"/>
  <c r="AY157" i="50"/>
  <c r="N157" i="50"/>
  <c r="AY74" i="50"/>
  <c r="N74" i="50"/>
  <c r="AR158" i="50"/>
  <c r="G158" i="50"/>
  <c r="BF77" i="50"/>
  <c r="U77" i="50"/>
  <c r="AR163" i="50"/>
  <c r="G163" i="50"/>
  <c r="AY156" i="50"/>
  <c r="N156" i="50"/>
  <c r="BF160" i="50"/>
  <c r="U160" i="50"/>
  <c r="AY81" i="50"/>
  <c r="N81" i="50"/>
  <c r="AY79" i="50"/>
  <c r="N79" i="50"/>
  <c r="AY155" i="50"/>
  <c r="N155" i="50"/>
  <c r="AR71" i="50"/>
  <c r="G71" i="50"/>
  <c r="BF167" i="50"/>
  <c r="U167" i="50"/>
  <c r="BF169" i="50"/>
  <c r="U169" i="50"/>
  <c r="BF163" i="50"/>
  <c r="U163" i="50"/>
  <c r="AY77" i="50"/>
  <c r="N77" i="50"/>
  <c r="BF81" i="50"/>
  <c r="U81" i="50"/>
  <c r="BF153" i="50"/>
  <c r="U153" i="50"/>
  <c r="AY71" i="50"/>
  <c r="N71" i="50"/>
  <c r="BF157" i="50"/>
  <c r="U157" i="50"/>
  <c r="AR80" i="50"/>
  <c r="G80" i="50"/>
  <c r="BF62" i="50"/>
  <c r="U62" i="50"/>
  <c r="C108" i="67" l="1"/>
  <c r="AW28" i="7"/>
  <c r="CT28" i="7" s="1"/>
  <c r="F108" i="67"/>
  <c r="F108" i="85"/>
  <c r="G108" i="85"/>
  <c r="G108" i="67"/>
  <c r="AV28" i="7"/>
  <c r="CS28" i="7" s="1"/>
  <c r="BE28" i="7"/>
  <c r="AT28" i="7"/>
  <c r="CQ28" i="7" s="1"/>
  <c r="D108" i="85"/>
  <c r="D108" i="67"/>
  <c r="AU28" i="7"/>
  <c r="CR28" i="7" s="1"/>
  <c r="AX28" i="7"/>
  <c r="CU28" i="7" s="1"/>
  <c r="V163" i="50"/>
  <c r="BG163" i="50"/>
  <c r="AZ74" i="50"/>
  <c r="O74" i="50"/>
  <c r="V65" i="50"/>
  <c r="BG65" i="50"/>
  <c r="AS61" i="50"/>
  <c r="H61" i="50"/>
  <c r="AS66" i="50"/>
  <c r="H66" i="50"/>
  <c r="AZ159" i="50"/>
  <c r="O159" i="50"/>
  <c r="AZ62" i="50"/>
  <c r="O62" i="50"/>
  <c r="AZ66" i="50"/>
  <c r="O66" i="50"/>
  <c r="AZ169" i="50"/>
  <c r="O169" i="50"/>
  <c r="AZ64" i="50"/>
  <c r="O64" i="50"/>
  <c r="N63" i="50"/>
  <c r="AZ63" i="50" s="1"/>
  <c r="AS84" i="50"/>
  <c r="H84" i="50"/>
  <c r="AZ160" i="50"/>
  <c r="O160" i="50"/>
  <c r="AZ76" i="50"/>
  <c r="O76" i="50"/>
  <c r="AZ163" i="50"/>
  <c r="O163" i="50"/>
  <c r="AS83" i="50"/>
  <c r="H83" i="50"/>
  <c r="V68" i="50"/>
  <c r="BG68" i="50"/>
  <c r="AS78" i="50"/>
  <c r="H78" i="50"/>
  <c r="AZ68" i="50"/>
  <c r="O68" i="50"/>
  <c r="V84" i="50"/>
  <c r="BG84" i="50"/>
  <c r="BG72" i="50"/>
  <c r="V72" i="50"/>
  <c r="V79" i="50"/>
  <c r="BG79" i="50"/>
  <c r="AS82" i="50"/>
  <c r="C15" i="49"/>
  <c r="I15" i="49" s="1"/>
  <c r="H82" i="50"/>
  <c r="AZ156" i="50"/>
  <c r="O156" i="50"/>
  <c r="V62" i="50"/>
  <c r="BG62" i="50"/>
  <c r="V153" i="50"/>
  <c r="BG153" i="50"/>
  <c r="BG169" i="50"/>
  <c r="V169" i="50"/>
  <c r="AZ79" i="50"/>
  <c r="O79" i="50"/>
  <c r="AS163" i="50"/>
  <c r="H163" i="50"/>
  <c r="AZ157" i="50"/>
  <c r="O157" i="50"/>
  <c r="AZ166" i="50"/>
  <c r="O166" i="50"/>
  <c r="L70" i="49"/>
  <c r="F69" i="49"/>
  <c r="AS77" i="50"/>
  <c r="H77" i="50"/>
  <c r="V166" i="50"/>
  <c r="BG166" i="50"/>
  <c r="AS155" i="50"/>
  <c r="H155" i="50"/>
  <c r="V156" i="50"/>
  <c r="BG156" i="50"/>
  <c r="AZ153" i="50"/>
  <c r="O153" i="50"/>
  <c r="V82" i="50"/>
  <c r="BG82" i="50"/>
  <c r="U63" i="50"/>
  <c r="BG63" i="50" s="1"/>
  <c r="BG64" i="50"/>
  <c r="V64" i="50"/>
  <c r="BY63" i="50"/>
  <c r="AM60" i="50"/>
  <c r="BX60" i="50"/>
  <c r="F86" i="85" s="1"/>
  <c r="F86" i="67"/>
  <c r="AL282" i="50"/>
  <c r="BX282" i="50" s="1"/>
  <c r="G70" i="49"/>
  <c r="BG165" i="50"/>
  <c r="V165" i="50"/>
  <c r="AZ73" i="50"/>
  <c r="O73" i="50"/>
  <c r="V158" i="50"/>
  <c r="BG158" i="50"/>
  <c r="AS65" i="50"/>
  <c r="H65" i="50"/>
  <c r="V66" i="50"/>
  <c r="BG66" i="50"/>
  <c r="BG75" i="50"/>
  <c r="V75" i="50"/>
  <c r="AS79" i="50"/>
  <c r="H79" i="50"/>
  <c r="AS160" i="50"/>
  <c r="H160" i="50"/>
  <c r="AS161" i="50"/>
  <c r="H161" i="50"/>
  <c r="O83" i="50"/>
  <c r="AZ83" i="50"/>
  <c r="AZ168" i="50"/>
  <c r="O168" i="50"/>
  <c r="AZ158" i="50"/>
  <c r="O158" i="50"/>
  <c r="AS153" i="50"/>
  <c r="H153" i="50"/>
  <c r="AS75" i="50"/>
  <c r="H75" i="50"/>
  <c r="AS168" i="50"/>
  <c r="H168" i="50"/>
  <c r="V76" i="50"/>
  <c r="BG76" i="50"/>
  <c r="O71" i="50"/>
  <c r="AZ71" i="50"/>
  <c r="BG152" i="50"/>
  <c r="V152" i="50"/>
  <c r="U151" i="50"/>
  <c r="AS80" i="50"/>
  <c r="H80" i="50"/>
  <c r="V81" i="50"/>
  <c r="BG81" i="50"/>
  <c r="V167" i="50"/>
  <c r="BG167" i="50"/>
  <c r="AZ81" i="50"/>
  <c r="O81" i="50"/>
  <c r="V77" i="50"/>
  <c r="BG77" i="50"/>
  <c r="V61" i="50"/>
  <c r="BG61" i="50"/>
  <c r="BG83" i="50"/>
  <c r="V83" i="50"/>
  <c r="V159" i="50"/>
  <c r="BG159" i="50"/>
  <c r="AS156" i="50"/>
  <c r="H156" i="50"/>
  <c r="O165" i="50"/>
  <c r="AZ165" i="50"/>
  <c r="AZ84" i="50"/>
  <c r="O84" i="50"/>
  <c r="AZ82" i="50"/>
  <c r="O82" i="50"/>
  <c r="O155" i="50"/>
  <c r="AZ155" i="50"/>
  <c r="AS76" i="50"/>
  <c r="H76" i="50"/>
  <c r="AS74" i="50"/>
  <c r="H74" i="50"/>
  <c r="BG164" i="50"/>
  <c r="V164" i="50"/>
  <c r="V168" i="50"/>
  <c r="BG168" i="50"/>
  <c r="V73" i="50"/>
  <c r="BG73" i="50"/>
  <c r="O67" i="50"/>
  <c r="AZ67" i="50"/>
  <c r="V78" i="50"/>
  <c r="BG78" i="50"/>
  <c r="AS167" i="50"/>
  <c r="H167" i="50"/>
  <c r="AZ78" i="50"/>
  <c r="O78" i="50"/>
  <c r="AZ80" i="50"/>
  <c r="O80" i="50"/>
  <c r="V161" i="50"/>
  <c r="BG161" i="50"/>
  <c r="AS72" i="50"/>
  <c r="H72" i="50"/>
  <c r="AZ65" i="50"/>
  <c r="O65" i="50"/>
  <c r="O164" i="50"/>
  <c r="AZ164" i="50"/>
  <c r="AZ167" i="50"/>
  <c r="O167" i="50"/>
  <c r="AS68" i="50"/>
  <c r="H68" i="50"/>
  <c r="AS67" i="50"/>
  <c r="H67" i="50"/>
  <c r="AZ162" i="50"/>
  <c r="O162" i="50"/>
  <c r="AS73" i="50"/>
  <c r="H73" i="50"/>
  <c r="AZ161" i="50"/>
  <c r="O161" i="50"/>
  <c r="AS64" i="50"/>
  <c r="G63" i="50"/>
  <c r="AS63" i="50" s="1"/>
  <c r="H64" i="50"/>
  <c r="O75" i="50"/>
  <c r="AZ75" i="50"/>
  <c r="V157" i="50"/>
  <c r="BG157" i="50"/>
  <c r="AZ77" i="50"/>
  <c r="O77" i="50"/>
  <c r="AS71" i="50"/>
  <c r="H71" i="50"/>
  <c r="V160" i="50"/>
  <c r="BG160" i="50"/>
  <c r="AS158" i="50"/>
  <c r="H158" i="50"/>
  <c r="AS154" i="50"/>
  <c r="H154" i="50"/>
  <c r="V155" i="50"/>
  <c r="BG155" i="50"/>
  <c r="AS152" i="50"/>
  <c r="H152" i="50"/>
  <c r="G151" i="50"/>
  <c r="AS165" i="50"/>
  <c r="H165" i="50"/>
  <c r="AZ170" i="50"/>
  <c r="O170" i="50"/>
  <c r="V162" i="50"/>
  <c r="BG162" i="50"/>
  <c r="AZ152" i="50"/>
  <c r="O152" i="50"/>
  <c r="N151" i="50"/>
  <c r="V80" i="50"/>
  <c r="BG80" i="50"/>
  <c r="V74" i="50"/>
  <c r="BG74" i="50"/>
  <c r="H162" i="50"/>
  <c r="AS162" i="50"/>
  <c r="AS157" i="50"/>
  <c r="H157" i="50"/>
  <c r="AS170" i="50"/>
  <c r="H170" i="50"/>
  <c r="AS166" i="50"/>
  <c r="H166" i="50"/>
  <c r="AS164" i="50"/>
  <c r="H164" i="50"/>
  <c r="BG71" i="50"/>
  <c r="V71" i="50"/>
  <c r="AS81" i="50"/>
  <c r="H81" i="50"/>
  <c r="AS62" i="50"/>
  <c r="H62" i="50"/>
  <c r="AZ61" i="50"/>
  <c r="O61" i="50"/>
  <c r="BG67" i="50"/>
  <c r="V67" i="50"/>
  <c r="V170" i="50"/>
  <c r="BG170" i="50"/>
  <c r="V154" i="50"/>
  <c r="BG154" i="50"/>
  <c r="AS169" i="50"/>
  <c r="H169" i="50"/>
  <c r="AS159" i="50"/>
  <c r="H159" i="50"/>
  <c r="AZ154" i="50"/>
  <c r="O154" i="50"/>
  <c r="AZ72" i="50"/>
  <c r="O72" i="50"/>
  <c r="P72" i="50" l="1"/>
  <c r="BA72" i="50"/>
  <c r="I62" i="50"/>
  <c r="AT62" i="50"/>
  <c r="I166" i="50"/>
  <c r="AT166" i="50"/>
  <c r="W162" i="50"/>
  <c r="BH162" i="50"/>
  <c r="I71" i="50"/>
  <c r="AT71" i="50"/>
  <c r="I64" i="50"/>
  <c r="AT64" i="50"/>
  <c r="P164" i="50"/>
  <c r="BA164" i="50"/>
  <c r="P67" i="50"/>
  <c r="BA67" i="50"/>
  <c r="W167" i="50"/>
  <c r="BH167" i="50"/>
  <c r="I153" i="50"/>
  <c r="AT153" i="50"/>
  <c r="AT161" i="50"/>
  <c r="I161" i="50"/>
  <c r="W165" i="50"/>
  <c r="BH165" i="50"/>
  <c r="W64" i="50"/>
  <c r="BH64" i="50"/>
  <c r="V63" i="50"/>
  <c r="BH63" i="50" s="1"/>
  <c r="W156" i="50"/>
  <c r="BH156" i="50"/>
  <c r="I83" i="50"/>
  <c r="AT83" i="50"/>
  <c r="AT84" i="50"/>
  <c r="I84" i="50"/>
  <c r="W83" i="50"/>
  <c r="BH83" i="50"/>
  <c r="BA156" i="50"/>
  <c r="P156" i="50"/>
  <c r="W154" i="50"/>
  <c r="BH154" i="50"/>
  <c r="P71" i="50"/>
  <c r="BA71" i="50"/>
  <c r="P154" i="50"/>
  <c r="BA154" i="50"/>
  <c r="AT81" i="50"/>
  <c r="I81" i="50"/>
  <c r="I170" i="50"/>
  <c r="AT170" i="50"/>
  <c r="AT154" i="50"/>
  <c r="I154" i="50"/>
  <c r="BA77" i="50"/>
  <c r="P77" i="50"/>
  <c r="W73" i="50"/>
  <c r="BH73" i="50"/>
  <c r="P165" i="50"/>
  <c r="BA165" i="50"/>
  <c r="W61" i="50"/>
  <c r="BH61" i="50"/>
  <c r="W81" i="50"/>
  <c r="BH81" i="50"/>
  <c r="P158" i="50"/>
  <c r="BA158" i="50"/>
  <c r="I160" i="50"/>
  <c r="AT160" i="50"/>
  <c r="I65" i="50"/>
  <c r="AT65" i="50"/>
  <c r="M70" i="49"/>
  <c r="G69" i="49"/>
  <c r="P68" i="50"/>
  <c r="BA68" i="50"/>
  <c r="P163" i="50"/>
  <c r="BA163" i="50"/>
  <c r="BH65" i="50"/>
  <c r="W65" i="50"/>
  <c r="P162" i="50"/>
  <c r="BA162" i="50"/>
  <c r="P84" i="50"/>
  <c r="BA84" i="50"/>
  <c r="P83" i="50"/>
  <c r="BA83" i="50"/>
  <c r="AO38" i="67"/>
  <c r="L69" i="49"/>
  <c r="AO38" i="85" s="1"/>
  <c r="W74" i="50"/>
  <c r="BH74" i="50"/>
  <c r="W155" i="50"/>
  <c r="BH155" i="50"/>
  <c r="P78" i="50"/>
  <c r="BA78" i="50"/>
  <c r="W66" i="50"/>
  <c r="BH66" i="50"/>
  <c r="BA166" i="50"/>
  <c r="P166" i="50"/>
  <c r="W170" i="50"/>
  <c r="BH170" i="50"/>
  <c r="W80" i="50"/>
  <c r="BH80" i="50"/>
  <c r="I165" i="50"/>
  <c r="AT165" i="50"/>
  <c r="BA161" i="50"/>
  <c r="P161" i="50"/>
  <c r="I68" i="50"/>
  <c r="AT68" i="50"/>
  <c r="AT72" i="50"/>
  <c r="I72" i="50"/>
  <c r="AT167" i="50"/>
  <c r="I167" i="50"/>
  <c r="AT156" i="50"/>
  <c r="I156" i="50"/>
  <c r="AT80" i="50"/>
  <c r="I80" i="50"/>
  <c r="W76" i="50"/>
  <c r="BH76" i="50"/>
  <c r="P157" i="50"/>
  <c r="BA157" i="50"/>
  <c r="BA64" i="50"/>
  <c r="P64" i="50"/>
  <c r="O63" i="50"/>
  <c r="BA63" i="50" s="1"/>
  <c r="P159" i="50"/>
  <c r="BA159" i="50"/>
  <c r="BA74" i="50"/>
  <c r="P74" i="50"/>
  <c r="W160" i="50"/>
  <c r="BH160" i="50"/>
  <c r="BA79" i="50"/>
  <c r="P79" i="50"/>
  <c r="W68" i="50"/>
  <c r="BH68" i="50"/>
  <c r="I76" i="50"/>
  <c r="AT76" i="50"/>
  <c r="AT155" i="50"/>
  <c r="I155" i="50"/>
  <c r="BA62" i="50"/>
  <c r="P62" i="50"/>
  <c r="I159" i="50"/>
  <c r="AT159" i="50"/>
  <c r="W67" i="50"/>
  <c r="BH67" i="50"/>
  <c r="W71" i="50"/>
  <c r="BH71" i="50"/>
  <c r="I157" i="50"/>
  <c r="AT157" i="50"/>
  <c r="C31" i="67"/>
  <c r="AZ151" i="50"/>
  <c r="C31" i="85" s="1"/>
  <c r="I158" i="50"/>
  <c r="AT158" i="50"/>
  <c r="W168" i="50"/>
  <c r="BH168" i="50"/>
  <c r="BA155" i="50"/>
  <c r="P155" i="50"/>
  <c r="W77" i="50"/>
  <c r="BH77" i="50"/>
  <c r="I168" i="50"/>
  <c r="AT168" i="50"/>
  <c r="BA168" i="50"/>
  <c r="P168" i="50"/>
  <c r="I79" i="50"/>
  <c r="AT79" i="50"/>
  <c r="W82" i="50"/>
  <c r="BH82" i="50"/>
  <c r="BH166" i="50"/>
  <c r="W166" i="50"/>
  <c r="BH153" i="50"/>
  <c r="W153" i="50"/>
  <c r="I78" i="50"/>
  <c r="AT78" i="50"/>
  <c r="P76" i="50"/>
  <c r="BA76" i="50"/>
  <c r="AT162" i="50"/>
  <c r="I162" i="50"/>
  <c r="BA75" i="50"/>
  <c r="P75" i="50"/>
  <c r="I74" i="50"/>
  <c r="AT74" i="50"/>
  <c r="AT61" i="50"/>
  <c r="I61" i="50"/>
  <c r="BA170" i="50"/>
  <c r="P170" i="50"/>
  <c r="P65" i="50"/>
  <c r="BA65" i="50"/>
  <c r="W169" i="50"/>
  <c r="BH169" i="50"/>
  <c r="I82" i="50"/>
  <c r="AT82" i="50"/>
  <c r="BA152" i="50"/>
  <c r="P152" i="50"/>
  <c r="O151" i="50"/>
  <c r="C13" i="67"/>
  <c r="AS151" i="50"/>
  <c r="C13" i="85" s="1"/>
  <c r="W157" i="50"/>
  <c r="BH157" i="50"/>
  <c r="I73" i="50"/>
  <c r="AT73" i="50"/>
  <c r="BA167" i="50"/>
  <c r="P167" i="50"/>
  <c r="W164" i="50"/>
  <c r="BH164" i="50"/>
  <c r="P82" i="50"/>
  <c r="BA82" i="50"/>
  <c r="P81" i="50"/>
  <c r="BA81" i="50"/>
  <c r="C49" i="67"/>
  <c r="BG151" i="50"/>
  <c r="C49" i="85" s="1"/>
  <c r="BH158" i="50"/>
  <c r="W158" i="50"/>
  <c r="BA153" i="50"/>
  <c r="P153" i="50"/>
  <c r="I77" i="50"/>
  <c r="AT77" i="50"/>
  <c r="I163" i="50"/>
  <c r="AT163" i="50"/>
  <c r="W79" i="50"/>
  <c r="BH79" i="50"/>
  <c r="P169" i="50"/>
  <c r="BA169" i="50"/>
  <c r="H63" i="50"/>
  <c r="AT63" i="50" s="1"/>
  <c r="I66" i="50"/>
  <c r="AT66" i="50"/>
  <c r="P80" i="50"/>
  <c r="BA80" i="50"/>
  <c r="BA66" i="50"/>
  <c r="P66" i="50"/>
  <c r="I67" i="50"/>
  <c r="AT67" i="50"/>
  <c r="W84" i="50"/>
  <c r="BH84" i="50"/>
  <c r="I169" i="50"/>
  <c r="AT169" i="50"/>
  <c r="P61" i="50"/>
  <c r="BA61" i="50"/>
  <c r="I164" i="50"/>
  <c r="AT164" i="50"/>
  <c r="AT152" i="50"/>
  <c r="I152" i="50"/>
  <c r="H151" i="50"/>
  <c r="BH161" i="50"/>
  <c r="W161" i="50"/>
  <c r="BH78" i="50"/>
  <c r="W78" i="50"/>
  <c r="BH159" i="50"/>
  <c r="W159" i="50"/>
  <c r="BH152" i="50"/>
  <c r="W152" i="50"/>
  <c r="V151" i="50"/>
  <c r="AT75" i="50"/>
  <c r="I75" i="50"/>
  <c r="BH75" i="50"/>
  <c r="W75" i="50"/>
  <c r="P73" i="50"/>
  <c r="BA73" i="50"/>
  <c r="BY60" i="50"/>
  <c r="G86" i="85" s="1"/>
  <c r="G86" i="67"/>
  <c r="AM282" i="50"/>
  <c r="BY282" i="50" s="1"/>
  <c r="BH62" i="50"/>
  <c r="W62" i="50"/>
  <c r="W72" i="50"/>
  <c r="BH72" i="50"/>
  <c r="P160" i="50"/>
  <c r="BA160" i="50"/>
  <c r="W163" i="50"/>
  <c r="BH163" i="50"/>
  <c r="D33" i="58"/>
  <c r="C109" i="85" l="1"/>
  <c r="BB170" i="50"/>
  <c r="Q170" i="50"/>
  <c r="AU165" i="50"/>
  <c r="J165" i="50"/>
  <c r="Q73" i="50"/>
  <c r="BB73" i="50"/>
  <c r="X159" i="50"/>
  <c r="BI159" i="50"/>
  <c r="BI84" i="50"/>
  <c r="X84" i="50"/>
  <c r="J66" i="50"/>
  <c r="AU66" i="50"/>
  <c r="J168" i="50"/>
  <c r="AU168" i="50"/>
  <c r="AU158" i="50"/>
  <c r="J158" i="50"/>
  <c r="BI67" i="50"/>
  <c r="X67" i="50"/>
  <c r="J76" i="50"/>
  <c r="AU76" i="50"/>
  <c r="J72" i="50"/>
  <c r="AU72" i="50"/>
  <c r="BI165" i="50"/>
  <c r="X165" i="50"/>
  <c r="BB67" i="50"/>
  <c r="Q67" i="50"/>
  <c r="BI162" i="50"/>
  <c r="X162" i="50"/>
  <c r="AU152" i="50"/>
  <c r="J152" i="50"/>
  <c r="I151" i="50"/>
  <c r="X166" i="50"/>
  <c r="BI166" i="50"/>
  <c r="BB74" i="50"/>
  <c r="Q74" i="50"/>
  <c r="BI72" i="50"/>
  <c r="X72" i="50"/>
  <c r="BI75" i="50"/>
  <c r="X75" i="50"/>
  <c r="J77" i="50"/>
  <c r="AU77" i="50"/>
  <c r="Q81" i="50"/>
  <c r="BB81" i="50"/>
  <c r="J73" i="50"/>
  <c r="AU73" i="50"/>
  <c r="AU61" i="50"/>
  <c r="J61" i="50"/>
  <c r="X76" i="50"/>
  <c r="BI76" i="50"/>
  <c r="X80" i="50"/>
  <c r="BI80" i="50"/>
  <c r="Q78" i="50"/>
  <c r="BB78" i="50"/>
  <c r="BB83" i="50"/>
  <c r="Q83" i="50"/>
  <c r="Q163" i="50"/>
  <c r="BB163" i="50"/>
  <c r="J160" i="50"/>
  <c r="AU160" i="50"/>
  <c r="BB165" i="50"/>
  <c r="Q165" i="50"/>
  <c r="J170" i="50"/>
  <c r="AU170" i="50"/>
  <c r="BI154" i="50"/>
  <c r="X154" i="50"/>
  <c r="AU83" i="50"/>
  <c r="J83" i="50"/>
  <c r="AU161" i="50"/>
  <c r="J161" i="50"/>
  <c r="J162" i="50"/>
  <c r="AU162" i="50"/>
  <c r="BB157" i="50"/>
  <c r="Q157" i="50"/>
  <c r="BI61" i="50"/>
  <c r="X61" i="50"/>
  <c r="BI62" i="50"/>
  <c r="X62" i="50"/>
  <c r="BI78" i="50"/>
  <c r="X78" i="50"/>
  <c r="AU164" i="50"/>
  <c r="J164" i="50"/>
  <c r="J67" i="50"/>
  <c r="AU67" i="50"/>
  <c r="Q153" i="50"/>
  <c r="BB153" i="50"/>
  <c r="J82" i="50"/>
  <c r="AU82" i="50"/>
  <c r="BB76" i="50"/>
  <c r="Q76" i="50"/>
  <c r="BI82" i="50"/>
  <c r="X82" i="50"/>
  <c r="X77" i="50"/>
  <c r="BI77" i="50"/>
  <c r="J159" i="50"/>
  <c r="AU159" i="50"/>
  <c r="BI68" i="50"/>
  <c r="X68" i="50"/>
  <c r="Q159" i="50"/>
  <c r="BB159" i="50"/>
  <c r="J80" i="50"/>
  <c r="AU80" i="50"/>
  <c r="J81" i="50"/>
  <c r="AU81" i="50"/>
  <c r="Q156" i="50"/>
  <c r="BB156" i="50"/>
  <c r="BB164" i="50"/>
  <c r="Q164" i="50"/>
  <c r="J166" i="50"/>
  <c r="AU166" i="50"/>
  <c r="BB71" i="50"/>
  <c r="Q71" i="50"/>
  <c r="J75" i="50"/>
  <c r="AU75" i="50"/>
  <c r="Q66" i="50"/>
  <c r="BB66" i="50"/>
  <c r="Q169" i="50"/>
  <c r="BB169" i="50"/>
  <c r="BB82" i="50"/>
  <c r="Q82" i="50"/>
  <c r="X157" i="50"/>
  <c r="BI157" i="50"/>
  <c r="BB155" i="50"/>
  <c r="Q155" i="50"/>
  <c r="BB62" i="50"/>
  <c r="Q62" i="50"/>
  <c r="Q79" i="50"/>
  <c r="BB79" i="50"/>
  <c r="J68" i="50"/>
  <c r="AU68" i="50"/>
  <c r="BI170" i="50"/>
  <c r="X170" i="50"/>
  <c r="BI155" i="50"/>
  <c r="X155" i="50"/>
  <c r="Q84" i="50"/>
  <c r="BB84" i="50"/>
  <c r="Q68" i="50"/>
  <c r="BB68" i="50"/>
  <c r="Q158" i="50"/>
  <c r="BB158" i="50"/>
  <c r="BI73" i="50"/>
  <c r="X73" i="50"/>
  <c r="BI156" i="50"/>
  <c r="X156" i="50"/>
  <c r="Q160" i="50"/>
  <c r="BB160" i="50"/>
  <c r="X161" i="50"/>
  <c r="BI161" i="50"/>
  <c r="Q61" i="50"/>
  <c r="BB61" i="50"/>
  <c r="BI158" i="50"/>
  <c r="X158" i="50"/>
  <c r="X169" i="50"/>
  <c r="BI169" i="50"/>
  <c r="AU74" i="50"/>
  <c r="J74" i="50"/>
  <c r="J78" i="50"/>
  <c r="AU78" i="50"/>
  <c r="J79" i="50"/>
  <c r="AU79" i="50"/>
  <c r="AU157" i="50"/>
  <c r="J157" i="50"/>
  <c r="BB64" i="50"/>
  <c r="Q64" i="50"/>
  <c r="P63" i="50"/>
  <c r="BB63" i="50" s="1"/>
  <c r="J156" i="50"/>
  <c r="AU156" i="50"/>
  <c r="BB161" i="50"/>
  <c r="Q161" i="50"/>
  <c r="Q166" i="50"/>
  <c r="BB166" i="50"/>
  <c r="AP38" i="67"/>
  <c r="M69" i="49"/>
  <c r="AP38" i="85" s="1"/>
  <c r="Q77" i="50"/>
  <c r="BB77" i="50"/>
  <c r="J153" i="50"/>
  <c r="AU153" i="50"/>
  <c r="AU64" i="50"/>
  <c r="J64" i="50"/>
  <c r="I63" i="50"/>
  <c r="AU63" i="50" s="1"/>
  <c r="J62" i="50"/>
  <c r="AU62" i="50"/>
  <c r="BB152" i="50"/>
  <c r="Q152" i="50"/>
  <c r="P151" i="50"/>
  <c r="BI66" i="50"/>
  <c r="X66" i="50"/>
  <c r="J65" i="50"/>
  <c r="AU65" i="50"/>
  <c r="BI163" i="50"/>
  <c r="X163" i="50"/>
  <c r="D49" i="67"/>
  <c r="BH151" i="50"/>
  <c r="D49" i="85" s="1"/>
  <c r="BI79" i="50"/>
  <c r="X79" i="50"/>
  <c r="BI164" i="50"/>
  <c r="X164" i="50"/>
  <c r="C109" i="67"/>
  <c r="Q75" i="50"/>
  <c r="BB75" i="50"/>
  <c r="X153" i="50"/>
  <c r="BI153" i="50"/>
  <c r="Q168" i="50"/>
  <c r="BB168" i="50"/>
  <c r="AU155" i="50"/>
  <c r="J155" i="50"/>
  <c r="BI74" i="50"/>
  <c r="X74" i="50"/>
  <c r="BB162" i="50"/>
  <c r="Q162" i="50"/>
  <c r="X81" i="50"/>
  <c r="BI81" i="50"/>
  <c r="Q154" i="50"/>
  <c r="BB154" i="50"/>
  <c r="X83" i="50"/>
  <c r="BI83" i="50"/>
  <c r="J163" i="50"/>
  <c r="AU163" i="50"/>
  <c r="BI152" i="50"/>
  <c r="X152" i="50"/>
  <c r="W151" i="50"/>
  <c r="D13" i="67"/>
  <c r="AT151" i="50"/>
  <c r="D13" i="85" s="1"/>
  <c r="J169" i="50"/>
  <c r="AU169" i="50"/>
  <c r="Q80" i="50"/>
  <c r="BB80" i="50"/>
  <c r="Q167" i="50"/>
  <c r="BB167" i="50"/>
  <c r="BA151" i="50"/>
  <c r="D31" i="85" s="1"/>
  <c r="D31" i="67"/>
  <c r="Q65" i="50"/>
  <c r="BB65" i="50"/>
  <c r="X168" i="50"/>
  <c r="BI168" i="50"/>
  <c r="BI71" i="50"/>
  <c r="X71" i="50"/>
  <c r="X160" i="50"/>
  <c r="BI160" i="50"/>
  <c r="J167" i="50"/>
  <c r="AU167" i="50"/>
  <c r="X65" i="50"/>
  <c r="BI65" i="50"/>
  <c r="J154" i="50"/>
  <c r="AU154" i="50"/>
  <c r="J84" i="50"/>
  <c r="AU84" i="50"/>
  <c r="BI64" i="50"/>
  <c r="W63" i="50"/>
  <c r="BI63" i="50" s="1"/>
  <c r="X64" i="50"/>
  <c r="BI167" i="50"/>
  <c r="X167" i="50"/>
  <c r="AU71" i="50"/>
  <c r="J71" i="50"/>
  <c r="BB72" i="50"/>
  <c r="Q72" i="50"/>
  <c r="I113" i="65"/>
  <c r="H113" i="65"/>
  <c r="G113" i="65"/>
  <c r="F113" i="65"/>
  <c r="E113" i="65"/>
  <c r="D113" i="65"/>
  <c r="I93" i="65"/>
  <c r="H93" i="65"/>
  <c r="G93" i="65"/>
  <c r="F93" i="65"/>
  <c r="E93" i="65"/>
  <c r="D93" i="65"/>
  <c r="I82" i="65"/>
  <c r="H82" i="65"/>
  <c r="G82" i="65"/>
  <c r="F82" i="65"/>
  <c r="E82" i="65"/>
  <c r="D82" i="65"/>
  <c r="I78" i="65"/>
  <c r="H78" i="65"/>
  <c r="G78" i="65"/>
  <c r="F78" i="65"/>
  <c r="E78" i="65"/>
  <c r="D78" i="65"/>
  <c r="I71" i="65"/>
  <c r="H71" i="65"/>
  <c r="G71" i="65"/>
  <c r="F71" i="65"/>
  <c r="E71" i="65"/>
  <c r="D71" i="65"/>
  <c r="I128" i="1"/>
  <c r="G128" i="1"/>
  <c r="I62" i="65"/>
  <c r="H62" i="65"/>
  <c r="G62" i="65"/>
  <c r="F62" i="65"/>
  <c r="E62" i="65"/>
  <c r="D62" i="65"/>
  <c r="G83" i="39" l="1"/>
  <c r="G70" i="83"/>
  <c r="H83" i="39"/>
  <c r="H70" i="83"/>
  <c r="D109" i="85"/>
  <c r="C67" i="39"/>
  <c r="C63" i="83"/>
  <c r="D67" i="39"/>
  <c r="D63" i="83"/>
  <c r="C83" i="39"/>
  <c r="C70" i="83"/>
  <c r="E67" i="39"/>
  <c r="E63" i="83"/>
  <c r="F67" i="39"/>
  <c r="F63" i="83"/>
  <c r="D83" i="39"/>
  <c r="D70" i="83"/>
  <c r="G67" i="39"/>
  <c r="G63" i="83"/>
  <c r="E83" i="39"/>
  <c r="E70" i="83"/>
  <c r="H67" i="39"/>
  <c r="H63" i="83"/>
  <c r="F83" i="39"/>
  <c r="F70" i="83"/>
  <c r="K68" i="50"/>
  <c r="AW68" i="50" s="1"/>
  <c r="AV68" i="50"/>
  <c r="AV77" i="50"/>
  <c r="K77" i="50"/>
  <c r="AW77" i="50" s="1"/>
  <c r="R72" i="50"/>
  <c r="BD72" i="50" s="1"/>
  <c r="BC72" i="50"/>
  <c r="AV167" i="50"/>
  <c r="K167" i="50"/>
  <c r="AW167" i="50" s="1"/>
  <c r="BC65" i="50"/>
  <c r="R65" i="50"/>
  <c r="BD65" i="50" s="1"/>
  <c r="AV169" i="50"/>
  <c r="K169" i="50"/>
  <c r="AW169" i="50" s="1"/>
  <c r="Y74" i="50"/>
  <c r="BK74" i="50" s="1"/>
  <c r="BJ74" i="50"/>
  <c r="BC152" i="50"/>
  <c r="R152" i="50"/>
  <c r="Q151" i="50"/>
  <c r="K153" i="50"/>
  <c r="AW153" i="50" s="1"/>
  <c r="AV153" i="50"/>
  <c r="Y158" i="50"/>
  <c r="BK158" i="50" s="1"/>
  <c r="BJ158" i="50"/>
  <c r="BJ156" i="50"/>
  <c r="Y156" i="50"/>
  <c r="BK156" i="50" s="1"/>
  <c r="BC82" i="50"/>
  <c r="R82" i="50"/>
  <c r="BD82" i="50" s="1"/>
  <c r="BC71" i="50"/>
  <c r="R71" i="50"/>
  <c r="BD71" i="50" s="1"/>
  <c r="Y78" i="50"/>
  <c r="BK78" i="50" s="1"/>
  <c r="BJ78" i="50"/>
  <c r="R83" i="50"/>
  <c r="BD83" i="50" s="1"/>
  <c r="BC83" i="50"/>
  <c r="AV61" i="50"/>
  <c r="K61" i="50"/>
  <c r="AW61" i="50" s="1"/>
  <c r="Y75" i="50"/>
  <c r="BK75" i="50" s="1"/>
  <c r="BJ75" i="50"/>
  <c r="E13" i="67"/>
  <c r="AU151" i="50"/>
  <c r="E13" i="85" s="1"/>
  <c r="Y159" i="50"/>
  <c r="BK159" i="50" s="1"/>
  <c r="BJ159" i="50"/>
  <c r="E31" i="67"/>
  <c r="BB151" i="50"/>
  <c r="E31" i="85" s="1"/>
  <c r="BJ169" i="50"/>
  <c r="Y169" i="50"/>
  <c r="BK169" i="50" s="1"/>
  <c r="AV75" i="50"/>
  <c r="K75" i="50"/>
  <c r="AW75" i="50" s="1"/>
  <c r="Y165" i="50"/>
  <c r="BK165" i="50" s="1"/>
  <c r="BJ165" i="50"/>
  <c r="BJ83" i="50"/>
  <c r="Y83" i="50"/>
  <c r="BK83" i="50" s="1"/>
  <c r="R75" i="50"/>
  <c r="BD75" i="50" s="1"/>
  <c r="BC75" i="50"/>
  <c r="Y163" i="50"/>
  <c r="BK163" i="50" s="1"/>
  <c r="BJ163" i="50"/>
  <c r="K79" i="50"/>
  <c r="AW79" i="50" s="1"/>
  <c r="AV79" i="50"/>
  <c r="R84" i="50"/>
  <c r="BD84" i="50" s="1"/>
  <c r="BC84" i="50"/>
  <c r="BC79" i="50"/>
  <c r="R79" i="50"/>
  <c r="BD79" i="50" s="1"/>
  <c r="K81" i="50"/>
  <c r="AW81" i="50" s="1"/>
  <c r="AV81" i="50"/>
  <c r="AV159" i="50"/>
  <c r="K159" i="50"/>
  <c r="AW159" i="50" s="1"/>
  <c r="AV82" i="50"/>
  <c r="K82" i="50"/>
  <c r="AW82" i="50" s="1"/>
  <c r="K162" i="50"/>
  <c r="AW162" i="50" s="1"/>
  <c r="AV162" i="50"/>
  <c r="K170" i="50"/>
  <c r="AW170" i="50" s="1"/>
  <c r="AV170" i="50"/>
  <c r="AV152" i="50"/>
  <c r="K152" i="50"/>
  <c r="J151" i="50"/>
  <c r="R160" i="50"/>
  <c r="BD160" i="50" s="1"/>
  <c r="BC160" i="50"/>
  <c r="R163" i="50"/>
  <c r="BD163" i="50" s="1"/>
  <c r="BC163" i="50"/>
  <c r="K71" i="50"/>
  <c r="AW71" i="50" s="1"/>
  <c r="AV71" i="50"/>
  <c r="K84" i="50"/>
  <c r="AW84" i="50" s="1"/>
  <c r="AV84" i="50"/>
  <c r="Y160" i="50"/>
  <c r="BK160" i="50" s="1"/>
  <c r="BJ160" i="50"/>
  <c r="D109" i="67"/>
  <c r="K155" i="50"/>
  <c r="AW155" i="50" s="1"/>
  <c r="AV155" i="50"/>
  <c r="R77" i="50"/>
  <c r="BD77" i="50" s="1"/>
  <c r="BC77" i="50"/>
  <c r="AV156" i="50"/>
  <c r="K156" i="50"/>
  <c r="AW156" i="50" s="1"/>
  <c r="BJ73" i="50"/>
  <c r="Y73" i="50"/>
  <c r="BK73" i="50" s="1"/>
  <c r="Y155" i="50"/>
  <c r="BK155" i="50" s="1"/>
  <c r="BJ155" i="50"/>
  <c r="R62" i="50"/>
  <c r="BD62" i="50" s="1"/>
  <c r="BC62" i="50"/>
  <c r="Y62" i="50"/>
  <c r="BK62" i="50" s="1"/>
  <c r="BJ62" i="50"/>
  <c r="K161" i="50"/>
  <c r="AW161" i="50" s="1"/>
  <c r="AV161" i="50"/>
  <c r="R165" i="50"/>
  <c r="BD165" i="50" s="1"/>
  <c r="BC165" i="50"/>
  <c r="BJ72" i="50"/>
  <c r="Y72" i="50"/>
  <c r="BK72" i="50" s="1"/>
  <c r="K72" i="50"/>
  <c r="AW72" i="50" s="1"/>
  <c r="AV72" i="50"/>
  <c r="K168" i="50"/>
  <c r="AW168" i="50" s="1"/>
  <c r="AV168" i="50"/>
  <c r="BC73" i="50"/>
  <c r="R73" i="50"/>
  <c r="BD73" i="50" s="1"/>
  <c r="R161" i="50"/>
  <c r="BD161" i="50" s="1"/>
  <c r="BC161" i="50"/>
  <c r="Y71" i="50"/>
  <c r="BK71" i="50" s="1"/>
  <c r="BJ71" i="50"/>
  <c r="E49" i="67"/>
  <c r="BI151" i="50"/>
  <c r="E49" i="85" s="1"/>
  <c r="R154" i="50"/>
  <c r="BD154" i="50" s="1"/>
  <c r="BC154" i="50"/>
  <c r="Y164" i="50"/>
  <c r="BK164" i="50" s="1"/>
  <c r="BJ164" i="50"/>
  <c r="AV62" i="50"/>
  <c r="K62" i="50"/>
  <c r="AW62" i="50" s="1"/>
  <c r="AV78" i="50"/>
  <c r="K78" i="50"/>
  <c r="AW78" i="50" s="1"/>
  <c r="R61" i="50"/>
  <c r="BD61" i="50" s="1"/>
  <c r="BC61" i="50"/>
  <c r="R169" i="50"/>
  <c r="BD169" i="50" s="1"/>
  <c r="BC169" i="50"/>
  <c r="K166" i="50"/>
  <c r="AW166" i="50" s="1"/>
  <c r="AV166" i="50"/>
  <c r="K80" i="50"/>
  <c r="AW80" i="50" s="1"/>
  <c r="AV80" i="50"/>
  <c r="Y77" i="50"/>
  <c r="BK77" i="50" s="1"/>
  <c r="BJ77" i="50"/>
  <c r="R153" i="50"/>
  <c r="BD153" i="50" s="1"/>
  <c r="BC153" i="50"/>
  <c r="R78" i="50"/>
  <c r="BD78" i="50" s="1"/>
  <c r="BC78" i="50"/>
  <c r="K73" i="50"/>
  <c r="AW73" i="50" s="1"/>
  <c r="AV73" i="50"/>
  <c r="BJ162" i="50"/>
  <c r="Y162" i="50"/>
  <c r="BK162" i="50" s="1"/>
  <c r="K165" i="50"/>
  <c r="AW165" i="50" s="1"/>
  <c r="AV165" i="50"/>
  <c r="AV163" i="50"/>
  <c r="K163" i="50"/>
  <c r="AW163" i="50" s="1"/>
  <c r="BC68" i="50"/>
  <c r="R68" i="50"/>
  <c r="BD68" i="50" s="1"/>
  <c r="Y166" i="50"/>
  <c r="BK166" i="50" s="1"/>
  <c r="BJ166" i="50"/>
  <c r="BJ167" i="50"/>
  <c r="Y167" i="50"/>
  <c r="BK167" i="50" s="1"/>
  <c r="K154" i="50"/>
  <c r="AW154" i="50" s="1"/>
  <c r="AV154" i="50"/>
  <c r="R167" i="50"/>
  <c r="BD167" i="50" s="1"/>
  <c r="BC167" i="50"/>
  <c r="BJ152" i="50"/>
  <c r="Y152" i="50"/>
  <c r="X151" i="50"/>
  <c r="AV65" i="50"/>
  <c r="K65" i="50"/>
  <c r="AW65" i="50" s="1"/>
  <c r="BC64" i="50"/>
  <c r="R64" i="50"/>
  <c r="Q63" i="50"/>
  <c r="BC63" i="50" s="1"/>
  <c r="K74" i="50"/>
  <c r="AW74" i="50" s="1"/>
  <c r="AV74" i="50"/>
  <c r="BJ170" i="50"/>
  <c r="Y170" i="50"/>
  <c r="BK170" i="50" s="1"/>
  <c r="R155" i="50"/>
  <c r="BD155" i="50" s="1"/>
  <c r="BC155" i="50"/>
  <c r="R164" i="50"/>
  <c r="BD164" i="50" s="1"/>
  <c r="BC164" i="50"/>
  <c r="Y82" i="50"/>
  <c r="BK82" i="50" s="1"/>
  <c r="BJ82" i="50"/>
  <c r="Y61" i="50"/>
  <c r="BK61" i="50" s="1"/>
  <c r="BJ61" i="50"/>
  <c r="K83" i="50"/>
  <c r="AW83" i="50" s="1"/>
  <c r="AV83" i="50"/>
  <c r="R74" i="50"/>
  <c r="BD74" i="50" s="1"/>
  <c r="BC74" i="50"/>
  <c r="AV76" i="50"/>
  <c r="K76" i="50"/>
  <c r="AW76" i="50" s="1"/>
  <c r="K66" i="50"/>
  <c r="AW66" i="50" s="1"/>
  <c r="AV66" i="50"/>
  <c r="BJ153" i="50"/>
  <c r="Y153" i="50"/>
  <c r="BK153" i="50" s="1"/>
  <c r="BJ157" i="50"/>
  <c r="Y157" i="50"/>
  <c r="BK157" i="50" s="1"/>
  <c r="Y76" i="50"/>
  <c r="BK76" i="50" s="1"/>
  <c r="BJ76" i="50"/>
  <c r="Y81" i="50"/>
  <c r="BK81" i="50" s="1"/>
  <c r="BJ81" i="50"/>
  <c r="R168" i="50"/>
  <c r="BD168" i="50" s="1"/>
  <c r="BC168" i="50"/>
  <c r="Y79" i="50"/>
  <c r="BK79" i="50" s="1"/>
  <c r="BJ79" i="50"/>
  <c r="BJ66" i="50"/>
  <c r="Y66" i="50"/>
  <c r="BK66" i="50" s="1"/>
  <c r="AV64" i="50"/>
  <c r="K64" i="50"/>
  <c r="J63" i="50"/>
  <c r="AV63" i="50" s="1"/>
  <c r="BJ161" i="50"/>
  <c r="Y161" i="50"/>
  <c r="BK161" i="50" s="1"/>
  <c r="BC158" i="50"/>
  <c r="R158" i="50"/>
  <c r="BD158" i="50" s="1"/>
  <c r="BC66" i="50"/>
  <c r="R66" i="50"/>
  <c r="BD66" i="50" s="1"/>
  <c r="BC159" i="50"/>
  <c r="R159" i="50"/>
  <c r="BD159" i="50" s="1"/>
  <c r="K67" i="50"/>
  <c r="AW67" i="50" s="1"/>
  <c r="AV67" i="50"/>
  <c r="K160" i="50"/>
  <c r="AW160" i="50" s="1"/>
  <c r="AV160" i="50"/>
  <c r="Y80" i="50"/>
  <c r="BK80" i="50" s="1"/>
  <c r="BJ80" i="50"/>
  <c r="BC81" i="50"/>
  <c r="R81" i="50"/>
  <c r="BD81" i="50" s="1"/>
  <c r="BC67" i="50"/>
  <c r="R67" i="50"/>
  <c r="BD67" i="50" s="1"/>
  <c r="Y67" i="50"/>
  <c r="BK67" i="50" s="1"/>
  <c r="BJ67" i="50"/>
  <c r="BJ84" i="50"/>
  <c r="Y84" i="50"/>
  <c r="BK84" i="50" s="1"/>
  <c r="R170" i="50"/>
  <c r="BD170" i="50" s="1"/>
  <c r="BC170" i="50"/>
  <c r="R156" i="50"/>
  <c r="BD156" i="50" s="1"/>
  <c r="BC156" i="50"/>
  <c r="K158" i="50"/>
  <c r="AW158" i="50" s="1"/>
  <c r="AV158" i="50"/>
  <c r="BJ64" i="50"/>
  <c r="Y64" i="50"/>
  <c r="X63" i="50"/>
  <c r="BJ63" i="50" s="1"/>
  <c r="Y65" i="50"/>
  <c r="BK65" i="50" s="1"/>
  <c r="BJ65" i="50"/>
  <c r="Y168" i="50"/>
  <c r="BK168" i="50" s="1"/>
  <c r="BJ168" i="50"/>
  <c r="R80" i="50"/>
  <c r="BD80" i="50" s="1"/>
  <c r="BC80" i="50"/>
  <c r="R162" i="50"/>
  <c r="BD162" i="50" s="1"/>
  <c r="BC162" i="50"/>
  <c r="R166" i="50"/>
  <c r="BD166" i="50" s="1"/>
  <c r="BC166" i="50"/>
  <c r="K157" i="50"/>
  <c r="AW157" i="50" s="1"/>
  <c r="AV157" i="50"/>
  <c r="BJ68" i="50"/>
  <c r="Y68" i="50"/>
  <c r="BK68" i="50" s="1"/>
  <c r="R76" i="50"/>
  <c r="BD76" i="50" s="1"/>
  <c r="BC76" i="50"/>
  <c r="K164" i="50"/>
  <c r="AW164" i="50" s="1"/>
  <c r="AV164" i="50"/>
  <c r="BC157" i="50"/>
  <c r="R157" i="50"/>
  <c r="BD157" i="50" s="1"/>
  <c r="Y154" i="50"/>
  <c r="BK154" i="50" s="1"/>
  <c r="BJ154" i="50"/>
  <c r="E63" i="78"/>
  <c r="F63" i="78"/>
  <c r="D70" i="78"/>
  <c r="H70" i="78"/>
  <c r="C70" i="78"/>
  <c r="C63" i="78"/>
  <c r="G63" i="78"/>
  <c r="E70" i="78"/>
  <c r="G70" i="78"/>
  <c r="D63" i="78"/>
  <c r="H63" i="78"/>
  <c r="F70" i="78"/>
  <c r="G79" i="65"/>
  <c r="C31" i="5"/>
  <c r="F104" i="65"/>
  <c r="F110" i="65" s="1"/>
  <c r="G67" i="65"/>
  <c r="G68" i="65" s="1"/>
  <c r="I75" i="65"/>
  <c r="I77" i="65" s="1"/>
  <c r="D67" i="65"/>
  <c r="D68" i="65" s="1"/>
  <c r="E75" i="65"/>
  <c r="E77" i="65" s="1"/>
  <c r="E127" i="1"/>
  <c r="I104" i="65"/>
  <c r="H127" i="1"/>
  <c r="I127" i="1"/>
  <c r="I83" i="65"/>
  <c r="F109" i="65"/>
  <c r="G127" i="1"/>
  <c r="F75" i="65"/>
  <c r="F77" i="65" s="1"/>
  <c r="H98" i="65"/>
  <c r="H99" i="65" s="1"/>
  <c r="F103" i="65"/>
  <c r="F98" i="65"/>
  <c r="F99" i="65" s="1"/>
  <c r="H128" i="1"/>
  <c r="I98" i="65"/>
  <c r="I99" i="65" s="1"/>
  <c r="E67" i="65"/>
  <c r="E68" i="65" s="1"/>
  <c r="I67" i="65"/>
  <c r="I68" i="65" s="1"/>
  <c r="F67" i="65"/>
  <c r="F68" i="65" s="1"/>
  <c r="D75" i="65"/>
  <c r="D77" i="65" s="1"/>
  <c r="G75" i="65"/>
  <c r="D101" i="65"/>
  <c r="G101" i="65"/>
  <c r="E128" i="1"/>
  <c r="J128" i="1"/>
  <c r="F128" i="1"/>
  <c r="J127" i="1"/>
  <c r="F127" i="1"/>
  <c r="H104" i="65"/>
  <c r="D103" i="65"/>
  <c r="G103" i="65"/>
  <c r="F107" i="65"/>
  <c r="F70" i="65"/>
  <c r="E70" i="65"/>
  <c r="F72" i="65"/>
  <c r="I72" i="65"/>
  <c r="F79" i="65"/>
  <c r="I79" i="65"/>
  <c r="F83" i="65"/>
  <c r="F101" i="65"/>
  <c r="D107" i="65"/>
  <c r="G107" i="65"/>
  <c r="D109" i="65"/>
  <c r="G109" i="65"/>
  <c r="H70" i="65"/>
  <c r="H72" i="65"/>
  <c r="H79" i="65"/>
  <c r="H83" i="65"/>
  <c r="E107" i="65"/>
  <c r="I107" i="65"/>
  <c r="E109" i="65"/>
  <c r="I109" i="65"/>
  <c r="E101" i="65"/>
  <c r="I101" i="65"/>
  <c r="E103" i="65"/>
  <c r="I103" i="65"/>
  <c r="G72" i="65"/>
  <c r="G70" i="65"/>
  <c r="D83" i="65"/>
  <c r="E98" i="65"/>
  <c r="E99" i="65" s="1"/>
  <c r="H107" i="65"/>
  <c r="H67" i="65"/>
  <c r="H68" i="65" s="1"/>
  <c r="I70" i="65"/>
  <c r="D72" i="65"/>
  <c r="H75" i="65"/>
  <c r="H77" i="65" s="1"/>
  <c r="D79" i="65"/>
  <c r="E83" i="65"/>
  <c r="G98" i="65"/>
  <c r="G99" i="65" s="1"/>
  <c r="H101" i="65"/>
  <c r="D70" i="65"/>
  <c r="E72" i="65"/>
  <c r="E79" i="65"/>
  <c r="G83" i="65"/>
  <c r="D98" i="65"/>
  <c r="D99" i="65" s="1"/>
  <c r="H103" i="65"/>
  <c r="G104" i="65"/>
  <c r="H109" i="65"/>
  <c r="D104" i="65"/>
  <c r="E104" i="65"/>
  <c r="E65" i="78" l="1"/>
  <c r="E65" i="83"/>
  <c r="F65" i="78"/>
  <c r="F65" i="83"/>
  <c r="E72" i="78"/>
  <c r="E72" i="83"/>
  <c r="E109" i="85"/>
  <c r="H65" i="78"/>
  <c r="H65" i="83"/>
  <c r="F72" i="78"/>
  <c r="F72" i="83"/>
  <c r="E73" i="78"/>
  <c r="E73" i="83"/>
  <c r="H72" i="78"/>
  <c r="H72" i="83"/>
  <c r="G72" i="78"/>
  <c r="G72" i="83"/>
  <c r="D72" i="78"/>
  <c r="D72" i="83"/>
  <c r="G65" i="78"/>
  <c r="G65" i="83"/>
  <c r="D65" i="78"/>
  <c r="D65" i="83"/>
  <c r="C65" i="78"/>
  <c r="C65" i="83"/>
  <c r="C72" i="78"/>
  <c r="C72" i="83"/>
  <c r="BD152" i="50"/>
  <c r="R151" i="50"/>
  <c r="K63" i="50"/>
  <c r="AW63" i="50" s="1"/>
  <c r="AW64" i="50"/>
  <c r="AW152" i="50"/>
  <c r="K151" i="50"/>
  <c r="BK64" i="50"/>
  <c r="Y63" i="50"/>
  <c r="BK63" i="50" s="1"/>
  <c r="BJ151" i="50"/>
  <c r="F49" i="85" s="1"/>
  <c r="F49" i="67"/>
  <c r="BK152" i="50"/>
  <c r="Y151" i="50"/>
  <c r="F13" i="67"/>
  <c r="AV151" i="50"/>
  <c r="F13" i="85" s="1"/>
  <c r="E109" i="67"/>
  <c r="BD64" i="50"/>
  <c r="R63" i="50"/>
  <c r="BD63" i="50" s="1"/>
  <c r="BC151" i="50"/>
  <c r="F31" i="85" s="1"/>
  <c r="F31" i="67"/>
  <c r="F105" i="65"/>
  <c r="G76" i="65"/>
  <c r="G77" i="65"/>
  <c r="D76" i="65"/>
  <c r="I76" i="65"/>
  <c r="F88" i="65"/>
  <c r="H110" i="65"/>
  <c r="G73" i="83" s="1"/>
  <c r="D110" i="65"/>
  <c r="C73" i="83" s="1"/>
  <c r="E76" i="65"/>
  <c r="I110" i="65"/>
  <c r="H73" i="83" s="1"/>
  <c r="E110" i="65"/>
  <c r="D73" i="83" s="1"/>
  <c r="G110" i="65"/>
  <c r="F73" i="83" s="1"/>
  <c r="H105" i="65"/>
  <c r="I105" i="65"/>
  <c r="I88" i="65"/>
  <c r="F76" i="65"/>
  <c r="E43" i="17"/>
  <c r="E88" i="65"/>
  <c r="D88" i="65"/>
  <c r="G88" i="65"/>
  <c r="E105" i="65"/>
  <c r="D105" i="65"/>
  <c r="G105" i="65"/>
  <c r="H76" i="65"/>
  <c r="H88" i="65"/>
  <c r="H66" i="78" l="1"/>
  <c r="H66" i="83"/>
  <c r="G66" i="78"/>
  <c r="G66" i="83"/>
  <c r="D66" i="78"/>
  <c r="D66" i="83"/>
  <c r="F66" i="78"/>
  <c r="F66" i="83"/>
  <c r="E66" i="78"/>
  <c r="E66" i="83"/>
  <c r="C66" i="78"/>
  <c r="C66" i="83"/>
  <c r="F109" i="85"/>
  <c r="F109" i="67"/>
  <c r="AW151" i="50"/>
  <c r="G13" i="85" s="1"/>
  <c r="G13" i="67"/>
  <c r="G49" i="67"/>
  <c r="BK151" i="50"/>
  <c r="G49" i="85" s="1"/>
  <c r="G31" i="67"/>
  <c r="BD151" i="50"/>
  <c r="G31" i="85" s="1"/>
  <c r="F89" i="65"/>
  <c r="F91" i="65"/>
  <c r="I111" i="65"/>
  <c r="H73" i="78"/>
  <c r="E114" i="65"/>
  <c r="D73" i="78"/>
  <c r="H114" i="65"/>
  <c r="G73" i="78"/>
  <c r="G129" i="1"/>
  <c r="G40" i="2" s="1"/>
  <c r="AD37" i="83" s="1"/>
  <c r="G114" i="65"/>
  <c r="F73" i="78"/>
  <c r="D114" i="65"/>
  <c r="C73" i="78"/>
  <c r="I112" i="65"/>
  <c r="F37" i="17"/>
  <c r="G90" i="65"/>
  <c r="E129" i="1"/>
  <c r="D90" i="65"/>
  <c r="H37" i="17"/>
  <c r="I90" i="65"/>
  <c r="G37" i="17"/>
  <c r="H90" i="65"/>
  <c r="E89" i="65"/>
  <c r="E90" i="65"/>
  <c r="E37" i="17"/>
  <c r="F90" i="65"/>
  <c r="I91" i="65"/>
  <c r="H112" i="65"/>
  <c r="H111" i="65"/>
  <c r="H43" i="17"/>
  <c r="G43" i="17"/>
  <c r="I114" i="65"/>
  <c r="J129" i="1"/>
  <c r="I89" i="65"/>
  <c r="F112" i="65"/>
  <c r="F114" i="65"/>
  <c r="F111" i="65"/>
  <c r="D91" i="65"/>
  <c r="E91" i="65"/>
  <c r="D37" i="17"/>
  <c r="F129" i="1"/>
  <c r="D89" i="65"/>
  <c r="D43" i="17"/>
  <c r="F43" i="17"/>
  <c r="G89" i="65"/>
  <c r="H129" i="1"/>
  <c r="G91" i="65"/>
  <c r="I129" i="1"/>
  <c r="H89" i="65"/>
  <c r="H91" i="65"/>
  <c r="G111" i="65"/>
  <c r="G112" i="65"/>
  <c r="D111" i="65"/>
  <c r="D112" i="65"/>
  <c r="E111" i="65"/>
  <c r="E112" i="65"/>
  <c r="G41" i="2" l="1"/>
  <c r="AD38" i="83" s="1"/>
  <c r="G109" i="85"/>
  <c r="C67" i="78"/>
  <c r="C67" i="83"/>
  <c r="H67" i="78"/>
  <c r="H67" i="83"/>
  <c r="E68" i="78"/>
  <c r="E68" i="83"/>
  <c r="C68" i="78"/>
  <c r="C68" i="83"/>
  <c r="H74" i="78"/>
  <c r="H74" i="83"/>
  <c r="G67" i="78"/>
  <c r="G67" i="83"/>
  <c r="E67" i="78"/>
  <c r="E67" i="83"/>
  <c r="D67" i="78"/>
  <c r="D67" i="83"/>
  <c r="F68" i="78"/>
  <c r="F68" i="83"/>
  <c r="D68" i="78"/>
  <c r="D68" i="83"/>
  <c r="D74" i="78"/>
  <c r="D74" i="83"/>
  <c r="G68" i="78"/>
  <c r="G68" i="83"/>
  <c r="F74" i="78"/>
  <c r="F74" i="83"/>
  <c r="F67" i="78"/>
  <c r="F67" i="83"/>
  <c r="E74" i="78"/>
  <c r="E74" i="83"/>
  <c r="G74" i="78"/>
  <c r="G74" i="83"/>
  <c r="C74" i="78"/>
  <c r="C74" i="83"/>
  <c r="H68" i="78"/>
  <c r="H68" i="83"/>
  <c r="G109" i="67"/>
  <c r="AD37" i="78"/>
  <c r="I40" i="2"/>
  <c r="AF37" i="83" s="1"/>
  <c r="I41" i="2"/>
  <c r="AF38" i="83" s="1"/>
  <c r="H40" i="2"/>
  <c r="H41" i="2"/>
  <c r="F41" i="2"/>
  <c r="F40" i="2"/>
  <c r="AC37" i="83" s="1"/>
  <c r="J41" i="2"/>
  <c r="AG38" i="83" s="1"/>
  <c r="J40" i="2"/>
  <c r="AG37" i="83" s="1"/>
  <c r="E40" i="2"/>
  <c r="E41" i="2"/>
  <c r="AB38" i="83" s="1"/>
  <c r="AD38" i="78" l="1"/>
  <c r="AB37" i="78"/>
  <c r="AB37" i="83"/>
  <c r="R41" i="2"/>
  <c r="AC38" i="83"/>
  <c r="S41" i="2"/>
  <c r="AE38" i="83"/>
  <c r="S40" i="2"/>
  <c r="AE37" i="83"/>
  <c r="U41" i="2"/>
  <c r="AC37" i="78"/>
  <c r="Q40" i="2"/>
  <c r="AF38" i="78"/>
  <c r="T41" i="2"/>
  <c r="R40" i="2"/>
  <c r="AG37" i="78"/>
  <c r="U40" i="2"/>
  <c r="AC38" i="78"/>
  <c r="Q41" i="2"/>
  <c r="AF37" i="78"/>
  <c r="T40" i="2"/>
  <c r="AB38" i="78"/>
  <c r="AE38" i="78"/>
  <c r="AG38" i="78"/>
  <c r="AE37" i="78"/>
  <c r="AA67" i="53" l="1"/>
  <c r="CE67" i="53" s="1"/>
  <c r="AA90" i="53"/>
  <c r="CE90" i="53" s="1"/>
  <c r="T93" i="85" s="1"/>
  <c r="AJ67" i="73" l="1"/>
  <c r="BY67" i="73" s="1"/>
  <c r="AA63" i="53"/>
  <c r="AJ90" i="73"/>
  <c r="BY90" i="73" s="1"/>
  <c r="T93" i="67"/>
  <c r="AI67" i="53"/>
  <c r="CL67" i="53" s="1"/>
  <c r="AJ90" i="53"/>
  <c r="CM90" i="53" s="1"/>
  <c r="U117" i="85" s="1"/>
  <c r="AI90" i="53"/>
  <c r="CL90" i="53" s="1"/>
  <c r="T117" i="85" s="1"/>
  <c r="AL90" i="53"/>
  <c r="AC67" i="53"/>
  <c r="AL67" i="53"/>
  <c r="AF67" i="53"/>
  <c r="CJ67" i="53" s="1"/>
  <c r="AE67" i="53"/>
  <c r="AB67" i="53"/>
  <c r="CF67" i="53" s="1"/>
  <c r="AK67" i="53"/>
  <c r="AM67" i="53"/>
  <c r="AN67" i="53"/>
  <c r="CQ67" i="53" s="1"/>
  <c r="AD90" i="53"/>
  <c r="AE90" i="53"/>
  <c r="AF90" i="53"/>
  <c r="Z117" i="85" l="1"/>
  <c r="W117" i="67"/>
  <c r="CO90" i="53"/>
  <c r="W117" i="85" s="1"/>
  <c r="Y93" i="67"/>
  <c r="AA93" i="67" s="1"/>
  <c r="CJ90" i="53"/>
  <c r="Y93" i="85" s="1"/>
  <c r="AA93" i="85" s="1"/>
  <c r="AM63" i="53"/>
  <c r="CP63" i="53" s="1"/>
  <c r="X109" i="85" s="1"/>
  <c r="CP67" i="53"/>
  <c r="AK63" i="53"/>
  <c r="CN63" i="53" s="1"/>
  <c r="V109" i="85" s="1"/>
  <c r="CN67" i="53"/>
  <c r="AE63" i="53"/>
  <c r="CI63" i="53" s="1"/>
  <c r="X85" i="85" s="1"/>
  <c r="CI67" i="53"/>
  <c r="X93" i="67"/>
  <c r="CI90" i="53"/>
  <c r="X93" i="85" s="1"/>
  <c r="AL63" i="53"/>
  <c r="CO63" i="53" s="1"/>
  <c r="W109" i="85" s="1"/>
  <c r="CO67" i="53"/>
  <c r="T85" i="67"/>
  <c r="T88" i="67" s="1"/>
  <c r="CE63" i="53"/>
  <c r="T85" i="85" s="1"/>
  <c r="T88" i="85" s="1"/>
  <c r="W93" i="67"/>
  <c r="CH90" i="53"/>
  <c r="W93" i="85" s="1"/>
  <c r="AC63" i="53"/>
  <c r="CG63" i="53" s="1"/>
  <c r="V85" i="85" s="1"/>
  <c r="CG67" i="53"/>
  <c r="U117" i="67"/>
  <c r="AO90" i="53"/>
  <c r="CR90" i="53" s="1"/>
  <c r="AP90" i="53"/>
  <c r="AB63" i="53"/>
  <c r="AH67" i="53"/>
  <c r="AG67" i="53"/>
  <c r="CK67" i="53" s="1"/>
  <c r="AF63" i="53"/>
  <c r="AU67" i="73"/>
  <c r="CE67" i="73" s="1"/>
  <c r="AI63" i="53"/>
  <c r="AN63" i="53"/>
  <c r="AJ63" i="73"/>
  <c r="BY63" i="73" s="1"/>
  <c r="AA88" i="53"/>
  <c r="AJ67" i="53"/>
  <c r="CM67" i="53" s="1"/>
  <c r="AD67" i="53"/>
  <c r="CH67" i="53" s="1"/>
  <c r="AU90" i="73"/>
  <c r="CE90" i="73" s="1"/>
  <c r="T117" i="67"/>
  <c r="AN90" i="53"/>
  <c r="CQ90" i="53" s="1"/>
  <c r="Y117" i="85" s="1"/>
  <c r="AA117" i="85" s="1"/>
  <c r="AX67" i="73"/>
  <c r="CG67" i="73" s="1"/>
  <c r="AY67" i="73"/>
  <c r="AM67" i="73"/>
  <c r="CA67" i="73" s="1"/>
  <c r="AN67" i="73"/>
  <c r="AS90" i="73"/>
  <c r="CD90" i="73" s="1"/>
  <c r="AT90" i="73"/>
  <c r="AR90" i="73"/>
  <c r="AQ90" i="73"/>
  <c r="CC90" i="73" s="1"/>
  <c r="BE67" i="73"/>
  <c r="BD67" i="73"/>
  <c r="CJ67" i="73" s="1"/>
  <c r="AB90" i="53"/>
  <c r="CF90" i="53" s="1"/>
  <c r="U93" i="85" s="1"/>
  <c r="Z93" i="85" s="1"/>
  <c r="AR67" i="73"/>
  <c r="AQ67" i="73"/>
  <c r="CC67" i="73" s="1"/>
  <c r="AT67" i="73"/>
  <c r="AS67" i="73"/>
  <c r="CD67" i="73" s="1"/>
  <c r="AM90" i="53"/>
  <c r="AZ90" i="73"/>
  <c r="CH90" i="73" s="1"/>
  <c r="BA90" i="73"/>
  <c r="AL67" i="73"/>
  <c r="AK67" i="73"/>
  <c r="BZ67" i="73" s="1"/>
  <c r="BA67" i="73"/>
  <c r="AZ67" i="73"/>
  <c r="CH67" i="73" s="1"/>
  <c r="AP90" i="73"/>
  <c r="AO90" i="73"/>
  <c r="CB90" i="73" s="1"/>
  <c r="BB67" i="73"/>
  <c r="CI67" i="73" s="1"/>
  <c r="BC67" i="73"/>
  <c r="AK90" i="53"/>
  <c r="AV90" i="73"/>
  <c r="CF90" i="73" s="1"/>
  <c r="AW90" i="73"/>
  <c r="AC90" i="53"/>
  <c r="X85" i="67" l="1"/>
  <c r="V85" i="67"/>
  <c r="X109" i="67"/>
  <c r="Z117" i="67"/>
  <c r="W109" i="67"/>
  <c r="V109" i="67"/>
  <c r="V117" i="67"/>
  <c r="CN90" i="53"/>
  <c r="V117" i="85" s="1"/>
  <c r="Y85" i="67"/>
  <c r="AA85" i="67" s="1"/>
  <c r="CJ63" i="53"/>
  <c r="Y85" i="85" s="1"/>
  <c r="AA85" i="85" s="1"/>
  <c r="X117" i="67"/>
  <c r="CP90" i="53"/>
  <c r="X117" i="85" s="1"/>
  <c r="AJ88" i="73"/>
  <c r="BY88" i="73" s="1"/>
  <c r="CE88" i="53"/>
  <c r="U85" i="67"/>
  <c r="Z85" i="67" s="1"/>
  <c r="CF63" i="53"/>
  <c r="U85" i="85" s="1"/>
  <c r="Z85" i="85" s="1"/>
  <c r="Y109" i="67"/>
  <c r="CQ63" i="53"/>
  <c r="Y109" i="85" s="1"/>
  <c r="AU63" i="73"/>
  <c r="CE63" i="73" s="1"/>
  <c r="CL63" i="53"/>
  <c r="T109" i="85" s="1"/>
  <c r="T112" i="85" s="1"/>
  <c r="V93" i="67"/>
  <c r="CG90" i="53"/>
  <c r="V93" i="85" s="1"/>
  <c r="AI88" i="53"/>
  <c r="U93" i="67"/>
  <c r="Z93" i="67" s="1"/>
  <c r="AH90" i="53"/>
  <c r="AG90" i="53"/>
  <c r="CK90" i="53" s="1"/>
  <c r="AH63" i="53"/>
  <c r="AG63" i="53"/>
  <c r="CK63" i="53" s="1"/>
  <c r="AJ63" i="53"/>
  <c r="CM63" i="53" s="1"/>
  <c r="U109" i="85" s="1"/>
  <c r="AP67" i="53"/>
  <c r="AO67" i="53"/>
  <c r="CR67" i="53" s="1"/>
  <c r="T109" i="67"/>
  <c r="T112" i="67" s="1"/>
  <c r="AW67" i="73"/>
  <c r="AP67" i="73"/>
  <c r="AD63" i="53"/>
  <c r="AA91" i="53"/>
  <c r="E133" i="1"/>
  <c r="AA95" i="53"/>
  <c r="AO67" i="73"/>
  <c r="CB67" i="73" s="1"/>
  <c r="AV67" i="73"/>
  <c r="CF67" i="73" s="1"/>
  <c r="BD90" i="73"/>
  <c r="CJ90" i="73" s="1"/>
  <c r="Y117" i="67"/>
  <c r="AA117" i="67" s="1"/>
  <c r="BE90" i="73"/>
  <c r="AJ92" i="73"/>
  <c r="BY92" i="73" s="1"/>
  <c r="AN90" i="73"/>
  <c r="AM90" i="73"/>
  <c r="CA90" i="73" s="1"/>
  <c r="AS63" i="73"/>
  <c r="CD63" i="73" s="1"/>
  <c r="AT63" i="73"/>
  <c r="AY90" i="73"/>
  <c r="AX90" i="73"/>
  <c r="CG90" i="73" s="1"/>
  <c r="BD63" i="73"/>
  <c r="CJ63" i="73" s="1"/>
  <c r="BE63" i="73"/>
  <c r="BC63" i="73"/>
  <c r="BB63" i="73"/>
  <c r="CI63" i="73" s="1"/>
  <c r="BC90" i="73"/>
  <c r="BB90" i="73"/>
  <c r="CI90" i="73" s="1"/>
  <c r="AN63" i="73"/>
  <c r="AM63" i="73"/>
  <c r="CA63" i="73" s="1"/>
  <c r="AK63" i="73"/>
  <c r="BZ63" i="73" s="1"/>
  <c r="AL63" i="73"/>
  <c r="AK90" i="73"/>
  <c r="BZ90" i="73" s="1"/>
  <c r="AL90" i="73"/>
  <c r="AY63" i="73"/>
  <c r="AX63" i="73"/>
  <c r="CG63" i="73" s="1"/>
  <c r="AZ63" i="73"/>
  <c r="CH63" i="73" s="1"/>
  <c r="BA63" i="73"/>
  <c r="AR63" i="73"/>
  <c r="AQ63" i="73"/>
  <c r="CC63" i="73" s="1"/>
  <c r="X49" i="53"/>
  <c r="Z109" i="85" l="1"/>
  <c r="AA109" i="85"/>
  <c r="AJ95" i="73"/>
  <c r="BY95" i="73" s="1"/>
  <c r="CE95" i="53"/>
  <c r="BB49" i="53"/>
  <c r="DD49" i="53" s="1"/>
  <c r="CC49" i="53"/>
  <c r="AA93" i="53"/>
  <c r="CE93" i="53" s="1"/>
  <c r="T91" i="85" s="1"/>
  <c r="CE91" i="53"/>
  <c r="W85" i="67"/>
  <c r="CH63" i="53"/>
  <c r="W85" i="85" s="1"/>
  <c r="AI95" i="53"/>
  <c r="CL88" i="53"/>
  <c r="E44" i="2"/>
  <c r="U133" i="1"/>
  <c r="AU88" i="73"/>
  <c r="CE88" i="73" s="1"/>
  <c r="AI91" i="53"/>
  <c r="AP63" i="53"/>
  <c r="AO63" i="53"/>
  <c r="CR63" i="53" s="1"/>
  <c r="AV63" i="73"/>
  <c r="CF63" i="73" s="1"/>
  <c r="AW63" i="73"/>
  <c r="U109" i="67"/>
  <c r="Z109" i="67" s="1"/>
  <c r="AA109" i="67"/>
  <c r="AJ91" i="73"/>
  <c r="BY91" i="73" s="1"/>
  <c r="AU92" i="73"/>
  <c r="CE92" i="73" s="1"/>
  <c r="AO63" i="73"/>
  <c r="CB63" i="73" s="1"/>
  <c r="AP63" i="73"/>
  <c r="AH49" i="73"/>
  <c r="BX49" i="73" s="1"/>
  <c r="AI49" i="73"/>
  <c r="AJ93" i="73" l="1"/>
  <c r="BY93" i="73" s="1"/>
  <c r="AB41" i="78"/>
  <c r="AB41" i="83"/>
  <c r="T91" i="67"/>
  <c r="AI93" i="53"/>
  <c r="AU93" i="73" s="1"/>
  <c r="CE93" i="73" s="1"/>
  <c r="CL91" i="53"/>
  <c r="AU95" i="73"/>
  <c r="CE95" i="73" s="1"/>
  <c r="CL95" i="53"/>
  <c r="AU91" i="73"/>
  <c r="CE91" i="73" s="1"/>
  <c r="T50" i="53"/>
  <c r="BY50" i="53" s="1"/>
  <c r="U50" i="53"/>
  <c r="V50" i="53"/>
  <c r="X50" i="53"/>
  <c r="AY50" i="53" l="1"/>
  <c r="DA50" i="53" s="1"/>
  <c r="BZ50" i="53"/>
  <c r="BB50" i="53"/>
  <c r="DD50" i="53" s="1"/>
  <c r="CC50" i="53"/>
  <c r="AZ50" i="53"/>
  <c r="DB50" i="53" s="1"/>
  <c r="CA50" i="53"/>
  <c r="T115" i="67"/>
  <c r="CL93" i="53"/>
  <c r="T115" i="85" s="1"/>
  <c r="AX50" i="53"/>
  <c r="CZ50" i="53" s="1"/>
  <c r="Z50" i="53"/>
  <c r="Y50" i="53"/>
  <c r="CD50" i="53" s="1"/>
  <c r="AH50" i="73"/>
  <c r="BX50" i="73" s="1"/>
  <c r="AI50" i="73"/>
  <c r="AD50" i="73"/>
  <c r="BV50" i="73" s="1"/>
  <c r="AE50" i="73"/>
  <c r="AB50" i="73"/>
  <c r="BU50" i="73" s="1"/>
  <c r="AC50" i="73"/>
  <c r="Z50" i="73"/>
  <c r="BT50" i="73" s="1"/>
  <c r="AA50" i="73"/>
  <c r="AX89" i="53" l="1"/>
  <c r="CZ89" i="53" s="1"/>
  <c r="AZ89" i="53"/>
  <c r="DB89" i="53" s="1"/>
  <c r="AZ29" i="53"/>
  <c r="DB29" i="53" s="1"/>
  <c r="AX29" i="53"/>
  <c r="CZ29" i="53" s="1"/>
  <c r="AY89" i="53"/>
  <c r="DA89" i="53" s="1"/>
  <c r="AY29" i="53"/>
  <c r="DA29" i="53" s="1"/>
  <c r="BB89" i="53"/>
  <c r="DD89" i="53" s="1"/>
  <c r="BB29" i="53"/>
  <c r="DD29" i="53" s="1"/>
  <c r="C67" i="53"/>
  <c r="BJ67" i="53" s="1"/>
  <c r="G67" i="53"/>
  <c r="BN67" i="53" s="1"/>
  <c r="BG67" i="53" l="1"/>
  <c r="DI67" i="53" s="1"/>
  <c r="G63" i="53"/>
  <c r="BN63" i="53" s="1"/>
  <c r="X12" i="85" s="1"/>
  <c r="C67" i="73"/>
  <c r="BG67" i="73" s="1"/>
  <c r="BC67" i="53"/>
  <c r="DE67" i="53" s="1"/>
  <c r="C63" i="53"/>
  <c r="BJ63" i="53" s="1"/>
  <c r="T12" i="85" s="1"/>
  <c r="K67" i="53"/>
  <c r="BQ67" i="53" s="1"/>
  <c r="E67" i="53"/>
  <c r="BL67" i="53" s="1"/>
  <c r="F67" i="53"/>
  <c r="BM67" i="53" s="1"/>
  <c r="H67" i="53"/>
  <c r="BO67" i="53" s="1"/>
  <c r="D67" i="53"/>
  <c r="BK67" i="53" s="1"/>
  <c r="Y27" i="79"/>
  <c r="Y24" i="79"/>
  <c r="Y21" i="79"/>
  <c r="Y29" i="79"/>
  <c r="Y18" i="79"/>
  <c r="Y26" i="79"/>
  <c r="Y10" i="79"/>
  <c r="Y23" i="79"/>
  <c r="Y20" i="79"/>
  <c r="Y28" i="79"/>
  <c r="Y25" i="79"/>
  <c r="Y22" i="79"/>
  <c r="Y30" i="79"/>
  <c r="Y19" i="79"/>
  <c r="K90" i="53"/>
  <c r="K67" i="73"/>
  <c r="J67" i="73"/>
  <c r="BK67" i="73" s="1"/>
  <c r="C90" i="53"/>
  <c r="BJ90" i="53" s="1"/>
  <c r="T20" i="85" s="1"/>
  <c r="BC90" i="53"/>
  <c r="DE90" i="53" s="1"/>
  <c r="O67" i="53"/>
  <c r="L67" i="53"/>
  <c r="BR67" i="53" s="1"/>
  <c r="P67" i="53"/>
  <c r="BV67" i="53" s="1"/>
  <c r="M67" i="53"/>
  <c r="N67" i="53"/>
  <c r="R35" i="2"/>
  <c r="S35" i="2"/>
  <c r="T35" i="2"/>
  <c r="E97" i="1"/>
  <c r="E34" i="2" s="1"/>
  <c r="AB29" i="78" l="1"/>
  <c r="AB29" i="83"/>
  <c r="O63" i="53"/>
  <c r="BU63" i="53" s="1"/>
  <c r="X33" i="85" s="1"/>
  <c r="BU67" i="53"/>
  <c r="N63" i="53"/>
  <c r="BT63" i="53" s="1"/>
  <c r="W33" i="85" s="1"/>
  <c r="BT67" i="53"/>
  <c r="M63" i="53"/>
  <c r="BS63" i="53" s="1"/>
  <c r="V33" i="85" s="1"/>
  <c r="BS67" i="53"/>
  <c r="T41" i="67"/>
  <c r="BQ90" i="53"/>
  <c r="T41" i="85" s="1"/>
  <c r="L63" i="53"/>
  <c r="BR63" i="53" s="1"/>
  <c r="U33" i="85" s="1"/>
  <c r="R67" i="53"/>
  <c r="Q67" i="53"/>
  <c r="BW67" i="53" s="1"/>
  <c r="I67" i="53"/>
  <c r="BP67" i="53" s="1"/>
  <c r="J67" i="53"/>
  <c r="P63" i="53"/>
  <c r="BV63" i="53" s="1"/>
  <c r="Y33" i="85" s="1"/>
  <c r="N67" i="73"/>
  <c r="BM67" i="73" s="1"/>
  <c r="K63" i="53"/>
  <c r="BQ63" i="53" s="1"/>
  <c r="T33" i="85" s="1"/>
  <c r="BF67" i="53"/>
  <c r="DH67" i="53" s="1"/>
  <c r="F63" i="53"/>
  <c r="BM63" i="53" s="1"/>
  <c r="W12" i="85" s="1"/>
  <c r="E67" i="73"/>
  <c r="BD67" i="53"/>
  <c r="D63" i="53"/>
  <c r="BK63" i="53" s="1"/>
  <c r="U12" i="85" s="1"/>
  <c r="L67" i="73"/>
  <c r="BL67" i="73" s="1"/>
  <c r="BH67" i="53"/>
  <c r="DJ67" i="53" s="1"/>
  <c r="H63" i="53"/>
  <c r="BO63" i="53" s="1"/>
  <c r="Y12" i="85" s="1"/>
  <c r="F67" i="73"/>
  <c r="BI67" i="73" s="1"/>
  <c r="BE67" i="53"/>
  <c r="DG67" i="53" s="1"/>
  <c r="E63" i="53"/>
  <c r="BL63" i="53" s="1"/>
  <c r="V12" i="85" s="1"/>
  <c r="G67" i="73"/>
  <c r="D67" i="73"/>
  <c r="BH67" i="73" s="1"/>
  <c r="C101" i="53"/>
  <c r="T20" i="67"/>
  <c r="M67" i="73"/>
  <c r="H67" i="73"/>
  <c r="BJ67" i="73" s="1"/>
  <c r="I67" i="73"/>
  <c r="F97" i="1"/>
  <c r="F34" i="2" s="1"/>
  <c r="V35" i="2"/>
  <c r="U35" i="2"/>
  <c r="Q35" i="2"/>
  <c r="R67" i="73"/>
  <c r="Q67" i="73"/>
  <c r="BO67" i="73" s="1"/>
  <c r="O67" i="73"/>
  <c r="BN67" i="73" s="1"/>
  <c r="P67" i="73"/>
  <c r="G90" i="53"/>
  <c r="F90" i="53"/>
  <c r="M90" i="53"/>
  <c r="L90" i="53"/>
  <c r="BR90" i="53" s="1"/>
  <c r="U41" i="85" s="1"/>
  <c r="T67" i="73"/>
  <c r="S67" i="73"/>
  <c r="BP67" i="73" s="1"/>
  <c r="W67" i="73"/>
  <c r="BR67" i="73" s="1"/>
  <c r="X67" i="73"/>
  <c r="V67" i="73"/>
  <c r="U67" i="73"/>
  <c r="BQ67" i="73" s="1"/>
  <c r="N90" i="53"/>
  <c r="O90" i="53"/>
  <c r="D90" i="53"/>
  <c r="BK90" i="53" s="1"/>
  <c r="U20" i="85" s="1"/>
  <c r="E90" i="53"/>
  <c r="K101" i="53"/>
  <c r="N90" i="73"/>
  <c r="BM90" i="73" s="1"/>
  <c r="BC63" i="53"/>
  <c r="DE63" i="53" s="1"/>
  <c r="C90" i="73"/>
  <c r="BG90" i="73" s="1"/>
  <c r="BE90" i="53"/>
  <c r="DG90" i="53" s="1"/>
  <c r="BG63" i="53"/>
  <c r="DI63" i="53" s="1"/>
  <c r="P90" i="53"/>
  <c r="Z41" i="85" l="1"/>
  <c r="Z33" i="85"/>
  <c r="AA12" i="85"/>
  <c r="Z20" i="85"/>
  <c r="AC29" i="78"/>
  <c r="AC29" i="83"/>
  <c r="AA33" i="85"/>
  <c r="Z12" i="85"/>
  <c r="Y41" i="67"/>
  <c r="BV90" i="53"/>
  <c r="Y41" i="85" s="1"/>
  <c r="AA41" i="85" s="1"/>
  <c r="X41" i="67"/>
  <c r="BU90" i="53"/>
  <c r="X41" i="85" s="1"/>
  <c r="C112" i="53"/>
  <c r="BJ112" i="53" s="1"/>
  <c r="BJ101" i="53"/>
  <c r="W41" i="67"/>
  <c r="BT90" i="53"/>
  <c r="W41" i="85" s="1"/>
  <c r="W20" i="67"/>
  <c r="BM90" i="53"/>
  <c r="W20" i="85" s="1"/>
  <c r="BD63" i="53"/>
  <c r="DF63" i="53" s="1"/>
  <c r="DF67" i="53"/>
  <c r="X20" i="67"/>
  <c r="BN90" i="53"/>
  <c r="X20" i="85" s="1"/>
  <c r="V20" i="67"/>
  <c r="BL90" i="53"/>
  <c r="V20" i="85" s="1"/>
  <c r="V41" i="67"/>
  <c r="BS90" i="53"/>
  <c r="V41" i="85" s="1"/>
  <c r="K112" i="53"/>
  <c r="BQ112" i="53" s="1"/>
  <c r="BQ101" i="53"/>
  <c r="U20" i="67"/>
  <c r="Z20" i="67" s="1"/>
  <c r="J90" i="53"/>
  <c r="I90" i="53"/>
  <c r="BP90" i="53" s="1"/>
  <c r="U41" i="67"/>
  <c r="Z41" i="67" s="1"/>
  <c r="Q90" i="53"/>
  <c r="BW90" i="53" s="1"/>
  <c r="R90" i="53"/>
  <c r="I63" i="53"/>
  <c r="BP63" i="53" s="1"/>
  <c r="J63" i="53"/>
  <c r="R63" i="53"/>
  <c r="Q63" i="53"/>
  <c r="BW63" i="53" s="1"/>
  <c r="BF90" i="53"/>
  <c r="DH90" i="53" s="1"/>
  <c r="BH90" i="53"/>
  <c r="DJ90" i="53" s="1"/>
  <c r="H90" i="53"/>
  <c r="F101" i="53"/>
  <c r="BM101" i="53" s="1"/>
  <c r="I90" i="73"/>
  <c r="H90" i="73"/>
  <c r="BJ90" i="73" s="1"/>
  <c r="O101" i="53"/>
  <c r="V90" i="73"/>
  <c r="U90" i="73"/>
  <c r="BQ90" i="73" s="1"/>
  <c r="D101" i="53"/>
  <c r="BK101" i="53" s="1"/>
  <c r="E90" i="73"/>
  <c r="D90" i="73"/>
  <c r="BH90" i="73" s="1"/>
  <c r="N101" i="53"/>
  <c r="S90" i="73"/>
  <c r="BP90" i="73" s="1"/>
  <c r="T90" i="73"/>
  <c r="M101" i="53"/>
  <c r="R90" i="73"/>
  <c r="Q90" i="73"/>
  <c r="BO90" i="73" s="1"/>
  <c r="W90" i="73"/>
  <c r="BR90" i="73" s="1"/>
  <c r="X90" i="73"/>
  <c r="E101" i="53"/>
  <c r="BL101" i="53" s="1"/>
  <c r="G90" i="73"/>
  <c r="F90" i="73"/>
  <c r="BI90" i="73" s="1"/>
  <c r="L101" i="53"/>
  <c r="P90" i="73"/>
  <c r="O90" i="73"/>
  <c r="BN90" i="73" s="1"/>
  <c r="G101" i="53"/>
  <c r="BN101" i="53" s="1"/>
  <c r="K90" i="73"/>
  <c r="J90" i="73"/>
  <c r="BK90" i="73" s="1"/>
  <c r="BE63" i="53"/>
  <c r="DG63" i="53" s="1"/>
  <c r="BG90" i="53"/>
  <c r="DI90" i="53" s="1"/>
  <c r="P101" i="53"/>
  <c r="L112" i="53" l="1"/>
  <c r="BR112" i="53" s="1"/>
  <c r="BR101" i="53"/>
  <c r="M112" i="53"/>
  <c r="BS112" i="53" s="1"/>
  <c r="BS101" i="53"/>
  <c r="O112" i="53"/>
  <c r="BU112" i="53" s="1"/>
  <c r="BU101" i="53"/>
  <c r="P112" i="53"/>
  <c r="BV112" i="53" s="1"/>
  <c r="BV101" i="53"/>
  <c r="N112" i="53"/>
  <c r="BT112" i="53" s="1"/>
  <c r="BT101" i="53"/>
  <c r="L90" i="73"/>
  <c r="BL90" i="73" s="1"/>
  <c r="BO90" i="53"/>
  <c r="Y20" i="85" s="1"/>
  <c r="AA41" i="67"/>
  <c r="BH63" i="53"/>
  <c r="DJ63" i="53" s="1"/>
  <c r="Y20" i="67"/>
  <c r="AA20" i="67" s="1"/>
  <c r="BF63" i="53"/>
  <c r="DH63" i="53" s="1"/>
  <c r="H101" i="53"/>
  <c r="BO101" i="53" s="1"/>
  <c r="M90" i="73"/>
  <c r="D104" i="53"/>
  <c r="D112" i="53" s="1"/>
  <c r="BK112" i="53" s="1"/>
  <c r="E104" i="53"/>
  <c r="E112" i="53" s="1"/>
  <c r="BL112" i="53" s="1"/>
  <c r="AA20" i="85" l="1"/>
  <c r="F104" i="53"/>
  <c r="F112" i="53" s="1"/>
  <c r="BM112" i="53" s="1"/>
  <c r="G104" i="53" l="1"/>
  <c r="G112" i="53" s="1"/>
  <c r="BN112" i="53" s="1"/>
  <c r="H104" i="53" l="1"/>
  <c r="H112" i="53" s="1"/>
  <c r="BO112" i="53" s="1"/>
  <c r="C35" i="78" l="1"/>
  <c r="D21" i="39" l="1"/>
  <c r="AC4" i="79"/>
  <c r="D35" i="78"/>
  <c r="C21" i="39"/>
  <c r="S13" i="2"/>
  <c r="R13" i="2"/>
  <c r="Q13" i="2"/>
  <c r="T13" i="2" l="1"/>
  <c r="V13" i="2" l="1"/>
  <c r="U13" i="2"/>
  <c r="G19" i="58"/>
  <c r="D19" i="58"/>
  <c r="C78" i="83" s="1"/>
  <c r="K14" i="58"/>
  <c r="H79" i="83" s="1"/>
  <c r="J14" i="58"/>
  <c r="I14" i="58"/>
  <c r="H14" i="58"/>
  <c r="G14" i="58"/>
  <c r="D14" i="58"/>
  <c r="C79" i="83" s="1"/>
  <c r="C80" i="83" l="1"/>
  <c r="E79" i="78"/>
  <c r="E79" i="83"/>
  <c r="G79" i="78"/>
  <c r="G79" i="83"/>
  <c r="D78" i="78"/>
  <c r="D78" i="83"/>
  <c r="F79" i="78"/>
  <c r="F79" i="83"/>
  <c r="D79" i="78"/>
  <c r="D79" i="83"/>
  <c r="K38" i="58"/>
  <c r="H86" i="83" s="1"/>
  <c r="H79" i="78"/>
  <c r="D39" i="58"/>
  <c r="C84" i="83" s="1"/>
  <c r="C78" i="78"/>
  <c r="H38" i="58"/>
  <c r="I38" i="58"/>
  <c r="G39" i="58"/>
  <c r="D84" i="83" s="1"/>
  <c r="D38" i="58"/>
  <c r="C79" i="78"/>
  <c r="J38" i="58"/>
  <c r="G38" i="58"/>
  <c r="L7" i="2"/>
  <c r="D80" i="78" l="1"/>
  <c r="D80" i="83"/>
  <c r="D86" i="78"/>
  <c r="D86" i="83"/>
  <c r="E86" i="78"/>
  <c r="E86" i="83"/>
  <c r="G86" i="78"/>
  <c r="G86" i="83"/>
  <c r="C86" i="78"/>
  <c r="C86" i="83"/>
  <c r="F86" i="78"/>
  <c r="F86" i="83"/>
  <c r="G41" i="58"/>
  <c r="C80" i="78"/>
  <c r="G42" i="58"/>
  <c r="D84" i="78"/>
  <c r="K41" i="58"/>
  <c r="H86" i="78"/>
  <c r="D37" i="58"/>
  <c r="D41" i="58"/>
  <c r="J41" i="58"/>
  <c r="H41" i="58"/>
  <c r="I41" i="58"/>
  <c r="D42" i="58"/>
  <c r="C84" i="78"/>
  <c r="G37" i="58"/>
  <c r="E9" i="65"/>
  <c r="D32" i="83" s="1"/>
  <c r="F9" i="65"/>
  <c r="E32" i="83" s="1"/>
  <c r="G9" i="65"/>
  <c r="F32" i="83" s="1"/>
  <c r="H9" i="65"/>
  <c r="G32" i="83" s="1"/>
  <c r="I9" i="65"/>
  <c r="H32" i="83" s="1"/>
  <c r="D9" i="65"/>
  <c r="C32" i="83" s="1"/>
  <c r="H87" i="78" l="1"/>
  <c r="U41" i="58"/>
  <c r="H87" i="83" s="1"/>
  <c r="F87" i="78"/>
  <c r="S41" i="58"/>
  <c r="F87" i="83" s="1"/>
  <c r="D85" i="78"/>
  <c r="Q42" i="58"/>
  <c r="D85" i="83" s="1"/>
  <c r="E87" i="78"/>
  <c r="R41" i="58"/>
  <c r="E87" i="83" s="1"/>
  <c r="G87" i="78"/>
  <c r="T41" i="58"/>
  <c r="G87" i="83" s="1"/>
  <c r="D87" i="78"/>
  <c r="Q41" i="58"/>
  <c r="D87" i="83" s="1"/>
  <c r="C87" i="78"/>
  <c r="N41" i="58"/>
  <c r="C87" i="83" s="1"/>
  <c r="C85" i="78"/>
  <c r="N42" i="58"/>
  <c r="C85" i="83" s="1"/>
  <c r="G40" i="58"/>
  <c r="Q40" i="58" s="1"/>
  <c r="G32" i="78"/>
  <c r="D40" i="58"/>
  <c r="N40" i="58" s="1"/>
  <c r="F32" i="78"/>
  <c r="H32" i="78"/>
  <c r="C32" i="78"/>
  <c r="E32" i="78"/>
  <c r="D32" i="78"/>
  <c r="C20" i="39"/>
  <c r="D34" i="65"/>
  <c r="D21" i="65"/>
  <c r="H20" i="39"/>
  <c r="I21" i="65"/>
  <c r="G20" i="39"/>
  <c r="H21" i="65"/>
  <c r="F20" i="39"/>
  <c r="G21" i="65"/>
  <c r="E20" i="39"/>
  <c r="F21" i="65"/>
  <c r="D20" i="39"/>
  <c r="E21" i="65"/>
  <c r="G106" i="53"/>
  <c r="F106" i="53"/>
  <c r="E106" i="53"/>
  <c r="C28" i="5"/>
  <c r="C106" i="53"/>
  <c r="H106" i="53"/>
  <c r="D106" i="53"/>
  <c r="N7" i="78" l="1"/>
  <c r="N7" i="83"/>
  <c r="C43" i="78"/>
  <c r="C43" i="83"/>
  <c r="F36" i="78"/>
  <c r="F36" i="83"/>
  <c r="C36" i="78"/>
  <c r="C36" i="83"/>
  <c r="L7" i="78"/>
  <c r="L7" i="83"/>
  <c r="O7" i="78"/>
  <c r="O7" i="83"/>
  <c r="E36" i="78"/>
  <c r="E36" i="83"/>
  <c r="D36" i="78"/>
  <c r="D36" i="83"/>
  <c r="H36" i="78"/>
  <c r="H36" i="83"/>
  <c r="G36" i="78"/>
  <c r="G36" i="83"/>
  <c r="P7" i="78"/>
  <c r="P7" i="83"/>
  <c r="M7" i="78"/>
  <c r="M7" i="83"/>
  <c r="Q7" i="78"/>
  <c r="Q7" i="83"/>
  <c r="E34" i="1"/>
  <c r="F34" i="1"/>
  <c r="F71" i="1" l="1"/>
  <c r="G71" i="1"/>
  <c r="H71" i="1"/>
  <c r="I71" i="1"/>
  <c r="J71" i="1"/>
  <c r="E71" i="1"/>
  <c r="H29" i="17" l="1"/>
  <c r="H30" i="17"/>
  <c r="H31" i="17"/>
  <c r="T67" i="53" l="1"/>
  <c r="BY67" i="53" s="1"/>
  <c r="G98" i="1"/>
  <c r="H98" i="1"/>
  <c r="I98" i="1"/>
  <c r="J98" i="1"/>
  <c r="T63" i="53" l="1"/>
  <c r="BY63" i="53" s="1"/>
  <c r="U54" i="85" s="1"/>
  <c r="AX67" i="53"/>
  <c r="CZ67" i="53" s="1"/>
  <c r="V67" i="53"/>
  <c r="CA67" i="53" s="1"/>
  <c r="W67" i="53"/>
  <c r="CB67" i="53" s="1"/>
  <c r="U67" i="53"/>
  <c r="BZ67" i="53" s="1"/>
  <c r="X67" i="53"/>
  <c r="CC67" i="53" s="1"/>
  <c r="AR47" i="60"/>
  <c r="CO47" i="60" s="1"/>
  <c r="AP47" i="60"/>
  <c r="CM47" i="60" s="1"/>
  <c r="V90" i="53"/>
  <c r="W90" i="53"/>
  <c r="P8" i="1"/>
  <c r="R8" i="1" s="1"/>
  <c r="O8" i="1"/>
  <c r="N8" i="1"/>
  <c r="M8" i="1"/>
  <c r="L8" i="1"/>
  <c r="U129" i="85" l="1"/>
  <c r="X62" i="67"/>
  <c r="X137" i="67" s="1"/>
  <c r="CB90" i="53"/>
  <c r="X62" i="85" s="1"/>
  <c r="X137" i="85" s="1"/>
  <c r="W62" i="67"/>
  <c r="W137" i="67" s="1"/>
  <c r="CA90" i="53"/>
  <c r="W62" i="85" s="1"/>
  <c r="W137" i="85" s="1"/>
  <c r="K8" i="1"/>
  <c r="Q8" i="1" s="1"/>
  <c r="A142" i="1"/>
  <c r="W63" i="53"/>
  <c r="CB63" i="53" s="1"/>
  <c r="X54" i="85" s="1"/>
  <c r="X129" i="85" s="1"/>
  <c r="BA67" i="53"/>
  <c r="X63" i="53"/>
  <c r="CC63" i="53" s="1"/>
  <c r="Y54" i="85" s="1"/>
  <c r="BB67" i="53"/>
  <c r="DD67" i="53" s="1"/>
  <c r="V63" i="53"/>
  <c r="CA63" i="53" s="1"/>
  <c r="W54" i="85" s="1"/>
  <c r="W129" i="85" s="1"/>
  <c r="AZ67" i="53"/>
  <c r="U63" i="53"/>
  <c r="BZ63" i="53" s="1"/>
  <c r="V54" i="85" s="1"/>
  <c r="V129" i="85" s="1"/>
  <c r="AY67" i="53"/>
  <c r="AQ47" i="60"/>
  <c r="CN47" i="60" s="1"/>
  <c r="AM47" i="60"/>
  <c r="S67" i="53"/>
  <c r="BX67" i="53" s="1"/>
  <c r="V101" i="53"/>
  <c r="BB90" i="53"/>
  <c r="DD90" i="53" s="1"/>
  <c r="T90" i="53"/>
  <c r="BY90" i="53" s="1"/>
  <c r="U62" i="85" s="1"/>
  <c r="W101" i="53"/>
  <c r="AW90" i="53"/>
  <c r="CY90" i="53" s="1"/>
  <c r="U90" i="53"/>
  <c r="AT47" i="60"/>
  <c r="CQ47" i="60" s="1"/>
  <c r="AS47" i="60"/>
  <c r="CP47" i="60" s="1"/>
  <c r="S90" i="53"/>
  <c r="BX90" i="53" s="1"/>
  <c r="T62" i="85" s="1"/>
  <c r="T137" i="85" s="1"/>
  <c r="X90" i="53"/>
  <c r="AX90" i="53"/>
  <c r="CZ90" i="53" s="1"/>
  <c r="BA90" i="53"/>
  <c r="DC90" i="53" s="1"/>
  <c r="AZ90" i="53"/>
  <c r="DB90" i="53" s="1"/>
  <c r="AY90" i="53"/>
  <c r="DA90" i="53" s="1"/>
  <c r="AA54" i="85" l="1"/>
  <c r="Y129" i="85"/>
  <c r="Z62" i="85"/>
  <c r="U137" i="85"/>
  <c r="Z137" i="85" s="1"/>
  <c r="BA63" i="53"/>
  <c r="DC63" i="53" s="1"/>
  <c r="DC67" i="53"/>
  <c r="V62" i="67"/>
  <c r="V137" i="67" s="1"/>
  <c r="BZ90" i="53"/>
  <c r="V62" i="85" s="1"/>
  <c r="V137" i="85" s="1"/>
  <c r="AY63" i="53"/>
  <c r="DA63" i="53" s="1"/>
  <c r="DA67" i="53"/>
  <c r="W112" i="53"/>
  <c r="CB112" i="53" s="1"/>
  <c r="CB101" i="53"/>
  <c r="AZ63" i="53"/>
  <c r="DB63" i="53" s="1"/>
  <c r="DB67" i="53"/>
  <c r="Y62" i="67"/>
  <c r="Y137" i="67" s="1"/>
  <c r="CC90" i="53"/>
  <c r="Y62" i="85" s="1"/>
  <c r="V112" i="53"/>
  <c r="CA112" i="53" s="1"/>
  <c r="CA101" i="53"/>
  <c r="AU47" i="60"/>
  <c r="CJ47" i="60"/>
  <c r="Z67" i="53"/>
  <c r="Y67" i="53"/>
  <c r="CD67" i="53" s="1"/>
  <c r="U62" i="67"/>
  <c r="U137" i="67" s="1"/>
  <c r="Z90" i="53"/>
  <c r="Y90" i="53"/>
  <c r="CD90" i="53" s="1"/>
  <c r="AC67" i="73"/>
  <c r="S63" i="53"/>
  <c r="BX63" i="53" s="1"/>
  <c r="T54" i="85" s="1"/>
  <c r="AW67" i="53"/>
  <c r="AE90" i="73"/>
  <c r="T62" i="67"/>
  <c r="T137" i="67" s="1"/>
  <c r="AE67" i="73"/>
  <c r="AF67" i="73"/>
  <c r="BW67" i="73" s="1"/>
  <c r="AF90" i="73"/>
  <c r="BW90" i="73" s="1"/>
  <c r="AH67" i="73"/>
  <c r="BX67" i="73" s="1"/>
  <c r="BB63" i="53"/>
  <c r="DD63" i="53" s="1"/>
  <c r="Y67" i="73"/>
  <c r="BS67" i="73" s="1"/>
  <c r="U101" i="53"/>
  <c r="AC90" i="73"/>
  <c r="AB90" i="73"/>
  <c r="BU90" i="73" s="1"/>
  <c r="AG67" i="73"/>
  <c r="AD67" i="73"/>
  <c r="BV67" i="73" s="1"/>
  <c r="AA67" i="73"/>
  <c r="X101" i="53"/>
  <c r="AI90" i="73"/>
  <c r="AH90" i="73"/>
  <c r="BX90" i="73" s="1"/>
  <c r="AG90" i="73"/>
  <c r="Z67" i="73"/>
  <c r="BT67" i="73" s="1"/>
  <c r="S101" i="53"/>
  <c r="Y90" i="73"/>
  <c r="BS90" i="73" s="1"/>
  <c r="AB67" i="73"/>
  <c r="BU67" i="73" s="1"/>
  <c r="AI67" i="73"/>
  <c r="T101" i="53"/>
  <c r="Z90" i="73"/>
  <c r="BT90" i="73" s="1"/>
  <c r="AA90" i="73"/>
  <c r="AD90" i="73"/>
  <c r="BV90" i="73" s="1"/>
  <c r="AX63" i="53"/>
  <c r="CZ63" i="53" s="1"/>
  <c r="C16" i="16"/>
  <c r="T129" i="85" l="1"/>
  <c r="Z129" i="85" s="1"/>
  <c r="Z54" i="85"/>
  <c r="AA62" i="85"/>
  <c r="Y137" i="85"/>
  <c r="AA137" i="85" s="1"/>
  <c r="AM25" i="79"/>
  <c r="L16" i="16"/>
  <c r="AM25" i="84" s="1"/>
  <c r="X112" i="53"/>
  <c r="CC112" i="53" s="1"/>
  <c r="CC101" i="53"/>
  <c r="AW63" i="53"/>
  <c r="CY63" i="53" s="1"/>
  <c r="CY67" i="53"/>
  <c r="S112" i="53"/>
  <c r="BX112" i="53" s="1"/>
  <c r="BX101" i="53"/>
  <c r="U112" i="53"/>
  <c r="BZ112" i="53" s="1"/>
  <c r="BZ101" i="53"/>
  <c r="T112" i="53"/>
  <c r="BY112" i="53" s="1"/>
  <c r="BY101" i="53"/>
  <c r="AA62" i="67"/>
  <c r="Z63" i="53"/>
  <c r="Y63" i="53"/>
  <c r="CD63" i="53" s="1"/>
  <c r="Z137" i="67"/>
  <c r="AA137" i="67"/>
  <c r="Z62" i="67"/>
  <c r="G27" i="58"/>
  <c r="Q27" i="58" s="1"/>
  <c r="H27" i="58"/>
  <c r="R27" i="58" s="1"/>
  <c r="I27" i="58"/>
  <c r="S27" i="58" s="1"/>
  <c r="J27" i="58"/>
  <c r="T27" i="58" s="1"/>
  <c r="K27" i="58"/>
  <c r="U27" i="58" s="1"/>
  <c r="D27" i="58"/>
  <c r="N27" i="58" s="1"/>
  <c r="AA129" i="85" l="1"/>
  <c r="H8" i="22"/>
  <c r="G8" i="22"/>
  <c r="F8" i="22"/>
  <c r="D8" i="22"/>
  <c r="G9" i="49"/>
  <c r="F9" i="49"/>
  <c r="E9" i="49"/>
  <c r="D9" i="49"/>
  <c r="C9" i="49"/>
  <c r="K7" i="58"/>
  <c r="U7" i="58" s="1"/>
  <c r="J7" i="58"/>
  <c r="T7" i="58" s="1"/>
  <c r="I7" i="58"/>
  <c r="S7" i="58" s="1"/>
  <c r="H7" i="58"/>
  <c r="R7" i="58" s="1"/>
  <c r="G7" i="58"/>
  <c r="Q7" i="58" s="1"/>
  <c r="D7" i="58"/>
  <c r="N7" i="58" s="1"/>
  <c r="B34" i="58" l="1"/>
  <c r="B15" i="58"/>
  <c r="B26" i="58"/>
  <c r="B11" i="58"/>
  <c r="B25" i="58"/>
  <c r="B10" i="58"/>
  <c r="B35" i="58"/>
  <c r="B20" i="58"/>
  <c r="I7" i="65"/>
  <c r="H7" i="65"/>
  <c r="G7" i="65"/>
  <c r="F7" i="65"/>
  <c r="E7" i="65"/>
  <c r="D7" i="65"/>
  <c r="E20" i="17"/>
  <c r="F20" i="17"/>
  <c r="G20" i="17"/>
  <c r="H20" i="17"/>
  <c r="D20" i="17"/>
  <c r="D19" i="17"/>
  <c r="E19" i="17"/>
  <c r="F19" i="17"/>
  <c r="G19" i="17"/>
  <c r="H19" i="17"/>
  <c r="H27" i="17"/>
  <c r="G27" i="17"/>
  <c r="F27" i="17"/>
  <c r="E27" i="17"/>
  <c r="D27" i="17"/>
  <c r="I37" i="65"/>
  <c r="H44" i="83" s="1"/>
  <c r="G37" i="65"/>
  <c r="F44" i="83" s="1"/>
  <c r="F37" i="65"/>
  <c r="E44" i="83" s="1"/>
  <c r="E37" i="65"/>
  <c r="D44" i="83" s="1"/>
  <c r="D37" i="65"/>
  <c r="C44" i="83" s="1"/>
  <c r="I33" i="65"/>
  <c r="H42" i="83" s="1"/>
  <c r="H33" i="65"/>
  <c r="G42" i="83" s="1"/>
  <c r="G33" i="65"/>
  <c r="F42" i="83" s="1"/>
  <c r="F33" i="65"/>
  <c r="E42" i="83" s="1"/>
  <c r="E33" i="65"/>
  <c r="D42" i="83" s="1"/>
  <c r="I26" i="65"/>
  <c r="H37" i="83" s="1"/>
  <c r="H26" i="65"/>
  <c r="G37" i="83" s="1"/>
  <c r="G26" i="65"/>
  <c r="F37" i="83" s="1"/>
  <c r="F26" i="65"/>
  <c r="E37" i="83" s="1"/>
  <c r="E26" i="65"/>
  <c r="D37" i="83" s="1"/>
  <c r="D26" i="65"/>
  <c r="C37" i="83" s="1"/>
  <c r="AV57" i="79" l="1"/>
  <c r="AV54" i="79" s="1"/>
  <c r="AP54" i="79" s="1"/>
  <c r="AV57" i="84"/>
  <c r="AV54" i="84" s="1"/>
  <c r="AP54" i="84" s="1"/>
  <c r="F34" i="65"/>
  <c r="E42" i="78"/>
  <c r="H27" i="65"/>
  <c r="G37" i="78"/>
  <c r="E38" i="65"/>
  <c r="D44" i="78"/>
  <c r="E34" i="65"/>
  <c r="D42" i="78"/>
  <c r="I34" i="65"/>
  <c r="H42" i="78"/>
  <c r="G38" i="65"/>
  <c r="F44" i="78"/>
  <c r="G27" i="65"/>
  <c r="F37" i="78"/>
  <c r="G34" i="65"/>
  <c r="F42" i="78"/>
  <c r="I38" i="65"/>
  <c r="H44" i="78"/>
  <c r="E27" i="65"/>
  <c r="D37" i="78"/>
  <c r="I27" i="65"/>
  <c r="H37" i="78"/>
  <c r="H34" i="65"/>
  <c r="G42" i="78"/>
  <c r="F38" i="65"/>
  <c r="E44" i="78"/>
  <c r="D27" i="65"/>
  <c r="C37" i="78"/>
  <c r="F27" i="65"/>
  <c r="E37" i="78"/>
  <c r="D38" i="65"/>
  <c r="C44" i="78"/>
  <c r="I57" i="65"/>
  <c r="J40" i="74"/>
  <c r="H40" i="74"/>
  <c r="I40" i="74"/>
  <c r="K40" i="74"/>
  <c r="D28" i="17"/>
  <c r="E53" i="65"/>
  <c r="D55" i="83" s="1"/>
  <c r="H28" i="17"/>
  <c r="I53" i="65"/>
  <c r="H55" i="83" s="1"/>
  <c r="E28" i="17"/>
  <c r="F53" i="65"/>
  <c r="E55" i="83" s="1"/>
  <c r="F28" i="17"/>
  <c r="G53" i="65"/>
  <c r="F55" i="83" s="1"/>
  <c r="G28" i="17"/>
  <c r="H53" i="65"/>
  <c r="G55" i="83" s="1"/>
  <c r="E30" i="65"/>
  <c r="D30" i="65"/>
  <c r="I48" i="65"/>
  <c r="E48" i="65"/>
  <c r="D50" i="83" s="1"/>
  <c r="F48" i="65"/>
  <c r="E50" i="83" s="1"/>
  <c r="I30" i="65"/>
  <c r="G30" i="65"/>
  <c r="D53" i="65"/>
  <c r="C55" i="83" s="1"/>
  <c r="D48" i="65"/>
  <c r="G48" i="65"/>
  <c r="H48" i="65"/>
  <c r="G50" i="83" s="1"/>
  <c r="F30" i="65"/>
  <c r="C50" i="83" l="1"/>
  <c r="G130" i="41"/>
  <c r="F130" i="41"/>
  <c r="H130" i="41"/>
  <c r="E38" i="78"/>
  <c r="E38" i="83"/>
  <c r="H38" i="78"/>
  <c r="H38" i="83"/>
  <c r="F38" i="78"/>
  <c r="F38" i="83"/>
  <c r="D45" i="78"/>
  <c r="D45" i="83"/>
  <c r="C39" i="78"/>
  <c r="C39" i="83"/>
  <c r="C38" i="78"/>
  <c r="C38" i="83"/>
  <c r="D38" i="78"/>
  <c r="D38" i="83"/>
  <c r="F45" i="78"/>
  <c r="F45" i="83"/>
  <c r="G38" i="78"/>
  <c r="G38" i="83"/>
  <c r="M130" i="41"/>
  <c r="M147" i="41" s="1"/>
  <c r="BG147" i="41" s="1"/>
  <c r="N29" i="85" s="1"/>
  <c r="H50" i="83"/>
  <c r="F39" i="78"/>
  <c r="F39" i="83"/>
  <c r="E45" i="78"/>
  <c r="E45" i="83"/>
  <c r="H45" i="78"/>
  <c r="H45" i="83"/>
  <c r="H43" i="78"/>
  <c r="H43" i="83"/>
  <c r="D39" i="78"/>
  <c r="D39" i="83"/>
  <c r="H39" i="78"/>
  <c r="H39" i="83"/>
  <c r="K130" i="41"/>
  <c r="K147" i="41" s="1"/>
  <c r="BE147" i="41" s="1"/>
  <c r="L29" i="85" s="1"/>
  <c r="F50" i="83"/>
  <c r="E39" i="78"/>
  <c r="E39" i="83"/>
  <c r="C45" i="78"/>
  <c r="C45" i="83"/>
  <c r="G43" i="78"/>
  <c r="G43" i="83"/>
  <c r="F43" i="78"/>
  <c r="F43" i="83"/>
  <c r="D43" i="78"/>
  <c r="D43" i="83"/>
  <c r="E43" i="78"/>
  <c r="E43" i="83"/>
  <c r="F132" i="41"/>
  <c r="AE132" i="41" s="1"/>
  <c r="AE149" i="41" s="1"/>
  <c r="BY149" i="41" s="1"/>
  <c r="H132" i="41"/>
  <c r="G132" i="41"/>
  <c r="G149" i="41" s="1"/>
  <c r="BA149" i="41" s="1"/>
  <c r="F131" i="41"/>
  <c r="W136" i="41" s="1"/>
  <c r="H131" i="41"/>
  <c r="G131" i="41"/>
  <c r="G148" i="41" s="1"/>
  <c r="BA148" i="41" s="1"/>
  <c r="J130" i="41"/>
  <c r="S130" i="41" s="1"/>
  <c r="S147" i="41" s="1"/>
  <c r="BM147" i="41" s="1"/>
  <c r="L130" i="41"/>
  <c r="L147" i="41" s="1"/>
  <c r="BF147" i="41" s="1"/>
  <c r="M29" i="85" s="1"/>
  <c r="K131" i="41"/>
  <c r="F50" i="78"/>
  <c r="K132" i="41"/>
  <c r="K149" i="41" s="1"/>
  <c r="BE149" i="41" s="1"/>
  <c r="L35" i="85" s="1"/>
  <c r="F55" i="78"/>
  <c r="M132" i="41"/>
  <c r="M149" i="41" s="1"/>
  <c r="BG149" i="41" s="1"/>
  <c r="N35" i="85" s="1"/>
  <c r="H55" i="78"/>
  <c r="C55" i="78"/>
  <c r="L132" i="41"/>
  <c r="L149" i="41" s="1"/>
  <c r="BF149" i="41" s="1"/>
  <c r="M35" i="85" s="1"/>
  <c r="G55" i="78"/>
  <c r="J132" i="41"/>
  <c r="J149" i="41" s="1"/>
  <c r="BD149" i="41" s="1"/>
  <c r="K35" i="85" s="1"/>
  <c r="E55" i="78"/>
  <c r="L131" i="41"/>
  <c r="G50" i="78"/>
  <c r="M131" i="41"/>
  <c r="H50" i="78"/>
  <c r="C50" i="78"/>
  <c r="J131" i="41"/>
  <c r="E50" i="78"/>
  <c r="I132" i="41"/>
  <c r="I149" i="41" s="1"/>
  <c r="BC149" i="41" s="1"/>
  <c r="J35" i="85" s="1"/>
  <c r="D55" i="78"/>
  <c r="I131" i="41"/>
  <c r="D50" i="78"/>
  <c r="I130" i="41"/>
  <c r="I147" i="41" s="1"/>
  <c r="BC147" i="41" s="1"/>
  <c r="J29" i="85" s="1"/>
  <c r="E36" i="39"/>
  <c r="F49" i="65"/>
  <c r="F36" i="39"/>
  <c r="G49" i="65"/>
  <c r="I32" i="65"/>
  <c r="I31" i="65"/>
  <c r="D32" i="65"/>
  <c r="D31" i="65"/>
  <c r="F52" i="39"/>
  <c r="G54" i="65"/>
  <c r="H52" i="39"/>
  <c r="I54" i="65"/>
  <c r="F32" i="65"/>
  <c r="F31" i="65"/>
  <c r="C36" i="39"/>
  <c r="D49" i="65"/>
  <c r="C52" i="39"/>
  <c r="D54" i="65"/>
  <c r="D36" i="39"/>
  <c r="E49" i="65"/>
  <c r="G52" i="39"/>
  <c r="H54" i="65"/>
  <c r="E52" i="39"/>
  <c r="F54" i="65"/>
  <c r="D52" i="39"/>
  <c r="E54" i="65"/>
  <c r="G36" i="39"/>
  <c r="H49" i="65"/>
  <c r="G32" i="65"/>
  <c r="G31" i="65"/>
  <c r="H36" i="39"/>
  <c r="I49" i="65"/>
  <c r="E32" i="65"/>
  <c r="E31" i="65"/>
  <c r="C29" i="5"/>
  <c r="K107" i="53"/>
  <c r="BQ107" i="53" s="1"/>
  <c r="C30" i="5"/>
  <c r="P107" i="53"/>
  <c r="BV107" i="53" s="1"/>
  <c r="O107" i="53"/>
  <c r="BU107" i="53" s="1"/>
  <c r="M107" i="53"/>
  <c r="BS107" i="53" s="1"/>
  <c r="N107" i="53"/>
  <c r="BT107" i="53" s="1"/>
  <c r="L107" i="53"/>
  <c r="BR107" i="53" s="1"/>
  <c r="I64" i="1"/>
  <c r="G64" i="1"/>
  <c r="J64" i="1"/>
  <c r="E64" i="1"/>
  <c r="H64" i="1"/>
  <c r="F64" i="1"/>
  <c r="D43" i="65"/>
  <c r="G18" i="65"/>
  <c r="F33" i="83" s="1"/>
  <c r="F18" i="65"/>
  <c r="E33" i="83" s="1"/>
  <c r="H18" i="65"/>
  <c r="G33" i="83" s="1"/>
  <c r="G43" i="65"/>
  <c r="I43" i="65"/>
  <c r="E43" i="65"/>
  <c r="E18" i="65"/>
  <c r="D33" i="83" s="1"/>
  <c r="H63" i="1"/>
  <c r="J63" i="1"/>
  <c r="I63" i="1"/>
  <c r="E63" i="1"/>
  <c r="F63" i="1"/>
  <c r="G63" i="1"/>
  <c r="I18" i="65"/>
  <c r="H33" i="83" s="1"/>
  <c r="D18" i="65"/>
  <c r="C33" i="83" s="1"/>
  <c r="F43" i="65"/>
  <c r="AF130" i="41" l="1"/>
  <c r="AF147" i="41" s="1"/>
  <c r="BZ147" i="41" s="1"/>
  <c r="X130" i="41"/>
  <c r="X147" i="41" s="1"/>
  <c r="BR147" i="41" s="1"/>
  <c r="G147" i="41"/>
  <c r="BA147" i="41" s="1"/>
  <c r="W135" i="41"/>
  <c r="AE130" i="41"/>
  <c r="AE147" i="41" s="1"/>
  <c r="BY147" i="41" s="1"/>
  <c r="O135" i="41"/>
  <c r="F135" i="41"/>
  <c r="AE135" i="41"/>
  <c r="F147" i="41"/>
  <c r="AZ147" i="41" s="1"/>
  <c r="W130" i="41"/>
  <c r="W147" i="41" s="1"/>
  <c r="BQ147" i="41" s="1"/>
  <c r="O130" i="41"/>
  <c r="O147" i="41" s="1"/>
  <c r="BI147" i="41" s="1"/>
  <c r="Y130" i="41"/>
  <c r="Y147" i="41" s="1"/>
  <c r="BS147" i="41" s="1"/>
  <c r="H135" i="41"/>
  <c r="BB135" i="41" s="1"/>
  <c r="AG135" i="41"/>
  <c r="CA135" i="41" s="1"/>
  <c r="AG130" i="41"/>
  <c r="AG147" i="41" s="1"/>
  <c r="CA147" i="41" s="1"/>
  <c r="Q130" i="41"/>
  <c r="Q147" i="41" s="1"/>
  <c r="BK147" i="41" s="1"/>
  <c r="Q135" i="41"/>
  <c r="BK135" i="41" s="1"/>
  <c r="H147" i="41"/>
  <c r="BB147" i="41" s="1"/>
  <c r="O137" i="41"/>
  <c r="O142" i="41" s="1"/>
  <c r="BI142" i="41" s="1"/>
  <c r="W137" i="41"/>
  <c r="BQ137" i="41" s="1"/>
  <c r="AE137" i="41"/>
  <c r="BY137" i="41" s="1"/>
  <c r="F149" i="41"/>
  <c r="AZ149" i="41" s="1"/>
  <c r="F137" i="41"/>
  <c r="F142" i="41" s="1"/>
  <c r="O132" i="41"/>
  <c r="O149" i="41" s="1"/>
  <c r="BI149" i="41" s="1"/>
  <c r="G51" i="78"/>
  <c r="G51" i="83"/>
  <c r="G56" i="78"/>
  <c r="G56" i="83"/>
  <c r="E40" i="78"/>
  <c r="E40" i="83"/>
  <c r="H40" i="78"/>
  <c r="H40" i="83"/>
  <c r="E41" i="78"/>
  <c r="E41" i="83"/>
  <c r="H41" i="78"/>
  <c r="H41" i="83"/>
  <c r="F41" i="78"/>
  <c r="F41" i="83"/>
  <c r="D51" i="78"/>
  <c r="D51" i="83"/>
  <c r="O35" i="85"/>
  <c r="C41" i="78"/>
  <c r="C41" i="83"/>
  <c r="H56" i="78"/>
  <c r="H56" i="83"/>
  <c r="D41" i="78"/>
  <c r="D41" i="83"/>
  <c r="H51" i="78"/>
  <c r="H51" i="83"/>
  <c r="D56" i="78"/>
  <c r="D56" i="83"/>
  <c r="C56" i="78"/>
  <c r="C56" i="83"/>
  <c r="F56" i="78"/>
  <c r="F56" i="83"/>
  <c r="E51" i="78"/>
  <c r="E51" i="83"/>
  <c r="F51" i="78"/>
  <c r="F51" i="83"/>
  <c r="W132" i="41"/>
  <c r="W149" i="41" s="1"/>
  <c r="BQ149" i="41" s="1"/>
  <c r="F46" i="78"/>
  <c r="F46" i="83"/>
  <c r="E46" i="78"/>
  <c r="E46" i="83"/>
  <c r="D40" i="78"/>
  <c r="D40" i="83"/>
  <c r="C46" i="78"/>
  <c r="C46" i="83"/>
  <c r="D46" i="78"/>
  <c r="D46" i="83"/>
  <c r="H46" i="78"/>
  <c r="H46" i="83"/>
  <c r="F40" i="78"/>
  <c r="F40" i="83"/>
  <c r="E56" i="78"/>
  <c r="E56" i="83"/>
  <c r="C51" i="78"/>
  <c r="C51" i="83"/>
  <c r="C40" i="78"/>
  <c r="C40" i="83"/>
  <c r="W141" i="41"/>
  <c r="BQ141" i="41" s="1"/>
  <c r="BQ136" i="41"/>
  <c r="F148" i="41"/>
  <c r="AZ148" i="41" s="1"/>
  <c r="O131" i="41"/>
  <c r="F129" i="41"/>
  <c r="AE136" i="41"/>
  <c r="W131" i="41"/>
  <c r="W148" i="41" s="1"/>
  <c r="BQ148" i="41" s="1"/>
  <c r="F136" i="41"/>
  <c r="AE131" i="41"/>
  <c r="AE148" i="41" s="1"/>
  <c r="H149" i="41"/>
  <c r="BB149" i="41" s="1"/>
  <c r="Q132" i="41"/>
  <c r="Q149" i="41" s="1"/>
  <c r="BK149" i="41" s="1"/>
  <c r="Y132" i="41"/>
  <c r="Y149" i="41" s="1"/>
  <c r="BS149" i="41" s="1"/>
  <c r="AG132" i="41"/>
  <c r="AG149" i="41" s="1"/>
  <c r="CA149" i="41" s="1"/>
  <c r="O136" i="41"/>
  <c r="Y131" i="41"/>
  <c r="Q131" i="41"/>
  <c r="AG131" i="41"/>
  <c r="J147" i="41"/>
  <c r="G19" i="65"/>
  <c r="F33" i="78"/>
  <c r="H19" i="65"/>
  <c r="G33" i="78"/>
  <c r="I19" i="65"/>
  <c r="H33" i="78"/>
  <c r="R135" i="41"/>
  <c r="BL135" i="41" s="1"/>
  <c r="R130" i="41"/>
  <c r="R147" i="41" s="1"/>
  <c r="BL147" i="41" s="1"/>
  <c r="Z130" i="41"/>
  <c r="Z147" i="41" s="1"/>
  <c r="BT147" i="41" s="1"/>
  <c r="I135" i="41"/>
  <c r="BC135" i="41" s="1"/>
  <c r="AH130" i="41"/>
  <c r="AH147" i="41" s="1"/>
  <c r="CB147" i="41" s="1"/>
  <c r="E19" i="65"/>
  <c r="D33" i="78"/>
  <c r="D19" i="65"/>
  <c r="C33" i="78"/>
  <c r="F19" i="65"/>
  <c r="E33" i="78"/>
  <c r="D46" i="65"/>
  <c r="G129" i="74"/>
  <c r="G128" i="74"/>
  <c r="F12" i="17"/>
  <c r="G45" i="65"/>
  <c r="G44" i="65"/>
  <c r="D45" i="65"/>
  <c r="D44" i="65"/>
  <c r="F45" i="65"/>
  <c r="F44" i="65"/>
  <c r="I45" i="65"/>
  <c r="I44" i="65"/>
  <c r="D12" i="17"/>
  <c r="E44" i="65"/>
  <c r="E45" i="65"/>
  <c r="I129" i="74"/>
  <c r="I128" i="74"/>
  <c r="J129" i="74"/>
  <c r="J128" i="74"/>
  <c r="H129" i="74"/>
  <c r="H128" i="74"/>
  <c r="K129" i="74"/>
  <c r="K128" i="74"/>
  <c r="E65" i="1"/>
  <c r="H65" i="1"/>
  <c r="H15" i="2" s="1"/>
  <c r="G46" i="65"/>
  <c r="E46" i="65"/>
  <c r="F46" i="65"/>
  <c r="E12" i="17"/>
  <c r="H12" i="17"/>
  <c r="J65" i="1"/>
  <c r="J14" i="2" s="1"/>
  <c r="I46" i="65"/>
  <c r="G65" i="1"/>
  <c r="G14" i="2" s="1"/>
  <c r="F65" i="1"/>
  <c r="BQ135" i="41" l="1"/>
  <c r="W140" i="41"/>
  <c r="BI135" i="41"/>
  <c r="O140" i="41"/>
  <c r="AZ135" i="41"/>
  <c r="F140" i="41"/>
  <c r="BY135" i="41"/>
  <c r="AE140" i="41"/>
  <c r="BI137" i="41"/>
  <c r="W142" i="41"/>
  <c r="BQ142" i="41" s="1"/>
  <c r="F146" i="41"/>
  <c r="AZ146" i="41" s="1"/>
  <c r="AE142" i="41"/>
  <c r="AZ142" i="41"/>
  <c r="F155" i="41"/>
  <c r="AZ155" i="41" s="1"/>
  <c r="O155" i="41"/>
  <c r="BI155" i="41" s="1"/>
  <c r="O129" i="41"/>
  <c r="AZ137" i="41"/>
  <c r="AV38" i="84"/>
  <c r="AP38" i="84" s="1"/>
  <c r="AV38" i="79"/>
  <c r="AP38" i="79" s="1"/>
  <c r="AS38" i="84"/>
  <c r="AM38" i="84" s="1"/>
  <c r="AS38" i="79"/>
  <c r="AM38" i="79" s="1"/>
  <c r="AR38" i="84"/>
  <c r="AL38" i="84" s="1"/>
  <c r="AR38" i="79"/>
  <c r="AL38" i="79" s="1"/>
  <c r="AT38" i="84"/>
  <c r="AN38" i="84" s="1"/>
  <c r="AT38" i="79"/>
  <c r="AN38" i="79" s="1"/>
  <c r="H34" i="78"/>
  <c r="H34" i="83"/>
  <c r="C47" i="78"/>
  <c r="C47" i="83"/>
  <c r="D34" i="78"/>
  <c r="D34" i="83"/>
  <c r="C48" i="78"/>
  <c r="C48" i="83"/>
  <c r="G34" i="78"/>
  <c r="G34" i="83"/>
  <c r="AE10" i="78"/>
  <c r="AE10" i="83"/>
  <c r="D48" i="78"/>
  <c r="D48" i="83"/>
  <c r="D47" i="78"/>
  <c r="D47" i="83"/>
  <c r="F47" i="78"/>
  <c r="F47" i="83"/>
  <c r="F34" i="78"/>
  <c r="F34" i="83"/>
  <c r="E48" i="78"/>
  <c r="E48" i="83"/>
  <c r="AG9" i="78"/>
  <c r="AG9" i="83"/>
  <c r="F48" i="78"/>
  <c r="F48" i="83"/>
  <c r="H47" i="78"/>
  <c r="H47" i="83"/>
  <c r="E34" i="78"/>
  <c r="E34" i="83"/>
  <c r="H48" i="78"/>
  <c r="H48" i="83"/>
  <c r="AD9" i="78"/>
  <c r="AD9" i="83"/>
  <c r="E47" i="78"/>
  <c r="E47" i="83"/>
  <c r="C34" i="78"/>
  <c r="C34" i="83"/>
  <c r="Q21" i="85"/>
  <c r="N147" i="41"/>
  <c r="BH147" i="41" s="1"/>
  <c r="BD147" i="41"/>
  <c r="K29" i="85" s="1"/>
  <c r="AE141" i="41"/>
  <c r="AE154" i="41" s="1"/>
  <c r="BY136" i="41"/>
  <c r="AE146" i="41"/>
  <c r="BY146" i="41" s="1"/>
  <c r="BY148" i="41"/>
  <c r="O141" i="41"/>
  <c r="BI136" i="41"/>
  <c r="F141" i="41"/>
  <c r="AZ141" i="41" s="1"/>
  <c r="AZ136" i="41"/>
  <c r="O148" i="41"/>
  <c r="AE129" i="41"/>
  <c r="W129" i="41"/>
  <c r="W154" i="41"/>
  <c r="BQ154" i="41" s="1"/>
  <c r="W146" i="41"/>
  <c r="BQ146" i="41" s="1"/>
  <c r="E14" i="2"/>
  <c r="E15" i="2"/>
  <c r="G15" i="2"/>
  <c r="AD10" i="83" s="1"/>
  <c r="H14" i="2"/>
  <c r="AE9" i="83" s="1"/>
  <c r="J15" i="2"/>
  <c r="F14" i="2"/>
  <c r="AC9" i="83" s="1"/>
  <c r="F15" i="2"/>
  <c r="V14" i="2"/>
  <c r="Z132" i="41"/>
  <c r="Z149" i="41" s="1"/>
  <c r="BT149" i="41" s="1"/>
  <c r="AH137" i="41"/>
  <c r="R137" i="41"/>
  <c r="Z137" i="41"/>
  <c r="J35" i="67"/>
  <c r="AH132" i="41"/>
  <c r="AH149" i="41" s="1"/>
  <c r="CB149" i="41" s="1"/>
  <c r="R132" i="41"/>
  <c r="I137" i="41"/>
  <c r="BC137" i="41" s="1"/>
  <c r="L129" i="41"/>
  <c r="U130" i="41"/>
  <c r="U147" i="41" s="1"/>
  <c r="BO147" i="41" s="1"/>
  <c r="AK135" i="41"/>
  <c r="AK130" i="41"/>
  <c r="AK147" i="41" s="1"/>
  <c r="CE147" i="41" s="1"/>
  <c r="AC135" i="41"/>
  <c r="M29" i="67"/>
  <c r="U135" i="41"/>
  <c r="L135" i="41"/>
  <c r="AC130" i="41"/>
  <c r="AC147" i="41" s="1"/>
  <c r="BW147" i="41" s="1"/>
  <c r="X137" i="41"/>
  <c r="P137" i="41"/>
  <c r="P132" i="41"/>
  <c r="AF137" i="41"/>
  <c r="AF132" i="41"/>
  <c r="AF149" i="41" s="1"/>
  <c r="BZ149" i="41" s="1"/>
  <c r="X132" i="41"/>
  <c r="X149" i="41" s="1"/>
  <c r="BR149" i="41" s="1"/>
  <c r="G137" i="41"/>
  <c r="I148" i="41"/>
  <c r="AH131" i="41"/>
  <c r="AH148" i="41" s="1"/>
  <c r="CB148" i="41" s="1"/>
  <c r="Z131" i="41"/>
  <c r="Z148" i="41" s="1"/>
  <c r="BT148" i="41" s="1"/>
  <c r="AH136" i="41"/>
  <c r="Z136" i="41"/>
  <c r="R131" i="41"/>
  <c r="R148" i="41" s="1"/>
  <c r="I136" i="41"/>
  <c r="BC136" i="41" s="1"/>
  <c r="R136" i="41"/>
  <c r="AG137" i="41"/>
  <c r="Y137" i="41"/>
  <c r="H137" i="41"/>
  <c r="Q137" i="41"/>
  <c r="AG136" i="41"/>
  <c r="Y148" i="41"/>
  <c r="BS148" i="41" s="1"/>
  <c r="Q148" i="41"/>
  <c r="BK148" i="41" s="1"/>
  <c r="AG148" i="41"/>
  <c r="CA148" i="41" s="1"/>
  <c r="H148" i="41"/>
  <c r="BB148" i="41" s="1"/>
  <c r="Y136" i="41"/>
  <c r="H136" i="41"/>
  <c r="Q136" i="41"/>
  <c r="I129" i="41"/>
  <c r="AH135" i="41"/>
  <c r="J29" i="67"/>
  <c r="Z135" i="41"/>
  <c r="R140" i="41"/>
  <c r="BL140" i="41" s="1"/>
  <c r="G129" i="41"/>
  <c r="P130" i="41"/>
  <c r="P147" i="41" s="1"/>
  <c r="BJ147" i="41" s="1"/>
  <c r="G135" i="41"/>
  <c r="X135" i="41"/>
  <c r="P135" i="41"/>
  <c r="AF135" i="41"/>
  <c r="J129" i="41"/>
  <c r="AA135" i="41"/>
  <c r="AA130" i="41"/>
  <c r="AA147" i="41" s="1"/>
  <c r="BU147" i="41" s="1"/>
  <c r="AI135" i="41"/>
  <c r="K29" i="67"/>
  <c r="S135" i="41"/>
  <c r="AI130" i="41"/>
  <c r="AI147" i="41" s="1"/>
  <c r="CC147" i="41" s="1"/>
  <c r="J135" i="41"/>
  <c r="AL131" i="41"/>
  <c r="AL148" i="41" s="1"/>
  <c r="CF148" i="41" s="1"/>
  <c r="AD131" i="41"/>
  <c r="AD148" i="41" s="1"/>
  <c r="BX148" i="41" s="1"/>
  <c r="V131" i="41"/>
  <c r="V148" i="41" s="1"/>
  <c r="V136" i="41"/>
  <c r="M148" i="41"/>
  <c r="BG148" i="41" s="1"/>
  <c r="N32" i="85" s="1"/>
  <c r="M136" i="41"/>
  <c r="AL136" i="41"/>
  <c r="AD136" i="41"/>
  <c r="V130" i="41"/>
  <c r="V147" i="41" s="1"/>
  <c r="BP147" i="41" s="1"/>
  <c r="M129" i="41"/>
  <c r="AL135" i="41"/>
  <c r="V135" i="41"/>
  <c r="AL130" i="41"/>
  <c r="AL147" i="41" s="1"/>
  <c r="CF147" i="41" s="1"/>
  <c r="AD135" i="41"/>
  <c r="AD130" i="41"/>
  <c r="AD147" i="41" s="1"/>
  <c r="BX147" i="41" s="1"/>
  <c r="N29" i="67"/>
  <c r="M135" i="41"/>
  <c r="K129" i="41"/>
  <c r="AB130" i="41"/>
  <c r="AB147" i="41" s="1"/>
  <c r="BV147" i="41" s="1"/>
  <c r="T135" i="41"/>
  <c r="K135" i="41"/>
  <c r="L29" i="67"/>
  <c r="AB135" i="41"/>
  <c r="T130" i="41"/>
  <c r="T147" i="41" s="1"/>
  <c r="BN147" i="41" s="1"/>
  <c r="AJ130" i="41"/>
  <c r="AJ147" i="41" s="1"/>
  <c r="CD147" i="41" s="1"/>
  <c r="AJ135" i="41"/>
  <c r="S131" i="41"/>
  <c r="S148" i="41" s="1"/>
  <c r="S136" i="41"/>
  <c r="J148" i="41"/>
  <c r="BD148" i="41" s="1"/>
  <c r="K32" i="85" s="1"/>
  <c r="AI131" i="41"/>
  <c r="AI148" i="41" s="1"/>
  <c r="CC148" i="41" s="1"/>
  <c r="AA131" i="41"/>
  <c r="AA148" i="41" s="1"/>
  <c r="BU148" i="41" s="1"/>
  <c r="AA136" i="41"/>
  <c r="AI136" i="41"/>
  <c r="J136" i="41"/>
  <c r="H129" i="41"/>
  <c r="Y135" i="41"/>
  <c r="AG140" i="41"/>
  <c r="CA140" i="41" s="1"/>
  <c r="H140" i="41"/>
  <c r="BB140" i="41" s="1"/>
  <c r="Q140" i="41"/>
  <c r="BK140" i="41" s="1"/>
  <c r="L148" i="41"/>
  <c r="BF148" i="41" s="1"/>
  <c r="M32" i="85" s="1"/>
  <c r="M44" i="85" s="1"/>
  <c r="L136" i="41"/>
  <c r="U131" i="41"/>
  <c r="U148" i="41" s="1"/>
  <c r="AC131" i="41"/>
  <c r="AC148" i="41" s="1"/>
  <c r="BW148" i="41" s="1"/>
  <c r="AK136" i="41"/>
  <c r="AC136" i="41"/>
  <c r="U136" i="41"/>
  <c r="AK131" i="41"/>
  <c r="AK148" i="41" s="1"/>
  <c r="CE148" i="41" s="1"/>
  <c r="AC132" i="41"/>
  <c r="AC149" i="41" s="1"/>
  <c r="BW149" i="41" s="1"/>
  <c r="U137" i="41"/>
  <c r="U132" i="41"/>
  <c r="AK137" i="41"/>
  <c r="AC137" i="41"/>
  <c r="AK132" i="41"/>
  <c r="AK149" i="41" s="1"/>
  <c r="CE149" i="41" s="1"/>
  <c r="L137" i="41"/>
  <c r="AB132" i="41"/>
  <c r="AB149" i="41" s="1"/>
  <c r="BV149" i="41" s="1"/>
  <c r="AB137" i="41"/>
  <c r="T137" i="41"/>
  <c r="AJ137" i="41"/>
  <c r="AJ132" i="41"/>
  <c r="AJ149" i="41" s="1"/>
  <c r="CD149" i="41" s="1"/>
  <c r="K137" i="41"/>
  <c r="T132" i="41"/>
  <c r="X131" i="41"/>
  <c r="X148" i="41" s="1"/>
  <c r="BR148" i="41" s="1"/>
  <c r="X136" i="41"/>
  <c r="P131" i="41"/>
  <c r="P148" i="41" s="1"/>
  <c r="BJ148" i="41" s="1"/>
  <c r="G136" i="41"/>
  <c r="AF131" i="41"/>
  <c r="AF148" i="41" s="1"/>
  <c r="BZ148" i="41" s="1"/>
  <c r="P136" i="41"/>
  <c r="AF136" i="41"/>
  <c r="V132" i="41"/>
  <c r="M137" i="41"/>
  <c r="AD132" i="41"/>
  <c r="AD149" i="41" s="1"/>
  <c r="BX149" i="41" s="1"/>
  <c r="AL137" i="41"/>
  <c r="V137" i="41"/>
  <c r="AL132" i="41"/>
  <c r="AL149" i="41" s="1"/>
  <c r="CF149" i="41" s="1"/>
  <c r="AD137" i="41"/>
  <c r="AB136" i="41"/>
  <c r="T136" i="41"/>
  <c r="AB131" i="41"/>
  <c r="AB148" i="41" s="1"/>
  <c r="BV148" i="41" s="1"/>
  <c r="AJ136" i="41"/>
  <c r="K148" i="41"/>
  <c r="BE148" i="41" s="1"/>
  <c r="L32" i="85" s="1"/>
  <c r="L44" i="85" s="1"/>
  <c r="K136" i="41"/>
  <c r="AJ131" i="41"/>
  <c r="AJ148" i="41" s="1"/>
  <c r="CD148" i="41" s="1"/>
  <c r="T131" i="41"/>
  <c r="T148" i="41" s="1"/>
  <c r="AA137" i="41"/>
  <c r="AA132" i="41"/>
  <c r="AA149" i="41" s="1"/>
  <c r="BU149" i="41" s="1"/>
  <c r="AI132" i="41"/>
  <c r="AI149" i="41" s="1"/>
  <c r="CC149" i="41" s="1"/>
  <c r="S132" i="41"/>
  <c r="S149" i="41" s="1"/>
  <c r="BM149" i="41" s="1"/>
  <c r="S137" i="41"/>
  <c r="J137" i="41"/>
  <c r="AI137" i="41"/>
  <c r="W153" i="41" l="1"/>
  <c r="BQ153" i="41" s="1"/>
  <c r="BQ140" i="41"/>
  <c r="O153" i="41"/>
  <c r="BI153" i="41" s="1"/>
  <c r="BI140" i="41"/>
  <c r="F153" i="41"/>
  <c r="AZ153" i="41" s="1"/>
  <c r="AZ140" i="41"/>
  <c r="AE153" i="41"/>
  <c r="BY153" i="41" s="1"/>
  <c r="BY140" i="41"/>
  <c r="W155" i="41"/>
  <c r="BQ155" i="41" s="1"/>
  <c r="W139" i="41"/>
  <c r="BQ139" i="41" s="1"/>
  <c r="BY142" i="41"/>
  <c r="AE155" i="41"/>
  <c r="BY155" i="41" s="1"/>
  <c r="AG10" i="78"/>
  <c r="AG10" i="83"/>
  <c r="AC10" i="78"/>
  <c r="AC10" i="83"/>
  <c r="N44" i="85"/>
  <c r="AB10" i="78"/>
  <c r="AB10" i="83"/>
  <c r="K44" i="85"/>
  <c r="O29" i="85"/>
  <c r="AB9" i="78"/>
  <c r="AB9" i="83"/>
  <c r="AA141" i="41"/>
  <c r="BU141" i="41" s="1"/>
  <c r="BU136" i="41"/>
  <c r="AF140" i="41"/>
  <c r="BZ140" i="41" s="1"/>
  <c r="BZ135" i="41"/>
  <c r="AB140" i="41"/>
  <c r="BV140" i="41" s="1"/>
  <c r="BV135" i="41"/>
  <c r="AL141" i="41"/>
  <c r="CF141" i="41" s="1"/>
  <c r="CF136" i="41"/>
  <c r="P140" i="41"/>
  <c r="BJ140" i="41" s="1"/>
  <c r="BJ135" i="41"/>
  <c r="AH140" i="41"/>
  <c r="CB140" i="41" s="1"/>
  <c r="CB135" i="41"/>
  <c r="N15" i="7"/>
  <c r="BK15" i="7" s="1"/>
  <c r="BL148" i="41"/>
  <c r="AD141" i="41"/>
  <c r="BX141" i="41" s="1"/>
  <c r="BX136" i="41"/>
  <c r="U140" i="41"/>
  <c r="BO140" i="41" s="1"/>
  <c r="BO135" i="41"/>
  <c r="M142" i="41"/>
  <c r="BG142" i="41" s="1"/>
  <c r="BG137" i="41"/>
  <c r="L142" i="41"/>
  <c r="BF142" i="41" s="1"/>
  <c r="BF137" i="41"/>
  <c r="U141" i="41"/>
  <c r="BO141" i="41" s="1"/>
  <c r="BO136" i="41"/>
  <c r="AD140" i="41"/>
  <c r="BX140" i="41" s="1"/>
  <c r="BX135" i="41"/>
  <c r="M141" i="41"/>
  <c r="BG141" i="41" s="1"/>
  <c r="BG136" i="41"/>
  <c r="S140" i="41"/>
  <c r="BM140" i="41" s="1"/>
  <c r="BM135" i="41"/>
  <c r="X140" i="41"/>
  <c r="BR140" i="41" s="1"/>
  <c r="BR135" i="41"/>
  <c r="AG141" i="41"/>
  <c r="CA141" i="41" s="1"/>
  <c r="CA136" i="41"/>
  <c r="Z141" i="41"/>
  <c r="BT141" i="41" s="1"/>
  <c r="BT136" i="41"/>
  <c r="AF142" i="41"/>
  <c r="BZ142" i="41" s="1"/>
  <c r="BZ137" i="41"/>
  <c r="AC140" i="41"/>
  <c r="BW140" i="41" s="1"/>
  <c r="BW135" i="41"/>
  <c r="AE152" i="41"/>
  <c r="BY152" i="41" s="1"/>
  <c r="BY154" i="41"/>
  <c r="X141" i="41"/>
  <c r="BR141" i="41" s="1"/>
  <c r="BR136" i="41"/>
  <c r="AC141" i="41"/>
  <c r="BW141" i="41" s="1"/>
  <c r="BW136" i="41"/>
  <c r="K140" i="41"/>
  <c r="BE140" i="41" s="1"/>
  <c r="BE135" i="41"/>
  <c r="G140" i="41"/>
  <c r="BA140" i="41" s="1"/>
  <c r="BA135" i="41"/>
  <c r="Q141" i="41"/>
  <c r="BK141" i="41" s="1"/>
  <c r="BK136" i="41"/>
  <c r="Q142" i="41"/>
  <c r="BK142" i="41" s="1"/>
  <c r="BK137" i="41"/>
  <c r="AH141" i="41"/>
  <c r="CB141" i="41" s="1"/>
  <c r="CB136" i="41"/>
  <c r="Z142" i="41"/>
  <c r="BT142" i="41" s="1"/>
  <c r="BT137" i="41"/>
  <c r="S142" i="41"/>
  <c r="BM142" i="41" s="1"/>
  <c r="BM137" i="41"/>
  <c r="AB142" i="41"/>
  <c r="BV142" i="41" s="1"/>
  <c r="BV137" i="41"/>
  <c r="T141" i="41"/>
  <c r="BN141" i="41" s="1"/>
  <c r="BN136" i="41"/>
  <c r="AA142" i="41"/>
  <c r="BU142" i="41" s="1"/>
  <c r="BU137" i="41"/>
  <c r="AB141" i="41"/>
  <c r="BV141" i="41" s="1"/>
  <c r="BV136" i="41"/>
  <c r="AF141" i="41"/>
  <c r="BZ141" i="41" s="1"/>
  <c r="BZ136" i="41"/>
  <c r="K142" i="41"/>
  <c r="BE142" i="41" s="1"/>
  <c r="BE137" i="41"/>
  <c r="AC142" i="41"/>
  <c r="BW142" i="41" s="1"/>
  <c r="BW137" i="41"/>
  <c r="AK141" i="41"/>
  <c r="CE141" i="41" s="1"/>
  <c r="CE136" i="41"/>
  <c r="Y140" i="41"/>
  <c r="BS140" i="41" s="1"/>
  <c r="BS135" i="41"/>
  <c r="S141" i="41"/>
  <c r="BM141" i="41" s="1"/>
  <c r="BM136" i="41"/>
  <c r="T140" i="41"/>
  <c r="BN140" i="41" s="1"/>
  <c r="BN135" i="41"/>
  <c r="V140" i="41"/>
  <c r="BP140" i="41" s="1"/>
  <c r="BP135" i="41"/>
  <c r="V141" i="41"/>
  <c r="BP141" i="41" s="1"/>
  <c r="BP136" i="41"/>
  <c r="AI140" i="41"/>
  <c r="CC140" i="41" s="1"/>
  <c r="CC135" i="41"/>
  <c r="H141" i="41"/>
  <c r="BB141" i="41" s="1"/>
  <c r="BB136" i="41"/>
  <c r="H142" i="41"/>
  <c r="BB142" i="41" s="1"/>
  <c r="BB137" i="41"/>
  <c r="P142" i="41"/>
  <c r="BJ142" i="41" s="1"/>
  <c r="BJ137" i="41"/>
  <c r="AK140" i="41"/>
  <c r="CE140" i="41" s="1"/>
  <c r="CE135" i="41"/>
  <c r="R142" i="41"/>
  <c r="BL142" i="41" s="1"/>
  <c r="BL137" i="41"/>
  <c r="AJ141" i="41"/>
  <c r="CD141" i="41" s="1"/>
  <c r="CD136" i="41"/>
  <c r="AK142" i="41"/>
  <c r="CE142" i="41" s="1"/>
  <c r="CE137" i="41"/>
  <c r="O15" i="7"/>
  <c r="BL15" i="7" s="1"/>
  <c r="BM148" i="41"/>
  <c r="AL140" i="41"/>
  <c r="CF140" i="41" s="1"/>
  <c r="CF135" i="41"/>
  <c r="R15" i="7"/>
  <c r="BO15" i="7" s="1"/>
  <c r="BP148" i="41"/>
  <c r="Y141" i="41"/>
  <c r="BS141" i="41" s="1"/>
  <c r="BS136" i="41"/>
  <c r="Y142" i="41"/>
  <c r="BS142" i="41" s="1"/>
  <c r="BS137" i="41"/>
  <c r="X142" i="41"/>
  <c r="BR142" i="41" s="1"/>
  <c r="BR137" i="41"/>
  <c r="AH142" i="41"/>
  <c r="CB142" i="41" s="1"/>
  <c r="CB137" i="41"/>
  <c r="AE139" i="41"/>
  <c r="BY139" i="41" s="1"/>
  <c r="BY141" i="41"/>
  <c r="AL142" i="41"/>
  <c r="CF142" i="41" s="1"/>
  <c r="CF137" i="41"/>
  <c r="AD142" i="41"/>
  <c r="BX142" i="41" s="1"/>
  <c r="BX137" i="41"/>
  <c r="AJ142" i="41"/>
  <c r="CD142" i="41" s="1"/>
  <c r="CD137" i="41"/>
  <c r="Q15" i="7"/>
  <c r="BN15" i="7" s="1"/>
  <c r="BO148" i="41"/>
  <c r="J141" i="41"/>
  <c r="BD141" i="41" s="1"/>
  <c r="BD136" i="41"/>
  <c r="AJ140" i="41"/>
  <c r="CD140" i="41" s="1"/>
  <c r="CD135" i="41"/>
  <c r="AA140" i="41"/>
  <c r="BU140" i="41" s="1"/>
  <c r="BU135" i="41"/>
  <c r="AG142" i="41"/>
  <c r="CA142" i="41" s="1"/>
  <c r="CA137" i="41"/>
  <c r="J32" i="67"/>
  <c r="J44" i="67" s="1"/>
  <c r="BC148" i="41"/>
  <c r="J32" i="85" s="1"/>
  <c r="J140" i="41"/>
  <c r="BD140" i="41" s="1"/>
  <c r="BD135" i="41"/>
  <c r="P15" i="7"/>
  <c r="BM15" i="7" s="1"/>
  <c r="BN148" i="41"/>
  <c r="P141" i="41"/>
  <c r="BJ141" i="41" s="1"/>
  <c r="BJ136" i="41"/>
  <c r="AI142" i="41"/>
  <c r="CC142" i="41" s="1"/>
  <c r="CC137" i="41"/>
  <c r="J142" i="41"/>
  <c r="BD142" i="41" s="1"/>
  <c r="BD137" i="41"/>
  <c r="K141" i="41"/>
  <c r="BE141" i="41" s="1"/>
  <c r="BE136" i="41"/>
  <c r="V142" i="41"/>
  <c r="BP142" i="41" s="1"/>
  <c r="BP137" i="41"/>
  <c r="G141" i="41"/>
  <c r="BA141" i="41" s="1"/>
  <c r="BA136" i="41"/>
  <c r="T142" i="41"/>
  <c r="BN142" i="41" s="1"/>
  <c r="BN137" i="41"/>
  <c r="U142" i="41"/>
  <c r="BO142" i="41" s="1"/>
  <c r="BO137" i="41"/>
  <c r="L141" i="41"/>
  <c r="BF141" i="41" s="1"/>
  <c r="BF136" i="41"/>
  <c r="AI141" i="41"/>
  <c r="CC141" i="41" s="1"/>
  <c r="CC136" i="41"/>
  <c r="M140" i="41"/>
  <c r="BG140" i="41" s="1"/>
  <c r="BG135" i="41"/>
  <c r="Z140" i="41"/>
  <c r="BT140" i="41" s="1"/>
  <c r="BT135" i="41"/>
  <c r="R141" i="41"/>
  <c r="BL141" i="41" s="1"/>
  <c r="BL136" i="41"/>
  <c r="G142" i="41"/>
  <c r="BA142" i="41" s="1"/>
  <c r="BA137" i="41"/>
  <c r="L140" i="41"/>
  <c r="BF140" i="41" s="1"/>
  <c r="BF135" i="41"/>
  <c r="F154" i="41"/>
  <c r="AZ154" i="41" s="1"/>
  <c r="O146" i="41"/>
  <c r="BI146" i="41" s="1"/>
  <c r="BI148" i="41"/>
  <c r="F139" i="41"/>
  <c r="AZ139" i="41" s="1"/>
  <c r="O154" i="41"/>
  <c r="O139" i="41"/>
  <c r="BI139" i="41" s="1"/>
  <c r="BI141" i="41"/>
  <c r="T149" i="41"/>
  <c r="R149" i="41"/>
  <c r="V149" i="41"/>
  <c r="U149" i="41"/>
  <c r="P149" i="41"/>
  <c r="Q14" i="2"/>
  <c r="AC9" i="78"/>
  <c r="S14" i="2"/>
  <c r="AE9" i="78"/>
  <c r="S15" i="2"/>
  <c r="AD10" i="78"/>
  <c r="Z10" i="7"/>
  <c r="BW10" i="7" s="1"/>
  <c r="N35" i="67"/>
  <c r="O29" i="67"/>
  <c r="Q19" i="67" s="1"/>
  <c r="W10" i="7"/>
  <c r="BT10" i="7" s="1"/>
  <c r="K35" i="67"/>
  <c r="Y10" i="7"/>
  <c r="BV10" i="7" s="1"/>
  <c r="M35" i="67"/>
  <c r="O10" i="7"/>
  <c r="BL10" i="7" s="1"/>
  <c r="K32" i="67"/>
  <c r="R10" i="7"/>
  <c r="BO10" i="7" s="1"/>
  <c r="N32" i="67"/>
  <c r="P10" i="7"/>
  <c r="BM10" i="7" s="1"/>
  <c r="L32" i="67"/>
  <c r="X10" i="7"/>
  <c r="BU10" i="7" s="1"/>
  <c r="L35" i="67"/>
  <c r="Q10" i="7"/>
  <c r="BN10" i="7" s="1"/>
  <c r="M32" i="67"/>
  <c r="R14" i="2"/>
  <c r="Q15" i="2"/>
  <c r="R15" i="2"/>
  <c r="V15" i="2"/>
  <c r="R16" i="7"/>
  <c r="BO16" i="7" s="1"/>
  <c r="E71" i="7"/>
  <c r="BB71" i="7" s="1"/>
  <c r="AI129" i="41"/>
  <c r="AA129" i="41"/>
  <c r="AG129" i="41"/>
  <c r="H10" i="7"/>
  <c r="BE10" i="7" s="1"/>
  <c r="K146" i="41"/>
  <c r="G146" i="41"/>
  <c r="BA146" i="41" s="1"/>
  <c r="P129" i="41"/>
  <c r="F10" i="7"/>
  <c r="BC10" i="7" s="1"/>
  <c r="I146" i="41"/>
  <c r="R153" i="41"/>
  <c r="BL153" i="41" s="1"/>
  <c r="R129" i="41"/>
  <c r="S129" i="41"/>
  <c r="W15" i="7"/>
  <c r="BT15" i="7" s="1"/>
  <c r="Y16" i="7"/>
  <c r="BV16" i="7" s="1"/>
  <c r="Y129" i="41"/>
  <c r="T129" i="41"/>
  <c r="J10" i="7"/>
  <c r="BG10" i="7" s="1"/>
  <c r="M146" i="41"/>
  <c r="G15" i="7"/>
  <c r="BD15" i="7" s="1"/>
  <c r="AF146" i="41"/>
  <c r="BZ146" i="41" s="1"/>
  <c r="AF129" i="41"/>
  <c r="AH129" i="41"/>
  <c r="Z129" i="41"/>
  <c r="N136" i="41"/>
  <c r="BH136" i="41" s="1"/>
  <c r="I141" i="41"/>
  <c r="BC141" i="41" s="1"/>
  <c r="N16" i="7"/>
  <c r="BK16" i="7" s="1"/>
  <c r="AK129" i="41"/>
  <c r="I142" i="41"/>
  <c r="BC142" i="41" s="1"/>
  <c r="N137" i="41"/>
  <c r="BH137" i="41" s="1"/>
  <c r="N10" i="7"/>
  <c r="BK10" i="7" s="1"/>
  <c r="N148" i="41"/>
  <c r="BH148" i="41" s="1"/>
  <c r="I10" i="7"/>
  <c r="BF10" i="7" s="1"/>
  <c r="L146" i="41"/>
  <c r="U129" i="41"/>
  <c r="Q16" i="7"/>
  <c r="BN16" i="7" s="1"/>
  <c r="Q129" i="41"/>
  <c r="O16" i="7"/>
  <c r="BL16" i="7" s="1"/>
  <c r="AB129" i="41"/>
  <c r="AD129" i="41"/>
  <c r="W16" i="7"/>
  <c r="BT16" i="7" s="1"/>
  <c r="P16" i="7"/>
  <c r="BM16" i="7" s="1"/>
  <c r="Z16" i="7"/>
  <c r="BW16" i="7" s="1"/>
  <c r="H146" i="41"/>
  <c r="BB146" i="41" s="1"/>
  <c r="X16" i="7"/>
  <c r="BU16" i="7" s="1"/>
  <c r="H153" i="41"/>
  <c r="BB153" i="41" s="1"/>
  <c r="AJ129" i="41"/>
  <c r="AL129" i="41"/>
  <c r="V129" i="41"/>
  <c r="G10" i="7"/>
  <c r="BD10" i="7" s="1"/>
  <c r="J146" i="41"/>
  <c r="X129" i="41"/>
  <c r="N135" i="41"/>
  <c r="BH135" i="41" s="1"/>
  <c r="I140" i="41"/>
  <c r="BC140" i="41" s="1"/>
  <c r="AC129" i="41"/>
  <c r="V10" i="7"/>
  <c r="BS10" i="7" s="1"/>
  <c r="N149" i="41"/>
  <c r="BH149" i="41" s="1"/>
  <c r="V16" i="7"/>
  <c r="BS16" i="7" s="1"/>
  <c r="W152" i="41" l="1"/>
  <c r="BQ152" i="41" s="1"/>
  <c r="N71" i="7"/>
  <c r="BK71" i="7" s="1"/>
  <c r="AH139" i="41"/>
  <c r="CB139" i="41" s="1"/>
  <c r="U154" i="41"/>
  <c r="L153" i="41"/>
  <c r="W60" i="7"/>
  <c r="BT60" i="7" s="1"/>
  <c r="O60" i="7"/>
  <c r="BL60" i="7" s="1"/>
  <c r="J153" i="41"/>
  <c r="G11" i="7" s="1"/>
  <c r="BD11" i="7" s="1"/>
  <c r="H71" i="7"/>
  <c r="BE71" i="7" s="1"/>
  <c r="U60" i="7"/>
  <c r="BR60" i="7" s="1"/>
  <c r="Y155" i="41"/>
  <c r="BS155" i="41" s="1"/>
  <c r="H155" i="41"/>
  <c r="BB155" i="41" s="1"/>
  <c r="X139" i="41"/>
  <c r="BR139" i="41" s="1"/>
  <c r="G155" i="41"/>
  <c r="BA155" i="41" s="1"/>
  <c r="Q154" i="41"/>
  <c r="BK154" i="41" s="1"/>
  <c r="J154" i="41"/>
  <c r="BD154" i="41" s="1"/>
  <c r="K31" i="85" s="1"/>
  <c r="K11" i="85" s="1"/>
  <c r="N60" i="7"/>
  <c r="BK60" i="7" s="1"/>
  <c r="V71" i="7"/>
  <c r="BS71" i="7" s="1"/>
  <c r="AH153" i="41"/>
  <c r="CB153" i="41" s="1"/>
  <c r="J9" i="7"/>
  <c r="BG9" i="7" s="1"/>
  <c r="AK153" i="41"/>
  <c r="CE153" i="41" s="1"/>
  <c r="I60" i="7"/>
  <c r="BF60" i="7" s="1"/>
  <c r="H9" i="7"/>
  <c r="BE9" i="7" s="1"/>
  <c r="AI155" i="41"/>
  <c r="CC155" i="41" s="1"/>
  <c r="T154" i="41"/>
  <c r="BN154" i="41" s="1"/>
  <c r="K155" i="41"/>
  <c r="BE155" i="41" s="1"/>
  <c r="L34" i="85" s="1"/>
  <c r="L12" i="85" s="1"/>
  <c r="X71" i="7"/>
  <c r="BU71" i="7" s="1"/>
  <c r="AK154" i="41"/>
  <c r="CE154" i="41" s="1"/>
  <c r="AD154" i="41"/>
  <c r="BX154" i="41" s="1"/>
  <c r="F71" i="7"/>
  <c r="BC71" i="7" s="1"/>
  <c r="K154" i="41"/>
  <c r="BE154" i="41" s="1"/>
  <c r="L31" i="85" s="1"/>
  <c r="L30" i="85" s="1"/>
  <c r="L20" i="85" s="1"/>
  <c r="M154" i="41"/>
  <c r="BG154" i="41" s="1"/>
  <c r="N31" i="85" s="1"/>
  <c r="N11" i="85" s="1"/>
  <c r="O9" i="7"/>
  <c r="BL9" i="7" s="1"/>
  <c r="AL155" i="41"/>
  <c r="CF155" i="41" s="1"/>
  <c r="AL139" i="41"/>
  <c r="CF139" i="41" s="1"/>
  <c r="W71" i="7"/>
  <c r="BT71" i="7" s="1"/>
  <c r="AI139" i="41"/>
  <c r="CC139" i="41" s="1"/>
  <c r="R60" i="7"/>
  <c r="BO60" i="7" s="1"/>
  <c r="S154" i="41"/>
  <c r="O18" i="7" s="1"/>
  <c r="BL18" i="7" s="1"/>
  <c r="Q71" i="7"/>
  <c r="BN71" i="7" s="1"/>
  <c r="AB154" i="41"/>
  <c r="BV154" i="41" s="1"/>
  <c r="F60" i="7"/>
  <c r="BC60" i="7" s="1"/>
  <c r="AI154" i="41"/>
  <c r="CC154" i="41" s="1"/>
  <c r="R9" i="7"/>
  <c r="BO9" i="7" s="1"/>
  <c r="AL154" i="41"/>
  <c r="CF154" i="41" s="1"/>
  <c r="Z71" i="7"/>
  <c r="BW71" i="7" s="1"/>
  <c r="G60" i="7"/>
  <c r="BD60" i="7" s="1"/>
  <c r="AJ154" i="41"/>
  <c r="CD154" i="41" s="1"/>
  <c r="G71" i="7"/>
  <c r="BD71" i="7" s="1"/>
  <c r="P60" i="7"/>
  <c r="BM60" i="7" s="1"/>
  <c r="AA153" i="41"/>
  <c r="BU153" i="41" s="1"/>
  <c r="K153" i="41"/>
  <c r="H11" i="7" s="1"/>
  <c r="BE11" i="7" s="1"/>
  <c r="Z9" i="7"/>
  <c r="BW9" i="7" s="1"/>
  <c r="P9" i="7"/>
  <c r="BM9" i="7" s="1"/>
  <c r="AH154" i="41"/>
  <c r="CB154" i="41" s="1"/>
  <c r="K139" i="41"/>
  <c r="BE139" i="41" s="1"/>
  <c r="O71" i="7"/>
  <c r="BL71" i="7" s="1"/>
  <c r="M155" i="41"/>
  <c r="BG155" i="41" s="1"/>
  <c r="N34" i="85" s="1"/>
  <c r="N12" i="85" s="1"/>
  <c r="Z154" i="41"/>
  <c r="BT154" i="41" s="1"/>
  <c r="R71" i="7"/>
  <c r="BO71" i="7" s="1"/>
  <c r="AH155" i="41"/>
  <c r="CB155" i="41" s="1"/>
  <c r="I71" i="7"/>
  <c r="BF71" i="7" s="1"/>
  <c r="P71" i="7"/>
  <c r="BM71" i="7" s="1"/>
  <c r="AJ155" i="41"/>
  <c r="CD155" i="41" s="1"/>
  <c r="X9" i="7"/>
  <c r="BU9" i="7" s="1"/>
  <c r="X154" i="41"/>
  <c r="BR154" i="41" s="1"/>
  <c r="G153" i="41"/>
  <c r="BA153" i="41" s="1"/>
  <c r="M71" i="7"/>
  <c r="BJ71" i="7" s="1"/>
  <c r="P139" i="41"/>
  <c r="BJ139" i="41" s="1"/>
  <c r="U139" i="41"/>
  <c r="BO139" i="41" s="1"/>
  <c r="J71" i="7"/>
  <c r="BG71" i="7" s="1"/>
  <c r="T153" i="41"/>
  <c r="BN153" i="41" s="1"/>
  <c r="AC155" i="41"/>
  <c r="BW155" i="41" s="1"/>
  <c r="W9" i="7"/>
  <c r="BT9" i="7" s="1"/>
  <c r="AD155" i="41"/>
  <c r="BX155" i="41" s="1"/>
  <c r="M153" i="41"/>
  <c r="N28" i="67" s="1"/>
  <c r="J60" i="7"/>
  <c r="BG60" i="7" s="1"/>
  <c r="AA139" i="41"/>
  <c r="BU139" i="41" s="1"/>
  <c r="Z155" i="41"/>
  <c r="BT155" i="41" s="1"/>
  <c r="I9" i="7"/>
  <c r="BF9" i="7" s="1"/>
  <c r="H154" i="41"/>
  <c r="BB154" i="41" s="1"/>
  <c r="G9" i="7"/>
  <c r="BD9" i="7" s="1"/>
  <c r="Y60" i="7"/>
  <c r="BV60" i="7" s="1"/>
  <c r="P153" i="41"/>
  <c r="BJ153" i="41" s="1"/>
  <c r="J155" i="41"/>
  <c r="BD155" i="41" s="1"/>
  <c r="K34" i="85" s="1"/>
  <c r="K12" i="85" s="1"/>
  <c r="Z60" i="7"/>
  <c r="BW60" i="7" s="1"/>
  <c r="AD139" i="41"/>
  <c r="BX139" i="41" s="1"/>
  <c r="H60" i="7"/>
  <c r="BE60" i="7" s="1"/>
  <c r="L139" i="41"/>
  <c r="BF139" i="41" s="1"/>
  <c r="J139" i="41"/>
  <c r="BD139" i="41" s="1"/>
  <c r="S153" i="41"/>
  <c r="BM153" i="41" s="1"/>
  <c r="M139" i="41"/>
  <c r="BG139" i="41" s="1"/>
  <c r="H139" i="41"/>
  <c r="BB139" i="41" s="1"/>
  <c r="X155" i="41"/>
  <c r="BR155" i="41" s="1"/>
  <c r="AJ139" i="41"/>
  <c r="CD139" i="41" s="1"/>
  <c r="G139" i="41"/>
  <c r="BA139" i="41" s="1"/>
  <c r="AF139" i="41"/>
  <c r="BZ139" i="41" s="1"/>
  <c r="V60" i="7"/>
  <c r="BS60" i="7" s="1"/>
  <c r="T139" i="41"/>
  <c r="BN139" i="41" s="1"/>
  <c r="AA154" i="41"/>
  <c r="BU154" i="41" s="1"/>
  <c r="AA155" i="41"/>
  <c r="BU155" i="41" s="1"/>
  <c r="AG154" i="41"/>
  <c r="CA154" i="41" s="1"/>
  <c r="Z139" i="41"/>
  <c r="BT139" i="41" s="1"/>
  <c r="Q9" i="7"/>
  <c r="BN9" i="7" s="1"/>
  <c r="AK139" i="41"/>
  <c r="CE139" i="41" s="1"/>
  <c r="V154" i="41"/>
  <c r="BP154" i="41" s="1"/>
  <c r="L154" i="41"/>
  <c r="BF154" i="41" s="1"/>
  <c r="M31" i="85" s="1"/>
  <c r="M30" i="85" s="1"/>
  <c r="M20" i="85" s="1"/>
  <c r="AB155" i="41"/>
  <c r="BV155" i="41" s="1"/>
  <c r="Q139" i="41"/>
  <c r="BK139" i="41" s="1"/>
  <c r="AK155" i="41"/>
  <c r="CE155" i="41" s="1"/>
  <c r="AF155" i="41"/>
  <c r="BZ155" i="41" s="1"/>
  <c r="AC154" i="41"/>
  <c r="BW154" i="41" s="1"/>
  <c r="X60" i="7"/>
  <c r="BU60" i="7" s="1"/>
  <c r="Y71" i="7"/>
  <c r="BV71" i="7" s="1"/>
  <c r="AF154" i="41"/>
  <c r="BZ154" i="41" s="1"/>
  <c r="Q155" i="41"/>
  <c r="BK155" i="41" s="1"/>
  <c r="Q60" i="7"/>
  <c r="BN60" i="7" s="1"/>
  <c r="L155" i="41"/>
  <c r="BF155" i="41" s="1"/>
  <c r="M34" i="85" s="1"/>
  <c r="M33" i="85" s="1"/>
  <c r="M21" i="85" s="1"/>
  <c r="V139" i="41"/>
  <c r="BP139" i="41" s="1"/>
  <c r="AB153" i="41"/>
  <c r="BV153" i="41" s="1"/>
  <c r="Y154" i="41"/>
  <c r="BS154" i="41" s="1"/>
  <c r="Y153" i="41"/>
  <c r="BS153" i="41" s="1"/>
  <c r="AG155" i="41"/>
  <c r="CA155" i="41" s="1"/>
  <c r="P154" i="41"/>
  <c r="BJ154" i="41" s="1"/>
  <c r="AG139" i="41"/>
  <c r="CA139" i="41" s="1"/>
  <c r="S139" i="41"/>
  <c r="BM139" i="41" s="1"/>
  <c r="R154" i="41"/>
  <c r="N18" i="7" s="1"/>
  <c r="BK18" i="7" s="1"/>
  <c r="Y139" i="41"/>
  <c r="BS139" i="41" s="1"/>
  <c r="Y9" i="7"/>
  <c r="BV9" i="7" s="1"/>
  <c r="AC139" i="41"/>
  <c r="BW139" i="41" s="1"/>
  <c r="E60" i="7"/>
  <c r="BB60" i="7" s="1"/>
  <c r="R139" i="41"/>
  <c r="BL139" i="41" s="1"/>
  <c r="AB139" i="41"/>
  <c r="BV139" i="41" s="1"/>
  <c r="M60" i="7"/>
  <c r="BJ60" i="7" s="1"/>
  <c r="G154" i="41"/>
  <c r="BA154" i="41" s="1"/>
  <c r="U71" i="7"/>
  <c r="BR71" i="7" s="1"/>
  <c r="O32" i="85"/>
  <c r="O44" i="85" s="1"/>
  <c r="J44" i="85"/>
  <c r="Q19" i="85"/>
  <c r="Y15" i="7"/>
  <c r="BV15" i="7" s="1"/>
  <c r="BO149" i="41"/>
  <c r="Z15" i="7"/>
  <c r="BW15" i="7" s="1"/>
  <c r="BP149" i="41"/>
  <c r="K98" i="67"/>
  <c r="BD146" i="41"/>
  <c r="K98" i="85" s="1"/>
  <c r="L98" i="67"/>
  <c r="BE146" i="41"/>
  <c r="L98" i="85" s="1"/>
  <c r="V15" i="7"/>
  <c r="BS15" i="7" s="1"/>
  <c r="BL149" i="41"/>
  <c r="F152" i="41"/>
  <c r="AZ152" i="41" s="1"/>
  <c r="X15" i="7"/>
  <c r="BU15" i="7" s="1"/>
  <c r="BN149" i="41"/>
  <c r="M98" i="67"/>
  <c r="BF146" i="41"/>
  <c r="M98" i="85" s="1"/>
  <c r="J98" i="67"/>
  <c r="BC146" i="41"/>
  <c r="J98" i="85" s="1"/>
  <c r="N98" i="67"/>
  <c r="BG146" i="41"/>
  <c r="N98" i="85" s="1"/>
  <c r="P155" i="41"/>
  <c r="BJ155" i="41" s="1"/>
  <c r="BJ149" i="41"/>
  <c r="O152" i="41"/>
  <c r="BI152" i="41" s="1"/>
  <c r="BI154" i="41"/>
  <c r="R155" i="41"/>
  <c r="K44" i="67"/>
  <c r="T155" i="41"/>
  <c r="M77" i="7"/>
  <c r="M78" i="7" s="1"/>
  <c r="U155" i="41"/>
  <c r="V155" i="41"/>
  <c r="AU10" i="7"/>
  <c r="CR10" i="7" s="1"/>
  <c r="AX10" i="7"/>
  <c r="CU10" i="7" s="1"/>
  <c r="AW10" i="7"/>
  <c r="CT10" i="7" s="1"/>
  <c r="AV10" i="7"/>
  <c r="CS10" i="7" s="1"/>
  <c r="N44" i="67"/>
  <c r="M44" i="67"/>
  <c r="L44" i="67"/>
  <c r="O35" i="67"/>
  <c r="Q21" i="67" s="1"/>
  <c r="O32" i="67"/>
  <c r="Q20" i="67" s="1"/>
  <c r="R14" i="7"/>
  <c r="BO14" i="7" s="1"/>
  <c r="Q14" i="7"/>
  <c r="BN14" i="7" s="1"/>
  <c r="AF153" i="41"/>
  <c r="S155" i="41"/>
  <c r="S146" i="41"/>
  <c r="BM146" i="41" s="1"/>
  <c r="I16" i="7"/>
  <c r="BF16" i="7" s="1"/>
  <c r="AC146" i="41"/>
  <c r="BW146" i="41" s="1"/>
  <c r="I139" i="41"/>
  <c r="N140" i="41"/>
  <c r="BH140" i="41" s="1"/>
  <c r="F9" i="7"/>
  <c r="BC9" i="7" s="1"/>
  <c r="I153" i="41"/>
  <c r="AD146" i="41"/>
  <c r="BX146" i="41" s="1"/>
  <c r="J16" i="7"/>
  <c r="BG16" i="7" s="1"/>
  <c r="I15" i="7"/>
  <c r="BF15" i="7" s="1"/>
  <c r="U146" i="41"/>
  <c r="BO146" i="41" s="1"/>
  <c r="AC153" i="41"/>
  <c r="BW153" i="41" s="1"/>
  <c r="J15" i="7"/>
  <c r="BG15" i="7" s="1"/>
  <c r="V146" i="41"/>
  <c r="BP146" i="41" s="1"/>
  <c r="F18" i="7"/>
  <c r="BC18" i="7" s="1"/>
  <c r="Q146" i="41"/>
  <c r="BK146" i="41" s="1"/>
  <c r="U153" i="41"/>
  <c r="BO153" i="41" s="1"/>
  <c r="AH146" i="41"/>
  <c r="CB146" i="41" s="1"/>
  <c r="AT10" i="7"/>
  <c r="CQ10" i="7" s="1"/>
  <c r="AG146" i="41"/>
  <c r="CA146" i="41" s="1"/>
  <c r="E77" i="7"/>
  <c r="AI146" i="41"/>
  <c r="CC146" i="41" s="1"/>
  <c r="AL146" i="41"/>
  <c r="CF146" i="41" s="1"/>
  <c r="H16" i="7"/>
  <c r="BE16" i="7" s="1"/>
  <c r="AB146" i="41"/>
  <c r="BV146" i="41" s="1"/>
  <c r="Q153" i="41"/>
  <c r="BK153" i="41" s="1"/>
  <c r="AL153" i="41"/>
  <c r="CF153" i="41" s="1"/>
  <c r="V9" i="7"/>
  <c r="BS9" i="7" s="1"/>
  <c r="I155" i="41"/>
  <c r="N142" i="41"/>
  <c r="BH142" i="41" s="1"/>
  <c r="V153" i="41"/>
  <c r="BP153" i="41" s="1"/>
  <c r="F15" i="7"/>
  <c r="BC15" i="7" s="1"/>
  <c r="R146" i="41"/>
  <c r="BL146" i="41" s="1"/>
  <c r="AA146" i="41"/>
  <c r="BU146" i="41" s="1"/>
  <c r="G16" i="7"/>
  <c r="BD16" i="7" s="1"/>
  <c r="O14" i="7"/>
  <c r="BL14" i="7" s="1"/>
  <c r="X146" i="41"/>
  <c r="BR146" i="41" s="1"/>
  <c r="AJ146" i="41"/>
  <c r="CD146" i="41" s="1"/>
  <c r="AD153" i="41"/>
  <c r="BX153" i="41" s="1"/>
  <c r="AJ153" i="41"/>
  <c r="CD153" i="41" s="1"/>
  <c r="AK146" i="41"/>
  <c r="CE146" i="41" s="1"/>
  <c r="Z146" i="41"/>
  <c r="BT146" i="41" s="1"/>
  <c r="F16" i="7"/>
  <c r="BC16" i="7" s="1"/>
  <c r="AU15" i="7"/>
  <c r="W14" i="7"/>
  <c r="BT14" i="7" s="1"/>
  <c r="N146" i="41"/>
  <c r="BH146" i="41" s="1"/>
  <c r="P146" i="41"/>
  <c r="BJ146" i="41" s="1"/>
  <c r="AG153" i="41"/>
  <c r="CA153" i="41" s="1"/>
  <c r="N14" i="7"/>
  <c r="BK14" i="7" s="1"/>
  <c r="N9" i="7"/>
  <c r="BK9" i="7" s="1"/>
  <c r="I154" i="41"/>
  <c r="N141" i="41"/>
  <c r="BH141" i="41" s="1"/>
  <c r="X153" i="41"/>
  <c r="BR153" i="41" s="1"/>
  <c r="AI153" i="41"/>
  <c r="H15" i="7"/>
  <c r="BE15" i="7" s="1"/>
  <c r="T146" i="41"/>
  <c r="BN146" i="41" s="1"/>
  <c r="Y146" i="41"/>
  <c r="BS146" i="41" s="1"/>
  <c r="Z153" i="41"/>
  <c r="BT153" i="41" s="1"/>
  <c r="P14" i="7"/>
  <c r="BM14" i="7" s="1"/>
  <c r="E81" i="1"/>
  <c r="E24" i="2" s="1"/>
  <c r="J81" i="1"/>
  <c r="J24" i="2" s="1"/>
  <c r="AG19" i="83" s="1"/>
  <c r="F81" i="1"/>
  <c r="I81" i="1"/>
  <c r="H81" i="1"/>
  <c r="G81" i="1"/>
  <c r="G24" i="2" s="1"/>
  <c r="AD19" i="83" s="1"/>
  <c r="G80" i="1"/>
  <c r="J80" i="1"/>
  <c r="J23" i="2" s="1"/>
  <c r="F80" i="1"/>
  <c r="F23" i="2" s="1"/>
  <c r="I80" i="1"/>
  <c r="I23" i="2" s="1"/>
  <c r="H80" i="1"/>
  <c r="H10" i="53"/>
  <c r="BO10" i="53" s="1"/>
  <c r="BV10" i="53" s="1"/>
  <c r="CC10" i="53" s="1"/>
  <c r="G10" i="53"/>
  <c r="F10" i="53"/>
  <c r="E10" i="53"/>
  <c r="D10" i="53"/>
  <c r="C10" i="53"/>
  <c r="N77" i="7" l="1"/>
  <c r="N78" i="7" s="1"/>
  <c r="P18" i="7"/>
  <c r="BM18" i="7" s="1"/>
  <c r="Q18" i="7"/>
  <c r="BN18" i="7" s="1"/>
  <c r="BO154" i="41"/>
  <c r="M28" i="67"/>
  <c r="M10" i="67" s="1"/>
  <c r="BF153" i="41"/>
  <c r="M28" i="85" s="1"/>
  <c r="W66" i="7"/>
  <c r="W67" i="7" s="1"/>
  <c r="X11" i="7"/>
  <c r="BU11" i="7" s="1"/>
  <c r="I11" i="7"/>
  <c r="BF11" i="7" s="1"/>
  <c r="K31" i="67"/>
  <c r="K30" i="85"/>
  <c r="K20" i="85" s="1"/>
  <c r="BD153" i="41"/>
  <c r="K28" i="85" s="1"/>
  <c r="K10" i="85" s="1"/>
  <c r="K15" i="85" s="1"/>
  <c r="K16" i="85" s="1"/>
  <c r="O11" i="7"/>
  <c r="BL11" i="7" s="1"/>
  <c r="K28" i="67"/>
  <c r="K10" i="67" s="1"/>
  <c r="E66" i="7"/>
  <c r="E67" i="7" s="1"/>
  <c r="U66" i="7"/>
  <c r="U67" i="7" s="1"/>
  <c r="M66" i="7"/>
  <c r="M67" i="7" s="1"/>
  <c r="G18" i="7"/>
  <c r="BD18" i="7" s="1"/>
  <c r="L33" i="85"/>
  <c r="L21" i="85" s="1"/>
  <c r="J152" i="41"/>
  <c r="BD152" i="41" s="1"/>
  <c r="K122" i="85" s="1"/>
  <c r="L34" i="67"/>
  <c r="L33" i="67" s="1"/>
  <c r="L21" i="67" s="1"/>
  <c r="AU60" i="7"/>
  <c r="CR60" i="7" s="1"/>
  <c r="BM154" i="41"/>
  <c r="N19" i="7"/>
  <c r="BK19" i="7" s="1"/>
  <c r="Q11" i="7"/>
  <c r="BN11" i="7" s="1"/>
  <c r="Z19" i="7"/>
  <c r="BW19" i="7" s="1"/>
  <c r="L28" i="67"/>
  <c r="L10" i="67" s="1"/>
  <c r="AU71" i="7"/>
  <c r="CR71" i="7" s="1"/>
  <c r="R11" i="7"/>
  <c r="BO11" i="7" s="1"/>
  <c r="N30" i="85"/>
  <c r="N20" i="85" s="1"/>
  <c r="M11" i="85"/>
  <c r="Y14" i="7"/>
  <c r="BV14" i="7" s="1"/>
  <c r="W11" i="7"/>
  <c r="BT11" i="7" s="1"/>
  <c r="I77" i="7"/>
  <c r="I78" i="7" s="1"/>
  <c r="R18" i="7"/>
  <c r="BO18" i="7" s="1"/>
  <c r="N33" i="85"/>
  <c r="N21" i="85" s="1"/>
  <c r="AW71" i="7"/>
  <c r="CT71" i="7" s="1"/>
  <c r="AT71" i="7"/>
  <c r="CQ71" i="7" s="1"/>
  <c r="M152" i="41"/>
  <c r="N122" i="67" s="1"/>
  <c r="G66" i="7"/>
  <c r="F77" i="7"/>
  <c r="AT60" i="7"/>
  <c r="CQ60" i="7" s="1"/>
  <c r="AK152" i="41"/>
  <c r="CE152" i="41" s="1"/>
  <c r="AU9" i="7"/>
  <c r="CR9" i="7" s="1"/>
  <c r="Z11" i="7"/>
  <c r="BW11" i="7" s="1"/>
  <c r="V66" i="7"/>
  <c r="V67" i="7" s="1"/>
  <c r="U77" i="7"/>
  <c r="U78" i="7" s="1"/>
  <c r="AV71" i="7"/>
  <c r="CS71" i="7" s="1"/>
  <c r="L31" i="67"/>
  <c r="P11" i="7"/>
  <c r="BM11" i="7" s="1"/>
  <c r="L11" i="85"/>
  <c r="M12" i="85"/>
  <c r="H152" i="41"/>
  <c r="BB152" i="41" s="1"/>
  <c r="AX71" i="7"/>
  <c r="CU71" i="7" s="1"/>
  <c r="N34" i="67"/>
  <c r="N33" i="67" s="1"/>
  <c r="N21" i="67" s="1"/>
  <c r="N31" i="67"/>
  <c r="N11" i="67" s="1"/>
  <c r="L152" i="41"/>
  <c r="BF152" i="41" s="1"/>
  <c r="M122" i="85" s="1"/>
  <c r="M34" i="67"/>
  <c r="M33" i="67" s="1"/>
  <c r="M21" i="67" s="1"/>
  <c r="Y11" i="7"/>
  <c r="BV11" i="7" s="1"/>
  <c r="BE153" i="41"/>
  <c r="L28" i="85" s="1"/>
  <c r="L43" i="85" s="1"/>
  <c r="K152" i="41"/>
  <c r="L122" i="67" s="1"/>
  <c r="AX9" i="7"/>
  <c r="CU9" i="7" s="1"/>
  <c r="AV60" i="7"/>
  <c r="CS60" i="7" s="1"/>
  <c r="J66" i="7"/>
  <c r="Q66" i="7"/>
  <c r="Q67" i="7" s="1"/>
  <c r="G77" i="7"/>
  <c r="G78" i="7" s="1"/>
  <c r="Z66" i="7"/>
  <c r="Z67" i="7" s="1"/>
  <c r="O77" i="7"/>
  <c r="O78" i="7" s="1"/>
  <c r="Q77" i="7"/>
  <c r="Q78" i="7" s="1"/>
  <c r="P19" i="7"/>
  <c r="Y19" i="7"/>
  <c r="BV19" i="7" s="1"/>
  <c r="AA152" i="41"/>
  <c r="BU152" i="41" s="1"/>
  <c r="AW60" i="7"/>
  <c r="CT60" i="7" s="1"/>
  <c r="R77" i="7"/>
  <c r="R78" i="7" s="1"/>
  <c r="X66" i="7"/>
  <c r="X67" i="7" s="1"/>
  <c r="K33" i="85"/>
  <c r="K21" i="85" s="1"/>
  <c r="R19" i="7"/>
  <c r="R22" i="7" s="1"/>
  <c r="BO22" i="7" s="1"/>
  <c r="AV9" i="7"/>
  <c r="CS9" i="7" s="1"/>
  <c r="W19" i="7"/>
  <c r="W22" i="7" s="1"/>
  <c r="BT22" i="7" s="1"/>
  <c r="AH152" i="41"/>
  <c r="CB152" i="41" s="1"/>
  <c r="AX60" i="7"/>
  <c r="CU60" i="7" s="1"/>
  <c r="K34" i="67"/>
  <c r="J77" i="7"/>
  <c r="J78" i="7" s="1"/>
  <c r="H77" i="7"/>
  <c r="H78" i="7" s="1"/>
  <c r="P77" i="7"/>
  <c r="P78" i="7" s="1"/>
  <c r="W77" i="7"/>
  <c r="W78" i="7" s="1"/>
  <c r="N66" i="7"/>
  <c r="N67" i="7" s="1"/>
  <c r="Y152" i="41"/>
  <c r="BS152" i="41" s="1"/>
  <c r="N10" i="67"/>
  <c r="N27" i="67"/>
  <c r="N19" i="67" s="1"/>
  <c r="O98" i="67"/>
  <c r="Z14" i="7"/>
  <c r="BW14" i="7" s="1"/>
  <c r="AS60" i="7"/>
  <c r="CP60" i="7" s="1"/>
  <c r="V14" i="7"/>
  <c r="BS14" i="7" s="1"/>
  <c r="I66" i="7"/>
  <c r="V77" i="7"/>
  <c r="V78" i="7" s="1"/>
  <c r="BG153" i="41"/>
  <c r="N28" i="85" s="1"/>
  <c r="N27" i="85" s="1"/>
  <c r="AW9" i="7"/>
  <c r="CT9" i="7" s="1"/>
  <c r="O19" i="7"/>
  <c r="O17" i="7" s="1"/>
  <c r="BL17" i="7" s="1"/>
  <c r="H18" i="7"/>
  <c r="BE18" i="7" s="1"/>
  <c r="X77" i="7"/>
  <c r="X78" i="7" s="1"/>
  <c r="V19" i="7"/>
  <c r="V22" i="7" s="1"/>
  <c r="BS22" i="7" s="1"/>
  <c r="Q19" i="7"/>
  <c r="Q22" i="7" s="1"/>
  <c r="BN22" i="7" s="1"/>
  <c r="X19" i="7"/>
  <c r="BU19" i="7" s="1"/>
  <c r="AB152" i="41"/>
  <c r="BV152" i="41" s="1"/>
  <c r="J11" i="7"/>
  <c r="BG11" i="7" s="1"/>
  <c r="M31" i="67"/>
  <c r="M11" i="67" s="1"/>
  <c r="F66" i="7"/>
  <c r="H66" i="7"/>
  <c r="Y66" i="7"/>
  <c r="Y67" i="7" s="1"/>
  <c r="Y77" i="7"/>
  <c r="Y78" i="7" s="1"/>
  <c r="Z77" i="7"/>
  <c r="Z78" i="7" s="1"/>
  <c r="AS71" i="7"/>
  <c r="CP71" i="7" s="1"/>
  <c r="R152" i="41"/>
  <c r="BL152" i="41" s="1"/>
  <c r="O66" i="7"/>
  <c r="O67" i="7" s="1"/>
  <c r="BL154" i="41"/>
  <c r="P66" i="7"/>
  <c r="P67" i="7" s="1"/>
  <c r="G152" i="41"/>
  <c r="BA152" i="41" s="1"/>
  <c r="R66" i="7"/>
  <c r="R67" i="7" s="1"/>
  <c r="P152" i="41"/>
  <c r="BJ152" i="41" s="1"/>
  <c r="Q24" i="85"/>
  <c r="AB19" i="78"/>
  <c r="AB19" i="83"/>
  <c r="AF18" i="78"/>
  <c r="AF18" i="83"/>
  <c r="AG18" i="78"/>
  <c r="AG18" i="83"/>
  <c r="Q20" i="85"/>
  <c r="AC18" i="78"/>
  <c r="AC18" i="83"/>
  <c r="X14" i="7"/>
  <c r="BU14" i="7" s="1"/>
  <c r="O98" i="85"/>
  <c r="W18" i="7"/>
  <c r="BT18" i="7" s="1"/>
  <c r="BM155" i="41"/>
  <c r="J31" i="67"/>
  <c r="J11" i="67" s="1"/>
  <c r="BC154" i="41"/>
  <c r="J31" i="85" s="1"/>
  <c r="N139" i="41"/>
  <c r="BH139" i="41" s="1"/>
  <c r="BC139" i="41"/>
  <c r="X18" i="7"/>
  <c r="BU18" i="7" s="1"/>
  <c r="BN155" i="41"/>
  <c r="J28" i="67"/>
  <c r="J10" i="67" s="1"/>
  <c r="BC153" i="41"/>
  <c r="J28" i="85" s="1"/>
  <c r="K99" i="67"/>
  <c r="CR15" i="7"/>
  <c r="K99" i="85" s="1"/>
  <c r="J34" i="67"/>
  <c r="J12" i="67" s="1"/>
  <c r="BC155" i="41"/>
  <c r="J34" i="85" s="1"/>
  <c r="AF152" i="41"/>
  <c r="BZ152" i="41" s="1"/>
  <c r="BZ153" i="41"/>
  <c r="Z18" i="7"/>
  <c r="BW18" i="7" s="1"/>
  <c r="BP155" i="41"/>
  <c r="V18" i="7"/>
  <c r="BS18" i="7" s="1"/>
  <c r="BL155" i="41"/>
  <c r="G19" i="7"/>
  <c r="BD19" i="7" s="1"/>
  <c r="CC153" i="41"/>
  <c r="Y18" i="7"/>
  <c r="BV18" i="7" s="1"/>
  <c r="BO155" i="41"/>
  <c r="F98" i="53"/>
  <c r="BM10" i="53"/>
  <c r="BT10" i="53" s="1"/>
  <c r="CA10" i="53" s="1"/>
  <c r="G98" i="53"/>
  <c r="BN10" i="53"/>
  <c r="BU10" i="53" s="1"/>
  <c r="CB10" i="53" s="1"/>
  <c r="C98" i="53"/>
  <c r="BJ10" i="53"/>
  <c r="BQ10" i="53" s="1"/>
  <c r="BX10" i="53" s="1"/>
  <c r="BK10" i="53"/>
  <c r="BR10" i="53" s="1"/>
  <c r="BY10" i="53" s="1"/>
  <c r="BP10" i="53"/>
  <c r="BW10" i="53" s="1"/>
  <c r="CD10" i="53" s="1"/>
  <c r="CK10" i="53" s="1"/>
  <c r="CR10" i="53" s="1"/>
  <c r="CX10" i="53"/>
  <c r="DD10" i="53" s="1"/>
  <c r="DJ10" i="53" s="1"/>
  <c r="CJ10" i="53"/>
  <c r="CQ10" i="53" s="1"/>
  <c r="E98" i="53"/>
  <c r="BL10" i="53"/>
  <c r="BS10" i="53" s="1"/>
  <c r="BZ10" i="53" s="1"/>
  <c r="D98" i="53"/>
  <c r="J10" i="53"/>
  <c r="R10" i="53" s="1"/>
  <c r="Z10" i="53" s="1"/>
  <c r="AH10" i="53" s="1"/>
  <c r="AP10" i="53" s="1"/>
  <c r="I10" i="53"/>
  <c r="Q10" i="53" s="1"/>
  <c r="Y10" i="53" s="1"/>
  <c r="AG10" i="53" s="1"/>
  <c r="AO10" i="53" s="1"/>
  <c r="H98" i="53"/>
  <c r="T152" i="41"/>
  <c r="BN152" i="41" s="1"/>
  <c r="E78" i="7"/>
  <c r="AD19" i="78"/>
  <c r="AG19" i="78"/>
  <c r="V24" i="2"/>
  <c r="O44" i="67"/>
  <c r="Q24" i="67" s="1"/>
  <c r="I24" i="2"/>
  <c r="F24" i="2"/>
  <c r="AC19" i="83" s="1"/>
  <c r="H24" i="2"/>
  <c r="AE19" i="83" s="1"/>
  <c r="H23" i="2"/>
  <c r="G23" i="2"/>
  <c r="AD18" i="83" s="1"/>
  <c r="G14" i="7"/>
  <c r="BD14" i="7" s="1"/>
  <c r="AW16" i="7"/>
  <c r="V23" i="2"/>
  <c r="U23" i="2"/>
  <c r="S152" i="41"/>
  <c r="BM152" i="41" s="1"/>
  <c r="Z152" i="41"/>
  <c r="BT152" i="41" s="1"/>
  <c r="F19" i="7"/>
  <c r="X152" i="41"/>
  <c r="BR152" i="41" s="1"/>
  <c r="AT16" i="7"/>
  <c r="AJ152" i="41"/>
  <c r="CD152" i="41" s="1"/>
  <c r="N155" i="41"/>
  <c r="BH155" i="41" s="1"/>
  <c r="V11" i="7"/>
  <c r="BS11" i="7" s="1"/>
  <c r="U152" i="41"/>
  <c r="BO152" i="41" s="1"/>
  <c r="I18" i="7"/>
  <c r="BF18" i="7" s="1"/>
  <c r="AW15" i="7"/>
  <c r="CT15" i="7" s="1"/>
  <c r="M99" i="85" s="1"/>
  <c r="I14" i="7"/>
  <c r="BF14" i="7" s="1"/>
  <c r="AG152" i="41"/>
  <c r="CA152" i="41" s="1"/>
  <c r="AD152" i="41"/>
  <c r="BX152" i="41" s="1"/>
  <c r="AU16" i="7"/>
  <c r="CR16" i="7" s="1"/>
  <c r="K100" i="85" s="1"/>
  <c r="F14" i="7"/>
  <c r="BC14" i="7" s="1"/>
  <c r="AT15" i="7"/>
  <c r="Q152" i="41"/>
  <c r="BK152" i="41" s="1"/>
  <c r="AV16" i="7"/>
  <c r="AX16" i="7"/>
  <c r="F11" i="7"/>
  <c r="BC11" i="7" s="1"/>
  <c r="I152" i="41"/>
  <c r="BC152" i="41" s="1"/>
  <c r="J122" i="85" s="1"/>
  <c r="N153" i="41"/>
  <c r="BH153" i="41" s="1"/>
  <c r="H14" i="7"/>
  <c r="BE14" i="7" s="1"/>
  <c r="AV15" i="7"/>
  <c r="N11" i="7"/>
  <c r="BK11" i="7" s="1"/>
  <c r="N154" i="41"/>
  <c r="BH154" i="41" s="1"/>
  <c r="J18" i="7"/>
  <c r="BG18" i="7" s="1"/>
  <c r="V152" i="41"/>
  <c r="BP152" i="41" s="1"/>
  <c r="J19" i="7"/>
  <c r="AL152" i="41"/>
  <c r="CF152" i="41" s="1"/>
  <c r="I19" i="7"/>
  <c r="AC152" i="41"/>
  <c r="BW152" i="41" s="1"/>
  <c r="H19" i="7"/>
  <c r="AT9" i="7"/>
  <c r="CQ9" i="7" s="1"/>
  <c r="AI152" i="41"/>
  <c r="CC152" i="41" s="1"/>
  <c r="AX15" i="7"/>
  <c r="J14" i="7"/>
  <c r="BG14" i="7" s="1"/>
  <c r="F67" i="7" l="1"/>
  <c r="H67" i="7"/>
  <c r="J67" i="7"/>
  <c r="G67" i="7"/>
  <c r="I67" i="7"/>
  <c r="F78" i="7"/>
  <c r="AS66" i="7"/>
  <c r="AS67" i="7" s="1"/>
  <c r="K43" i="67"/>
  <c r="P17" i="7"/>
  <c r="M27" i="67"/>
  <c r="M19" i="67" s="1"/>
  <c r="K43" i="85"/>
  <c r="M27" i="85"/>
  <c r="M10" i="85"/>
  <c r="M43" i="85"/>
  <c r="L27" i="85"/>
  <c r="K27" i="67"/>
  <c r="K19" i="67" s="1"/>
  <c r="K11" i="67"/>
  <c r="E61" i="7"/>
  <c r="K30" i="67"/>
  <c r="K20" i="67" s="1"/>
  <c r="M72" i="7"/>
  <c r="U72" i="7"/>
  <c r="M61" i="7"/>
  <c r="BJ61" i="7" s="1"/>
  <c r="E72" i="7"/>
  <c r="AK72" i="7"/>
  <c r="AS76" i="7"/>
  <c r="AC72" i="7"/>
  <c r="AC61" i="7"/>
  <c r="BZ61" i="7" s="1"/>
  <c r="AS65" i="7"/>
  <c r="AK61" i="7"/>
  <c r="CH61" i="7" s="1"/>
  <c r="U61" i="7"/>
  <c r="BR61" i="7" s="1"/>
  <c r="L12" i="67"/>
  <c r="K27" i="85"/>
  <c r="K12" i="67"/>
  <c r="K33" i="67"/>
  <c r="K21" i="67" s="1"/>
  <c r="N22" i="7"/>
  <c r="BK22" i="7" s="1"/>
  <c r="AS77" i="7"/>
  <c r="AS78" i="7" s="1"/>
  <c r="K122" i="67"/>
  <c r="G72" i="7"/>
  <c r="BD72" i="7" s="1"/>
  <c r="N61" i="7"/>
  <c r="BK61" i="7" s="1"/>
  <c r="AD61" i="7"/>
  <c r="CA61" i="7" s="1"/>
  <c r="W72" i="7"/>
  <c r="BT72" i="7" s="1"/>
  <c r="G61" i="7"/>
  <c r="BD61" i="7" s="1"/>
  <c r="AE61" i="7"/>
  <c r="CB61" i="7" s="1"/>
  <c r="AM61" i="7"/>
  <c r="CJ61" i="7" s="1"/>
  <c r="AD72" i="7"/>
  <c r="CA72" i="7" s="1"/>
  <c r="V72" i="7"/>
  <c r="BS72" i="7" s="1"/>
  <c r="P61" i="7"/>
  <c r="BM61" i="7" s="1"/>
  <c r="F61" i="7"/>
  <c r="BC61" i="7" s="1"/>
  <c r="AL61" i="7"/>
  <c r="CI61" i="7" s="1"/>
  <c r="O61" i="7"/>
  <c r="BL61" i="7" s="1"/>
  <c r="F72" i="7"/>
  <c r="BC72" i="7" s="1"/>
  <c r="V61" i="7"/>
  <c r="BS61" i="7" s="1"/>
  <c r="Z22" i="7"/>
  <c r="BW22" i="7" s="1"/>
  <c r="W61" i="7"/>
  <c r="BT61" i="7" s="1"/>
  <c r="AM72" i="7"/>
  <c r="CJ72" i="7" s="1"/>
  <c r="AL72" i="7"/>
  <c r="CI72" i="7" s="1"/>
  <c r="X61" i="7"/>
  <c r="BU61" i="7" s="1"/>
  <c r="N72" i="7"/>
  <c r="BK72" i="7" s="1"/>
  <c r="AU11" i="7"/>
  <c r="CR11" i="7" s="1"/>
  <c r="AT18" i="7"/>
  <c r="J123" i="67" s="1"/>
  <c r="J127" i="67" s="1"/>
  <c r="AE72" i="7"/>
  <c r="CB72" i="7" s="1"/>
  <c r="N17" i="7"/>
  <c r="N13" i="7" s="1"/>
  <c r="O72" i="7"/>
  <c r="BL72" i="7" s="1"/>
  <c r="V17" i="7"/>
  <c r="V13" i="7" s="1"/>
  <c r="P72" i="7"/>
  <c r="BM72" i="7" s="1"/>
  <c r="BS19" i="7"/>
  <c r="L43" i="67"/>
  <c r="L27" i="67"/>
  <c r="L19" i="67" s="1"/>
  <c r="BG152" i="41"/>
  <c r="N122" i="85" s="1"/>
  <c r="AW11" i="7"/>
  <c r="CT11" i="7" s="1"/>
  <c r="AX11" i="7"/>
  <c r="CU11" i="7" s="1"/>
  <c r="N12" i="67"/>
  <c r="N15" i="67" s="1"/>
  <c r="N16" i="67" s="1"/>
  <c r="L11" i="67"/>
  <c r="M122" i="67"/>
  <c r="BE152" i="41"/>
  <c r="L122" i="85" s="1"/>
  <c r="L30" i="67"/>
  <c r="L20" i="67" s="1"/>
  <c r="BO19" i="7"/>
  <c r="M43" i="67"/>
  <c r="AH72" i="7"/>
  <c r="CE72" i="7" s="1"/>
  <c r="M12" i="67"/>
  <c r="AV11" i="7"/>
  <c r="CS11" i="7" s="1"/>
  <c r="R17" i="7"/>
  <c r="R13" i="7" s="1"/>
  <c r="O10" i="67"/>
  <c r="Z72" i="7"/>
  <c r="BW72" i="7" s="1"/>
  <c r="AP72" i="7"/>
  <c r="CM72" i="7" s="1"/>
  <c r="AF72" i="7"/>
  <c r="CC72" i="7" s="1"/>
  <c r="J72" i="7"/>
  <c r="BG72" i="7" s="1"/>
  <c r="Y72" i="7"/>
  <c r="BV72" i="7" s="1"/>
  <c r="AN72" i="7"/>
  <c r="CK72" i="7" s="1"/>
  <c r="Q72" i="7"/>
  <c r="BN72" i="7" s="1"/>
  <c r="N43" i="67"/>
  <c r="M30" i="67"/>
  <c r="M20" i="67" s="1"/>
  <c r="AO72" i="7"/>
  <c r="CL72" i="7" s="1"/>
  <c r="X72" i="7"/>
  <c r="BU72" i="7" s="1"/>
  <c r="R72" i="7"/>
  <c r="BO72" i="7" s="1"/>
  <c r="Q17" i="7"/>
  <c r="BN17" i="7" s="1"/>
  <c r="AG72" i="7"/>
  <c r="CD72" i="7" s="1"/>
  <c r="H72" i="7"/>
  <c r="BE72" i="7" s="1"/>
  <c r="I72" i="7"/>
  <c r="BF72" i="7" s="1"/>
  <c r="Y22" i="7"/>
  <c r="BV22" i="7" s="1"/>
  <c r="O22" i="7"/>
  <c r="BL22" i="7" s="1"/>
  <c r="N30" i="67"/>
  <c r="N20" i="67" s="1"/>
  <c r="N24" i="67" s="1"/>
  <c r="AU66" i="7"/>
  <c r="K107" i="85" s="1"/>
  <c r="BL19" i="7"/>
  <c r="AN61" i="7"/>
  <c r="CK61" i="7" s="1"/>
  <c r="BM19" i="7"/>
  <c r="N10" i="85"/>
  <c r="N15" i="85" s="1"/>
  <c r="N16" i="85" s="1"/>
  <c r="N43" i="85"/>
  <c r="BN19" i="7"/>
  <c r="L10" i="85"/>
  <c r="L15" i="85" s="1"/>
  <c r="L16" i="85" s="1"/>
  <c r="J30" i="67"/>
  <c r="J20" i="67" s="1"/>
  <c r="BT19" i="7"/>
  <c r="AT66" i="7"/>
  <c r="J110" i="85" s="1"/>
  <c r="AG61" i="7"/>
  <c r="CD61" i="7" s="1"/>
  <c r="P22" i="7"/>
  <c r="BM22" i="7" s="1"/>
  <c r="AH61" i="7"/>
  <c r="CE61" i="7" s="1"/>
  <c r="AP61" i="7"/>
  <c r="CM61" i="7" s="1"/>
  <c r="AF61" i="7"/>
  <c r="CC61" i="7" s="1"/>
  <c r="Y61" i="7"/>
  <c r="BV61" i="7" s="1"/>
  <c r="Q61" i="7"/>
  <c r="BN61" i="7" s="1"/>
  <c r="I61" i="7"/>
  <c r="BF61" i="7" s="1"/>
  <c r="J61" i="7"/>
  <c r="BG61" i="7" s="1"/>
  <c r="Z61" i="7"/>
  <c r="BW61" i="7" s="1"/>
  <c r="AO61" i="7"/>
  <c r="CL61" i="7" s="1"/>
  <c r="H61" i="7"/>
  <c r="BE61" i="7" s="1"/>
  <c r="R61" i="7"/>
  <c r="BO61" i="7" s="1"/>
  <c r="AV18" i="7"/>
  <c r="L123" i="67" s="1"/>
  <c r="L127" i="67" s="1"/>
  <c r="AX66" i="7"/>
  <c r="N106" i="85" s="1"/>
  <c r="AV77" i="7"/>
  <c r="L114" i="85" s="1"/>
  <c r="AU77" i="7"/>
  <c r="K118" i="85" s="1"/>
  <c r="AW66" i="7"/>
  <c r="M106" i="85" s="1"/>
  <c r="Y17" i="7"/>
  <c r="BV17" i="7" s="1"/>
  <c r="O31" i="67"/>
  <c r="P20" i="67" s="1"/>
  <c r="AW77" i="7"/>
  <c r="M116" i="67" s="1"/>
  <c r="X17" i="7"/>
  <c r="X13" i="7" s="1"/>
  <c r="AT77" i="7"/>
  <c r="J115" i="85" s="1"/>
  <c r="O13" i="7"/>
  <c r="BL13" i="7" s="1"/>
  <c r="X22" i="7"/>
  <c r="BU22" i="7" s="1"/>
  <c r="Z17" i="7"/>
  <c r="Z13" i="7" s="1"/>
  <c r="AX77" i="7"/>
  <c r="N114" i="85" s="1"/>
  <c r="J43" i="67"/>
  <c r="AV66" i="7"/>
  <c r="L106" i="67" s="1"/>
  <c r="J15" i="67"/>
  <c r="J16" i="67" s="1"/>
  <c r="J27" i="67"/>
  <c r="J19" i="67" s="1"/>
  <c r="O28" i="67"/>
  <c r="P19" i="67" s="1"/>
  <c r="AU18" i="7"/>
  <c r="K123" i="67" s="1"/>
  <c r="K127" i="67" s="1"/>
  <c r="W17" i="7"/>
  <c r="W13" i="7" s="1"/>
  <c r="AE18" i="78"/>
  <c r="AE18" i="83"/>
  <c r="AW67" i="7"/>
  <c r="M139" i="67" s="1"/>
  <c r="J11" i="85"/>
  <c r="O11" i="85" s="1"/>
  <c r="O31" i="85"/>
  <c r="J30" i="85"/>
  <c r="N42" i="85"/>
  <c r="N19" i="85"/>
  <c r="N24" i="85" s="1"/>
  <c r="J12" i="85"/>
  <c r="O12" i="85" s="1"/>
  <c r="J33" i="85"/>
  <c r="O34" i="85"/>
  <c r="U24" i="2"/>
  <c r="AF19" i="83"/>
  <c r="AV78" i="7"/>
  <c r="L151" i="67" s="1"/>
  <c r="J27" i="85"/>
  <c r="J10" i="85"/>
  <c r="J43" i="85"/>
  <c r="O28" i="85"/>
  <c r="J99" i="67"/>
  <c r="CQ15" i="7"/>
  <c r="J99" i="85" s="1"/>
  <c r="M100" i="67"/>
  <c r="CT16" i="7"/>
  <c r="M100" i="85" s="1"/>
  <c r="G22" i="7"/>
  <c r="BD22" i="7" s="1"/>
  <c r="N100" i="67"/>
  <c r="CU16" i="7"/>
  <c r="N100" i="85" s="1"/>
  <c r="J100" i="67"/>
  <c r="CQ16" i="7"/>
  <c r="J100" i="85" s="1"/>
  <c r="I22" i="7"/>
  <c r="BF22" i="7" s="1"/>
  <c r="BF19" i="7"/>
  <c r="L99" i="67"/>
  <c r="CS15" i="7"/>
  <c r="L99" i="85" s="1"/>
  <c r="O34" i="67"/>
  <c r="P21" i="67" s="1"/>
  <c r="G17" i="7"/>
  <c r="BD17" i="7" s="1"/>
  <c r="AX19" i="7"/>
  <c r="AX22" i="7" s="1"/>
  <c r="CU22" i="7" s="1"/>
  <c r="BG19" i="7"/>
  <c r="L100" i="67"/>
  <c r="CS16" i="7"/>
  <c r="L100" i="85" s="1"/>
  <c r="AT19" i="7"/>
  <c r="AT22" i="7" s="1"/>
  <c r="CQ22" i="7" s="1"/>
  <c r="BC19" i="7"/>
  <c r="J33" i="67"/>
  <c r="J21" i="67" s="1"/>
  <c r="H22" i="7"/>
  <c r="BE22" i="7" s="1"/>
  <c r="BE19" i="7"/>
  <c r="N99" i="67"/>
  <c r="CU15" i="7"/>
  <c r="N99" i="85" s="1"/>
  <c r="AU19" i="7"/>
  <c r="AU22" i="7" s="1"/>
  <c r="CR22" i="7" s="1"/>
  <c r="CS10" i="53"/>
  <c r="CY10" i="53" s="1"/>
  <c r="DE10" i="53" s="1"/>
  <c r="CE10" i="53"/>
  <c r="CL10" i="53" s="1"/>
  <c r="CU10" i="53"/>
  <c r="DA10" i="53" s="1"/>
  <c r="DG10" i="53" s="1"/>
  <c r="CG10" i="53"/>
  <c r="CN10" i="53" s="1"/>
  <c r="CV10" i="53"/>
  <c r="DB10" i="53" s="1"/>
  <c r="DH10" i="53" s="1"/>
  <c r="CH10" i="53"/>
  <c r="CO10" i="53" s="1"/>
  <c r="CT10" i="53"/>
  <c r="CZ10" i="53" s="1"/>
  <c r="DF10" i="53" s="1"/>
  <c r="CF10" i="53"/>
  <c r="CM10" i="53" s="1"/>
  <c r="CW10" i="53"/>
  <c r="DC10" i="53" s="1"/>
  <c r="DI10" i="53" s="1"/>
  <c r="CI10" i="53"/>
  <c r="CP10" i="53" s="1"/>
  <c r="T23" i="2"/>
  <c r="AS74" i="7"/>
  <c r="U74" i="7" s="1"/>
  <c r="AS63" i="7"/>
  <c r="AK63" i="7" s="1"/>
  <c r="N58" i="73"/>
  <c r="BM58" i="73" s="1"/>
  <c r="T31" i="67"/>
  <c r="Y58" i="73"/>
  <c r="BS58" i="73" s="1"/>
  <c r="T52" i="67"/>
  <c r="AE19" i="78"/>
  <c r="S24" i="2"/>
  <c r="AC19" i="78"/>
  <c r="Q24" i="2"/>
  <c r="R24" i="2"/>
  <c r="AF19" i="78"/>
  <c r="T24" i="2"/>
  <c r="R23" i="2"/>
  <c r="AD18" i="78"/>
  <c r="N152" i="41"/>
  <c r="BH152" i="41" s="1"/>
  <c r="J122" i="67"/>
  <c r="AW14" i="7"/>
  <c r="CT14" i="7" s="1"/>
  <c r="M99" i="67"/>
  <c r="K100" i="67"/>
  <c r="S23" i="2"/>
  <c r="F22" i="7"/>
  <c r="BC22" i="7" s="1"/>
  <c r="J22" i="7"/>
  <c r="BG22" i="7" s="1"/>
  <c r="AU14" i="7"/>
  <c r="CR14" i="7" s="1"/>
  <c r="AT14" i="7"/>
  <c r="CQ14" i="7" s="1"/>
  <c r="F17" i="7"/>
  <c r="AX14" i="7"/>
  <c r="CU14" i="7" s="1"/>
  <c r="AV19" i="7"/>
  <c r="CS19" i="7" s="1"/>
  <c r="L124" i="85" s="1"/>
  <c r="AV14" i="7"/>
  <c r="CS14" i="7" s="1"/>
  <c r="H17" i="7"/>
  <c r="V32" i="7"/>
  <c r="AX18" i="7"/>
  <c r="CU18" i="7" s="1"/>
  <c r="N123" i="85" s="1"/>
  <c r="N127" i="85" s="1"/>
  <c r="J17" i="7"/>
  <c r="AT11" i="7"/>
  <c r="CQ11" i="7" s="1"/>
  <c r="AW18" i="7"/>
  <c r="I17" i="7"/>
  <c r="AW19" i="7"/>
  <c r="CT19" i="7" s="1"/>
  <c r="M124" i="85" s="1"/>
  <c r="C10" i="5"/>
  <c r="AT59" i="7" l="1"/>
  <c r="CQ59" i="7" s="1"/>
  <c r="AX78" i="7"/>
  <c r="N151" i="67" s="1"/>
  <c r="AW78" i="7"/>
  <c r="M149" i="67" s="1"/>
  <c r="AT78" i="7"/>
  <c r="J148" i="67" s="1"/>
  <c r="AV67" i="7"/>
  <c r="L141" i="67" s="1"/>
  <c r="AX67" i="7"/>
  <c r="N141" i="67" s="1"/>
  <c r="AT67" i="7"/>
  <c r="J143" i="67" s="1"/>
  <c r="AU67" i="7"/>
  <c r="K140" i="67" s="1"/>
  <c r="AU78" i="7"/>
  <c r="K151" i="67" s="1"/>
  <c r="CP65" i="7"/>
  <c r="O11" i="67"/>
  <c r="BM17" i="7"/>
  <c r="P13" i="7"/>
  <c r="BM13" i="7" s="1"/>
  <c r="M19" i="85"/>
  <c r="M24" i="85" s="1"/>
  <c r="M42" i="85"/>
  <c r="L42" i="85"/>
  <c r="L19" i="85"/>
  <c r="L24" i="85" s="1"/>
  <c r="O27" i="85"/>
  <c r="K42" i="85"/>
  <c r="K19" i="85"/>
  <c r="K24" i="85" s="1"/>
  <c r="L24" i="67"/>
  <c r="M24" i="67"/>
  <c r="M15" i="85"/>
  <c r="M16" i="85" s="1"/>
  <c r="E65" i="7"/>
  <c r="BB61" i="7"/>
  <c r="AT70" i="7"/>
  <c r="CQ70" i="7" s="1"/>
  <c r="CP76" i="7"/>
  <c r="AK76" i="7"/>
  <c r="CH72" i="7"/>
  <c r="E76" i="7"/>
  <c r="BB72" i="7"/>
  <c r="U76" i="7"/>
  <c r="BR72" i="7"/>
  <c r="M76" i="7"/>
  <c r="BJ72" i="7"/>
  <c r="AC76" i="7"/>
  <c r="BZ72" i="7"/>
  <c r="K42" i="67"/>
  <c r="K24" i="67"/>
  <c r="J115" i="67"/>
  <c r="K15" i="67"/>
  <c r="K16" i="67" s="1"/>
  <c r="M65" i="7"/>
  <c r="U65" i="7"/>
  <c r="BR65" i="7" s="1"/>
  <c r="AC65" i="7"/>
  <c r="BZ65" i="7" s="1"/>
  <c r="AK65" i="7"/>
  <c r="CH65" i="7" s="1"/>
  <c r="O12" i="67"/>
  <c r="G24" i="7"/>
  <c r="BD24" i="7" s="1"/>
  <c r="O24" i="7"/>
  <c r="K110" i="67"/>
  <c r="AL24" i="7"/>
  <c r="CI24" i="7" s="1"/>
  <c r="F24" i="7"/>
  <c r="BC24" i="7" s="1"/>
  <c r="K108" i="85"/>
  <c r="AM24" i="7"/>
  <c r="CJ24" i="7" s="1"/>
  <c r="AH24" i="7"/>
  <c r="AH29" i="7" s="1"/>
  <c r="CE29" i="7" s="1"/>
  <c r="K106" i="67"/>
  <c r="K107" i="67"/>
  <c r="K110" i="85"/>
  <c r="K108" i="67"/>
  <c r="K106" i="85"/>
  <c r="BS17" i="7"/>
  <c r="AD24" i="7"/>
  <c r="AD29" i="7" s="1"/>
  <c r="CA29" i="7" s="1"/>
  <c r="CQ18" i="7"/>
  <c r="J123" i="85" s="1"/>
  <c r="J127" i="85" s="1"/>
  <c r="N24" i="7"/>
  <c r="N29" i="7" s="1"/>
  <c r="BK29" i="7" s="1"/>
  <c r="W24" i="7"/>
  <c r="W29" i="7" s="1"/>
  <c r="BT29" i="7" s="1"/>
  <c r="V24" i="7"/>
  <c r="V29" i="7" s="1"/>
  <c r="BS29" i="7" s="1"/>
  <c r="AE24" i="7"/>
  <c r="AE29" i="7" s="1"/>
  <c r="CB29" i="7" s="1"/>
  <c r="P24" i="7"/>
  <c r="BM24" i="7" s="1"/>
  <c r="BK17" i="7"/>
  <c r="J107" i="85"/>
  <c r="J107" i="67"/>
  <c r="J108" i="85"/>
  <c r="L15" i="67"/>
  <c r="L16" i="67" s="1"/>
  <c r="J108" i="67"/>
  <c r="J106" i="85"/>
  <c r="AO24" i="7"/>
  <c r="CL24" i="7" s="1"/>
  <c r="J106" i="67"/>
  <c r="J110" i="67"/>
  <c r="O19" i="67"/>
  <c r="O122" i="85"/>
  <c r="AG24" i="7"/>
  <c r="CD24" i="7" s="1"/>
  <c r="O122" i="67"/>
  <c r="N42" i="67"/>
  <c r="AN24" i="7"/>
  <c r="AN29" i="7" s="1"/>
  <c r="CK29" i="7" s="1"/>
  <c r="N116" i="85"/>
  <c r="R24" i="7"/>
  <c r="R29" i="7" s="1"/>
  <c r="BO29" i="7" s="1"/>
  <c r="L42" i="67"/>
  <c r="M15" i="67"/>
  <c r="M16" i="67" s="1"/>
  <c r="O21" i="7"/>
  <c r="BL21" i="7" s="1"/>
  <c r="Q13" i="7"/>
  <c r="BN13" i="7" s="1"/>
  <c r="AF24" i="7"/>
  <c r="AF29" i="7" s="1"/>
  <c r="CC29" i="7" s="1"/>
  <c r="X24" i="7"/>
  <c r="BU24" i="7" s="1"/>
  <c r="BO17" i="7"/>
  <c r="O20" i="67"/>
  <c r="M107" i="67"/>
  <c r="Q24" i="7"/>
  <c r="BN24" i="7" s="1"/>
  <c r="K118" i="67"/>
  <c r="L108" i="67"/>
  <c r="CS18" i="7"/>
  <c r="L123" i="85" s="1"/>
  <c r="L127" i="85" s="1"/>
  <c r="O30" i="67"/>
  <c r="L116" i="85"/>
  <c r="M42" i="67"/>
  <c r="AP24" i="7"/>
  <c r="AP29" i="7" s="1"/>
  <c r="CM29" i="7" s="1"/>
  <c r="H24" i="7"/>
  <c r="BE24" i="7" s="1"/>
  <c r="L118" i="67"/>
  <c r="L115" i="85"/>
  <c r="L114" i="67"/>
  <c r="L116" i="67"/>
  <c r="I24" i="7"/>
  <c r="BF24" i="7" s="1"/>
  <c r="L115" i="67"/>
  <c r="L118" i="85"/>
  <c r="N110" i="67"/>
  <c r="Y13" i="7"/>
  <c r="Y21" i="7" s="1"/>
  <c r="BV21" i="7" s="1"/>
  <c r="N108" i="67"/>
  <c r="N110" i="85"/>
  <c r="N107" i="67"/>
  <c r="N107" i="85"/>
  <c r="K115" i="85"/>
  <c r="K114" i="85"/>
  <c r="N106" i="67"/>
  <c r="N105" i="85"/>
  <c r="N118" i="67"/>
  <c r="N108" i="85"/>
  <c r="J24" i="7"/>
  <c r="BG24" i="7" s="1"/>
  <c r="M106" i="67"/>
  <c r="M108" i="67"/>
  <c r="M110" i="85"/>
  <c r="BU17" i="7"/>
  <c r="M108" i="85"/>
  <c r="Z24" i="7"/>
  <c r="Z29" i="7" s="1"/>
  <c r="BW29" i="7" s="1"/>
  <c r="Y24" i="7"/>
  <c r="Y29" i="7" s="1"/>
  <c r="Y33" i="7" s="1"/>
  <c r="BV33" i="7" s="1"/>
  <c r="M110" i="67"/>
  <c r="M107" i="85"/>
  <c r="N116" i="67"/>
  <c r="J24" i="67"/>
  <c r="N115" i="85"/>
  <c r="J118" i="85"/>
  <c r="J118" i="67"/>
  <c r="N114" i="67"/>
  <c r="N115" i="67"/>
  <c r="J116" i="85"/>
  <c r="O27" i="67"/>
  <c r="J116" i="67"/>
  <c r="J114" i="67"/>
  <c r="N118" i="85"/>
  <c r="J114" i="85"/>
  <c r="K116" i="67"/>
  <c r="L110" i="85"/>
  <c r="K114" i="67"/>
  <c r="K115" i="67"/>
  <c r="L106" i="85"/>
  <c r="L107" i="85"/>
  <c r="M118" i="85"/>
  <c r="K116" i="85"/>
  <c r="M116" i="85"/>
  <c r="M115" i="67"/>
  <c r="L110" i="67"/>
  <c r="L147" i="67"/>
  <c r="L148" i="67"/>
  <c r="AU17" i="7"/>
  <c r="CR17" i="7" s="1"/>
  <c r="M143" i="67"/>
  <c r="M118" i="67"/>
  <c r="L107" i="67"/>
  <c r="M114" i="67"/>
  <c r="BW17" i="7"/>
  <c r="CR18" i="7"/>
  <c r="K123" i="85" s="1"/>
  <c r="K127" i="85" s="1"/>
  <c r="M114" i="85"/>
  <c r="L108" i="85"/>
  <c r="M115" i="85"/>
  <c r="M140" i="67"/>
  <c r="BT17" i="7"/>
  <c r="G13" i="7"/>
  <c r="G21" i="7" s="1"/>
  <c r="BD21" i="7" s="1"/>
  <c r="M141" i="67"/>
  <c r="O21" i="67"/>
  <c r="O43" i="67"/>
  <c r="P24" i="67" s="1"/>
  <c r="O99" i="85"/>
  <c r="J42" i="67"/>
  <c r="O33" i="67"/>
  <c r="O100" i="85"/>
  <c r="L148" i="85"/>
  <c r="L149" i="85"/>
  <c r="L151" i="85"/>
  <c r="L147" i="85"/>
  <c r="O30" i="85"/>
  <c r="J20" i="85"/>
  <c r="O20" i="85" s="1"/>
  <c r="P19" i="85"/>
  <c r="O43" i="85"/>
  <c r="P20" i="85"/>
  <c r="M141" i="85"/>
  <c r="M140" i="85"/>
  <c r="M143" i="85"/>
  <c r="M139" i="85"/>
  <c r="P21" i="85"/>
  <c r="O10" i="85"/>
  <c r="O15" i="85" s="1"/>
  <c r="O16" i="85" s="1"/>
  <c r="J15" i="85"/>
  <c r="J16" i="85" s="1"/>
  <c r="J21" i="85"/>
  <c r="O21" i="85" s="1"/>
  <c r="O33" i="85"/>
  <c r="O100" i="67"/>
  <c r="L149" i="67"/>
  <c r="J19" i="85"/>
  <c r="J42" i="85"/>
  <c r="R21" i="7"/>
  <c r="BO21" i="7" s="1"/>
  <c r="BO13" i="7"/>
  <c r="X21" i="7"/>
  <c r="BU21" i="7" s="1"/>
  <c r="BU13" i="7"/>
  <c r="W21" i="7"/>
  <c r="BT21" i="7" s="1"/>
  <c r="BT13" i="7"/>
  <c r="V21" i="7"/>
  <c r="BS21" i="7" s="1"/>
  <c r="BS13" i="7"/>
  <c r="J124" i="67"/>
  <c r="CQ19" i="7"/>
  <c r="J124" i="85" s="1"/>
  <c r="J13" i="7"/>
  <c r="BG17" i="7"/>
  <c r="I13" i="7"/>
  <c r="BF17" i="7"/>
  <c r="M123" i="67"/>
  <c r="M127" i="67" s="1"/>
  <c r="CT18" i="7"/>
  <c r="M123" i="85" s="1"/>
  <c r="M127" i="85" s="1"/>
  <c r="Z21" i="7"/>
  <c r="BW21" i="7" s="1"/>
  <c r="BW13" i="7"/>
  <c r="N21" i="7"/>
  <c r="BK21" i="7" s="1"/>
  <c r="BK13" i="7"/>
  <c r="N124" i="67"/>
  <c r="CU19" i="7"/>
  <c r="N124" i="85" s="1"/>
  <c r="F13" i="7"/>
  <c r="BC17" i="7"/>
  <c r="O99" i="67"/>
  <c r="H13" i="7"/>
  <c r="BE17" i="7"/>
  <c r="AT17" i="7"/>
  <c r="CQ17" i="7" s="1"/>
  <c r="K124" i="67"/>
  <c r="CR19" i="7"/>
  <c r="K124" i="85" s="1"/>
  <c r="AM58" i="53"/>
  <c r="AM55" i="53" s="1"/>
  <c r="Y32" i="7"/>
  <c r="W32" i="7"/>
  <c r="O32" i="7"/>
  <c r="AJ58" i="53"/>
  <c r="CM58" i="53" s="1"/>
  <c r="U107" i="85" s="1"/>
  <c r="Z107" i="85" s="1"/>
  <c r="R32" i="7"/>
  <c r="P32" i="7"/>
  <c r="X32" i="7"/>
  <c r="Q32" i="7"/>
  <c r="N32" i="7"/>
  <c r="U63" i="7"/>
  <c r="AK74" i="7"/>
  <c r="M63" i="7"/>
  <c r="E74" i="7"/>
  <c r="AC74" i="7"/>
  <c r="AC63" i="7"/>
  <c r="M74" i="7"/>
  <c r="E63" i="7"/>
  <c r="AX17" i="7"/>
  <c r="N123" i="67"/>
  <c r="N127" i="67" s="1"/>
  <c r="AV22" i="7"/>
  <c r="CS22" i="7" s="1"/>
  <c r="L124" i="67"/>
  <c r="AW22" i="7"/>
  <c r="CT22" i="7" s="1"/>
  <c r="M124" i="67"/>
  <c r="AL32" i="7"/>
  <c r="AO32" i="7"/>
  <c r="AV17" i="7"/>
  <c r="AN32" i="7"/>
  <c r="AL58" i="53"/>
  <c r="AD32" i="7"/>
  <c r="AB58" i="53"/>
  <c r="CF58" i="53" s="1"/>
  <c r="U83" i="85" s="1"/>
  <c r="Z83" i="85" s="1"/>
  <c r="Z32" i="7"/>
  <c r="AG32" i="7"/>
  <c r="AE58" i="53"/>
  <c r="AH32" i="7"/>
  <c r="AF58" i="53"/>
  <c r="AT31" i="7"/>
  <c r="CQ31" i="7" s="1"/>
  <c r="J133" i="85" s="1"/>
  <c r="J134" i="85" s="1"/>
  <c r="F32" i="7"/>
  <c r="G32" i="7"/>
  <c r="AP32" i="7"/>
  <c r="AN58" i="53"/>
  <c r="AW17" i="7"/>
  <c r="AM32" i="7"/>
  <c r="AK58" i="53"/>
  <c r="C51" i="53"/>
  <c r="K18" i="53"/>
  <c r="S18" i="53"/>
  <c r="W18" i="53"/>
  <c r="CB18" i="53" s="1"/>
  <c r="X18" i="53"/>
  <c r="CC18" i="53" s="1"/>
  <c r="O18" i="53"/>
  <c r="BU18" i="53" s="1"/>
  <c r="P18" i="53"/>
  <c r="BV18" i="53" s="1"/>
  <c r="N149" i="67" l="1"/>
  <c r="M151" i="67"/>
  <c r="K147" i="67"/>
  <c r="N143" i="67"/>
  <c r="J149" i="67"/>
  <c r="L143" i="85"/>
  <c r="BJ65" i="7"/>
  <c r="AT65" i="7"/>
  <c r="J111" i="67" s="1"/>
  <c r="J105" i="67"/>
  <c r="N147" i="67"/>
  <c r="N148" i="85"/>
  <c r="N149" i="85"/>
  <c r="N151" i="85"/>
  <c r="N147" i="85"/>
  <c r="N140" i="85"/>
  <c r="N141" i="85"/>
  <c r="N143" i="85"/>
  <c r="N139" i="85"/>
  <c r="M147" i="67"/>
  <c r="M148" i="85"/>
  <c r="M149" i="85"/>
  <c r="M151" i="85"/>
  <c r="M147" i="85"/>
  <c r="J146" i="85"/>
  <c r="J140" i="85"/>
  <c r="J141" i="85"/>
  <c r="J143" i="85"/>
  <c r="J139" i="85"/>
  <c r="J138" i="85"/>
  <c r="J105" i="85"/>
  <c r="J149" i="85"/>
  <c r="J148" i="85"/>
  <c r="J151" i="85"/>
  <c r="J147" i="85"/>
  <c r="L141" i="85"/>
  <c r="L140" i="85"/>
  <c r="L139" i="85"/>
  <c r="N59" i="7"/>
  <c r="N148" i="67"/>
  <c r="N139" i="67"/>
  <c r="K143" i="67"/>
  <c r="J147" i="67"/>
  <c r="L140" i="67"/>
  <c r="M148" i="67"/>
  <c r="L139" i="67"/>
  <c r="J151" i="67"/>
  <c r="L143" i="67"/>
  <c r="K149" i="85"/>
  <c r="K148" i="85"/>
  <c r="K151" i="85"/>
  <c r="K147" i="85"/>
  <c r="J139" i="67"/>
  <c r="J113" i="85"/>
  <c r="N140" i="67"/>
  <c r="J113" i="67"/>
  <c r="J140" i="67"/>
  <c r="J138" i="67"/>
  <c r="K143" i="85"/>
  <c r="K139" i="85"/>
  <c r="K140" i="85"/>
  <c r="J141" i="67"/>
  <c r="K139" i="67"/>
  <c r="K141" i="67"/>
  <c r="K149" i="67"/>
  <c r="K148" i="67"/>
  <c r="K141" i="85"/>
  <c r="AT63" i="7"/>
  <c r="AT76" i="7"/>
  <c r="J119" i="67" s="1"/>
  <c r="J146" i="67"/>
  <c r="BB76" i="7"/>
  <c r="U73" i="7"/>
  <c r="N70" i="7"/>
  <c r="BJ76" i="7"/>
  <c r="AK73" i="7"/>
  <c r="E73" i="7"/>
  <c r="AC73" i="7"/>
  <c r="M73" i="7"/>
  <c r="E62" i="7"/>
  <c r="AT74" i="7"/>
  <c r="AD59" i="7"/>
  <c r="V59" i="7"/>
  <c r="AK62" i="7"/>
  <c r="AL59" i="7"/>
  <c r="P21" i="7"/>
  <c r="BM21" i="7" s="1"/>
  <c r="O29" i="7"/>
  <c r="O33" i="7" s="1"/>
  <c r="BL33" i="7" s="1"/>
  <c r="G29" i="7"/>
  <c r="BL24" i="7"/>
  <c r="AG29" i="7"/>
  <c r="CD29" i="7" s="1"/>
  <c r="F59" i="7"/>
  <c r="BB65" i="7"/>
  <c r="AL70" i="7"/>
  <c r="CH76" i="7"/>
  <c r="V70" i="7"/>
  <c r="BR76" i="7"/>
  <c r="F70" i="7"/>
  <c r="AD70" i="7"/>
  <c r="BZ76" i="7"/>
  <c r="U62" i="7"/>
  <c r="M62" i="7"/>
  <c r="AC62" i="7"/>
  <c r="O15" i="67"/>
  <c r="O16" i="67" s="1"/>
  <c r="F29" i="7"/>
  <c r="AJ55" i="53"/>
  <c r="CM55" i="53" s="1"/>
  <c r="U104" i="85" s="1"/>
  <c r="U107" i="67"/>
  <c r="Z107" i="67" s="1"/>
  <c r="AL29" i="7"/>
  <c r="AL33" i="7" s="1"/>
  <c r="CI33" i="7" s="1"/>
  <c r="AO29" i="7"/>
  <c r="AO33" i="7" s="1"/>
  <c r="CL33" i="7" s="1"/>
  <c r="CE24" i="7"/>
  <c r="Q21" i="7"/>
  <c r="BN21" i="7" s="1"/>
  <c r="CA24" i="7"/>
  <c r="AM29" i="7"/>
  <c r="CJ29" i="7" s="1"/>
  <c r="BO24" i="7"/>
  <c r="BD13" i="7"/>
  <c r="BT24" i="7"/>
  <c r="H29" i="7"/>
  <c r="BE29" i="7" s="1"/>
  <c r="P29" i="7"/>
  <c r="P33" i="7" s="1"/>
  <c r="BM33" i="7" s="1"/>
  <c r="BK24" i="7"/>
  <c r="AT24" i="7"/>
  <c r="J128" i="67" s="1"/>
  <c r="J129" i="67" s="1"/>
  <c r="Q29" i="7"/>
  <c r="BN29" i="7" s="1"/>
  <c r="BS24" i="7"/>
  <c r="AU24" i="7"/>
  <c r="K128" i="67" s="1"/>
  <c r="K129" i="67" s="1"/>
  <c r="I29" i="7"/>
  <c r="I33" i="7" s="1"/>
  <c r="BF33" i="7" s="1"/>
  <c r="CC24" i="7"/>
  <c r="CB24" i="7"/>
  <c r="X29" i="7"/>
  <c r="BU29" i="7" s="1"/>
  <c r="O24" i="67"/>
  <c r="BV13" i="7"/>
  <c r="CK24" i="7"/>
  <c r="CM24" i="7"/>
  <c r="J29" i="7"/>
  <c r="AX29" i="7" s="1"/>
  <c r="CU29" i="7" s="1"/>
  <c r="AV24" i="7"/>
  <c r="L128" i="67" s="1"/>
  <c r="L129" i="67" s="1"/>
  <c r="BV24" i="7"/>
  <c r="BW24" i="7"/>
  <c r="AW24" i="7"/>
  <c r="M128" i="67" s="1"/>
  <c r="M129" i="67" s="1"/>
  <c r="AT13" i="7"/>
  <c r="AT21" i="7" s="1"/>
  <c r="CQ21" i="7" s="1"/>
  <c r="AX24" i="7"/>
  <c r="N128" i="67" s="1"/>
  <c r="N129" i="67" s="1"/>
  <c r="O42" i="67"/>
  <c r="P27" i="67" s="1"/>
  <c r="BV29" i="7"/>
  <c r="W33" i="7"/>
  <c r="BT33" i="7" s="1"/>
  <c r="J144" i="67"/>
  <c r="CQ65" i="7"/>
  <c r="J111" i="85" s="1"/>
  <c r="AU59" i="7"/>
  <c r="CR59" i="7" s="1"/>
  <c r="AU13" i="7"/>
  <c r="CR13" i="7" s="1"/>
  <c r="AP33" i="7"/>
  <c r="CM33" i="7" s="1"/>
  <c r="AF33" i="7"/>
  <c r="CC33" i="7" s="1"/>
  <c r="V33" i="7"/>
  <c r="BS33" i="7" s="1"/>
  <c r="AP58" i="53"/>
  <c r="R33" i="7"/>
  <c r="BO33" i="7" s="1"/>
  <c r="O123" i="85"/>
  <c r="O42" i="85"/>
  <c r="P33" i="85" s="1"/>
  <c r="O127" i="85"/>
  <c r="O124" i="85"/>
  <c r="AN33" i="7"/>
  <c r="CK33" i="7" s="1"/>
  <c r="O127" i="67"/>
  <c r="O19" i="85"/>
  <c r="O24" i="85" s="1"/>
  <c r="J24" i="85"/>
  <c r="P24" i="85"/>
  <c r="AH33" i="7"/>
  <c r="CE33" i="7" s="1"/>
  <c r="AD33" i="7"/>
  <c r="CA33" i="7" s="1"/>
  <c r="J21" i="7"/>
  <c r="BG21" i="7" s="1"/>
  <c r="BG13" i="7"/>
  <c r="H21" i="7"/>
  <c r="BE21" i="7" s="1"/>
  <c r="BE13" i="7"/>
  <c r="AW13" i="7"/>
  <c r="CT17" i="7"/>
  <c r="N33" i="7"/>
  <c r="BK33" i="7" s="1"/>
  <c r="I21" i="7"/>
  <c r="BF21" i="7" s="1"/>
  <c r="BF13" i="7"/>
  <c r="AV13" i="7"/>
  <c r="CS17" i="7"/>
  <c r="F21" i="7"/>
  <c r="BC21" i="7" s="1"/>
  <c r="BC13" i="7"/>
  <c r="AX13" i="7"/>
  <c r="CU17" i="7"/>
  <c r="AV58" i="73"/>
  <c r="CF58" i="73" s="1"/>
  <c r="AW58" i="73"/>
  <c r="X104" i="67"/>
  <c r="X112" i="67" s="1"/>
  <c r="X113" i="67" s="1"/>
  <c r="CP55" i="53"/>
  <c r="X104" i="85" s="1"/>
  <c r="X112" i="85" s="1"/>
  <c r="X113" i="85" s="1"/>
  <c r="V107" i="67"/>
  <c r="CN58" i="53"/>
  <c r="V107" i="85" s="1"/>
  <c r="X83" i="67"/>
  <c r="CI58" i="53"/>
  <c r="X83" i="85" s="1"/>
  <c r="Y18" i="73"/>
  <c r="BS18" i="73" s="1"/>
  <c r="BX18" i="53"/>
  <c r="N18" i="73"/>
  <c r="BM18" i="73" s="1"/>
  <c r="BQ18" i="53"/>
  <c r="X107" i="67"/>
  <c r="CP58" i="53"/>
  <c r="X107" i="85" s="1"/>
  <c r="BC58" i="73"/>
  <c r="Y83" i="67"/>
  <c r="AA83" i="67" s="1"/>
  <c r="CJ58" i="53"/>
  <c r="Y83" i="85" s="1"/>
  <c r="AA83" i="85" s="1"/>
  <c r="W107" i="67"/>
  <c r="CO58" i="53"/>
  <c r="W107" i="85" s="1"/>
  <c r="Y107" i="67"/>
  <c r="AA107" i="67" s="1"/>
  <c r="CQ58" i="53"/>
  <c r="Y107" i="85" s="1"/>
  <c r="AA107" i="85" s="1"/>
  <c r="C51" i="73"/>
  <c r="BG51" i="73" s="1"/>
  <c r="BJ51" i="53"/>
  <c r="BB58" i="73"/>
  <c r="CI58" i="73" s="1"/>
  <c r="AO58" i="53"/>
  <c r="CR58" i="53" s="1"/>
  <c r="U83" i="67"/>
  <c r="Z83" i="67" s="1"/>
  <c r="AG58" i="53"/>
  <c r="CK58" i="53" s="1"/>
  <c r="AH58" i="53"/>
  <c r="U104" i="67"/>
  <c r="U112" i="67" s="1"/>
  <c r="AP55" i="53"/>
  <c r="AO55" i="53"/>
  <c r="CR55" i="53" s="1"/>
  <c r="AT32" i="7"/>
  <c r="J133" i="67"/>
  <c r="O123" i="67"/>
  <c r="O124" i="67"/>
  <c r="H32" i="7"/>
  <c r="AV31" i="7"/>
  <c r="CS31" i="7" s="1"/>
  <c r="L133" i="85" s="1"/>
  <c r="AE32" i="7"/>
  <c r="AC58" i="53"/>
  <c r="AU31" i="7"/>
  <c r="CR31" i="7" s="1"/>
  <c r="K133" i="85" s="1"/>
  <c r="BB55" i="73"/>
  <c r="CI55" i="73" s="1"/>
  <c r="G24" i="20"/>
  <c r="N24" i="20" s="1"/>
  <c r="BC55" i="73"/>
  <c r="AM88" i="53"/>
  <c r="CP88" i="53" s="1"/>
  <c r="AF32" i="7"/>
  <c r="AD58" i="53"/>
  <c r="Z33" i="7"/>
  <c r="BW33" i="7" s="1"/>
  <c r="AK55" i="53"/>
  <c r="AX58" i="73"/>
  <c r="CG58" i="73" s="1"/>
  <c r="AY58" i="73"/>
  <c r="AX31" i="7"/>
  <c r="CU31" i="7" s="1"/>
  <c r="N133" i="85" s="1"/>
  <c r="N134" i="85" s="1"/>
  <c r="J32" i="7"/>
  <c r="AN55" i="53"/>
  <c r="BD58" i="73"/>
  <c r="CJ58" i="73" s="1"/>
  <c r="BE58" i="73"/>
  <c r="AS58" i="73"/>
  <c r="CD58" i="73" s="1"/>
  <c r="AT58" i="73"/>
  <c r="AF55" i="53"/>
  <c r="AV55" i="73"/>
  <c r="CF55" i="73" s="1"/>
  <c r="D24" i="20"/>
  <c r="K24" i="20" s="1"/>
  <c r="AW55" i="73"/>
  <c r="AJ88" i="53"/>
  <c r="CM88" i="53" s="1"/>
  <c r="AR58" i="73"/>
  <c r="AQ58" i="73"/>
  <c r="CC58" i="73" s="1"/>
  <c r="AE55" i="53"/>
  <c r="AB55" i="53"/>
  <c r="CF55" i="53" s="1"/>
  <c r="U80" i="85" s="1"/>
  <c r="AL58" i="73"/>
  <c r="AK58" i="73"/>
  <c r="BZ58" i="73" s="1"/>
  <c r="AL55" i="53"/>
  <c r="BA58" i="73"/>
  <c r="AZ58" i="73"/>
  <c r="CH58" i="73" s="1"/>
  <c r="AW31" i="7"/>
  <c r="CT31" i="7" s="1"/>
  <c r="M133" i="85" s="1"/>
  <c r="I32" i="7"/>
  <c r="AE33" i="7"/>
  <c r="CB33" i="7" s="1"/>
  <c r="AF18" i="73"/>
  <c r="BW18" i="73" s="1"/>
  <c r="AG18" i="73"/>
  <c r="X18" i="73"/>
  <c r="W18" i="73"/>
  <c r="BR18" i="73" s="1"/>
  <c r="V18" i="73"/>
  <c r="U18" i="73"/>
  <c r="BQ18" i="73" s="1"/>
  <c r="AH18" i="73"/>
  <c r="BX18" i="73" s="1"/>
  <c r="AI18" i="73"/>
  <c r="L18" i="53"/>
  <c r="BR18" i="53" s="1"/>
  <c r="T18" i="53"/>
  <c r="BY18" i="53" s="1"/>
  <c r="H18" i="53"/>
  <c r="BO18" i="53" s="1"/>
  <c r="C18" i="53"/>
  <c r="M18" i="53"/>
  <c r="BS18" i="53" s="1"/>
  <c r="N18" i="53"/>
  <c r="BT18" i="53" s="1"/>
  <c r="U18" i="53"/>
  <c r="BZ18" i="53" s="1"/>
  <c r="V18" i="53"/>
  <c r="CA18" i="53" s="1"/>
  <c r="T12" i="67"/>
  <c r="E18" i="53"/>
  <c r="BL18" i="53" s="1"/>
  <c r="G18" i="53"/>
  <c r="BN18" i="53" s="1"/>
  <c r="Z104" i="85" l="1"/>
  <c r="U112" i="85"/>
  <c r="AL65" i="7"/>
  <c r="CI59" i="7"/>
  <c r="AC64" i="7"/>
  <c r="BZ64" i="7" s="1"/>
  <c r="BZ62" i="7"/>
  <c r="N65" i="7"/>
  <c r="BK59" i="7"/>
  <c r="U64" i="7"/>
  <c r="BR64" i="7" s="1"/>
  <c r="J109" i="85"/>
  <c r="J142" i="85"/>
  <c r="BR62" i="7"/>
  <c r="AK64" i="7"/>
  <c r="CH64" i="7" s="1"/>
  <c r="CH62" i="7"/>
  <c r="AD65" i="7"/>
  <c r="CA59" i="7"/>
  <c r="V65" i="7"/>
  <c r="J152" i="67"/>
  <c r="E75" i="7"/>
  <c r="BB75" i="7" s="1"/>
  <c r="BB73" i="7"/>
  <c r="AK75" i="7"/>
  <c r="CH75" i="7" s="1"/>
  <c r="CH73" i="7"/>
  <c r="BK70" i="7"/>
  <c r="N76" i="7"/>
  <c r="M75" i="7"/>
  <c r="BJ75" i="7" s="1"/>
  <c r="BJ73" i="7"/>
  <c r="U75" i="7"/>
  <c r="BR75" i="7" s="1"/>
  <c r="BR73" i="7"/>
  <c r="CI70" i="7"/>
  <c r="AL76" i="7"/>
  <c r="BS59" i="7"/>
  <c r="M64" i="7"/>
  <c r="BJ64" i="7" s="1"/>
  <c r="BJ62" i="7"/>
  <c r="BC59" i="7"/>
  <c r="F65" i="7"/>
  <c r="CQ76" i="7"/>
  <c r="J152" i="85" s="1"/>
  <c r="AU70" i="7"/>
  <c r="CR70" i="7" s="1"/>
  <c r="J142" i="67"/>
  <c r="J109" i="67"/>
  <c r="N63" i="7"/>
  <c r="AD63" i="7"/>
  <c r="V63" i="7"/>
  <c r="F63" i="7"/>
  <c r="AL63" i="7"/>
  <c r="J150" i="67"/>
  <c r="J117" i="85"/>
  <c r="J150" i="85"/>
  <c r="E64" i="7"/>
  <c r="BB64" i="7" s="1"/>
  <c r="BB62" i="7"/>
  <c r="BS70" i="7"/>
  <c r="V76" i="7"/>
  <c r="BS76" i="7" s="1"/>
  <c r="AC75" i="7"/>
  <c r="BZ75" i="7" s="1"/>
  <c r="BZ73" i="7"/>
  <c r="BC70" i="7"/>
  <c r="F76" i="7"/>
  <c r="CA70" i="7"/>
  <c r="AD76" i="7"/>
  <c r="AE70" i="7" s="1"/>
  <c r="N74" i="7"/>
  <c r="V74" i="7"/>
  <c r="F74" i="7"/>
  <c r="AL74" i="7"/>
  <c r="AD74" i="7"/>
  <c r="J117" i="67"/>
  <c r="F33" i="7"/>
  <c r="BC33" i="7" s="1"/>
  <c r="BL29" i="7"/>
  <c r="AG33" i="7"/>
  <c r="CD33" i="7" s="1"/>
  <c r="BC29" i="7"/>
  <c r="G33" i="7"/>
  <c r="BD33" i="7" s="1"/>
  <c r="BD29" i="7"/>
  <c r="AU29" i="7"/>
  <c r="CR29" i="7" s="1"/>
  <c r="CI29" i="7"/>
  <c r="AM33" i="7"/>
  <c r="CJ33" i="7" s="1"/>
  <c r="CL29" i="7"/>
  <c r="AT29" i="7"/>
  <c r="CQ29" i="7" s="1"/>
  <c r="CR24" i="7"/>
  <c r="K128" i="85" s="1"/>
  <c r="K129" i="85" s="1"/>
  <c r="H33" i="7"/>
  <c r="BE33" i="7" s="1"/>
  <c r="J144" i="85"/>
  <c r="X33" i="7"/>
  <c r="BU33" i="7" s="1"/>
  <c r="BF29" i="7"/>
  <c r="CQ24" i="7"/>
  <c r="J128" i="85" s="1"/>
  <c r="J129" i="85" s="1"/>
  <c r="AV29" i="7"/>
  <c r="CS29" i="7" s="1"/>
  <c r="BM29" i="7"/>
  <c r="Q33" i="7"/>
  <c r="BN33" i="7" s="1"/>
  <c r="AW29" i="7"/>
  <c r="CT29" i="7" s="1"/>
  <c r="CQ13" i="7"/>
  <c r="CS24" i="7"/>
  <c r="L128" i="85" s="1"/>
  <c r="L129" i="85" s="1"/>
  <c r="AU21" i="7"/>
  <c r="CR21" i="7" s="1"/>
  <c r="BG29" i="7"/>
  <c r="J33" i="7"/>
  <c r="BG33" i="7" s="1"/>
  <c r="P28" i="67"/>
  <c r="P32" i="67"/>
  <c r="CT24" i="7"/>
  <c r="M128" i="85" s="1"/>
  <c r="M129" i="85" s="1"/>
  <c r="P39" i="67"/>
  <c r="P34" i="67"/>
  <c r="CU24" i="7"/>
  <c r="N128" i="85" s="1"/>
  <c r="N129" i="85" s="1"/>
  <c r="P43" i="67"/>
  <c r="P30" i="67"/>
  <c r="P44" i="67"/>
  <c r="P41" i="67"/>
  <c r="P40" i="67"/>
  <c r="P31" i="67"/>
  <c r="P35" i="67"/>
  <c r="P37" i="67"/>
  <c r="P38" i="67"/>
  <c r="P33" i="67"/>
  <c r="P29" i="67"/>
  <c r="P36" i="67"/>
  <c r="P42" i="67"/>
  <c r="AU65" i="7"/>
  <c r="AV59" i="7" s="1"/>
  <c r="CS59" i="7" s="1"/>
  <c r="L138" i="85" s="1"/>
  <c r="O128" i="67"/>
  <c r="AU63" i="7"/>
  <c r="K109" i="85" s="1"/>
  <c r="K105" i="67"/>
  <c r="K138" i="67"/>
  <c r="O133" i="85"/>
  <c r="O134" i="85" s="1"/>
  <c r="M134" i="85"/>
  <c r="P42" i="85"/>
  <c r="P41" i="85"/>
  <c r="P38" i="85"/>
  <c r="P37" i="85"/>
  <c r="P40" i="85"/>
  <c r="P36" i="85"/>
  <c r="P39" i="85"/>
  <c r="P35" i="85"/>
  <c r="P29" i="85"/>
  <c r="P32" i="85"/>
  <c r="P44" i="85"/>
  <c r="P28" i="85"/>
  <c r="P34" i="85"/>
  <c r="P27" i="85"/>
  <c r="P31" i="85"/>
  <c r="K105" i="85"/>
  <c r="K138" i="85"/>
  <c r="K134" i="85"/>
  <c r="L134" i="85"/>
  <c r="P30" i="85"/>
  <c r="U113" i="85"/>
  <c r="Z112" i="85"/>
  <c r="Z80" i="85"/>
  <c r="U88" i="85"/>
  <c r="P43" i="85"/>
  <c r="AV21" i="7"/>
  <c r="CS21" i="7" s="1"/>
  <c r="CS13" i="7"/>
  <c r="AW21" i="7"/>
  <c r="CT21" i="7" s="1"/>
  <c r="CT13" i="7"/>
  <c r="AX21" i="7"/>
  <c r="CU21" i="7" s="1"/>
  <c r="CU13" i="7"/>
  <c r="X80" i="67"/>
  <c r="X88" i="67" s="1"/>
  <c r="X89" i="67" s="1"/>
  <c r="CI55" i="53"/>
  <c r="X80" i="85" s="1"/>
  <c r="X88" i="85" s="1"/>
  <c r="X89" i="85" s="1"/>
  <c r="V104" i="67"/>
  <c r="V112" i="67" s="1"/>
  <c r="V113" i="67" s="1"/>
  <c r="CN55" i="53"/>
  <c r="V104" i="85" s="1"/>
  <c r="V112" i="85" s="1"/>
  <c r="V113" i="85" s="1"/>
  <c r="W104" i="67"/>
  <c r="W112" i="67" s="1"/>
  <c r="W113" i="67" s="1"/>
  <c r="CO55" i="53"/>
  <c r="W104" i="85" s="1"/>
  <c r="W112" i="85" s="1"/>
  <c r="W113" i="85" s="1"/>
  <c r="Y104" i="67"/>
  <c r="Y112" i="67" s="1"/>
  <c r="CQ55" i="53"/>
  <c r="Y104" i="85" s="1"/>
  <c r="C18" i="73"/>
  <c r="BG18" i="73" s="1"/>
  <c r="BJ18" i="53"/>
  <c r="W83" i="67"/>
  <c r="CH58" i="53"/>
  <c r="W83" i="85" s="1"/>
  <c r="V83" i="67"/>
  <c r="CG58" i="53"/>
  <c r="V83" i="85" s="1"/>
  <c r="Y80" i="67"/>
  <c r="Y88" i="67" s="1"/>
  <c r="CJ55" i="53"/>
  <c r="Y80" i="85" s="1"/>
  <c r="Z104" i="67"/>
  <c r="Q18" i="53"/>
  <c r="BW18" i="53" s="1"/>
  <c r="R18" i="53"/>
  <c r="AP88" i="53"/>
  <c r="AO88" i="53"/>
  <c r="CR88" i="53" s="1"/>
  <c r="Z18" i="53"/>
  <c r="Y18" i="53"/>
  <c r="CD18" i="53" s="1"/>
  <c r="U80" i="67"/>
  <c r="Z80" i="67" s="1"/>
  <c r="AH55" i="53"/>
  <c r="AG55" i="53"/>
  <c r="CK55" i="53" s="1"/>
  <c r="AX32" i="7"/>
  <c r="N133" i="67"/>
  <c r="N134" i="67" s="1"/>
  <c r="AU32" i="7"/>
  <c r="K133" i="67"/>
  <c r="K134" i="67" s="1"/>
  <c r="AV32" i="7"/>
  <c r="L133" i="67"/>
  <c r="L134" i="67" s="1"/>
  <c r="AW32" i="7"/>
  <c r="M133" i="67"/>
  <c r="M134" i="67" s="1"/>
  <c r="J134" i="67"/>
  <c r="O129" i="67"/>
  <c r="U113" i="67"/>
  <c r="Z112" i="67"/>
  <c r="AX33" i="7"/>
  <c r="CU33" i="7" s="1"/>
  <c r="AP58" i="73"/>
  <c r="AO58" i="73"/>
  <c r="CB58" i="73" s="1"/>
  <c r="AD55" i="53"/>
  <c r="AK55" i="73"/>
  <c r="BZ55" i="73" s="1"/>
  <c r="D21" i="20"/>
  <c r="K21" i="20" s="1"/>
  <c r="AL55" i="73"/>
  <c r="AB88" i="53"/>
  <c r="CF88" i="53" s="1"/>
  <c r="AJ91" i="53"/>
  <c r="CM91" i="53" s="1"/>
  <c r="D41" i="17"/>
  <c r="AW88" i="73"/>
  <c r="AJ95" i="53"/>
  <c r="CM95" i="53" s="1"/>
  <c r="AV88" i="73"/>
  <c r="CF88" i="73" s="1"/>
  <c r="D23" i="20"/>
  <c r="BC88" i="73"/>
  <c r="G41" i="17"/>
  <c r="BB88" i="73"/>
  <c r="CI88" i="73" s="1"/>
  <c r="G23" i="20"/>
  <c r="AM95" i="53"/>
  <c r="CP95" i="53" s="1"/>
  <c r="AM91" i="53"/>
  <c r="BA55" i="73"/>
  <c r="AZ55" i="73"/>
  <c r="CH55" i="73" s="1"/>
  <c r="F24" i="20"/>
  <c r="M24" i="20" s="1"/>
  <c r="AL88" i="53"/>
  <c r="CO88" i="53" s="1"/>
  <c r="AR55" i="73"/>
  <c r="G21" i="20"/>
  <c r="N21" i="20" s="1"/>
  <c r="AQ55" i="73"/>
  <c r="CC55" i="73" s="1"/>
  <c r="AE88" i="53"/>
  <c r="CI88" i="53" s="1"/>
  <c r="AS55" i="73"/>
  <c r="CD55" i="73" s="1"/>
  <c r="H21" i="20"/>
  <c r="O21" i="20" s="1"/>
  <c r="AT55" i="73"/>
  <c r="AF88" i="53"/>
  <c r="CJ88" i="53" s="1"/>
  <c r="H24" i="20"/>
  <c r="O24" i="20" s="1"/>
  <c r="BD55" i="73"/>
  <c r="CJ55" i="73" s="1"/>
  <c r="BE55" i="73"/>
  <c r="AN88" i="53"/>
  <c r="CQ88" i="53" s="1"/>
  <c r="AY55" i="73"/>
  <c r="AX55" i="73"/>
  <c r="CG55" i="73" s="1"/>
  <c r="E24" i="20"/>
  <c r="L24" i="20" s="1"/>
  <c r="AK88" i="53"/>
  <c r="CN88" i="53" s="1"/>
  <c r="AM58" i="73"/>
  <c r="CA58" i="73" s="1"/>
  <c r="AN58" i="73"/>
  <c r="AC55" i="53"/>
  <c r="C63" i="73"/>
  <c r="BG63" i="73" s="1"/>
  <c r="AE18" i="73"/>
  <c r="AD18" i="73"/>
  <c r="BV18" i="73" s="1"/>
  <c r="AB18" i="73"/>
  <c r="BU18" i="73" s="1"/>
  <c r="AC18" i="73"/>
  <c r="T18" i="73"/>
  <c r="S18" i="73"/>
  <c r="BP18" i="73" s="1"/>
  <c r="Z18" i="73"/>
  <c r="BT18" i="73" s="1"/>
  <c r="AA18" i="73"/>
  <c r="Q18" i="73"/>
  <c r="BO18" i="73" s="1"/>
  <c r="R18" i="73"/>
  <c r="P18" i="73"/>
  <c r="O18" i="73"/>
  <c r="BN18" i="73" s="1"/>
  <c r="J18" i="73"/>
  <c r="BK18" i="73" s="1"/>
  <c r="K18" i="73"/>
  <c r="M18" i="73"/>
  <c r="L18" i="73"/>
  <c r="BL18" i="73" s="1"/>
  <c r="F18" i="73"/>
  <c r="BI18" i="73" s="1"/>
  <c r="G18" i="73"/>
  <c r="D18" i="53"/>
  <c r="BK18" i="53" s="1"/>
  <c r="F18" i="53"/>
  <c r="BM18" i="53" s="1"/>
  <c r="AU76" i="7" l="1"/>
  <c r="AU74" i="7" s="1"/>
  <c r="K117" i="85" s="1"/>
  <c r="K146" i="67"/>
  <c r="K113" i="67"/>
  <c r="K146" i="85"/>
  <c r="K113" i="85"/>
  <c r="J119" i="85"/>
  <c r="AE59" i="7"/>
  <c r="CA65" i="7"/>
  <c r="G59" i="7"/>
  <c r="AM59" i="7"/>
  <c r="CI65" i="7"/>
  <c r="O59" i="7"/>
  <c r="BK65" i="7"/>
  <c r="BC65" i="7"/>
  <c r="BS65" i="7"/>
  <c r="W59" i="7"/>
  <c r="AD62" i="7"/>
  <c r="AD64" i="7" s="1"/>
  <c r="CA64" i="7" s="1"/>
  <c r="AM70" i="7"/>
  <c r="CI76" i="7"/>
  <c r="BK76" i="7"/>
  <c r="O70" i="7"/>
  <c r="CA76" i="7"/>
  <c r="W70" i="7"/>
  <c r="V62" i="7"/>
  <c r="V64" i="7" s="1"/>
  <c r="BS64" i="7" s="1"/>
  <c r="AL62" i="7"/>
  <c r="CI62" i="7" s="1"/>
  <c r="F62" i="7"/>
  <c r="F64" i="7" s="1"/>
  <c r="BC64" i="7" s="1"/>
  <c r="N62" i="7"/>
  <c r="BC76" i="7"/>
  <c r="G70" i="7"/>
  <c r="V73" i="7"/>
  <c r="V75" i="7" s="1"/>
  <c r="BS75" i="7" s="1"/>
  <c r="N73" i="7"/>
  <c r="N75" i="7" s="1"/>
  <c r="BK75" i="7" s="1"/>
  <c r="AD73" i="7"/>
  <c r="CA73" i="7" s="1"/>
  <c r="AL73" i="7"/>
  <c r="AL75" i="7" s="1"/>
  <c r="CI75" i="7" s="1"/>
  <c r="F73" i="7"/>
  <c r="F75" i="7" s="1"/>
  <c r="BC75" i="7" s="1"/>
  <c r="AT33" i="7"/>
  <c r="CQ33" i="7" s="1"/>
  <c r="AU33" i="7"/>
  <c r="CR33" i="7" s="1"/>
  <c r="AW33" i="7"/>
  <c r="CT33" i="7" s="1"/>
  <c r="AV33" i="7"/>
  <c r="CS33" i="7" s="1"/>
  <c r="W74" i="7"/>
  <c r="K150" i="67"/>
  <c r="CA62" i="7"/>
  <c r="O129" i="85"/>
  <c r="K142" i="67"/>
  <c r="K119" i="67"/>
  <c r="O128" i="85"/>
  <c r="AE63" i="7"/>
  <c r="K144" i="67"/>
  <c r="L105" i="85"/>
  <c r="L105" i="67"/>
  <c r="CR65" i="7"/>
  <c r="K111" i="85" s="1"/>
  <c r="L138" i="67"/>
  <c r="K111" i="67"/>
  <c r="AV65" i="7"/>
  <c r="L111" i="67" s="1"/>
  <c r="O63" i="7"/>
  <c r="AM63" i="7"/>
  <c r="W63" i="7"/>
  <c r="G63" i="7"/>
  <c r="K109" i="67"/>
  <c r="K142" i="85"/>
  <c r="K150" i="85"/>
  <c r="AM74" i="7"/>
  <c r="G74" i="7"/>
  <c r="AV70" i="7"/>
  <c r="CS70" i="7" s="1"/>
  <c r="L146" i="85" s="1"/>
  <c r="K117" i="67"/>
  <c r="O74" i="7"/>
  <c r="K152" i="67"/>
  <c r="AE74" i="7"/>
  <c r="CR76" i="7"/>
  <c r="K152" i="85" s="1"/>
  <c r="Z88" i="85"/>
  <c r="U89" i="85"/>
  <c r="Y88" i="85"/>
  <c r="AA80" i="85"/>
  <c r="AA104" i="85"/>
  <c r="Y112" i="85"/>
  <c r="G22" i="20"/>
  <c r="N23" i="20"/>
  <c r="AS30" i="67"/>
  <c r="K41" i="17"/>
  <c r="AS30" i="85" s="1"/>
  <c r="AV30" i="67"/>
  <c r="N41" i="17"/>
  <c r="AV30" i="85" s="1"/>
  <c r="G65" i="7"/>
  <c r="BD59" i="7"/>
  <c r="AM65" i="7"/>
  <c r="CJ59" i="7"/>
  <c r="D22" i="20"/>
  <c r="K23" i="20"/>
  <c r="O65" i="7"/>
  <c r="BL59" i="7"/>
  <c r="AE65" i="7"/>
  <c r="CB59" i="7"/>
  <c r="AA104" i="67"/>
  <c r="AA80" i="67"/>
  <c r="V80" i="67"/>
  <c r="V88" i="67" s="1"/>
  <c r="V89" i="67" s="1"/>
  <c r="CG55" i="53"/>
  <c r="V80" i="85" s="1"/>
  <c r="V88" i="85" s="1"/>
  <c r="V89" i="85" s="1"/>
  <c r="AM93" i="53"/>
  <c r="BB93" i="73" s="1"/>
  <c r="CI93" i="73" s="1"/>
  <c r="CP91" i="53"/>
  <c r="W80" i="67"/>
  <c r="W88" i="67" s="1"/>
  <c r="W89" i="67" s="1"/>
  <c r="CH55" i="53"/>
  <c r="W80" i="85" s="1"/>
  <c r="W88" i="85" s="1"/>
  <c r="W89" i="85" s="1"/>
  <c r="U88" i="67"/>
  <c r="U89" i="67" s="1"/>
  <c r="CB70" i="7"/>
  <c r="AE76" i="7"/>
  <c r="J18" i="53"/>
  <c r="I18" i="53"/>
  <c r="BP18" i="53" s="1"/>
  <c r="AG88" i="53"/>
  <c r="CK88" i="53" s="1"/>
  <c r="AH88" i="53"/>
  <c r="AP95" i="53"/>
  <c r="AO95" i="53"/>
  <c r="CR95" i="53" s="1"/>
  <c r="AJ93" i="53"/>
  <c r="AP91" i="53"/>
  <c r="AO91" i="53"/>
  <c r="CR91" i="53" s="1"/>
  <c r="O133" i="67"/>
  <c r="O134" i="67" s="1"/>
  <c r="Y89" i="67"/>
  <c r="AA88" i="67"/>
  <c r="Y113" i="67"/>
  <c r="AA112" i="67"/>
  <c r="BB95" i="73"/>
  <c r="CI95" i="73" s="1"/>
  <c r="BC95" i="73"/>
  <c r="AV95" i="73"/>
  <c r="CF95" i="73" s="1"/>
  <c r="AW95" i="73"/>
  <c r="F133" i="1"/>
  <c r="V133" i="1" s="1"/>
  <c r="D20" i="20"/>
  <c r="AL88" i="73"/>
  <c r="D35" i="17"/>
  <c r="AK88" i="73"/>
  <c r="BZ88" i="73" s="1"/>
  <c r="AB95" i="53"/>
  <c r="CF95" i="53" s="1"/>
  <c r="AB91" i="53"/>
  <c r="CF91" i="53" s="1"/>
  <c r="AN55" i="73"/>
  <c r="AM55" i="73"/>
  <c r="CA55" i="73" s="1"/>
  <c r="E21" i="20"/>
  <c r="L21" i="20" s="1"/>
  <c r="AC88" i="53"/>
  <c r="CG88" i="53" s="1"/>
  <c r="AY88" i="73"/>
  <c r="E23" i="20"/>
  <c r="E41" i="17"/>
  <c r="AK95" i="53"/>
  <c r="CN95" i="53" s="1"/>
  <c r="AK91" i="53"/>
  <c r="AX88" i="73"/>
  <c r="CG88" i="73" s="1"/>
  <c r="AN95" i="53"/>
  <c r="CQ95" i="53" s="1"/>
  <c r="BE88" i="73"/>
  <c r="H23" i="20"/>
  <c r="BD88" i="73"/>
  <c r="CJ88" i="73" s="1"/>
  <c r="AN91" i="53"/>
  <c r="H41" i="17"/>
  <c r="AR88" i="73"/>
  <c r="I133" i="1"/>
  <c r="Y133" i="1" s="1"/>
  <c r="AE91" i="53"/>
  <c r="G35" i="17"/>
  <c r="G20" i="20"/>
  <c r="AQ88" i="73"/>
  <c r="CC88" i="73" s="1"/>
  <c r="AE95" i="53"/>
  <c r="CI95" i="53" s="1"/>
  <c r="AL95" i="53"/>
  <c r="CO95" i="53" s="1"/>
  <c r="BA88" i="73"/>
  <c r="AZ88" i="73"/>
  <c r="CH88" i="73" s="1"/>
  <c r="F23" i="20"/>
  <c r="F41" i="17"/>
  <c r="AL91" i="53"/>
  <c r="AT88" i="73"/>
  <c r="H35" i="17"/>
  <c r="AF91" i="53"/>
  <c r="AS88" i="73"/>
  <c r="CD88" i="73" s="1"/>
  <c r="J133" i="1"/>
  <c r="Z133" i="1" s="1"/>
  <c r="H20" i="20"/>
  <c r="AF95" i="53"/>
  <c r="CJ95" i="53" s="1"/>
  <c r="BC91" i="73"/>
  <c r="BB91" i="73"/>
  <c r="CI91" i="73" s="1"/>
  <c r="AV91" i="73"/>
  <c r="CF91" i="73" s="1"/>
  <c r="AW91" i="73"/>
  <c r="AP55" i="73"/>
  <c r="AO55" i="73"/>
  <c r="CB55" i="73" s="1"/>
  <c r="F21" i="20"/>
  <c r="M21" i="20" s="1"/>
  <c r="AD88" i="53"/>
  <c r="CH88" i="53" s="1"/>
  <c r="I18" i="73"/>
  <c r="H18" i="73"/>
  <c r="BJ18" i="73" s="1"/>
  <c r="E18" i="73"/>
  <c r="D18" i="73"/>
  <c r="BH18" i="73" s="1"/>
  <c r="W65" i="7" l="1"/>
  <c r="BT59" i="7"/>
  <c r="AL64" i="7"/>
  <c r="CI64" i="7" s="1"/>
  <c r="BC62" i="7"/>
  <c r="N64" i="7"/>
  <c r="BK64" i="7" s="1"/>
  <c r="BK62" i="7"/>
  <c r="AM76" i="7"/>
  <c r="O76" i="7"/>
  <c r="BL70" i="7"/>
  <c r="CJ70" i="7"/>
  <c r="W76" i="7"/>
  <c r="BT70" i="7"/>
  <c r="BS62" i="7"/>
  <c r="BS73" i="7"/>
  <c r="AV63" i="7"/>
  <c r="L142" i="67" s="1"/>
  <c r="G76" i="7"/>
  <c r="BD70" i="7"/>
  <c r="BC73" i="7"/>
  <c r="AD75" i="7"/>
  <c r="CA75" i="7" s="1"/>
  <c r="BK73" i="7"/>
  <c r="CI73" i="7"/>
  <c r="W73" i="7"/>
  <c r="W75" i="7" s="1"/>
  <c r="BT75" i="7" s="1"/>
  <c r="AE62" i="7"/>
  <c r="AE64" i="7" s="1"/>
  <c r="CB64" i="7" s="1"/>
  <c r="AV76" i="7"/>
  <c r="L152" i="67" s="1"/>
  <c r="AM73" i="7"/>
  <c r="AM75" i="7" s="1"/>
  <c r="CJ75" i="7" s="1"/>
  <c r="K144" i="85"/>
  <c r="O73" i="7"/>
  <c r="O75" i="7" s="1"/>
  <c r="BL75" i="7" s="1"/>
  <c r="L113" i="67"/>
  <c r="W62" i="7"/>
  <c r="W64" i="7" s="1"/>
  <c r="BT64" i="7" s="1"/>
  <c r="K119" i="85"/>
  <c r="AW59" i="7"/>
  <c r="CT59" i="7" s="1"/>
  <c r="M138" i="85" s="1"/>
  <c r="L144" i="67"/>
  <c r="CS65" i="7"/>
  <c r="L144" i="85" s="1"/>
  <c r="AM62" i="7"/>
  <c r="CJ62" i="7" s="1"/>
  <c r="G73" i="7"/>
  <c r="G75" i="7" s="1"/>
  <c r="BD75" i="7" s="1"/>
  <c r="G62" i="7"/>
  <c r="G64" i="7" s="1"/>
  <c r="BD64" i="7" s="1"/>
  <c r="L113" i="85"/>
  <c r="L146" i="67"/>
  <c r="AA88" i="85"/>
  <c r="Y89" i="85"/>
  <c r="AA112" i="85"/>
  <c r="Y113" i="85"/>
  <c r="H19" i="20"/>
  <c r="O20" i="20"/>
  <c r="F22" i="20"/>
  <c r="M23" i="20"/>
  <c r="P59" i="7"/>
  <c r="BL65" i="7"/>
  <c r="H59" i="7"/>
  <c r="BD65" i="7"/>
  <c r="O62" i="7"/>
  <c r="AW30" i="67"/>
  <c r="O41" i="17"/>
  <c r="AW30" i="85" s="1"/>
  <c r="AS24" i="67"/>
  <c r="K35" i="17"/>
  <c r="AS24" i="85" s="1"/>
  <c r="AU30" i="67"/>
  <c r="M41" i="17"/>
  <c r="AU30" i="85" s="1"/>
  <c r="AW24" i="67"/>
  <c r="O35" i="17"/>
  <c r="AW24" i="85" s="1"/>
  <c r="AT30" i="67"/>
  <c r="L41" i="17"/>
  <c r="AT30" i="85" s="1"/>
  <c r="X59" i="7"/>
  <c r="BT65" i="7"/>
  <c r="E22" i="20"/>
  <c r="L23" i="20"/>
  <c r="D19" i="20"/>
  <c r="K20" i="20"/>
  <c r="D29" i="20"/>
  <c r="K29" i="20" s="1"/>
  <c r="K22" i="20"/>
  <c r="AV24" i="67"/>
  <c r="N35" i="17"/>
  <c r="AV24" i="85" s="1"/>
  <c r="AN59" i="7"/>
  <c r="CJ65" i="7"/>
  <c r="G19" i="20"/>
  <c r="N20" i="20"/>
  <c r="H22" i="20"/>
  <c r="O23" i="20"/>
  <c r="AF59" i="7"/>
  <c r="CB65" i="7"/>
  <c r="G29" i="20"/>
  <c r="N29" i="20" s="1"/>
  <c r="N22" i="20"/>
  <c r="BC93" i="73"/>
  <c r="Z88" i="67"/>
  <c r="AK93" i="53"/>
  <c r="AY93" i="73" s="1"/>
  <c r="CN91" i="53"/>
  <c r="AF93" i="53"/>
  <c r="AS93" i="73" s="1"/>
  <c r="CD93" i="73" s="1"/>
  <c r="CJ91" i="53"/>
  <c r="AN93" i="53"/>
  <c r="BE93" i="73" s="1"/>
  <c r="CQ91" i="53"/>
  <c r="AL93" i="53"/>
  <c r="AZ93" i="73" s="1"/>
  <c r="CH93" i="73" s="1"/>
  <c r="CO91" i="53"/>
  <c r="AE93" i="53"/>
  <c r="AR93" i="73" s="1"/>
  <c r="CI91" i="53"/>
  <c r="AW93" i="73"/>
  <c r="CM93" i="53"/>
  <c r="U115" i="85" s="1"/>
  <c r="Z115" i="85" s="1"/>
  <c r="X115" i="67"/>
  <c r="CP93" i="53"/>
  <c r="X115" i="85" s="1"/>
  <c r="CB76" i="7"/>
  <c r="AF70" i="7"/>
  <c r="AE73" i="7"/>
  <c r="AB93" i="53"/>
  <c r="AH91" i="53"/>
  <c r="AG91" i="53"/>
  <c r="CK91" i="53" s="1"/>
  <c r="U115" i="67"/>
  <c r="Z115" i="67" s="1"/>
  <c r="AP93" i="53"/>
  <c r="AO93" i="53"/>
  <c r="CR93" i="53" s="1"/>
  <c r="AH95" i="53"/>
  <c r="AG95" i="53"/>
  <c r="CK95" i="53" s="1"/>
  <c r="AV93" i="73"/>
  <c r="CF93" i="73" s="1"/>
  <c r="AP88" i="73"/>
  <c r="AD95" i="53"/>
  <c r="CH95" i="53" s="1"/>
  <c r="AD91" i="53"/>
  <c r="H133" i="1"/>
  <c r="X133" i="1" s="1"/>
  <c r="F20" i="20"/>
  <c r="F35" i="17"/>
  <c r="AO88" i="73"/>
  <c r="CB88" i="73" s="1"/>
  <c r="AX95" i="73"/>
  <c r="CG95" i="73" s="1"/>
  <c r="AY95" i="73"/>
  <c r="AM88" i="73"/>
  <c r="CA88" i="73" s="1"/>
  <c r="G133" i="1"/>
  <c r="W133" i="1" s="1"/>
  <c r="E20" i="20"/>
  <c r="AC91" i="53"/>
  <c r="AC95" i="53"/>
  <c r="CG95" i="53" s="1"/>
  <c r="E35" i="17"/>
  <c r="AN88" i="73"/>
  <c r="AV92" i="73"/>
  <c r="CF92" i="73" s="1"/>
  <c r="AW92" i="73"/>
  <c r="BC92" i="73"/>
  <c r="BB92" i="73"/>
  <c r="CI92" i="73" s="1"/>
  <c r="BA91" i="73"/>
  <c r="AZ91" i="73"/>
  <c r="CH91" i="73" s="1"/>
  <c r="BE95" i="73"/>
  <c r="BD95" i="73"/>
  <c r="CJ95" i="73" s="1"/>
  <c r="AK91" i="73"/>
  <c r="BZ91" i="73" s="1"/>
  <c r="AL91" i="73"/>
  <c r="AS95" i="73"/>
  <c r="CD95" i="73" s="1"/>
  <c r="AT95" i="73"/>
  <c r="BA95" i="73"/>
  <c r="AZ95" i="73"/>
  <c r="CH95" i="73" s="1"/>
  <c r="AL95" i="73"/>
  <c r="AK95" i="73"/>
  <c r="BZ95" i="73" s="1"/>
  <c r="AT91" i="73"/>
  <c r="AS91" i="73"/>
  <c r="CD91" i="73" s="1"/>
  <c r="AR95" i="73"/>
  <c r="AQ95" i="73"/>
  <c r="CC95" i="73" s="1"/>
  <c r="AQ91" i="73"/>
  <c r="CC91" i="73" s="1"/>
  <c r="AR91" i="73"/>
  <c r="BE91" i="73"/>
  <c r="BD91" i="73"/>
  <c r="CJ91" i="73" s="1"/>
  <c r="AY91" i="73"/>
  <c r="AX91" i="73"/>
  <c r="CG91" i="73" s="1"/>
  <c r="F82" i="1"/>
  <c r="I82" i="1"/>
  <c r="J82" i="1"/>
  <c r="F83" i="1"/>
  <c r="I83" i="1"/>
  <c r="J83" i="1"/>
  <c r="D26" i="58"/>
  <c r="E11" i="58" s="1"/>
  <c r="D25" i="58"/>
  <c r="E10" i="58" s="1"/>
  <c r="D9" i="58"/>
  <c r="AN63" i="7" l="1"/>
  <c r="X63" i="7"/>
  <c r="L109" i="67"/>
  <c r="BT76" i="7"/>
  <c r="X70" i="7"/>
  <c r="AN70" i="7"/>
  <c r="CJ76" i="7"/>
  <c r="P70" i="7"/>
  <c r="BL76" i="7"/>
  <c r="AV74" i="7"/>
  <c r="L117" i="85" s="1"/>
  <c r="AF63" i="7"/>
  <c r="H63" i="7"/>
  <c r="P63" i="7"/>
  <c r="L109" i="85"/>
  <c r="L142" i="85"/>
  <c r="BD76" i="7"/>
  <c r="H70" i="7"/>
  <c r="BT73" i="7"/>
  <c r="CS76" i="7"/>
  <c r="AW70" i="7"/>
  <c r="M113" i="67" s="1"/>
  <c r="L119" i="67"/>
  <c r="AX93" i="73"/>
  <c r="CG93" i="73" s="1"/>
  <c r="CJ73" i="7"/>
  <c r="BT62" i="7"/>
  <c r="CB62" i="7"/>
  <c r="BL73" i="7"/>
  <c r="L111" i="85"/>
  <c r="BD62" i="7"/>
  <c r="BD73" i="7"/>
  <c r="M105" i="67"/>
  <c r="M105" i="85"/>
  <c r="AM64" i="7"/>
  <c r="CJ64" i="7" s="1"/>
  <c r="M138" i="67"/>
  <c r="AW65" i="7"/>
  <c r="M111" i="67" s="1"/>
  <c r="E19" i="20"/>
  <c r="L20" i="20"/>
  <c r="P65" i="7"/>
  <c r="BM59" i="7"/>
  <c r="H29" i="20"/>
  <c r="O29" i="20" s="1"/>
  <c r="O22" i="20"/>
  <c r="X65" i="7"/>
  <c r="BU59" i="7"/>
  <c r="O64" i="7"/>
  <c r="BL64" i="7" s="1"/>
  <c r="BL62" i="7"/>
  <c r="F29" i="20"/>
  <c r="M29" i="20" s="1"/>
  <c r="M22" i="20"/>
  <c r="G28" i="20"/>
  <c r="N28" i="20" s="1"/>
  <c r="N19" i="20"/>
  <c r="D28" i="20"/>
  <c r="K28" i="20" s="1"/>
  <c r="K19" i="20"/>
  <c r="F19" i="20"/>
  <c r="M20" i="20"/>
  <c r="H65" i="7"/>
  <c r="BE59" i="7"/>
  <c r="H28" i="20"/>
  <c r="O28" i="20" s="1"/>
  <c r="O19" i="20"/>
  <c r="AT24" i="67"/>
  <c r="L35" i="17"/>
  <c r="AT24" i="85" s="1"/>
  <c r="AN65" i="7"/>
  <c r="CK59" i="7"/>
  <c r="AU24" i="67"/>
  <c r="M35" i="17"/>
  <c r="AU24" i="85" s="1"/>
  <c r="AF65" i="7"/>
  <c r="CC59" i="7"/>
  <c r="E29" i="20"/>
  <c r="L29" i="20" s="1"/>
  <c r="L22" i="20"/>
  <c r="AQ93" i="73"/>
  <c r="CC93" i="73" s="1"/>
  <c r="AT93" i="73"/>
  <c r="AL93" i="73"/>
  <c r="CF93" i="53"/>
  <c r="U91" i="85" s="1"/>
  <c r="Z91" i="85" s="1"/>
  <c r="W115" i="67"/>
  <c r="CO93" i="53"/>
  <c r="W115" i="85" s="1"/>
  <c r="BA93" i="73"/>
  <c r="Y115" i="67"/>
  <c r="AA115" i="67" s="1"/>
  <c r="CQ93" i="53"/>
  <c r="Y115" i="85" s="1"/>
  <c r="AA115" i="85" s="1"/>
  <c r="AC93" i="53"/>
  <c r="CG91" i="53"/>
  <c r="Y91" i="67"/>
  <c r="AA91" i="67" s="1"/>
  <c r="CJ93" i="53"/>
  <c r="Y91" i="85" s="1"/>
  <c r="AA91" i="85" s="1"/>
  <c r="AD93" i="53"/>
  <c r="AO93" i="73" s="1"/>
  <c r="CB93" i="73" s="1"/>
  <c r="CH91" i="53"/>
  <c r="BD93" i="73"/>
  <c r="CJ93" i="73" s="1"/>
  <c r="X91" i="67"/>
  <c r="CI93" i="53"/>
  <c r="X91" i="85" s="1"/>
  <c r="V115" i="67"/>
  <c r="CN93" i="53"/>
  <c r="V115" i="85" s="1"/>
  <c r="AF76" i="7"/>
  <c r="CC70" i="7"/>
  <c r="CB73" i="7"/>
  <c r="AE75" i="7"/>
  <c r="CB75" i="7" s="1"/>
  <c r="AK93" i="73"/>
  <c r="BZ93" i="73" s="1"/>
  <c r="U91" i="67"/>
  <c r="Z91" i="67" s="1"/>
  <c r="AH93" i="53"/>
  <c r="AG93" i="53"/>
  <c r="CK93" i="53" s="1"/>
  <c r="E26" i="58"/>
  <c r="F11" i="58" s="1"/>
  <c r="E35" i="58"/>
  <c r="E34" i="58"/>
  <c r="E25" i="58"/>
  <c r="F10" i="58" s="1"/>
  <c r="E9" i="58"/>
  <c r="E24" i="58" s="1"/>
  <c r="F25" i="2"/>
  <c r="J25" i="2"/>
  <c r="AG20" i="83" s="1"/>
  <c r="I25" i="2"/>
  <c r="AF20" i="83" s="1"/>
  <c r="AN95" i="73"/>
  <c r="AM95" i="73"/>
  <c r="CA95" i="73" s="1"/>
  <c r="AK92" i="73"/>
  <c r="BZ92" i="73" s="1"/>
  <c r="AL92" i="73"/>
  <c r="AN91" i="73"/>
  <c r="AM91" i="73"/>
  <c r="CA91" i="73" s="1"/>
  <c r="AP91" i="73"/>
  <c r="AO91" i="73"/>
  <c r="CB91" i="73" s="1"/>
  <c r="AQ92" i="73"/>
  <c r="CC92" i="73" s="1"/>
  <c r="AR92" i="73"/>
  <c r="AP95" i="73"/>
  <c r="AO95" i="73"/>
  <c r="CB95" i="73" s="1"/>
  <c r="BA92" i="73"/>
  <c r="AZ92" i="73"/>
  <c r="CH92" i="73" s="1"/>
  <c r="AY92" i="73"/>
  <c r="AX92" i="73"/>
  <c r="CG92" i="73" s="1"/>
  <c r="BD92" i="73"/>
  <c r="CJ92" i="73" s="1"/>
  <c r="BE92" i="73"/>
  <c r="AS92" i="73"/>
  <c r="CD92" i="73" s="1"/>
  <c r="AT92" i="73"/>
  <c r="D32" i="58"/>
  <c r="D24" i="58"/>
  <c r="G32" i="58"/>
  <c r="X76" i="7" l="1"/>
  <c r="BU70" i="7"/>
  <c r="P76" i="7"/>
  <c r="BM70" i="7"/>
  <c r="CK70" i="7"/>
  <c r="AN76" i="7"/>
  <c r="L150" i="85"/>
  <c r="P74" i="7"/>
  <c r="AN74" i="7"/>
  <c r="L150" i="67"/>
  <c r="H74" i="7"/>
  <c r="AF74" i="7"/>
  <c r="L117" i="67"/>
  <c r="X74" i="7"/>
  <c r="AW63" i="7"/>
  <c r="M109" i="85" s="1"/>
  <c r="BE70" i="7"/>
  <c r="H76" i="7"/>
  <c r="L152" i="85"/>
  <c r="L119" i="85"/>
  <c r="CT70" i="7"/>
  <c r="M146" i="67"/>
  <c r="AW76" i="7"/>
  <c r="CT76" i="7" s="1"/>
  <c r="M144" i="67"/>
  <c r="CT65" i="7"/>
  <c r="M111" i="85" s="1"/>
  <c r="AX59" i="7"/>
  <c r="N138" i="67" s="1"/>
  <c r="AC20" i="78"/>
  <c r="AC20" i="83"/>
  <c r="AG59" i="7"/>
  <c r="CC65" i="7"/>
  <c r="AF62" i="7"/>
  <c r="Y59" i="7"/>
  <c r="BU65" i="7"/>
  <c r="X62" i="7"/>
  <c r="E28" i="20"/>
  <c r="L28" i="20" s="1"/>
  <c r="L19" i="20"/>
  <c r="F28" i="20"/>
  <c r="M28" i="20" s="1"/>
  <c r="M19" i="20"/>
  <c r="D81" i="78"/>
  <c r="Q32" i="58"/>
  <c r="D81" i="83" s="1"/>
  <c r="CK65" i="7"/>
  <c r="AO59" i="7"/>
  <c r="AN62" i="7"/>
  <c r="I59" i="7"/>
  <c r="BE65" i="7"/>
  <c r="H62" i="7"/>
  <c r="Q59" i="7"/>
  <c r="BM65" i="7"/>
  <c r="P62" i="7"/>
  <c r="AP93" i="73"/>
  <c r="V91" i="67"/>
  <c r="CG93" i="53"/>
  <c r="V91" i="85" s="1"/>
  <c r="AN93" i="73"/>
  <c r="W91" i="67"/>
  <c r="CH93" i="53"/>
  <c r="W91" i="85" s="1"/>
  <c r="AM93" i="73"/>
  <c r="CA93" i="73" s="1"/>
  <c r="CC76" i="7"/>
  <c r="AG70" i="7"/>
  <c r="C81" i="78"/>
  <c r="N32" i="58"/>
  <c r="C81" i="83" s="1"/>
  <c r="E33" i="58"/>
  <c r="Q25" i="2"/>
  <c r="R25" i="2"/>
  <c r="AF20" i="78"/>
  <c r="T25" i="2"/>
  <c r="AG20" i="78"/>
  <c r="U25" i="2"/>
  <c r="V25" i="2"/>
  <c r="AP92" i="73"/>
  <c r="AO92" i="73"/>
  <c r="CB92" i="73" s="1"/>
  <c r="AN92" i="73"/>
  <c r="AM92" i="73"/>
  <c r="CA92" i="73" s="1"/>
  <c r="F9" i="58"/>
  <c r="F24" i="58" s="1"/>
  <c r="F25" i="58"/>
  <c r="G10" i="58" s="1"/>
  <c r="G34" i="58" s="1"/>
  <c r="F34" i="58"/>
  <c r="F35" i="58"/>
  <c r="F26" i="58"/>
  <c r="G11" i="58" s="1"/>
  <c r="G35" i="58" s="1"/>
  <c r="AN73" i="7" l="1"/>
  <c r="AN75" i="7" s="1"/>
  <c r="CK75" i="7" s="1"/>
  <c r="BU76" i="7"/>
  <c r="Y70" i="7"/>
  <c r="Q70" i="7"/>
  <c r="BM76" i="7"/>
  <c r="P73" i="7"/>
  <c r="P75" i="7" s="1"/>
  <c r="BM75" i="7" s="1"/>
  <c r="CK76" i="7"/>
  <c r="AO70" i="7"/>
  <c r="AO63" i="7"/>
  <c r="M142" i="67"/>
  <c r="AG63" i="7"/>
  <c r="M109" i="67"/>
  <c r="Y63" i="7"/>
  <c r="Q63" i="7"/>
  <c r="AX70" i="7"/>
  <c r="N146" i="67" s="1"/>
  <c r="M119" i="67"/>
  <c r="AF73" i="7"/>
  <c r="AF75" i="7" s="1"/>
  <c r="CC75" i="7" s="1"/>
  <c r="X73" i="7"/>
  <c r="I63" i="7"/>
  <c r="M152" i="67"/>
  <c r="I70" i="7"/>
  <c r="BE76" i="7"/>
  <c r="H73" i="7"/>
  <c r="AW74" i="7"/>
  <c r="M146" i="85"/>
  <c r="M113" i="85"/>
  <c r="M152" i="85"/>
  <c r="M119" i="85"/>
  <c r="CK73" i="7"/>
  <c r="M144" i="85"/>
  <c r="N105" i="67"/>
  <c r="CU59" i="7"/>
  <c r="N138" i="85" s="1"/>
  <c r="AX65" i="7"/>
  <c r="N144" i="67" s="1"/>
  <c r="Y65" i="7"/>
  <c r="BV59" i="7"/>
  <c r="AN64" i="7"/>
  <c r="CK64" i="7" s="1"/>
  <c r="CK62" i="7"/>
  <c r="AF64" i="7"/>
  <c r="CC64" i="7" s="1"/>
  <c r="CC62" i="7"/>
  <c r="I65" i="7"/>
  <c r="BF59" i="7"/>
  <c r="AO65" i="7"/>
  <c r="CL59" i="7"/>
  <c r="P64" i="7"/>
  <c r="BM64" i="7" s="1"/>
  <c r="BM62" i="7"/>
  <c r="AG65" i="7"/>
  <c r="CD59" i="7"/>
  <c r="Q65" i="7"/>
  <c r="BN59" i="7"/>
  <c r="H64" i="7"/>
  <c r="BE64" i="7" s="1"/>
  <c r="BE62" i="7"/>
  <c r="X64" i="7"/>
  <c r="BU64" i="7" s="1"/>
  <c r="BU62" i="7"/>
  <c r="Y76" i="7"/>
  <c r="BV70" i="7"/>
  <c r="AG76" i="7"/>
  <c r="CD70" i="7"/>
  <c r="Q76" i="7"/>
  <c r="G25" i="58"/>
  <c r="H10" i="58" s="1"/>
  <c r="H34" i="58" s="1"/>
  <c r="G33" i="58"/>
  <c r="G26" i="58"/>
  <c r="H11" i="58" s="1"/>
  <c r="H35" i="58" s="1"/>
  <c r="G9" i="58"/>
  <c r="G24" i="58" s="1"/>
  <c r="F33" i="58"/>
  <c r="BN70" i="7" l="1"/>
  <c r="BM73" i="7"/>
  <c r="Y62" i="7"/>
  <c r="AG62" i="7"/>
  <c r="Q62" i="7"/>
  <c r="AO76" i="7"/>
  <c r="CL70" i="7"/>
  <c r="CU70" i="7"/>
  <c r="N113" i="85" s="1"/>
  <c r="CC73" i="7"/>
  <c r="N113" i="67"/>
  <c r="AX76" i="7"/>
  <c r="CU76" i="7" s="1"/>
  <c r="AX74" i="7"/>
  <c r="X75" i="7"/>
  <c r="BU75" i="7" s="1"/>
  <c r="BU73" i="7"/>
  <c r="AX63" i="7"/>
  <c r="AP63" i="7" s="1"/>
  <c r="H75" i="7"/>
  <c r="BE75" i="7" s="1"/>
  <c r="BF70" i="7"/>
  <c r="BE73" i="7"/>
  <c r="I76" i="7"/>
  <c r="M150" i="85"/>
  <c r="M117" i="67"/>
  <c r="M117" i="85"/>
  <c r="AO74" i="7"/>
  <c r="Q74" i="7"/>
  <c r="M150" i="67"/>
  <c r="I74" i="7"/>
  <c r="Y74" i="7"/>
  <c r="AG74" i="7"/>
  <c r="CU65" i="7"/>
  <c r="N144" i="85" s="1"/>
  <c r="N111" i="67"/>
  <c r="AP59" i="7"/>
  <c r="CL65" i="7"/>
  <c r="AH59" i="7"/>
  <c r="CD65" i="7"/>
  <c r="J59" i="7"/>
  <c r="BF65" i="7"/>
  <c r="AO62" i="7"/>
  <c r="H33" i="58"/>
  <c r="R59" i="7"/>
  <c r="BN65" i="7"/>
  <c r="Z59" i="7"/>
  <c r="BV65" i="7"/>
  <c r="I62" i="7"/>
  <c r="Z70" i="7"/>
  <c r="BV76" i="7"/>
  <c r="AH70" i="7"/>
  <c r="CD76" i="7"/>
  <c r="R70" i="7"/>
  <c r="BN76" i="7"/>
  <c r="H25" i="58"/>
  <c r="I10" i="58" s="1"/>
  <c r="I34" i="58" s="1"/>
  <c r="H9" i="58"/>
  <c r="Y64" i="7" l="1"/>
  <c r="BV64" i="7" s="1"/>
  <c r="BV62" i="7"/>
  <c r="N119" i="67"/>
  <c r="N146" i="85"/>
  <c r="N152" i="67"/>
  <c r="N152" i="85"/>
  <c r="AG64" i="7"/>
  <c r="CD64" i="7" s="1"/>
  <c r="CD62" i="7"/>
  <c r="Q64" i="7"/>
  <c r="BN64" i="7" s="1"/>
  <c r="BN62" i="7"/>
  <c r="CL76" i="7"/>
  <c r="AP70" i="7"/>
  <c r="N150" i="85"/>
  <c r="N119" i="85"/>
  <c r="N117" i="67"/>
  <c r="N150" i="67"/>
  <c r="J74" i="7"/>
  <c r="AP74" i="7"/>
  <c r="Z74" i="7"/>
  <c r="AH74" i="7"/>
  <c r="R74" i="7"/>
  <c r="J63" i="7"/>
  <c r="N109" i="85"/>
  <c r="N142" i="67"/>
  <c r="Z63" i="7"/>
  <c r="N109" i="67"/>
  <c r="N142" i="85"/>
  <c r="R63" i="7"/>
  <c r="AH63" i="7"/>
  <c r="BF76" i="7"/>
  <c r="J70" i="7"/>
  <c r="AO73" i="7"/>
  <c r="AO75" i="7" s="1"/>
  <c r="CL75" i="7" s="1"/>
  <c r="I73" i="7"/>
  <c r="AG73" i="7"/>
  <c r="AG75" i="7" s="1"/>
  <c r="CD75" i="7" s="1"/>
  <c r="Q73" i="7"/>
  <c r="Y73" i="7"/>
  <c r="N111" i="85"/>
  <c r="R65" i="7"/>
  <c r="BO59" i="7"/>
  <c r="Z65" i="7"/>
  <c r="BW59" i="7"/>
  <c r="AO64" i="7"/>
  <c r="CL64" i="7" s="1"/>
  <c r="CL62" i="7"/>
  <c r="I64" i="7"/>
  <c r="BF64" i="7" s="1"/>
  <c r="BF62" i="7"/>
  <c r="AH65" i="7"/>
  <c r="CE59" i="7"/>
  <c r="J65" i="7"/>
  <c r="BG59" i="7"/>
  <c r="AP65" i="7"/>
  <c r="CM59" i="7"/>
  <c r="BO70" i="7"/>
  <c r="R76" i="7"/>
  <c r="BO76" i="7" s="1"/>
  <c r="BW70" i="7"/>
  <c r="Z76" i="7"/>
  <c r="BW76" i="7" s="1"/>
  <c r="AH76" i="7"/>
  <c r="CE76" i="7" s="1"/>
  <c r="CE70" i="7"/>
  <c r="I25" i="58"/>
  <c r="J10" i="58" s="1"/>
  <c r="J34" i="58" s="1"/>
  <c r="H19" i="58"/>
  <c r="H26" i="58"/>
  <c r="I11" i="58" s="1"/>
  <c r="AP76" i="7" l="1"/>
  <c r="CM76" i="7" s="1"/>
  <c r="CM70" i="7"/>
  <c r="BG70" i="7"/>
  <c r="J76" i="7"/>
  <c r="BG76" i="7" s="1"/>
  <c r="I75" i="7"/>
  <c r="BF75" i="7" s="1"/>
  <c r="CL73" i="7"/>
  <c r="BF73" i="7"/>
  <c r="CD73" i="7"/>
  <c r="Q75" i="7"/>
  <c r="BN75" i="7" s="1"/>
  <c r="BN73" i="7"/>
  <c r="Y75" i="7"/>
  <c r="BV75" i="7" s="1"/>
  <c r="BV73" i="7"/>
  <c r="E78" i="78"/>
  <c r="E80" i="78" s="1"/>
  <c r="E78" i="83"/>
  <c r="E80" i="83" s="1"/>
  <c r="CM65" i="7"/>
  <c r="AP62" i="7"/>
  <c r="Z73" i="7"/>
  <c r="Z75" i="7" s="1"/>
  <c r="BW75" i="7" s="1"/>
  <c r="BG65" i="7"/>
  <c r="J62" i="7"/>
  <c r="BW65" i="7"/>
  <c r="Z62" i="7"/>
  <c r="CE65" i="7"/>
  <c r="AH62" i="7"/>
  <c r="BO65" i="7"/>
  <c r="R62" i="7"/>
  <c r="AH73" i="7"/>
  <c r="R73" i="7"/>
  <c r="J25" i="58"/>
  <c r="K10" i="58" s="1"/>
  <c r="K34" i="58" s="1"/>
  <c r="H39" i="58"/>
  <c r="E84" i="83" s="1"/>
  <c r="I9" i="58"/>
  <c r="I26" i="58" s="1"/>
  <c r="J11" i="58" s="1"/>
  <c r="I35" i="58"/>
  <c r="I33" i="58" s="1"/>
  <c r="H32" i="58"/>
  <c r="H24" i="58"/>
  <c r="I19" i="58"/>
  <c r="AP73" i="7" l="1"/>
  <c r="J73" i="7"/>
  <c r="BW73" i="7"/>
  <c r="F78" i="78"/>
  <c r="F80" i="78" s="1"/>
  <c r="F78" i="83"/>
  <c r="F80" i="83" s="1"/>
  <c r="Z64" i="7"/>
  <c r="BW64" i="7" s="1"/>
  <c r="BW62" i="7"/>
  <c r="E81" i="78"/>
  <c r="R32" i="58"/>
  <c r="E81" i="83" s="1"/>
  <c r="J64" i="7"/>
  <c r="BG64" i="7" s="1"/>
  <c r="BG62" i="7"/>
  <c r="AH64" i="7"/>
  <c r="CE64" i="7" s="1"/>
  <c r="CE62" i="7"/>
  <c r="AP64" i="7"/>
  <c r="CM64" i="7" s="1"/>
  <c r="CM62" i="7"/>
  <c r="R64" i="7"/>
  <c r="BO64" i="7" s="1"/>
  <c r="BO62" i="7"/>
  <c r="R75" i="7"/>
  <c r="BO75" i="7" s="1"/>
  <c r="BO73" i="7"/>
  <c r="CE73" i="7"/>
  <c r="AH75" i="7"/>
  <c r="CE75" i="7" s="1"/>
  <c r="K25" i="58"/>
  <c r="H42" i="58"/>
  <c r="E84" i="78"/>
  <c r="I39" i="58"/>
  <c r="J9" i="58"/>
  <c r="J26" i="58" s="1"/>
  <c r="K11" i="58" s="1"/>
  <c r="K35" i="58" s="1"/>
  <c r="K33" i="58" s="1"/>
  <c r="J35" i="58"/>
  <c r="J33" i="58" s="1"/>
  <c r="H37" i="58"/>
  <c r="I32" i="58"/>
  <c r="I24" i="58"/>
  <c r="AN23" i="79"/>
  <c r="AP75" i="7" l="1"/>
  <c r="CM75" i="7" s="1"/>
  <c r="CM73" i="7"/>
  <c r="BG73" i="7"/>
  <c r="J75" i="7"/>
  <c r="BG75" i="7" s="1"/>
  <c r="I37" i="58"/>
  <c r="F84" i="83"/>
  <c r="F81" i="78"/>
  <c r="S32" i="58"/>
  <c r="F81" i="83" s="1"/>
  <c r="E85" i="78"/>
  <c r="R42" i="58"/>
  <c r="E85" i="83" s="1"/>
  <c r="H40" i="58"/>
  <c r="R40" i="58" s="1"/>
  <c r="I42" i="58"/>
  <c r="F84" i="78"/>
  <c r="J19" i="58"/>
  <c r="K9" i="58"/>
  <c r="AO23" i="79"/>
  <c r="D16" i="16"/>
  <c r="G78" i="78" l="1"/>
  <c r="G80" i="78" s="1"/>
  <c r="G78" i="83"/>
  <c r="G80" i="83" s="1"/>
  <c r="F85" i="78"/>
  <c r="S42" i="58"/>
  <c r="F85" i="83" s="1"/>
  <c r="AN25" i="79"/>
  <c r="M16" i="16"/>
  <c r="AN25" i="84" s="1"/>
  <c r="I40" i="58"/>
  <c r="S40" i="58" s="1"/>
  <c r="J32" i="58"/>
  <c r="J39" i="58"/>
  <c r="G84" i="83" s="1"/>
  <c r="J24" i="58"/>
  <c r="AP23" i="79"/>
  <c r="E16" i="16"/>
  <c r="G81" i="78" l="1"/>
  <c r="T32" i="58"/>
  <c r="G81" i="83" s="1"/>
  <c r="AO25" i="79"/>
  <c r="N16" i="16"/>
  <c r="AO25" i="84" s="1"/>
  <c r="J42" i="58"/>
  <c r="G84" i="78"/>
  <c r="J37" i="58"/>
  <c r="K19" i="58"/>
  <c r="H78" i="83" s="1"/>
  <c r="H80" i="83" s="1"/>
  <c r="K26" i="58"/>
  <c r="AQ23" i="79"/>
  <c r="F16" i="16"/>
  <c r="G85" i="78" l="1"/>
  <c r="T42" i="58"/>
  <c r="G85" i="83" s="1"/>
  <c r="AP25" i="79"/>
  <c r="O16" i="16"/>
  <c r="AP25" i="84" s="1"/>
  <c r="J40" i="58"/>
  <c r="T40" i="58" s="1"/>
  <c r="K39" i="58"/>
  <c r="H84" i="83" s="1"/>
  <c r="H78" i="78"/>
  <c r="H80" i="78" s="1"/>
  <c r="K32" i="58"/>
  <c r="K24" i="58"/>
  <c r="AR23" i="79"/>
  <c r="G16" i="16"/>
  <c r="K37" i="58" l="1"/>
  <c r="H81" i="78"/>
  <c r="U32" i="58"/>
  <c r="H81" i="83" s="1"/>
  <c r="AQ25" i="79"/>
  <c r="P16" i="16"/>
  <c r="AQ25" i="84" s="1"/>
  <c r="K42" i="58"/>
  <c r="U42" i="58" s="1"/>
  <c r="H85" i="83" s="1"/>
  <c r="H84" i="78"/>
  <c r="I14" i="16"/>
  <c r="R14" i="16" s="1"/>
  <c r="AS23" i="84" s="1"/>
  <c r="H16" i="16"/>
  <c r="AR25" i="79" l="1"/>
  <c r="Q16" i="16"/>
  <c r="AR25" i="84" s="1"/>
  <c r="H85" i="78"/>
  <c r="K40" i="58"/>
  <c r="U40" i="58" s="1"/>
  <c r="I16" i="16"/>
  <c r="AS23" i="79"/>
  <c r="G1" i="49"/>
  <c r="H1" i="20" s="1"/>
  <c r="H1" i="21" s="1"/>
  <c r="H2" i="22" s="1"/>
  <c r="AS25" i="79" l="1"/>
  <c r="R16" i="16"/>
  <c r="AS25" i="84" s="1"/>
  <c r="U83" i="53"/>
  <c r="BZ83" i="53" s="1"/>
  <c r="F83" i="53"/>
  <c r="BM83" i="53" s="1"/>
  <c r="W83" i="53"/>
  <c r="CB83" i="53" s="1"/>
  <c r="T83" i="53"/>
  <c r="BY83" i="53" s="1"/>
  <c r="W70" i="53"/>
  <c r="D70" i="53"/>
  <c r="BK70" i="53" s="1"/>
  <c r="U13" i="85" s="1"/>
  <c r="P70" i="53"/>
  <c r="O70" i="53"/>
  <c r="F70" i="53"/>
  <c r="V51" i="53"/>
  <c r="CA51" i="53" s="1"/>
  <c r="U51" i="53"/>
  <c r="BZ51" i="53" s="1"/>
  <c r="F51" i="53"/>
  <c r="BM51" i="53" s="1"/>
  <c r="W51" i="53"/>
  <c r="CB51" i="53" s="1"/>
  <c r="N51" i="53"/>
  <c r="BT51" i="53" s="1"/>
  <c r="U38" i="53"/>
  <c r="BZ38" i="53" s="1"/>
  <c r="O38" i="53"/>
  <c r="BU38" i="53" s="1"/>
  <c r="F38" i="53"/>
  <c r="BM38" i="53" s="1"/>
  <c r="U25" i="53"/>
  <c r="BZ25" i="53" s="1"/>
  <c r="W25" i="53"/>
  <c r="CB25" i="53" s="1"/>
  <c r="T25" i="53"/>
  <c r="BY25" i="53" s="1"/>
  <c r="H25" i="53"/>
  <c r="BO25" i="53" s="1"/>
  <c r="V12" i="53"/>
  <c r="CA12" i="53" s="1"/>
  <c r="P12" i="53"/>
  <c r="BV12" i="53" s="1"/>
  <c r="W12" i="53"/>
  <c r="CB12" i="53" s="1"/>
  <c r="N12" i="53"/>
  <c r="BT12" i="53" s="1"/>
  <c r="E12" i="53"/>
  <c r="BL12" i="53" s="1"/>
  <c r="M83" i="53"/>
  <c r="BS83" i="53" s="1"/>
  <c r="AV83" i="53"/>
  <c r="AU83" i="53"/>
  <c r="AT83" i="53"/>
  <c r="AS83" i="53"/>
  <c r="AR83" i="53"/>
  <c r="AQ83" i="53"/>
  <c r="S83" i="53"/>
  <c r="BX83" i="53" s="1"/>
  <c r="K83" i="53"/>
  <c r="BQ83" i="53" s="1"/>
  <c r="C83" i="53"/>
  <c r="BJ83" i="53" s="1"/>
  <c r="V70" i="53"/>
  <c r="AV70" i="53"/>
  <c r="CX70" i="53" s="1"/>
  <c r="AU70" i="53"/>
  <c r="CW70" i="53" s="1"/>
  <c r="AT70" i="53"/>
  <c r="CV70" i="53" s="1"/>
  <c r="AS70" i="53"/>
  <c r="CU70" i="53" s="1"/>
  <c r="AR70" i="53"/>
  <c r="CT70" i="53" s="1"/>
  <c r="AQ70" i="53"/>
  <c r="CS70" i="53" s="1"/>
  <c r="S70" i="53"/>
  <c r="BX70" i="53" s="1"/>
  <c r="T55" i="85" s="1"/>
  <c r="K70" i="53"/>
  <c r="BQ70" i="53" s="1"/>
  <c r="T34" i="85" s="1"/>
  <c r="C70" i="53"/>
  <c r="X54" i="67"/>
  <c r="T33" i="67"/>
  <c r="AV59" i="53"/>
  <c r="CX59" i="53" s="1"/>
  <c r="AU59" i="53"/>
  <c r="CW59" i="53" s="1"/>
  <c r="AT59" i="53"/>
  <c r="CV59" i="53" s="1"/>
  <c r="AS59" i="53"/>
  <c r="CU59" i="53" s="1"/>
  <c r="AR59" i="53"/>
  <c r="CT59" i="53" s="1"/>
  <c r="AQ59" i="53"/>
  <c r="CS59" i="53" s="1"/>
  <c r="S59" i="53"/>
  <c r="BX59" i="53" s="1"/>
  <c r="T53" i="85" s="1"/>
  <c r="AV55" i="53"/>
  <c r="CX55" i="53" s="1"/>
  <c r="AU55" i="53"/>
  <c r="CW55" i="53" s="1"/>
  <c r="AT55" i="53"/>
  <c r="CV55" i="53" s="1"/>
  <c r="AS55" i="53"/>
  <c r="CU55" i="53" s="1"/>
  <c r="AR55" i="53"/>
  <c r="CT55" i="53" s="1"/>
  <c r="AQ55" i="53"/>
  <c r="CS55" i="53" s="1"/>
  <c r="E51" i="53"/>
  <c r="BL51" i="53" s="1"/>
  <c r="AV51" i="53"/>
  <c r="CX51" i="53" s="1"/>
  <c r="AU51" i="53"/>
  <c r="CW51" i="53" s="1"/>
  <c r="AT51" i="53"/>
  <c r="CV51" i="53" s="1"/>
  <c r="AS51" i="53"/>
  <c r="CU51" i="53" s="1"/>
  <c r="AR51" i="53"/>
  <c r="CT51" i="53" s="1"/>
  <c r="AQ51" i="53"/>
  <c r="CS51" i="53" s="1"/>
  <c r="S51" i="53"/>
  <c r="K51" i="53"/>
  <c r="M38" i="53"/>
  <c r="BS38" i="53" s="1"/>
  <c r="AV38" i="53"/>
  <c r="CX38" i="53" s="1"/>
  <c r="AU38" i="53"/>
  <c r="CW38" i="53" s="1"/>
  <c r="AT38" i="53"/>
  <c r="CV38" i="53" s="1"/>
  <c r="AS38" i="53"/>
  <c r="CU38" i="53" s="1"/>
  <c r="AR38" i="53"/>
  <c r="CT38" i="53" s="1"/>
  <c r="AQ38" i="53"/>
  <c r="CS38" i="53" s="1"/>
  <c r="S38" i="53"/>
  <c r="K38" i="53"/>
  <c r="D38" i="53"/>
  <c r="BK38" i="53" s="1"/>
  <c r="C38" i="53"/>
  <c r="BJ38" i="53" s="1"/>
  <c r="AV25" i="53"/>
  <c r="CX25" i="53" s="1"/>
  <c r="AU25" i="53"/>
  <c r="CW25" i="53" s="1"/>
  <c r="AT25" i="53"/>
  <c r="CV25" i="53" s="1"/>
  <c r="AS25" i="53"/>
  <c r="CU25" i="53" s="1"/>
  <c r="AR25" i="53"/>
  <c r="CT25" i="53" s="1"/>
  <c r="S25" i="53"/>
  <c r="K25" i="53"/>
  <c r="C25" i="53"/>
  <c r="AV12" i="53"/>
  <c r="CX12" i="53" s="1"/>
  <c r="AU12" i="53"/>
  <c r="CW12" i="53" s="1"/>
  <c r="AT12" i="53"/>
  <c r="CV12" i="53" s="1"/>
  <c r="AS12" i="53"/>
  <c r="CU12" i="53" s="1"/>
  <c r="AR12" i="53"/>
  <c r="CT12" i="53" s="1"/>
  <c r="AQ12" i="53"/>
  <c r="S12" i="53"/>
  <c r="K12" i="53"/>
  <c r="C12" i="53"/>
  <c r="P10" i="53"/>
  <c r="O10" i="53"/>
  <c r="N10" i="53"/>
  <c r="M10" i="53"/>
  <c r="L10" i="53"/>
  <c r="K10" i="53"/>
  <c r="Y12" i="73" l="1"/>
  <c r="BS12" i="73" s="1"/>
  <c r="BX12" i="53"/>
  <c r="AR76" i="53"/>
  <c r="CT76" i="53" s="1"/>
  <c r="CT83" i="53"/>
  <c r="AS76" i="53"/>
  <c r="CU76" i="53" s="1"/>
  <c r="CU83" i="53"/>
  <c r="N51" i="73"/>
  <c r="BM51" i="73" s="1"/>
  <c r="BQ51" i="53"/>
  <c r="Y51" i="73"/>
  <c r="BS51" i="73" s="1"/>
  <c r="BX51" i="53"/>
  <c r="AU76" i="53"/>
  <c r="CW76" i="53" s="1"/>
  <c r="CW83" i="53"/>
  <c r="X55" i="67"/>
  <c r="CB70" i="53"/>
  <c r="X55" i="85" s="1"/>
  <c r="N25" i="73"/>
  <c r="BM25" i="73" s="1"/>
  <c r="BQ25" i="53"/>
  <c r="X34" i="67"/>
  <c r="BU70" i="53"/>
  <c r="X34" i="85" s="1"/>
  <c r="AQ89" i="53"/>
  <c r="CS89" i="53" s="1"/>
  <c r="CS12" i="53"/>
  <c r="Y25" i="73"/>
  <c r="BS25" i="73" s="1"/>
  <c r="BX25" i="53"/>
  <c r="N38" i="73"/>
  <c r="BM38" i="73" s="1"/>
  <c r="BQ38" i="53"/>
  <c r="Y34" i="67"/>
  <c r="BV70" i="53"/>
  <c r="Y34" i="85" s="1"/>
  <c r="Y38" i="73"/>
  <c r="BS38" i="73" s="1"/>
  <c r="BX38" i="53"/>
  <c r="T13" i="67"/>
  <c r="BJ70" i="53"/>
  <c r="T13" i="85" s="1"/>
  <c r="T130" i="85" s="1"/>
  <c r="AT76" i="53"/>
  <c r="CV76" i="53" s="1"/>
  <c r="CV83" i="53"/>
  <c r="W55" i="67"/>
  <c r="CA70" i="53"/>
  <c r="W55" i="85" s="1"/>
  <c r="AV76" i="53"/>
  <c r="CX76" i="53" s="1"/>
  <c r="CX83" i="53"/>
  <c r="C12" i="73"/>
  <c r="BG12" i="73" s="1"/>
  <c r="BJ12" i="53"/>
  <c r="N12" i="73"/>
  <c r="BM12" i="73" s="1"/>
  <c r="BQ12" i="53"/>
  <c r="C25" i="73"/>
  <c r="BG25" i="73" s="1"/>
  <c r="BJ25" i="53"/>
  <c r="AQ76" i="53"/>
  <c r="CS76" i="53" s="1"/>
  <c r="CS83" i="53"/>
  <c r="W13" i="67"/>
  <c r="BM70" i="53"/>
  <c r="W13" i="85" s="1"/>
  <c r="J38" i="53"/>
  <c r="I38" i="53"/>
  <c r="BP38" i="53" s="1"/>
  <c r="U13" i="67"/>
  <c r="J70" i="53"/>
  <c r="I70" i="53"/>
  <c r="BP70" i="53" s="1"/>
  <c r="Z25" i="53"/>
  <c r="Y25" i="53"/>
  <c r="CD25" i="53" s="1"/>
  <c r="Z83" i="53"/>
  <c r="Y83" i="53"/>
  <c r="CD83" i="53" s="1"/>
  <c r="Y70" i="73"/>
  <c r="BS70" i="73" s="1"/>
  <c r="T55" i="67"/>
  <c r="N70" i="73"/>
  <c r="BM70" i="73" s="1"/>
  <c r="T34" i="67"/>
  <c r="Y59" i="73"/>
  <c r="BS59" i="73" s="1"/>
  <c r="T53" i="67"/>
  <c r="Y63" i="73"/>
  <c r="BS63" i="73" s="1"/>
  <c r="T54" i="67"/>
  <c r="T129" i="67" s="1"/>
  <c r="C70" i="73"/>
  <c r="BG70" i="73" s="1"/>
  <c r="B30" i="47"/>
  <c r="I30" i="47" s="1"/>
  <c r="N63" i="73"/>
  <c r="BM63" i="73" s="1"/>
  <c r="B26" i="47"/>
  <c r="E38" i="73"/>
  <c r="D38" i="73"/>
  <c r="BH38" i="73" s="1"/>
  <c r="C76" i="53"/>
  <c r="C83" i="73"/>
  <c r="BG83" i="73" s="1"/>
  <c r="AF12" i="73"/>
  <c r="BW12" i="73" s="1"/>
  <c r="AG12" i="73"/>
  <c r="V38" i="73"/>
  <c r="U38" i="73"/>
  <c r="BQ38" i="73" s="1"/>
  <c r="I51" i="73"/>
  <c r="H51" i="73"/>
  <c r="BJ51" i="73" s="1"/>
  <c r="U70" i="73"/>
  <c r="V70" i="73"/>
  <c r="Z83" i="73"/>
  <c r="BT83" i="73" s="1"/>
  <c r="AA83" i="73"/>
  <c r="R38" i="73"/>
  <c r="Q38" i="73"/>
  <c r="BO38" i="73" s="1"/>
  <c r="K76" i="53"/>
  <c r="BQ76" i="53" s="1"/>
  <c r="T35" i="85" s="1"/>
  <c r="N83" i="73"/>
  <c r="BM83" i="73" s="1"/>
  <c r="M76" i="53"/>
  <c r="Q83" i="73"/>
  <c r="BO83" i="73" s="1"/>
  <c r="R83" i="73"/>
  <c r="W12" i="73"/>
  <c r="BR12" i="73" s="1"/>
  <c r="X12" i="73"/>
  <c r="AB38" i="73"/>
  <c r="BU38" i="73" s="1"/>
  <c r="AC38" i="73"/>
  <c r="AB51" i="73"/>
  <c r="BU51" i="73" s="1"/>
  <c r="AC51" i="73"/>
  <c r="X70" i="73"/>
  <c r="W70" i="73"/>
  <c r="AF83" i="73"/>
  <c r="BW83" i="73" s="1"/>
  <c r="AG83" i="73"/>
  <c r="G51" i="73"/>
  <c r="F51" i="73"/>
  <c r="BI51" i="73" s="1"/>
  <c r="AD70" i="73"/>
  <c r="AE70" i="73"/>
  <c r="S76" i="53"/>
  <c r="BX76" i="53" s="1"/>
  <c r="T56" i="85" s="1"/>
  <c r="Y83" i="73"/>
  <c r="BS83" i="73" s="1"/>
  <c r="AD12" i="73"/>
  <c r="BV12" i="73" s="1"/>
  <c r="AE12" i="73"/>
  <c r="T51" i="73"/>
  <c r="S51" i="73"/>
  <c r="BP51" i="73" s="1"/>
  <c r="AD51" i="73"/>
  <c r="BV51" i="73" s="1"/>
  <c r="AE51" i="73"/>
  <c r="E70" i="73"/>
  <c r="D70" i="73"/>
  <c r="I83" i="73"/>
  <c r="H83" i="73"/>
  <c r="BJ83" i="73" s="1"/>
  <c r="C29" i="53"/>
  <c r="BJ29" i="53" s="1"/>
  <c r="T6" i="85" s="1"/>
  <c r="C38" i="73"/>
  <c r="BG38" i="73" s="1"/>
  <c r="S12" i="73"/>
  <c r="BP12" i="73" s="1"/>
  <c r="T12" i="73"/>
  <c r="I38" i="73"/>
  <c r="H38" i="73"/>
  <c r="BJ38" i="73" s="1"/>
  <c r="AF51" i="73"/>
  <c r="BW51" i="73" s="1"/>
  <c r="AG51" i="73"/>
  <c r="I70" i="73"/>
  <c r="H70" i="73"/>
  <c r="AF70" i="73"/>
  <c r="AG70" i="73"/>
  <c r="U76" i="53"/>
  <c r="AB83" i="73"/>
  <c r="BU83" i="73" s="1"/>
  <c r="AC83" i="73"/>
  <c r="AA25" i="73"/>
  <c r="Z25" i="73"/>
  <c r="BT25" i="73" s="1"/>
  <c r="AF25" i="73"/>
  <c r="BW25" i="73" s="1"/>
  <c r="AG25" i="73"/>
  <c r="AB25" i="73"/>
  <c r="BU25" i="73" s="1"/>
  <c r="AC25" i="73"/>
  <c r="AF63" i="73"/>
  <c r="AG63" i="73"/>
  <c r="C89" i="53"/>
  <c r="N89" i="53"/>
  <c r="M25" i="73"/>
  <c r="L25" i="73"/>
  <c r="BL25" i="73" s="1"/>
  <c r="F12" i="73"/>
  <c r="BI12" i="73" s="1"/>
  <c r="G12" i="73"/>
  <c r="F29" i="53"/>
  <c r="S100" i="53"/>
  <c r="AR29" i="53"/>
  <c r="CT29" i="53" s="1"/>
  <c r="AV29" i="53"/>
  <c r="CX29" i="53" s="1"/>
  <c r="AU29" i="53"/>
  <c r="CW29" i="53" s="1"/>
  <c r="K29" i="53"/>
  <c r="BQ29" i="53" s="1"/>
  <c r="T27" i="85" s="1"/>
  <c r="U29" i="53"/>
  <c r="S29" i="53"/>
  <c r="BX29" i="53" s="1"/>
  <c r="T48" i="85" s="1"/>
  <c r="AQ29" i="53"/>
  <c r="CS29" i="53" s="1"/>
  <c r="AT29" i="53"/>
  <c r="CV29" i="53" s="1"/>
  <c r="AS29" i="53"/>
  <c r="CU29" i="53" s="1"/>
  <c r="K89" i="53"/>
  <c r="BQ89" i="53" s="1"/>
  <c r="T42" i="85" s="1"/>
  <c r="S89" i="53"/>
  <c r="BX89" i="53" s="1"/>
  <c r="T63" i="85" s="1"/>
  <c r="V10" i="53"/>
  <c r="AD10" i="53" s="1"/>
  <c r="N98" i="53"/>
  <c r="W10" i="53"/>
  <c r="AE10" i="53" s="1"/>
  <c r="O98" i="53"/>
  <c r="U10" i="53"/>
  <c r="AC10" i="53" s="1"/>
  <c r="M98" i="53"/>
  <c r="S10" i="53"/>
  <c r="AA10" i="53" s="1"/>
  <c r="K98" i="53"/>
  <c r="T10" i="53"/>
  <c r="AB10" i="53" s="1"/>
  <c r="L98" i="53"/>
  <c r="X10" i="53"/>
  <c r="AF10" i="53" s="1"/>
  <c r="P98" i="53"/>
  <c r="S11" i="53"/>
  <c r="BX11" i="53" s="1"/>
  <c r="T47" i="85" s="1"/>
  <c r="O12" i="53"/>
  <c r="BU12" i="53" s="1"/>
  <c r="U12" i="53"/>
  <c r="BZ12" i="53" s="1"/>
  <c r="M12" i="53"/>
  <c r="BS12" i="53" s="1"/>
  <c r="E25" i="53"/>
  <c r="BL25" i="53" s="1"/>
  <c r="O25" i="53"/>
  <c r="BU25" i="53" s="1"/>
  <c r="M25" i="53"/>
  <c r="BS25" i="53" s="1"/>
  <c r="G38" i="53"/>
  <c r="BN38" i="53" s="1"/>
  <c r="W38" i="53"/>
  <c r="CB38" i="53" s="1"/>
  <c r="E38" i="53"/>
  <c r="BL38" i="53" s="1"/>
  <c r="O51" i="53"/>
  <c r="BU51" i="53" s="1"/>
  <c r="G51" i="53"/>
  <c r="BN51" i="53" s="1"/>
  <c r="M51" i="53"/>
  <c r="BS51" i="53" s="1"/>
  <c r="V33" i="67"/>
  <c r="X33" i="67"/>
  <c r="V54" i="67"/>
  <c r="G70" i="53"/>
  <c r="BN70" i="53" s="1"/>
  <c r="X13" i="85" s="1"/>
  <c r="M70" i="53"/>
  <c r="E70" i="53"/>
  <c r="U70" i="53"/>
  <c r="E83" i="53"/>
  <c r="BL83" i="53" s="1"/>
  <c r="O83" i="53"/>
  <c r="BU83" i="53" s="1"/>
  <c r="G83" i="53"/>
  <c r="BN83" i="53" s="1"/>
  <c r="AQ11" i="53"/>
  <c r="CS11" i="53" s="1"/>
  <c r="F12" i="53"/>
  <c r="BM12" i="53" s="1"/>
  <c r="L12" i="53"/>
  <c r="BR12" i="53" s="1"/>
  <c r="D12" i="53"/>
  <c r="BK12" i="53" s="1"/>
  <c r="H12" i="53"/>
  <c r="BO12" i="53" s="1"/>
  <c r="T12" i="53"/>
  <c r="BY12" i="53" s="1"/>
  <c r="X12" i="53"/>
  <c r="CC12" i="53" s="1"/>
  <c r="F25" i="53"/>
  <c r="BM25" i="53" s="1"/>
  <c r="L25" i="53"/>
  <c r="BR25" i="53" s="1"/>
  <c r="P25" i="53"/>
  <c r="BV25" i="53" s="1"/>
  <c r="V25" i="53"/>
  <c r="CA25" i="53" s="1"/>
  <c r="D25" i="53"/>
  <c r="BK25" i="53" s="1"/>
  <c r="T38" i="53"/>
  <c r="BY38" i="53" s="1"/>
  <c r="U54" i="67"/>
  <c r="N70" i="53"/>
  <c r="BT70" i="53" s="1"/>
  <c r="W34" i="85" s="1"/>
  <c r="N25" i="53"/>
  <c r="BT25" i="53" s="1"/>
  <c r="X25" i="53"/>
  <c r="CC25" i="53" s="1"/>
  <c r="P89" i="53"/>
  <c r="H38" i="53"/>
  <c r="BO38" i="53" s="1"/>
  <c r="N38" i="53"/>
  <c r="BT38" i="53" s="1"/>
  <c r="X38" i="53"/>
  <c r="CC38" i="53" s="1"/>
  <c r="L38" i="53"/>
  <c r="BR38" i="53" s="1"/>
  <c r="P38" i="53"/>
  <c r="BV38" i="53" s="1"/>
  <c r="V38" i="53"/>
  <c r="CA38" i="53" s="1"/>
  <c r="L51" i="53"/>
  <c r="BR51" i="53" s="1"/>
  <c r="P51" i="53"/>
  <c r="BV51" i="53" s="1"/>
  <c r="D51" i="53"/>
  <c r="BK51" i="53" s="1"/>
  <c r="H51" i="53"/>
  <c r="BO51" i="53" s="1"/>
  <c r="T51" i="53"/>
  <c r="BY51" i="53" s="1"/>
  <c r="X51" i="53"/>
  <c r="CC51" i="53" s="1"/>
  <c r="W33" i="67"/>
  <c r="Y54" i="67"/>
  <c r="U33" i="67"/>
  <c r="Z33" i="67" s="1"/>
  <c r="Y33" i="67"/>
  <c r="W54" i="67"/>
  <c r="H70" i="53"/>
  <c r="T70" i="53"/>
  <c r="BY70" i="53" s="1"/>
  <c r="U55" i="85" s="1"/>
  <c r="Z55" i="85" s="1"/>
  <c r="X70" i="53"/>
  <c r="L70" i="53"/>
  <c r="BR70" i="53" s="1"/>
  <c r="U34" i="85" s="1"/>
  <c r="Z34" i="85" s="1"/>
  <c r="T76" i="53"/>
  <c r="BY76" i="53" s="1"/>
  <c r="U56" i="85" s="1"/>
  <c r="F76" i="53"/>
  <c r="L83" i="53"/>
  <c r="BR83" i="53" s="1"/>
  <c r="P83" i="53"/>
  <c r="BV83" i="53" s="1"/>
  <c r="V83" i="53"/>
  <c r="CA83" i="53" s="1"/>
  <c r="D83" i="53"/>
  <c r="BK83" i="53" s="1"/>
  <c r="H83" i="53"/>
  <c r="BO83" i="53" s="1"/>
  <c r="N83" i="53"/>
  <c r="BT83" i="53" s="1"/>
  <c r="X83" i="53"/>
  <c r="CC83" i="53" s="1"/>
  <c r="G25" i="53"/>
  <c r="BN25" i="53" s="1"/>
  <c r="G12" i="53"/>
  <c r="BN12" i="53" s="1"/>
  <c r="W76" i="53"/>
  <c r="Z56" i="85" l="1"/>
  <c r="T123" i="85"/>
  <c r="AA34" i="85"/>
  <c r="X130" i="85"/>
  <c r="W130" i="85"/>
  <c r="Z13" i="85"/>
  <c r="U130" i="85"/>
  <c r="Z130" i="85" s="1"/>
  <c r="Z13" i="67"/>
  <c r="B24" i="48"/>
  <c r="I24" i="48" s="1"/>
  <c r="I26" i="47"/>
  <c r="AE104" i="73"/>
  <c r="BV70" i="73"/>
  <c r="AG103" i="73"/>
  <c r="BW63" i="73"/>
  <c r="E104" i="73"/>
  <c r="BH70" i="73"/>
  <c r="X104" i="73"/>
  <c r="BR70" i="73"/>
  <c r="V104" i="73"/>
  <c r="BQ70" i="73"/>
  <c r="AG104" i="73"/>
  <c r="BW70" i="73"/>
  <c r="I104" i="73"/>
  <c r="BJ70" i="73"/>
  <c r="V56" i="67"/>
  <c r="BZ76" i="53"/>
  <c r="V56" i="85" s="1"/>
  <c r="V35" i="67"/>
  <c r="BS76" i="53"/>
  <c r="V35" i="85" s="1"/>
  <c r="T14" i="67"/>
  <c r="BJ76" i="53"/>
  <c r="T14" i="85" s="1"/>
  <c r="T131" i="85" s="1"/>
  <c r="Y55" i="67"/>
  <c r="CC70" i="53"/>
  <c r="Y55" i="85" s="1"/>
  <c r="V13" i="67"/>
  <c r="BL70" i="53"/>
  <c r="V13" i="85" s="1"/>
  <c r="X56" i="67"/>
  <c r="CB76" i="53"/>
  <c r="X56" i="85" s="1"/>
  <c r="V34" i="67"/>
  <c r="BS70" i="53"/>
  <c r="V34" i="85" s="1"/>
  <c r="T21" i="67"/>
  <c r="BJ89" i="53"/>
  <c r="T21" i="85" s="1"/>
  <c r="T138" i="85" s="1"/>
  <c r="Y42" i="67"/>
  <c r="BV89" i="53"/>
  <c r="S111" i="53"/>
  <c r="BX111" i="53" s="1"/>
  <c r="BX100" i="53"/>
  <c r="V48" i="67"/>
  <c r="BZ29" i="53"/>
  <c r="V48" i="85" s="1"/>
  <c r="V55" i="67"/>
  <c r="BZ70" i="53"/>
  <c r="V55" i="85" s="1"/>
  <c r="Y13" i="67"/>
  <c r="AA13" i="67" s="1"/>
  <c r="BO70" i="53"/>
  <c r="Y13" i="85" s="1"/>
  <c r="AA13" i="85" s="1"/>
  <c r="W42" i="67"/>
  <c r="BT89" i="53"/>
  <c r="W14" i="67"/>
  <c r="BM76" i="53"/>
  <c r="W14" i="85" s="1"/>
  <c r="W6" i="67"/>
  <c r="BM29" i="53"/>
  <c r="W6" i="85" s="1"/>
  <c r="AA33" i="67"/>
  <c r="AA54" i="67"/>
  <c r="U55" i="67"/>
  <c r="Z70" i="53"/>
  <c r="Y70" i="53"/>
  <c r="CD70" i="53" s="1"/>
  <c r="I25" i="53"/>
  <c r="BP25" i="53" s="1"/>
  <c r="J25" i="53"/>
  <c r="Z38" i="53"/>
  <c r="Y38" i="53"/>
  <c r="CD38" i="53" s="1"/>
  <c r="J12" i="53"/>
  <c r="I12" i="53"/>
  <c r="BP12" i="53" s="1"/>
  <c r="R51" i="53"/>
  <c r="Q51" i="53"/>
  <c r="BW51" i="53" s="1"/>
  <c r="R25" i="53"/>
  <c r="Q25" i="53"/>
  <c r="BW25" i="53" s="1"/>
  <c r="J83" i="53"/>
  <c r="I83" i="53"/>
  <c r="BP83" i="53" s="1"/>
  <c r="R12" i="53"/>
  <c r="Q12" i="53"/>
  <c r="BW12" i="53" s="1"/>
  <c r="U56" i="67"/>
  <c r="Z76" i="53"/>
  <c r="Y76" i="53"/>
  <c r="CD76" i="53" s="1"/>
  <c r="I51" i="53"/>
  <c r="BP51" i="53" s="1"/>
  <c r="J51" i="53"/>
  <c r="Z51" i="53"/>
  <c r="Y51" i="53"/>
  <c r="CD51" i="53" s="1"/>
  <c r="R83" i="53"/>
  <c r="Q83" i="53"/>
  <c r="BW83" i="53" s="1"/>
  <c r="U34" i="67"/>
  <c r="R70" i="53"/>
  <c r="Q70" i="53"/>
  <c r="BW70" i="53" s="1"/>
  <c r="R38" i="53"/>
  <c r="Q38" i="53"/>
  <c r="BW38" i="53" s="1"/>
  <c r="Y12" i="53"/>
  <c r="CD12" i="53" s="1"/>
  <c r="Z12" i="53"/>
  <c r="F30" i="47"/>
  <c r="M30" i="47" s="1"/>
  <c r="X13" i="67"/>
  <c r="X130" i="67" s="1"/>
  <c r="Y89" i="73"/>
  <c r="BS89" i="73" s="1"/>
  <c r="T63" i="67"/>
  <c r="T130" i="67"/>
  <c r="N57" i="73"/>
  <c r="BM57" i="73" s="1"/>
  <c r="T30" i="67"/>
  <c r="N89" i="73"/>
  <c r="BM89" i="73" s="1"/>
  <c r="T42" i="67"/>
  <c r="C57" i="73"/>
  <c r="BG57" i="73" s="1"/>
  <c r="T9" i="67"/>
  <c r="N76" i="73"/>
  <c r="BM76" i="73" s="1"/>
  <c r="T35" i="67"/>
  <c r="E30" i="47"/>
  <c r="L30" i="47" s="1"/>
  <c r="W34" i="67"/>
  <c r="W130" i="67" s="1"/>
  <c r="Y57" i="73"/>
  <c r="BS57" i="73" s="1"/>
  <c r="T51" i="67"/>
  <c r="Y76" i="73"/>
  <c r="BS76" i="73" s="1"/>
  <c r="T56" i="67"/>
  <c r="Z54" i="67"/>
  <c r="Y29" i="73"/>
  <c r="BS29" i="73" s="1"/>
  <c r="T48" i="67"/>
  <c r="Y11" i="73"/>
  <c r="BS11" i="73" s="1"/>
  <c r="T47" i="67"/>
  <c r="N29" i="73"/>
  <c r="BM29" i="73" s="1"/>
  <c r="T27" i="67"/>
  <c r="C29" i="73"/>
  <c r="BG29" i="73" s="1"/>
  <c r="T6" i="67"/>
  <c r="C76" i="73"/>
  <c r="BG76" i="73" s="1"/>
  <c r="B31" i="47"/>
  <c r="C30" i="47"/>
  <c r="J30" i="47" s="1"/>
  <c r="G30" i="47"/>
  <c r="N30" i="47" s="1"/>
  <c r="D30" i="47"/>
  <c r="K30" i="47" s="1"/>
  <c r="B24" i="47"/>
  <c r="C99" i="53"/>
  <c r="D29" i="53"/>
  <c r="BK29" i="53" s="1"/>
  <c r="U6" i="85" s="1"/>
  <c r="E51" i="73"/>
  <c r="D51" i="73"/>
  <c r="BH51" i="73" s="1"/>
  <c r="T70" i="73"/>
  <c r="S70" i="73"/>
  <c r="AH12" i="73"/>
  <c r="BX12" i="73" s="1"/>
  <c r="AI12" i="73"/>
  <c r="O76" i="53"/>
  <c r="U83" i="73"/>
  <c r="BQ83" i="73" s="1"/>
  <c r="V83" i="73"/>
  <c r="M83" i="73"/>
  <c r="L83" i="73"/>
  <c r="BL83" i="73" s="1"/>
  <c r="L76" i="53"/>
  <c r="BR76" i="53" s="1"/>
  <c r="U35" i="85" s="1"/>
  <c r="Z35" i="85" s="1"/>
  <c r="P83" i="73"/>
  <c r="O83" i="73"/>
  <c r="BN83" i="73" s="1"/>
  <c r="AH70" i="73"/>
  <c r="AI70" i="73"/>
  <c r="AH51" i="73"/>
  <c r="BX51" i="73" s="1"/>
  <c r="AI51" i="73"/>
  <c r="X51" i="73"/>
  <c r="W51" i="73"/>
  <c r="BR51" i="73" s="1"/>
  <c r="O38" i="73"/>
  <c r="BN38" i="73" s="1"/>
  <c r="P38" i="73"/>
  <c r="W89" i="73"/>
  <c r="BR89" i="73" s="1"/>
  <c r="X89" i="73"/>
  <c r="Z12" i="73"/>
  <c r="BT12" i="73" s="1"/>
  <c r="AA12" i="73"/>
  <c r="E76" i="53"/>
  <c r="BL76" i="53" s="1"/>
  <c r="V14" i="85" s="1"/>
  <c r="G83" i="73"/>
  <c r="F83" i="73"/>
  <c r="BI83" i="73" s="1"/>
  <c r="K70" i="73"/>
  <c r="J70" i="73"/>
  <c r="Q51" i="73"/>
  <c r="BO51" i="73" s="1"/>
  <c r="R51" i="73"/>
  <c r="W29" i="53"/>
  <c r="CB29" i="53" s="1"/>
  <c r="X48" i="85" s="1"/>
  <c r="AF38" i="73"/>
  <c r="BW38" i="73" s="1"/>
  <c r="AG38" i="73"/>
  <c r="AB76" i="73"/>
  <c r="AC76" i="73"/>
  <c r="N76" i="53"/>
  <c r="T83" i="73"/>
  <c r="S83" i="73"/>
  <c r="BP83" i="73" s="1"/>
  <c r="R76" i="73"/>
  <c r="Q76" i="73"/>
  <c r="P70" i="73"/>
  <c r="O70" i="73"/>
  <c r="W38" i="73"/>
  <c r="BR38" i="73" s="1"/>
  <c r="X38" i="73"/>
  <c r="D76" i="53"/>
  <c r="BK76" i="53" s="1"/>
  <c r="U14" i="85" s="1"/>
  <c r="E83" i="73"/>
  <c r="D83" i="73"/>
  <c r="BH83" i="73" s="1"/>
  <c r="H76" i="73"/>
  <c r="I76" i="73"/>
  <c r="Z70" i="73"/>
  <c r="AA70" i="73"/>
  <c r="Z51" i="73"/>
  <c r="BT51" i="73" s="1"/>
  <c r="AA51" i="73"/>
  <c r="P51" i="73"/>
  <c r="O51" i="73"/>
  <c r="BN51" i="73" s="1"/>
  <c r="AH38" i="73"/>
  <c r="BX38" i="73" s="1"/>
  <c r="AI38" i="73"/>
  <c r="Z38" i="73"/>
  <c r="BT38" i="73" s="1"/>
  <c r="AA38" i="73"/>
  <c r="AB70" i="73"/>
  <c r="AC70" i="73"/>
  <c r="J51" i="73"/>
  <c r="BK51" i="73" s="1"/>
  <c r="K51" i="73"/>
  <c r="K38" i="73"/>
  <c r="J38" i="73"/>
  <c r="BK38" i="73" s="1"/>
  <c r="R12" i="73"/>
  <c r="Q12" i="73"/>
  <c r="BO12" i="73" s="1"/>
  <c r="AF76" i="73"/>
  <c r="AG76" i="73"/>
  <c r="AH83" i="73"/>
  <c r="BX83" i="73" s="1"/>
  <c r="AI83" i="73"/>
  <c r="V76" i="53"/>
  <c r="AD83" i="73"/>
  <c r="BV83" i="73" s="1"/>
  <c r="AE83" i="73"/>
  <c r="Z76" i="73"/>
  <c r="AA76" i="73"/>
  <c r="M70" i="73"/>
  <c r="L70" i="73"/>
  <c r="M51" i="73"/>
  <c r="L51" i="73"/>
  <c r="BL51" i="73" s="1"/>
  <c r="V29" i="53"/>
  <c r="CA29" i="53" s="1"/>
  <c r="W48" i="85" s="1"/>
  <c r="AD38" i="73"/>
  <c r="BV38" i="73" s="1"/>
  <c r="AE38" i="73"/>
  <c r="S38" i="73"/>
  <c r="BP38" i="73" s="1"/>
  <c r="T38" i="73"/>
  <c r="G76" i="53"/>
  <c r="K83" i="73"/>
  <c r="J83" i="73"/>
  <c r="BK83" i="73" s="1"/>
  <c r="F70" i="73"/>
  <c r="G70" i="73"/>
  <c r="U51" i="73"/>
  <c r="BQ51" i="73" s="1"/>
  <c r="V51" i="73"/>
  <c r="AC12" i="73"/>
  <c r="AB12" i="73"/>
  <c r="BU12" i="73" s="1"/>
  <c r="N102" i="53"/>
  <c r="S89" i="73"/>
  <c r="BP89" i="73" s="1"/>
  <c r="T89" i="73"/>
  <c r="X83" i="73"/>
  <c r="W83" i="73"/>
  <c r="BR83" i="73" s="1"/>
  <c r="M38" i="73"/>
  <c r="L38" i="73"/>
  <c r="BL38" i="73" s="1"/>
  <c r="O12" i="73"/>
  <c r="BN12" i="73" s="1"/>
  <c r="P12" i="73"/>
  <c r="Q70" i="73"/>
  <c r="R70" i="73"/>
  <c r="F38" i="73"/>
  <c r="BI38" i="73" s="1"/>
  <c r="G38" i="73"/>
  <c r="V12" i="73"/>
  <c r="U12" i="73"/>
  <c r="BQ12" i="73" s="1"/>
  <c r="T25" i="73"/>
  <c r="S25" i="73"/>
  <c r="BP25" i="73" s="1"/>
  <c r="Q25" i="73"/>
  <c r="BO25" i="73" s="1"/>
  <c r="R25" i="73"/>
  <c r="AE25" i="73"/>
  <c r="AD25" i="73"/>
  <c r="BV25" i="73" s="1"/>
  <c r="U25" i="73"/>
  <c r="BQ25" i="73" s="1"/>
  <c r="V25" i="73"/>
  <c r="W25" i="73"/>
  <c r="BR25" i="73" s="1"/>
  <c r="X25" i="73"/>
  <c r="AI25" i="73"/>
  <c r="AH25" i="73"/>
  <c r="BX25" i="73" s="1"/>
  <c r="O25" i="73"/>
  <c r="BN25" i="73" s="1"/>
  <c r="P25" i="73"/>
  <c r="W63" i="73"/>
  <c r="X63" i="73"/>
  <c r="AA63" i="73"/>
  <c r="Z63" i="73"/>
  <c r="F99" i="53"/>
  <c r="I29" i="73"/>
  <c r="H29" i="73"/>
  <c r="AI63" i="73"/>
  <c r="AH63" i="73"/>
  <c r="U63" i="73"/>
  <c r="V63" i="73"/>
  <c r="AB29" i="73"/>
  <c r="AC29" i="73"/>
  <c r="O63" i="73"/>
  <c r="P63" i="73"/>
  <c r="AB63" i="73"/>
  <c r="AC63" i="73"/>
  <c r="AE63" i="73"/>
  <c r="AD63" i="73"/>
  <c r="S63" i="73"/>
  <c r="T63" i="73"/>
  <c r="Q63" i="73"/>
  <c r="R63" i="73"/>
  <c r="C102" i="53"/>
  <c r="C89" i="73"/>
  <c r="BG89" i="73" s="1"/>
  <c r="J12" i="73"/>
  <c r="BK12" i="73" s="1"/>
  <c r="K12" i="73"/>
  <c r="F25" i="73"/>
  <c r="BI25" i="73" s="1"/>
  <c r="G25" i="73"/>
  <c r="I12" i="73"/>
  <c r="H12" i="73"/>
  <c r="BJ12" i="73" s="1"/>
  <c r="M12" i="73"/>
  <c r="L12" i="73"/>
  <c r="BL12" i="73" s="1"/>
  <c r="J25" i="73"/>
  <c r="BK25" i="73" s="1"/>
  <c r="K25" i="73"/>
  <c r="I25" i="73"/>
  <c r="H25" i="73"/>
  <c r="BJ25" i="73" s="1"/>
  <c r="BC57" i="53"/>
  <c r="DE57" i="53" s="1"/>
  <c r="AW57" i="53"/>
  <c r="CY57" i="53" s="1"/>
  <c r="X76" i="53"/>
  <c r="P76" i="53"/>
  <c r="D25" i="73"/>
  <c r="BH25" i="73" s="1"/>
  <c r="E25" i="73"/>
  <c r="E12" i="73"/>
  <c r="D12" i="73"/>
  <c r="BH12" i="73" s="1"/>
  <c r="H76" i="53"/>
  <c r="P102" i="53"/>
  <c r="U99" i="53"/>
  <c r="S102" i="53"/>
  <c r="K99" i="53"/>
  <c r="K102" i="53"/>
  <c r="S99" i="53"/>
  <c r="AJ10" i="53"/>
  <c r="AK10" i="53"/>
  <c r="AN10" i="53"/>
  <c r="AI10" i="53"/>
  <c r="AM10" i="53"/>
  <c r="AL10" i="53"/>
  <c r="L29" i="53"/>
  <c r="BR29" i="53" s="1"/>
  <c r="U27" i="85" s="1"/>
  <c r="Z27" i="85" s="1"/>
  <c r="G29" i="53"/>
  <c r="O29" i="53"/>
  <c r="N29" i="53"/>
  <c r="M29" i="53"/>
  <c r="X29" i="53"/>
  <c r="P29" i="53"/>
  <c r="H29" i="53"/>
  <c r="T29" i="53"/>
  <c r="BY29" i="53" s="1"/>
  <c r="U48" i="85" s="1"/>
  <c r="Z48" i="85" s="1"/>
  <c r="E29" i="53"/>
  <c r="L89" i="53"/>
  <c r="M89" i="53"/>
  <c r="O89" i="53"/>
  <c r="T29" i="67"/>
  <c r="AV10" i="53"/>
  <c r="BB10" i="53" s="1"/>
  <c r="BH10" i="53" s="1"/>
  <c r="X98" i="53"/>
  <c r="AQ10" i="53"/>
  <c r="AW10" i="53" s="1"/>
  <c r="BC10" i="53" s="1"/>
  <c r="S98" i="53"/>
  <c r="AU10" i="53"/>
  <c r="BA10" i="53" s="1"/>
  <c r="BG10" i="53" s="1"/>
  <c r="W98" i="53"/>
  <c r="AT10" i="53"/>
  <c r="AZ10" i="53" s="1"/>
  <c r="BF10" i="53" s="1"/>
  <c r="V98" i="53"/>
  <c r="AR10" i="53"/>
  <c r="AX10" i="53" s="1"/>
  <c r="BD10" i="53" s="1"/>
  <c r="T98" i="53"/>
  <c r="AS10" i="53"/>
  <c r="AY10" i="53" s="1"/>
  <c r="BE10" i="53" s="1"/>
  <c r="U98" i="53"/>
  <c r="AQ88" i="53"/>
  <c r="CS88" i="53" s="1"/>
  <c r="A3" i="35"/>
  <c r="A4" i="5" s="1"/>
  <c r="V130" i="67" l="1"/>
  <c r="Y130" i="67"/>
  <c r="V131" i="85"/>
  <c r="BR89" i="53"/>
  <c r="Z14" i="85"/>
  <c r="U131" i="85"/>
  <c r="Z131" i="85" s="1"/>
  <c r="Z6" i="85"/>
  <c r="U123" i="85"/>
  <c r="Z123" i="85" s="1"/>
  <c r="Y130" i="85"/>
  <c r="AA130" i="85" s="1"/>
  <c r="AA55" i="85"/>
  <c r="W42" i="85"/>
  <c r="U42" i="85"/>
  <c r="Z42" i="85" s="1"/>
  <c r="Y42" i="85"/>
  <c r="V130" i="85"/>
  <c r="B22" i="48"/>
  <c r="I22" i="48" s="1"/>
  <c r="I24" i="47"/>
  <c r="B28" i="48"/>
  <c r="I28" i="48" s="1"/>
  <c r="I31" i="47"/>
  <c r="I105" i="73"/>
  <c r="BJ76" i="73"/>
  <c r="AC101" i="73"/>
  <c r="BU29" i="73"/>
  <c r="V103" i="73"/>
  <c r="BQ63" i="73"/>
  <c r="AI103" i="73"/>
  <c r="BX63" i="73"/>
  <c r="AG105" i="73"/>
  <c r="BW76" i="73"/>
  <c r="AI104" i="73"/>
  <c r="BX70" i="73"/>
  <c r="AC103" i="73"/>
  <c r="BU63" i="73"/>
  <c r="AA105" i="73"/>
  <c r="BT76" i="73"/>
  <c r="R105" i="73"/>
  <c r="BO76" i="73"/>
  <c r="AE103" i="73"/>
  <c r="BV63" i="73"/>
  <c r="AC104" i="73"/>
  <c r="BU70" i="73"/>
  <c r="K104" i="73"/>
  <c r="BK70" i="73"/>
  <c r="I101" i="73"/>
  <c r="BJ29" i="73"/>
  <c r="AA104" i="73"/>
  <c r="BT70" i="73"/>
  <c r="P104" i="73"/>
  <c r="BN70" i="73"/>
  <c r="AC105" i="73"/>
  <c r="BU76" i="73"/>
  <c r="R104" i="73"/>
  <c r="BO70" i="73"/>
  <c r="T103" i="73"/>
  <c r="BP63" i="73"/>
  <c r="AA103" i="73"/>
  <c r="BT63" i="73"/>
  <c r="M104" i="73"/>
  <c r="BL70" i="73"/>
  <c r="X103" i="73"/>
  <c r="BR63" i="73"/>
  <c r="R103" i="73"/>
  <c r="BO63" i="73"/>
  <c r="P103" i="73"/>
  <c r="BN63" i="73"/>
  <c r="G104" i="73"/>
  <c r="BI70" i="73"/>
  <c r="T104" i="73"/>
  <c r="BP70" i="73"/>
  <c r="U130" i="67"/>
  <c r="Z130" i="67" s="1"/>
  <c r="AA55" i="67"/>
  <c r="Z55" i="67"/>
  <c r="V42" i="67"/>
  <c r="BS89" i="53"/>
  <c r="F110" i="53"/>
  <c r="BM110" i="53" s="1"/>
  <c r="BM99" i="53"/>
  <c r="X6" i="67"/>
  <c r="BN29" i="53"/>
  <c r="X6" i="85" s="1"/>
  <c r="S110" i="53"/>
  <c r="BX110" i="53" s="1"/>
  <c r="BX99" i="53"/>
  <c r="K113" i="53"/>
  <c r="BQ113" i="53" s="1"/>
  <c r="BQ102" i="53"/>
  <c r="Y6" i="67"/>
  <c r="BO29" i="53"/>
  <c r="Y6" i="85" s="1"/>
  <c r="AA6" i="85" s="1"/>
  <c r="K110" i="53"/>
  <c r="BQ110" i="53" s="1"/>
  <c r="BQ99" i="53"/>
  <c r="Y35" i="67"/>
  <c r="BV76" i="53"/>
  <c r="Y35" i="85" s="1"/>
  <c r="AA35" i="85" s="1"/>
  <c r="W35" i="67"/>
  <c r="BT76" i="53"/>
  <c r="W35" i="85" s="1"/>
  <c r="C110" i="53"/>
  <c r="BJ110" i="53" s="1"/>
  <c r="BJ99" i="53"/>
  <c r="U110" i="53"/>
  <c r="BZ110" i="53" s="1"/>
  <c r="BZ99" i="53"/>
  <c r="Y56" i="67"/>
  <c r="AA56" i="67" s="1"/>
  <c r="CC76" i="53"/>
  <c r="Y56" i="85" s="1"/>
  <c r="AA56" i="85" s="1"/>
  <c r="C113" i="53"/>
  <c r="BJ113" i="53" s="1"/>
  <c r="BJ102" i="53"/>
  <c r="W27" i="67"/>
  <c r="BT29" i="53"/>
  <c r="W27" i="85" s="1"/>
  <c r="W123" i="85" s="1"/>
  <c r="Y14" i="67"/>
  <c r="BO76" i="53"/>
  <c r="Y14" i="85" s="1"/>
  <c r="X27" i="67"/>
  <c r="BU29" i="53"/>
  <c r="X27" i="85" s="1"/>
  <c r="W56" i="67"/>
  <c r="CA76" i="53"/>
  <c r="W56" i="85" s="1"/>
  <c r="V6" i="67"/>
  <c r="BL29" i="53"/>
  <c r="V6" i="85" s="1"/>
  <c r="N113" i="53"/>
  <c r="BT113" i="53" s="1"/>
  <c r="BT102" i="53"/>
  <c r="X14" i="67"/>
  <c r="BN76" i="53"/>
  <c r="X14" i="85" s="1"/>
  <c r="Y27" i="67"/>
  <c r="BV29" i="53"/>
  <c r="Y27" i="85" s="1"/>
  <c r="S113" i="53"/>
  <c r="BX113" i="53" s="1"/>
  <c r="BX102" i="53"/>
  <c r="X35" i="67"/>
  <c r="BU76" i="53"/>
  <c r="X35" i="85" s="1"/>
  <c r="Y48" i="67"/>
  <c r="CC29" i="53"/>
  <c r="Y48" i="85" s="1"/>
  <c r="AA48" i="85" s="1"/>
  <c r="X42" i="67"/>
  <c r="BU89" i="53"/>
  <c r="V27" i="67"/>
  <c r="BS29" i="53"/>
  <c r="V27" i="85" s="1"/>
  <c r="P113" i="53"/>
  <c r="BV113" i="53" s="1"/>
  <c r="BV102" i="53"/>
  <c r="Z56" i="67"/>
  <c r="U35" i="67"/>
  <c r="Z35" i="67" s="1"/>
  <c r="R76" i="53"/>
  <c r="Q76" i="53"/>
  <c r="BW76" i="53" s="1"/>
  <c r="U42" i="67"/>
  <c r="AA42" i="67" s="1"/>
  <c r="R89" i="53"/>
  <c r="Q89" i="53"/>
  <c r="BW89" i="53" s="1"/>
  <c r="U27" i="67"/>
  <c r="Z27" i="67" s="1"/>
  <c r="R29" i="53"/>
  <c r="Q29" i="53"/>
  <c r="BW29" i="53" s="1"/>
  <c r="Z34" i="67"/>
  <c r="AA34" i="67"/>
  <c r="U48" i="67"/>
  <c r="Z29" i="53"/>
  <c r="Y29" i="53"/>
  <c r="CD29" i="53" s="1"/>
  <c r="I76" i="53"/>
  <c r="BP76" i="53" s="1"/>
  <c r="J76" i="53"/>
  <c r="I29" i="53"/>
  <c r="BP29" i="53" s="1"/>
  <c r="J29" i="53"/>
  <c r="C4" i="7"/>
  <c r="A4" i="82"/>
  <c r="T131" i="67"/>
  <c r="T126" i="67"/>
  <c r="D31" i="47"/>
  <c r="V14" i="67"/>
  <c r="V131" i="67" s="1"/>
  <c r="C56" i="73"/>
  <c r="BG56" i="73" s="1"/>
  <c r="T8" i="67"/>
  <c r="T138" i="67"/>
  <c r="C31" i="47"/>
  <c r="U14" i="67"/>
  <c r="AF29" i="73"/>
  <c r="X48" i="67"/>
  <c r="AD29" i="73"/>
  <c r="W48" i="67"/>
  <c r="E29" i="73"/>
  <c r="U6" i="67"/>
  <c r="T123" i="67"/>
  <c r="Y56" i="73"/>
  <c r="BS56" i="73" s="1"/>
  <c r="T50" i="67"/>
  <c r="E24" i="47"/>
  <c r="W99" i="53"/>
  <c r="F31" i="47"/>
  <c r="G31" i="47"/>
  <c r="E31" i="47"/>
  <c r="D29" i="73"/>
  <c r="AQ95" i="53"/>
  <c r="CS95" i="53" s="1"/>
  <c r="B32" i="47"/>
  <c r="A4" i="39"/>
  <c r="A4" i="41"/>
  <c r="A4" i="47"/>
  <c r="D24" i="47"/>
  <c r="F24" i="47"/>
  <c r="AE29" i="73"/>
  <c r="AG29" i="73"/>
  <c r="G24" i="47"/>
  <c r="D99" i="53"/>
  <c r="C24" i="47"/>
  <c r="A4" i="74"/>
  <c r="A4" i="73"/>
  <c r="A4" i="77"/>
  <c r="A4" i="48"/>
  <c r="V99" i="53"/>
  <c r="V89" i="73"/>
  <c r="U89" i="73"/>
  <c r="BQ89" i="73" s="1"/>
  <c r="R89" i="73"/>
  <c r="Q89" i="73"/>
  <c r="BO89" i="73" s="1"/>
  <c r="K76" i="73"/>
  <c r="J76" i="73"/>
  <c r="E76" i="73"/>
  <c r="D76" i="73"/>
  <c r="O89" i="73"/>
  <c r="BN89" i="73" s="1"/>
  <c r="P89" i="73"/>
  <c r="W76" i="73"/>
  <c r="X76" i="73"/>
  <c r="AD76" i="73"/>
  <c r="AE76" i="73"/>
  <c r="S76" i="73"/>
  <c r="T76" i="73"/>
  <c r="O76" i="73"/>
  <c r="P76" i="73"/>
  <c r="M76" i="73"/>
  <c r="L76" i="73"/>
  <c r="AH76" i="73"/>
  <c r="AI76" i="73"/>
  <c r="G76" i="73"/>
  <c r="F76" i="73"/>
  <c r="V76" i="73"/>
  <c r="U76" i="73"/>
  <c r="K55" i="53"/>
  <c r="BQ55" i="53" s="1"/>
  <c r="T28" i="85" s="1"/>
  <c r="N56" i="73"/>
  <c r="BM56" i="73" s="1"/>
  <c r="AI29" i="73"/>
  <c r="AH29" i="73"/>
  <c r="G99" i="53"/>
  <c r="K29" i="73"/>
  <c r="J29" i="73"/>
  <c r="Q29" i="73"/>
  <c r="R29" i="73"/>
  <c r="W29" i="73"/>
  <c r="X29" i="73"/>
  <c r="N99" i="53"/>
  <c r="S29" i="73"/>
  <c r="T29" i="73"/>
  <c r="AA29" i="73"/>
  <c r="Z29" i="73"/>
  <c r="M29" i="73"/>
  <c r="L29" i="73"/>
  <c r="O29" i="73"/>
  <c r="P29" i="73"/>
  <c r="E99" i="53"/>
  <c r="G29" i="73"/>
  <c r="F29" i="73"/>
  <c r="U29" i="73"/>
  <c r="V29" i="73"/>
  <c r="A4" i="76"/>
  <c r="BC56" i="53"/>
  <c r="DE56" i="53" s="1"/>
  <c r="AW56" i="53"/>
  <c r="CY56" i="53" s="1"/>
  <c r="H99" i="53"/>
  <c r="O102" i="53"/>
  <c r="P99" i="53"/>
  <c r="L99" i="53"/>
  <c r="M102" i="53"/>
  <c r="T99" i="53"/>
  <c r="X99" i="53"/>
  <c r="O99" i="53"/>
  <c r="L102" i="53"/>
  <c r="M99" i="53"/>
  <c r="A4" i="50"/>
  <c r="A4" i="62"/>
  <c r="A4" i="51"/>
  <c r="AQ91" i="53"/>
  <c r="A4" i="1"/>
  <c r="A4" i="58"/>
  <c r="A4" i="2"/>
  <c r="A4" i="65"/>
  <c r="A5" i="22"/>
  <c r="A4" i="20"/>
  <c r="A4" i="17"/>
  <c r="A4" i="21"/>
  <c r="A4" i="49"/>
  <c r="A3" i="16"/>
  <c r="A4" i="53"/>
  <c r="A4" i="60"/>
  <c r="D23" i="49"/>
  <c r="D37" i="49" s="1"/>
  <c r="D51" i="49" s="1"/>
  <c r="D65" i="49" s="1"/>
  <c r="G23" i="49"/>
  <c r="G37" i="49" s="1"/>
  <c r="G51" i="49" s="1"/>
  <c r="G65" i="49" s="1"/>
  <c r="F23" i="49"/>
  <c r="F37" i="49" s="1"/>
  <c r="F51" i="49" s="1"/>
  <c r="F65" i="49" s="1"/>
  <c r="E23" i="49"/>
  <c r="E37" i="49" s="1"/>
  <c r="E51" i="49" s="1"/>
  <c r="E65" i="49" s="1"/>
  <c r="C23" i="49"/>
  <c r="C37" i="49" s="1"/>
  <c r="C51" i="49" s="1"/>
  <c r="C65" i="49" s="1"/>
  <c r="AA6" i="67" l="1"/>
  <c r="AA130" i="67"/>
  <c r="W131" i="67"/>
  <c r="X123" i="85"/>
  <c r="W131" i="85"/>
  <c r="Y131" i="85"/>
  <c r="AA131" i="85" s="1"/>
  <c r="AA14" i="85"/>
  <c r="AA42" i="85"/>
  <c r="V123" i="85"/>
  <c r="X42" i="85"/>
  <c r="Y123" i="85"/>
  <c r="AA123" i="85" s="1"/>
  <c r="AA27" i="85"/>
  <c r="V42" i="85"/>
  <c r="X131" i="85"/>
  <c r="C28" i="48"/>
  <c r="J28" i="48" s="1"/>
  <c r="J31" i="47"/>
  <c r="D22" i="48"/>
  <c r="K22" i="48" s="1"/>
  <c r="K24" i="47"/>
  <c r="G28" i="48"/>
  <c r="N28" i="48" s="1"/>
  <c r="N31" i="47"/>
  <c r="F28" i="48"/>
  <c r="M28" i="48" s="1"/>
  <c r="M31" i="47"/>
  <c r="C22" i="48"/>
  <c r="J22" i="48" s="1"/>
  <c r="J24" i="47"/>
  <c r="E28" i="48"/>
  <c r="L28" i="48" s="1"/>
  <c r="L31" i="47"/>
  <c r="E22" i="48"/>
  <c r="L22" i="48" s="1"/>
  <c r="L24" i="47"/>
  <c r="F22" i="48"/>
  <c r="M22" i="48" s="1"/>
  <c r="M24" i="47"/>
  <c r="G22" i="48"/>
  <c r="N22" i="48" s="1"/>
  <c r="N24" i="47"/>
  <c r="B29" i="48"/>
  <c r="I29" i="48" s="1"/>
  <c r="I32" i="47"/>
  <c r="D28" i="48"/>
  <c r="K28" i="48" s="1"/>
  <c r="K31" i="47"/>
  <c r="M101" i="73"/>
  <c r="BL29" i="73"/>
  <c r="R101" i="73"/>
  <c r="BO29" i="73"/>
  <c r="V105" i="73"/>
  <c r="BQ76" i="73"/>
  <c r="K101" i="73"/>
  <c r="BK29" i="73"/>
  <c r="T101" i="73"/>
  <c r="BP29" i="73"/>
  <c r="T105" i="73"/>
  <c r="BP76" i="73"/>
  <c r="E101" i="73"/>
  <c r="BH29" i="73"/>
  <c r="X101" i="73"/>
  <c r="BR29" i="73"/>
  <c r="M105" i="73"/>
  <c r="BL76" i="73"/>
  <c r="X105" i="73"/>
  <c r="BR76" i="73"/>
  <c r="V101" i="73"/>
  <c r="BQ29" i="73"/>
  <c r="G105" i="73"/>
  <c r="BI76" i="73"/>
  <c r="E105" i="73"/>
  <c r="BH76" i="73"/>
  <c r="AI101" i="73"/>
  <c r="BX29" i="73"/>
  <c r="K105" i="73"/>
  <c r="BK76" i="73"/>
  <c r="AE101" i="73"/>
  <c r="BV29" i="73"/>
  <c r="AA101" i="73"/>
  <c r="BT29" i="73"/>
  <c r="G101" i="73"/>
  <c r="BI29" i="73"/>
  <c r="P105" i="73"/>
  <c r="BN76" i="73"/>
  <c r="AG101" i="73"/>
  <c r="BW29" i="73"/>
  <c r="P101" i="73"/>
  <c r="BN29" i="73"/>
  <c r="AI105" i="73"/>
  <c r="BX76" i="73"/>
  <c r="AE105" i="73"/>
  <c r="BV76" i="73"/>
  <c r="Y131" i="67"/>
  <c r="AA131" i="67" s="1"/>
  <c r="V123" i="67"/>
  <c r="Y123" i="67"/>
  <c r="AA123" i="67" s="1"/>
  <c r="X131" i="67"/>
  <c r="AA35" i="67"/>
  <c r="M113" i="53"/>
  <c r="BS113" i="53" s="1"/>
  <c r="BS102" i="53"/>
  <c r="W110" i="53"/>
  <c r="CB110" i="53" s="1"/>
  <c r="CB99" i="53"/>
  <c r="L110" i="53"/>
  <c r="BR110" i="53" s="1"/>
  <c r="BR99" i="53"/>
  <c r="D110" i="53"/>
  <c r="BK110" i="53" s="1"/>
  <c r="BK99" i="53"/>
  <c r="P110" i="53"/>
  <c r="BV110" i="53" s="1"/>
  <c r="BV99" i="53"/>
  <c r="X123" i="67"/>
  <c r="M110" i="53"/>
  <c r="BS110" i="53" s="1"/>
  <c r="BS99" i="53"/>
  <c r="O113" i="53"/>
  <c r="BU113" i="53" s="1"/>
  <c r="BU102" i="53"/>
  <c r="V110" i="53"/>
  <c r="CA110" i="53" s="1"/>
  <c r="CA99" i="53"/>
  <c r="L113" i="53"/>
  <c r="BR113" i="53" s="1"/>
  <c r="BR102" i="53"/>
  <c r="H110" i="53"/>
  <c r="BO110" i="53" s="1"/>
  <c r="BO99" i="53"/>
  <c r="E110" i="53"/>
  <c r="BL110" i="53" s="1"/>
  <c r="BL99" i="53"/>
  <c r="G110" i="53"/>
  <c r="BN110" i="53" s="1"/>
  <c r="BN99" i="53"/>
  <c r="O110" i="53"/>
  <c r="BU110" i="53" s="1"/>
  <c r="BU99" i="53"/>
  <c r="N110" i="53"/>
  <c r="BT110" i="53" s="1"/>
  <c r="BT99" i="53"/>
  <c r="AA48" i="67"/>
  <c r="X110" i="53"/>
  <c r="CC110" i="53" s="1"/>
  <c r="CC99" i="53"/>
  <c r="AA14" i="67"/>
  <c r="AQ93" i="53"/>
  <c r="CS93" i="53" s="1"/>
  <c r="CS91" i="53"/>
  <c r="T110" i="53"/>
  <c r="BY110" i="53" s="1"/>
  <c r="BY99" i="53"/>
  <c r="W123" i="67"/>
  <c r="Z48" i="67"/>
  <c r="AA27" i="67"/>
  <c r="Z42" i="67"/>
  <c r="T125" i="67"/>
  <c r="Z14" i="67"/>
  <c r="U131" i="67"/>
  <c r="Z131" i="67" s="1"/>
  <c r="Z6" i="67"/>
  <c r="U123" i="67"/>
  <c r="Z123" i="67" s="1"/>
  <c r="N55" i="73"/>
  <c r="BM55" i="73" s="1"/>
  <c r="T28" i="67"/>
  <c r="T57" i="53"/>
  <c r="BY57" i="53" s="1"/>
  <c r="U51" i="85" s="1"/>
  <c r="W57" i="53"/>
  <c r="O57" i="53"/>
  <c r="M57" i="53"/>
  <c r="H57" i="53"/>
  <c r="Y51" i="67"/>
  <c r="F57" i="53"/>
  <c r="L57" i="53"/>
  <c r="BR57" i="53" s="1"/>
  <c r="U30" i="85" s="1"/>
  <c r="Z30" i="85" s="1"/>
  <c r="E57" i="53"/>
  <c r="V57" i="53"/>
  <c r="U57" i="53"/>
  <c r="G57" i="53"/>
  <c r="D57" i="53"/>
  <c r="BK57" i="53" s="1"/>
  <c r="U9" i="85" s="1"/>
  <c r="Z9" i="85" s="1"/>
  <c r="U126" i="85" l="1"/>
  <c r="Z126" i="85" s="1"/>
  <c r="Z51" i="85"/>
  <c r="AA51" i="85"/>
  <c r="Y9" i="67"/>
  <c r="BO57" i="53"/>
  <c r="Y9" i="85" s="1"/>
  <c r="X9" i="67"/>
  <c r="BN57" i="53"/>
  <c r="X9" i="85" s="1"/>
  <c r="V30" i="67"/>
  <c r="BS57" i="53"/>
  <c r="V30" i="85" s="1"/>
  <c r="V51" i="67"/>
  <c r="BZ57" i="53"/>
  <c r="V51" i="85" s="1"/>
  <c r="X30" i="67"/>
  <c r="BU57" i="53"/>
  <c r="X30" i="85" s="1"/>
  <c r="W51" i="67"/>
  <c r="CA57" i="53"/>
  <c r="W51" i="85" s="1"/>
  <c r="V9" i="67"/>
  <c r="BL57" i="53"/>
  <c r="V9" i="85" s="1"/>
  <c r="X51" i="67"/>
  <c r="CB57" i="53"/>
  <c r="X51" i="85" s="1"/>
  <c r="W9" i="67"/>
  <c r="BM57" i="53"/>
  <c r="W9" i="85" s="1"/>
  <c r="U9" i="67"/>
  <c r="J57" i="53"/>
  <c r="I57" i="53"/>
  <c r="BP57" i="53" s="1"/>
  <c r="U51" i="67"/>
  <c r="Z51" i="67" s="1"/>
  <c r="Y57" i="53"/>
  <c r="CD57" i="53" s="1"/>
  <c r="Z57" i="53"/>
  <c r="U30" i="67"/>
  <c r="Z30" i="67" s="1"/>
  <c r="Q57" i="53"/>
  <c r="BW57" i="53" s="1"/>
  <c r="R57" i="53"/>
  <c r="E57" i="73"/>
  <c r="D57" i="73"/>
  <c r="BH57" i="73" s="1"/>
  <c r="G57" i="73"/>
  <c r="F57" i="73"/>
  <c r="BI57" i="73" s="1"/>
  <c r="K57" i="73"/>
  <c r="J57" i="73"/>
  <c r="BK57" i="73" s="1"/>
  <c r="O57" i="73"/>
  <c r="BN57" i="73" s="1"/>
  <c r="P57" i="73"/>
  <c r="Q57" i="73"/>
  <c r="BO57" i="73" s="1"/>
  <c r="R57" i="73"/>
  <c r="U57" i="73"/>
  <c r="BQ57" i="73" s="1"/>
  <c r="V57" i="73"/>
  <c r="AC57" i="73"/>
  <c r="AB57" i="73"/>
  <c r="BU57" i="73" s="1"/>
  <c r="I57" i="73"/>
  <c r="H57" i="73"/>
  <c r="BJ57" i="73" s="1"/>
  <c r="AE57" i="73"/>
  <c r="AD57" i="73"/>
  <c r="BV57" i="73" s="1"/>
  <c r="AI57" i="73"/>
  <c r="AH57" i="73"/>
  <c r="BX57" i="73" s="1"/>
  <c r="AG57" i="73"/>
  <c r="AF57" i="73"/>
  <c r="BW57" i="73" s="1"/>
  <c r="M57" i="73"/>
  <c r="L57" i="73"/>
  <c r="BL57" i="73" s="1"/>
  <c r="AA57" i="73"/>
  <c r="Z57" i="73"/>
  <c r="BT57" i="73" s="1"/>
  <c r="BG57" i="53"/>
  <c r="DI57" i="53" s="1"/>
  <c r="BA57" i="53"/>
  <c r="BF57" i="53"/>
  <c r="DH57" i="53" s="1"/>
  <c r="BD57" i="53"/>
  <c r="DF57" i="53" s="1"/>
  <c r="AX57" i="53"/>
  <c r="BE57" i="53"/>
  <c r="DG57" i="53" s="1"/>
  <c r="AY57" i="53"/>
  <c r="BH57" i="53"/>
  <c r="DJ57" i="53" s="1"/>
  <c r="N57" i="53"/>
  <c r="P57" i="53"/>
  <c r="D43" i="49"/>
  <c r="J43" i="49" s="1"/>
  <c r="C43" i="49"/>
  <c r="I43" i="49" s="1"/>
  <c r="C29" i="49"/>
  <c r="I29" i="49" s="1"/>
  <c r="X126" i="85" l="1"/>
  <c r="AA9" i="85"/>
  <c r="X126" i="67"/>
  <c r="V126" i="85"/>
  <c r="V126" i="67"/>
  <c r="AA9" i="67"/>
  <c r="K130" i="67"/>
  <c r="K131" i="67" s="1"/>
  <c r="K135" i="67" s="1"/>
  <c r="DA57" i="53"/>
  <c r="K130" i="85" s="1"/>
  <c r="K131" i="85" s="1"/>
  <c r="K135" i="85" s="1"/>
  <c r="J130" i="67"/>
  <c r="J131" i="67" s="1"/>
  <c r="CZ57" i="53"/>
  <c r="J130" i="85" s="1"/>
  <c r="W30" i="67"/>
  <c r="W126" i="67" s="1"/>
  <c r="BT57" i="53"/>
  <c r="W30" i="85" s="1"/>
  <c r="W126" i="85" s="1"/>
  <c r="Y30" i="67"/>
  <c r="AA30" i="67" s="1"/>
  <c r="BV57" i="53"/>
  <c r="Y30" i="85" s="1"/>
  <c r="AA30" i="85" s="1"/>
  <c r="M130" i="67"/>
  <c r="M131" i="67" s="1"/>
  <c r="M135" i="67" s="1"/>
  <c r="DC57" i="53"/>
  <c r="M130" i="85" s="1"/>
  <c r="M131" i="85" s="1"/>
  <c r="M135" i="85" s="1"/>
  <c r="Z9" i="67"/>
  <c r="U126" i="67"/>
  <c r="Z126" i="67" s="1"/>
  <c r="AA51" i="67"/>
  <c r="BB57" i="53"/>
  <c r="W57" i="73"/>
  <c r="BR57" i="73" s="1"/>
  <c r="X57" i="73"/>
  <c r="AZ57" i="53"/>
  <c r="S57" i="73"/>
  <c r="BP57" i="73" s="1"/>
  <c r="T57" i="73"/>
  <c r="D15" i="49"/>
  <c r="J15" i="49" s="1"/>
  <c r="E15" i="49"/>
  <c r="K15" i="49" s="1"/>
  <c r="D29" i="49"/>
  <c r="J29" i="49" s="1"/>
  <c r="Y126" i="67" l="1"/>
  <c r="AA126" i="67" s="1"/>
  <c r="J131" i="85"/>
  <c r="Y126" i="85"/>
  <c r="AA126" i="85" s="1"/>
  <c r="L130" i="67"/>
  <c r="L131" i="67" s="1"/>
  <c r="L135" i="67" s="1"/>
  <c r="DB57" i="53"/>
  <c r="L130" i="85" s="1"/>
  <c r="L131" i="85" s="1"/>
  <c r="L135" i="85" s="1"/>
  <c r="N130" i="67"/>
  <c r="N131" i="67" s="1"/>
  <c r="N135" i="67" s="1"/>
  <c r="DD57" i="53"/>
  <c r="N130" i="85" s="1"/>
  <c r="N131" i="85" s="1"/>
  <c r="N135" i="85" s="1"/>
  <c r="J135" i="67"/>
  <c r="E43" i="49"/>
  <c r="K43" i="49" s="1"/>
  <c r="E29" i="49"/>
  <c r="K29" i="49" s="1"/>
  <c r="G43" i="49"/>
  <c r="M43" i="49" s="1"/>
  <c r="F43" i="49"/>
  <c r="L43" i="49" s="1"/>
  <c r="J135" i="85" l="1"/>
  <c r="O135" i="85" s="1"/>
  <c r="O131" i="85"/>
  <c r="O130" i="85"/>
  <c r="O130" i="67"/>
  <c r="O131" i="67"/>
  <c r="O135" i="67"/>
  <c r="F15" i="49"/>
  <c r="L15" i="49" s="1"/>
  <c r="G15" i="49"/>
  <c r="M15" i="49" s="1"/>
  <c r="F29" i="49"/>
  <c r="L29" i="49" s="1"/>
  <c r="G29" i="49" l="1"/>
  <c r="M29" i="49" s="1"/>
  <c r="H10" i="21" l="1"/>
  <c r="G10" i="21"/>
  <c r="F10" i="21"/>
  <c r="E10" i="21"/>
  <c r="D10" i="21"/>
  <c r="H7" i="20"/>
  <c r="G7" i="20"/>
  <c r="F7" i="20"/>
  <c r="E7" i="20"/>
  <c r="D7" i="20"/>
  <c r="H8" i="17"/>
  <c r="H14" i="17" s="1"/>
  <c r="H22" i="17" s="1"/>
  <c r="H33" i="17" s="1"/>
  <c r="H39" i="17" s="1"/>
  <c r="H47" i="17" s="1"/>
  <c r="H54" i="17" s="1"/>
  <c r="G8" i="17"/>
  <c r="G14" i="17" s="1"/>
  <c r="G22" i="17" s="1"/>
  <c r="G33" i="17" s="1"/>
  <c r="G39" i="17" s="1"/>
  <c r="G47" i="17" s="1"/>
  <c r="G54" i="17" s="1"/>
  <c r="F8" i="17"/>
  <c r="F14" i="17" s="1"/>
  <c r="F22" i="17" s="1"/>
  <c r="F33" i="17" s="1"/>
  <c r="F39" i="17" s="1"/>
  <c r="F47" i="17" s="1"/>
  <c r="F54" i="17" s="1"/>
  <c r="E8" i="17"/>
  <c r="E14" i="17" s="1"/>
  <c r="E22" i="17" s="1"/>
  <c r="E33" i="17" s="1"/>
  <c r="E39" i="17" s="1"/>
  <c r="E47" i="17" s="1"/>
  <c r="E54" i="17" s="1"/>
  <c r="D8" i="17"/>
  <c r="D14" i="17" s="1"/>
  <c r="D22" i="17" s="1"/>
  <c r="D33" i="17" s="1"/>
  <c r="D39" i="17" s="1"/>
  <c r="D47" i="17" s="1"/>
  <c r="D54" i="17" s="1"/>
  <c r="I7" i="16"/>
  <c r="R7" i="16" s="1"/>
  <c r="H7" i="16"/>
  <c r="Q7" i="16" s="1"/>
  <c r="G7" i="16"/>
  <c r="P7" i="16" s="1"/>
  <c r="F7" i="16"/>
  <c r="O7" i="16" s="1"/>
  <c r="E7" i="16"/>
  <c r="N7" i="16" s="1"/>
  <c r="D7" i="16"/>
  <c r="M7" i="16" s="1"/>
  <c r="K7" i="2"/>
  <c r="J7" i="2"/>
  <c r="I7" i="2"/>
  <c r="H7" i="2"/>
  <c r="G7" i="2"/>
  <c r="F7" i="2"/>
  <c r="E7" i="2"/>
  <c r="Q7" i="2" l="1"/>
  <c r="U7" i="2"/>
  <c r="A56" i="2"/>
  <c r="A53" i="2"/>
  <c r="T7" i="2"/>
  <c r="R7" i="2"/>
  <c r="S7" i="2"/>
  <c r="M7" i="2"/>
  <c r="V7" i="2" s="1"/>
  <c r="B82" i="35"/>
  <c r="A4" i="35"/>
  <c r="AP138" i="41" l="1"/>
  <c r="B225" i="82"/>
  <c r="A25" i="21"/>
  <c r="B32" i="20"/>
  <c r="E115" i="51"/>
  <c r="C151" i="77"/>
  <c r="C108" i="73"/>
  <c r="D287" i="50"/>
  <c r="E180" i="62"/>
  <c r="C71" i="60"/>
  <c r="C80" i="7"/>
  <c r="A5" i="5"/>
  <c r="A5" i="39"/>
  <c r="A46" i="47"/>
  <c r="B116" i="65"/>
  <c r="A114" i="76"/>
  <c r="C49" i="2"/>
  <c r="A132" i="74"/>
  <c r="A136" i="1"/>
  <c r="B45" i="58"/>
  <c r="B111" i="39"/>
  <c r="A49" i="48"/>
  <c r="A22" i="16"/>
  <c r="B116" i="53"/>
  <c r="B23" i="22"/>
  <c r="B80" i="49"/>
  <c r="B59" i="17"/>
  <c r="B43" i="5"/>
  <c r="E49" i="1"/>
  <c r="E44" i="1"/>
  <c r="E39" i="1"/>
  <c r="E10" i="2" s="1"/>
  <c r="AB5" i="78" l="1"/>
  <c r="AB5" i="83"/>
  <c r="A5" i="48"/>
  <c r="C5" i="7"/>
  <c r="A5" i="82"/>
  <c r="A4" i="16"/>
  <c r="A5" i="53"/>
  <c r="A5" i="50"/>
  <c r="A5" i="60"/>
  <c r="A5" i="77"/>
  <c r="A5" i="1"/>
  <c r="A5" i="58"/>
  <c r="A5" i="21"/>
  <c r="A6" i="22"/>
  <c r="A5" i="51"/>
  <c r="A5" i="17"/>
  <c r="A5" i="76"/>
  <c r="A5" i="74"/>
  <c r="A5" i="2"/>
  <c r="A5" i="49"/>
  <c r="A5" i="20"/>
  <c r="A5" i="65"/>
  <c r="A5" i="73"/>
  <c r="A5" i="62"/>
  <c r="E11" i="2"/>
  <c r="A5" i="47"/>
  <c r="A5" i="41"/>
  <c r="I93" i="1"/>
  <c r="AB6" i="78" l="1"/>
  <c r="AB6" i="83"/>
  <c r="G76" i="49"/>
  <c r="G62" i="49"/>
  <c r="AP33" i="67" l="1"/>
  <c r="M62" i="49"/>
  <c r="AP33" i="85" s="1"/>
  <c r="AP41" i="67"/>
  <c r="M76" i="49"/>
  <c r="AP41" i="85" s="1"/>
  <c r="F18" i="17"/>
  <c r="E18" i="17"/>
  <c r="H18" i="17"/>
  <c r="D18" i="17"/>
  <c r="G18" i="17"/>
  <c r="AS46" i="79" l="1"/>
  <c r="AM46" i="79" s="1"/>
  <c r="AS45" i="79"/>
  <c r="AM45" i="79" s="1"/>
  <c r="AT46" i="79"/>
  <c r="AN46" i="79" s="1"/>
  <c r="AT45" i="79"/>
  <c r="AN45" i="79" s="1"/>
  <c r="AV46" i="79"/>
  <c r="AP46" i="79" s="1"/>
  <c r="AV45" i="79"/>
  <c r="AP45" i="79" s="1"/>
  <c r="AR46" i="79"/>
  <c r="AL46" i="79" s="1"/>
  <c r="AR45" i="79"/>
  <c r="AL45" i="79" s="1"/>
  <c r="AU46" i="79"/>
  <c r="AO46" i="79" s="1"/>
  <c r="AU45" i="79"/>
  <c r="AO45" i="79" s="1"/>
  <c r="AR46" i="84"/>
  <c r="AL46" i="84" s="1"/>
  <c r="AR45" i="84"/>
  <c r="AL45" i="84" s="1"/>
  <c r="AV46" i="84"/>
  <c r="AP46" i="84" s="1"/>
  <c r="AV45" i="84"/>
  <c r="AP45" i="84" s="1"/>
  <c r="AS46" i="84"/>
  <c r="AM46" i="84" s="1"/>
  <c r="AS45" i="84"/>
  <c r="AM45" i="84" s="1"/>
  <c r="AT46" i="84"/>
  <c r="AN46" i="84" s="1"/>
  <c r="AT45" i="84"/>
  <c r="AN45" i="84" s="1"/>
  <c r="AU46" i="84"/>
  <c r="AO46" i="84" s="1"/>
  <c r="AU45" i="84"/>
  <c r="AO45" i="84" s="1"/>
  <c r="C76" i="49"/>
  <c r="C62" i="49"/>
  <c r="E76" i="49"/>
  <c r="E62" i="49"/>
  <c r="F76" i="49"/>
  <c r="F62" i="49"/>
  <c r="D62" i="49"/>
  <c r="D76" i="49"/>
  <c r="AM41" i="67" l="1"/>
  <c r="J76" i="49"/>
  <c r="AM41" i="85" s="1"/>
  <c r="AM33" i="67"/>
  <c r="J62" i="49"/>
  <c r="AM33" i="85" s="1"/>
  <c r="AN41" i="67"/>
  <c r="K76" i="49"/>
  <c r="AN41" i="85" s="1"/>
  <c r="AO33" i="67"/>
  <c r="L62" i="49"/>
  <c r="AO33" i="85" s="1"/>
  <c r="AO41" i="67"/>
  <c r="L76" i="49"/>
  <c r="AO41" i="85" s="1"/>
  <c r="AN33" i="67"/>
  <c r="K62" i="49"/>
  <c r="AN33" i="85" s="1"/>
  <c r="AL33" i="67"/>
  <c r="I62" i="49"/>
  <c r="AL33" i="85" s="1"/>
  <c r="AL41" i="67"/>
  <c r="I76" i="49"/>
  <c r="AL41" i="85" s="1"/>
  <c r="G93" i="1"/>
  <c r="H93" i="1"/>
  <c r="J93" i="1"/>
  <c r="G103" i="1"/>
  <c r="H103" i="1"/>
  <c r="I103" i="1"/>
  <c r="J103" i="1"/>
  <c r="G97" i="1" l="1"/>
  <c r="H97" i="1"/>
  <c r="H34" i="2" s="1"/>
  <c r="J97" i="1"/>
  <c r="J34" i="2" s="1"/>
  <c r="Q34" i="2"/>
  <c r="I97" i="1"/>
  <c r="I34" i="2" s="1"/>
  <c r="G34" i="1"/>
  <c r="H34" i="1"/>
  <c r="I34" i="1"/>
  <c r="J34" i="1"/>
  <c r="F39" i="1"/>
  <c r="G39" i="1"/>
  <c r="H39" i="1"/>
  <c r="I39" i="1"/>
  <c r="J39" i="1"/>
  <c r="F44" i="1"/>
  <c r="G44" i="1"/>
  <c r="H44" i="1"/>
  <c r="I44" i="1"/>
  <c r="J44" i="1"/>
  <c r="F49" i="1"/>
  <c r="G49" i="1"/>
  <c r="H49" i="1"/>
  <c r="I49" i="1"/>
  <c r="J49" i="1"/>
  <c r="I17" i="16"/>
  <c r="H17" i="16"/>
  <c r="G17" i="16"/>
  <c r="F17" i="16"/>
  <c r="E17" i="16"/>
  <c r="D17" i="16"/>
  <c r="C17" i="16"/>
  <c r="H26" i="17"/>
  <c r="G26" i="17"/>
  <c r="F26" i="17"/>
  <c r="E26" i="17"/>
  <c r="D26" i="17"/>
  <c r="AF29" i="78" l="1"/>
  <c r="AF29" i="83"/>
  <c r="AG29" i="78"/>
  <c r="AG29" i="83"/>
  <c r="AE29" i="78"/>
  <c r="AE29" i="83"/>
  <c r="AM26" i="79"/>
  <c r="L17" i="16"/>
  <c r="AM26" i="84" s="1"/>
  <c r="AN26" i="79"/>
  <c r="M17" i="16"/>
  <c r="AN26" i="84" s="1"/>
  <c r="AO26" i="79"/>
  <c r="N17" i="16"/>
  <c r="AO26" i="84" s="1"/>
  <c r="AP26" i="79"/>
  <c r="O17" i="16"/>
  <c r="AP26" i="84" s="1"/>
  <c r="AQ26" i="79"/>
  <c r="P17" i="16"/>
  <c r="AQ26" i="84" s="1"/>
  <c r="AR26" i="79"/>
  <c r="Q17" i="16"/>
  <c r="AR26" i="84" s="1"/>
  <c r="AS26" i="79"/>
  <c r="R17" i="16"/>
  <c r="AS26" i="84" s="1"/>
  <c r="G10" i="2"/>
  <c r="AD5" i="83" s="1"/>
  <c r="G11" i="2"/>
  <c r="G34" i="2"/>
  <c r="J11" i="2"/>
  <c r="F11" i="2"/>
  <c r="I11" i="2"/>
  <c r="AF6" i="83" s="1"/>
  <c r="H11" i="2"/>
  <c r="AE6" i="83" s="1"/>
  <c r="F10" i="2"/>
  <c r="AC5" i="83" s="1"/>
  <c r="I10" i="2"/>
  <c r="AF5" i="83" s="1"/>
  <c r="J10" i="2"/>
  <c r="AG5" i="83" s="1"/>
  <c r="H10" i="2"/>
  <c r="AE5" i="83" s="1"/>
  <c r="T34" i="2"/>
  <c r="V34" i="2"/>
  <c r="U34" i="2"/>
  <c r="S34" i="2" l="1"/>
  <c r="AD29" i="83"/>
  <c r="AD6" i="78"/>
  <c r="AD6" i="83"/>
  <c r="AG6" i="78"/>
  <c r="AG6" i="83"/>
  <c r="AC6" i="78"/>
  <c r="AC6" i="83"/>
  <c r="AG5" i="78"/>
  <c r="U10" i="2"/>
  <c r="V10" i="2"/>
  <c r="AF5" i="78"/>
  <c r="T10" i="2"/>
  <c r="Q11" i="2"/>
  <c r="AE5" i="78"/>
  <c r="S10" i="2"/>
  <c r="S11" i="2"/>
  <c r="AE6" i="78"/>
  <c r="T11" i="2"/>
  <c r="AF6" i="78"/>
  <c r="R34" i="2"/>
  <c r="AD29" i="78"/>
  <c r="AC5" i="78"/>
  <c r="Q10" i="2"/>
  <c r="AD5" i="78"/>
  <c r="R10" i="2"/>
  <c r="V11" i="2"/>
  <c r="U11" i="2"/>
  <c r="R11" i="2"/>
  <c r="AL15" i="67"/>
  <c r="C44" i="49"/>
  <c r="AL7" i="67"/>
  <c r="AL23" i="67" l="1"/>
  <c r="I44" i="49"/>
  <c r="AL23" i="85" s="1"/>
  <c r="D16" i="49"/>
  <c r="D44" i="49"/>
  <c r="AM15" i="67"/>
  <c r="AM23" i="67" l="1"/>
  <c r="J44" i="49"/>
  <c r="AM23" i="85" s="1"/>
  <c r="AM7" i="67"/>
  <c r="J16" i="49"/>
  <c r="AM7" i="85" s="1"/>
  <c r="E30" i="49"/>
  <c r="E16" i="49"/>
  <c r="E44" i="49"/>
  <c r="AN7" i="67" l="1"/>
  <c r="K16" i="49"/>
  <c r="AN7" i="85" s="1"/>
  <c r="AN15" i="67"/>
  <c r="K30" i="49"/>
  <c r="AN15" i="85" s="1"/>
  <c r="AN23" i="67"/>
  <c r="K44" i="49"/>
  <c r="AN23" i="85" s="1"/>
  <c r="F44" i="49"/>
  <c r="F16" i="49"/>
  <c r="F30" i="49"/>
  <c r="AO23" i="67" l="1"/>
  <c r="L44" i="49"/>
  <c r="AO23" i="85" s="1"/>
  <c r="AO7" i="67"/>
  <c r="L16" i="49"/>
  <c r="AO7" i="85" s="1"/>
  <c r="AO15" i="67"/>
  <c r="L30" i="49"/>
  <c r="AO15" i="85" s="1"/>
  <c r="G30" i="49"/>
  <c r="G44" i="49"/>
  <c r="G16" i="49"/>
  <c r="AP15" i="67" l="1"/>
  <c r="M30" i="49"/>
  <c r="AP15" i="85" s="1"/>
  <c r="AP23" i="67"/>
  <c r="M44" i="49"/>
  <c r="AP23" i="85" s="1"/>
  <c r="AP7" i="67"/>
  <c r="M16" i="49"/>
  <c r="AP7" i="85" s="1"/>
  <c r="F26" i="47"/>
  <c r="X12" i="67"/>
  <c r="X129" i="67" s="1"/>
  <c r="E26" i="47"/>
  <c r="W12" i="67"/>
  <c r="W129" i="67" s="1"/>
  <c r="G26" i="47"/>
  <c r="Y12" i="67"/>
  <c r="C26" i="47"/>
  <c r="U12" i="67"/>
  <c r="D26" i="47"/>
  <c r="V12" i="67"/>
  <c r="V129" i="67" s="1"/>
  <c r="I63" i="73"/>
  <c r="H63" i="73"/>
  <c r="G63" i="73"/>
  <c r="F63" i="73"/>
  <c r="M63" i="73"/>
  <c r="L63" i="73"/>
  <c r="E63" i="73"/>
  <c r="D63" i="73"/>
  <c r="K63" i="73"/>
  <c r="J63" i="73"/>
  <c r="F24" i="48" l="1"/>
  <c r="M24" i="48" s="1"/>
  <c r="M26" i="47"/>
  <c r="C24" i="48"/>
  <c r="J24" i="48" s="1"/>
  <c r="J26" i="47"/>
  <c r="G24" i="48"/>
  <c r="N24" i="48" s="1"/>
  <c r="N26" i="47"/>
  <c r="D24" i="48"/>
  <c r="K24" i="48" s="1"/>
  <c r="K26" i="47"/>
  <c r="E24" i="48"/>
  <c r="L24" i="48" s="1"/>
  <c r="L26" i="47"/>
  <c r="M103" i="73"/>
  <c r="BL63" i="73"/>
  <c r="I103" i="73"/>
  <c r="BJ63" i="73"/>
  <c r="G103" i="73"/>
  <c r="BI63" i="73"/>
  <c r="K103" i="73"/>
  <c r="BK63" i="73"/>
  <c r="E103" i="73"/>
  <c r="BH63" i="73"/>
  <c r="AA12" i="67"/>
  <c r="U129" i="67"/>
  <c r="Z129" i="67" s="1"/>
  <c r="Z12" i="67"/>
  <c r="Y129" i="67"/>
  <c r="AA129" i="67" s="1"/>
  <c r="C59" i="53"/>
  <c r="T11" i="67" l="1"/>
  <c r="BJ59" i="53"/>
  <c r="T11" i="85" s="1"/>
  <c r="C100" i="53"/>
  <c r="C59" i="73"/>
  <c r="BG59" i="73" s="1"/>
  <c r="K11" i="53"/>
  <c r="BQ11" i="53" s="1"/>
  <c r="T26" i="85" s="1"/>
  <c r="N11" i="53"/>
  <c r="M11" i="53"/>
  <c r="L11" i="53"/>
  <c r="BR11" i="53" s="1"/>
  <c r="U26" i="85" s="1"/>
  <c r="P11" i="53"/>
  <c r="O11" i="53"/>
  <c r="Z26" i="85" l="1"/>
  <c r="V26" i="67"/>
  <c r="BS11" i="53"/>
  <c r="V26" i="85" s="1"/>
  <c r="W26" i="67"/>
  <c r="BT11" i="53"/>
  <c r="W26" i="85" s="1"/>
  <c r="C111" i="53"/>
  <c r="BJ111" i="53" s="1"/>
  <c r="BJ100" i="53"/>
  <c r="X26" i="67"/>
  <c r="BU11" i="53"/>
  <c r="X26" i="85" s="1"/>
  <c r="Y26" i="67"/>
  <c r="BV11" i="53"/>
  <c r="Y26" i="85" s="1"/>
  <c r="U26" i="67"/>
  <c r="R11" i="53"/>
  <c r="Q11" i="53"/>
  <c r="BW11" i="53" s="1"/>
  <c r="N11" i="73"/>
  <c r="BM11" i="73" s="1"/>
  <c r="T26" i="67"/>
  <c r="R11" i="73"/>
  <c r="Q11" i="73"/>
  <c r="W11" i="73"/>
  <c r="BR11" i="73" s="1"/>
  <c r="X11" i="73"/>
  <c r="O11" i="73"/>
  <c r="P11" i="73"/>
  <c r="V11" i="73"/>
  <c r="U11" i="73"/>
  <c r="S11" i="73"/>
  <c r="T11" i="73"/>
  <c r="K59" i="53"/>
  <c r="AA26" i="67" l="1"/>
  <c r="AA26" i="85"/>
  <c r="V100" i="73"/>
  <c r="BQ11" i="73"/>
  <c r="T100" i="73"/>
  <c r="BP11" i="73"/>
  <c r="P100" i="73"/>
  <c r="BN11" i="73"/>
  <c r="R100" i="73"/>
  <c r="BO11" i="73"/>
  <c r="T32" i="67"/>
  <c r="T128" i="67" s="1"/>
  <c r="BQ59" i="53"/>
  <c r="T32" i="85" s="1"/>
  <c r="Z26" i="67"/>
  <c r="N59" i="73"/>
  <c r="BM59" i="73" s="1"/>
  <c r="B25" i="47"/>
  <c r="K100" i="53"/>
  <c r="K88" i="53"/>
  <c r="BQ88" i="53" s="1"/>
  <c r="T36" i="67" l="1"/>
  <c r="T128" i="85"/>
  <c r="T36" i="85"/>
  <c r="B23" i="48"/>
  <c r="I23" i="48" s="1"/>
  <c r="I25" i="47"/>
  <c r="K111" i="53"/>
  <c r="BQ111" i="53" s="1"/>
  <c r="BQ100" i="53"/>
  <c r="K95" i="53"/>
  <c r="N88" i="73"/>
  <c r="BM88" i="73" s="1"/>
  <c r="K91" i="53"/>
  <c r="BQ91" i="53" s="1"/>
  <c r="E87" i="1"/>
  <c r="N95" i="73" l="1"/>
  <c r="BM95" i="73" s="1"/>
  <c r="BQ95" i="53"/>
  <c r="E29" i="2"/>
  <c r="U87" i="1"/>
  <c r="K93" i="53"/>
  <c r="BQ93" i="53" s="1"/>
  <c r="T39" i="85" s="1"/>
  <c r="N91" i="73"/>
  <c r="BM91" i="73" s="1"/>
  <c r="C11" i="16"/>
  <c r="AB24" i="78" l="1"/>
  <c r="AB24" i="83"/>
  <c r="C13" i="16"/>
  <c r="L13" i="16" s="1"/>
  <c r="AM22" i="84" s="1"/>
  <c r="L11" i="16"/>
  <c r="N93" i="73"/>
  <c r="BM93" i="73" s="1"/>
  <c r="T39" i="67"/>
  <c r="P59" i="53"/>
  <c r="AV44" i="79" s="1"/>
  <c r="AP44" i="79" s="1"/>
  <c r="N59" i="53"/>
  <c r="AT44" i="79" s="1"/>
  <c r="AN44" i="79" s="1"/>
  <c r="V59" i="53"/>
  <c r="M59" i="53"/>
  <c r="AS44" i="79" s="1"/>
  <c r="AM44" i="79" s="1"/>
  <c r="L59" i="53"/>
  <c r="O59" i="53"/>
  <c r="AU44" i="79" s="1"/>
  <c r="AO44" i="79" s="1"/>
  <c r="W59" i="53"/>
  <c r="X59" i="53"/>
  <c r="AV52" i="79" s="1"/>
  <c r="AP52" i="79" s="1"/>
  <c r="U59" i="53"/>
  <c r="T59" i="53"/>
  <c r="F59" i="53"/>
  <c r="G59" i="53"/>
  <c r="E59" i="53"/>
  <c r="AS36" i="79" s="1"/>
  <c r="AM36" i="79" s="1"/>
  <c r="D59" i="53"/>
  <c r="H59" i="53"/>
  <c r="AV36" i="79" s="1"/>
  <c r="AP36" i="79" s="1"/>
  <c r="BY59" i="53" l="1"/>
  <c r="BR59" i="53"/>
  <c r="U32" i="85" s="1"/>
  <c r="Z32" i="85" s="1"/>
  <c r="AR44" i="79"/>
  <c r="AL44" i="79" s="1"/>
  <c r="BK59" i="53"/>
  <c r="AR36" i="79"/>
  <c r="AL36" i="79" s="1"/>
  <c r="BN59" i="53"/>
  <c r="BM59" i="53"/>
  <c r="W11" i="85" s="1"/>
  <c r="AT36" i="79"/>
  <c r="AN36" i="79" s="1"/>
  <c r="U53" i="85"/>
  <c r="Z53" i="85" s="1"/>
  <c r="AR44" i="84"/>
  <c r="AL44" i="84" s="1"/>
  <c r="AR36" i="84"/>
  <c r="AL36" i="84" s="1"/>
  <c r="AM22" i="79"/>
  <c r="C19" i="16"/>
  <c r="V32" i="67"/>
  <c r="BS59" i="53"/>
  <c r="V53" i="67"/>
  <c r="BZ59" i="53"/>
  <c r="Y11" i="67"/>
  <c r="BO59" i="53"/>
  <c r="W53" i="67"/>
  <c r="CA59" i="53"/>
  <c r="W32" i="67"/>
  <c r="BT59" i="53"/>
  <c r="Y32" i="67"/>
  <c r="BV59" i="53"/>
  <c r="Y53" i="67"/>
  <c r="CC59" i="53"/>
  <c r="AV52" i="84" s="1"/>
  <c r="AP52" i="84" s="1"/>
  <c r="X53" i="67"/>
  <c r="CB59" i="53"/>
  <c r="X32" i="67"/>
  <c r="BU59" i="53"/>
  <c r="V11" i="67"/>
  <c r="BL59" i="53"/>
  <c r="U11" i="67"/>
  <c r="I59" i="53"/>
  <c r="BP59" i="53" s="1"/>
  <c r="J59" i="53"/>
  <c r="U53" i="67"/>
  <c r="Z53" i="67" s="1"/>
  <c r="Z59" i="53"/>
  <c r="Y59" i="53"/>
  <c r="CD59" i="53" s="1"/>
  <c r="U32" i="67"/>
  <c r="Z32" i="67" s="1"/>
  <c r="R59" i="53"/>
  <c r="Q59" i="53"/>
  <c r="BW59" i="53" s="1"/>
  <c r="F25" i="47"/>
  <c r="X11" i="67"/>
  <c r="E25" i="47"/>
  <c r="W11" i="67"/>
  <c r="C25" i="47"/>
  <c r="G25" i="47"/>
  <c r="D25" i="47"/>
  <c r="G100" i="53"/>
  <c r="K59" i="73"/>
  <c r="J59" i="73"/>
  <c r="AE59" i="73"/>
  <c r="AD59" i="73"/>
  <c r="AI59" i="73"/>
  <c r="AH59" i="73"/>
  <c r="M100" i="53"/>
  <c r="Q59" i="73"/>
  <c r="R59" i="73"/>
  <c r="M59" i="73"/>
  <c r="L59" i="73"/>
  <c r="F100" i="53"/>
  <c r="I59" i="73"/>
  <c r="H59" i="73"/>
  <c r="AF59" i="73"/>
  <c r="AG59" i="73"/>
  <c r="D100" i="53"/>
  <c r="E59" i="73"/>
  <c r="D59" i="73"/>
  <c r="AA59" i="73"/>
  <c r="Z59" i="73"/>
  <c r="U59" i="73"/>
  <c r="V59" i="73"/>
  <c r="N100" i="53"/>
  <c r="S59" i="73"/>
  <c r="T59" i="73"/>
  <c r="E100" i="53"/>
  <c r="G59" i="73"/>
  <c r="F59" i="73"/>
  <c r="AC59" i="73"/>
  <c r="AB59" i="73"/>
  <c r="L100" i="53"/>
  <c r="O59" i="73"/>
  <c r="P59" i="73"/>
  <c r="W59" i="73"/>
  <c r="X59" i="73"/>
  <c r="H100" i="53"/>
  <c r="P100" i="53"/>
  <c r="V100" i="53"/>
  <c r="U100" i="53"/>
  <c r="T100" i="53"/>
  <c r="O100" i="53"/>
  <c r="X100" i="53"/>
  <c r="W100" i="53"/>
  <c r="U11" i="85" l="1"/>
  <c r="AT36" i="84"/>
  <c r="AN36" i="84" s="1"/>
  <c r="AA11" i="67"/>
  <c r="X128" i="67"/>
  <c r="V128" i="67"/>
  <c r="X11" i="85"/>
  <c r="AV44" i="84"/>
  <c r="AP44" i="84" s="1"/>
  <c r="Y32" i="85"/>
  <c r="AA32" i="85" s="1"/>
  <c r="AU44" i="84"/>
  <c r="AO44" i="84" s="1"/>
  <c r="X32" i="85"/>
  <c r="AT44" i="84"/>
  <c r="AN44" i="84" s="1"/>
  <c r="W32" i="85"/>
  <c r="AS44" i="84"/>
  <c r="AM44" i="84" s="1"/>
  <c r="V32" i="85"/>
  <c r="Z11" i="85"/>
  <c r="U128" i="85"/>
  <c r="Z128" i="85" s="1"/>
  <c r="V53" i="85"/>
  <c r="X53" i="85"/>
  <c r="W53" i="85"/>
  <c r="AS36" i="84"/>
  <c r="AM36" i="84" s="1"/>
  <c r="V11" i="85"/>
  <c r="Y53" i="85"/>
  <c r="AA53" i="85" s="1"/>
  <c r="AV36" i="84"/>
  <c r="AP36" i="84" s="1"/>
  <c r="Y11" i="85"/>
  <c r="D23" i="48"/>
  <c r="K23" i="48" s="1"/>
  <c r="K25" i="47"/>
  <c r="G23" i="48"/>
  <c r="N23" i="48" s="1"/>
  <c r="N25" i="47"/>
  <c r="C23" i="48"/>
  <c r="J23" i="48" s="1"/>
  <c r="J25" i="47"/>
  <c r="F23" i="48"/>
  <c r="M23" i="48" s="1"/>
  <c r="M25" i="47"/>
  <c r="E23" i="48"/>
  <c r="L23" i="48" s="1"/>
  <c r="L25" i="47"/>
  <c r="K102" i="73"/>
  <c r="BK59" i="73"/>
  <c r="AC102" i="73"/>
  <c r="BU59" i="73"/>
  <c r="T102" i="73"/>
  <c r="BP59" i="73"/>
  <c r="AG102" i="73"/>
  <c r="BW59" i="73"/>
  <c r="I102" i="73"/>
  <c r="BJ59" i="73"/>
  <c r="AE102" i="73"/>
  <c r="BV59" i="73"/>
  <c r="P102" i="73"/>
  <c r="BN59" i="73"/>
  <c r="R102" i="73"/>
  <c r="BO59" i="73"/>
  <c r="V102" i="73"/>
  <c r="BQ59" i="73"/>
  <c r="AI102" i="73"/>
  <c r="BX59" i="73"/>
  <c r="G102" i="73"/>
  <c r="BI59" i="73"/>
  <c r="AA102" i="73"/>
  <c r="BT59" i="73"/>
  <c r="X102" i="73"/>
  <c r="BR59" i="73"/>
  <c r="E102" i="73"/>
  <c r="BH59" i="73"/>
  <c r="M102" i="73"/>
  <c r="BL59" i="73"/>
  <c r="Y128" i="67"/>
  <c r="AA128" i="67" s="1"/>
  <c r="T111" i="53"/>
  <c r="BY111" i="53" s="1"/>
  <c r="BY100" i="53"/>
  <c r="D111" i="53"/>
  <c r="BK111" i="53" s="1"/>
  <c r="BK100" i="53"/>
  <c r="L111" i="53"/>
  <c r="BR111" i="53" s="1"/>
  <c r="BR100" i="53"/>
  <c r="G111" i="53"/>
  <c r="BN111" i="53" s="1"/>
  <c r="BN100" i="53"/>
  <c r="V111" i="53"/>
  <c r="CA111" i="53" s="1"/>
  <c r="CA100" i="53"/>
  <c r="M111" i="53"/>
  <c r="BS111" i="53" s="1"/>
  <c r="BS100" i="53"/>
  <c r="P111" i="53"/>
  <c r="BV111" i="53" s="1"/>
  <c r="BV100" i="53"/>
  <c r="F111" i="53"/>
  <c r="BM111" i="53" s="1"/>
  <c r="BM100" i="53"/>
  <c r="W128" i="67"/>
  <c r="X111" i="53"/>
  <c r="CC111" i="53" s="1"/>
  <c r="CC100" i="53"/>
  <c r="E111" i="53"/>
  <c r="BL111" i="53" s="1"/>
  <c r="BL100" i="53"/>
  <c r="U111" i="53"/>
  <c r="BZ111" i="53" s="1"/>
  <c r="BZ100" i="53"/>
  <c r="N111" i="53"/>
  <c r="BT111" i="53" s="1"/>
  <c r="BT100" i="53"/>
  <c r="H111" i="53"/>
  <c r="BO111" i="53" s="1"/>
  <c r="BO100" i="53"/>
  <c r="W111" i="53"/>
  <c r="CB111" i="53" s="1"/>
  <c r="CB100" i="53"/>
  <c r="O111" i="53"/>
  <c r="BU111" i="53" s="1"/>
  <c r="BU100" i="53"/>
  <c r="AA32" i="67"/>
  <c r="U128" i="67"/>
  <c r="Z128" i="67" s="1"/>
  <c r="Z11" i="67"/>
  <c r="AA53" i="67"/>
  <c r="D11" i="16"/>
  <c r="W128" i="85" l="1"/>
  <c r="X128" i="85"/>
  <c r="AA11" i="85"/>
  <c r="Y128" i="85"/>
  <c r="AA128" i="85" s="1"/>
  <c r="V128" i="85"/>
  <c r="D13" i="16"/>
  <c r="M13" i="16" s="1"/>
  <c r="AN22" i="84" s="1"/>
  <c r="M11" i="16"/>
  <c r="S55" i="53"/>
  <c r="BX55" i="53" s="1"/>
  <c r="T49" i="85" s="1"/>
  <c r="T57" i="85" s="1"/>
  <c r="D19" i="16" l="1"/>
  <c r="AN22" i="79"/>
  <c r="Y55" i="73"/>
  <c r="BS55" i="73" s="1"/>
  <c r="T49" i="67"/>
  <c r="S88" i="53"/>
  <c r="Y88" i="73" l="1"/>
  <c r="BS88" i="73" s="1"/>
  <c r="BX88" i="53"/>
  <c r="T57" i="67"/>
  <c r="S95" i="53"/>
  <c r="S91" i="53"/>
  <c r="E89" i="1"/>
  <c r="S93" i="53" l="1"/>
  <c r="BX93" i="53" s="1"/>
  <c r="T60" i="85" s="1"/>
  <c r="BX91" i="53"/>
  <c r="Y95" i="73"/>
  <c r="BS95" i="73" s="1"/>
  <c r="BX95" i="53"/>
  <c r="E30" i="2"/>
  <c r="U89" i="1"/>
  <c r="Y91" i="73"/>
  <c r="BS91" i="73" s="1"/>
  <c r="C11" i="53"/>
  <c r="AB25" i="78" l="1"/>
  <c r="AB25" i="83"/>
  <c r="T5" i="67"/>
  <c r="T122" i="67" s="1"/>
  <c r="BJ11" i="53"/>
  <c r="T5" i="85" s="1"/>
  <c r="Y93" i="73"/>
  <c r="BS93" i="73" s="1"/>
  <c r="T60" i="67"/>
  <c r="C11" i="73"/>
  <c r="BG11" i="73" s="1"/>
  <c r="B23" i="47"/>
  <c r="I23" i="47" s="1"/>
  <c r="T122" i="85" l="1"/>
  <c r="B21" i="48"/>
  <c r="T11" i="53"/>
  <c r="BY11" i="53" s="1"/>
  <c r="U47" i="85" s="1"/>
  <c r="T89" i="53"/>
  <c r="U11" i="53"/>
  <c r="U89" i="53"/>
  <c r="BY89" i="53" l="1"/>
  <c r="Z47" i="85"/>
  <c r="B20" i="48"/>
  <c r="I21" i="48"/>
  <c r="V63" i="67"/>
  <c r="BZ89" i="53"/>
  <c r="V47" i="67"/>
  <c r="BZ11" i="53"/>
  <c r="V47" i="85" s="1"/>
  <c r="U63" i="67"/>
  <c r="Z63" i="67" s="1"/>
  <c r="Z89" i="53"/>
  <c r="Y89" i="53"/>
  <c r="CD89" i="53" s="1"/>
  <c r="U47" i="67"/>
  <c r="Z47" i="67" s="1"/>
  <c r="Z11" i="53"/>
  <c r="Y11" i="53"/>
  <c r="CD11" i="53" s="1"/>
  <c r="AB89" i="73"/>
  <c r="BU89" i="73" s="1"/>
  <c r="AC89" i="73"/>
  <c r="Z89" i="73"/>
  <c r="BT89" i="73" s="1"/>
  <c r="AA89" i="73"/>
  <c r="AB11" i="73"/>
  <c r="AC11" i="73"/>
  <c r="Z11" i="73"/>
  <c r="AA11" i="73"/>
  <c r="U102" i="53"/>
  <c r="T102" i="53"/>
  <c r="V89" i="53"/>
  <c r="V11" i="53"/>
  <c r="U63" i="85" l="1"/>
  <c r="Z63" i="85" s="1"/>
  <c r="V63" i="85"/>
  <c r="B19" i="48"/>
  <c r="I19" i="48" s="1"/>
  <c r="I20" i="48"/>
  <c r="AC100" i="73"/>
  <c r="BU11" i="73"/>
  <c r="AA100" i="73"/>
  <c r="BT11" i="73"/>
  <c r="W63" i="67"/>
  <c r="CA89" i="53"/>
  <c r="W47" i="67"/>
  <c r="CA11" i="53"/>
  <c r="W47" i="85" s="1"/>
  <c r="T113" i="53"/>
  <c r="BY113" i="53" s="1"/>
  <c r="BY102" i="53"/>
  <c r="U113" i="53"/>
  <c r="BZ113" i="53" s="1"/>
  <c r="BZ102" i="53"/>
  <c r="AD89" i="73"/>
  <c r="BV89" i="73" s="1"/>
  <c r="AE89" i="73"/>
  <c r="AE11" i="73"/>
  <c r="AD11" i="73"/>
  <c r="V102" i="53"/>
  <c r="W11" i="53"/>
  <c r="W89" i="53"/>
  <c r="W63" i="85" l="1"/>
  <c r="AE100" i="73"/>
  <c r="BV11" i="73"/>
  <c r="V113" i="53"/>
  <c r="CA113" i="53" s="1"/>
  <c r="CA102" i="53"/>
  <c r="X63" i="67"/>
  <c r="CB89" i="53"/>
  <c r="X47" i="67"/>
  <c r="CB11" i="53"/>
  <c r="X47" i="85" s="1"/>
  <c r="AF89" i="73"/>
  <c r="BW89" i="73" s="1"/>
  <c r="AG89" i="73"/>
  <c r="AG11" i="73"/>
  <c r="AF11" i="73"/>
  <c r="W102" i="53"/>
  <c r="X11" i="53"/>
  <c r="X89" i="53"/>
  <c r="AV53" i="79" s="1"/>
  <c r="AP53" i="79" s="1"/>
  <c r="E80" i="1"/>
  <c r="BW11" i="73" l="1"/>
  <c r="AG100" i="73"/>
  <c r="X63" i="85"/>
  <c r="Y63" i="67"/>
  <c r="AA63" i="67" s="1"/>
  <c r="CC89" i="53"/>
  <c r="AV53" i="84" s="1"/>
  <c r="AP53" i="84" s="1"/>
  <c r="Y47" i="67"/>
  <c r="AA47" i="67" s="1"/>
  <c r="CC11" i="53"/>
  <c r="Y47" i="85" s="1"/>
  <c r="W113" i="53"/>
  <c r="CB113" i="53" s="1"/>
  <c r="CB102" i="53"/>
  <c r="E23" i="2"/>
  <c r="AB18" i="83" s="1"/>
  <c r="AH89" i="73"/>
  <c r="BX89" i="73" s="1"/>
  <c r="AI89" i="73"/>
  <c r="AH11" i="73"/>
  <c r="AI11" i="73"/>
  <c r="X102" i="53"/>
  <c r="F89" i="53"/>
  <c r="AT37" i="79" s="1"/>
  <c r="AN37" i="79" s="1"/>
  <c r="F11" i="53"/>
  <c r="BM11" i="53" s="1"/>
  <c r="W5" i="85" s="1"/>
  <c r="G89" i="53"/>
  <c r="G11" i="53"/>
  <c r="BN11" i="53" s="1"/>
  <c r="X5" i="85" s="1"/>
  <c r="BX11" i="73" l="1"/>
  <c r="AI100" i="73"/>
  <c r="AA47" i="85"/>
  <c r="Y63" i="85"/>
  <c r="AA63" i="85" s="1"/>
  <c r="X122" i="85"/>
  <c r="W122" i="85"/>
  <c r="X21" i="67"/>
  <c r="X138" i="67" s="1"/>
  <c r="BN89" i="53"/>
  <c r="W21" i="67"/>
  <c r="W138" i="67" s="1"/>
  <c r="BM89" i="53"/>
  <c r="X113" i="53"/>
  <c r="CC113" i="53" s="1"/>
  <c r="CC102" i="53"/>
  <c r="Q23" i="2"/>
  <c r="AB18" i="78"/>
  <c r="E23" i="47"/>
  <c r="W5" i="67"/>
  <c r="W122" i="67" s="1"/>
  <c r="F23" i="47"/>
  <c r="X5" i="67"/>
  <c r="X122" i="67" s="1"/>
  <c r="K89" i="73"/>
  <c r="J89" i="73"/>
  <c r="BK89" i="73" s="1"/>
  <c r="I89" i="73"/>
  <c r="H89" i="73"/>
  <c r="BJ89" i="73" s="1"/>
  <c r="I11" i="73"/>
  <c r="H11" i="73"/>
  <c r="J11" i="73"/>
  <c r="K11" i="73"/>
  <c r="F102" i="53"/>
  <c r="G102" i="53"/>
  <c r="D89" i="53"/>
  <c r="D11" i="53"/>
  <c r="BK11" i="53" s="1"/>
  <c r="U5" i="85" s="1"/>
  <c r="BK89" i="53" l="1"/>
  <c r="AR37" i="79"/>
  <c r="AL37" i="79" s="1"/>
  <c r="AR37" i="84"/>
  <c r="AL37" i="84" s="1"/>
  <c r="U21" i="85"/>
  <c r="AT37" i="84"/>
  <c r="AN37" i="84" s="1"/>
  <c r="W21" i="85"/>
  <c r="W138" i="85" s="1"/>
  <c r="X21" i="85"/>
  <c r="X138" i="85" s="1"/>
  <c r="Z5" i="85"/>
  <c r="U122" i="85"/>
  <c r="F21" i="48"/>
  <c r="M21" i="48" s="1"/>
  <c r="M23" i="47"/>
  <c r="E21" i="48"/>
  <c r="L21" i="48" s="1"/>
  <c r="L23" i="47"/>
  <c r="K100" i="73"/>
  <c r="BK11" i="73"/>
  <c r="I100" i="73"/>
  <c r="BJ11" i="73"/>
  <c r="G113" i="53"/>
  <c r="BN113" i="53" s="1"/>
  <c r="BN102" i="53"/>
  <c r="F113" i="53"/>
  <c r="BM113" i="53" s="1"/>
  <c r="BM102" i="53"/>
  <c r="J11" i="53"/>
  <c r="I11" i="53"/>
  <c r="BP11" i="53" s="1"/>
  <c r="U21" i="67"/>
  <c r="U138" i="67" s="1"/>
  <c r="Z138" i="67" s="1"/>
  <c r="J89" i="53"/>
  <c r="I89" i="53"/>
  <c r="BP89" i="53" s="1"/>
  <c r="C23" i="47"/>
  <c r="U5" i="67"/>
  <c r="E89" i="73"/>
  <c r="D89" i="73"/>
  <c r="BH89" i="73" s="1"/>
  <c r="D11" i="73"/>
  <c r="E11" i="73"/>
  <c r="D102" i="53"/>
  <c r="E89" i="53"/>
  <c r="AS37" i="79" s="1"/>
  <c r="AM37" i="79" s="1"/>
  <c r="E11" i="53"/>
  <c r="BL11" i="53" s="1"/>
  <c r="V5" i="85" s="1"/>
  <c r="H89" i="53"/>
  <c r="AV37" i="79" s="1"/>
  <c r="AP37" i="79" s="1"/>
  <c r="H11" i="53"/>
  <c r="BO11" i="53" s="1"/>
  <c r="Y5" i="85" s="1"/>
  <c r="AA5" i="85" l="1"/>
  <c r="Y122" i="85"/>
  <c r="Z122" i="85"/>
  <c r="V122" i="85"/>
  <c r="Z21" i="85"/>
  <c r="U138" i="85"/>
  <c r="Z138" i="85" s="1"/>
  <c r="C21" i="48"/>
  <c r="J21" i="48" s="1"/>
  <c r="J23" i="47"/>
  <c r="E100" i="73"/>
  <c r="BH11" i="73"/>
  <c r="D113" i="53"/>
  <c r="BK113" i="53" s="1"/>
  <c r="BK102" i="53"/>
  <c r="Y21" i="67"/>
  <c r="Y138" i="67" s="1"/>
  <c r="AA138" i="67" s="1"/>
  <c r="BO89" i="53"/>
  <c r="V21" i="67"/>
  <c r="V138" i="67" s="1"/>
  <c r="BL89" i="53"/>
  <c r="Z21" i="67"/>
  <c r="G23" i="47"/>
  <c r="Y5" i="67"/>
  <c r="AA5" i="67" s="1"/>
  <c r="D23" i="47"/>
  <c r="V5" i="67"/>
  <c r="V122" i="67" s="1"/>
  <c r="Z5" i="67"/>
  <c r="U122" i="67"/>
  <c r="Z122" i="67" s="1"/>
  <c r="G89" i="73"/>
  <c r="F89" i="73"/>
  <c r="BI89" i="73" s="1"/>
  <c r="M89" i="73"/>
  <c r="L89" i="73"/>
  <c r="BL89" i="73" s="1"/>
  <c r="M11" i="73"/>
  <c r="L11" i="73"/>
  <c r="F11" i="73"/>
  <c r="G11" i="73"/>
  <c r="E102" i="53"/>
  <c r="H102" i="53"/>
  <c r="AS37" i="84" l="1"/>
  <c r="AM37" i="84" s="1"/>
  <c r="V21" i="85"/>
  <c r="V138" i="85" s="1"/>
  <c r="AA122" i="85"/>
  <c r="AV37" i="84"/>
  <c r="AP37" i="84" s="1"/>
  <c r="Y21" i="85"/>
  <c r="AA21" i="67"/>
  <c r="G21" i="48"/>
  <c r="N21" i="48" s="1"/>
  <c r="N23" i="47"/>
  <c r="D21" i="48"/>
  <c r="K21" i="48" s="1"/>
  <c r="K23" i="47"/>
  <c r="G100" i="73"/>
  <c r="BI11" i="73"/>
  <c r="M100" i="73"/>
  <c r="BL11" i="73"/>
  <c r="E113" i="53"/>
  <c r="BL113" i="53" s="1"/>
  <c r="BL102" i="53"/>
  <c r="H113" i="53"/>
  <c r="BO113" i="53" s="1"/>
  <c r="BO102" i="53"/>
  <c r="Y122" i="67"/>
  <c r="AA122" i="67" s="1"/>
  <c r="AR11" i="53"/>
  <c r="AV11" i="53"/>
  <c r="AU89" i="53"/>
  <c r="CW89" i="53" s="1"/>
  <c r="AA21" i="85" l="1"/>
  <c r="Y138" i="85"/>
  <c r="AA138" i="85" s="1"/>
  <c r="AV88" i="53"/>
  <c r="CX88" i="53" s="1"/>
  <c r="CX11" i="53"/>
  <c r="AR88" i="53"/>
  <c r="CT88" i="53" s="1"/>
  <c r="CT11" i="53"/>
  <c r="AU11" i="53"/>
  <c r="AS11" i="53"/>
  <c r="AS89" i="53"/>
  <c r="CU89" i="53" s="1"/>
  <c r="AV89" i="53"/>
  <c r="CX89" i="53" s="1"/>
  <c r="AR89" i="53"/>
  <c r="CT89" i="53" s="1"/>
  <c r="AV91" i="53" l="1"/>
  <c r="AV93" i="53" s="1"/>
  <c r="CX93" i="53" s="1"/>
  <c r="C32" i="47"/>
  <c r="J32" i="47" s="1"/>
  <c r="AR95" i="53"/>
  <c r="CT95" i="53" s="1"/>
  <c r="G32" i="47"/>
  <c r="N32" i="47" s="1"/>
  <c r="AV95" i="53"/>
  <c r="CX95" i="53" s="1"/>
  <c r="AR91" i="53"/>
  <c r="AR93" i="53" s="1"/>
  <c r="CT93" i="53" s="1"/>
  <c r="AS88" i="53"/>
  <c r="CU88" i="53" s="1"/>
  <c r="CU11" i="53"/>
  <c r="AU88" i="53"/>
  <c r="CW88" i="53" s="1"/>
  <c r="CW11" i="53"/>
  <c r="AT89" i="53"/>
  <c r="CV89" i="53" s="1"/>
  <c r="AT11" i="53"/>
  <c r="CX91" i="53" l="1"/>
  <c r="C29" i="48"/>
  <c r="C20" i="48" s="1"/>
  <c r="J20" i="48" s="1"/>
  <c r="G29" i="48"/>
  <c r="N29" i="48" s="1"/>
  <c r="AS91" i="53"/>
  <c r="AS93" i="53" s="1"/>
  <c r="CU93" i="53" s="1"/>
  <c r="CT91" i="53"/>
  <c r="AU91" i="53"/>
  <c r="AU93" i="53" s="1"/>
  <c r="CW93" i="53" s="1"/>
  <c r="F32" i="47"/>
  <c r="AU95" i="53"/>
  <c r="CW95" i="53" s="1"/>
  <c r="AT88" i="53"/>
  <c r="CV88" i="53" s="1"/>
  <c r="CV11" i="53"/>
  <c r="D32" i="47"/>
  <c r="AS95" i="53"/>
  <c r="CU95" i="53" s="1"/>
  <c r="G20" i="48" l="1"/>
  <c r="N20" i="48" s="1"/>
  <c r="J29" i="48"/>
  <c r="D29" i="48"/>
  <c r="K32" i="47"/>
  <c r="F29" i="48"/>
  <c r="M32" i="47"/>
  <c r="CU91" i="53"/>
  <c r="CW91" i="53"/>
  <c r="AT91" i="53"/>
  <c r="E32" i="47"/>
  <c r="AT95" i="53"/>
  <c r="CV95" i="53" s="1"/>
  <c r="AT46" i="51"/>
  <c r="AS46" i="51"/>
  <c r="AR46" i="51"/>
  <c r="AQ46" i="51"/>
  <c r="AO46" i="51"/>
  <c r="CF46" i="51" s="1"/>
  <c r="D20" i="48" l="1"/>
  <c r="K20" i="48" s="1"/>
  <c r="K29" i="48"/>
  <c r="E29" i="48"/>
  <c r="L32" i="47"/>
  <c r="AQ45" i="51"/>
  <c r="CH46" i="51"/>
  <c r="AR45" i="51"/>
  <c r="CI46" i="51"/>
  <c r="AS45" i="51"/>
  <c r="CJ46" i="51"/>
  <c r="F20" i="48"/>
  <c r="M20" i="48" s="1"/>
  <c r="M29" i="48"/>
  <c r="AT45" i="51"/>
  <c r="CK46" i="51"/>
  <c r="AT93" i="53"/>
  <c r="CV93" i="53" s="1"/>
  <c r="CV91" i="53"/>
  <c r="AO45" i="51"/>
  <c r="AO95" i="51"/>
  <c r="CF95" i="51" s="1"/>
  <c r="AP46" i="51"/>
  <c r="AQ11" i="51" l="1"/>
  <c r="CH11" i="51" s="1"/>
  <c r="CH45" i="51"/>
  <c r="AR11" i="51"/>
  <c r="CI11" i="51" s="1"/>
  <c r="CI45" i="51"/>
  <c r="AP45" i="51"/>
  <c r="CG46" i="51"/>
  <c r="E20" i="48"/>
  <c r="L20" i="48" s="1"/>
  <c r="L29" i="48"/>
  <c r="AT11" i="51"/>
  <c r="CK11" i="51" s="1"/>
  <c r="CK45" i="51"/>
  <c r="AO11" i="51"/>
  <c r="CF11" i="51" s="1"/>
  <c r="CF45" i="51"/>
  <c r="AS11" i="51"/>
  <c r="CJ11" i="51" s="1"/>
  <c r="CJ45" i="51"/>
  <c r="G32" i="48"/>
  <c r="N32" i="48" s="1"/>
  <c r="AS95" i="51"/>
  <c r="F32" i="48"/>
  <c r="M32" i="48" s="1"/>
  <c r="C32" i="48"/>
  <c r="J32" i="48" s="1"/>
  <c r="AQ95" i="51"/>
  <c r="AP95" i="51"/>
  <c r="E32" i="48"/>
  <c r="L32" i="48" s="1"/>
  <c r="D32" i="48"/>
  <c r="K32" i="48" s="1"/>
  <c r="AT95" i="51"/>
  <c r="AR95" i="51"/>
  <c r="CI95" i="51" s="1"/>
  <c r="H45" i="50"/>
  <c r="AO94" i="51"/>
  <c r="F45" i="50"/>
  <c r="AR45" i="50" s="1"/>
  <c r="M45" i="50"/>
  <c r="AY45" i="50" s="1"/>
  <c r="T45" i="50"/>
  <c r="BF45" i="50" s="1"/>
  <c r="K45" i="50" l="1"/>
  <c r="K44" i="50" s="1"/>
  <c r="CK95" i="51"/>
  <c r="AP11" i="51"/>
  <c r="CG11" i="51" s="1"/>
  <c r="CG45" i="51"/>
  <c r="G45" i="50"/>
  <c r="G44" i="50" s="1"/>
  <c r="CG95" i="51"/>
  <c r="AS94" i="51"/>
  <c r="CJ95" i="51"/>
  <c r="V45" i="50"/>
  <c r="V44" i="50" s="1"/>
  <c r="CH95" i="51"/>
  <c r="AO60" i="51"/>
  <c r="CF60" i="51" s="1"/>
  <c r="CF94" i="51"/>
  <c r="H44" i="50"/>
  <c r="AT45" i="50"/>
  <c r="N45" i="50"/>
  <c r="AP94" i="51"/>
  <c r="J45" i="50"/>
  <c r="E31" i="48"/>
  <c r="L31" i="48" s="1"/>
  <c r="E39" i="48"/>
  <c r="L39" i="48" s="1"/>
  <c r="C31" i="48"/>
  <c r="J31" i="48" s="1"/>
  <c r="C39" i="48"/>
  <c r="J39" i="48" s="1"/>
  <c r="G31" i="48"/>
  <c r="N31" i="48" s="1"/>
  <c r="G39" i="48"/>
  <c r="N39" i="48" s="1"/>
  <c r="D31" i="48"/>
  <c r="K31" i="48" s="1"/>
  <c r="D39" i="48"/>
  <c r="K39" i="48" s="1"/>
  <c r="F31" i="48"/>
  <c r="M31" i="48" s="1"/>
  <c r="F39" i="48"/>
  <c r="M39" i="48" s="1"/>
  <c r="Q45" i="50"/>
  <c r="R45" i="50"/>
  <c r="X45" i="50"/>
  <c r="AT94" i="51"/>
  <c r="U45" i="50"/>
  <c r="Y45" i="50"/>
  <c r="AQ94" i="51"/>
  <c r="O45" i="50"/>
  <c r="F44" i="50"/>
  <c r="F70" i="50"/>
  <c r="AR70" i="50" s="1"/>
  <c r="T70" i="50"/>
  <c r="BF70" i="50" s="1"/>
  <c r="T44" i="50"/>
  <c r="AR94" i="51"/>
  <c r="P45" i="50"/>
  <c r="I45" i="50"/>
  <c r="W45" i="50"/>
  <c r="M44" i="50"/>
  <c r="M70" i="50"/>
  <c r="AY70" i="50" s="1"/>
  <c r="AQ60" i="51" l="1"/>
  <c r="CH60" i="51" s="1"/>
  <c r="CH94" i="51"/>
  <c r="BH45" i="50"/>
  <c r="AP60" i="51"/>
  <c r="CG60" i="51" s="1"/>
  <c r="CG94" i="51"/>
  <c r="AS45" i="50"/>
  <c r="AR60" i="51"/>
  <c r="CI60" i="51" s="1"/>
  <c r="CI94" i="51"/>
  <c r="AT60" i="51"/>
  <c r="CK60" i="51" s="1"/>
  <c r="CK94" i="51"/>
  <c r="AW45" i="50"/>
  <c r="AS60" i="51"/>
  <c r="CJ60" i="51" s="1"/>
  <c r="CJ94" i="51"/>
  <c r="I44" i="50"/>
  <c r="AU45" i="50"/>
  <c r="P44" i="50"/>
  <c r="BB45" i="50"/>
  <c r="F35" i="50"/>
  <c r="AR35" i="50" s="1"/>
  <c r="AR44" i="50"/>
  <c r="H35" i="50"/>
  <c r="AT44" i="50"/>
  <c r="Y44" i="50"/>
  <c r="BK45" i="50"/>
  <c r="J44" i="50"/>
  <c r="AV45" i="50"/>
  <c r="V35" i="50"/>
  <c r="BH44" i="50"/>
  <c r="X44" i="50"/>
  <c r="BJ45" i="50"/>
  <c r="Q44" i="50"/>
  <c r="BC45" i="50"/>
  <c r="U44" i="50"/>
  <c r="BG45" i="50"/>
  <c r="W44" i="50"/>
  <c r="BI45" i="50"/>
  <c r="R44" i="50"/>
  <c r="BD45" i="50"/>
  <c r="K35" i="50"/>
  <c r="H56" i="53" s="1"/>
  <c r="AW44" i="50"/>
  <c r="O44" i="50"/>
  <c r="BA45" i="50"/>
  <c r="M35" i="50"/>
  <c r="AY35" i="50" s="1"/>
  <c r="AY44" i="50"/>
  <c r="T35" i="50"/>
  <c r="BF35" i="50" s="1"/>
  <c r="BF44" i="50"/>
  <c r="N44" i="50"/>
  <c r="AZ45" i="50"/>
  <c r="G35" i="50"/>
  <c r="AS44" i="50"/>
  <c r="F69" i="50"/>
  <c r="G70" i="50"/>
  <c r="AS70" i="50" s="1"/>
  <c r="N70" i="50"/>
  <c r="AZ70" i="50" s="1"/>
  <c r="M69" i="50"/>
  <c r="U70" i="50"/>
  <c r="BG70" i="50" s="1"/>
  <c r="T69" i="50"/>
  <c r="F281" i="50" l="1"/>
  <c r="AR281" i="50" s="1"/>
  <c r="Y8" i="67"/>
  <c r="BO56" i="53"/>
  <c r="Y8" i="85" s="1"/>
  <c r="M60" i="50"/>
  <c r="C28" i="49" s="1"/>
  <c r="AY69" i="50"/>
  <c r="AT35" i="50"/>
  <c r="D7" i="85" s="1"/>
  <c r="G26" i="7"/>
  <c r="D7" i="67"/>
  <c r="H281" i="50"/>
  <c r="AT281" i="50" s="1"/>
  <c r="E56" i="53"/>
  <c r="M281" i="50"/>
  <c r="AY281" i="50" s="1"/>
  <c r="AS35" i="50"/>
  <c r="C7" i="85" s="1"/>
  <c r="G281" i="50"/>
  <c r="AS281" i="50" s="1"/>
  <c r="D56" i="53"/>
  <c r="BK56" i="53" s="1"/>
  <c r="U8" i="85" s="1"/>
  <c r="F26" i="7"/>
  <c r="C7" i="67"/>
  <c r="O35" i="50"/>
  <c r="BA44" i="50"/>
  <c r="U35" i="50"/>
  <c r="BG44" i="50"/>
  <c r="J35" i="50"/>
  <c r="AV44" i="50"/>
  <c r="P35" i="50"/>
  <c r="BB44" i="50"/>
  <c r="R35" i="50"/>
  <c r="BD44" i="50"/>
  <c r="W35" i="50"/>
  <c r="BI44" i="50"/>
  <c r="X35" i="50"/>
  <c r="BJ44" i="50"/>
  <c r="BH35" i="50"/>
  <c r="D43" i="85" s="1"/>
  <c r="W26" i="7"/>
  <c r="D43" i="67"/>
  <c r="V281" i="50"/>
  <c r="BH281" i="50" s="1"/>
  <c r="T281" i="50"/>
  <c r="BF281" i="50" s="1"/>
  <c r="U56" i="53"/>
  <c r="T60" i="50"/>
  <c r="C42" i="49" s="1"/>
  <c r="BF69" i="50"/>
  <c r="F60" i="50"/>
  <c r="AR60" i="50" s="1"/>
  <c r="AR69" i="50"/>
  <c r="N35" i="50"/>
  <c r="AZ44" i="50"/>
  <c r="AW35" i="50"/>
  <c r="G7" i="85" s="1"/>
  <c r="J26" i="7"/>
  <c r="G7" i="67"/>
  <c r="K281" i="50"/>
  <c r="AW281" i="50" s="1"/>
  <c r="Q35" i="50"/>
  <c r="BC44" i="50"/>
  <c r="Y35" i="50"/>
  <c r="BK44" i="50"/>
  <c r="I35" i="50"/>
  <c r="AU44" i="50"/>
  <c r="M56" i="73"/>
  <c r="L56" i="73"/>
  <c r="BL56" i="73" s="1"/>
  <c r="BH56" i="53"/>
  <c r="DJ56" i="53" s="1"/>
  <c r="H70" i="50"/>
  <c r="AT70" i="50" s="1"/>
  <c r="G69" i="50"/>
  <c r="O70" i="50"/>
  <c r="BA70" i="50" s="1"/>
  <c r="N69" i="50"/>
  <c r="V70" i="50"/>
  <c r="BH70" i="50" s="1"/>
  <c r="U69" i="50"/>
  <c r="AC56" i="73" l="1"/>
  <c r="Z8" i="85"/>
  <c r="AA8" i="85"/>
  <c r="C14" i="49"/>
  <c r="C13" i="49" s="1"/>
  <c r="F282" i="50"/>
  <c r="AR282" i="50" s="1"/>
  <c r="C41" i="49"/>
  <c r="I42" i="49"/>
  <c r="C27" i="49"/>
  <c r="I28" i="49"/>
  <c r="V50" i="67"/>
  <c r="BZ56" i="53"/>
  <c r="V50" i="85" s="1"/>
  <c r="V8" i="67"/>
  <c r="BL56" i="53"/>
  <c r="V8" i="85" s="1"/>
  <c r="AB56" i="73"/>
  <c r="BU56" i="73" s="1"/>
  <c r="X56" i="53"/>
  <c r="CC56" i="53" s="1"/>
  <c r="Y50" i="85" s="1"/>
  <c r="BK35" i="50"/>
  <c r="G43" i="85" s="1"/>
  <c r="G43" i="67"/>
  <c r="Y281" i="50"/>
  <c r="BK281" i="50" s="1"/>
  <c r="Z26" i="7"/>
  <c r="W27" i="7"/>
  <c r="BT27" i="7" s="1"/>
  <c r="BT26" i="7"/>
  <c r="BD35" i="50"/>
  <c r="G25" i="85" s="1"/>
  <c r="R281" i="50"/>
  <c r="BD281" i="50" s="1"/>
  <c r="R26" i="7"/>
  <c r="P56" i="53"/>
  <c r="BV56" i="53" s="1"/>
  <c r="Y29" i="85" s="1"/>
  <c r="G25" i="67"/>
  <c r="BE56" i="53"/>
  <c r="DG56" i="53" s="1"/>
  <c r="BC35" i="50"/>
  <c r="F25" i="85" s="1"/>
  <c r="F25" i="67"/>
  <c r="Q281" i="50"/>
  <c r="BC281" i="50" s="1"/>
  <c r="O56" i="53"/>
  <c r="BU56" i="53" s="1"/>
  <c r="X29" i="85" s="1"/>
  <c r="Q26" i="7"/>
  <c r="BB35" i="50"/>
  <c r="E25" i="85" s="1"/>
  <c r="P281" i="50"/>
  <c r="BB281" i="50" s="1"/>
  <c r="E25" i="67"/>
  <c r="N56" i="53"/>
  <c r="BT56" i="53" s="1"/>
  <c r="W29" i="85" s="1"/>
  <c r="P26" i="7"/>
  <c r="BC26" i="7"/>
  <c r="F27" i="7"/>
  <c r="BC27" i="7" s="1"/>
  <c r="G27" i="7"/>
  <c r="BD27" i="7" s="1"/>
  <c r="BD26" i="7"/>
  <c r="F56" i="73"/>
  <c r="BI56" i="73" s="1"/>
  <c r="T282" i="50"/>
  <c r="BF282" i="50" s="1"/>
  <c r="BF60" i="50"/>
  <c r="E56" i="73"/>
  <c r="J56" i="53"/>
  <c r="I56" i="53"/>
  <c r="BP56" i="53" s="1"/>
  <c r="D56" i="73"/>
  <c r="BH56" i="73" s="1"/>
  <c r="U8" i="67"/>
  <c r="BD56" i="53"/>
  <c r="DF56" i="53" s="1"/>
  <c r="BI35" i="50"/>
  <c r="E43" i="85" s="1"/>
  <c r="W281" i="50"/>
  <c r="BI281" i="50" s="1"/>
  <c r="V56" i="53"/>
  <c r="CA56" i="53" s="1"/>
  <c r="W50" i="85" s="1"/>
  <c r="X26" i="7"/>
  <c r="E43" i="67"/>
  <c r="C25" i="67"/>
  <c r="AZ35" i="50"/>
  <c r="C25" i="85" s="1"/>
  <c r="N281" i="50"/>
  <c r="AZ281" i="50" s="1"/>
  <c r="L56" i="53"/>
  <c r="BR56" i="53" s="1"/>
  <c r="U29" i="85" s="1"/>
  <c r="Z29" i="85" s="1"/>
  <c r="N26" i="7"/>
  <c r="BA35" i="50"/>
  <c r="D25" i="85" s="1"/>
  <c r="D103" i="85" s="1"/>
  <c r="M56" i="53"/>
  <c r="BS56" i="53" s="1"/>
  <c r="V29" i="85" s="1"/>
  <c r="O281" i="50"/>
  <c r="BA281" i="50" s="1"/>
  <c r="O26" i="7"/>
  <c r="D25" i="67"/>
  <c r="D103" i="67" s="1"/>
  <c r="J27" i="7"/>
  <c r="BG27" i="7" s="1"/>
  <c r="BG26" i="7"/>
  <c r="G60" i="50"/>
  <c r="AS69" i="50"/>
  <c r="BG35" i="50"/>
  <c r="C43" i="85" s="1"/>
  <c r="V26" i="7"/>
  <c r="C43" i="67"/>
  <c r="T56" i="53"/>
  <c r="BY56" i="53" s="1"/>
  <c r="U50" i="85" s="1"/>
  <c r="Z50" i="85" s="1"/>
  <c r="U281" i="50"/>
  <c r="BG281" i="50" s="1"/>
  <c r="U60" i="50"/>
  <c r="BG60" i="50" s="1"/>
  <c r="C44" i="85" s="1"/>
  <c r="BG69" i="50"/>
  <c r="N60" i="50"/>
  <c r="AZ60" i="50" s="1"/>
  <c r="C26" i="85" s="1"/>
  <c r="AZ69" i="50"/>
  <c r="G56" i="73"/>
  <c r="F43" i="67"/>
  <c r="BJ35" i="50"/>
  <c r="F43" i="85" s="1"/>
  <c r="W56" i="53"/>
  <c r="CB56" i="53" s="1"/>
  <c r="X50" i="85" s="1"/>
  <c r="X281" i="50"/>
  <c r="BJ281" i="50" s="1"/>
  <c r="Y26" i="7"/>
  <c r="F7" i="67"/>
  <c r="AV35" i="50"/>
  <c r="F7" i="85" s="1"/>
  <c r="J281" i="50"/>
  <c r="AV281" i="50" s="1"/>
  <c r="G56" i="53"/>
  <c r="BN56" i="53" s="1"/>
  <c r="X8" i="85" s="1"/>
  <c r="I26" i="7"/>
  <c r="AU35" i="50"/>
  <c r="E7" i="85" s="1"/>
  <c r="H26" i="7"/>
  <c r="E7" i="67"/>
  <c r="I281" i="50"/>
  <c r="AU281" i="50" s="1"/>
  <c r="F56" i="53"/>
  <c r="BM56" i="53" s="1"/>
  <c r="W8" i="85" s="1"/>
  <c r="M282" i="50"/>
  <c r="AY282" i="50" s="1"/>
  <c r="AY60" i="50"/>
  <c r="W70" i="50"/>
  <c r="BI70" i="50" s="1"/>
  <c r="V69" i="50"/>
  <c r="P70" i="50"/>
  <c r="BB70" i="50" s="1"/>
  <c r="O69" i="50"/>
  <c r="H69" i="50"/>
  <c r="I70" i="50"/>
  <c r="AU70" i="50" s="1"/>
  <c r="C103" i="67" l="1"/>
  <c r="C103" i="85"/>
  <c r="N282" i="50"/>
  <c r="AZ282" i="50" s="1"/>
  <c r="D28" i="49"/>
  <c r="C26" i="67"/>
  <c r="W125" i="85"/>
  <c r="E103" i="85"/>
  <c r="AA29" i="85"/>
  <c r="X125" i="85"/>
  <c r="G103" i="85"/>
  <c r="Y125" i="85"/>
  <c r="AA125" i="85" s="1"/>
  <c r="AA50" i="85"/>
  <c r="I14" i="49"/>
  <c r="F103" i="85"/>
  <c r="U282" i="50"/>
  <c r="BG282" i="50" s="1"/>
  <c r="V125" i="85"/>
  <c r="U125" i="85"/>
  <c r="Z125" i="85" s="1"/>
  <c r="G103" i="67"/>
  <c r="AL14" i="67"/>
  <c r="I27" i="49"/>
  <c r="AL14" i="85" s="1"/>
  <c r="D27" i="49"/>
  <c r="J28" i="49"/>
  <c r="AL6" i="67"/>
  <c r="I13" i="49"/>
  <c r="AL6" i="85" s="1"/>
  <c r="F103" i="67"/>
  <c r="AT26" i="7"/>
  <c r="CQ26" i="7" s="1"/>
  <c r="AL22" i="67"/>
  <c r="I41" i="49"/>
  <c r="AL22" i="85" s="1"/>
  <c r="AY56" i="53"/>
  <c r="D14" i="49"/>
  <c r="AS60" i="50"/>
  <c r="C8" i="85" s="1"/>
  <c r="C104" i="85" s="1"/>
  <c r="R56" i="53"/>
  <c r="Q56" i="53"/>
  <c r="BW56" i="53" s="1"/>
  <c r="O56" i="73"/>
  <c r="BN56" i="73" s="1"/>
  <c r="AX56" i="53"/>
  <c r="U29" i="67"/>
  <c r="Z29" i="67" s="1"/>
  <c r="P56" i="73"/>
  <c r="AA56" i="73"/>
  <c r="Z56" i="73"/>
  <c r="BT56" i="73" s="1"/>
  <c r="Z56" i="53"/>
  <c r="U50" i="67"/>
  <c r="Z50" i="67" s="1"/>
  <c r="Y56" i="53"/>
  <c r="CD56" i="53" s="1"/>
  <c r="V60" i="50"/>
  <c r="BH60" i="50" s="1"/>
  <c r="D44" i="85" s="1"/>
  <c r="BH69" i="50"/>
  <c r="G282" i="50"/>
  <c r="AS282" i="50" s="1"/>
  <c r="W8" i="67"/>
  <c r="BF56" i="53"/>
  <c r="DH56" i="53" s="1"/>
  <c r="AZ56" i="53"/>
  <c r="I56" i="73"/>
  <c r="H56" i="73"/>
  <c r="BJ56" i="73" s="1"/>
  <c r="V27" i="7"/>
  <c r="BS27" i="7" s="1"/>
  <c r="BS26" i="7"/>
  <c r="Q27" i="7"/>
  <c r="BN27" i="7" s="1"/>
  <c r="BN26" i="7"/>
  <c r="BO26" i="7"/>
  <c r="R27" i="7"/>
  <c r="BO27" i="7" s="1"/>
  <c r="AX26" i="7"/>
  <c r="W29" i="67"/>
  <c r="S56" i="73"/>
  <c r="BP56" i="73" s="1"/>
  <c r="T56" i="73"/>
  <c r="O60" i="50"/>
  <c r="BA60" i="50" s="1"/>
  <c r="D26" i="85" s="1"/>
  <c r="BA69" i="50"/>
  <c r="C8" i="67"/>
  <c r="X8" i="67"/>
  <c r="J56" i="73"/>
  <c r="BK56" i="73" s="1"/>
  <c r="BA56" i="53"/>
  <c r="K56" i="73"/>
  <c r="BG56" i="53"/>
  <c r="DI56" i="53" s="1"/>
  <c r="V29" i="67"/>
  <c r="V125" i="67" s="1"/>
  <c r="R56" i="73"/>
  <c r="Q56" i="73"/>
  <c r="BO56" i="73" s="1"/>
  <c r="X29" i="67"/>
  <c r="U56" i="73"/>
  <c r="BQ56" i="73" s="1"/>
  <c r="V56" i="73"/>
  <c r="Y50" i="67"/>
  <c r="AH56" i="73"/>
  <c r="BX56" i="73" s="1"/>
  <c r="AI56" i="73"/>
  <c r="AV26" i="7"/>
  <c r="H27" i="7"/>
  <c r="BE27" i="7" s="1"/>
  <c r="BE26" i="7"/>
  <c r="Y27" i="7"/>
  <c r="BV27" i="7" s="1"/>
  <c r="BV26" i="7"/>
  <c r="W50" i="67"/>
  <c r="AE56" i="73"/>
  <c r="AD56" i="73"/>
  <c r="BV56" i="73" s="1"/>
  <c r="BM26" i="7"/>
  <c r="P27" i="7"/>
  <c r="BM27" i="7" s="1"/>
  <c r="BK26" i="7"/>
  <c r="N27" i="7"/>
  <c r="BK27" i="7" s="1"/>
  <c r="H60" i="50"/>
  <c r="AT60" i="50" s="1"/>
  <c r="D8" i="85" s="1"/>
  <c r="AT69" i="50"/>
  <c r="X50" i="67"/>
  <c r="AF56" i="73"/>
  <c r="BW56" i="73" s="1"/>
  <c r="AG56" i="73"/>
  <c r="Z27" i="7"/>
  <c r="BW27" i="7" s="1"/>
  <c r="BW26" i="7"/>
  <c r="BF26" i="7"/>
  <c r="AW26" i="7"/>
  <c r="I27" i="7"/>
  <c r="BF27" i="7" s="1"/>
  <c r="O27" i="7"/>
  <c r="BL27" i="7" s="1"/>
  <c r="BL26" i="7"/>
  <c r="AU26" i="7"/>
  <c r="Z8" i="67"/>
  <c r="AA8" i="67"/>
  <c r="Y29" i="67"/>
  <c r="X56" i="73"/>
  <c r="W56" i="73"/>
  <c r="BR56" i="73" s="1"/>
  <c r="BB56" i="53"/>
  <c r="D42" i="49"/>
  <c r="C44" i="67"/>
  <c r="E103" i="67"/>
  <c r="X27" i="7"/>
  <c r="BU27" i="7" s="1"/>
  <c r="BU26" i="7"/>
  <c r="W69" i="50"/>
  <c r="X70" i="50"/>
  <c r="BJ70" i="50" s="1"/>
  <c r="J70" i="50"/>
  <c r="AV70" i="50" s="1"/>
  <c r="I69" i="50"/>
  <c r="Q70" i="50"/>
  <c r="BC70" i="50" s="1"/>
  <c r="P69" i="50"/>
  <c r="O282" i="50" l="1"/>
  <c r="BA282" i="50" s="1"/>
  <c r="E28" i="49"/>
  <c r="D104" i="85"/>
  <c r="C104" i="67"/>
  <c r="E14" i="49"/>
  <c r="D13" i="49"/>
  <c r="J14" i="49"/>
  <c r="AT27" i="7"/>
  <c r="CQ27" i="7" s="1"/>
  <c r="AM14" i="67"/>
  <c r="J27" i="49"/>
  <c r="AM14" i="85" s="1"/>
  <c r="D41" i="49"/>
  <c r="J42" i="49"/>
  <c r="E13" i="49"/>
  <c r="K14" i="49"/>
  <c r="E27" i="49"/>
  <c r="K28" i="49"/>
  <c r="M101" i="67"/>
  <c r="M102" i="67" s="1"/>
  <c r="DC56" i="53"/>
  <c r="M101" i="85" s="1"/>
  <c r="M102" i="85" s="1"/>
  <c r="L101" i="67"/>
  <c r="L102" i="67" s="1"/>
  <c r="DB56" i="53"/>
  <c r="L101" i="85" s="1"/>
  <c r="L102" i="85" s="1"/>
  <c r="N101" i="67"/>
  <c r="N102" i="67" s="1"/>
  <c r="DD56" i="53"/>
  <c r="N101" i="85" s="1"/>
  <c r="N102" i="85" s="1"/>
  <c r="AA50" i="67"/>
  <c r="J101" i="67"/>
  <c r="J102" i="67" s="1"/>
  <c r="CZ56" i="53"/>
  <c r="J101" i="85" s="1"/>
  <c r="K101" i="67"/>
  <c r="K102" i="67" s="1"/>
  <c r="DA56" i="53"/>
  <c r="K101" i="85" s="1"/>
  <c r="K102" i="85" s="1"/>
  <c r="D8" i="67"/>
  <c r="Y125" i="67"/>
  <c r="AA125" i="67" s="1"/>
  <c r="AA29" i="67"/>
  <c r="H282" i="50"/>
  <c r="AT282" i="50" s="1"/>
  <c r="D44" i="67"/>
  <c r="U125" i="67"/>
  <c r="Z125" i="67" s="1"/>
  <c r="AU27" i="7"/>
  <c r="CR27" i="7" s="1"/>
  <c r="CR26" i="7"/>
  <c r="AV27" i="7"/>
  <c r="CS27" i="7" s="1"/>
  <c r="CS26" i="7"/>
  <c r="W125" i="67"/>
  <c r="AX27" i="7"/>
  <c r="CU27" i="7" s="1"/>
  <c r="CU26" i="7"/>
  <c r="W60" i="50"/>
  <c r="BI60" i="50" s="1"/>
  <c r="E44" i="85" s="1"/>
  <c r="BI69" i="50"/>
  <c r="CT26" i="7"/>
  <c r="AW27" i="7"/>
  <c r="CT27" i="7" s="1"/>
  <c r="E42" i="49"/>
  <c r="X125" i="67"/>
  <c r="P60" i="50"/>
  <c r="BB60" i="50" s="1"/>
  <c r="E26" i="85" s="1"/>
  <c r="BB69" i="50"/>
  <c r="I60" i="50"/>
  <c r="AU60" i="50" s="1"/>
  <c r="E8" i="85" s="1"/>
  <c r="AU69" i="50"/>
  <c r="V282" i="50"/>
  <c r="BH282" i="50" s="1"/>
  <c r="D26" i="67"/>
  <c r="Q69" i="50"/>
  <c r="R70" i="50"/>
  <c r="BD70" i="50" s="1"/>
  <c r="K70" i="50"/>
  <c r="AW70" i="50" s="1"/>
  <c r="J69" i="50"/>
  <c r="Y70" i="50"/>
  <c r="BK70" i="50" s="1"/>
  <c r="X69" i="50"/>
  <c r="E104" i="85" l="1"/>
  <c r="O101" i="85"/>
  <c r="O102" i="85" s="1"/>
  <c r="J102" i="85"/>
  <c r="AN6" i="67"/>
  <c r="K13" i="49"/>
  <c r="AN6" i="85" s="1"/>
  <c r="AM22" i="67"/>
  <c r="J41" i="49"/>
  <c r="AM22" i="85" s="1"/>
  <c r="E41" i="49"/>
  <c r="K42" i="49"/>
  <c r="D104" i="67"/>
  <c r="AN14" i="67"/>
  <c r="K27" i="49"/>
  <c r="AN14" i="85" s="1"/>
  <c r="AM6" i="67"/>
  <c r="J13" i="49"/>
  <c r="AM6" i="85" s="1"/>
  <c r="O101" i="67"/>
  <c r="O102" i="67" s="1"/>
  <c r="E8" i="67"/>
  <c r="E44" i="67"/>
  <c r="I282" i="50"/>
  <c r="AU282" i="50" s="1"/>
  <c r="J60" i="50"/>
  <c r="AV60" i="50" s="1"/>
  <c r="F8" i="85" s="1"/>
  <c r="AV69" i="50"/>
  <c r="X60" i="50"/>
  <c r="BJ60" i="50" s="1"/>
  <c r="F44" i="85" s="1"/>
  <c r="BJ69" i="50"/>
  <c r="W282" i="50"/>
  <c r="BI282" i="50" s="1"/>
  <c r="F14" i="49"/>
  <c r="Q60" i="50"/>
  <c r="BC60" i="50" s="1"/>
  <c r="F26" i="85" s="1"/>
  <c r="BC69" i="50"/>
  <c r="F42" i="49"/>
  <c r="E26" i="67"/>
  <c r="F28" i="49"/>
  <c r="P282" i="50"/>
  <c r="BB282" i="50" s="1"/>
  <c r="K69" i="50"/>
  <c r="R69" i="50"/>
  <c r="Y69" i="50"/>
  <c r="F104" i="85" l="1"/>
  <c r="E104" i="67"/>
  <c r="F8" i="67"/>
  <c r="F41" i="49"/>
  <c r="L42" i="49"/>
  <c r="AN22" i="67"/>
  <c r="K41" i="49"/>
  <c r="AN22" i="85" s="1"/>
  <c r="F26" i="67"/>
  <c r="F13" i="49"/>
  <c r="L14" i="49"/>
  <c r="F27" i="49"/>
  <c r="L28" i="49"/>
  <c r="J282" i="50"/>
  <c r="AV282" i="50" s="1"/>
  <c r="Q282" i="50"/>
  <c r="BC282" i="50" s="1"/>
  <c r="G28" i="49"/>
  <c r="X282" i="50"/>
  <c r="BJ282" i="50" s="1"/>
  <c r="Y60" i="50"/>
  <c r="BK60" i="50" s="1"/>
  <c r="G44" i="85" s="1"/>
  <c r="BK69" i="50"/>
  <c r="R60" i="50"/>
  <c r="BD60" i="50" s="1"/>
  <c r="G26" i="85" s="1"/>
  <c r="BD69" i="50"/>
  <c r="K60" i="50"/>
  <c r="AW69" i="50"/>
  <c r="G14" i="49"/>
  <c r="G42" i="49"/>
  <c r="F44" i="67"/>
  <c r="M32" i="50"/>
  <c r="M130" i="50"/>
  <c r="M126" i="50"/>
  <c r="AY126" i="50" s="1"/>
  <c r="F124" i="50"/>
  <c r="T120" i="50"/>
  <c r="M18" i="50"/>
  <c r="M33" i="50"/>
  <c r="M125" i="50"/>
  <c r="T23" i="50"/>
  <c r="F129" i="50"/>
  <c r="F122" i="50"/>
  <c r="F31" i="50"/>
  <c r="T129" i="50"/>
  <c r="T122" i="50"/>
  <c r="T128" i="50"/>
  <c r="BF128" i="50" s="1"/>
  <c r="M17" i="50"/>
  <c r="M26" i="50"/>
  <c r="T33" i="50"/>
  <c r="F116" i="50"/>
  <c r="T113" i="50"/>
  <c r="BF113" i="50" s="1"/>
  <c r="M23" i="50"/>
  <c r="M29" i="50"/>
  <c r="AY29" i="50" s="1"/>
  <c r="F21" i="50"/>
  <c r="T121" i="50"/>
  <c r="M114" i="50"/>
  <c r="M25" i="50"/>
  <c r="F118" i="50"/>
  <c r="M117" i="50"/>
  <c r="M115" i="50"/>
  <c r="T17" i="50"/>
  <c r="M12" i="50"/>
  <c r="F114" i="50"/>
  <c r="F34" i="50"/>
  <c r="F126" i="50"/>
  <c r="F119" i="50"/>
  <c r="T118" i="50"/>
  <c r="M21" i="50"/>
  <c r="M27" i="50"/>
  <c r="AY27" i="50" s="1"/>
  <c r="M22" i="50"/>
  <c r="AY22" i="50" s="1"/>
  <c r="M20" i="50"/>
  <c r="F24" i="50"/>
  <c r="T16" i="50"/>
  <c r="F115" i="50"/>
  <c r="F15" i="50"/>
  <c r="AR15" i="50" s="1"/>
  <c r="T32" i="50"/>
  <c r="M24" i="50"/>
  <c r="F28" i="50"/>
  <c r="T130" i="50"/>
  <c r="M121" i="50"/>
  <c r="F27" i="50"/>
  <c r="F12" i="50"/>
  <c r="T15" i="50"/>
  <c r="M30" i="50"/>
  <c r="F125" i="50"/>
  <c r="T117" i="50"/>
  <c r="T114" i="50"/>
  <c r="BF114" i="50" s="1"/>
  <c r="F130" i="50"/>
  <c r="T34" i="50"/>
  <c r="T20" i="50"/>
  <c r="T123" i="50"/>
  <c r="BF123" i="50" s="1"/>
  <c r="M127" i="50"/>
  <c r="M116" i="50"/>
  <c r="T27" i="50"/>
  <c r="T115" i="50"/>
  <c r="BF115" i="50" s="1"/>
  <c r="F33" i="50"/>
  <c r="F18" i="50"/>
  <c r="M34" i="50"/>
  <c r="F120" i="50"/>
  <c r="F23" i="50"/>
  <c r="F30" i="50"/>
  <c r="M123" i="50"/>
  <c r="F20" i="50"/>
  <c r="T29" i="50"/>
  <c r="T28" i="50"/>
  <c r="BF28" i="50" s="1"/>
  <c r="M31" i="50"/>
  <c r="M120" i="50"/>
  <c r="F127" i="50"/>
  <c r="AR127" i="50" s="1"/>
  <c r="T124" i="50"/>
  <c r="F121" i="50"/>
  <c r="F17" i="50"/>
  <c r="AR17" i="50" s="1"/>
  <c r="T127" i="50"/>
  <c r="M28" i="50"/>
  <c r="T25" i="50"/>
  <c r="M122" i="50"/>
  <c r="F128" i="50"/>
  <c r="T12" i="50"/>
  <c r="BF12" i="50" s="1"/>
  <c r="M118" i="50"/>
  <c r="AY118" i="50" s="1"/>
  <c r="M128" i="50"/>
  <c r="AY128" i="50" s="1"/>
  <c r="T22" i="50"/>
  <c r="F112" i="50"/>
  <c r="M14" i="50"/>
  <c r="T18" i="50"/>
  <c r="F14" i="50"/>
  <c r="AR14" i="50" s="1"/>
  <c r="T119" i="50"/>
  <c r="M129" i="50"/>
  <c r="F16" i="50"/>
  <c r="T26" i="50"/>
  <c r="M16" i="50"/>
  <c r="T116" i="50"/>
  <c r="T125" i="50"/>
  <c r="M15" i="50"/>
  <c r="T31" i="50"/>
  <c r="T21" i="50"/>
  <c r="F117" i="50"/>
  <c r="F123" i="50"/>
  <c r="M124" i="50"/>
  <c r="T30" i="50"/>
  <c r="F113" i="50"/>
  <c r="T14" i="50"/>
  <c r="BF14" i="50" s="1"/>
  <c r="M113" i="50"/>
  <c r="T126" i="50"/>
  <c r="M119" i="50"/>
  <c r="F25" i="50"/>
  <c r="AR25" i="50" s="1"/>
  <c r="F32" i="50"/>
  <c r="AR32" i="50" s="1"/>
  <c r="T24" i="50"/>
  <c r="BF24" i="50" s="1"/>
  <c r="F22" i="50"/>
  <c r="AR22" i="50" s="1"/>
  <c r="M11" i="50"/>
  <c r="T112" i="50"/>
  <c r="BF112" i="50" s="1"/>
  <c r="T11" i="50"/>
  <c r="M112" i="50"/>
  <c r="F26" i="50"/>
  <c r="F11" i="50"/>
  <c r="F104" i="67" l="1"/>
  <c r="T179" i="50"/>
  <c r="BF179" i="50" s="1"/>
  <c r="BF119" i="50"/>
  <c r="M99" i="50"/>
  <c r="AY99" i="50" s="1"/>
  <c r="AY24" i="50"/>
  <c r="M108" i="50"/>
  <c r="AY108" i="50" s="1"/>
  <c r="AY33" i="50"/>
  <c r="M90" i="50"/>
  <c r="AY90" i="50" s="1"/>
  <c r="AY15" i="50"/>
  <c r="F188" i="50"/>
  <c r="AR188" i="50" s="1"/>
  <c r="AR128" i="50"/>
  <c r="G23" i="50"/>
  <c r="AS23" i="50" s="1"/>
  <c r="AR23" i="50"/>
  <c r="M187" i="50"/>
  <c r="AY187" i="50" s="1"/>
  <c r="AY127" i="50"/>
  <c r="M105" i="50"/>
  <c r="AY105" i="50" s="1"/>
  <c r="AY30" i="50"/>
  <c r="U32" i="50"/>
  <c r="C40" i="49" s="1"/>
  <c r="I40" i="49" s="1"/>
  <c r="BF32" i="50"/>
  <c r="M96" i="50"/>
  <c r="AY96" i="50" s="1"/>
  <c r="AY21" i="50"/>
  <c r="M175" i="50"/>
  <c r="AY175" i="50" s="1"/>
  <c r="AY115" i="50"/>
  <c r="M98" i="50"/>
  <c r="AY98" i="50" s="1"/>
  <c r="AY23" i="50"/>
  <c r="T189" i="50"/>
  <c r="BF189" i="50" s="1"/>
  <c r="BF129" i="50"/>
  <c r="M93" i="50"/>
  <c r="AY93" i="50" s="1"/>
  <c r="AY18" i="50"/>
  <c r="AO6" i="67"/>
  <c r="L13" i="49"/>
  <c r="AO6" i="85" s="1"/>
  <c r="T184" i="50"/>
  <c r="BF184" i="50" s="1"/>
  <c r="BF124" i="50"/>
  <c r="F185" i="50"/>
  <c r="AR185" i="50" s="1"/>
  <c r="AR125" i="50"/>
  <c r="M86" i="50"/>
  <c r="AY86" i="50" s="1"/>
  <c r="AY11" i="50"/>
  <c r="F173" i="50"/>
  <c r="AR173" i="50" s="1"/>
  <c r="AR113" i="50"/>
  <c r="T185" i="50"/>
  <c r="BF185" i="50" s="1"/>
  <c r="BF125" i="50"/>
  <c r="T93" i="50"/>
  <c r="BF93" i="50" s="1"/>
  <c r="BF18" i="50"/>
  <c r="N122" i="50"/>
  <c r="O122" i="50" s="1"/>
  <c r="BA122" i="50" s="1"/>
  <c r="AY122" i="50"/>
  <c r="N120" i="50"/>
  <c r="N180" i="50" s="1"/>
  <c r="AZ180" i="50" s="1"/>
  <c r="AY120" i="50"/>
  <c r="F180" i="50"/>
  <c r="AR180" i="50" s="1"/>
  <c r="AR120" i="50"/>
  <c r="T90" i="50"/>
  <c r="BF90" i="50" s="1"/>
  <c r="BF15" i="50"/>
  <c r="T178" i="50"/>
  <c r="BF178" i="50" s="1"/>
  <c r="BF118" i="50"/>
  <c r="N117" i="50"/>
  <c r="AZ117" i="50" s="1"/>
  <c r="AY117" i="50"/>
  <c r="F106" i="50"/>
  <c r="AR106" i="50" s="1"/>
  <c r="AR31" i="50"/>
  <c r="T180" i="50"/>
  <c r="BF180" i="50" s="1"/>
  <c r="BF120" i="50"/>
  <c r="G41" i="49"/>
  <c r="M42" i="49"/>
  <c r="U31" i="50"/>
  <c r="BG31" i="50" s="1"/>
  <c r="BF31" i="50"/>
  <c r="M176" i="50"/>
  <c r="AY176" i="50" s="1"/>
  <c r="AY116" i="50"/>
  <c r="T182" i="50"/>
  <c r="BF182" i="50" s="1"/>
  <c r="BF122" i="50"/>
  <c r="T105" i="50"/>
  <c r="BF105" i="50" s="1"/>
  <c r="BF30" i="50"/>
  <c r="T176" i="50"/>
  <c r="BF176" i="50" s="1"/>
  <c r="BF116" i="50"/>
  <c r="N14" i="50"/>
  <c r="AZ14" i="50" s="1"/>
  <c r="AY14" i="50"/>
  <c r="T100" i="50"/>
  <c r="BF100" i="50" s="1"/>
  <c r="BF25" i="50"/>
  <c r="N31" i="50"/>
  <c r="AZ31" i="50" s="1"/>
  <c r="AY31" i="50"/>
  <c r="M109" i="50"/>
  <c r="AY109" i="50" s="1"/>
  <c r="AY34" i="50"/>
  <c r="U20" i="50"/>
  <c r="BG20" i="50" s="1"/>
  <c r="BF20" i="50"/>
  <c r="F87" i="50"/>
  <c r="AR87" i="50" s="1"/>
  <c r="AR12" i="50"/>
  <c r="G115" i="50"/>
  <c r="AS115" i="50" s="1"/>
  <c r="AR115" i="50"/>
  <c r="F179" i="50"/>
  <c r="AR179" i="50" s="1"/>
  <c r="AR119" i="50"/>
  <c r="F178" i="50"/>
  <c r="AR178" i="50" s="1"/>
  <c r="AR118" i="50"/>
  <c r="G116" i="50"/>
  <c r="AS116" i="50" s="1"/>
  <c r="AR116" i="50"/>
  <c r="F182" i="50"/>
  <c r="AR182" i="50" s="1"/>
  <c r="AR122" i="50"/>
  <c r="F184" i="50"/>
  <c r="AR184" i="50" s="1"/>
  <c r="AR124" i="50"/>
  <c r="G13" i="49"/>
  <c r="M14" i="49"/>
  <c r="G27" i="49"/>
  <c r="M28" i="49"/>
  <c r="U17" i="50"/>
  <c r="BG17" i="50" s="1"/>
  <c r="BF17" i="50"/>
  <c r="F86" i="50"/>
  <c r="AR86" i="50" s="1"/>
  <c r="AR11" i="50"/>
  <c r="M184" i="50"/>
  <c r="AY184" i="50" s="1"/>
  <c r="AY124" i="50"/>
  <c r="M91" i="50"/>
  <c r="AY91" i="50" s="1"/>
  <c r="AY16" i="50"/>
  <c r="F172" i="50"/>
  <c r="AR172" i="50" s="1"/>
  <c r="AR112" i="50"/>
  <c r="M103" i="50"/>
  <c r="AY103" i="50" s="1"/>
  <c r="AY28" i="50"/>
  <c r="G18" i="50"/>
  <c r="AS18" i="50" s="1"/>
  <c r="AR18" i="50"/>
  <c r="T109" i="50"/>
  <c r="BF109" i="50" s="1"/>
  <c r="BF34" i="50"/>
  <c r="F102" i="50"/>
  <c r="AR102" i="50" s="1"/>
  <c r="AR27" i="50"/>
  <c r="T91" i="50"/>
  <c r="BF91" i="50" s="1"/>
  <c r="BF16" i="50"/>
  <c r="F186" i="50"/>
  <c r="AR186" i="50" s="1"/>
  <c r="AR126" i="50"/>
  <c r="M100" i="50"/>
  <c r="AY100" i="50" s="1"/>
  <c r="AY25" i="50"/>
  <c r="T108" i="50"/>
  <c r="BF108" i="50" s="1"/>
  <c r="BF33" i="50"/>
  <c r="N113" i="50"/>
  <c r="AZ113" i="50" s="1"/>
  <c r="AY113" i="50"/>
  <c r="F101" i="50"/>
  <c r="AR101" i="50" s="1"/>
  <c r="AR26" i="50"/>
  <c r="F183" i="50"/>
  <c r="AR183" i="50" s="1"/>
  <c r="AR123" i="50"/>
  <c r="T101" i="50"/>
  <c r="BF101" i="50" s="1"/>
  <c r="BF26" i="50"/>
  <c r="U22" i="50"/>
  <c r="BG22" i="50" s="1"/>
  <c r="BF22" i="50"/>
  <c r="T187" i="50"/>
  <c r="BF187" i="50" s="1"/>
  <c r="BF127" i="50"/>
  <c r="T104" i="50"/>
  <c r="BF104" i="50" s="1"/>
  <c r="BF29" i="50"/>
  <c r="F108" i="50"/>
  <c r="AR108" i="50" s="1"/>
  <c r="AR33" i="50"/>
  <c r="F190" i="50"/>
  <c r="AR190" i="50" s="1"/>
  <c r="AR130" i="50"/>
  <c r="M181" i="50"/>
  <c r="AY181" i="50" s="1"/>
  <c r="AY121" i="50"/>
  <c r="G24" i="50"/>
  <c r="AS24" i="50" s="1"/>
  <c r="AR24" i="50"/>
  <c r="F109" i="50"/>
  <c r="AR109" i="50" s="1"/>
  <c r="AR34" i="50"/>
  <c r="M174" i="50"/>
  <c r="AY174" i="50" s="1"/>
  <c r="AY114" i="50"/>
  <c r="M101" i="50"/>
  <c r="AY101" i="50" s="1"/>
  <c r="AY26" i="50"/>
  <c r="F189" i="50"/>
  <c r="AR189" i="50" s="1"/>
  <c r="AR129" i="50"/>
  <c r="M190" i="50"/>
  <c r="AY190" i="50" s="1"/>
  <c r="AY130" i="50"/>
  <c r="G30" i="50"/>
  <c r="AS30" i="50" s="1"/>
  <c r="AR30" i="50"/>
  <c r="M179" i="50"/>
  <c r="AY179" i="50" s="1"/>
  <c r="AY119" i="50"/>
  <c r="F91" i="50"/>
  <c r="AR91" i="50" s="1"/>
  <c r="AR16" i="50"/>
  <c r="G20" i="50"/>
  <c r="AS20" i="50" s="1"/>
  <c r="AR20" i="50"/>
  <c r="T190" i="50"/>
  <c r="BF190" i="50" s="1"/>
  <c r="BF130" i="50"/>
  <c r="N20" i="50"/>
  <c r="AZ20" i="50" s="1"/>
  <c r="AY20" i="50"/>
  <c r="F174" i="50"/>
  <c r="AR174" i="50" s="1"/>
  <c r="AR114" i="50"/>
  <c r="T181" i="50"/>
  <c r="BF181" i="50" s="1"/>
  <c r="BF121" i="50"/>
  <c r="M92" i="50"/>
  <c r="AY92" i="50" s="1"/>
  <c r="AY17" i="50"/>
  <c r="T98" i="50"/>
  <c r="BF98" i="50" s="1"/>
  <c r="BF23" i="50"/>
  <c r="N32" i="50"/>
  <c r="AZ32" i="50" s="1"/>
  <c r="AY32" i="50"/>
  <c r="AO22" i="67"/>
  <c r="L41" i="49"/>
  <c r="AO22" i="85" s="1"/>
  <c r="N112" i="50"/>
  <c r="AZ112" i="50" s="1"/>
  <c r="AY112" i="50"/>
  <c r="F177" i="50"/>
  <c r="AR177" i="50" s="1"/>
  <c r="AR117" i="50"/>
  <c r="T86" i="50"/>
  <c r="BF86" i="50" s="1"/>
  <c r="BF11" i="50"/>
  <c r="T186" i="50"/>
  <c r="BF186" i="50" s="1"/>
  <c r="BF126" i="50"/>
  <c r="T96" i="50"/>
  <c r="BF96" i="50" s="1"/>
  <c r="BF21" i="50"/>
  <c r="M189" i="50"/>
  <c r="AY189" i="50" s="1"/>
  <c r="AY129" i="50"/>
  <c r="F181" i="50"/>
  <c r="AR181" i="50" s="1"/>
  <c r="AR121" i="50"/>
  <c r="N123" i="50"/>
  <c r="AZ123" i="50" s="1"/>
  <c r="AY123" i="50"/>
  <c r="U27" i="50"/>
  <c r="BG27" i="50" s="1"/>
  <c r="BF27" i="50"/>
  <c r="T177" i="50"/>
  <c r="BF177" i="50" s="1"/>
  <c r="BF117" i="50"/>
  <c r="F103" i="50"/>
  <c r="AR103" i="50" s="1"/>
  <c r="AR28" i="50"/>
  <c r="M87" i="50"/>
  <c r="AY87" i="50" s="1"/>
  <c r="AY12" i="50"/>
  <c r="F96" i="50"/>
  <c r="AR96" i="50" s="1"/>
  <c r="AR21" i="50"/>
  <c r="M185" i="50"/>
  <c r="AY185" i="50" s="1"/>
  <c r="AY125" i="50"/>
  <c r="Y282" i="50"/>
  <c r="BK282" i="50" s="1"/>
  <c r="AO14" i="67"/>
  <c r="L27" i="49"/>
  <c r="AO14" i="85" s="1"/>
  <c r="G26" i="67"/>
  <c r="G44" i="67"/>
  <c r="AO35" i="50"/>
  <c r="K282" i="50"/>
  <c r="AW282" i="50" s="1"/>
  <c r="R282" i="50"/>
  <c r="BD282" i="50" s="1"/>
  <c r="G8" i="67"/>
  <c r="AW60" i="50"/>
  <c r="G8" i="85" s="1"/>
  <c r="G104" i="85" s="1"/>
  <c r="U126" i="50"/>
  <c r="T13" i="50"/>
  <c r="BF13" i="50" s="1"/>
  <c r="U30" i="50"/>
  <c r="U29" i="50"/>
  <c r="F105" i="50"/>
  <c r="AR105" i="50" s="1"/>
  <c r="N129" i="50"/>
  <c r="N11" i="50"/>
  <c r="U130" i="50"/>
  <c r="T97" i="50"/>
  <c r="BF97" i="50" s="1"/>
  <c r="U121" i="50"/>
  <c r="N17" i="50"/>
  <c r="U23" i="50"/>
  <c r="N18" i="50"/>
  <c r="U124" i="50"/>
  <c r="M106" i="50"/>
  <c r="AY106" i="50" s="1"/>
  <c r="U34" i="50"/>
  <c r="BG34" i="50" s="1"/>
  <c r="U117" i="50"/>
  <c r="U15" i="50"/>
  <c r="T92" i="50"/>
  <c r="BF92" i="50" s="1"/>
  <c r="N125" i="50"/>
  <c r="N115" i="50"/>
  <c r="U122" i="50"/>
  <c r="N130" i="50"/>
  <c r="N124" i="50"/>
  <c r="N16" i="50"/>
  <c r="G16" i="50"/>
  <c r="U18" i="50"/>
  <c r="N28" i="50"/>
  <c r="AZ28" i="50" s="1"/>
  <c r="N34" i="50"/>
  <c r="T102" i="50"/>
  <c r="BF102" i="50" s="1"/>
  <c r="N116" i="50"/>
  <c r="AZ116" i="50" s="1"/>
  <c r="N30" i="50"/>
  <c r="N121" i="50"/>
  <c r="AZ121" i="50" s="1"/>
  <c r="N114" i="50"/>
  <c r="N23" i="50"/>
  <c r="M183" i="50"/>
  <c r="AY183" i="50" s="1"/>
  <c r="C19" i="49"/>
  <c r="N119" i="50"/>
  <c r="U25" i="50"/>
  <c r="N127" i="50"/>
  <c r="AZ127" i="50" s="1"/>
  <c r="G119" i="50"/>
  <c r="G126" i="50"/>
  <c r="G34" i="50"/>
  <c r="U120" i="50"/>
  <c r="G120" i="50"/>
  <c r="G33" i="50"/>
  <c r="G27" i="50"/>
  <c r="G28" i="50"/>
  <c r="G21" i="50"/>
  <c r="G11" i="50"/>
  <c r="G117" i="50"/>
  <c r="G31" i="50"/>
  <c r="G125" i="50"/>
  <c r="AS125" i="50" s="1"/>
  <c r="F99" i="50"/>
  <c r="AR99" i="50" s="1"/>
  <c r="G114" i="50"/>
  <c r="F93" i="50"/>
  <c r="AR93" i="50" s="1"/>
  <c r="G130" i="50"/>
  <c r="AS130" i="50" s="1"/>
  <c r="G12" i="50"/>
  <c r="F97" i="50"/>
  <c r="AR97" i="50" s="1"/>
  <c r="G22" i="50"/>
  <c r="AS22" i="50" s="1"/>
  <c r="F100" i="50"/>
  <c r="AR100" i="50" s="1"/>
  <c r="G25" i="50"/>
  <c r="AS25" i="50" s="1"/>
  <c r="T99" i="50"/>
  <c r="BF99" i="50" s="1"/>
  <c r="U24" i="50"/>
  <c r="BG24" i="50" s="1"/>
  <c r="G32" i="50"/>
  <c r="F107" i="50"/>
  <c r="AR107" i="50" s="1"/>
  <c r="D47" i="49"/>
  <c r="F13" i="50"/>
  <c r="AR13" i="50" s="1"/>
  <c r="F89" i="50"/>
  <c r="AR89" i="50" s="1"/>
  <c r="M188" i="50"/>
  <c r="AY188" i="50" s="1"/>
  <c r="N128" i="50"/>
  <c r="AZ128" i="50" s="1"/>
  <c r="M182" i="50"/>
  <c r="AY182" i="50" s="1"/>
  <c r="M173" i="50"/>
  <c r="AY173" i="50" s="1"/>
  <c r="T175" i="50"/>
  <c r="BF175" i="50" s="1"/>
  <c r="U115" i="50"/>
  <c r="BG115" i="50" s="1"/>
  <c r="F90" i="50"/>
  <c r="AR90" i="50" s="1"/>
  <c r="G15" i="50"/>
  <c r="AS15" i="50" s="1"/>
  <c r="T111" i="50"/>
  <c r="BF111" i="50" s="1"/>
  <c r="T172" i="50"/>
  <c r="BF172" i="50" s="1"/>
  <c r="U21" i="50"/>
  <c r="BG21" i="50" s="1"/>
  <c r="T106" i="50"/>
  <c r="BF106" i="50" s="1"/>
  <c r="U116" i="50"/>
  <c r="BG116" i="50" s="1"/>
  <c r="U26" i="50"/>
  <c r="BG26" i="50" s="1"/>
  <c r="F111" i="50"/>
  <c r="AR111" i="50" s="1"/>
  <c r="G112" i="50"/>
  <c r="AS112" i="50" s="1"/>
  <c r="T87" i="50"/>
  <c r="BF87" i="50" s="1"/>
  <c r="U12" i="50"/>
  <c r="BG12" i="50" s="1"/>
  <c r="U127" i="50"/>
  <c r="BG127" i="50" s="1"/>
  <c r="G33" i="49"/>
  <c r="M13" i="50"/>
  <c r="AY13" i="50" s="1"/>
  <c r="M89" i="50"/>
  <c r="N118" i="50"/>
  <c r="AZ118" i="50" s="1"/>
  <c r="M178" i="50"/>
  <c r="AY178" i="50" s="1"/>
  <c r="U28" i="50"/>
  <c r="BG28" i="50" s="1"/>
  <c r="T103" i="50"/>
  <c r="BF103" i="50" s="1"/>
  <c r="F98" i="50"/>
  <c r="AR98" i="50" s="1"/>
  <c r="T174" i="50"/>
  <c r="BF174" i="50" s="1"/>
  <c r="U114" i="50"/>
  <c r="BG114" i="50" s="1"/>
  <c r="E47" i="49"/>
  <c r="G26" i="50"/>
  <c r="AS26" i="50" s="1"/>
  <c r="M111" i="50"/>
  <c r="AY111" i="50" s="1"/>
  <c r="M172" i="50"/>
  <c r="AY172" i="50" s="1"/>
  <c r="U11" i="50"/>
  <c r="BG11" i="50" s="1"/>
  <c r="U112" i="50"/>
  <c r="BG112" i="50" s="1"/>
  <c r="U14" i="50"/>
  <c r="BG14" i="50" s="1"/>
  <c r="G113" i="50"/>
  <c r="AS113" i="50" s="1"/>
  <c r="G123" i="50"/>
  <c r="AS123" i="50" s="1"/>
  <c r="N15" i="50"/>
  <c r="AZ15" i="50" s="1"/>
  <c r="U125" i="50"/>
  <c r="BG125" i="50" s="1"/>
  <c r="U119" i="50"/>
  <c r="BG119" i="50" s="1"/>
  <c r="G14" i="50"/>
  <c r="AS14" i="50" s="1"/>
  <c r="G128" i="50"/>
  <c r="AS128" i="50" s="1"/>
  <c r="F92" i="50"/>
  <c r="AR92" i="50" s="1"/>
  <c r="G17" i="50"/>
  <c r="AS17" i="50" s="1"/>
  <c r="G121" i="50"/>
  <c r="AS121" i="50" s="1"/>
  <c r="F187" i="50"/>
  <c r="AR187" i="50" s="1"/>
  <c r="G127" i="50"/>
  <c r="AS127" i="50" s="1"/>
  <c r="M180" i="50"/>
  <c r="AY180" i="50" s="1"/>
  <c r="T89" i="50"/>
  <c r="BF89" i="50" s="1"/>
  <c r="T183" i="50"/>
  <c r="BF183" i="50" s="1"/>
  <c r="U123" i="50"/>
  <c r="BG123" i="50" s="1"/>
  <c r="T19" i="50"/>
  <c r="BF19" i="50" s="1"/>
  <c r="T95" i="50"/>
  <c r="BF95" i="50" s="1"/>
  <c r="M102" i="50"/>
  <c r="AY102" i="50" s="1"/>
  <c r="N27" i="50"/>
  <c r="AZ27" i="50" s="1"/>
  <c r="F19" i="49"/>
  <c r="F175" i="50"/>
  <c r="AR175" i="50" s="1"/>
  <c r="F19" i="50"/>
  <c r="AR19" i="50" s="1"/>
  <c r="F95" i="50"/>
  <c r="AR95" i="50" s="1"/>
  <c r="N24" i="50"/>
  <c r="AZ24" i="50" s="1"/>
  <c r="M97" i="50"/>
  <c r="AY97" i="50" s="1"/>
  <c r="N22" i="50"/>
  <c r="AZ22" i="50" s="1"/>
  <c r="U16" i="50"/>
  <c r="BG16" i="50" s="1"/>
  <c r="M19" i="50"/>
  <c r="AY19" i="50" s="1"/>
  <c r="U118" i="50"/>
  <c r="BG118" i="50" s="1"/>
  <c r="N12" i="50"/>
  <c r="AZ12" i="50" s="1"/>
  <c r="G47" i="49"/>
  <c r="T107" i="50"/>
  <c r="BF107" i="50" s="1"/>
  <c r="N21" i="50"/>
  <c r="AZ21" i="50" s="1"/>
  <c r="M177" i="50"/>
  <c r="AY177" i="50" s="1"/>
  <c r="G118" i="50"/>
  <c r="AS118" i="50" s="1"/>
  <c r="U128" i="50"/>
  <c r="BG128" i="50" s="1"/>
  <c r="T188" i="50"/>
  <c r="BF188" i="50" s="1"/>
  <c r="N25" i="50"/>
  <c r="AZ25" i="50" s="1"/>
  <c r="M104" i="50"/>
  <c r="AY104" i="50" s="1"/>
  <c r="N29" i="50"/>
  <c r="AZ29" i="50" s="1"/>
  <c r="T173" i="50"/>
  <c r="BF173" i="50" s="1"/>
  <c r="U113" i="50"/>
  <c r="BG113" i="50" s="1"/>
  <c r="F47" i="49"/>
  <c r="M95" i="50"/>
  <c r="AY95" i="50" s="1"/>
  <c r="F176" i="50"/>
  <c r="AR176" i="50" s="1"/>
  <c r="U33" i="50"/>
  <c r="BG33" i="50" s="1"/>
  <c r="N26" i="50"/>
  <c r="AZ26" i="50" s="1"/>
  <c r="G122" i="50"/>
  <c r="AS122" i="50" s="1"/>
  <c r="N33" i="50"/>
  <c r="AZ33" i="50" s="1"/>
  <c r="G124" i="50"/>
  <c r="AS124" i="50" s="1"/>
  <c r="G19" i="49"/>
  <c r="U129" i="50"/>
  <c r="BG129" i="50" s="1"/>
  <c r="G129" i="50"/>
  <c r="AS129" i="50" s="1"/>
  <c r="E33" i="49"/>
  <c r="M186" i="50"/>
  <c r="AY186" i="50" s="1"/>
  <c r="N126" i="50"/>
  <c r="AZ126" i="50" s="1"/>
  <c r="M107" i="50"/>
  <c r="AY107" i="50" s="1"/>
  <c r="E19" i="49"/>
  <c r="F33" i="49"/>
  <c r="C33" i="49"/>
  <c r="D19" i="49"/>
  <c r="D33" i="49"/>
  <c r="V32" i="50" l="1"/>
  <c r="N177" i="50"/>
  <c r="AZ177" i="50" s="1"/>
  <c r="O117" i="50"/>
  <c r="BA117" i="50" s="1"/>
  <c r="H116" i="50"/>
  <c r="AT116" i="50" s="1"/>
  <c r="G176" i="50"/>
  <c r="AS176" i="50" s="1"/>
  <c r="U106" i="50"/>
  <c r="BG106" i="50" s="1"/>
  <c r="V31" i="50"/>
  <c r="BH31" i="50" s="1"/>
  <c r="N95" i="50"/>
  <c r="AZ95" i="50" s="1"/>
  <c r="G95" i="50"/>
  <c r="AS95" i="50" s="1"/>
  <c r="H20" i="50"/>
  <c r="AT20" i="50" s="1"/>
  <c r="O32" i="50"/>
  <c r="BA32" i="50" s="1"/>
  <c r="G99" i="50"/>
  <c r="AS99" i="50" s="1"/>
  <c r="U92" i="50"/>
  <c r="BG92" i="50" s="1"/>
  <c r="O20" i="50"/>
  <c r="BA20" i="50" s="1"/>
  <c r="N183" i="50"/>
  <c r="AZ183" i="50" s="1"/>
  <c r="G175" i="50"/>
  <c r="AS175" i="50" s="1"/>
  <c r="H115" i="50"/>
  <c r="AT115" i="50" s="1"/>
  <c r="C26" i="49"/>
  <c r="I26" i="49" s="1"/>
  <c r="O31" i="50"/>
  <c r="BA31" i="50" s="1"/>
  <c r="H23" i="50"/>
  <c r="AT23" i="50" s="1"/>
  <c r="N107" i="50"/>
  <c r="AZ107" i="50" s="1"/>
  <c r="V17" i="50"/>
  <c r="BH17" i="50" s="1"/>
  <c r="H24" i="50"/>
  <c r="AT24" i="50" s="1"/>
  <c r="N106" i="50"/>
  <c r="AZ106" i="50" s="1"/>
  <c r="G98" i="50"/>
  <c r="AS98" i="50" s="1"/>
  <c r="N173" i="50"/>
  <c r="AZ173" i="50" s="1"/>
  <c r="O123" i="50"/>
  <c r="BA123" i="50" s="1"/>
  <c r="O14" i="50"/>
  <c r="BA14" i="50" s="1"/>
  <c r="V27" i="50"/>
  <c r="BH27" i="50" s="1"/>
  <c r="N89" i="50"/>
  <c r="AZ89" i="50" s="1"/>
  <c r="H30" i="50"/>
  <c r="AT30" i="50" s="1"/>
  <c r="V22" i="50"/>
  <c r="BH22" i="50" s="1"/>
  <c r="H18" i="50"/>
  <c r="AT18" i="50" s="1"/>
  <c r="G104" i="67"/>
  <c r="G105" i="50"/>
  <c r="AS105" i="50" s="1"/>
  <c r="U97" i="50"/>
  <c r="BG97" i="50" s="1"/>
  <c r="G93" i="50"/>
  <c r="AS93" i="50" s="1"/>
  <c r="V20" i="50"/>
  <c r="BH20" i="50" s="1"/>
  <c r="O112" i="50"/>
  <c r="BA112" i="50" s="1"/>
  <c r="U95" i="50"/>
  <c r="BG95" i="50" s="1"/>
  <c r="O113" i="50"/>
  <c r="BA113" i="50" s="1"/>
  <c r="AP24" i="67"/>
  <c r="M47" i="49"/>
  <c r="AP24" i="85" s="1"/>
  <c r="G103" i="50"/>
  <c r="AS103" i="50" s="1"/>
  <c r="AS28" i="50"/>
  <c r="O30" i="50"/>
  <c r="BA30" i="50" s="1"/>
  <c r="AZ30" i="50"/>
  <c r="N184" i="50"/>
  <c r="AZ184" i="50" s="1"/>
  <c r="AZ124" i="50"/>
  <c r="U177" i="50"/>
  <c r="BG177" i="50" s="1"/>
  <c r="BG117" i="50"/>
  <c r="AP6" i="67"/>
  <c r="M13" i="49"/>
  <c r="AP6" i="85" s="1"/>
  <c r="U105" i="50"/>
  <c r="BG105" i="50" s="1"/>
  <c r="BG30" i="50"/>
  <c r="AN8" i="67"/>
  <c r="K19" i="49"/>
  <c r="AN8" i="85" s="1"/>
  <c r="AO24" i="67"/>
  <c r="L47" i="49"/>
  <c r="AO24" i="85" s="1"/>
  <c r="G174" i="50"/>
  <c r="AS174" i="50" s="1"/>
  <c r="AS114" i="50"/>
  <c r="G102" i="50"/>
  <c r="AS102" i="50" s="1"/>
  <c r="AS27" i="50"/>
  <c r="U100" i="50"/>
  <c r="BG100" i="50" s="1"/>
  <c r="BG25" i="50"/>
  <c r="N190" i="50"/>
  <c r="AZ190" i="50" s="1"/>
  <c r="AZ130" i="50"/>
  <c r="U190" i="50"/>
  <c r="BG190" i="50" s="1"/>
  <c r="BG130" i="50"/>
  <c r="U186" i="50"/>
  <c r="BG186" i="50" s="1"/>
  <c r="BG126" i="50"/>
  <c r="N91" i="50"/>
  <c r="AZ91" i="50" s="1"/>
  <c r="AZ16" i="50"/>
  <c r="AN24" i="67"/>
  <c r="K47" i="49"/>
  <c r="AN24" i="85" s="1"/>
  <c r="G108" i="50"/>
  <c r="AS108" i="50" s="1"/>
  <c r="AS33" i="50"/>
  <c r="O119" i="50"/>
  <c r="BA119" i="50" s="1"/>
  <c r="AZ119" i="50"/>
  <c r="U182" i="50"/>
  <c r="BG182" i="50" s="1"/>
  <c r="BG122" i="50"/>
  <c r="N86" i="50"/>
  <c r="AZ86" i="50" s="1"/>
  <c r="AZ11" i="50"/>
  <c r="O120" i="50"/>
  <c r="AZ120" i="50"/>
  <c r="U90" i="50"/>
  <c r="BG90" i="50" s="1"/>
  <c r="BG15" i="50"/>
  <c r="AM16" i="67"/>
  <c r="J33" i="49"/>
  <c r="AM16" i="85" s="1"/>
  <c r="AM24" i="67"/>
  <c r="J47" i="49"/>
  <c r="AM24" i="85" s="1"/>
  <c r="G180" i="50"/>
  <c r="AS180" i="50" s="1"/>
  <c r="AS120" i="50"/>
  <c r="AL8" i="67"/>
  <c r="I19" i="49"/>
  <c r="AL8" i="85" s="1"/>
  <c r="N109" i="50"/>
  <c r="AZ109" i="50" s="1"/>
  <c r="AZ34" i="50"/>
  <c r="N175" i="50"/>
  <c r="AZ175" i="50" s="1"/>
  <c r="AZ115" i="50"/>
  <c r="U184" i="50"/>
  <c r="BG184" i="50" s="1"/>
  <c r="BG124" i="50"/>
  <c r="N189" i="50"/>
  <c r="AZ189" i="50" s="1"/>
  <c r="AZ129" i="50"/>
  <c r="V121" i="50"/>
  <c r="BH121" i="50" s="1"/>
  <c r="BG121" i="50"/>
  <c r="AP8" i="67"/>
  <c r="M19" i="49"/>
  <c r="AP8" i="85" s="1"/>
  <c r="AM8" i="67"/>
  <c r="J19" i="49"/>
  <c r="AM8" i="85" s="1"/>
  <c r="G106" i="50"/>
  <c r="AS106" i="50" s="1"/>
  <c r="AS31" i="50"/>
  <c r="U180" i="50"/>
  <c r="BG180" i="50" s="1"/>
  <c r="BG120" i="50"/>
  <c r="O125" i="50"/>
  <c r="BA125" i="50" s="1"/>
  <c r="AZ125" i="50"/>
  <c r="O18" i="50"/>
  <c r="O93" i="50" s="1"/>
  <c r="BA93" i="50" s="1"/>
  <c r="AZ18" i="50"/>
  <c r="AP22" i="67"/>
  <c r="M41" i="49"/>
  <c r="AP22" i="85" s="1"/>
  <c r="N182" i="50"/>
  <c r="AZ182" i="50" s="1"/>
  <c r="AZ122" i="50"/>
  <c r="H21" i="50"/>
  <c r="AT21" i="50" s="1"/>
  <c r="AS21" i="50"/>
  <c r="AL16" i="67"/>
  <c r="I33" i="49"/>
  <c r="AL16" i="85" s="1"/>
  <c r="AO16" i="67"/>
  <c r="L33" i="49"/>
  <c r="AO16" i="85" s="1"/>
  <c r="AN16" i="67"/>
  <c r="K33" i="49"/>
  <c r="AN16" i="85" s="1"/>
  <c r="U102" i="50"/>
  <c r="BG102" i="50" s="1"/>
  <c r="C12" i="49"/>
  <c r="I12" i="49" s="1"/>
  <c r="AS32" i="50"/>
  <c r="N172" i="50"/>
  <c r="AZ172" i="50" s="1"/>
  <c r="G177" i="50"/>
  <c r="AS177" i="50" s="1"/>
  <c r="AS117" i="50"/>
  <c r="H34" i="50"/>
  <c r="AS34" i="50"/>
  <c r="N98" i="50"/>
  <c r="AZ98" i="50" s="1"/>
  <c r="AZ23" i="50"/>
  <c r="U93" i="50"/>
  <c r="BG93" i="50" s="1"/>
  <c r="BG18" i="50"/>
  <c r="U98" i="50"/>
  <c r="BG98" i="50" s="1"/>
  <c r="BG23" i="50"/>
  <c r="U104" i="50"/>
  <c r="BG104" i="50" s="1"/>
  <c r="BG29" i="50"/>
  <c r="G179" i="50"/>
  <c r="AS179" i="50" s="1"/>
  <c r="AS119" i="50"/>
  <c r="AO8" i="67"/>
  <c r="L19" i="49"/>
  <c r="AO8" i="85" s="1"/>
  <c r="AP16" i="67"/>
  <c r="M33" i="49"/>
  <c r="AP16" i="85" s="1"/>
  <c r="H12" i="50"/>
  <c r="AT12" i="50" s="1"/>
  <c r="AS12" i="50"/>
  <c r="H11" i="50"/>
  <c r="AT11" i="50" s="1"/>
  <c r="AS11" i="50"/>
  <c r="G186" i="50"/>
  <c r="AS186" i="50" s="1"/>
  <c r="AS126" i="50"/>
  <c r="N174" i="50"/>
  <c r="AZ174" i="50" s="1"/>
  <c r="AZ114" i="50"/>
  <c r="G91" i="50"/>
  <c r="AS91" i="50" s="1"/>
  <c r="AS16" i="50"/>
  <c r="N92" i="50"/>
  <c r="AZ92" i="50" s="1"/>
  <c r="AZ17" i="50"/>
  <c r="AP14" i="67"/>
  <c r="M27" i="49"/>
  <c r="AP14" i="85" s="1"/>
  <c r="U107" i="50"/>
  <c r="BG107" i="50" s="1"/>
  <c r="BG32" i="50"/>
  <c r="M88" i="50"/>
  <c r="AY88" i="50" s="1"/>
  <c r="AY89" i="50"/>
  <c r="V122" i="50"/>
  <c r="O130" i="50"/>
  <c r="T10" i="50"/>
  <c r="N185" i="50"/>
  <c r="AZ185" i="50" s="1"/>
  <c r="N93" i="50"/>
  <c r="AZ93" i="50" s="1"/>
  <c r="T94" i="50"/>
  <c r="BF94" i="50" s="1"/>
  <c r="G96" i="50"/>
  <c r="AS96" i="50" s="1"/>
  <c r="V117" i="50"/>
  <c r="O17" i="50"/>
  <c r="O115" i="50"/>
  <c r="U181" i="50"/>
  <c r="BG181" i="50" s="1"/>
  <c r="M10" i="50"/>
  <c r="O129" i="50"/>
  <c r="V29" i="50"/>
  <c r="V30" i="50"/>
  <c r="O11" i="50"/>
  <c r="V23" i="50"/>
  <c r="O114" i="50"/>
  <c r="V126" i="50"/>
  <c r="V130" i="50"/>
  <c r="BH130" i="50" s="1"/>
  <c r="O23" i="50"/>
  <c r="H33" i="50"/>
  <c r="O124" i="50"/>
  <c r="G87" i="50"/>
  <c r="AS87" i="50" s="1"/>
  <c r="N179" i="50"/>
  <c r="AZ179" i="50" s="1"/>
  <c r="U19" i="50"/>
  <c r="BG19" i="50" s="1"/>
  <c r="V124" i="50"/>
  <c r="H16" i="50"/>
  <c r="V15" i="50"/>
  <c r="BH15" i="50" s="1"/>
  <c r="M94" i="50"/>
  <c r="V25" i="50"/>
  <c r="H28" i="50"/>
  <c r="V120" i="50"/>
  <c r="H31" i="50"/>
  <c r="N105" i="50"/>
  <c r="AZ105" i="50" s="1"/>
  <c r="T88" i="50"/>
  <c r="BF88" i="50" s="1"/>
  <c r="O34" i="50"/>
  <c r="O16" i="50"/>
  <c r="H27" i="50"/>
  <c r="H117" i="50"/>
  <c r="H126" i="50"/>
  <c r="H114" i="50"/>
  <c r="G109" i="50"/>
  <c r="AS109" i="50" s="1"/>
  <c r="G86" i="50"/>
  <c r="AS86" i="50" s="1"/>
  <c r="N19" i="50"/>
  <c r="AZ19" i="50" s="1"/>
  <c r="V18" i="50"/>
  <c r="F94" i="50"/>
  <c r="AR94" i="50" s="1"/>
  <c r="H120" i="50"/>
  <c r="H119" i="50"/>
  <c r="AT119" i="50" s="1"/>
  <c r="N13" i="50"/>
  <c r="AZ13" i="50" s="1"/>
  <c r="U109" i="50"/>
  <c r="BG109" i="50" s="1"/>
  <c r="V34" i="50"/>
  <c r="BH34" i="50" s="1"/>
  <c r="G19" i="50"/>
  <c r="AS19" i="50" s="1"/>
  <c r="N103" i="50"/>
  <c r="AZ103" i="50" s="1"/>
  <c r="O28" i="50"/>
  <c r="BA28" i="50" s="1"/>
  <c r="N187" i="50"/>
  <c r="AZ187" i="50" s="1"/>
  <c r="O127" i="50"/>
  <c r="BA127" i="50" s="1"/>
  <c r="N176" i="50"/>
  <c r="AZ176" i="50" s="1"/>
  <c r="O116" i="50"/>
  <c r="BA116" i="50" s="1"/>
  <c r="O121" i="50"/>
  <c r="BA121" i="50" s="1"/>
  <c r="N181" i="50"/>
  <c r="AZ181" i="50" s="1"/>
  <c r="F171" i="50"/>
  <c r="AR171" i="50" s="1"/>
  <c r="G190" i="50"/>
  <c r="AS190" i="50" s="1"/>
  <c r="H130" i="50"/>
  <c r="AT130" i="50" s="1"/>
  <c r="G185" i="50"/>
  <c r="AS185" i="50" s="1"/>
  <c r="H125" i="50"/>
  <c r="AT125" i="50" s="1"/>
  <c r="G182" i="50"/>
  <c r="AS182" i="50" s="1"/>
  <c r="H122" i="50"/>
  <c r="AT122" i="50" s="1"/>
  <c r="U173" i="50"/>
  <c r="BG173" i="50" s="1"/>
  <c r="V113" i="50"/>
  <c r="BH113" i="50" s="1"/>
  <c r="G178" i="50"/>
  <c r="AS178" i="50" s="1"/>
  <c r="H118" i="50"/>
  <c r="AT118" i="50" s="1"/>
  <c r="G181" i="50"/>
  <c r="AS181" i="50" s="1"/>
  <c r="H121" i="50"/>
  <c r="AT121" i="50" s="1"/>
  <c r="G183" i="50"/>
  <c r="AS183" i="50" s="1"/>
  <c r="H123" i="50"/>
  <c r="AT123" i="50" s="1"/>
  <c r="U13" i="50"/>
  <c r="BG13" i="50" s="1"/>
  <c r="U89" i="50"/>
  <c r="BG89" i="50" s="1"/>
  <c r="V14" i="50"/>
  <c r="BH14" i="50" s="1"/>
  <c r="U111" i="50"/>
  <c r="U172" i="50"/>
  <c r="BG172" i="50" s="1"/>
  <c r="V112" i="50"/>
  <c r="BH112" i="50" s="1"/>
  <c r="G101" i="50"/>
  <c r="AS101" i="50" s="1"/>
  <c r="H26" i="50"/>
  <c r="AT26" i="50" s="1"/>
  <c r="N178" i="50"/>
  <c r="AZ178" i="50" s="1"/>
  <c r="O118" i="50"/>
  <c r="BA118" i="50" s="1"/>
  <c r="G172" i="50"/>
  <c r="AS172" i="50" s="1"/>
  <c r="G111" i="50"/>
  <c r="H112" i="50"/>
  <c r="AT112" i="50" s="1"/>
  <c r="T171" i="50"/>
  <c r="BF171" i="50" s="1"/>
  <c r="N188" i="50"/>
  <c r="AZ188" i="50" s="1"/>
  <c r="O128" i="50"/>
  <c r="BA128" i="50" s="1"/>
  <c r="N186" i="50"/>
  <c r="AZ186" i="50" s="1"/>
  <c r="O126" i="50"/>
  <c r="BA126" i="50" s="1"/>
  <c r="H124" i="50"/>
  <c r="AT124" i="50" s="1"/>
  <c r="G184" i="50"/>
  <c r="AS184" i="50" s="1"/>
  <c r="N100" i="50"/>
  <c r="AZ100" i="50" s="1"/>
  <c r="O25" i="50"/>
  <c r="BA25" i="50" s="1"/>
  <c r="N96" i="50"/>
  <c r="AZ96" i="50" s="1"/>
  <c r="O21" i="50"/>
  <c r="BA21" i="50" s="1"/>
  <c r="N87" i="50"/>
  <c r="AZ87" i="50" s="1"/>
  <c r="O12" i="50"/>
  <c r="BA12" i="50" s="1"/>
  <c r="U91" i="50"/>
  <c r="BG91" i="50" s="1"/>
  <c r="V16" i="50"/>
  <c r="BH16" i="50" s="1"/>
  <c r="N99" i="50"/>
  <c r="AZ99" i="50" s="1"/>
  <c r="O24" i="50"/>
  <c r="BA24" i="50" s="1"/>
  <c r="V123" i="50"/>
  <c r="BH123" i="50" s="1"/>
  <c r="U183" i="50"/>
  <c r="BG183" i="50" s="1"/>
  <c r="G92" i="50"/>
  <c r="AS92" i="50" s="1"/>
  <c r="H17" i="50"/>
  <c r="AT17" i="50" s="1"/>
  <c r="G188" i="50"/>
  <c r="AS188" i="50" s="1"/>
  <c r="H128" i="50"/>
  <c r="AT128" i="50" s="1"/>
  <c r="V125" i="50"/>
  <c r="BH125" i="50" s="1"/>
  <c r="U185" i="50"/>
  <c r="BG185" i="50" s="1"/>
  <c r="V11" i="50"/>
  <c r="BH11" i="50" s="1"/>
  <c r="U86" i="50"/>
  <c r="BG86" i="50" s="1"/>
  <c r="O182" i="50"/>
  <c r="BA182" i="50" s="1"/>
  <c r="P122" i="50"/>
  <c r="BB122" i="50" s="1"/>
  <c r="U101" i="50"/>
  <c r="BG101" i="50" s="1"/>
  <c r="V26" i="50"/>
  <c r="BH26" i="50" s="1"/>
  <c r="U96" i="50"/>
  <c r="V21" i="50"/>
  <c r="BH21" i="50" s="1"/>
  <c r="H32" i="50"/>
  <c r="G107" i="50"/>
  <c r="AS107" i="50" s="1"/>
  <c r="N111" i="50"/>
  <c r="C47" i="49"/>
  <c r="H129" i="50"/>
  <c r="AT129" i="50" s="1"/>
  <c r="G189" i="50"/>
  <c r="AS189" i="50" s="1"/>
  <c r="O26" i="50"/>
  <c r="BA26" i="50" s="1"/>
  <c r="N101" i="50"/>
  <c r="AZ101" i="50" s="1"/>
  <c r="O33" i="50"/>
  <c r="BA33" i="50" s="1"/>
  <c r="N108" i="50"/>
  <c r="AZ108" i="50" s="1"/>
  <c r="U108" i="50"/>
  <c r="BG108" i="50" s="1"/>
  <c r="V33" i="50"/>
  <c r="BH33" i="50" s="1"/>
  <c r="N104" i="50"/>
  <c r="AZ104" i="50" s="1"/>
  <c r="O29" i="50"/>
  <c r="BA29" i="50" s="1"/>
  <c r="N102" i="50"/>
  <c r="AZ102" i="50" s="1"/>
  <c r="O27" i="50"/>
  <c r="BA27" i="50" s="1"/>
  <c r="G187" i="50"/>
  <c r="AS187" i="50" s="1"/>
  <c r="H127" i="50"/>
  <c r="AT127" i="50" s="1"/>
  <c r="G13" i="50"/>
  <c r="AS13" i="50" s="1"/>
  <c r="G89" i="50"/>
  <c r="AS89" i="50" s="1"/>
  <c r="H14" i="50"/>
  <c r="AT14" i="50" s="1"/>
  <c r="N90" i="50"/>
  <c r="O15" i="50"/>
  <c r="BA15" i="50" s="1"/>
  <c r="G173" i="50"/>
  <c r="AS173" i="50" s="1"/>
  <c r="H113" i="50"/>
  <c r="AT113" i="50" s="1"/>
  <c r="M171" i="50"/>
  <c r="AY171" i="50" s="1"/>
  <c r="U103" i="50"/>
  <c r="BG103" i="50" s="1"/>
  <c r="V28" i="50"/>
  <c r="BH28" i="50" s="1"/>
  <c r="U87" i="50"/>
  <c r="BG87" i="50" s="1"/>
  <c r="V12" i="50"/>
  <c r="BH12" i="50" s="1"/>
  <c r="G90" i="50"/>
  <c r="AS90" i="50" s="1"/>
  <c r="H15" i="50"/>
  <c r="AT15" i="50" s="1"/>
  <c r="U175" i="50"/>
  <c r="BG175" i="50" s="1"/>
  <c r="V115" i="50"/>
  <c r="BH115" i="50" s="1"/>
  <c r="F88" i="50"/>
  <c r="AR88" i="50" s="1"/>
  <c r="G97" i="50"/>
  <c r="AS97" i="50" s="1"/>
  <c r="H22" i="50"/>
  <c r="AT22" i="50" s="1"/>
  <c r="U189" i="50"/>
  <c r="BG189" i="50" s="1"/>
  <c r="V129" i="50"/>
  <c r="BH129" i="50" s="1"/>
  <c r="U188" i="50"/>
  <c r="BG188" i="50" s="1"/>
  <c r="V128" i="50"/>
  <c r="BH128" i="50" s="1"/>
  <c r="U178" i="50"/>
  <c r="BG178" i="50" s="1"/>
  <c r="V118" i="50"/>
  <c r="BH118" i="50" s="1"/>
  <c r="N97" i="50"/>
  <c r="AZ97" i="50" s="1"/>
  <c r="O22" i="50"/>
  <c r="BA22" i="50" s="1"/>
  <c r="U179" i="50"/>
  <c r="BG179" i="50" s="1"/>
  <c r="V119" i="50"/>
  <c r="BH119" i="50" s="1"/>
  <c r="U174" i="50"/>
  <c r="BG174" i="50" s="1"/>
  <c r="V114" i="50"/>
  <c r="BH114" i="50" s="1"/>
  <c r="U187" i="50"/>
  <c r="BG187" i="50" s="1"/>
  <c r="V127" i="50"/>
  <c r="BH127" i="50" s="1"/>
  <c r="U176" i="50"/>
  <c r="BG176" i="50" s="1"/>
  <c r="V116" i="50"/>
  <c r="BH116" i="50" s="1"/>
  <c r="U99" i="50"/>
  <c r="BG99" i="50" s="1"/>
  <c r="V24" i="50"/>
  <c r="BH24" i="50" s="1"/>
  <c r="G100" i="50"/>
  <c r="AS100" i="50" s="1"/>
  <c r="H25" i="50"/>
  <c r="AT25" i="50" s="1"/>
  <c r="V181" i="50" l="1"/>
  <c r="BH181" i="50" s="1"/>
  <c r="P117" i="50"/>
  <c r="BB117" i="50" s="1"/>
  <c r="O177" i="50"/>
  <c r="BA177" i="50" s="1"/>
  <c r="V107" i="50"/>
  <c r="BH107" i="50" s="1"/>
  <c r="BH32" i="50"/>
  <c r="D40" i="49"/>
  <c r="J40" i="49" s="1"/>
  <c r="W32" i="50"/>
  <c r="V106" i="50"/>
  <c r="BH106" i="50" s="1"/>
  <c r="W31" i="50"/>
  <c r="BI31" i="50" s="1"/>
  <c r="H176" i="50"/>
  <c r="AT176" i="50" s="1"/>
  <c r="I116" i="50"/>
  <c r="AU116" i="50" s="1"/>
  <c r="H95" i="50"/>
  <c r="AT95" i="50" s="1"/>
  <c r="V102" i="50"/>
  <c r="BH102" i="50" s="1"/>
  <c r="V97" i="50"/>
  <c r="BH97" i="50" s="1"/>
  <c r="W22" i="50"/>
  <c r="BI22" i="50" s="1"/>
  <c r="W27" i="50"/>
  <c r="BI27" i="50" s="1"/>
  <c r="D26" i="49"/>
  <c r="J26" i="49" s="1"/>
  <c r="O89" i="50"/>
  <c r="BA89" i="50" s="1"/>
  <c r="I115" i="50"/>
  <c r="AU115" i="50" s="1"/>
  <c r="P14" i="50"/>
  <c r="BB14" i="50" s="1"/>
  <c r="I20" i="50"/>
  <c r="AU20" i="50" s="1"/>
  <c r="P32" i="50"/>
  <c r="BB32" i="50" s="1"/>
  <c r="O107" i="50"/>
  <c r="BA107" i="50" s="1"/>
  <c r="I23" i="50"/>
  <c r="AU23" i="50" s="1"/>
  <c r="H98" i="50"/>
  <c r="AT98" i="50" s="1"/>
  <c r="O95" i="50"/>
  <c r="BA95" i="50" s="1"/>
  <c r="H93" i="50"/>
  <c r="AT93" i="50" s="1"/>
  <c r="H175" i="50"/>
  <c r="AT175" i="50" s="1"/>
  <c r="P20" i="50"/>
  <c r="BB20" i="50" s="1"/>
  <c r="W17" i="50"/>
  <c r="BI17" i="50" s="1"/>
  <c r="O179" i="50"/>
  <c r="BA179" i="50" s="1"/>
  <c r="W20" i="50"/>
  <c r="BI20" i="50" s="1"/>
  <c r="H105" i="50"/>
  <c r="AT105" i="50" s="1"/>
  <c r="O183" i="50"/>
  <c r="BA183" i="50" s="1"/>
  <c r="P112" i="50"/>
  <c r="BB112" i="50" s="1"/>
  <c r="V92" i="50"/>
  <c r="BH92" i="50" s="1"/>
  <c r="P30" i="50"/>
  <c r="BB30" i="50" s="1"/>
  <c r="P119" i="50"/>
  <c r="BB119" i="50" s="1"/>
  <c r="V95" i="50"/>
  <c r="BH95" i="50" s="1"/>
  <c r="O172" i="50"/>
  <c r="BA172" i="50" s="1"/>
  <c r="I24" i="50"/>
  <c r="AU24" i="50" s="1"/>
  <c r="O105" i="50"/>
  <c r="BA105" i="50" s="1"/>
  <c r="I30" i="50"/>
  <c r="AU30" i="50" s="1"/>
  <c r="P31" i="50"/>
  <c r="BB31" i="50" s="1"/>
  <c r="O106" i="50"/>
  <c r="BA106" i="50" s="1"/>
  <c r="P123" i="50"/>
  <c r="BB123" i="50" s="1"/>
  <c r="H99" i="50"/>
  <c r="AT99" i="50" s="1"/>
  <c r="I18" i="50"/>
  <c r="AU18" i="50" s="1"/>
  <c r="O173" i="50"/>
  <c r="BA173" i="50" s="1"/>
  <c r="P113" i="50"/>
  <c r="BB113" i="50" s="1"/>
  <c r="I21" i="50"/>
  <c r="AU21" i="50" s="1"/>
  <c r="O185" i="50"/>
  <c r="BA185" i="50" s="1"/>
  <c r="H96" i="50"/>
  <c r="AT96" i="50" s="1"/>
  <c r="P125" i="50"/>
  <c r="BB125" i="50" s="1"/>
  <c r="I11" i="50"/>
  <c r="AU11" i="50" s="1"/>
  <c r="H86" i="50"/>
  <c r="AT86" i="50" s="1"/>
  <c r="I12" i="50"/>
  <c r="AU12" i="50" s="1"/>
  <c r="H180" i="50"/>
  <c r="AT180" i="50" s="1"/>
  <c r="AT120" i="50"/>
  <c r="I117" i="50"/>
  <c r="AU117" i="50" s="1"/>
  <c r="AT117" i="50"/>
  <c r="O174" i="50"/>
  <c r="BA174" i="50" s="1"/>
  <c r="BA114" i="50"/>
  <c r="I34" i="50"/>
  <c r="AT34" i="50"/>
  <c r="I28" i="50"/>
  <c r="AU28" i="50" s="1"/>
  <c r="AT28" i="50"/>
  <c r="C29" i="67"/>
  <c r="AZ111" i="50"/>
  <c r="C29" i="85" s="1"/>
  <c r="H87" i="50"/>
  <c r="AT87" i="50" s="1"/>
  <c r="I27" i="50"/>
  <c r="AU27" i="50" s="1"/>
  <c r="AT27" i="50"/>
  <c r="V100" i="50"/>
  <c r="BH100" i="50" s="1"/>
  <c r="BH25" i="50"/>
  <c r="V98" i="50"/>
  <c r="BH98" i="50" s="1"/>
  <c r="BH23" i="50"/>
  <c r="O175" i="50"/>
  <c r="BA175" i="50" s="1"/>
  <c r="BA115" i="50"/>
  <c r="W18" i="50"/>
  <c r="BI18" i="50" s="1"/>
  <c r="BH18" i="50"/>
  <c r="O91" i="50"/>
  <c r="BA91" i="50" s="1"/>
  <c r="BA16" i="50"/>
  <c r="H109" i="50"/>
  <c r="AT109" i="50" s="1"/>
  <c r="O184" i="50"/>
  <c r="BA184" i="50" s="1"/>
  <c r="BA124" i="50"/>
  <c r="O86" i="50"/>
  <c r="BA86" i="50" s="1"/>
  <c r="BA11" i="50"/>
  <c r="O92" i="50"/>
  <c r="BA92" i="50" s="1"/>
  <c r="BA17" i="50"/>
  <c r="T280" i="50"/>
  <c r="BF280" i="50" s="1"/>
  <c r="BF10" i="50"/>
  <c r="V180" i="50"/>
  <c r="BH180" i="50" s="1"/>
  <c r="BH120" i="50"/>
  <c r="P34" i="50"/>
  <c r="BB34" i="50" s="1"/>
  <c r="BA34" i="50"/>
  <c r="H108" i="50"/>
  <c r="AT108" i="50" s="1"/>
  <c r="AT33" i="50"/>
  <c r="V105" i="50"/>
  <c r="BH105" i="50" s="1"/>
  <c r="BH30" i="50"/>
  <c r="W117" i="50"/>
  <c r="BI117" i="50" s="1"/>
  <c r="BH117" i="50"/>
  <c r="P130" i="50"/>
  <c r="BB130" i="50" s="1"/>
  <c r="BA130" i="50"/>
  <c r="V186" i="50"/>
  <c r="BH186" i="50" s="1"/>
  <c r="BH126" i="50"/>
  <c r="V104" i="50"/>
  <c r="BH104" i="50" s="1"/>
  <c r="BH29" i="50"/>
  <c r="V182" i="50"/>
  <c r="BH182" i="50" s="1"/>
  <c r="BH122" i="50"/>
  <c r="P18" i="50"/>
  <c r="BA18" i="50"/>
  <c r="BA120" i="50"/>
  <c r="P120" i="50"/>
  <c r="O180" i="50"/>
  <c r="BA180" i="50" s="1"/>
  <c r="H186" i="50"/>
  <c r="AT186" i="50" s="1"/>
  <c r="AT126" i="50"/>
  <c r="D12" i="49"/>
  <c r="J12" i="49" s="1"/>
  <c r="AT32" i="50"/>
  <c r="W121" i="50"/>
  <c r="BI121" i="50" s="1"/>
  <c r="H91" i="50"/>
  <c r="AT91" i="50" s="1"/>
  <c r="AT16" i="50"/>
  <c r="O98" i="50"/>
  <c r="BA98" i="50" s="1"/>
  <c r="BA23" i="50"/>
  <c r="O189" i="50"/>
  <c r="BA189" i="50" s="1"/>
  <c r="BA129" i="50"/>
  <c r="AL24" i="67"/>
  <c r="I47" i="49"/>
  <c r="AL24" i="85" s="1"/>
  <c r="C11" i="67"/>
  <c r="AS111" i="50"/>
  <c r="C11" i="85" s="1"/>
  <c r="C47" i="67"/>
  <c r="BG111" i="50"/>
  <c r="C47" i="85" s="1"/>
  <c r="I114" i="50"/>
  <c r="AU114" i="50" s="1"/>
  <c r="AT114" i="50"/>
  <c r="H106" i="50"/>
  <c r="AT106" i="50" s="1"/>
  <c r="AT31" i="50"/>
  <c r="V184" i="50"/>
  <c r="BH184" i="50" s="1"/>
  <c r="BH124" i="50"/>
  <c r="C25" i="49"/>
  <c r="AY10" i="50"/>
  <c r="U94" i="50"/>
  <c r="BG94" i="50" s="1"/>
  <c r="BG96" i="50"/>
  <c r="M85" i="50"/>
  <c r="AY85" i="50" s="1"/>
  <c r="AY94" i="50"/>
  <c r="N88" i="50"/>
  <c r="AZ88" i="50" s="1"/>
  <c r="AZ90" i="50"/>
  <c r="W122" i="50"/>
  <c r="BI122" i="50" s="1"/>
  <c r="O190" i="50"/>
  <c r="BA190" i="50" s="1"/>
  <c r="P115" i="50"/>
  <c r="C39" i="49"/>
  <c r="P124" i="50"/>
  <c r="W120" i="50"/>
  <c r="V177" i="50"/>
  <c r="BH177" i="50" s="1"/>
  <c r="W30" i="50"/>
  <c r="I16" i="50"/>
  <c r="P16" i="50"/>
  <c r="P114" i="50"/>
  <c r="W29" i="50"/>
  <c r="P129" i="50"/>
  <c r="G94" i="50"/>
  <c r="AS94" i="50" s="1"/>
  <c r="V93" i="50"/>
  <c r="BH93" i="50" s="1"/>
  <c r="H103" i="50"/>
  <c r="AT103" i="50" s="1"/>
  <c r="I126" i="50"/>
  <c r="P17" i="50"/>
  <c r="P11" i="50"/>
  <c r="M280" i="50"/>
  <c r="AY280" i="50" s="1"/>
  <c r="W23" i="50"/>
  <c r="O13" i="50"/>
  <c r="BA13" i="50" s="1"/>
  <c r="P23" i="50"/>
  <c r="T85" i="50"/>
  <c r="W25" i="50"/>
  <c r="W124" i="50"/>
  <c r="O109" i="50"/>
  <c r="BA109" i="50" s="1"/>
  <c r="U10" i="50"/>
  <c r="BG10" i="50" s="1"/>
  <c r="C42" i="85" s="1"/>
  <c r="O19" i="50"/>
  <c r="BA19" i="50" s="1"/>
  <c r="V19" i="50"/>
  <c r="BH19" i="50" s="1"/>
  <c r="V190" i="50"/>
  <c r="BH190" i="50" s="1"/>
  <c r="W130" i="50"/>
  <c r="BI130" i="50" s="1"/>
  <c r="I33" i="50"/>
  <c r="W126" i="50"/>
  <c r="O111" i="50"/>
  <c r="H177" i="50"/>
  <c r="AT177" i="50" s="1"/>
  <c r="I31" i="50"/>
  <c r="N94" i="50"/>
  <c r="N10" i="50"/>
  <c r="AZ10" i="50" s="1"/>
  <c r="C24" i="85" s="1"/>
  <c r="H102" i="50"/>
  <c r="AT102" i="50" s="1"/>
  <c r="W15" i="50"/>
  <c r="BI15" i="50" s="1"/>
  <c r="V90" i="50"/>
  <c r="BH90" i="50" s="1"/>
  <c r="N171" i="50"/>
  <c r="H174" i="50"/>
  <c r="AT174" i="50" s="1"/>
  <c r="I120" i="50"/>
  <c r="G88" i="50"/>
  <c r="AS88" i="50" s="1"/>
  <c r="W34" i="50"/>
  <c r="BI34" i="50" s="1"/>
  <c r="V109" i="50"/>
  <c r="BH109" i="50" s="1"/>
  <c r="H179" i="50"/>
  <c r="AT179" i="50" s="1"/>
  <c r="I119" i="50"/>
  <c r="AU119" i="50" s="1"/>
  <c r="O187" i="50"/>
  <c r="BA187" i="50" s="1"/>
  <c r="P127" i="50"/>
  <c r="BB127" i="50" s="1"/>
  <c r="P121" i="50"/>
  <c r="BB121" i="50" s="1"/>
  <c r="O181" i="50"/>
  <c r="BA181" i="50" s="1"/>
  <c r="O103" i="50"/>
  <c r="BA103" i="50" s="1"/>
  <c r="P28" i="50"/>
  <c r="BB28" i="50" s="1"/>
  <c r="O176" i="50"/>
  <c r="BA176" i="50" s="1"/>
  <c r="P116" i="50"/>
  <c r="BB116" i="50" s="1"/>
  <c r="U88" i="50"/>
  <c r="H190" i="50"/>
  <c r="AT190" i="50" s="1"/>
  <c r="I130" i="50"/>
  <c r="AU130" i="50" s="1"/>
  <c r="H185" i="50"/>
  <c r="AT185" i="50" s="1"/>
  <c r="I125" i="50"/>
  <c r="AU125" i="50" s="1"/>
  <c r="V187" i="50"/>
  <c r="BH187" i="50" s="1"/>
  <c r="W127" i="50"/>
  <c r="BI127" i="50" s="1"/>
  <c r="V178" i="50"/>
  <c r="BH178" i="50" s="1"/>
  <c r="W118" i="50"/>
  <c r="BI118" i="50" s="1"/>
  <c r="I22" i="50"/>
  <c r="H97" i="50"/>
  <c r="O101" i="50"/>
  <c r="BA101" i="50" s="1"/>
  <c r="P26" i="50"/>
  <c r="BB26" i="50" s="1"/>
  <c r="H189" i="50"/>
  <c r="AT189" i="50" s="1"/>
  <c r="I129" i="50"/>
  <c r="AU129" i="50" s="1"/>
  <c r="V101" i="50"/>
  <c r="BH101" i="50" s="1"/>
  <c r="W26" i="50"/>
  <c r="BI26" i="50" s="1"/>
  <c r="V183" i="50"/>
  <c r="BH183" i="50" s="1"/>
  <c r="W123" i="50"/>
  <c r="BI123" i="50" s="1"/>
  <c r="P24" i="50"/>
  <c r="BB24" i="50" s="1"/>
  <c r="O99" i="50"/>
  <c r="BA99" i="50" s="1"/>
  <c r="O87" i="50"/>
  <c r="BA87" i="50" s="1"/>
  <c r="P12" i="50"/>
  <c r="BB12" i="50" s="1"/>
  <c r="O96" i="50"/>
  <c r="BA96" i="50" s="1"/>
  <c r="P21" i="50"/>
  <c r="BB21" i="50" s="1"/>
  <c r="O186" i="50"/>
  <c r="BA186" i="50" s="1"/>
  <c r="P126" i="50"/>
  <c r="BB126" i="50" s="1"/>
  <c r="V111" i="50"/>
  <c r="V172" i="50"/>
  <c r="BH172" i="50" s="1"/>
  <c r="W112" i="50"/>
  <c r="BI112" i="50" s="1"/>
  <c r="H178" i="50"/>
  <c r="AT178" i="50" s="1"/>
  <c r="I118" i="50"/>
  <c r="AU118" i="50" s="1"/>
  <c r="H100" i="50"/>
  <c r="AT100" i="50" s="1"/>
  <c r="I25" i="50"/>
  <c r="AU25" i="50" s="1"/>
  <c r="V99" i="50"/>
  <c r="BH99" i="50" s="1"/>
  <c r="W24" i="50"/>
  <c r="BI24" i="50" s="1"/>
  <c r="V188" i="50"/>
  <c r="BH188" i="50" s="1"/>
  <c r="W128" i="50"/>
  <c r="BI128" i="50" s="1"/>
  <c r="W114" i="50"/>
  <c r="BI114" i="50" s="1"/>
  <c r="V174" i="50"/>
  <c r="BH174" i="50" s="1"/>
  <c r="V179" i="50"/>
  <c r="BH179" i="50" s="1"/>
  <c r="W119" i="50"/>
  <c r="BI119" i="50" s="1"/>
  <c r="H19" i="50"/>
  <c r="AT19" i="50" s="1"/>
  <c r="V175" i="50"/>
  <c r="BH175" i="50" s="1"/>
  <c r="W115" i="50"/>
  <c r="BI115" i="50" s="1"/>
  <c r="H90" i="50"/>
  <c r="AT90" i="50" s="1"/>
  <c r="I15" i="50"/>
  <c r="AU15" i="50" s="1"/>
  <c r="V87" i="50"/>
  <c r="BH87" i="50" s="1"/>
  <c r="W12" i="50"/>
  <c r="BI12" i="50" s="1"/>
  <c r="V103" i="50"/>
  <c r="BH103" i="50" s="1"/>
  <c r="W28" i="50"/>
  <c r="BI28" i="50" s="1"/>
  <c r="O90" i="50"/>
  <c r="P15" i="50"/>
  <c r="BB15" i="50" s="1"/>
  <c r="H92" i="50"/>
  <c r="AT92" i="50" s="1"/>
  <c r="I17" i="50"/>
  <c r="AU17" i="50" s="1"/>
  <c r="I124" i="50"/>
  <c r="AU124" i="50" s="1"/>
  <c r="H184" i="50"/>
  <c r="AT184" i="50" s="1"/>
  <c r="G171" i="50"/>
  <c r="U171" i="50"/>
  <c r="O97" i="50"/>
  <c r="BA97" i="50" s="1"/>
  <c r="P22" i="50"/>
  <c r="BB22" i="50" s="1"/>
  <c r="H187" i="50"/>
  <c r="AT187" i="50" s="1"/>
  <c r="I127" i="50"/>
  <c r="AU127" i="50" s="1"/>
  <c r="O102" i="50"/>
  <c r="BA102" i="50" s="1"/>
  <c r="P27" i="50"/>
  <c r="BB27" i="50" s="1"/>
  <c r="O108" i="50"/>
  <c r="BA108" i="50" s="1"/>
  <c r="P33" i="50"/>
  <c r="BB33" i="50" s="1"/>
  <c r="V96" i="50"/>
  <c r="W21" i="50"/>
  <c r="BI21" i="50" s="1"/>
  <c r="P182" i="50"/>
  <c r="BB182" i="50" s="1"/>
  <c r="Q122" i="50"/>
  <c r="BC122" i="50" s="1"/>
  <c r="V185" i="50"/>
  <c r="BH185" i="50" s="1"/>
  <c r="W125" i="50"/>
  <c r="BI125" i="50" s="1"/>
  <c r="V91" i="50"/>
  <c r="BH91" i="50" s="1"/>
  <c r="W16" i="50"/>
  <c r="BI16" i="50" s="1"/>
  <c r="P25" i="50"/>
  <c r="BB25" i="50" s="1"/>
  <c r="O100" i="50"/>
  <c r="BA100" i="50" s="1"/>
  <c r="P128" i="50"/>
  <c r="BB128" i="50" s="1"/>
  <c r="O188" i="50"/>
  <c r="BA188" i="50" s="1"/>
  <c r="O178" i="50"/>
  <c r="BA178" i="50" s="1"/>
  <c r="P118" i="50"/>
  <c r="BB118" i="50" s="1"/>
  <c r="H101" i="50"/>
  <c r="AT101" i="50" s="1"/>
  <c r="I26" i="50"/>
  <c r="AU26" i="50" s="1"/>
  <c r="H183" i="50"/>
  <c r="AT183" i="50" s="1"/>
  <c r="I123" i="50"/>
  <c r="AU123" i="50" s="1"/>
  <c r="H181" i="50"/>
  <c r="AT181" i="50" s="1"/>
  <c r="I121" i="50"/>
  <c r="AU121" i="50" s="1"/>
  <c r="V173" i="50"/>
  <c r="BH173" i="50" s="1"/>
  <c r="W113" i="50"/>
  <c r="BI113" i="50" s="1"/>
  <c r="H182" i="50"/>
  <c r="AT182" i="50" s="1"/>
  <c r="I122" i="50"/>
  <c r="AU122" i="50" s="1"/>
  <c r="V176" i="50"/>
  <c r="BH176" i="50" s="1"/>
  <c r="W116" i="50"/>
  <c r="BI116" i="50" s="1"/>
  <c r="W129" i="50"/>
  <c r="BI129" i="50" s="1"/>
  <c r="V189" i="50"/>
  <c r="BH189" i="50" s="1"/>
  <c r="H173" i="50"/>
  <c r="AT173" i="50" s="1"/>
  <c r="I113" i="50"/>
  <c r="AU113" i="50" s="1"/>
  <c r="H13" i="50"/>
  <c r="AT13" i="50" s="1"/>
  <c r="H89" i="50"/>
  <c r="AT89" i="50" s="1"/>
  <c r="I14" i="50"/>
  <c r="AU14" i="50" s="1"/>
  <c r="O104" i="50"/>
  <c r="BA104" i="50" s="1"/>
  <c r="P29" i="50"/>
  <c r="BB29" i="50" s="1"/>
  <c r="V108" i="50"/>
  <c r="BH108" i="50" s="1"/>
  <c r="W33" i="50"/>
  <c r="BI33" i="50" s="1"/>
  <c r="H107" i="50"/>
  <c r="AT107" i="50" s="1"/>
  <c r="I32" i="50"/>
  <c r="AU32" i="50" s="1"/>
  <c r="V86" i="50"/>
  <c r="BH86" i="50" s="1"/>
  <c r="W11" i="50"/>
  <c r="BI11" i="50" s="1"/>
  <c r="H188" i="50"/>
  <c r="AT188" i="50" s="1"/>
  <c r="I128" i="50"/>
  <c r="AU128" i="50" s="1"/>
  <c r="H172" i="50"/>
  <c r="AT172" i="50" s="1"/>
  <c r="H111" i="50"/>
  <c r="I112" i="50"/>
  <c r="AU112" i="50" s="1"/>
  <c r="V13" i="50"/>
  <c r="BH13" i="50" s="1"/>
  <c r="V89" i="50"/>
  <c r="BH89" i="50" s="1"/>
  <c r="W14" i="50"/>
  <c r="BI14" i="50" s="1"/>
  <c r="W107" i="50" l="1"/>
  <c r="BI107" i="50" s="1"/>
  <c r="BI32" i="50"/>
  <c r="E40" i="49"/>
  <c r="K40" i="49" s="1"/>
  <c r="X32" i="50"/>
  <c r="I176" i="50"/>
  <c r="AU176" i="50" s="1"/>
  <c r="J116" i="50"/>
  <c r="AV116" i="50" s="1"/>
  <c r="W106" i="50"/>
  <c r="BI106" i="50" s="1"/>
  <c r="X31" i="50"/>
  <c r="BJ31" i="50" s="1"/>
  <c r="P177" i="50"/>
  <c r="BB177" i="50" s="1"/>
  <c r="Q117" i="50"/>
  <c r="BC117" i="50" s="1"/>
  <c r="X22" i="50"/>
  <c r="BJ22" i="50" s="1"/>
  <c r="W97" i="50"/>
  <c r="BI97" i="50" s="1"/>
  <c r="P179" i="50"/>
  <c r="BB179" i="50" s="1"/>
  <c r="Q119" i="50"/>
  <c r="BC119" i="50" s="1"/>
  <c r="I98" i="50"/>
  <c r="AU98" i="50" s="1"/>
  <c r="J23" i="50"/>
  <c r="AV23" i="50" s="1"/>
  <c r="I175" i="50"/>
  <c r="AU175" i="50" s="1"/>
  <c r="J115" i="50"/>
  <c r="AV115" i="50" s="1"/>
  <c r="E26" i="49"/>
  <c r="K26" i="49" s="1"/>
  <c r="P107" i="50"/>
  <c r="BB107" i="50" s="1"/>
  <c r="Q32" i="50"/>
  <c r="BC32" i="50" s="1"/>
  <c r="W102" i="50"/>
  <c r="BI102" i="50" s="1"/>
  <c r="X27" i="50"/>
  <c r="BJ27" i="50" s="1"/>
  <c r="I95" i="50"/>
  <c r="AU95" i="50" s="1"/>
  <c r="J20" i="50"/>
  <c r="AV20" i="50" s="1"/>
  <c r="Q14" i="50"/>
  <c r="BC14" i="50" s="1"/>
  <c r="Q20" i="50"/>
  <c r="BC20" i="50" s="1"/>
  <c r="P89" i="50"/>
  <c r="BB89" i="50" s="1"/>
  <c r="X122" i="50"/>
  <c r="BJ122" i="50" s="1"/>
  <c r="Q130" i="50"/>
  <c r="BC130" i="50" s="1"/>
  <c r="P190" i="50"/>
  <c r="BB190" i="50" s="1"/>
  <c r="X17" i="50"/>
  <c r="BJ17" i="50" s="1"/>
  <c r="W92" i="50"/>
  <c r="BI92" i="50" s="1"/>
  <c r="P172" i="50"/>
  <c r="BB172" i="50" s="1"/>
  <c r="Q112" i="50"/>
  <c r="BC112" i="50" s="1"/>
  <c r="P173" i="50"/>
  <c r="BB173" i="50" s="1"/>
  <c r="Q123" i="50"/>
  <c r="BC123" i="50" s="1"/>
  <c r="Q113" i="50"/>
  <c r="BC113" i="50" s="1"/>
  <c r="Q34" i="50"/>
  <c r="BC34" i="50" s="1"/>
  <c r="P109" i="50"/>
  <c r="BB109" i="50" s="1"/>
  <c r="I174" i="50"/>
  <c r="AU174" i="50" s="1"/>
  <c r="I103" i="50"/>
  <c r="AU103" i="50" s="1"/>
  <c r="J28" i="50"/>
  <c r="AV28" i="50" s="1"/>
  <c r="J21" i="50"/>
  <c r="AV21" i="50" s="1"/>
  <c r="J24" i="50"/>
  <c r="AV24" i="50" s="1"/>
  <c r="W181" i="50"/>
  <c r="BI181" i="50" s="1"/>
  <c r="P95" i="50"/>
  <c r="BB95" i="50" s="1"/>
  <c r="W95" i="50"/>
  <c r="BI95" i="50" s="1"/>
  <c r="X117" i="50"/>
  <c r="BJ117" i="50" s="1"/>
  <c r="X20" i="50"/>
  <c r="BJ20" i="50" s="1"/>
  <c r="J18" i="50"/>
  <c r="AV18" i="50" s="1"/>
  <c r="W177" i="50"/>
  <c r="BI177" i="50" s="1"/>
  <c r="I93" i="50"/>
  <c r="AU93" i="50" s="1"/>
  <c r="Q31" i="50"/>
  <c r="BC31" i="50" s="1"/>
  <c r="J117" i="50"/>
  <c r="AV117" i="50" s="1"/>
  <c r="P106" i="50"/>
  <c r="BB106" i="50" s="1"/>
  <c r="I177" i="50"/>
  <c r="AU177" i="50" s="1"/>
  <c r="I99" i="50"/>
  <c r="AU99" i="50" s="1"/>
  <c r="J12" i="50"/>
  <c r="AV12" i="50" s="1"/>
  <c r="P105" i="50"/>
  <c r="BB105" i="50" s="1"/>
  <c r="I87" i="50"/>
  <c r="AU87" i="50" s="1"/>
  <c r="Q30" i="50"/>
  <c r="BC30" i="50" s="1"/>
  <c r="I96" i="50"/>
  <c r="AU96" i="50" s="1"/>
  <c r="P183" i="50"/>
  <c r="BB183" i="50" s="1"/>
  <c r="J114" i="50"/>
  <c r="AV114" i="50" s="1"/>
  <c r="W182" i="50"/>
  <c r="BI182" i="50" s="1"/>
  <c r="Q125" i="50"/>
  <c r="BC125" i="50" s="1"/>
  <c r="I105" i="50"/>
  <c r="AU105" i="50" s="1"/>
  <c r="P185" i="50"/>
  <c r="BB185" i="50" s="1"/>
  <c r="J30" i="50"/>
  <c r="AV30" i="50" s="1"/>
  <c r="J11" i="50"/>
  <c r="AV11" i="50" s="1"/>
  <c r="I86" i="50"/>
  <c r="AU86" i="50" s="1"/>
  <c r="J27" i="50"/>
  <c r="AV27" i="50" s="1"/>
  <c r="X18" i="50"/>
  <c r="BJ18" i="50" s="1"/>
  <c r="W93" i="50"/>
  <c r="BI93" i="50" s="1"/>
  <c r="I102" i="50"/>
  <c r="AU102" i="50" s="1"/>
  <c r="J33" i="50"/>
  <c r="AV33" i="50" s="1"/>
  <c r="AU33" i="50"/>
  <c r="Q115" i="50"/>
  <c r="BC115" i="50" s="1"/>
  <c r="BB115" i="50"/>
  <c r="D47" i="67"/>
  <c r="BH111" i="50"/>
  <c r="D47" i="85" s="1"/>
  <c r="P91" i="50"/>
  <c r="BB91" i="50" s="1"/>
  <c r="BB16" i="50"/>
  <c r="BB18" i="50"/>
  <c r="Q18" i="50"/>
  <c r="P93" i="50"/>
  <c r="BB93" i="50" s="1"/>
  <c r="AU34" i="50"/>
  <c r="I109" i="50"/>
  <c r="AU109" i="50" s="1"/>
  <c r="J34" i="50"/>
  <c r="J120" i="50"/>
  <c r="AV120" i="50" s="1"/>
  <c r="AU120" i="50"/>
  <c r="P98" i="50"/>
  <c r="BB98" i="50" s="1"/>
  <c r="BB23" i="50"/>
  <c r="I91" i="50"/>
  <c r="AU91" i="50" s="1"/>
  <c r="AU16" i="50"/>
  <c r="I186" i="50"/>
  <c r="AU186" i="50" s="1"/>
  <c r="AU126" i="50"/>
  <c r="I106" i="50"/>
  <c r="AU106" i="50" s="1"/>
  <c r="AU31" i="50"/>
  <c r="W105" i="50"/>
  <c r="BI105" i="50" s="1"/>
  <c r="BI30" i="50"/>
  <c r="P174" i="50"/>
  <c r="BB174" i="50" s="1"/>
  <c r="BB114" i="50"/>
  <c r="W98" i="50"/>
  <c r="BI98" i="50" s="1"/>
  <c r="BI23" i="50"/>
  <c r="X25" i="50"/>
  <c r="BJ25" i="50" s="1"/>
  <c r="BI25" i="50"/>
  <c r="D11" i="67"/>
  <c r="AT111" i="50"/>
  <c r="D11" i="85" s="1"/>
  <c r="X120" i="50"/>
  <c r="BJ120" i="50" s="1"/>
  <c r="BI120" i="50"/>
  <c r="C24" i="49"/>
  <c r="I25" i="49"/>
  <c r="D29" i="67"/>
  <c r="BA111" i="50"/>
  <c r="D29" i="85" s="1"/>
  <c r="Q11" i="50"/>
  <c r="BC11" i="50" s="1"/>
  <c r="BB11" i="50"/>
  <c r="P189" i="50"/>
  <c r="BB189" i="50" s="1"/>
  <c r="BB129" i="50"/>
  <c r="P184" i="50"/>
  <c r="BB184" i="50" s="1"/>
  <c r="BB124" i="50"/>
  <c r="BB120" i="50"/>
  <c r="Q120" i="50"/>
  <c r="P180" i="50"/>
  <c r="BB180" i="50" s="1"/>
  <c r="X121" i="50"/>
  <c r="BJ121" i="50" s="1"/>
  <c r="I19" i="50"/>
  <c r="AU19" i="50" s="1"/>
  <c r="AU22" i="50"/>
  <c r="X126" i="50"/>
  <c r="BJ126" i="50" s="1"/>
  <c r="BI126" i="50"/>
  <c r="W184" i="50"/>
  <c r="BI184" i="50" s="1"/>
  <c r="BI124" i="50"/>
  <c r="P92" i="50"/>
  <c r="BB92" i="50" s="1"/>
  <c r="BB17" i="50"/>
  <c r="W104" i="50"/>
  <c r="BI104" i="50" s="1"/>
  <c r="BI29" i="50"/>
  <c r="C38" i="49"/>
  <c r="I39" i="49"/>
  <c r="M283" i="50"/>
  <c r="AY283" i="50" s="1"/>
  <c r="H94" i="50"/>
  <c r="AT94" i="50" s="1"/>
  <c r="AT97" i="50"/>
  <c r="C14" i="67"/>
  <c r="AS171" i="50"/>
  <c r="C14" i="85" s="1"/>
  <c r="T283" i="50"/>
  <c r="BF85" i="50"/>
  <c r="C50" i="67"/>
  <c r="BG171" i="50"/>
  <c r="C50" i="85" s="1"/>
  <c r="N85" i="50"/>
  <c r="N283" i="50" s="1"/>
  <c r="AZ283" i="50" s="1"/>
  <c r="AZ94" i="50"/>
  <c r="O88" i="50"/>
  <c r="BA88" i="50" s="1"/>
  <c r="BA90" i="50"/>
  <c r="V94" i="50"/>
  <c r="BH94" i="50" s="1"/>
  <c r="BH96" i="50"/>
  <c r="U85" i="50"/>
  <c r="U283" i="50" s="1"/>
  <c r="BG283" i="50" s="1"/>
  <c r="BG88" i="50"/>
  <c r="C32" i="67"/>
  <c r="AZ171" i="50"/>
  <c r="C32" i="85" s="1"/>
  <c r="N280" i="50"/>
  <c r="AZ280" i="50" s="1"/>
  <c r="C24" i="67"/>
  <c r="U280" i="50"/>
  <c r="BG280" i="50" s="1"/>
  <c r="C42" i="67"/>
  <c r="P175" i="50"/>
  <c r="BB175" i="50" s="1"/>
  <c r="Q114" i="50"/>
  <c r="X30" i="50"/>
  <c r="Q124" i="50"/>
  <c r="J16" i="50"/>
  <c r="X124" i="50"/>
  <c r="W180" i="50"/>
  <c r="BI180" i="50" s="1"/>
  <c r="Q16" i="50"/>
  <c r="Q23" i="50"/>
  <c r="J126" i="50"/>
  <c r="W186" i="50"/>
  <c r="BI186" i="50" s="1"/>
  <c r="X29" i="50"/>
  <c r="Q17" i="50"/>
  <c r="W19" i="50"/>
  <c r="BI19" i="50" s="1"/>
  <c r="X23" i="50"/>
  <c r="P86" i="50"/>
  <c r="BB86" i="50" s="1"/>
  <c r="V10" i="50"/>
  <c r="O10" i="50"/>
  <c r="BA10" i="50" s="1"/>
  <c r="D24" i="85" s="1"/>
  <c r="Q129" i="50"/>
  <c r="W100" i="50"/>
  <c r="BI100" i="50" s="1"/>
  <c r="I108" i="50"/>
  <c r="AU108" i="50" s="1"/>
  <c r="D25" i="49"/>
  <c r="D39" i="49"/>
  <c r="I180" i="50"/>
  <c r="AU180" i="50" s="1"/>
  <c r="J31" i="50"/>
  <c r="W190" i="50"/>
  <c r="BI190" i="50" s="1"/>
  <c r="X130" i="50"/>
  <c r="BJ130" i="50" s="1"/>
  <c r="P19" i="50"/>
  <c r="BB19" i="50" s="1"/>
  <c r="W90" i="50"/>
  <c r="BI90" i="50" s="1"/>
  <c r="X15" i="50"/>
  <c r="BJ15" i="50" s="1"/>
  <c r="V88" i="50"/>
  <c r="H88" i="50"/>
  <c r="H171" i="50"/>
  <c r="X34" i="50"/>
  <c r="BJ34" i="50" s="1"/>
  <c r="W109" i="50"/>
  <c r="BI109" i="50" s="1"/>
  <c r="O171" i="50"/>
  <c r="J119" i="50"/>
  <c r="AV119" i="50" s="1"/>
  <c r="I179" i="50"/>
  <c r="AU179" i="50" s="1"/>
  <c r="P176" i="50"/>
  <c r="BB176" i="50" s="1"/>
  <c r="Q116" i="50"/>
  <c r="BC116" i="50" s="1"/>
  <c r="O94" i="50"/>
  <c r="P181" i="50"/>
  <c r="BB181" i="50" s="1"/>
  <c r="Q121" i="50"/>
  <c r="BC121" i="50" s="1"/>
  <c r="Q28" i="50"/>
  <c r="BC28" i="50" s="1"/>
  <c r="P103" i="50"/>
  <c r="BB103" i="50" s="1"/>
  <c r="P187" i="50"/>
  <c r="BB187" i="50" s="1"/>
  <c r="Q127" i="50"/>
  <c r="BC127" i="50" s="1"/>
  <c r="I190" i="50"/>
  <c r="AU190" i="50" s="1"/>
  <c r="J130" i="50"/>
  <c r="AV130" i="50" s="1"/>
  <c r="J125" i="50"/>
  <c r="AV125" i="50" s="1"/>
  <c r="I185" i="50"/>
  <c r="AU185" i="50" s="1"/>
  <c r="W173" i="50"/>
  <c r="BI173" i="50" s="1"/>
  <c r="X113" i="50"/>
  <c r="BJ113" i="50" s="1"/>
  <c r="I183" i="50"/>
  <c r="AU183" i="50" s="1"/>
  <c r="J123" i="50"/>
  <c r="AV123" i="50" s="1"/>
  <c r="P178" i="50"/>
  <c r="BB178" i="50" s="1"/>
  <c r="Q118" i="50"/>
  <c r="BC118" i="50" s="1"/>
  <c r="W91" i="50"/>
  <c r="BI91" i="50" s="1"/>
  <c r="X16" i="50"/>
  <c r="BJ16" i="50" s="1"/>
  <c r="W185" i="50"/>
  <c r="BI185" i="50" s="1"/>
  <c r="X125" i="50"/>
  <c r="BJ125" i="50" s="1"/>
  <c r="P108" i="50"/>
  <c r="BB108" i="50" s="1"/>
  <c r="Q33" i="50"/>
  <c r="BC33" i="50" s="1"/>
  <c r="P97" i="50"/>
  <c r="BB97" i="50" s="1"/>
  <c r="Q22" i="50"/>
  <c r="BC22" i="50" s="1"/>
  <c r="P111" i="50"/>
  <c r="P90" i="50"/>
  <c r="Q15" i="50"/>
  <c r="BC15" i="50" s="1"/>
  <c r="X12" i="50"/>
  <c r="BJ12" i="50" s="1"/>
  <c r="W87" i="50"/>
  <c r="BI87" i="50" s="1"/>
  <c r="J15" i="50"/>
  <c r="AV15" i="50" s="1"/>
  <c r="I90" i="50"/>
  <c r="AU90" i="50" s="1"/>
  <c r="X119" i="50"/>
  <c r="BJ119" i="50" s="1"/>
  <c r="W179" i="50"/>
  <c r="BI179" i="50" s="1"/>
  <c r="P96" i="50"/>
  <c r="BB96" i="50" s="1"/>
  <c r="Q21" i="50"/>
  <c r="BC21" i="50" s="1"/>
  <c r="W101" i="50"/>
  <c r="BI101" i="50" s="1"/>
  <c r="X26" i="50"/>
  <c r="BJ26" i="50" s="1"/>
  <c r="W108" i="50"/>
  <c r="BI108" i="50" s="1"/>
  <c r="X33" i="50"/>
  <c r="BJ33" i="50" s="1"/>
  <c r="W189" i="50"/>
  <c r="BI189" i="50" s="1"/>
  <c r="X129" i="50"/>
  <c r="BJ129" i="50" s="1"/>
  <c r="J122" i="50"/>
  <c r="AV122" i="50" s="1"/>
  <c r="I182" i="50"/>
  <c r="AU182" i="50" s="1"/>
  <c r="W13" i="50"/>
  <c r="BI13" i="50" s="1"/>
  <c r="X14" i="50"/>
  <c r="BJ14" i="50" s="1"/>
  <c r="W89" i="50"/>
  <c r="BI89" i="50" s="1"/>
  <c r="J32" i="50"/>
  <c r="AV32" i="50" s="1"/>
  <c r="E12" i="49"/>
  <c r="K12" i="49" s="1"/>
  <c r="I107" i="50"/>
  <c r="AU107" i="50" s="1"/>
  <c r="I173" i="50"/>
  <c r="AU173" i="50" s="1"/>
  <c r="J113" i="50"/>
  <c r="AV113" i="50" s="1"/>
  <c r="W176" i="50"/>
  <c r="BI176" i="50" s="1"/>
  <c r="X116" i="50"/>
  <c r="BJ116" i="50" s="1"/>
  <c r="P188" i="50"/>
  <c r="BB188" i="50" s="1"/>
  <c r="Q128" i="50"/>
  <c r="BC128" i="50" s="1"/>
  <c r="W96" i="50"/>
  <c r="X21" i="50"/>
  <c r="BJ21" i="50" s="1"/>
  <c r="I187" i="50"/>
  <c r="AU187" i="50" s="1"/>
  <c r="J127" i="50"/>
  <c r="AV127" i="50" s="1"/>
  <c r="P99" i="50"/>
  <c r="BB99" i="50" s="1"/>
  <c r="Q24" i="50"/>
  <c r="P101" i="50"/>
  <c r="BB101" i="50" s="1"/>
  <c r="Q26" i="50"/>
  <c r="BC26" i="50" s="1"/>
  <c r="W187" i="50"/>
  <c r="BI187" i="50" s="1"/>
  <c r="X127" i="50"/>
  <c r="BJ127" i="50" s="1"/>
  <c r="I111" i="50"/>
  <c r="I172" i="50"/>
  <c r="AU172" i="50" s="1"/>
  <c r="J112" i="50"/>
  <c r="AV112" i="50" s="1"/>
  <c r="J128" i="50"/>
  <c r="AV128" i="50" s="1"/>
  <c r="I188" i="50"/>
  <c r="AU188" i="50" s="1"/>
  <c r="P104" i="50"/>
  <c r="BB104" i="50" s="1"/>
  <c r="Q29" i="50"/>
  <c r="BC29" i="50" s="1"/>
  <c r="I101" i="50"/>
  <c r="AU101" i="50" s="1"/>
  <c r="J26" i="50"/>
  <c r="AV26" i="50" s="1"/>
  <c r="P102" i="50"/>
  <c r="BB102" i="50" s="1"/>
  <c r="Q27" i="50"/>
  <c r="BC27" i="50" s="1"/>
  <c r="I184" i="50"/>
  <c r="AU184" i="50" s="1"/>
  <c r="J124" i="50"/>
  <c r="AV124" i="50" s="1"/>
  <c r="W103" i="50"/>
  <c r="BI103" i="50" s="1"/>
  <c r="X28" i="50"/>
  <c r="BJ28" i="50" s="1"/>
  <c r="W175" i="50"/>
  <c r="BI175" i="50" s="1"/>
  <c r="X115" i="50"/>
  <c r="BJ115" i="50" s="1"/>
  <c r="P13" i="50"/>
  <c r="BB13" i="50" s="1"/>
  <c r="W188" i="50"/>
  <c r="BI188" i="50" s="1"/>
  <c r="X128" i="50"/>
  <c r="BJ128" i="50" s="1"/>
  <c r="W99" i="50"/>
  <c r="BI99" i="50" s="1"/>
  <c r="X24" i="50"/>
  <c r="BJ24" i="50" s="1"/>
  <c r="J118" i="50"/>
  <c r="AV118" i="50" s="1"/>
  <c r="I178" i="50"/>
  <c r="AU178" i="50" s="1"/>
  <c r="W111" i="50"/>
  <c r="X112" i="50"/>
  <c r="BJ112" i="50" s="1"/>
  <c r="W172" i="50"/>
  <c r="BI172" i="50" s="1"/>
  <c r="Q126" i="50"/>
  <c r="BC126" i="50" s="1"/>
  <c r="P186" i="50"/>
  <c r="BB186" i="50" s="1"/>
  <c r="P87" i="50"/>
  <c r="BB87" i="50" s="1"/>
  <c r="Q12" i="50"/>
  <c r="BC12" i="50" s="1"/>
  <c r="W183" i="50"/>
  <c r="BI183" i="50" s="1"/>
  <c r="X123" i="50"/>
  <c r="BJ123" i="50" s="1"/>
  <c r="I97" i="50"/>
  <c r="J22" i="50"/>
  <c r="AV22" i="50" s="1"/>
  <c r="I13" i="50"/>
  <c r="I89" i="50"/>
  <c r="AU89" i="50" s="1"/>
  <c r="J14" i="50"/>
  <c r="AV14" i="50" s="1"/>
  <c r="I181" i="50"/>
  <c r="AU181" i="50" s="1"/>
  <c r="J121" i="50"/>
  <c r="AV121" i="50" s="1"/>
  <c r="X11" i="50"/>
  <c r="BJ11" i="50" s="1"/>
  <c r="W86" i="50"/>
  <c r="BI86" i="50" s="1"/>
  <c r="P100" i="50"/>
  <c r="BB100" i="50" s="1"/>
  <c r="Q25" i="50"/>
  <c r="BC25" i="50" s="1"/>
  <c r="Q182" i="50"/>
  <c r="BC182" i="50" s="1"/>
  <c r="R122" i="50"/>
  <c r="I92" i="50"/>
  <c r="AU92" i="50" s="1"/>
  <c r="J17" i="50"/>
  <c r="AV17" i="50" s="1"/>
  <c r="W174" i="50"/>
  <c r="BI174" i="50" s="1"/>
  <c r="X114" i="50"/>
  <c r="BJ114" i="50" s="1"/>
  <c r="I100" i="50"/>
  <c r="AU100" i="50" s="1"/>
  <c r="J25" i="50"/>
  <c r="AV25" i="50" s="1"/>
  <c r="V171" i="50"/>
  <c r="I189" i="50"/>
  <c r="AU189" i="50" s="1"/>
  <c r="J129" i="50"/>
  <c r="AV129" i="50" s="1"/>
  <c r="W178" i="50"/>
  <c r="BI178" i="50" s="1"/>
  <c r="X118" i="50"/>
  <c r="BJ118" i="50" s="1"/>
  <c r="F40" i="49" l="1"/>
  <c r="L40" i="49" s="1"/>
  <c r="BJ32" i="50"/>
  <c r="Y32" i="50"/>
  <c r="X107" i="50"/>
  <c r="BJ107" i="50" s="1"/>
  <c r="X106" i="50"/>
  <c r="BJ106" i="50" s="1"/>
  <c r="Y31" i="50"/>
  <c r="F26" i="49"/>
  <c r="L26" i="49" s="1"/>
  <c r="R32" i="50"/>
  <c r="BD32" i="50" s="1"/>
  <c r="Q107" i="50"/>
  <c r="BC107" i="50" s="1"/>
  <c r="R14" i="50"/>
  <c r="BD14" i="50" s="1"/>
  <c r="Q89" i="50"/>
  <c r="BC89" i="50" s="1"/>
  <c r="Q179" i="50"/>
  <c r="BC179" i="50" s="1"/>
  <c r="R119" i="50"/>
  <c r="Q177" i="50"/>
  <c r="BC177" i="50" s="1"/>
  <c r="R117" i="50"/>
  <c r="X177" i="50"/>
  <c r="BJ177" i="50" s="1"/>
  <c r="R20" i="50"/>
  <c r="BD20" i="50" s="1"/>
  <c r="Q95" i="50"/>
  <c r="BC95" i="50" s="1"/>
  <c r="X102" i="50"/>
  <c r="BJ102" i="50" s="1"/>
  <c r="J176" i="50"/>
  <c r="AV176" i="50" s="1"/>
  <c r="K116" i="50"/>
  <c r="J98" i="50"/>
  <c r="AV98" i="50" s="1"/>
  <c r="K23" i="50"/>
  <c r="X182" i="50"/>
  <c r="BJ182" i="50" s="1"/>
  <c r="Y122" i="50"/>
  <c r="Y27" i="50"/>
  <c r="X97" i="50"/>
  <c r="BJ97" i="50" s="1"/>
  <c r="Y22" i="50"/>
  <c r="K115" i="50"/>
  <c r="J175" i="50"/>
  <c r="AV175" i="50" s="1"/>
  <c r="K20" i="50"/>
  <c r="AW20" i="50" s="1"/>
  <c r="J95" i="50"/>
  <c r="AV95" i="50" s="1"/>
  <c r="X92" i="50"/>
  <c r="BJ92" i="50" s="1"/>
  <c r="Y17" i="50"/>
  <c r="Y92" i="50" s="1"/>
  <c r="BK92" i="50" s="1"/>
  <c r="Q190" i="50"/>
  <c r="BC190" i="50" s="1"/>
  <c r="R34" i="50"/>
  <c r="BD34" i="50" s="1"/>
  <c r="Q109" i="50"/>
  <c r="BC109" i="50" s="1"/>
  <c r="R112" i="50"/>
  <c r="BD112" i="50" s="1"/>
  <c r="R130" i="50"/>
  <c r="Q172" i="50"/>
  <c r="BC172" i="50" s="1"/>
  <c r="R113" i="50"/>
  <c r="R123" i="50"/>
  <c r="R183" i="50" s="1"/>
  <c r="BD183" i="50" s="1"/>
  <c r="Q183" i="50"/>
  <c r="BC183" i="50" s="1"/>
  <c r="Q173" i="50"/>
  <c r="BC173" i="50" s="1"/>
  <c r="J103" i="50"/>
  <c r="AV103" i="50" s="1"/>
  <c r="K28" i="50"/>
  <c r="K103" i="50" s="1"/>
  <c r="AW103" i="50" s="1"/>
  <c r="K21" i="50"/>
  <c r="AW21" i="50" s="1"/>
  <c r="K24" i="50"/>
  <c r="K99" i="50" s="1"/>
  <c r="AW99" i="50" s="1"/>
  <c r="J96" i="50"/>
  <c r="AV96" i="50" s="1"/>
  <c r="J99" i="50"/>
  <c r="AV99" i="50" s="1"/>
  <c r="Q105" i="50"/>
  <c r="BC105" i="50" s="1"/>
  <c r="Y25" i="50"/>
  <c r="Y100" i="50" s="1"/>
  <c r="BK100" i="50" s="1"/>
  <c r="K18" i="50"/>
  <c r="K93" i="50" s="1"/>
  <c r="AW93" i="50" s="1"/>
  <c r="J93" i="50"/>
  <c r="AV93" i="50" s="1"/>
  <c r="Y120" i="50"/>
  <c r="Y180" i="50" s="1"/>
  <c r="BK180" i="50" s="1"/>
  <c r="Q185" i="50"/>
  <c r="BC185" i="50" s="1"/>
  <c r="K117" i="50"/>
  <c r="AW117" i="50" s="1"/>
  <c r="Y117" i="50"/>
  <c r="BK117" i="50" s="1"/>
  <c r="X95" i="50"/>
  <c r="BJ95" i="50" s="1"/>
  <c r="R31" i="50"/>
  <c r="BD31" i="50" s="1"/>
  <c r="Q106" i="50"/>
  <c r="BC106" i="50" s="1"/>
  <c r="Y20" i="50"/>
  <c r="BK20" i="50" s="1"/>
  <c r="R30" i="50"/>
  <c r="R105" i="50" s="1"/>
  <c r="BD105" i="50" s="1"/>
  <c r="K12" i="50"/>
  <c r="K87" i="50" s="1"/>
  <c r="AW87" i="50" s="1"/>
  <c r="X100" i="50"/>
  <c r="BJ100" i="50" s="1"/>
  <c r="J86" i="50"/>
  <c r="AV86" i="50" s="1"/>
  <c r="X180" i="50"/>
  <c r="BJ180" i="50" s="1"/>
  <c r="J177" i="50"/>
  <c r="AV177" i="50" s="1"/>
  <c r="J87" i="50"/>
  <c r="AV87" i="50" s="1"/>
  <c r="K11" i="50"/>
  <c r="AW11" i="50" s="1"/>
  <c r="R115" i="50"/>
  <c r="R175" i="50" s="1"/>
  <c r="BD175" i="50" s="1"/>
  <c r="R125" i="50"/>
  <c r="R185" i="50" s="1"/>
  <c r="BD185" i="50" s="1"/>
  <c r="Q175" i="50"/>
  <c r="BC175" i="50" s="1"/>
  <c r="J180" i="50"/>
  <c r="AV180" i="50" s="1"/>
  <c r="Q86" i="50"/>
  <c r="BC86" i="50" s="1"/>
  <c r="R11" i="50"/>
  <c r="BD11" i="50" s="1"/>
  <c r="K33" i="50"/>
  <c r="K108" i="50" s="1"/>
  <c r="AW108" i="50" s="1"/>
  <c r="J102" i="50"/>
  <c r="AV102" i="50" s="1"/>
  <c r="Y126" i="50"/>
  <c r="BK126" i="50" s="1"/>
  <c r="Y18" i="50"/>
  <c r="Y93" i="50" s="1"/>
  <c r="BK93" i="50" s="1"/>
  <c r="J108" i="50"/>
  <c r="AV108" i="50" s="1"/>
  <c r="X186" i="50"/>
  <c r="BJ186" i="50" s="1"/>
  <c r="Y121" i="50"/>
  <c r="BK121" i="50" s="1"/>
  <c r="X93" i="50"/>
  <c r="BJ93" i="50" s="1"/>
  <c r="K114" i="50"/>
  <c r="K174" i="50" s="1"/>
  <c r="AW174" i="50" s="1"/>
  <c r="J105" i="50"/>
  <c r="AV105" i="50" s="1"/>
  <c r="X181" i="50"/>
  <c r="BJ181" i="50" s="1"/>
  <c r="K27" i="50"/>
  <c r="K102" i="50" s="1"/>
  <c r="AW102" i="50" s="1"/>
  <c r="K120" i="50"/>
  <c r="K180" i="50" s="1"/>
  <c r="AW180" i="50" s="1"/>
  <c r="J174" i="50"/>
  <c r="AV174" i="50" s="1"/>
  <c r="K30" i="50"/>
  <c r="K105" i="50" s="1"/>
  <c r="AW105" i="50" s="1"/>
  <c r="M285" i="50"/>
  <c r="AY285" i="50" s="1"/>
  <c r="E11" i="67"/>
  <c r="AU111" i="50"/>
  <c r="E11" i="85" s="1"/>
  <c r="J186" i="50"/>
  <c r="AV186" i="50" s="1"/>
  <c r="AV126" i="50"/>
  <c r="R114" i="50"/>
  <c r="BC114" i="50"/>
  <c r="R23" i="50"/>
  <c r="BC23" i="50"/>
  <c r="E47" i="67"/>
  <c r="BI111" i="50"/>
  <c r="E47" i="85" s="1"/>
  <c r="Y23" i="50"/>
  <c r="BJ23" i="50"/>
  <c r="Q91" i="50"/>
  <c r="BC91" i="50" s="1"/>
  <c r="BC16" i="50"/>
  <c r="AV34" i="50"/>
  <c r="J109" i="50"/>
  <c r="AV109" i="50" s="1"/>
  <c r="K34" i="50"/>
  <c r="R182" i="50"/>
  <c r="BD182" i="50" s="1"/>
  <c r="BD122" i="50"/>
  <c r="AU13" i="50"/>
  <c r="R24" i="50"/>
  <c r="BD24" i="50" s="1"/>
  <c r="BC24" i="50"/>
  <c r="E29" i="67"/>
  <c r="BB111" i="50"/>
  <c r="E29" i="85" s="1"/>
  <c r="K31" i="50"/>
  <c r="AV31" i="50"/>
  <c r="Q189" i="50"/>
  <c r="BC189" i="50" s="1"/>
  <c r="BC129" i="50"/>
  <c r="R17" i="50"/>
  <c r="BC17" i="50"/>
  <c r="X184" i="50"/>
  <c r="BJ184" i="50" s="1"/>
  <c r="BJ124" i="50"/>
  <c r="BC120" i="50"/>
  <c r="Q180" i="50"/>
  <c r="BC180" i="50" s="1"/>
  <c r="R120" i="50"/>
  <c r="D38" i="49"/>
  <c r="J39" i="49"/>
  <c r="Y29" i="50"/>
  <c r="BJ29" i="50"/>
  <c r="J91" i="50"/>
  <c r="AV91" i="50" s="1"/>
  <c r="AV16" i="50"/>
  <c r="D24" i="49"/>
  <c r="J25" i="49"/>
  <c r="Q184" i="50"/>
  <c r="BC184" i="50" s="1"/>
  <c r="BC124" i="50"/>
  <c r="BC18" i="50"/>
  <c r="Q93" i="50"/>
  <c r="BC93" i="50" s="1"/>
  <c r="R18" i="50"/>
  <c r="V280" i="50"/>
  <c r="BH280" i="50" s="1"/>
  <c r="BH10" i="50"/>
  <c r="D42" i="85" s="1"/>
  <c r="Y30" i="50"/>
  <c r="BJ30" i="50"/>
  <c r="AL21" i="67"/>
  <c r="I38" i="49"/>
  <c r="AL21" i="85" s="1"/>
  <c r="AL13" i="67"/>
  <c r="I24" i="49"/>
  <c r="AL13" i="85" s="1"/>
  <c r="D14" i="67"/>
  <c r="AT171" i="50"/>
  <c r="D14" i="85" s="1"/>
  <c r="C27" i="67"/>
  <c r="AZ85" i="50"/>
  <c r="C27" i="85" s="1"/>
  <c r="V85" i="50"/>
  <c r="V283" i="50" s="1"/>
  <c r="BH88" i="50"/>
  <c r="O85" i="50"/>
  <c r="O283" i="50" s="1"/>
  <c r="BA283" i="50" s="1"/>
  <c r="BA94" i="50"/>
  <c r="AT88" i="50"/>
  <c r="D50" i="67"/>
  <c r="BH171" i="50"/>
  <c r="D50" i="85" s="1"/>
  <c r="P88" i="50"/>
  <c r="BB88" i="50" s="1"/>
  <c r="BB90" i="50"/>
  <c r="T285" i="50"/>
  <c r="BF285" i="50" s="1"/>
  <c r="BF283" i="50"/>
  <c r="I94" i="50"/>
  <c r="AU94" i="50" s="1"/>
  <c r="AU97" i="50"/>
  <c r="D32" i="67"/>
  <c r="BA171" i="50"/>
  <c r="D32" i="85" s="1"/>
  <c r="W94" i="50"/>
  <c r="BI94" i="50" s="1"/>
  <c r="BI96" i="50"/>
  <c r="C45" i="67"/>
  <c r="BG85" i="50"/>
  <c r="C45" i="85" s="1"/>
  <c r="X105" i="50"/>
  <c r="BJ105" i="50" s="1"/>
  <c r="U285" i="50"/>
  <c r="BG285" i="50" s="1"/>
  <c r="Q174" i="50"/>
  <c r="BC174" i="50" s="1"/>
  <c r="N285" i="50"/>
  <c r="AZ285" i="50" s="1"/>
  <c r="E25" i="49"/>
  <c r="D24" i="67"/>
  <c r="E39" i="49"/>
  <c r="D42" i="67"/>
  <c r="R124" i="50"/>
  <c r="R16" i="50"/>
  <c r="Y124" i="50"/>
  <c r="Q98" i="50"/>
  <c r="BC98" i="50" s="1"/>
  <c r="Q92" i="50"/>
  <c r="BC92" i="50" s="1"/>
  <c r="K126" i="50"/>
  <c r="X98" i="50"/>
  <c r="BJ98" i="50" s="1"/>
  <c r="X104" i="50"/>
  <c r="BJ104" i="50" s="1"/>
  <c r="K16" i="50"/>
  <c r="X19" i="50"/>
  <c r="BJ19" i="50" s="1"/>
  <c r="Q13" i="50"/>
  <c r="BC13" i="50" s="1"/>
  <c r="O280" i="50"/>
  <c r="BA280" i="50" s="1"/>
  <c r="W10" i="50"/>
  <c r="BI10" i="50" s="1"/>
  <c r="E42" i="85" s="1"/>
  <c r="R129" i="50"/>
  <c r="Q19" i="50"/>
  <c r="BC19" i="50" s="1"/>
  <c r="J106" i="50"/>
  <c r="AV106" i="50" s="1"/>
  <c r="P10" i="50"/>
  <c r="BB10" i="50" s="1"/>
  <c r="E24" i="85" s="1"/>
  <c r="Q111" i="50"/>
  <c r="Y130" i="50"/>
  <c r="X190" i="50"/>
  <c r="BJ190" i="50" s="1"/>
  <c r="X90" i="50"/>
  <c r="BJ90" i="50" s="1"/>
  <c r="Y15" i="50"/>
  <c r="W88" i="50"/>
  <c r="P94" i="50"/>
  <c r="P171" i="50"/>
  <c r="J179" i="50"/>
  <c r="AV179" i="50" s="1"/>
  <c r="K119" i="50"/>
  <c r="X109" i="50"/>
  <c r="BJ109" i="50" s="1"/>
  <c r="Y34" i="50"/>
  <c r="R28" i="50"/>
  <c r="Q103" i="50"/>
  <c r="BC103" i="50" s="1"/>
  <c r="Q187" i="50"/>
  <c r="BC187" i="50" s="1"/>
  <c r="R127" i="50"/>
  <c r="Q176" i="50"/>
  <c r="BC176" i="50" s="1"/>
  <c r="R116" i="50"/>
  <c r="R121" i="50"/>
  <c r="Q181" i="50"/>
  <c r="BC181" i="50" s="1"/>
  <c r="J185" i="50"/>
  <c r="AV185" i="50" s="1"/>
  <c r="K125" i="50"/>
  <c r="K130" i="50"/>
  <c r="J190" i="50"/>
  <c r="AV190" i="50" s="1"/>
  <c r="J189" i="50"/>
  <c r="AV189" i="50" s="1"/>
  <c r="K129" i="50"/>
  <c r="J97" i="50"/>
  <c r="K22" i="50"/>
  <c r="Y128" i="50"/>
  <c r="X188" i="50"/>
  <c r="BJ188" i="50" s="1"/>
  <c r="J101" i="50"/>
  <c r="AV101" i="50" s="1"/>
  <c r="K26" i="50"/>
  <c r="J111" i="50"/>
  <c r="K112" i="50"/>
  <c r="AW112" i="50" s="1"/>
  <c r="J172" i="50"/>
  <c r="AV172" i="50" s="1"/>
  <c r="X13" i="50"/>
  <c r="BJ13" i="50" s="1"/>
  <c r="Y14" i="50"/>
  <c r="BK14" i="50" s="1"/>
  <c r="X89" i="50"/>
  <c r="BJ89" i="50" s="1"/>
  <c r="X189" i="50"/>
  <c r="BJ189" i="50" s="1"/>
  <c r="Y129" i="50"/>
  <c r="Q96" i="50"/>
  <c r="BC96" i="50" s="1"/>
  <c r="R21" i="50"/>
  <c r="Q108" i="50"/>
  <c r="BC108" i="50" s="1"/>
  <c r="R33" i="50"/>
  <c r="X91" i="50"/>
  <c r="BJ91" i="50" s="1"/>
  <c r="Y16" i="50"/>
  <c r="J183" i="50"/>
  <c r="AV183" i="50" s="1"/>
  <c r="K123" i="50"/>
  <c r="X173" i="50"/>
  <c r="BJ173" i="50" s="1"/>
  <c r="Y113" i="50"/>
  <c r="J19" i="50"/>
  <c r="AV19" i="50" s="1"/>
  <c r="X86" i="50"/>
  <c r="BJ86" i="50" s="1"/>
  <c r="Y11" i="50"/>
  <c r="BK11" i="50" s="1"/>
  <c r="Y112" i="50"/>
  <c r="BK112" i="50" s="1"/>
  <c r="X111" i="50"/>
  <c r="X172" i="50"/>
  <c r="BJ172" i="50" s="1"/>
  <c r="X174" i="50"/>
  <c r="BJ174" i="50" s="1"/>
  <c r="Y114" i="50"/>
  <c r="Q100" i="50"/>
  <c r="BC100" i="50" s="1"/>
  <c r="R25" i="50"/>
  <c r="J13" i="50"/>
  <c r="AV13" i="50" s="1"/>
  <c r="K14" i="50"/>
  <c r="AW14" i="50" s="1"/>
  <c r="J89" i="50"/>
  <c r="AV89" i="50" s="1"/>
  <c r="X183" i="50"/>
  <c r="BJ183" i="50" s="1"/>
  <c r="Y123" i="50"/>
  <c r="J184" i="50"/>
  <c r="AV184" i="50" s="1"/>
  <c r="K124" i="50"/>
  <c r="I171" i="50"/>
  <c r="K127" i="50"/>
  <c r="J187" i="50"/>
  <c r="AV187" i="50" s="1"/>
  <c r="Q188" i="50"/>
  <c r="BC188" i="50" s="1"/>
  <c r="R128" i="50"/>
  <c r="X101" i="50"/>
  <c r="BJ101" i="50" s="1"/>
  <c r="Y26" i="50"/>
  <c r="X87" i="50"/>
  <c r="BJ87" i="50" s="1"/>
  <c r="Y12" i="50"/>
  <c r="Q97" i="50"/>
  <c r="BC97" i="50" s="1"/>
  <c r="R22" i="50"/>
  <c r="X178" i="50"/>
  <c r="BJ178" i="50" s="1"/>
  <c r="Y118" i="50"/>
  <c r="J92" i="50"/>
  <c r="AV92" i="50" s="1"/>
  <c r="K17" i="50"/>
  <c r="J181" i="50"/>
  <c r="AV181" i="50" s="1"/>
  <c r="K121" i="50"/>
  <c r="I88" i="50"/>
  <c r="Q186" i="50"/>
  <c r="BC186" i="50" s="1"/>
  <c r="R126" i="50"/>
  <c r="X99" i="50"/>
  <c r="BJ99" i="50" s="1"/>
  <c r="Y24" i="50"/>
  <c r="Q102" i="50"/>
  <c r="BC102" i="50" s="1"/>
  <c r="R27" i="50"/>
  <c r="Q104" i="50"/>
  <c r="BC104" i="50" s="1"/>
  <c r="R29" i="50"/>
  <c r="X108" i="50"/>
  <c r="BJ108" i="50" s="1"/>
  <c r="Y33" i="50"/>
  <c r="X179" i="50"/>
  <c r="BJ179" i="50" s="1"/>
  <c r="Y119" i="50"/>
  <c r="Q90" i="50"/>
  <c r="BC90" i="50" s="1"/>
  <c r="R15" i="50"/>
  <c r="X185" i="50"/>
  <c r="BJ185" i="50" s="1"/>
  <c r="Y125" i="50"/>
  <c r="Q178" i="50"/>
  <c r="BC178" i="50" s="1"/>
  <c r="R118" i="50"/>
  <c r="J100" i="50"/>
  <c r="AV100" i="50" s="1"/>
  <c r="K25" i="50"/>
  <c r="Q87" i="50"/>
  <c r="BC87" i="50" s="1"/>
  <c r="R12" i="50"/>
  <c r="W171" i="50"/>
  <c r="J178" i="50"/>
  <c r="AV178" i="50" s="1"/>
  <c r="K118" i="50"/>
  <c r="X175" i="50"/>
  <c r="BJ175" i="50" s="1"/>
  <c r="Y115" i="50"/>
  <c r="X103" i="50"/>
  <c r="BJ103" i="50" s="1"/>
  <c r="Y28" i="50"/>
  <c r="J188" i="50"/>
  <c r="AV188" i="50" s="1"/>
  <c r="K128" i="50"/>
  <c r="X187" i="50"/>
  <c r="BJ187" i="50" s="1"/>
  <c r="Y127" i="50"/>
  <c r="Q101" i="50"/>
  <c r="BC101" i="50" s="1"/>
  <c r="R26" i="50"/>
  <c r="Q99" i="50"/>
  <c r="BC99" i="50" s="1"/>
  <c r="X96" i="50"/>
  <c r="BJ96" i="50" s="1"/>
  <c r="Y21" i="50"/>
  <c r="X176" i="50"/>
  <c r="BJ176" i="50" s="1"/>
  <c r="Y116" i="50"/>
  <c r="J173" i="50"/>
  <c r="AV173" i="50" s="1"/>
  <c r="K113" i="50"/>
  <c r="F12" i="49"/>
  <c r="L12" i="49" s="1"/>
  <c r="J107" i="50"/>
  <c r="AV107" i="50" s="1"/>
  <c r="K32" i="50"/>
  <c r="AW32" i="50" s="1"/>
  <c r="K122" i="50"/>
  <c r="J182" i="50"/>
  <c r="AV182" i="50" s="1"/>
  <c r="J90" i="50"/>
  <c r="AV90" i="50" s="1"/>
  <c r="K15" i="50"/>
  <c r="Y106" i="50" l="1"/>
  <c r="BK106" i="50" s="1"/>
  <c r="BK31" i="50"/>
  <c r="Y107" i="50"/>
  <c r="BK107" i="50" s="1"/>
  <c r="BK32" i="50"/>
  <c r="R177" i="50"/>
  <c r="BD177" i="50" s="1"/>
  <c r="BD117" i="50"/>
  <c r="K176" i="50"/>
  <c r="AW176" i="50" s="1"/>
  <c r="AW116" i="50"/>
  <c r="Y182" i="50"/>
  <c r="BK182" i="50" s="1"/>
  <c r="BK122" i="50"/>
  <c r="K98" i="50"/>
  <c r="AW98" i="50" s="1"/>
  <c r="AW23" i="50"/>
  <c r="R179" i="50"/>
  <c r="BD179" i="50" s="1"/>
  <c r="BD119" i="50"/>
  <c r="R89" i="50"/>
  <c r="BD89" i="50" s="1"/>
  <c r="G40" i="49"/>
  <c r="M40" i="49" s="1"/>
  <c r="R95" i="50"/>
  <c r="BD95" i="50" s="1"/>
  <c r="G26" i="49"/>
  <c r="M26" i="49" s="1"/>
  <c r="R107" i="50"/>
  <c r="BD107" i="50" s="1"/>
  <c r="K175" i="50"/>
  <c r="AW175" i="50" s="1"/>
  <c r="AW115" i="50"/>
  <c r="R109" i="50"/>
  <c r="BD109" i="50" s="1"/>
  <c r="R173" i="50"/>
  <c r="BD173" i="50" s="1"/>
  <c r="BD113" i="50"/>
  <c r="R190" i="50"/>
  <c r="BD190" i="50" s="1"/>
  <c r="BD130" i="50"/>
  <c r="R172" i="50"/>
  <c r="BD172" i="50" s="1"/>
  <c r="K95" i="50"/>
  <c r="AW95" i="50" s="1"/>
  <c r="Y97" i="50"/>
  <c r="BK97" i="50" s="1"/>
  <c r="BK22" i="50"/>
  <c r="Y102" i="50"/>
  <c r="BK102" i="50" s="1"/>
  <c r="BK27" i="50"/>
  <c r="BK17" i="50"/>
  <c r="AW28" i="50"/>
  <c r="AW24" i="50"/>
  <c r="K96" i="50"/>
  <c r="AW96" i="50" s="1"/>
  <c r="BD123" i="50"/>
  <c r="K177" i="50"/>
  <c r="AW177" i="50" s="1"/>
  <c r="Y177" i="50"/>
  <c r="BK177" i="50" s="1"/>
  <c r="AW18" i="50"/>
  <c r="BK25" i="50"/>
  <c r="BD30" i="50"/>
  <c r="BK120" i="50"/>
  <c r="R106" i="50"/>
  <c r="BD106" i="50" s="1"/>
  <c r="AW33" i="50"/>
  <c r="K86" i="50"/>
  <c r="AW86" i="50" s="1"/>
  <c r="Y95" i="50"/>
  <c r="BK95" i="50" s="1"/>
  <c r="R86" i="50"/>
  <c r="BD86" i="50" s="1"/>
  <c r="BD125" i="50"/>
  <c r="AW12" i="50"/>
  <c r="BD115" i="50"/>
  <c r="AW114" i="50"/>
  <c r="AW120" i="50"/>
  <c r="Y186" i="50"/>
  <c r="BK186" i="50" s="1"/>
  <c r="Y181" i="50"/>
  <c r="BK181" i="50" s="1"/>
  <c r="BK18" i="50"/>
  <c r="AW27" i="50"/>
  <c r="R99" i="50"/>
  <c r="BD99" i="50" s="1"/>
  <c r="AW30" i="50"/>
  <c r="Y183" i="50"/>
  <c r="BK183" i="50" s="1"/>
  <c r="BK123" i="50"/>
  <c r="K178" i="50"/>
  <c r="AW178" i="50" s="1"/>
  <c r="AW118" i="50"/>
  <c r="R90" i="50"/>
  <c r="BD90" i="50" s="1"/>
  <c r="BD15" i="50"/>
  <c r="Y87" i="50"/>
  <c r="BK87" i="50" s="1"/>
  <c r="BK12" i="50"/>
  <c r="K187" i="50"/>
  <c r="AW187" i="50" s="1"/>
  <c r="AW127" i="50"/>
  <c r="F11" i="67"/>
  <c r="AV111" i="50"/>
  <c r="F11" i="85" s="1"/>
  <c r="K189" i="50"/>
  <c r="AW189" i="50" s="1"/>
  <c r="AW129" i="50"/>
  <c r="R176" i="50"/>
  <c r="BD176" i="50" s="1"/>
  <c r="BD116" i="50"/>
  <c r="K179" i="50"/>
  <c r="AW179" i="50" s="1"/>
  <c r="AW119" i="50"/>
  <c r="K186" i="50"/>
  <c r="AW186" i="50" s="1"/>
  <c r="AW126" i="50"/>
  <c r="R93" i="50"/>
  <c r="BD93" i="50" s="1"/>
  <c r="BD18" i="50"/>
  <c r="Y185" i="50"/>
  <c r="BK185" i="50" s="1"/>
  <c r="BK125" i="50"/>
  <c r="K185" i="50"/>
  <c r="AW185" i="50" s="1"/>
  <c r="AW125" i="50"/>
  <c r="K100" i="50"/>
  <c r="AW100" i="50" s="1"/>
  <c r="AW25" i="50"/>
  <c r="K181" i="50"/>
  <c r="AW181" i="50" s="1"/>
  <c r="AW121" i="50"/>
  <c r="K182" i="50"/>
  <c r="AW182" i="50" s="1"/>
  <c r="AW122" i="50"/>
  <c r="Y96" i="50"/>
  <c r="BK96" i="50" s="1"/>
  <c r="BK21" i="50"/>
  <c r="R102" i="50"/>
  <c r="BD102" i="50" s="1"/>
  <c r="BD27" i="50"/>
  <c r="R100" i="50"/>
  <c r="BD100" i="50" s="1"/>
  <c r="BD25" i="50"/>
  <c r="R108" i="50"/>
  <c r="BD108" i="50" s="1"/>
  <c r="BD33" i="50"/>
  <c r="K101" i="50"/>
  <c r="AW101" i="50" s="1"/>
  <c r="AW26" i="50"/>
  <c r="E24" i="49"/>
  <c r="K25" i="49"/>
  <c r="Y105" i="50"/>
  <c r="BK105" i="50" s="1"/>
  <c r="BK30" i="50"/>
  <c r="Y108" i="50"/>
  <c r="BK108" i="50" s="1"/>
  <c r="BK33" i="50"/>
  <c r="Y187" i="50"/>
  <c r="BK187" i="50" s="1"/>
  <c r="BK127" i="50"/>
  <c r="R178" i="50"/>
  <c r="BD178" i="50" s="1"/>
  <c r="BD118" i="50"/>
  <c r="K92" i="50"/>
  <c r="AW92" i="50" s="1"/>
  <c r="AW17" i="50"/>
  <c r="Y101" i="50"/>
  <c r="BK101" i="50" s="1"/>
  <c r="BK26" i="50"/>
  <c r="K184" i="50"/>
  <c r="AW184" i="50" s="1"/>
  <c r="AW124" i="50"/>
  <c r="R187" i="50"/>
  <c r="BD187" i="50" s="1"/>
  <c r="BD127" i="50"/>
  <c r="Y190" i="50"/>
  <c r="BK190" i="50" s="1"/>
  <c r="BK130" i="50"/>
  <c r="Y104" i="50"/>
  <c r="BK104" i="50" s="1"/>
  <c r="BK29" i="50"/>
  <c r="Y98" i="50"/>
  <c r="BK98" i="50" s="1"/>
  <c r="BK23" i="50"/>
  <c r="Y103" i="50"/>
  <c r="BK103" i="50" s="1"/>
  <c r="BK28" i="50"/>
  <c r="K188" i="50"/>
  <c r="AW188" i="50" s="1"/>
  <c r="AW128" i="50"/>
  <c r="Y179" i="50"/>
  <c r="BK179" i="50" s="1"/>
  <c r="BK119" i="50"/>
  <c r="R87" i="50"/>
  <c r="BD87" i="50" s="1"/>
  <c r="BD12" i="50"/>
  <c r="Y99" i="50"/>
  <c r="BK99" i="50" s="1"/>
  <c r="BK24" i="50"/>
  <c r="Y174" i="50"/>
  <c r="BK174" i="50" s="1"/>
  <c r="BK114" i="50"/>
  <c r="Y173" i="50"/>
  <c r="BK173" i="50" s="1"/>
  <c r="BK113" i="50"/>
  <c r="K190" i="50"/>
  <c r="AW190" i="50" s="1"/>
  <c r="AW130" i="50"/>
  <c r="F29" i="67"/>
  <c r="BC111" i="50"/>
  <c r="F29" i="85" s="1"/>
  <c r="Y184" i="50"/>
  <c r="BK184" i="50" s="1"/>
  <c r="BK124" i="50"/>
  <c r="K106" i="50"/>
  <c r="AW106" i="50" s="1"/>
  <c r="AW31" i="50"/>
  <c r="K109" i="50"/>
  <c r="AW109" i="50" s="1"/>
  <c r="AW34" i="50"/>
  <c r="R98" i="50"/>
  <c r="BD98" i="50" s="1"/>
  <c r="BD23" i="50"/>
  <c r="Y178" i="50"/>
  <c r="BK178" i="50" s="1"/>
  <c r="BK118" i="50"/>
  <c r="R91" i="50"/>
  <c r="BD91" i="50" s="1"/>
  <c r="BD16" i="50"/>
  <c r="AM21" i="67"/>
  <c r="J38" i="49"/>
  <c r="AM21" i="85" s="1"/>
  <c r="R186" i="50"/>
  <c r="BD186" i="50" s="1"/>
  <c r="BD126" i="50"/>
  <c r="K183" i="50"/>
  <c r="AW183" i="50" s="1"/>
  <c r="AW123" i="50"/>
  <c r="K97" i="50"/>
  <c r="AW97" i="50" s="1"/>
  <c r="AW22" i="50"/>
  <c r="R103" i="50"/>
  <c r="BD103" i="50" s="1"/>
  <c r="BD28" i="50"/>
  <c r="K91" i="50"/>
  <c r="AW91" i="50" s="1"/>
  <c r="AW16" i="50"/>
  <c r="R184" i="50"/>
  <c r="BD184" i="50" s="1"/>
  <c r="BD124" i="50"/>
  <c r="R92" i="50"/>
  <c r="BD92" i="50" s="1"/>
  <c r="BD17" i="50"/>
  <c r="R174" i="50"/>
  <c r="BD174" i="50" s="1"/>
  <c r="BD114" i="50"/>
  <c r="Y188" i="50"/>
  <c r="BK188" i="50" s="1"/>
  <c r="BK128" i="50"/>
  <c r="K173" i="50"/>
  <c r="AW173" i="50" s="1"/>
  <c r="AW113" i="50"/>
  <c r="R188" i="50"/>
  <c r="BD188" i="50" s="1"/>
  <c r="BD128" i="50"/>
  <c r="K90" i="50"/>
  <c r="AW90" i="50" s="1"/>
  <c r="AW15" i="50"/>
  <c r="R101" i="50"/>
  <c r="BD101" i="50" s="1"/>
  <c r="BD26" i="50"/>
  <c r="Y175" i="50"/>
  <c r="BK175" i="50" s="1"/>
  <c r="BK115" i="50"/>
  <c r="R97" i="50"/>
  <c r="BD97" i="50" s="1"/>
  <c r="BD22" i="50"/>
  <c r="F47" i="67"/>
  <c r="BJ111" i="50"/>
  <c r="F47" i="85" s="1"/>
  <c r="Y109" i="50"/>
  <c r="BK109" i="50" s="1"/>
  <c r="BK34" i="50"/>
  <c r="Y90" i="50"/>
  <c r="BK90" i="50" s="1"/>
  <c r="BK15" i="50"/>
  <c r="AM13" i="67"/>
  <c r="J24" i="49"/>
  <c r="AM13" i="85" s="1"/>
  <c r="R96" i="50"/>
  <c r="BD96" i="50" s="1"/>
  <c r="BD21" i="50"/>
  <c r="Y176" i="50"/>
  <c r="BK176" i="50" s="1"/>
  <c r="BK116" i="50"/>
  <c r="R104" i="50"/>
  <c r="BD104" i="50" s="1"/>
  <c r="BD29" i="50"/>
  <c r="Y91" i="50"/>
  <c r="BK91" i="50" s="1"/>
  <c r="BK16" i="50"/>
  <c r="Y189" i="50"/>
  <c r="BK189" i="50" s="1"/>
  <c r="BK129" i="50"/>
  <c r="R181" i="50"/>
  <c r="BD181" i="50" s="1"/>
  <c r="BD121" i="50"/>
  <c r="R189" i="50"/>
  <c r="BD189" i="50" s="1"/>
  <c r="BD129" i="50"/>
  <c r="E38" i="49"/>
  <c r="K39" i="49"/>
  <c r="R180" i="50"/>
  <c r="BD180" i="50" s="1"/>
  <c r="BD120" i="50"/>
  <c r="D27" i="67"/>
  <c r="BA85" i="50"/>
  <c r="D27" i="85" s="1"/>
  <c r="E50" i="67"/>
  <c r="BI171" i="50"/>
  <c r="E50" i="85" s="1"/>
  <c r="E32" i="67"/>
  <c r="BB171" i="50"/>
  <c r="E32" i="85" s="1"/>
  <c r="V285" i="50"/>
  <c r="BH285" i="50" s="1"/>
  <c r="BH283" i="50"/>
  <c r="J94" i="50"/>
  <c r="AV94" i="50" s="1"/>
  <c r="AV97" i="50"/>
  <c r="AU88" i="50"/>
  <c r="D45" i="67"/>
  <c r="BH85" i="50"/>
  <c r="D45" i="85" s="1"/>
  <c r="E14" i="67"/>
  <c r="AU171" i="50"/>
  <c r="E14" i="85" s="1"/>
  <c r="P85" i="50"/>
  <c r="P283" i="50" s="1"/>
  <c r="BB283" i="50" s="1"/>
  <c r="BB94" i="50"/>
  <c r="W85" i="50"/>
  <c r="W283" i="50" s="1"/>
  <c r="BI283" i="50" s="1"/>
  <c r="BI88" i="50"/>
  <c r="P280" i="50"/>
  <c r="BB280" i="50" s="1"/>
  <c r="E24" i="67"/>
  <c r="W280" i="50"/>
  <c r="BI280" i="50" s="1"/>
  <c r="E42" i="67"/>
  <c r="Q88" i="50"/>
  <c r="BC88" i="50" s="1"/>
  <c r="X10" i="50"/>
  <c r="BJ10" i="50" s="1"/>
  <c r="F42" i="85" s="1"/>
  <c r="X94" i="50"/>
  <c r="BJ94" i="50" s="1"/>
  <c r="Q10" i="50"/>
  <c r="BC10" i="50" s="1"/>
  <c r="F24" i="85" s="1"/>
  <c r="O285" i="50"/>
  <c r="BA285" i="50" s="1"/>
  <c r="F39" i="49"/>
  <c r="Q94" i="50"/>
  <c r="BC94" i="50" s="1"/>
  <c r="F25" i="49"/>
  <c r="K19" i="50"/>
  <c r="AW19" i="50" s="1"/>
  <c r="Q171" i="50"/>
  <c r="R13" i="50"/>
  <c r="BD13" i="50" s="1"/>
  <c r="Y13" i="50"/>
  <c r="BK13" i="50" s="1"/>
  <c r="Y89" i="50"/>
  <c r="R19" i="50"/>
  <c r="BD19" i="50" s="1"/>
  <c r="J88" i="50"/>
  <c r="X171" i="50"/>
  <c r="Y86" i="50"/>
  <c r="BK86" i="50" s="1"/>
  <c r="J171" i="50"/>
  <c r="R111" i="50"/>
  <c r="G12" i="49"/>
  <c r="M12" i="49" s="1"/>
  <c r="K107" i="50"/>
  <c r="AW107" i="50" s="1"/>
  <c r="K13" i="50"/>
  <c r="AW13" i="50" s="1"/>
  <c r="K89" i="50"/>
  <c r="K111" i="50"/>
  <c r="K172" i="50"/>
  <c r="Y19" i="50"/>
  <c r="BK19" i="50" s="1"/>
  <c r="Y172" i="50"/>
  <c r="Y111" i="50"/>
  <c r="X88" i="50"/>
  <c r="BJ88" i="50" s="1"/>
  <c r="R88" i="50" l="1"/>
  <c r="BD88" i="50" s="1"/>
  <c r="K94" i="50"/>
  <c r="AW94" i="50" s="1"/>
  <c r="Y94" i="50"/>
  <c r="BK94" i="50" s="1"/>
  <c r="R171" i="50"/>
  <c r="G32" i="67" s="1"/>
  <c r="G29" i="67"/>
  <c r="BD111" i="50"/>
  <c r="G29" i="85" s="1"/>
  <c r="G47" i="67"/>
  <c r="BK111" i="50"/>
  <c r="G47" i="85" s="1"/>
  <c r="G11" i="67"/>
  <c r="AW111" i="50"/>
  <c r="G11" i="85" s="1"/>
  <c r="F24" i="49"/>
  <c r="L25" i="49"/>
  <c r="AN21" i="67"/>
  <c r="K38" i="49"/>
  <c r="AN21" i="85" s="1"/>
  <c r="AN13" i="67"/>
  <c r="K24" i="49"/>
  <c r="AN13" i="85" s="1"/>
  <c r="R94" i="50"/>
  <c r="BD94" i="50" s="1"/>
  <c r="F38" i="49"/>
  <c r="L39" i="49"/>
  <c r="AV88" i="50"/>
  <c r="Y171" i="50"/>
  <c r="BK172" i="50"/>
  <c r="E45" i="67"/>
  <c r="BI85" i="50"/>
  <c r="E45" i="85" s="1"/>
  <c r="Y88" i="50"/>
  <c r="BK88" i="50" s="1"/>
  <c r="BK89" i="50"/>
  <c r="F14" i="67"/>
  <c r="AV171" i="50"/>
  <c r="F14" i="85" s="1"/>
  <c r="K88" i="50"/>
  <c r="AW88" i="50" s="1"/>
  <c r="AW89" i="50"/>
  <c r="F50" i="67"/>
  <c r="BJ171" i="50"/>
  <c r="F50" i="85" s="1"/>
  <c r="F32" i="67"/>
  <c r="BC171" i="50"/>
  <c r="F32" i="85" s="1"/>
  <c r="K171" i="50"/>
  <c r="AW172" i="50"/>
  <c r="E27" i="67"/>
  <c r="BB85" i="50"/>
  <c r="E27" i="85" s="1"/>
  <c r="X85" i="50"/>
  <c r="W285" i="50"/>
  <c r="BI285" i="50" s="1"/>
  <c r="P285" i="50"/>
  <c r="BB285" i="50" s="1"/>
  <c r="G25" i="49"/>
  <c r="F24" i="67"/>
  <c r="X280" i="50"/>
  <c r="BJ280" i="50" s="1"/>
  <c r="F42" i="67"/>
  <c r="G39" i="49"/>
  <c r="Q85" i="50"/>
  <c r="BC85" i="50" s="1"/>
  <c r="F27" i="85" s="1"/>
  <c r="Q280" i="50"/>
  <c r="BC280" i="50" s="1"/>
  <c r="Y10" i="50"/>
  <c r="BK10" i="50" s="1"/>
  <c r="G42" i="85" s="1"/>
  <c r="R10" i="50"/>
  <c r="BD10" i="50" s="1"/>
  <c r="G24" i="85" s="1"/>
  <c r="R85" i="50" l="1"/>
  <c r="BD85" i="50" s="1"/>
  <c r="G27" i="85" s="1"/>
  <c r="BD171" i="50"/>
  <c r="G32" i="85" s="1"/>
  <c r="Y85" i="50"/>
  <c r="BK85" i="50" s="1"/>
  <c r="G45" i="85" s="1"/>
  <c r="G38" i="49"/>
  <c r="M39" i="49"/>
  <c r="AO21" i="67"/>
  <c r="L38" i="49"/>
  <c r="AO21" i="85" s="1"/>
  <c r="G24" i="49"/>
  <c r="M25" i="49"/>
  <c r="AO13" i="67"/>
  <c r="L24" i="49"/>
  <c r="AO13" i="85" s="1"/>
  <c r="G50" i="67"/>
  <c r="BK171" i="50"/>
  <c r="G50" i="85" s="1"/>
  <c r="G14" i="67"/>
  <c r="AW171" i="50"/>
  <c r="G14" i="85" s="1"/>
  <c r="F45" i="67"/>
  <c r="BJ85" i="50"/>
  <c r="F45" i="85" s="1"/>
  <c r="X283" i="50"/>
  <c r="Y280" i="50"/>
  <c r="BK280" i="50" s="1"/>
  <c r="G42" i="67"/>
  <c r="Q283" i="50"/>
  <c r="F27" i="67"/>
  <c r="R280" i="50"/>
  <c r="BD280" i="50" s="1"/>
  <c r="G24" i="67"/>
  <c r="AA102" i="50"/>
  <c r="BM102" i="50" s="1"/>
  <c r="AH187" i="50"/>
  <c r="BT187" i="50" s="1"/>
  <c r="AH175" i="50"/>
  <c r="BT175" i="50" s="1"/>
  <c r="AA106" i="50"/>
  <c r="BM106" i="50" s="1"/>
  <c r="AH177" i="50"/>
  <c r="BT177" i="50" s="1"/>
  <c r="AH91" i="50"/>
  <c r="BT91" i="50" s="1"/>
  <c r="AA95" i="50"/>
  <c r="BM95" i="50" s="1"/>
  <c r="AA92" i="50"/>
  <c r="BM92" i="50" s="1"/>
  <c r="AH93" i="50"/>
  <c r="BT93" i="50" s="1"/>
  <c r="AA103" i="50"/>
  <c r="BM103" i="50" s="1"/>
  <c r="AH173" i="50"/>
  <c r="BT173" i="50" s="1"/>
  <c r="AH92" i="50"/>
  <c r="BT92" i="50" s="1"/>
  <c r="AH188" i="50"/>
  <c r="BT188" i="50" s="1"/>
  <c r="AH182" i="50"/>
  <c r="BT182" i="50" s="1"/>
  <c r="AA101" i="50"/>
  <c r="BM101" i="50" s="1"/>
  <c r="AH87" i="50"/>
  <c r="BT87" i="50" s="1"/>
  <c r="AA99" i="50"/>
  <c r="BM99" i="50" s="1"/>
  <c r="AH189" i="50"/>
  <c r="BT189" i="50" s="1"/>
  <c r="AH102" i="50"/>
  <c r="BT102" i="50" s="1"/>
  <c r="AH99" i="50"/>
  <c r="BT99" i="50" s="1"/>
  <c r="AH104" i="50"/>
  <c r="BT104" i="50" s="1"/>
  <c r="AH108" i="50"/>
  <c r="BT108" i="50" s="1"/>
  <c r="AH180" i="50"/>
  <c r="BT180" i="50" s="1"/>
  <c r="AA93" i="50"/>
  <c r="BM93" i="50" s="1"/>
  <c r="AA89" i="50"/>
  <c r="BM89" i="50" s="1"/>
  <c r="AH183" i="50"/>
  <c r="BT183" i="50" s="1"/>
  <c r="AA91" i="50"/>
  <c r="BM91" i="50" s="1"/>
  <c r="AI190" i="50"/>
  <c r="BU190" i="50" s="1"/>
  <c r="AH105" i="50"/>
  <c r="BT105" i="50" s="1"/>
  <c r="AH100" i="50"/>
  <c r="BT100" i="50" s="1"/>
  <c r="AA107" i="50"/>
  <c r="BM107" i="50" s="1"/>
  <c r="AH97" i="50"/>
  <c r="BT97" i="50" s="1"/>
  <c r="AI106" i="50"/>
  <c r="BU106" i="50" s="1"/>
  <c r="AI172" i="50"/>
  <c r="BU172" i="50" s="1"/>
  <c r="AA90" i="50"/>
  <c r="BM90" i="50" s="1"/>
  <c r="AH186" i="50"/>
  <c r="BT186" i="50" s="1"/>
  <c r="AI179" i="50"/>
  <c r="BU179" i="50" s="1"/>
  <c r="AH90" i="50"/>
  <c r="BT90" i="50" s="1"/>
  <c r="AA86" i="50"/>
  <c r="BM86" i="50" s="1"/>
  <c r="Y283" i="50" l="1"/>
  <c r="BK283" i="50" s="1"/>
  <c r="R283" i="50"/>
  <c r="BD283" i="50" s="1"/>
  <c r="G27" i="67"/>
  <c r="G45" i="67"/>
  <c r="AP13" i="67"/>
  <c r="M24" i="49"/>
  <c r="AP13" i="85" s="1"/>
  <c r="AP21" i="67"/>
  <c r="M38" i="49"/>
  <c r="AP21" i="85" s="1"/>
  <c r="Q285" i="50"/>
  <c r="BC285" i="50" s="1"/>
  <c r="BC283" i="50"/>
  <c r="X285" i="50"/>
  <c r="BJ285" i="50" s="1"/>
  <c r="BJ283" i="50"/>
  <c r="Y285" i="50"/>
  <c r="BK285" i="50" s="1"/>
  <c r="AB93" i="50"/>
  <c r="BN93" i="50" s="1"/>
  <c r="AB89" i="50"/>
  <c r="BN89" i="50" s="1"/>
  <c r="AB106" i="50"/>
  <c r="BN106" i="50" s="1"/>
  <c r="AH190" i="50"/>
  <c r="BT190" i="50" s="1"/>
  <c r="AB91" i="50"/>
  <c r="BN91" i="50" s="1"/>
  <c r="AI182" i="50"/>
  <c r="BU182" i="50" s="1"/>
  <c r="AJ106" i="50"/>
  <c r="BV106" i="50" s="1"/>
  <c r="AI180" i="50"/>
  <c r="BU180" i="50" s="1"/>
  <c r="AI189" i="50"/>
  <c r="BU189" i="50" s="1"/>
  <c r="AI100" i="50"/>
  <c r="BU100" i="50" s="1"/>
  <c r="AH178" i="50"/>
  <c r="BT178" i="50" s="1"/>
  <c r="AI178" i="50"/>
  <c r="BU178" i="50" s="1"/>
  <c r="AJ178" i="50"/>
  <c r="BV178" i="50" s="1"/>
  <c r="AJ179" i="50"/>
  <c r="BV179" i="50" s="1"/>
  <c r="AI90" i="50"/>
  <c r="BU90" i="50" s="1"/>
  <c r="AH172" i="50"/>
  <c r="BT172" i="50" s="1"/>
  <c r="AI105" i="50"/>
  <c r="BU105" i="50" s="1"/>
  <c r="AB108" i="50"/>
  <c r="BN108" i="50" s="1"/>
  <c r="AA108" i="50"/>
  <c r="BM108" i="50" s="1"/>
  <c r="AA100" i="50"/>
  <c r="BM100" i="50" s="1"/>
  <c r="AB90" i="50"/>
  <c r="BN90" i="50" s="1"/>
  <c r="AJ96" i="50"/>
  <c r="BV96" i="50" s="1"/>
  <c r="AI89" i="50"/>
  <c r="BU89" i="50" s="1"/>
  <c r="AH86" i="50"/>
  <c r="BT86" i="50" s="1"/>
  <c r="AI96" i="50"/>
  <c r="BU96" i="50" s="1"/>
  <c r="AH96" i="50"/>
  <c r="BT96" i="50" s="1"/>
  <c r="AA87" i="50"/>
  <c r="BM87" i="50" s="1"/>
  <c r="AA98" i="50"/>
  <c r="BM98" i="50" s="1"/>
  <c r="AH176" i="50"/>
  <c r="BT176" i="50" s="1"/>
  <c r="AH181" i="50"/>
  <c r="BT181" i="50" s="1"/>
  <c r="AI174" i="50"/>
  <c r="BU174" i="50" s="1"/>
  <c r="AH103" i="50"/>
  <c r="BT103" i="50" s="1"/>
  <c r="AH106" i="50"/>
  <c r="BT106" i="50" s="1"/>
  <c r="AH19" i="50"/>
  <c r="BT19" i="50" s="1"/>
  <c r="AH95" i="50"/>
  <c r="BT95" i="50" s="1"/>
  <c r="AH13" i="50"/>
  <c r="BT13" i="50" s="1"/>
  <c r="AH89" i="50"/>
  <c r="AH107" i="50"/>
  <c r="BT107" i="50" s="1"/>
  <c r="AH174" i="50"/>
  <c r="BT174" i="50" s="1"/>
  <c r="AH111" i="50"/>
  <c r="BT111" i="50" s="1"/>
  <c r="AA88" i="50"/>
  <c r="BM88" i="50" s="1"/>
  <c r="AH185" i="50"/>
  <c r="BT185" i="50" s="1"/>
  <c r="AA109" i="50"/>
  <c r="BM109" i="50" s="1"/>
  <c r="AH109" i="50"/>
  <c r="BT109" i="50" s="1"/>
  <c r="AH179" i="50"/>
  <c r="BT179" i="50" s="1"/>
  <c r="AH101" i="50"/>
  <c r="BT101" i="50" s="1"/>
  <c r="AH98" i="50"/>
  <c r="BT98" i="50" s="1"/>
  <c r="AA105" i="50"/>
  <c r="BM105" i="50" s="1"/>
  <c r="AA96" i="50"/>
  <c r="BM96" i="50" s="1"/>
  <c r="AI101" i="50"/>
  <c r="BU101" i="50" s="1"/>
  <c r="AA104" i="50"/>
  <c r="BM104" i="50" s="1"/>
  <c r="AI184" i="50"/>
  <c r="BU184" i="50" s="1"/>
  <c r="AA97" i="50"/>
  <c r="BM97" i="50" s="1"/>
  <c r="AB100" i="50"/>
  <c r="BN100" i="50" s="1"/>
  <c r="AA13" i="50"/>
  <c r="BM13" i="50" s="1"/>
  <c r="AA19" i="50"/>
  <c r="BM19" i="50" s="1"/>
  <c r="AH184" i="50"/>
  <c r="BT184" i="50" s="1"/>
  <c r="R285" i="50" l="1"/>
  <c r="BD285" i="50" s="1"/>
  <c r="AH88" i="50"/>
  <c r="BT88" i="50" s="1"/>
  <c r="BT89" i="50"/>
  <c r="AH10" i="50"/>
  <c r="AI183" i="50"/>
  <c r="BU183" i="50" s="1"/>
  <c r="AI104" i="50"/>
  <c r="BU104" i="50" s="1"/>
  <c r="AI92" i="50"/>
  <c r="BU92" i="50" s="1"/>
  <c r="B16" i="48"/>
  <c r="E16" i="48"/>
  <c r="L16" i="48" s="1"/>
  <c r="D16" i="48"/>
  <c r="K16" i="48" s="1"/>
  <c r="AK179" i="50"/>
  <c r="BW179" i="50" s="1"/>
  <c r="AC90" i="50"/>
  <c r="BO90" i="50" s="1"/>
  <c r="AB13" i="50"/>
  <c r="BN13" i="50" s="1"/>
  <c r="AJ104" i="50"/>
  <c r="BV104" i="50" s="1"/>
  <c r="AJ180" i="50"/>
  <c r="BV180" i="50" s="1"/>
  <c r="AC86" i="50"/>
  <c r="BO86" i="50" s="1"/>
  <c r="AB86" i="50"/>
  <c r="BN86" i="50" s="1"/>
  <c r="AC91" i="50"/>
  <c r="BO91" i="50" s="1"/>
  <c r="AK108" i="50"/>
  <c r="BW108" i="50" s="1"/>
  <c r="AJ100" i="50"/>
  <c r="BV100" i="50" s="1"/>
  <c r="AJ108" i="50"/>
  <c r="BV108" i="50" s="1"/>
  <c r="AI97" i="50"/>
  <c r="BU97" i="50" s="1"/>
  <c r="AJ97" i="50"/>
  <c r="BV97" i="50" s="1"/>
  <c r="AB95" i="50"/>
  <c r="BN95" i="50" s="1"/>
  <c r="AJ175" i="50"/>
  <c r="BV175" i="50" s="1"/>
  <c r="AI99" i="50"/>
  <c r="BU99" i="50" s="1"/>
  <c r="AI175" i="50"/>
  <c r="BU175" i="50" s="1"/>
  <c r="AI186" i="50"/>
  <c r="BU186" i="50" s="1"/>
  <c r="AI108" i="50"/>
  <c r="BU108" i="50" s="1"/>
  <c r="AJ90" i="50"/>
  <c r="BV90" i="50" s="1"/>
  <c r="AK97" i="50"/>
  <c r="BW97" i="50" s="1"/>
  <c r="AL97" i="50"/>
  <c r="BX97" i="50" s="1"/>
  <c r="AI188" i="50"/>
  <c r="BU188" i="50" s="1"/>
  <c r="AI187" i="50"/>
  <c r="BU187" i="50" s="1"/>
  <c r="AI87" i="50"/>
  <c r="BU87" i="50" s="1"/>
  <c r="AI102" i="50"/>
  <c r="BU102" i="50" s="1"/>
  <c r="AJ190" i="50"/>
  <c r="BV190" i="50" s="1"/>
  <c r="AJ186" i="50"/>
  <c r="BV186" i="50" s="1"/>
  <c r="AI93" i="50"/>
  <c r="BU93" i="50" s="1"/>
  <c r="AI173" i="50"/>
  <c r="BU173" i="50" s="1"/>
  <c r="AB19" i="50"/>
  <c r="BN19" i="50" s="1"/>
  <c r="AB103" i="50"/>
  <c r="BN103" i="50" s="1"/>
  <c r="AA94" i="50"/>
  <c r="AB101" i="50"/>
  <c r="BN101" i="50" s="1"/>
  <c r="AC108" i="50"/>
  <c r="BO108" i="50" s="1"/>
  <c r="AB99" i="50"/>
  <c r="BN99" i="50" s="1"/>
  <c r="AB104" i="50"/>
  <c r="BN104" i="50" s="1"/>
  <c r="AJ101" i="50"/>
  <c r="BV101" i="50" s="1"/>
  <c r="C54" i="49"/>
  <c r="I54" i="49" s="1"/>
  <c r="AB107" i="50"/>
  <c r="BN107" i="50" s="1"/>
  <c r="AB102" i="50"/>
  <c r="BN102" i="50" s="1"/>
  <c r="AI98" i="50"/>
  <c r="BU98" i="50" s="1"/>
  <c r="AK104" i="50"/>
  <c r="BW104" i="50" s="1"/>
  <c r="AJ92" i="50"/>
  <c r="BV92" i="50" s="1"/>
  <c r="AI185" i="50"/>
  <c r="BU185" i="50" s="1"/>
  <c r="AH171" i="50"/>
  <c r="BT171" i="50" s="1"/>
  <c r="AJ99" i="50"/>
  <c r="BV99" i="50" s="1"/>
  <c r="AI103" i="50"/>
  <c r="BU103" i="50" s="1"/>
  <c r="AI181" i="50"/>
  <c r="BU181" i="50" s="1"/>
  <c r="AJ89" i="50"/>
  <c r="BV89" i="50" s="1"/>
  <c r="AB97" i="50"/>
  <c r="BN97" i="50" s="1"/>
  <c r="AB96" i="50"/>
  <c r="BN96" i="50" s="1"/>
  <c r="AB92" i="50"/>
  <c r="AJ174" i="50"/>
  <c r="BV174" i="50" s="1"/>
  <c r="AJ172" i="50"/>
  <c r="BV172" i="50" s="1"/>
  <c r="AB98" i="50"/>
  <c r="BN98" i="50" s="1"/>
  <c r="AB87" i="50"/>
  <c r="BN87" i="50" s="1"/>
  <c r="AL108" i="50"/>
  <c r="BX108" i="50" s="1"/>
  <c r="AM108" i="50"/>
  <c r="BY108" i="50" s="1"/>
  <c r="AI177" i="50"/>
  <c r="BU177" i="50" s="1"/>
  <c r="AA10" i="50"/>
  <c r="BM10" i="50" s="1"/>
  <c r="AC100" i="50"/>
  <c r="BO100" i="50" s="1"/>
  <c r="AI91" i="50"/>
  <c r="BU91" i="50" s="1"/>
  <c r="AC95" i="50"/>
  <c r="BO95" i="50" s="1"/>
  <c r="AI109" i="50"/>
  <c r="BU109" i="50" s="1"/>
  <c r="AI95" i="50"/>
  <c r="BU95" i="50" s="1"/>
  <c r="AI19" i="50"/>
  <c r="BU19" i="50" s="1"/>
  <c r="AI111" i="50"/>
  <c r="AD86" i="50"/>
  <c r="BP86" i="50" s="1"/>
  <c r="AI13" i="50"/>
  <c r="BU13" i="50" s="1"/>
  <c r="AK96" i="50"/>
  <c r="BW96" i="50" s="1"/>
  <c r="AJ184" i="50"/>
  <c r="BV184" i="50" s="1"/>
  <c r="AB105" i="50"/>
  <c r="BN105" i="50" s="1"/>
  <c r="AK175" i="50"/>
  <c r="BW175" i="50" s="1"/>
  <c r="AB109" i="50"/>
  <c r="BN109" i="50" s="1"/>
  <c r="AC93" i="50"/>
  <c r="BO93" i="50" s="1"/>
  <c r="C68" i="49"/>
  <c r="I68" i="49" s="1"/>
  <c r="AI107" i="50"/>
  <c r="BU107" i="50" s="1"/>
  <c r="AH94" i="50"/>
  <c r="AI176" i="50"/>
  <c r="BU176" i="50" s="1"/>
  <c r="AJ183" i="50"/>
  <c r="BV183" i="50" s="1"/>
  <c r="AI86" i="50"/>
  <c r="BU86" i="50" s="1"/>
  <c r="B14" i="48" l="1"/>
  <c r="I14" i="48" s="1"/>
  <c r="I16" i="48"/>
  <c r="C89" i="67"/>
  <c r="C107" i="67" s="1"/>
  <c r="BU111" i="50"/>
  <c r="C89" i="85" s="1"/>
  <c r="C107" i="85" s="1"/>
  <c r="AB88" i="50"/>
  <c r="BN88" i="50" s="1"/>
  <c r="BN92" i="50"/>
  <c r="AA85" i="50"/>
  <c r="BM94" i="50"/>
  <c r="AH85" i="50"/>
  <c r="BT85" i="50" s="1"/>
  <c r="BT94" i="50"/>
  <c r="C67" i="49"/>
  <c r="I67" i="49" s="1"/>
  <c r="BT10" i="50"/>
  <c r="AH280" i="50"/>
  <c r="BT280" i="50" s="1"/>
  <c r="AA280" i="50"/>
  <c r="C53" i="49"/>
  <c r="I53" i="49" s="1"/>
  <c r="AI88" i="50"/>
  <c r="BU88" i="50" s="1"/>
  <c r="AL179" i="50"/>
  <c r="BX179" i="50" s="1"/>
  <c r="AC106" i="50"/>
  <c r="BO106" i="50" s="1"/>
  <c r="AB10" i="50"/>
  <c r="AK178" i="50"/>
  <c r="BW178" i="50" s="1"/>
  <c r="AK106" i="50"/>
  <c r="BW106" i="50" s="1"/>
  <c r="C16" i="48"/>
  <c r="J16" i="48" s="1"/>
  <c r="G16" i="48"/>
  <c r="N16" i="48" s="1"/>
  <c r="F16" i="48"/>
  <c r="M16" i="48" s="1"/>
  <c r="AJ105" i="50"/>
  <c r="BV105" i="50" s="1"/>
  <c r="AJ182" i="50"/>
  <c r="BV182" i="50" s="1"/>
  <c r="AJ189" i="50"/>
  <c r="BV189" i="50" s="1"/>
  <c r="AC13" i="50"/>
  <c r="BO13" i="50" s="1"/>
  <c r="AC89" i="50"/>
  <c r="BO89" i="50" s="1"/>
  <c r="AE91" i="50"/>
  <c r="BQ91" i="50" s="1"/>
  <c r="AI10" i="50"/>
  <c r="BU10" i="50" s="1"/>
  <c r="C84" i="85" s="1"/>
  <c r="AK90" i="50"/>
  <c r="BW90" i="50" s="1"/>
  <c r="AM97" i="50"/>
  <c r="BY97" i="50" s="1"/>
  <c r="AB94" i="50"/>
  <c r="AJ13" i="50"/>
  <c r="BV13" i="50" s="1"/>
  <c r="AI94" i="50"/>
  <c r="BU94" i="50" s="1"/>
  <c r="AC19" i="50"/>
  <c r="BO19" i="50" s="1"/>
  <c r="AI171" i="50"/>
  <c r="AJ173" i="50"/>
  <c r="BV173" i="50" s="1"/>
  <c r="AK186" i="50"/>
  <c r="BW186" i="50" s="1"/>
  <c r="AJ102" i="50"/>
  <c r="BV102" i="50" s="1"/>
  <c r="AJ187" i="50"/>
  <c r="BV187" i="50" s="1"/>
  <c r="AJ93" i="50"/>
  <c r="BV93" i="50" s="1"/>
  <c r="AK190" i="50"/>
  <c r="BW190" i="50" s="1"/>
  <c r="AJ87" i="50"/>
  <c r="BV87" i="50" s="1"/>
  <c r="AJ188" i="50"/>
  <c r="BV188" i="50" s="1"/>
  <c r="AC103" i="50"/>
  <c r="BO103" i="50" s="1"/>
  <c r="AC101" i="50"/>
  <c r="BO101" i="50" s="1"/>
  <c r="AC99" i="50"/>
  <c r="BO99" i="50" s="1"/>
  <c r="AD108" i="50"/>
  <c r="BP108" i="50" s="1"/>
  <c r="AL175" i="50"/>
  <c r="BX175" i="50" s="1"/>
  <c r="AM175" i="50"/>
  <c r="BY175" i="50" s="1"/>
  <c r="AK183" i="50"/>
  <c r="BW183" i="50" s="1"/>
  <c r="AJ176" i="50"/>
  <c r="BV176" i="50" s="1"/>
  <c r="D68" i="49"/>
  <c r="J68" i="49" s="1"/>
  <c r="AJ107" i="50"/>
  <c r="BV107" i="50" s="1"/>
  <c r="AD93" i="50"/>
  <c r="BP93" i="50" s="1"/>
  <c r="AM178" i="50"/>
  <c r="BY178" i="50" s="1"/>
  <c r="AL178" i="50"/>
  <c r="BX178" i="50" s="1"/>
  <c r="AK182" i="50"/>
  <c r="BW182" i="50" s="1"/>
  <c r="AD90" i="50"/>
  <c r="BP90" i="50" s="1"/>
  <c r="V58" i="53"/>
  <c r="AC96" i="50"/>
  <c r="BO96" i="50" s="1"/>
  <c r="AK89" i="50"/>
  <c r="BW89" i="50" s="1"/>
  <c r="AK99" i="50"/>
  <c r="BW99" i="50" s="1"/>
  <c r="AJ98" i="50"/>
  <c r="BV98" i="50" s="1"/>
  <c r="AC109" i="50"/>
  <c r="BO109" i="50" s="1"/>
  <c r="AL96" i="50"/>
  <c r="BX96" i="50" s="1"/>
  <c r="AM96" i="50"/>
  <c r="BY96" i="50" s="1"/>
  <c r="AK189" i="50"/>
  <c r="BW189" i="50" s="1"/>
  <c r="AD106" i="50"/>
  <c r="BP106" i="50" s="1"/>
  <c r="AD100" i="50"/>
  <c r="BP100" i="50" s="1"/>
  <c r="U58" i="53"/>
  <c r="AC87" i="50"/>
  <c r="BO87" i="50" s="1"/>
  <c r="AK174" i="50"/>
  <c r="BW174" i="50" s="1"/>
  <c r="AC97" i="50"/>
  <c r="BO97" i="50" s="1"/>
  <c r="G58" i="53"/>
  <c r="AJ103" i="50"/>
  <c r="BV103" i="50" s="1"/>
  <c r="AJ185" i="50"/>
  <c r="BV185" i="50" s="1"/>
  <c r="AL104" i="50"/>
  <c r="BX104" i="50" s="1"/>
  <c r="AM104" i="50"/>
  <c r="BY104" i="50" s="1"/>
  <c r="AC102" i="50"/>
  <c r="BO102" i="50" s="1"/>
  <c r="AK101" i="50"/>
  <c r="BW101" i="50" s="1"/>
  <c r="AK184" i="50"/>
  <c r="BW184" i="50" s="1"/>
  <c r="W58" i="53"/>
  <c r="AJ86" i="50"/>
  <c r="BV86" i="50" s="1"/>
  <c r="AK105" i="50"/>
  <c r="BW105" i="50" s="1"/>
  <c r="AJ19" i="50"/>
  <c r="BV19" i="50" s="1"/>
  <c r="AJ95" i="50"/>
  <c r="BV95" i="50" s="1"/>
  <c r="AJ109" i="50"/>
  <c r="BV109" i="50" s="1"/>
  <c r="AC98" i="50"/>
  <c r="BO98" i="50" s="1"/>
  <c r="AK172" i="50"/>
  <c r="BW172" i="50" s="1"/>
  <c r="AC92" i="50"/>
  <c r="BO92" i="50" s="1"/>
  <c r="AL106" i="50"/>
  <c r="BX106" i="50" s="1"/>
  <c r="AM106" i="50"/>
  <c r="BY106" i="50" s="1"/>
  <c r="AK92" i="50"/>
  <c r="BW92" i="50" s="1"/>
  <c r="AC104" i="50"/>
  <c r="BO104" i="50" s="1"/>
  <c r="AC105" i="50"/>
  <c r="BO105" i="50" s="1"/>
  <c r="N58" i="53"/>
  <c r="AE86" i="50"/>
  <c r="BQ86" i="50" s="1"/>
  <c r="AD95" i="50"/>
  <c r="BP95" i="50" s="1"/>
  <c r="AJ91" i="50"/>
  <c r="AJ177" i="50"/>
  <c r="BV177" i="50" s="1"/>
  <c r="P58" i="53"/>
  <c r="AJ111" i="50"/>
  <c r="AJ181" i="50"/>
  <c r="BV181" i="50" s="1"/>
  <c r="D54" i="49"/>
  <c r="J54" i="49" s="1"/>
  <c r="AC107" i="50"/>
  <c r="BO107" i="50" s="1"/>
  <c r="AH283" i="50" l="1"/>
  <c r="BT283" i="50" s="1"/>
  <c r="C60" i="67"/>
  <c r="BN10" i="50"/>
  <c r="C60" i="85" s="1"/>
  <c r="D89" i="67"/>
  <c r="D107" i="67" s="1"/>
  <c r="BV111" i="50"/>
  <c r="D89" i="85" s="1"/>
  <c r="D107" i="85" s="1"/>
  <c r="W31" i="67"/>
  <c r="BT58" i="53"/>
  <c r="W31" i="85" s="1"/>
  <c r="V52" i="67"/>
  <c r="BZ58" i="53"/>
  <c r="V52" i="85" s="1"/>
  <c r="X10" i="67"/>
  <c r="BN58" i="53"/>
  <c r="X10" i="85" s="1"/>
  <c r="Y31" i="67"/>
  <c r="BV58" i="53"/>
  <c r="Y31" i="85" s="1"/>
  <c r="W52" i="67"/>
  <c r="CA58" i="53"/>
  <c r="W52" i="85" s="1"/>
  <c r="X52" i="67"/>
  <c r="CB58" i="53"/>
  <c r="X52" i="85" s="1"/>
  <c r="AB85" i="50"/>
  <c r="BN85" i="50" s="1"/>
  <c r="C63" i="85" s="1"/>
  <c r="BN94" i="50"/>
  <c r="C92" i="67"/>
  <c r="C110" i="67" s="1"/>
  <c r="BU171" i="50"/>
  <c r="C92" i="85" s="1"/>
  <c r="C110" i="85" s="1"/>
  <c r="AA283" i="50"/>
  <c r="BM283" i="50" s="1"/>
  <c r="BM85" i="50"/>
  <c r="BM280" i="50"/>
  <c r="AJ88" i="50"/>
  <c r="BV88" i="50" s="1"/>
  <c r="BV91" i="50"/>
  <c r="AH285" i="50"/>
  <c r="BT285" i="50" s="1"/>
  <c r="AI280" i="50"/>
  <c r="BU280" i="50" s="1"/>
  <c r="D67" i="49"/>
  <c r="J67" i="49" s="1"/>
  <c r="C84" i="67"/>
  <c r="AB283" i="50"/>
  <c r="BN283" i="50" s="1"/>
  <c r="C63" i="67"/>
  <c r="C52" i="49"/>
  <c r="D53" i="49"/>
  <c r="J53" i="49" s="1"/>
  <c r="W58" i="73"/>
  <c r="BR58" i="73" s="1"/>
  <c r="X58" i="73"/>
  <c r="N55" i="53"/>
  <c r="S58" i="73"/>
  <c r="BP58" i="73" s="1"/>
  <c r="T58" i="73"/>
  <c r="W55" i="53"/>
  <c r="AG58" i="73"/>
  <c r="AF58" i="73"/>
  <c r="BW58" i="73" s="1"/>
  <c r="U55" i="53"/>
  <c r="AC58" i="73"/>
  <c r="AB58" i="73"/>
  <c r="BU58" i="73" s="1"/>
  <c r="V55" i="53"/>
  <c r="AE58" i="73"/>
  <c r="AD58" i="73"/>
  <c r="BV58" i="73" s="1"/>
  <c r="AI85" i="50"/>
  <c r="BU85" i="50" s="1"/>
  <c r="C87" i="85" s="1"/>
  <c r="AB280" i="50"/>
  <c r="BN280" i="50" s="1"/>
  <c r="AM179" i="50"/>
  <c r="BY179" i="50" s="1"/>
  <c r="AJ10" i="50"/>
  <c r="BV10" i="50" s="1"/>
  <c r="D84" i="85" s="1"/>
  <c r="AK180" i="50"/>
  <c r="BW180" i="50" s="1"/>
  <c r="AF91" i="50"/>
  <c r="BR91" i="50" s="1"/>
  <c r="AK100" i="50"/>
  <c r="BW100" i="50" s="1"/>
  <c r="AC10" i="50"/>
  <c r="C66" i="49"/>
  <c r="I66" i="49" s="1"/>
  <c r="AL37" i="85" s="1"/>
  <c r="AL42" i="85" s="1"/>
  <c r="AC88" i="50"/>
  <c r="BO88" i="50" s="1"/>
  <c r="AJ94" i="50"/>
  <c r="AD91" i="50"/>
  <c r="BP91" i="50" s="1"/>
  <c r="AL90" i="50"/>
  <c r="BX90" i="50" s="1"/>
  <c r="AD89" i="50"/>
  <c r="BP89" i="50" s="1"/>
  <c r="AD19" i="50"/>
  <c r="BP19" i="50" s="1"/>
  <c r="G55" i="53"/>
  <c r="BG58" i="53"/>
  <c r="P55" i="53"/>
  <c r="AV43" i="79" s="1"/>
  <c r="AP43" i="79" s="1"/>
  <c r="AJ171" i="50"/>
  <c r="AK87" i="50"/>
  <c r="BW87" i="50" s="1"/>
  <c r="AK93" i="50"/>
  <c r="BW93" i="50" s="1"/>
  <c r="AM186" i="50"/>
  <c r="BY186" i="50" s="1"/>
  <c r="AL186" i="50"/>
  <c r="BX186" i="50" s="1"/>
  <c r="AK102" i="50"/>
  <c r="BW102" i="50" s="1"/>
  <c r="AK173" i="50"/>
  <c r="BW173" i="50" s="1"/>
  <c r="AK111" i="50"/>
  <c r="AK188" i="50"/>
  <c r="BW188" i="50" s="1"/>
  <c r="AL190" i="50"/>
  <c r="BX190" i="50" s="1"/>
  <c r="AM190" i="50"/>
  <c r="BY190" i="50" s="1"/>
  <c r="AK187" i="50"/>
  <c r="BW187" i="50" s="1"/>
  <c r="AC94" i="50"/>
  <c r="BO94" i="50" s="1"/>
  <c r="AD101" i="50"/>
  <c r="BP101" i="50" s="1"/>
  <c r="AD103" i="50"/>
  <c r="BP103" i="50" s="1"/>
  <c r="AE108" i="50"/>
  <c r="BQ108" i="50" s="1"/>
  <c r="AF108" i="50"/>
  <c r="BR108" i="50" s="1"/>
  <c r="AD99" i="50"/>
  <c r="BP99" i="50" s="1"/>
  <c r="AK91" i="50"/>
  <c r="AD105" i="50"/>
  <c r="BP105" i="50" s="1"/>
  <c r="AM100" i="50"/>
  <c r="BY100" i="50" s="1"/>
  <c r="AL100" i="50"/>
  <c r="BX100" i="50" s="1"/>
  <c r="AK103" i="50"/>
  <c r="BW103" i="50" s="1"/>
  <c r="AD87" i="50"/>
  <c r="BP87" i="50" s="1"/>
  <c r="AE100" i="50"/>
  <c r="BQ100" i="50" s="1"/>
  <c r="AF100" i="50"/>
  <c r="BR100" i="50" s="1"/>
  <c r="AD96" i="50"/>
  <c r="BP96" i="50" s="1"/>
  <c r="AE90" i="50"/>
  <c r="BQ90" i="50" s="1"/>
  <c r="AE93" i="50"/>
  <c r="BQ93" i="50" s="1"/>
  <c r="AF93" i="50"/>
  <c r="BR93" i="50" s="1"/>
  <c r="AK176" i="50"/>
  <c r="BW176" i="50" s="1"/>
  <c r="AK181" i="50"/>
  <c r="BW181" i="50" s="1"/>
  <c r="AF86" i="50"/>
  <c r="BR86" i="50" s="1"/>
  <c r="AL92" i="50"/>
  <c r="BX92" i="50" s="1"/>
  <c r="AM92" i="50"/>
  <c r="BY92" i="50" s="1"/>
  <c r="L58" i="53"/>
  <c r="BR58" i="53" s="1"/>
  <c r="U31" i="85" s="1"/>
  <c r="Z31" i="85" s="1"/>
  <c r="AD92" i="50"/>
  <c r="BP92" i="50" s="1"/>
  <c r="M58" i="53"/>
  <c r="AK86" i="50"/>
  <c r="BW86" i="50" s="1"/>
  <c r="AD102" i="50"/>
  <c r="BP102" i="50" s="1"/>
  <c r="AK185" i="50"/>
  <c r="BW185" i="50" s="1"/>
  <c r="AM174" i="50"/>
  <c r="BY174" i="50" s="1"/>
  <c r="AL174" i="50"/>
  <c r="BX174" i="50" s="1"/>
  <c r="Y52" i="67"/>
  <c r="AD109" i="50"/>
  <c r="BP109" i="50" s="1"/>
  <c r="AK98" i="50"/>
  <c r="BW98" i="50" s="1"/>
  <c r="AK177" i="50"/>
  <c r="BW177" i="50" s="1"/>
  <c r="AL180" i="50"/>
  <c r="BX180" i="50" s="1"/>
  <c r="AM180" i="50"/>
  <c r="BY180" i="50" s="1"/>
  <c r="AD104" i="50"/>
  <c r="BP104" i="50" s="1"/>
  <c r="AK19" i="50"/>
  <c r="BW19" i="50" s="1"/>
  <c r="AK95" i="50"/>
  <c r="BW95" i="50" s="1"/>
  <c r="AL105" i="50"/>
  <c r="BX105" i="50" s="1"/>
  <c r="AM105" i="50"/>
  <c r="BY105" i="50" s="1"/>
  <c r="AL184" i="50"/>
  <c r="BX184" i="50" s="1"/>
  <c r="AM184" i="50"/>
  <c r="BY184" i="50" s="1"/>
  <c r="AD97" i="50"/>
  <c r="BP97" i="50" s="1"/>
  <c r="AF106" i="50"/>
  <c r="BR106" i="50" s="1"/>
  <c r="AE106" i="50"/>
  <c r="BQ106" i="50" s="1"/>
  <c r="AL89" i="50"/>
  <c r="BX89" i="50" s="1"/>
  <c r="AM182" i="50"/>
  <c r="BY182" i="50" s="1"/>
  <c r="AL182" i="50"/>
  <c r="BX182" i="50" s="1"/>
  <c r="AK107" i="50"/>
  <c r="BW107" i="50" s="1"/>
  <c r="E68" i="49"/>
  <c r="K68" i="49" s="1"/>
  <c r="AM183" i="50"/>
  <c r="BY183" i="50" s="1"/>
  <c r="AL183" i="50"/>
  <c r="BX183" i="50" s="1"/>
  <c r="E58" i="53"/>
  <c r="AD107" i="50"/>
  <c r="BP107" i="50" s="1"/>
  <c r="E54" i="49"/>
  <c r="K54" i="49" s="1"/>
  <c r="AE95" i="50"/>
  <c r="BQ95" i="50" s="1"/>
  <c r="T58" i="53"/>
  <c r="BY58" i="53" s="1"/>
  <c r="U52" i="85" s="1"/>
  <c r="AL172" i="50"/>
  <c r="BX172" i="50" s="1"/>
  <c r="AD98" i="50"/>
  <c r="BP98" i="50" s="1"/>
  <c r="AK109" i="50"/>
  <c r="BW109" i="50" s="1"/>
  <c r="AL101" i="50"/>
  <c r="BX101" i="50" s="1"/>
  <c r="AM101" i="50"/>
  <c r="BY101" i="50" s="1"/>
  <c r="AL189" i="50"/>
  <c r="BX189" i="50" s="1"/>
  <c r="AM189" i="50"/>
  <c r="BY189" i="50" s="1"/>
  <c r="H58" i="53"/>
  <c r="AL99" i="50"/>
  <c r="BX99" i="50" s="1"/>
  <c r="AM99" i="50"/>
  <c r="BY99" i="50" s="1"/>
  <c r="O58" i="53"/>
  <c r="AK13" i="50"/>
  <c r="BW13" i="50" s="1"/>
  <c r="AD13" i="50"/>
  <c r="BP13" i="50" s="1"/>
  <c r="CB55" i="53" l="1"/>
  <c r="CA55" i="53"/>
  <c r="BT55" i="53"/>
  <c r="AT43" i="79"/>
  <c r="AN43" i="79" s="1"/>
  <c r="Z52" i="85"/>
  <c r="AA52" i="85"/>
  <c r="AT43" i="84"/>
  <c r="AN43" i="84" s="1"/>
  <c r="W28" i="85"/>
  <c r="W36" i="85" s="1"/>
  <c r="W37" i="85" s="1"/>
  <c r="AA31" i="85"/>
  <c r="AA285" i="50"/>
  <c r="BM285" i="50" s="1"/>
  <c r="D60" i="67"/>
  <c r="BO10" i="50"/>
  <c r="D60" i="85" s="1"/>
  <c r="E89" i="67"/>
  <c r="E107" i="67" s="1"/>
  <c r="BW111" i="50"/>
  <c r="E89" i="85" s="1"/>
  <c r="E107" i="85" s="1"/>
  <c r="C63" i="49"/>
  <c r="I52" i="49"/>
  <c r="AL29" i="85" s="1"/>
  <c r="AL34" i="85" s="1"/>
  <c r="X31" i="67"/>
  <c r="X127" i="67" s="1"/>
  <c r="BU58" i="53"/>
  <c r="X31" i="85" s="1"/>
  <c r="X127" i="85" s="1"/>
  <c r="V49" i="67"/>
  <c r="V57" i="67" s="1"/>
  <c r="V58" i="67" s="1"/>
  <c r="BZ55" i="53"/>
  <c r="Y28" i="67"/>
  <c r="Y36" i="67" s="1"/>
  <c r="BV55" i="53"/>
  <c r="Y10" i="67"/>
  <c r="Y127" i="67" s="1"/>
  <c r="BO58" i="53"/>
  <c r="Y10" i="85" s="1"/>
  <c r="BG55" i="53"/>
  <c r="DI58" i="53"/>
  <c r="V31" i="67"/>
  <c r="BS58" i="53"/>
  <c r="V31" i="85" s="1"/>
  <c r="X7" i="67"/>
  <c r="X15" i="67" s="1"/>
  <c r="BN55" i="53"/>
  <c r="V10" i="67"/>
  <c r="BL58" i="53"/>
  <c r="V10" i="85" s="1"/>
  <c r="D92" i="67"/>
  <c r="D110" i="67" s="1"/>
  <c r="BV171" i="50"/>
  <c r="D92" i="85" s="1"/>
  <c r="D110" i="85" s="1"/>
  <c r="AK88" i="50"/>
  <c r="BW88" i="50" s="1"/>
  <c r="BW91" i="50"/>
  <c r="AJ85" i="50"/>
  <c r="AJ283" i="50" s="1"/>
  <c r="BV283" i="50" s="1"/>
  <c r="BV94" i="50"/>
  <c r="U31" i="67"/>
  <c r="R58" i="53"/>
  <c r="Q58" i="53"/>
  <c r="BW58" i="53" s="1"/>
  <c r="U52" i="67"/>
  <c r="Z52" i="67" s="1"/>
  <c r="Z58" i="53"/>
  <c r="Y58" i="53"/>
  <c r="CD58" i="53" s="1"/>
  <c r="AB285" i="50"/>
  <c r="BN285" i="50" s="1"/>
  <c r="C58" i="73"/>
  <c r="BG58" i="73" s="1"/>
  <c r="T10" i="67"/>
  <c r="T127" i="67" s="1"/>
  <c r="U88" i="53"/>
  <c r="E18" i="20"/>
  <c r="L18" i="20" s="1"/>
  <c r="V88" i="53"/>
  <c r="W49" i="67"/>
  <c r="W57" i="67" s="1"/>
  <c r="W58" i="67" s="1"/>
  <c r="N88" i="53"/>
  <c r="AT42" i="79" s="1"/>
  <c r="AN42" i="79" s="1"/>
  <c r="W28" i="67"/>
  <c r="W36" i="67" s="1"/>
  <c r="W37" i="67" s="1"/>
  <c r="W88" i="53"/>
  <c r="X49" i="67"/>
  <c r="X57" i="67" s="1"/>
  <c r="X58" i="67" s="1"/>
  <c r="AI283" i="50"/>
  <c r="C87" i="67"/>
  <c r="D66" i="49"/>
  <c r="E67" i="49"/>
  <c r="K67" i="49" s="1"/>
  <c r="D84" i="67"/>
  <c r="AC280" i="50"/>
  <c r="BO280" i="50" s="1"/>
  <c r="E53" i="49"/>
  <c r="K53" i="49" s="1"/>
  <c r="AL29" i="67"/>
  <c r="AL34" i="67" s="1"/>
  <c r="C77" i="49"/>
  <c r="AL37" i="67"/>
  <c r="AL42" i="67" s="1"/>
  <c r="AJ280" i="50"/>
  <c r="BV280" i="50" s="1"/>
  <c r="G18" i="20"/>
  <c r="N18" i="20" s="1"/>
  <c r="F18" i="20"/>
  <c r="M18" i="20" s="1"/>
  <c r="F15" i="20"/>
  <c r="M15" i="20" s="1"/>
  <c r="T55" i="53"/>
  <c r="AA58" i="73"/>
  <c r="Z58" i="73"/>
  <c r="BT58" i="73" s="1"/>
  <c r="AI58" i="73"/>
  <c r="AH58" i="73"/>
  <c r="BX58" i="73" s="1"/>
  <c r="H15" i="20"/>
  <c r="O15" i="20" s="1"/>
  <c r="W55" i="73"/>
  <c r="BR55" i="73" s="1"/>
  <c r="X55" i="73"/>
  <c r="AC55" i="73"/>
  <c r="AB55" i="73"/>
  <c r="BU55" i="73" s="1"/>
  <c r="S55" i="73"/>
  <c r="BP55" i="73" s="1"/>
  <c r="T55" i="73"/>
  <c r="O55" i="53"/>
  <c r="V58" i="73"/>
  <c r="U58" i="73"/>
  <c r="BQ58" i="73" s="1"/>
  <c r="M58" i="73"/>
  <c r="L58" i="73"/>
  <c r="BL58" i="73" s="1"/>
  <c r="G58" i="73"/>
  <c r="F58" i="73"/>
  <c r="BI58" i="73" s="1"/>
  <c r="AE55" i="73"/>
  <c r="AD55" i="73"/>
  <c r="BV55" i="73" s="1"/>
  <c r="J58" i="73"/>
  <c r="BK58" i="73" s="1"/>
  <c r="AG55" i="73"/>
  <c r="AF55" i="73"/>
  <c r="BW55" i="73" s="1"/>
  <c r="M55" i="53"/>
  <c r="R58" i="73"/>
  <c r="Q58" i="73"/>
  <c r="BO58" i="73" s="1"/>
  <c r="L55" i="53"/>
  <c r="P58" i="73"/>
  <c r="O58" i="73"/>
  <c r="BN58" i="73" s="1"/>
  <c r="G12" i="20"/>
  <c r="N12" i="20" s="1"/>
  <c r="K58" i="73"/>
  <c r="D52" i="49"/>
  <c r="J52" i="49" s="1"/>
  <c r="AM29" i="85" s="1"/>
  <c r="AM34" i="85" s="1"/>
  <c r="G88" i="53"/>
  <c r="AC85" i="50"/>
  <c r="BO85" i="50" s="1"/>
  <c r="D63" i="85" s="1"/>
  <c r="AD88" i="50"/>
  <c r="BP88" i="50" s="1"/>
  <c r="AM90" i="50"/>
  <c r="BY90" i="50" s="1"/>
  <c r="AL13" i="50"/>
  <c r="BX13" i="50" s="1"/>
  <c r="AE89" i="50"/>
  <c r="BQ89" i="50" s="1"/>
  <c r="AF89" i="50"/>
  <c r="BR89" i="50" s="1"/>
  <c r="AD10" i="50"/>
  <c r="AK171" i="50"/>
  <c r="AL111" i="50"/>
  <c r="BH58" i="53"/>
  <c r="BB58" i="53"/>
  <c r="E55" i="53"/>
  <c r="AS35" i="79" s="1"/>
  <c r="AM35" i="79" s="1"/>
  <c r="BE58" i="53"/>
  <c r="AY58" i="53"/>
  <c r="BA58" i="53"/>
  <c r="P88" i="53"/>
  <c r="C55" i="53"/>
  <c r="BC58" i="53"/>
  <c r="AW58" i="53"/>
  <c r="H55" i="53"/>
  <c r="AV35" i="79" s="1"/>
  <c r="AP35" i="79" s="1"/>
  <c r="X55" i="53"/>
  <c r="AL93" i="50"/>
  <c r="BX93" i="50" s="1"/>
  <c r="AM93" i="50"/>
  <c r="BY93" i="50" s="1"/>
  <c r="AK10" i="50"/>
  <c r="BW10" i="50" s="1"/>
  <c r="E84" i="85" s="1"/>
  <c r="AL173" i="50"/>
  <c r="BX173" i="50" s="1"/>
  <c r="AM173" i="50"/>
  <c r="BY173" i="50" s="1"/>
  <c r="AL87" i="50"/>
  <c r="BX87" i="50" s="1"/>
  <c r="AM87" i="50"/>
  <c r="BY87" i="50" s="1"/>
  <c r="AL188" i="50"/>
  <c r="BX188" i="50" s="1"/>
  <c r="AM188" i="50"/>
  <c r="BY188" i="50" s="1"/>
  <c r="AM187" i="50"/>
  <c r="BY187" i="50" s="1"/>
  <c r="AL187" i="50"/>
  <c r="BX187" i="50" s="1"/>
  <c r="AL102" i="50"/>
  <c r="BX102" i="50" s="1"/>
  <c r="AM102" i="50"/>
  <c r="BY102" i="50" s="1"/>
  <c r="AD94" i="50"/>
  <c r="BP94" i="50" s="1"/>
  <c r="AE103" i="50"/>
  <c r="BQ103" i="50" s="1"/>
  <c r="AF103" i="50"/>
  <c r="BR103" i="50" s="1"/>
  <c r="AF99" i="50"/>
  <c r="BR99" i="50" s="1"/>
  <c r="AE99" i="50"/>
  <c r="BQ99" i="50" s="1"/>
  <c r="AE101" i="50"/>
  <c r="BQ101" i="50" s="1"/>
  <c r="AF101" i="50"/>
  <c r="BR101" i="50" s="1"/>
  <c r="AM172" i="50"/>
  <c r="BY172" i="50" s="1"/>
  <c r="AE97" i="50"/>
  <c r="BQ97" i="50" s="1"/>
  <c r="AF97" i="50"/>
  <c r="BR97" i="50" s="1"/>
  <c r="AE109" i="50"/>
  <c r="BQ109" i="50" s="1"/>
  <c r="AF109" i="50"/>
  <c r="BR109" i="50" s="1"/>
  <c r="AL86" i="50"/>
  <c r="BX86" i="50" s="1"/>
  <c r="AE92" i="50"/>
  <c r="BQ92" i="50" s="1"/>
  <c r="AF92" i="50"/>
  <c r="BR92" i="50" s="1"/>
  <c r="F58" i="53"/>
  <c r="AE105" i="50"/>
  <c r="BQ105" i="50" s="1"/>
  <c r="AF105" i="50"/>
  <c r="BR105" i="50" s="1"/>
  <c r="AF98" i="50"/>
  <c r="BR98" i="50" s="1"/>
  <c r="AE98" i="50"/>
  <c r="BQ98" i="50" s="1"/>
  <c r="AM89" i="50"/>
  <c r="BY89" i="50" s="1"/>
  <c r="D58" i="53"/>
  <c r="BK58" i="53" s="1"/>
  <c r="U10" i="85" s="1"/>
  <c r="AE19" i="50"/>
  <c r="BQ19" i="50" s="1"/>
  <c r="AE107" i="50"/>
  <c r="BQ107" i="50" s="1"/>
  <c r="F54" i="49"/>
  <c r="L54" i="49" s="1"/>
  <c r="AL19" i="50"/>
  <c r="BX19" i="50" s="1"/>
  <c r="AL95" i="50"/>
  <c r="BX95" i="50" s="1"/>
  <c r="AF104" i="50"/>
  <c r="BR104" i="50" s="1"/>
  <c r="AE104" i="50"/>
  <c r="BQ104" i="50" s="1"/>
  <c r="AL177" i="50"/>
  <c r="BX177" i="50" s="1"/>
  <c r="AM177" i="50"/>
  <c r="BY177" i="50" s="1"/>
  <c r="AE102" i="50"/>
  <c r="BQ102" i="50" s="1"/>
  <c r="AF102" i="50"/>
  <c r="BR102" i="50" s="1"/>
  <c r="AF96" i="50"/>
  <c r="BR96" i="50" s="1"/>
  <c r="AE96" i="50"/>
  <c r="BQ96" i="50" s="1"/>
  <c r="AM103" i="50"/>
  <c r="BY103" i="50" s="1"/>
  <c r="AL103" i="50"/>
  <c r="BX103" i="50" s="1"/>
  <c r="AL109" i="50"/>
  <c r="BX109" i="50" s="1"/>
  <c r="AM109" i="50"/>
  <c r="BY109" i="50" s="1"/>
  <c r="AK94" i="50"/>
  <c r="AL98" i="50"/>
  <c r="BX98" i="50" s="1"/>
  <c r="AM98" i="50"/>
  <c r="BY98" i="50" s="1"/>
  <c r="AM181" i="50"/>
  <c r="BY181" i="50" s="1"/>
  <c r="AL181" i="50"/>
  <c r="BX181" i="50" s="1"/>
  <c r="AM176" i="50"/>
  <c r="BY176" i="50" s="1"/>
  <c r="AL176" i="50"/>
  <c r="BX176" i="50" s="1"/>
  <c r="AE13" i="50"/>
  <c r="BQ13" i="50" s="1"/>
  <c r="AL91" i="50"/>
  <c r="AM91" i="50"/>
  <c r="BY91" i="50" s="1"/>
  <c r="AF95" i="50"/>
  <c r="BR95" i="50" s="1"/>
  <c r="AL107" i="50"/>
  <c r="BX107" i="50" s="1"/>
  <c r="F68" i="49"/>
  <c r="L68" i="49" s="1"/>
  <c r="AL185" i="50"/>
  <c r="BX185" i="50" s="1"/>
  <c r="AM185" i="50"/>
  <c r="BY185" i="50" s="1"/>
  <c r="AF90" i="50"/>
  <c r="BR90" i="50" s="1"/>
  <c r="AE87" i="50"/>
  <c r="BQ87" i="50" s="1"/>
  <c r="X49" i="85" l="1"/>
  <c r="X57" i="85" s="1"/>
  <c r="X58" i="85" s="1"/>
  <c r="W49" i="85"/>
  <c r="BU55" i="53"/>
  <c r="AU43" i="84" s="1"/>
  <c r="AO43" i="84" s="1"/>
  <c r="AU43" i="79"/>
  <c r="AO43" i="79" s="1"/>
  <c r="BR55" i="53"/>
  <c r="AR43" i="79"/>
  <c r="AL43" i="79" s="1"/>
  <c r="BV88" i="53"/>
  <c r="AV42" i="84" s="1"/>
  <c r="AP42" i="84" s="1"/>
  <c r="AV42" i="79"/>
  <c r="AP42" i="79" s="1"/>
  <c r="BN88" i="53"/>
  <c r="AV34" i="84" s="1"/>
  <c r="AP34" i="84" s="1"/>
  <c r="BS55" i="53"/>
  <c r="AS43" i="84" s="1"/>
  <c r="AM43" i="84" s="1"/>
  <c r="AS43" i="79"/>
  <c r="AM43" i="79" s="1"/>
  <c r="BY55" i="53"/>
  <c r="CC55" i="53"/>
  <c r="AV51" i="84" s="1"/>
  <c r="AP51" i="84" s="1"/>
  <c r="AV51" i="79"/>
  <c r="AP51" i="79" s="1"/>
  <c r="AA52" i="67"/>
  <c r="X7" i="85"/>
  <c r="AV43" i="84"/>
  <c r="AP43" i="84" s="1"/>
  <c r="Y28" i="85"/>
  <c r="Y36" i="85" s="1"/>
  <c r="V49" i="85"/>
  <c r="V57" i="85" s="1"/>
  <c r="V58" i="85" s="1"/>
  <c r="W57" i="85"/>
  <c r="W58" i="85" s="1"/>
  <c r="AR43" i="84"/>
  <c r="AL43" i="84" s="1"/>
  <c r="U28" i="85"/>
  <c r="Z10" i="85"/>
  <c r="U127" i="85"/>
  <c r="Z127" i="85" s="1"/>
  <c r="V127" i="85"/>
  <c r="Y127" i="85"/>
  <c r="AA127" i="85" s="1"/>
  <c r="AA10" i="85"/>
  <c r="V28" i="85"/>
  <c r="V36" i="85" s="1"/>
  <c r="V37" i="85" s="1"/>
  <c r="U49" i="85"/>
  <c r="V127" i="67"/>
  <c r="E60" i="67"/>
  <c r="BP10" i="50"/>
  <c r="E60" i="85" s="1"/>
  <c r="D20" i="21"/>
  <c r="K20" i="21" s="1"/>
  <c r="AM56" i="85" s="1"/>
  <c r="I63" i="49"/>
  <c r="D21" i="21"/>
  <c r="I77" i="49"/>
  <c r="D77" i="49"/>
  <c r="J66" i="49"/>
  <c r="AM37" i="85" s="1"/>
  <c r="AM42" i="85" s="1"/>
  <c r="F89" i="67"/>
  <c r="F107" i="67" s="1"/>
  <c r="BX111" i="50"/>
  <c r="F89" i="85" s="1"/>
  <c r="F107" i="85" s="1"/>
  <c r="AY55" i="53"/>
  <c r="DA58" i="53"/>
  <c r="I89" i="1"/>
  <c r="Y89" i="1" s="1"/>
  <c r="CB88" i="53"/>
  <c r="AW55" i="53"/>
  <c r="CY58" i="53"/>
  <c r="BE55" i="53"/>
  <c r="DG58" i="53"/>
  <c r="T7" i="67"/>
  <c r="T124" i="67" s="1"/>
  <c r="T132" i="67" s="1"/>
  <c r="BJ55" i="53"/>
  <c r="T7" i="85" s="1"/>
  <c r="BB55" i="53"/>
  <c r="DD58" i="53"/>
  <c r="N91" i="53"/>
  <c r="BT91" i="53" s="1"/>
  <c r="BT88" i="53"/>
  <c r="AT42" i="84" s="1"/>
  <c r="AN42" i="84" s="1"/>
  <c r="BH55" i="53"/>
  <c r="DJ58" i="53"/>
  <c r="AD88" i="73"/>
  <c r="CA88" i="53"/>
  <c r="BA55" i="53"/>
  <c r="DC58" i="53"/>
  <c r="Y7" i="67"/>
  <c r="Y15" i="67" s="1"/>
  <c r="BO55" i="53"/>
  <c r="AC88" i="73"/>
  <c r="BZ88" i="53"/>
  <c r="W10" i="67"/>
  <c r="W127" i="67" s="1"/>
  <c r="BM58" i="53"/>
  <c r="W10" i="85" s="1"/>
  <c r="W127" i="85" s="1"/>
  <c r="BC55" i="53"/>
  <c r="DE58" i="53"/>
  <c r="V7" i="67"/>
  <c r="V15" i="67" s="1"/>
  <c r="BL55" i="53"/>
  <c r="BG88" i="53"/>
  <c r="DI55" i="53"/>
  <c r="E92" i="67"/>
  <c r="E110" i="67" s="1"/>
  <c r="BW171" i="50"/>
  <c r="E92" i="85" s="1"/>
  <c r="E110" i="85" s="1"/>
  <c r="AL88" i="50"/>
  <c r="BX88" i="50" s="1"/>
  <c r="BX91" i="50"/>
  <c r="AK85" i="50"/>
  <c r="BW85" i="50" s="1"/>
  <c r="E87" i="85" s="1"/>
  <c r="BW94" i="50"/>
  <c r="AI285" i="50"/>
  <c r="BU285" i="50" s="1"/>
  <c r="BU283" i="50"/>
  <c r="D87" i="67"/>
  <c r="BV85" i="50"/>
  <c r="D87" i="85" s="1"/>
  <c r="Z55" i="53"/>
  <c r="Y55" i="53"/>
  <c r="CD55" i="53" s="1"/>
  <c r="U10" i="67"/>
  <c r="AA10" i="67" s="1"/>
  <c r="J58" i="53"/>
  <c r="I58" i="53"/>
  <c r="BP58" i="53" s="1"/>
  <c r="R55" i="53"/>
  <c r="Q55" i="53"/>
  <c r="BW55" i="53" s="1"/>
  <c r="Z31" i="67"/>
  <c r="AA31" i="67"/>
  <c r="AA127" i="67"/>
  <c r="U95" i="53"/>
  <c r="E17" i="20"/>
  <c r="S88" i="73"/>
  <c r="U91" i="53"/>
  <c r="F17" i="20"/>
  <c r="AB88" i="73"/>
  <c r="G89" i="1"/>
  <c r="W89" i="1" s="1"/>
  <c r="E24" i="17"/>
  <c r="N95" i="53"/>
  <c r="T88" i="73"/>
  <c r="F14" i="20"/>
  <c r="H87" i="1"/>
  <c r="X87" i="1" s="1"/>
  <c r="F16" i="17"/>
  <c r="AE88" i="73"/>
  <c r="W95" i="53"/>
  <c r="V95" i="53"/>
  <c r="AF88" i="73"/>
  <c r="G17" i="20"/>
  <c r="F24" i="17"/>
  <c r="G24" i="17"/>
  <c r="W91" i="53"/>
  <c r="V91" i="53"/>
  <c r="AG88" i="73"/>
  <c r="H89" i="1"/>
  <c r="X89" i="1" s="1"/>
  <c r="E15" i="20"/>
  <c r="L15" i="20" s="1"/>
  <c r="V28" i="67"/>
  <c r="V36" i="67" s="1"/>
  <c r="V37" i="67" s="1"/>
  <c r="O88" i="53"/>
  <c r="AU42" i="79" s="1"/>
  <c r="AO42" i="79" s="1"/>
  <c r="X28" i="67"/>
  <c r="D18" i="20"/>
  <c r="K18" i="20" s="1"/>
  <c r="U49" i="67"/>
  <c r="X88" i="53"/>
  <c r="AV50" i="79" s="1"/>
  <c r="AP50" i="79" s="1"/>
  <c r="Y49" i="67"/>
  <c r="L88" i="53"/>
  <c r="U28" i="67"/>
  <c r="AA28" i="67" s="1"/>
  <c r="Y37" i="67"/>
  <c r="AJ285" i="50"/>
  <c r="BV285" i="50" s="1"/>
  <c r="AM37" i="67"/>
  <c r="AM42" i="67" s="1"/>
  <c r="E66" i="49"/>
  <c r="F67" i="49"/>
  <c r="L67" i="49" s="1"/>
  <c r="E84" i="67"/>
  <c r="AD280" i="50"/>
  <c r="BP280" i="50" s="1"/>
  <c r="F53" i="49"/>
  <c r="L53" i="49" s="1"/>
  <c r="AC283" i="50"/>
  <c r="D63" i="67"/>
  <c r="D63" i="49"/>
  <c r="AM29" i="67"/>
  <c r="AM34" i="67" s="1"/>
  <c r="D15" i="20"/>
  <c r="K15" i="20" s="1"/>
  <c r="G15" i="20"/>
  <c r="N15" i="20" s="1"/>
  <c r="G27" i="47"/>
  <c r="D27" i="47"/>
  <c r="J55" i="73"/>
  <c r="BK55" i="73" s="1"/>
  <c r="B27" i="47"/>
  <c r="F27" i="47"/>
  <c r="T88" i="53"/>
  <c r="M88" i="53"/>
  <c r="AS42" i="79" s="1"/>
  <c r="AM42" i="79" s="1"/>
  <c r="E58" i="73"/>
  <c r="D58" i="73"/>
  <c r="BH58" i="73" s="1"/>
  <c r="G95" i="53"/>
  <c r="BN95" i="53" s="1"/>
  <c r="K55" i="73"/>
  <c r="O55" i="73"/>
  <c r="BN55" i="73" s="1"/>
  <c r="P55" i="73"/>
  <c r="H12" i="20"/>
  <c r="O12" i="20" s="1"/>
  <c r="M55" i="73"/>
  <c r="L55" i="73"/>
  <c r="BL55" i="73" s="1"/>
  <c r="H18" i="20"/>
  <c r="O18" i="20" s="1"/>
  <c r="AI55" i="73"/>
  <c r="AH55" i="73"/>
  <c r="BX55" i="73" s="1"/>
  <c r="I58" i="73"/>
  <c r="H58" i="73"/>
  <c r="BJ58" i="73" s="1"/>
  <c r="W88" i="73"/>
  <c r="X88" i="73"/>
  <c r="E12" i="20"/>
  <c r="L12" i="20" s="1"/>
  <c r="G55" i="73"/>
  <c r="F55" i="73"/>
  <c r="BI55" i="73" s="1"/>
  <c r="Q55" i="73"/>
  <c r="BO55" i="73" s="1"/>
  <c r="R55" i="73"/>
  <c r="U55" i="73"/>
  <c r="BQ55" i="73" s="1"/>
  <c r="V55" i="73"/>
  <c r="AA55" i="73"/>
  <c r="Z55" i="73"/>
  <c r="BT55" i="73" s="1"/>
  <c r="G91" i="53"/>
  <c r="I85" i="1"/>
  <c r="Y85" i="1" s="1"/>
  <c r="G10" i="17"/>
  <c r="G11" i="20"/>
  <c r="AL10" i="50"/>
  <c r="BX10" i="50" s="1"/>
  <c r="F84" i="85" s="1"/>
  <c r="E88" i="53"/>
  <c r="AE88" i="50"/>
  <c r="BQ88" i="50" s="1"/>
  <c r="AE10" i="50"/>
  <c r="AD85" i="50"/>
  <c r="BP85" i="50" s="1"/>
  <c r="E63" i="85" s="1"/>
  <c r="C55" i="73"/>
  <c r="BG55" i="73" s="1"/>
  <c r="E52" i="49"/>
  <c r="K52" i="49" s="1"/>
  <c r="AN29" i="85" s="1"/>
  <c r="AN34" i="85" s="1"/>
  <c r="H88" i="53"/>
  <c r="AK280" i="50"/>
  <c r="BW280" i="50" s="1"/>
  <c r="AF94" i="50"/>
  <c r="BR94" i="50" s="1"/>
  <c r="AF13" i="50"/>
  <c r="BR13" i="50" s="1"/>
  <c r="C88" i="53"/>
  <c r="AE94" i="50"/>
  <c r="BQ94" i="50" s="1"/>
  <c r="AF88" i="50"/>
  <c r="BR88" i="50" s="1"/>
  <c r="J87" i="1"/>
  <c r="Z87" i="1" s="1"/>
  <c r="P95" i="53"/>
  <c r="BV95" i="53" s="1"/>
  <c r="H14" i="20"/>
  <c r="H16" i="17"/>
  <c r="P91" i="53"/>
  <c r="BV91" i="53" s="1"/>
  <c r="D55" i="53"/>
  <c r="BD58" i="53"/>
  <c r="AX58" i="53"/>
  <c r="F55" i="53"/>
  <c r="BF58" i="53"/>
  <c r="AZ58" i="53"/>
  <c r="AL171" i="50"/>
  <c r="AF19" i="50"/>
  <c r="BR19" i="50" s="1"/>
  <c r="AF87" i="50"/>
  <c r="BR87" i="50" s="1"/>
  <c r="AM19" i="50"/>
  <c r="BY19" i="50" s="1"/>
  <c r="AM95" i="50"/>
  <c r="G54" i="49"/>
  <c r="M54" i="49" s="1"/>
  <c r="AF107" i="50"/>
  <c r="BR107" i="50" s="1"/>
  <c r="AM88" i="50"/>
  <c r="BY88" i="50" s="1"/>
  <c r="AM13" i="50"/>
  <c r="BY13" i="50" s="1"/>
  <c r="AM86" i="50"/>
  <c r="BY86" i="50" s="1"/>
  <c r="AM171" i="50"/>
  <c r="G68" i="49"/>
  <c r="M68" i="49" s="1"/>
  <c r="AM107" i="50"/>
  <c r="BY107" i="50" s="1"/>
  <c r="AM111" i="50"/>
  <c r="AL94" i="50"/>
  <c r="BN91" i="53" l="1"/>
  <c r="AM57" i="67"/>
  <c r="X28" i="85"/>
  <c r="X36" i="85" s="1"/>
  <c r="X37" i="85" s="1"/>
  <c r="Y49" i="85"/>
  <c r="BO88" i="53"/>
  <c r="AV34" i="79"/>
  <c r="AP34" i="79" s="1"/>
  <c r="BM55" i="53"/>
  <c r="AT35" i="84" s="1"/>
  <c r="AN35" i="84" s="1"/>
  <c r="AT35" i="79"/>
  <c r="AN35" i="79" s="1"/>
  <c r="T15" i="67"/>
  <c r="X16" i="67" s="1"/>
  <c r="BR88" i="53"/>
  <c r="AR42" i="84" s="1"/>
  <c r="AL42" i="84" s="1"/>
  <c r="AR42" i="79"/>
  <c r="AL42" i="79" s="1"/>
  <c r="BK55" i="53"/>
  <c r="AR35" i="84" s="1"/>
  <c r="AL35" i="84" s="1"/>
  <c r="AR35" i="79"/>
  <c r="AL35" i="79" s="1"/>
  <c r="BL88" i="53"/>
  <c r="AT34" i="84" s="1"/>
  <c r="AN34" i="84" s="1"/>
  <c r="AS34" i="79"/>
  <c r="AM34" i="79" s="1"/>
  <c r="BY88" i="53"/>
  <c r="AA28" i="85"/>
  <c r="Z28" i="85"/>
  <c r="U36" i="85"/>
  <c r="AA36" i="85" s="1"/>
  <c r="Y37" i="85"/>
  <c r="Z49" i="85"/>
  <c r="U57" i="85"/>
  <c r="T124" i="85"/>
  <c r="T15" i="85"/>
  <c r="X124" i="85"/>
  <c r="X132" i="85" s="1"/>
  <c r="X15" i="85"/>
  <c r="T91" i="73"/>
  <c r="N93" i="53"/>
  <c r="BT93" i="53" s="1"/>
  <c r="W39" i="85" s="1"/>
  <c r="AA49" i="85"/>
  <c r="Y57" i="85"/>
  <c r="AS35" i="84"/>
  <c r="AM35" i="84" s="1"/>
  <c r="V7" i="85"/>
  <c r="AV35" i="84"/>
  <c r="AP35" i="84" s="1"/>
  <c r="Y7" i="85"/>
  <c r="E16" i="20"/>
  <c r="L16" i="20" s="1"/>
  <c r="L17" i="20"/>
  <c r="E21" i="21"/>
  <c r="J77" i="49"/>
  <c r="G10" i="20"/>
  <c r="N10" i="20" s="1"/>
  <c r="N11" i="20"/>
  <c r="AW12" i="67"/>
  <c r="O16" i="17"/>
  <c r="AW12" i="85" s="1"/>
  <c r="G89" i="67"/>
  <c r="G107" i="67" s="1"/>
  <c r="BY111" i="50"/>
  <c r="G89" i="85" s="1"/>
  <c r="G107" i="85" s="1"/>
  <c r="AV6" i="67"/>
  <c r="N10" i="17"/>
  <c r="AV6" i="85" s="1"/>
  <c r="AU12" i="67"/>
  <c r="M16" i="17"/>
  <c r="AU12" i="85" s="1"/>
  <c r="F16" i="20"/>
  <c r="M16" i="20" s="1"/>
  <c r="M17" i="20"/>
  <c r="D40" i="17"/>
  <c r="K21" i="21"/>
  <c r="AM57" i="85" s="1"/>
  <c r="F22" i="47"/>
  <c r="M22" i="47" s="1"/>
  <c r="AH7" i="85" s="1"/>
  <c r="AH9" i="85" s="1"/>
  <c r="M27" i="47"/>
  <c r="AM56" i="67"/>
  <c r="J63" i="49"/>
  <c r="AV18" i="67"/>
  <c r="N24" i="17"/>
  <c r="AV18" i="85" s="1"/>
  <c r="G22" i="47"/>
  <c r="N22" i="47" s="1"/>
  <c r="AI7" i="85" s="1"/>
  <c r="AI9" i="85" s="1"/>
  <c r="N27" i="47"/>
  <c r="AT18" i="67"/>
  <c r="L24" i="17"/>
  <c r="AT18" i="85" s="1"/>
  <c r="H13" i="20"/>
  <c r="O13" i="20" s="1"/>
  <c r="O14" i="20"/>
  <c r="B22" i="47"/>
  <c r="I27" i="47"/>
  <c r="AU18" i="67"/>
  <c r="M24" i="17"/>
  <c r="AU18" i="85" s="1"/>
  <c r="F13" i="20"/>
  <c r="M13" i="20" s="1"/>
  <c r="M14" i="20"/>
  <c r="F60" i="67"/>
  <c r="BQ10" i="50"/>
  <c r="F60" i="85" s="1"/>
  <c r="AN37" i="67"/>
  <c r="AN42" i="67" s="1"/>
  <c r="K66" i="49"/>
  <c r="AN37" i="85" s="1"/>
  <c r="AN42" i="85" s="1"/>
  <c r="G16" i="20"/>
  <c r="N16" i="20" s="1"/>
  <c r="N17" i="20"/>
  <c r="S91" i="73"/>
  <c r="BP91" i="73" s="1"/>
  <c r="D22" i="47"/>
  <c r="K22" i="47" s="1"/>
  <c r="AF7" i="85" s="1"/>
  <c r="AF9" i="85" s="1"/>
  <c r="K27" i="47"/>
  <c r="AC106" i="73"/>
  <c r="BU88" i="73"/>
  <c r="AG106" i="73"/>
  <c r="BW88" i="73"/>
  <c r="X106" i="73"/>
  <c r="BR88" i="73"/>
  <c r="T106" i="73"/>
  <c r="BP88" i="73"/>
  <c r="AE106" i="73"/>
  <c r="BV88" i="73"/>
  <c r="J88" i="73"/>
  <c r="BJ88" i="53"/>
  <c r="AI88" i="73"/>
  <c r="CC88" i="53"/>
  <c r="AV50" i="84" s="1"/>
  <c r="AP50" i="84" s="1"/>
  <c r="S95" i="73"/>
  <c r="BP95" i="73" s="1"/>
  <c r="BT95" i="53"/>
  <c r="BH88" i="53"/>
  <c r="DJ55" i="53"/>
  <c r="AE95" i="73"/>
  <c r="CA95" i="53"/>
  <c r="AW88" i="53"/>
  <c r="CY55" i="53"/>
  <c r="Q88" i="73"/>
  <c r="BS88" i="53"/>
  <c r="AS42" i="84" s="1"/>
  <c r="AM42" i="84" s="1"/>
  <c r="V93" i="53"/>
  <c r="AD93" i="73" s="1"/>
  <c r="BV93" i="73" s="1"/>
  <c r="CA91" i="53"/>
  <c r="AZ55" i="53"/>
  <c r="DB58" i="53"/>
  <c r="U88" i="73"/>
  <c r="BU88" i="53"/>
  <c r="AU42" i="84" s="1"/>
  <c r="AO42" i="84" s="1"/>
  <c r="AF91" i="73"/>
  <c r="BW91" i="73" s="1"/>
  <c r="CB91" i="53"/>
  <c r="BF55" i="53"/>
  <c r="DH58" i="53"/>
  <c r="U93" i="53"/>
  <c r="BZ91" i="53"/>
  <c r="DI88" i="53"/>
  <c r="BG95" i="53"/>
  <c r="DI95" i="53" s="1"/>
  <c r="BG91" i="53"/>
  <c r="BE88" i="53"/>
  <c r="DG55" i="53"/>
  <c r="AX55" i="53"/>
  <c r="CZ58" i="53"/>
  <c r="BD55" i="53"/>
  <c r="DF58" i="53"/>
  <c r="AF95" i="73"/>
  <c r="BW95" i="73" s="1"/>
  <c r="CB95" i="53"/>
  <c r="AB95" i="73"/>
  <c r="BU95" i="73" s="1"/>
  <c r="BZ95" i="53"/>
  <c r="BC88" i="53"/>
  <c r="DE55" i="53"/>
  <c r="BA88" i="53"/>
  <c r="DC55" i="53"/>
  <c r="BB88" i="53"/>
  <c r="DD55" i="53"/>
  <c r="AY88" i="53"/>
  <c r="DA55" i="53"/>
  <c r="G92" i="67"/>
  <c r="G110" i="67" s="1"/>
  <c r="BY171" i="50"/>
  <c r="G92" i="85" s="1"/>
  <c r="G110" i="85" s="1"/>
  <c r="AC285" i="50"/>
  <c r="BO285" i="50" s="1"/>
  <c r="BO283" i="50"/>
  <c r="F92" i="67"/>
  <c r="F110" i="67" s="1"/>
  <c r="BX171" i="50"/>
  <c r="F92" i="85" s="1"/>
  <c r="F110" i="85" s="1"/>
  <c r="E87" i="67"/>
  <c r="AM94" i="50"/>
  <c r="BY94" i="50" s="1"/>
  <c r="BY95" i="50"/>
  <c r="AL85" i="50"/>
  <c r="BX94" i="50"/>
  <c r="AK283" i="50"/>
  <c r="BW283" i="50" s="1"/>
  <c r="I55" i="53"/>
  <c r="BP55" i="53" s="1"/>
  <c r="J55" i="53"/>
  <c r="Z88" i="53"/>
  <c r="Y88" i="53"/>
  <c r="CD88" i="53" s="1"/>
  <c r="L91" i="53"/>
  <c r="R88" i="53"/>
  <c r="Q88" i="53"/>
  <c r="BW88" i="53" s="1"/>
  <c r="Y124" i="67"/>
  <c r="AA124" i="67" s="1"/>
  <c r="AA49" i="67"/>
  <c r="Z10" i="67"/>
  <c r="U127" i="67"/>
  <c r="Z127" i="67" s="1"/>
  <c r="E77" i="49"/>
  <c r="AC95" i="73"/>
  <c r="AB91" i="73"/>
  <c r="BU91" i="73" s="1"/>
  <c r="AC91" i="73"/>
  <c r="T95" i="73"/>
  <c r="O95" i="53"/>
  <c r="X91" i="53"/>
  <c r="CC91" i="53" s="1"/>
  <c r="H24" i="17"/>
  <c r="H17" i="20"/>
  <c r="G16" i="17"/>
  <c r="P88" i="73"/>
  <c r="L95" i="53"/>
  <c r="BR95" i="53" s="1"/>
  <c r="F87" i="1"/>
  <c r="V87" i="1" s="1"/>
  <c r="O88" i="73"/>
  <c r="AG91" i="73"/>
  <c r="AG95" i="73"/>
  <c r="D14" i="20"/>
  <c r="D16" i="17"/>
  <c r="E20" i="21"/>
  <c r="W93" i="53"/>
  <c r="AD95" i="73"/>
  <c r="BV95" i="73" s="1"/>
  <c r="AD91" i="73"/>
  <c r="BV91" i="73" s="1"/>
  <c r="X95" i="53"/>
  <c r="AH88" i="73"/>
  <c r="AE91" i="73"/>
  <c r="V88" i="73"/>
  <c r="I87" i="1"/>
  <c r="Y87" i="1" s="1"/>
  <c r="J89" i="1"/>
  <c r="Z89" i="1" s="1"/>
  <c r="G14" i="20"/>
  <c r="O91" i="53"/>
  <c r="E27" i="47"/>
  <c r="W7" i="67"/>
  <c r="C27" i="47"/>
  <c r="U7" i="67"/>
  <c r="AA7" i="67" s="1"/>
  <c r="U36" i="67"/>
  <c r="AA36" i="67" s="1"/>
  <c r="Z28" i="67"/>
  <c r="U57" i="67"/>
  <c r="Z49" i="67"/>
  <c r="D34" i="17"/>
  <c r="Y57" i="67"/>
  <c r="X36" i="67"/>
  <c r="X37" i="67" s="1"/>
  <c r="X124" i="67"/>
  <c r="X132" i="67" s="1"/>
  <c r="X133" i="67" s="1"/>
  <c r="V124" i="67"/>
  <c r="V132" i="67" s="1"/>
  <c r="V133" i="67" s="1"/>
  <c r="F66" i="49"/>
  <c r="G67" i="49"/>
  <c r="M67" i="49" s="1"/>
  <c r="F84" i="67"/>
  <c r="F52" i="49"/>
  <c r="G53" i="49"/>
  <c r="M53" i="49" s="1"/>
  <c r="AD283" i="50"/>
  <c r="E63" i="67"/>
  <c r="E63" i="49"/>
  <c r="AN29" i="67"/>
  <c r="AN34" i="67" s="1"/>
  <c r="AA88" i="73"/>
  <c r="F89" i="1"/>
  <c r="V89" i="1" s="1"/>
  <c r="AE280" i="50"/>
  <c r="BQ280" i="50" s="1"/>
  <c r="D24" i="17"/>
  <c r="D17" i="20"/>
  <c r="T91" i="53"/>
  <c r="BY91" i="53" s="1"/>
  <c r="Z88" i="73"/>
  <c r="T95" i="53"/>
  <c r="BY95" i="53" s="1"/>
  <c r="M95" i="53"/>
  <c r="E16" i="17"/>
  <c r="E14" i="20"/>
  <c r="G87" i="1"/>
  <c r="W87" i="1" s="1"/>
  <c r="R88" i="73"/>
  <c r="M91" i="53"/>
  <c r="AL280" i="50"/>
  <c r="BX280" i="50" s="1"/>
  <c r="E55" i="73"/>
  <c r="D55" i="73"/>
  <c r="BH55" i="73" s="1"/>
  <c r="K88" i="73"/>
  <c r="P93" i="53"/>
  <c r="BV93" i="53" s="1"/>
  <c r="Y39" i="85" s="1"/>
  <c r="X91" i="73"/>
  <c r="W91" i="73"/>
  <c r="BR91" i="73" s="1"/>
  <c r="W95" i="73"/>
  <c r="BR95" i="73" s="1"/>
  <c r="X95" i="73"/>
  <c r="I55" i="73"/>
  <c r="H55" i="73"/>
  <c r="BJ55" i="73" s="1"/>
  <c r="H10" i="17"/>
  <c r="M88" i="73"/>
  <c r="L88" i="73"/>
  <c r="E10" i="17"/>
  <c r="G88" i="73"/>
  <c r="F88" i="73"/>
  <c r="E95" i="53"/>
  <c r="BL95" i="53" s="1"/>
  <c r="G85" i="1"/>
  <c r="W85" i="1" s="1"/>
  <c r="E11" i="20"/>
  <c r="E91" i="53"/>
  <c r="BL91" i="53" s="1"/>
  <c r="AE85" i="50"/>
  <c r="BQ85" i="50" s="1"/>
  <c r="F63" i="85" s="1"/>
  <c r="J85" i="1"/>
  <c r="Z85" i="1" s="1"/>
  <c r="H91" i="53"/>
  <c r="BO91" i="53" s="1"/>
  <c r="H95" i="53"/>
  <c r="BO95" i="53" s="1"/>
  <c r="F12" i="20"/>
  <c r="M12" i="20" s="1"/>
  <c r="H11" i="20"/>
  <c r="C88" i="73"/>
  <c r="BG88" i="73" s="1"/>
  <c r="D88" i="53"/>
  <c r="D12" i="20"/>
  <c r="K12" i="20" s="1"/>
  <c r="F88" i="53"/>
  <c r="AF10" i="50"/>
  <c r="BR10" i="50" s="1"/>
  <c r="G60" i="85" s="1"/>
  <c r="C95" i="53"/>
  <c r="C91" i="53"/>
  <c r="BJ91" i="53" s="1"/>
  <c r="E85" i="1"/>
  <c r="AF85" i="50"/>
  <c r="BR85" i="50" s="1"/>
  <c r="G63" i="85" s="1"/>
  <c r="AM10" i="50"/>
  <c r="BY10" i="50" s="1"/>
  <c r="G84" i="85" s="1"/>
  <c r="W7" i="85" l="1"/>
  <c r="W124" i="85" s="1"/>
  <c r="W132" i="85" s="1"/>
  <c r="AL283" i="50"/>
  <c r="BX283" i="50" s="1"/>
  <c r="F27" i="20"/>
  <c r="W39" i="67"/>
  <c r="H26" i="20"/>
  <c r="F26" i="20"/>
  <c r="E34" i="49" s="1"/>
  <c r="K34" i="49" s="1"/>
  <c r="AN17" i="85" s="1"/>
  <c r="AN18" i="85" s="1"/>
  <c r="U7" i="85"/>
  <c r="G25" i="20"/>
  <c r="N25" i="20" s="1"/>
  <c r="X16" i="85"/>
  <c r="AH7" i="67"/>
  <c r="AH9" i="67" s="1"/>
  <c r="S93" i="73"/>
  <c r="BP93" i="73" s="1"/>
  <c r="Y16" i="67"/>
  <c r="AI7" i="67"/>
  <c r="AI9" i="67" s="1"/>
  <c r="V16" i="67"/>
  <c r="E27" i="20"/>
  <c r="L27" i="20" s="1"/>
  <c r="T93" i="73"/>
  <c r="G21" i="47"/>
  <c r="N21" i="47" s="1"/>
  <c r="BM88" i="53"/>
  <c r="AT34" i="79"/>
  <c r="AN34" i="79" s="1"/>
  <c r="BK88" i="53"/>
  <c r="AR34" i="84" s="1"/>
  <c r="AL34" i="84" s="1"/>
  <c r="AR34" i="79"/>
  <c r="AL34" i="79" s="1"/>
  <c r="Z57" i="85"/>
  <c r="U58" i="85"/>
  <c r="V124" i="85"/>
  <c r="V132" i="85" s="1"/>
  <c r="V15" i="85"/>
  <c r="V16" i="85" s="1"/>
  <c r="U124" i="85"/>
  <c r="U132" i="85" s="1"/>
  <c r="Z7" i="85"/>
  <c r="U15" i="85"/>
  <c r="Y124" i="85"/>
  <c r="AA7" i="85"/>
  <c r="Y15" i="85"/>
  <c r="Y16" i="85" s="1"/>
  <c r="Y58" i="85"/>
  <c r="AA57" i="85"/>
  <c r="T132" i="85"/>
  <c r="U37" i="85"/>
  <c r="Z36" i="85"/>
  <c r="F21" i="47"/>
  <c r="M21" i="47" s="1"/>
  <c r="AF7" i="67"/>
  <c r="AF9" i="67" s="1"/>
  <c r="D21" i="47"/>
  <c r="K21" i="47" s="1"/>
  <c r="AE93" i="73"/>
  <c r="E13" i="20"/>
  <c r="L13" i="20" s="1"/>
  <c r="L14" i="20"/>
  <c r="D16" i="20"/>
  <c r="K16" i="20" s="1"/>
  <c r="K17" i="20"/>
  <c r="E34" i="17"/>
  <c r="E36" i="17" s="1"/>
  <c r="L20" i="21"/>
  <c r="AN56" i="85" s="1"/>
  <c r="AT6" i="67"/>
  <c r="L10" i="17"/>
  <c r="AT6" i="85" s="1"/>
  <c r="AT12" i="67"/>
  <c r="L16" i="17"/>
  <c r="AT12" i="85" s="1"/>
  <c r="AS18" i="67"/>
  <c r="K24" i="17"/>
  <c r="AS18" i="85" s="1"/>
  <c r="AS12" i="67"/>
  <c r="K16" i="17"/>
  <c r="AS12" i="85" s="1"/>
  <c r="AV12" i="67"/>
  <c r="N16" i="17"/>
  <c r="AV12" i="85" s="1"/>
  <c r="F21" i="21"/>
  <c r="AO57" i="67" s="1"/>
  <c r="K77" i="49"/>
  <c r="F20" i="21"/>
  <c r="F34" i="17" s="1"/>
  <c r="K63" i="49"/>
  <c r="G13" i="20"/>
  <c r="N13" i="20" s="1"/>
  <c r="N14" i="20"/>
  <c r="AD7" i="67"/>
  <c r="I22" i="47"/>
  <c r="AD7" i="85" s="1"/>
  <c r="F63" i="49"/>
  <c r="L52" i="49"/>
  <c r="AO29" i="85" s="1"/>
  <c r="AO34" i="85" s="1"/>
  <c r="C22" i="47"/>
  <c r="J22" i="47" s="1"/>
  <c r="AE7" i="85" s="1"/>
  <c r="AE9" i="85" s="1"/>
  <c r="J27" i="47"/>
  <c r="D13" i="20"/>
  <c r="K13" i="20" s="1"/>
  <c r="K14" i="20"/>
  <c r="H16" i="20"/>
  <c r="O16" i="20" s="1"/>
  <c r="O17" i="20"/>
  <c r="F77" i="49"/>
  <c r="L66" i="49"/>
  <c r="AO37" i="85" s="1"/>
  <c r="AO42" i="85" s="1"/>
  <c r="B21" i="47"/>
  <c r="AW18" i="67"/>
  <c r="O24" i="17"/>
  <c r="AW18" i="85" s="1"/>
  <c r="L21" i="21"/>
  <c r="AN57" i="85" s="1"/>
  <c r="E40" i="17"/>
  <c r="AN57" i="67"/>
  <c r="E10" i="20"/>
  <c r="L11" i="20"/>
  <c r="AW6" i="67"/>
  <c r="O10" i="17"/>
  <c r="AW6" i="85" s="1"/>
  <c r="B39" i="47"/>
  <c r="I39" i="47" s="1"/>
  <c r="E22" i="47"/>
  <c r="L22" i="47" s="1"/>
  <c r="AG7" i="85" s="1"/>
  <c r="AG9" i="85" s="1"/>
  <c r="L27" i="47"/>
  <c r="G27" i="20"/>
  <c r="H10" i="20"/>
  <c r="O10" i="20" s="1"/>
  <c r="O11" i="20"/>
  <c r="D36" i="17"/>
  <c r="F132" i="1" s="1"/>
  <c r="K34" i="17"/>
  <c r="AS23" i="85" s="1"/>
  <c r="AS26" i="85" s="1"/>
  <c r="K40" i="17"/>
  <c r="AS29" i="85" s="1"/>
  <c r="AS32" i="85" s="1"/>
  <c r="D42" i="17"/>
  <c r="AS29" i="67"/>
  <c r="AS32" i="67" s="1"/>
  <c r="AI106" i="73"/>
  <c r="BX88" i="73"/>
  <c r="AA106" i="73"/>
  <c r="BT88" i="73"/>
  <c r="G106" i="73"/>
  <c r="BI88" i="73"/>
  <c r="M106" i="73"/>
  <c r="BL88" i="73"/>
  <c r="V106" i="73"/>
  <c r="BQ88" i="73"/>
  <c r="P106" i="73"/>
  <c r="BN88" i="73"/>
  <c r="K106" i="73"/>
  <c r="BK88" i="73"/>
  <c r="R106" i="73"/>
  <c r="BO88" i="73"/>
  <c r="L93" i="53"/>
  <c r="BR93" i="53" s="1"/>
  <c r="U39" i="85" s="1"/>
  <c r="Z39" i="85" s="1"/>
  <c r="BR91" i="53"/>
  <c r="DI91" i="53"/>
  <c r="DD88" i="53"/>
  <c r="BB91" i="53"/>
  <c r="BB95" i="53"/>
  <c r="DD95" i="53" s="1"/>
  <c r="Q95" i="73"/>
  <c r="BO95" i="73" s="1"/>
  <c r="BS95" i="53"/>
  <c r="BD88" i="53"/>
  <c r="DF55" i="53"/>
  <c r="V60" i="67"/>
  <c r="BZ93" i="53"/>
  <c r="V60" i="85" s="1"/>
  <c r="AZ88" i="53"/>
  <c r="DB55" i="53"/>
  <c r="K95" i="73"/>
  <c r="BJ95" i="53"/>
  <c r="AB93" i="73"/>
  <c r="BU93" i="73" s="1"/>
  <c r="Q91" i="73"/>
  <c r="BO91" i="73" s="1"/>
  <c r="BS91" i="53"/>
  <c r="U91" i="73"/>
  <c r="BQ91" i="73" s="1"/>
  <c r="BU91" i="53"/>
  <c r="U95" i="73"/>
  <c r="BQ95" i="73" s="1"/>
  <c r="BU95" i="53"/>
  <c r="DE88" i="53"/>
  <c r="BC95" i="53"/>
  <c r="DE95" i="53" s="1"/>
  <c r="BC91" i="53"/>
  <c r="AX88" i="53"/>
  <c r="CZ55" i="53"/>
  <c r="X60" i="67"/>
  <c r="CB93" i="53"/>
  <c r="X60" i="85" s="1"/>
  <c r="DA88" i="53"/>
  <c r="AY91" i="53"/>
  <c r="AY95" i="53"/>
  <c r="DA95" i="53" s="1"/>
  <c r="DG88" i="53"/>
  <c r="BE95" i="53"/>
  <c r="DG95" i="53" s="1"/>
  <c r="BE91" i="53"/>
  <c r="DJ88" i="53"/>
  <c r="BH95" i="53"/>
  <c r="DJ95" i="53" s="1"/>
  <c r="BH91" i="53"/>
  <c r="CY88" i="53"/>
  <c r="AW91" i="53"/>
  <c r="AW95" i="53"/>
  <c r="CY95" i="53" s="1"/>
  <c r="DC88" i="53"/>
  <c r="BA95" i="53"/>
  <c r="DC95" i="53" s="1"/>
  <c r="BA91" i="53"/>
  <c r="AH95" i="73"/>
  <c r="BX95" i="73" s="1"/>
  <c r="CC95" i="53"/>
  <c r="AC93" i="73"/>
  <c r="BF88" i="53"/>
  <c r="DH55" i="53"/>
  <c r="W60" i="67"/>
  <c r="CA93" i="53"/>
  <c r="W60" i="85" s="1"/>
  <c r="AM85" i="50"/>
  <c r="BY85" i="50" s="1"/>
  <c r="G87" i="85" s="1"/>
  <c r="AD285" i="50"/>
  <c r="BP285" i="50" s="1"/>
  <c r="BP283" i="50"/>
  <c r="F87" i="67"/>
  <c r="BX85" i="50"/>
  <c r="F87" i="85" s="1"/>
  <c r="AK285" i="50"/>
  <c r="BW285" i="50" s="1"/>
  <c r="E28" i="2"/>
  <c r="U85" i="1"/>
  <c r="O91" i="73"/>
  <c r="BN91" i="73" s="1"/>
  <c r="AA57" i="67"/>
  <c r="P91" i="73"/>
  <c r="O95" i="73"/>
  <c r="BN95" i="73" s="1"/>
  <c r="R95" i="53"/>
  <c r="Q95" i="53"/>
  <c r="BW95" i="53" s="1"/>
  <c r="R91" i="53"/>
  <c r="Q91" i="53"/>
  <c r="BW91" i="53" s="1"/>
  <c r="Z95" i="73"/>
  <c r="BT95" i="73" s="1"/>
  <c r="Z95" i="53"/>
  <c r="Y95" i="53"/>
  <c r="CD95" i="53" s="1"/>
  <c r="I88" i="53"/>
  <c r="BP88" i="53" s="1"/>
  <c r="J88" i="53"/>
  <c r="Y132" i="67"/>
  <c r="AA132" i="67" s="1"/>
  <c r="T93" i="53"/>
  <c r="Z91" i="53"/>
  <c r="Y91" i="53"/>
  <c r="CD91" i="53" s="1"/>
  <c r="AO29" i="67"/>
  <c r="AO34" i="67" s="1"/>
  <c r="AI91" i="73"/>
  <c r="X93" i="53"/>
  <c r="V95" i="73"/>
  <c r="G52" i="49"/>
  <c r="G60" i="67"/>
  <c r="AH91" i="73"/>
  <c r="BX91" i="73" s="1"/>
  <c r="AI95" i="73"/>
  <c r="O93" i="53"/>
  <c r="P95" i="73"/>
  <c r="AN56" i="67"/>
  <c r="AG93" i="73"/>
  <c r="AF93" i="73"/>
  <c r="BW93" i="73" s="1"/>
  <c r="V91" i="73"/>
  <c r="AS23" i="67"/>
  <c r="AS26" i="67" s="1"/>
  <c r="W124" i="67"/>
  <c r="W132" i="67" s="1"/>
  <c r="W133" i="67" s="1"/>
  <c r="W15" i="67"/>
  <c r="W16" i="67" s="1"/>
  <c r="Y58" i="67"/>
  <c r="U58" i="67"/>
  <c r="Z57" i="67"/>
  <c r="Z7" i="67"/>
  <c r="U15" i="67"/>
  <c r="AA15" i="67" s="1"/>
  <c r="U124" i="67"/>
  <c r="Y39" i="67"/>
  <c r="U37" i="67"/>
  <c r="Z36" i="67"/>
  <c r="AO37" i="67"/>
  <c r="AO42" i="67" s="1"/>
  <c r="AM280" i="50"/>
  <c r="BY280" i="50" s="1"/>
  <c r="G84" i="67"/>
  <c r="AE283" i="50"/>
  <c r="F63" i="67"/>
  <c r="AF283" i="50"/>
  <c r="BR283" i="50" s="1"/>
  <c r="G63" i="67"/>
  <c r="K91" i="73"/>
  <c r="C93" i="53"/>
  <c r="AA95" i="73"/>
  <c r="R91" i="73"/>
  <c r="Z91" i="73"/>
  <c r="BT91" i="73" s="1"/>
  <c r="AA91" i="73"/>
  <c r="M93" i="53"/>
  <c r="BS93" i="53" s="1"/>
  <c r="V39" i="85" s="1"/>
  <c r="R95" i="73"/>
  <c r="M91" i="73"/>
  <c r="L91" i="73"/>
  <c r="BL91" i="73" s="1"/>
  <c r="J95" i="73"/>
  <c r="BK95" i="73" s="1"/>
  <c r="J91" i="73"/>
  <c r="BK91" i="73" s="1"/>
  <c r="D95" i="53"/>
  <c r="BK95" i="53" s="1"/>
  <c r="E88" i="73"/>
  <c r="D88" i="73"/>
  <c r="G95" i="73"/>
  <c r="F95" i="73"/>
  <c r="BI95" i="73" s="1"/>
  <c r="W93" i="73"/>
  <c r="BR93" i="73" s="1"/>
  <c r="X93" i="73"/>
  <c r="G91" i="73"/>
  <c r="F91" i="73"/>
  <c r="BI91" i="73" s="1"/>
  <c r="F95" i="53"/>
  <c r="BM95" i="53" s="1"/>
  <c r="I88" i="73"/>
  <c r="H88" i="73"/>
  <c r="M95" i="73"/>
  <c r="L95" i="73"/>
  <c r="BL95" i="73" s="1"/>
  <c r="D10" i="17"/>
  <c r="F85" i="1"/>
  <c r="V85" i="1" s="1"/>
  <c r="D11" i="20"/>
  <c r="F10" i="17"/>
  <c r="D91" i="53"/>
  <c r="AF280" i="50"/>
  <c r="BR280" i="50" s="1"/>
  <c r="C95" i="73"/>
  <c r="BG95" i="73" s="1"/>
  <c r="C91" i="73"/>
  <c r="BG91" i="73" s="1"/>
  <c r="F91" i="53"/>
  <c r="BM91" i="53" s="1"/>
  <c r="F11" i="20"/>
  <c r="H85" i="1"/>
  <c r="X85" i="1" s="1"/>
  <c r="G66" i="49"/>
  <c r="M66" i="49" s="1"/>
  <c r="AP37" i="85" s="1"/>
  <c r="AP42" i="85" s="1"/>
  <c r="BK91" i="53" l="1"/>
  <c r="D92" i="53"/>
  <c r="E92" i="53" s="1"/>
  <c r="W15" i="85"/>
  <c r="W16" i="85" s="1"/>
  <c r="AL285" i="50"/>
  <c r="BX285" i="50" s="1"/>
  <c r="G34" i="49"/>
  <c r="M34" i="49" s="1"/>
  <c r="AP17" i="85" s="1"/>
  <c r="AP18" i="85" s="1"/>
  <c r="O26" i="20"/>
  <c r="E48" i="49"/>
  <c r="K48" i="49" s="1"/>
  <c r="AN25" i="85" s="1"/>
  <c r="AN26" i="85" s="1"/>
  <c r="M27" i="20"/>
  <c r="D48" i="49"/>
  <c r="J48" i="49" s="1"/>
  <c r="AM25" i="85" s="1"/>
  <c r="AM26" i="85" s="1"/>
  <c r="F20" i="49"/>
  <c r="L20" i="49" s="1"/>
  <c r="AO9" i="85" s="1"/>
  <c r="M26" i="20"/>
  <c r="AO9" i="67"/>
  <c r="D27" i="20"/>
  <c r="K27" i="20" s="1"/>
  <c r="AG7" i="67"/>
  <c r="AG9" i="67" s="1"/>
  <c r="AN17" i="67"/>
  <c r="AN18" i="67" s="1"/>
  <c r="P93" i="73"/>
  <c r="Q93" i="53"/>
  <c r="BW93" i="53" s="1"/>
  <c r="U39" i="67"/>
  <c r="Z39" i="67" s="1"/>
  <c r="O93" i="73"/>
  <c r="BN93" i="73" s="1"/>
  <c r="R93" i="53"/>
  <c r="H25" i="20"/>
  <c r="O25" i="20" s="1"/>
  <c r="AS34" i="84"/>
  <c r="AM34" i="84" s="1"/>
  <c r="AM283" i="50"/>
  <c r="BY283" i="50" s="1"/>
  <c r="H27" i="20"/>
  <c r="G48" i="49" s="1"/>
  <c r="E26" i="20"/>
  <c r="L26" i="20" s="1"/>
  <c r="W133" i="85"/>
  <c r="AB23" i="78"/>
  <c r="AB23" i="83"/>
  <c r="U133" i="85"/>
  <c r="Z132" i="85"/>
  <c r="Z124" i="85"/>
  <c r="E35" i="49"/>
  <c r="K35" i="49" s="1"/>
  <c r="V133" i="85"/>
  <c r="AA124" i="85"/>
  <c r="Y132" i="85"/>
  <c r="AD9" i="85"/>
  <c r="AD11" i="85" s="1"/>
  <c r="AD10" i="85"/>
  <c r="AD14" i="85" s="1"/>
  <c r="X133" i="85"/>
  <c r="AA39" i="85"/>
  <c r="AA15" i="85"/>
  <c r="Z15" i="85"/>
  <c r="U16" i="85"/>
  <c r="AE7" i="67"/>
  <c r="AE9" i="67" s="1"/>
  <c r="E21" i="47"/>
  <c r="L21" i="47" s="1"/>
  <c r="C21" i="47"/>
  <c r="J21" i="47" s="1"/>
  <c r="G87" i="67"/>
  <c r="AP29" i="67"/>
  <c r="AP34" i="67" s="1"/>
  <c r="M52" i="49"/>
  <c r="AP29" i="85" s="1"/>
  <c r="AP34" i="85" s="1"/>
  <c r="G132" i="1"/>
  <c r="W132" i="1" s="1"/>
  <c r="L36" i="17"/>
  <c r="AO56" i="67"/>
  <c r="M20" i="21"/>
  <c r="AO56" i="85" s="1"/>
  <c r="AT23" i="67"/>
  <c r="AT26" i="67" s="1"/>
  <c r="L34" i="17"/>
  <c r="AT23" i="85" s="1"/>
  <c r="AT26" i="85" s="1"/>
  <c r="F36" i="17"/>
  <c r="H132" i="1" s="1"/>
  <c r="M34" i="17"/>
  <c r="AU23" i="85" s="1"/>
  <c r="AU26" i="85" s="1"/>
  <c r="E42" i="17"/>
  <c r="L40" i="17"/>
  <c r="AT29" i="85" s="1"/>
  <c r="AT32" i="85" s="1"/>
  <c r="AT29" i="67"/>
  <c r="AT32" i="67" s="1"/>
  <c r="G26" i="20"/>
  <c r="D19" i="22"/>
  <c r="K36" i="17"/>
  <c r="G21" i="21"/>
  <c r="L77" i="49"/>
  <c r="G20" i="21"/>
  <c r="L63" i="49"/>
  <c r="F40" i="17"/>
  <c r="M21" i="21"/>
  <c r="AO57" i="85" s="1"/>
  <c r="AU6" i="67"/>
  <c r="M10" i="17"/>
  <c r="AU6" i="85" s="1"/>
  <c r="D10" i="20"/>
  <c r="K11" i="20"/>
  <c r="F10" i="20"/>
  <c r="M10" i="20" s="1"/>
  <c r="M11" i="20"/>
  <c r="D26" i="20"/>
  <c r="E25" i="20"/>
  <c r="L10" i="20"/>
  <c r="B40" i="47"/>
  <c r="I21" i="47"/>
  <c r="AD9" i="67"/>
  <c r="AD11" i="67" s="1"/>
  <c r="AD10" i="67"/>
  <c r="AD14" i="67" s="1"/>
  <c r="AS6" i="67"/>
  <c r="K10" i="17"/>
  <c r="AS6" i="85" s="1"/>
  <c r="D20" i="22"/>
  <c r="K42" i="17"/>
  <c r="F48" i="49"/>
  <c r="N27" i="20"/>
  <c r="E106" i="73"/>
  <c r="BH88" i="73"/>
  <c r="I106" i="73"/>
  <c r="BJ88" i="73"/>
  <c r="DC91" i="53"/>
  <c r="X39" i="67"/>
  <c r="BU93" i="53"/>
  <c r="X39" i="85" s="1"/>
  <c r="AA93" i="73"/>
  <c r="BY93" i="53"/>
  <c r="U60" i="85" s="1"/>
  <c r="T18" i="67"/>
  <c r="T135" i="67" s="1"/>
  <c r="BJ93" i="53"/>
  <c r="T18" i="85" s="1"/>
  <c r="T135" i="85" s="1"/>
  <c r="DB88" i="53"/>
  <c r="AZ95" i="53"/>
  <c r="DB95" i="53" s="1"/>
  <c r="AZ91" i="53"/>
  <c r="DH88" i="53"/>
  <c r="BF95" i="53"/>
  <c r="DH95" i="53" s="1"/>
  <c r="BF91" i="53"/>
  <c r="BC93" i="53"/>
  <c r="DE93" i="53" s="1"/>
  <c r="DE91" i="53"/>
  <c r="DF88" i="53"/>
  <c r="BD95" i="53"/>
  <c r="DF95" i="53" s="1"/>
  <c r="BD91" i="53"/>
  <c r="DJ91" i="53"/>
  <c r="DD91" i="53"/>
  <c r="DG91" i="53"/>
  <c r="AW93" i="53"/>
  <c r="CY93" i="53" s="1"/>
  <c r="CY91" i="53"/>
  <c r="CZ88" i="53"/>
  <c r="AX95" i="53"/>
  <c r="CZ95" i="53" s="1"/>
  <c r="AX91" i="53"/>
  <c r="Y60" i="67"/>
  <c r="CC93" i="53"/>
  <c r="Y60" i="85" s="1"/>
  <c r="DA91" i="53"/>
  <c r="AE285" i="50"/>
  <c r="BQ285" i="50" s="1"/>
  <c r="BQ283" i="50"/>
  <c r="F44" i="2"/>
  <c r="V132" i="1"/>
  <c r="Z93" i="73"/>
  <c r="BT93" i="73" s="1"/>
  <c r="U60" i="67"/>
  <c r="Z60" i="67" s="1"/>
  <c r="Z93" i="53"/>
  <c r="Y93" i="53"/>
  <c r="CD93" i="53" s="1"/>
  <c r="J95" i="53"/>
  <c r="I95" i="53"/>
  <c r="BP95" i="53" s="1"/>
  <c r="Y133" i="67"/>
  <c r="J91" i="53"/>
  <c r="I91" i="53"/>
  <c r="BP91" i="53" s="1"/>
  <c r="AH93" i="73"/>
  <c r="BX93" i="73" s="1"/>
  <c r="AI93" i="73"/>
  <c r="G63" i="49"/>
  <c r="V93" i="73"/>
  <c r="U93" i="73"/>
  <c r="BQ93" i="73" s="1"/>
  <c r="C93" i="73"/>
  <c r="BG93" i="73" s="1"/>
  <c r="R93" i="73"/>
  <c r="V39" i="67"/>
  <c r="U132" i="67"/>
  <c r="Z124" i="67"/>
  <c r="U16" i="67"/>
  <c r="Z15" i="67"/>
  <c r="AU23" i="67"/>
  <c r="AU26" i="67" s="1"/>
  <c r="AF285" i="50"/>
  <c r="BR285" i="50" s="1"/>
  <c r="G77" i="49"/>
  <c r="AP37" i="67"/>
  <c r="AP42" i="67" s="1"/>
  <c r="E19" i="22"/>
  <c r="Q93" i="73"/>
  <c r="BO93" i="73" s="1"/>
  <c r="I95" i="73"/>
  <c r="H95" i="73"/>
  <c r="BJ95" i="73" s="1"/>
  <c r="E95" i="73"/>
  <c r="D95" i="73"/>
  <c r="BH95" i="73" s="1"/>
  <c r="E91" i="73"/>
  <c r="D91" i="73"/>
  <c r="BH91" i="73" s="1"/>
  <c r="I91" i="73"/>
  <c r="H91" i="73"/>
  <c r="BJ91" i="73" s="1"/>
  <c r="B10" i="48"/>
  <c r="E93" i="53" l="1"/>
  <c r="AY92" i="53"/>
  <c r="F92" i="73"/>
  <c r="BI92" i="73" s="1"/>
  <c r="G92" i="73"/>
  <c r="V17" i="67"/>
  <c r="V134" i="67" s="1"/>
  <c r="BE92" i="53"/>
  <c r="BL92" i="53"/>
  <c r="V17" i="85" s="1"/>
  <c r="V134" i="85" s="1"/>
  <c r="F92" i="53"/>
  <c r="D49" i="49"/>
  <c r="E19" i="21" s="1"/>
  <c r="L19" i="21" s="1"/>
  <c r="AN55" i="85" s="1"/>
  <c r="AM25" i="67"/>
  <c r="AM26" i="67" s="1"/>
  <c r="AP17" i="67"/>
  <c r="AP18" i="67" s="1"/>
  <c r="G35" i="49"/>
  <c r="AN25" i="67"/>
  <c r="AN26" i="67" s="1"/>
  <c r="E49" i="49"/>
  <c r="C48" i="49"/>
  <c r="I48" i="49" s="1"/>
  <c r="AL25" i="85" s="1"/>
  <c r="AL26" i="85" s="1"/>
  <c r="G44" i="2"/>
  <c r="O27" i="20"/>
  <c r="AM285" i="50"/>
  <c r="BY285" i="50" s="1"/>
  <c r="G20" i="49"/>
  <c r="F25" i="20"/>
  <c r="C49" i="49"/>
  <c r="I49" i="49" s="1"/>
  <c r="AL25" i="67"/>
  <c r="AL26" i="67" s="1"/>
  <c r="D34" i="49"/>
  <c r="AM17" i="67" s="1"/>
  <c r="AM18" i="67" s="1"/>
  <c r="AA39" i="67"/>
  <c r="F18" i="21"/>
  <c r="AO54" i="67" s="1"/>
  <c r="M48" i="49"/>
  <c r="AP25" i="85" s="1"/>
  <c r="AP26" i="85" s="1"/>
  <c r="AP25" i="67"/>
  <c r="AP26" i="67" s="1"/>
  <c r="G49" i="49"/>
  <c r="H19" i="21" s="1"/>
  <c r="AQ55" i="67" s="1"/>
  <c r="AA60" i="85"/>
  <c r="Z60" i="85"/>
  <c r="Q44" i="2"/>
  <c r="AC41" i="83"/>
  <c r="Y133" i="85"/>
  <c r="AA132" i="85"/>
  <c r="B43" i="47"/>
  <c r="I43" i="47" s="1"/>
  <c r="I40" i="47"/>
  <c r="D25" i="20"/>
  <c r="K10" i="20"/>
  <c r="AL15" i="79"/>
  <c r="J19" i="22"/>
  <c r="AL15" i="84" s="1"/>
  <c r="F34" i="49"/>
  <c r="N26" i="20"/>
  <c r="F19" i="22"/>
  <c r="M36" i="17"/>
  <c r="L25" i="20"/>
  <c r="D20" i="49"/>
  <c r="F42" i="17"/>
  <c r="M40" i="17"/>
  <c r="AU29" i="85" s="1"/>
  <c r="AU32" i="85" s="1"/>
  <c r="AU29" i="67"/>
  <c r="AU32" i="67" s="1"/>
  <c r="C34" i="49"/>
  <c r="K26" i="20"/>
  <c r="G34" i="17"/>
  <c r="N20" i="21"/>
  <c r="AP56" i="85" s="1"/>
  <c r="AP56" i="67"/>
  <c r="E20" i="22"/>
  <c r="L42" i="17"/>
  <c r="J20" i="22"/>
  <c r="AL17" i="84" s="1"/>
  <c r="AL17" i="79"/>
  <c r="H21" i="21"/>
  <c r="H40" i="17" s="1"/>
  <c r="M77" i="49"/>
  <c r="H20" i="21"/>
  <c r="AQ56" i="67" s="1"/>
  <c r="M63" i="49"/>
  <c r="L48" i="49"/>
  <c r="AO25" i="85" s="1"/>
  <c r="AO26" i="85" s="1"/>
  <c r="F49" i="49"/>
  <c r="AO25" i="67"/>
  <c r="AO26" i="67" s="1"/>
  <c r="B9" i="48"/>
  <c r="I9" i="48" s="1"/>
  <c r="I10" i="48"/>
  <c r="AP57" i="67"/>
  <c r="N21" i="21"/>
  <c r="AP57" i="85" s="1"/>
  <c r="G40" i="17"/>
  <c r="CZ91" i="53"/>
  <c r="DH91" i="53"/>
  <c r="DF91" i="53"/>
  <c r="DB91" i="53"/>
  <c r="AC41" i="78"/>
  <c r="H44" i="2"/>
  <c r="X132" i="1"/>
  <c r="AA60" i="67"/>
  <c r="AM15" i="79"/>
  <c r="K19" i="22"/>
  <c r="AM15" i="84" s="1"/>
  <c r="Z132" i="67"/>
  <c r="U133" i="67"/>
  <c r="F93" i="73" l="1"/>
  <c r="BI93" i="73" s="1"/>
  <c r="G93" i="73"/>
  <c r="BL93" i="53"/>
  <c r="V18" i="85" s="1"/>
  <c r="V135" i="85" s="1"/>
  <c r="V18" i="67"/>
  <c r="V135" i="67" s="1"/>
  <c r="AY93" i="53"/>
  <c r="DA93" i="53" s="1"/>
  <c r="DA92" i="53"/>
  <c r="BE93" i="53"/>
  <c r="DG93" i="53" s="1"/>
  <c r="DG92" i="53"/>
  <c r="F93" i="53"/>
  <c r="G92" i="53"/>
  <c r="AZ92" i="53"/>
  <c r="H92" i="73"/>
  <c r="BJ92" i="73" s="1"/>
  <c r="I92" i="73"/>
  <c r="W17" i="67"/>
  <c r="W134" i="67" s="1"/>
  <c r="BF92" i="53"/>
  <c r="BM92" i="53"/>
  <c r="W17" i="85" s="1"/>
  <c r="W134" i="85" s="1"/>
  <c r="J49" i="49"/>
  <c r="AN55" i="67"/>
  <c r="E23" i="17"/>
  <c r="E25" i="17" s="1"/>
  <c r="L25" i="17" s="1"/>
  <c r="R44" i="2"/>
  <c r="AD41" i="78"/>
  <c r="AD41" i="83"/>
  <c r="M35" i="49"/>
  <c r="H18" i="21"/>
  <c r="F19" i="21"/>
  <c r="K49" i="49"/>
  <c r="E20" i="49"/>
  <c r="K20" i="49" s="1"/>
  <c r="AN9" i="85" s="1"/>
  <c r="M25" i="20"/>
  <c r="M20" i="49"/>
  <c r="AP9" i="85" s="1"/>
  <c r="AP9" i="67"/>
  <c r="D19" i="21"/>
  <c r="D23" i="17" s="1"/>
  <c r="K23" i="17" s="1"/>
  <c r="AS17" i="85" s="1"/>
  <c r="AS20" i="85" s="1"/>
  <c r="J34" i="49"/>
  <c r="AM17" i="85" s="1"/>
  <c r="AM18" i="85" s="1"/>
  <c r="D35" i="49"/>
  <c r="F15" i="17"/>
  <c r="AT47" i="84" s="1"/>
  <c r="AN47" i="84" s="1"/>
  <c r="M18" i="21"/>
  <c r="AO54" i="85" s="1"/>
  <c r="M49" i="49"/>
  <c r="B42" i="48"/>
  <c r="I42" i="48" s="1"/>
  <c r="S44" i="2"/>
  <c r="AE41" i="83"/>
  <c r="B8" i="48"/>
  <c r="I8" i="48" s="1"/>
  <c r="G19" i="21"/>
  <c r="L49" i="49"/>
  <c r="K20" i="22"/>
  <c r="AM17" i="84" s="1"/>
  <c r="AM17" i="79"/>
  <c r="L34" i="49"/>
  <c r="AO17" i="85" s="1"/>
  <c r="AO18" i="85" s="1"/>
  <c r="F35" i="49"/>
  <c r="AO17" i="67"/>
  <c r="AO18" i="67" s="1"/>
  <c r="K25" i="20"/>
  <c r="C20" i="49"/>
  <c r="H34" i="17"/>
  <c r="O20" i="21"/>
  <c r="AQ56" i="85" s="1"/>
  <c r="F20" i="22"/>
  <c r="M42" i="17"/>
  <c r="H42" i="17"/>
  <c r="O40" i="17"/>
  <c r="AW29" i="85" s="1"/>
  <c r="AW32" i="85" s="1"/>
  <c r="G36" i="17"/>
  <c r="N34" i="17"/>
  <c r="AV23" i="85" s="1"/>
  <c r="AV26" i="85" s="1"/>
  <c r="AV23" i="67"/>
  <c r="AV26" i="67" s="1"/>
  <c r="J20" i="49"/>
  <c r="AM9" i="85" s="1"/>
  <c r="AM9" i="67"/>
  <c r="I34" i="49"/>
  <c r="AL17" i="85" s="1"/>
  <c r="AL18" i="85" s="1"/>
  <c r="C35" i="49"/>
  <c r="AL17" i="67"/>
  <c r="AL18" i="67" s="1"/>
  <c r="AQ57" i="67"/>
  <c r="O21" i="21"/>
  <c r="AQ57" i="85" s="1"/>
  <c r="G42" i="17"/>
  <c r="N40" i="17"/>
  <c r="AV29" i="85" s="1"/>
  <c r="AV32" i="85" s="1"/>
  <c r="AV29" i="67"/>
  <c r="AV32" i="67" s="1"/>
  <c r="H23" i="17"/>
  <c r="O19" i="21"/>
  <c r="AQ55" i="85" s="1"/>
  <c r="L19" i="22"/>
  <c r="AN15" i="84" s="1"/>
  <c r="AN15" i="79"/>
  <c r="AE41" i="78"/>
  <c r="AW29" i="67"/>
  <c r="AW32" i="67" s="1"/>
  <c r="H93" i="73" l="1"/>
  <c r="BJ93" i="73" s="1"/>
  <c r="W18" i="67"/>
  <c r="W135" i="67" s="1"/>
  <c r="I93" i="73"/>
  <c r="BM93" i="53"/>
  <c r="W18" i="85" s="1"/>
  <c r="W135" i="85" s="1"/>
  <c r="H92" i="53"/>
  <c r="BN92" i="53"/>
  <c r="X17" i="85" s="1"/>
  <c r="X134" i="85" s="1"/>
  <c r="BG92" i="53"/>
  <c r="X17" i="67"/>
  <c r="X134" i="67" s="1"/>
  <c r="K92" i="73"/>
  <c r="J92" i="73"/>
  <c r="BK92" i="73" s="1"/>
  <c r="BA92" i="53"/>
  <c r="G93" i="53"/>
  <c r="AZ93" i="53"/>
  <c r="DB93" i="53" s="1"/>
  <c r="DB92" i="53"/>
  <c r="BF93" i="53"/>
  <c r="DH93" i="53" s="1"/>
  <c r="DH92" i="53"/>
  <c r="L23" i="17"/>
  <c r="AT17" i="85" s="1"/>
  <c r="AT20" i="85" s="1"/>
  <c r="AT17" i="67"/>
  <c r="AT20" i="67" s="1"/>
  <c r="G88" i="1"/>
  <c r="W88" i="1" s="1"/>
  <c r="H15" i="17"/>
  <c r="O18" i="21"/>
  <c r="AQ54" i="85" s="1"/>
  <c r="AQ54" i="67"/>
  <c r="F23" i="17"/>
  <c r="AN9" i="67"/>
  <c r="AO55" i="67"/>
  <c r="M19" i="21"/>
  <c r="AO55" i="85" s="1"/>
  <c r="D25" i="17"/>
  <c r="AS17" i="67"/>
  <c r="AS20" i="67" s="1"/>
  <c r="K19" i="21"/>
  <c r="AM55" i="85" s="1"/>
  <c r="AM55" i="67"/>
  <c r="M15" i="17"/>
  <c r="AU11" i="85" s="1"/>
  <c r="AU14" i="85" s="1"/>
  <c r="B43" i="48"/>
  <c r="B44" i="48" s="1"/>
  <c r="E18" i="21"/>
  <c r="J35" i="49"/>
  <c r="AU11" i="67"/>
  <c r="AU14" i="67" s="1"/>
  <c r="F17" i="17"/>
  <c r="F12" i="22" s="1"/>
  <c r="AT47" i="79"/>
  <c r="AN47" i="79" s="1"/>
  <c r="AV55" i="79"/>
  <c r="AP55" i="79" s="1"/>
  <c r="AV55" i="84"/>
  <c r="AP55" i="84" s="1"/>
  <c r="H25" i="17"/>
  <c r="O23" i="17"/>
  <c r="AW17" i="85" s="1"/>
  <c r="AW20" i="85" s="1"/>
  <c r="AW17" i="67"/>
  <c r="AW20" i="67" s="1"/>
  <c r="H20" i="22"/>
  <c r="O42" i="17"/>
  <c r="I20" i="49"/>
  <c r="AL9" i="85" s="1"/>
  <c r="AL9" i="67"/>
  <c r="G19" i="22"/>
  <c r="N36" i="17"/>
  <c r="I132" i="1"/>
  <c r="D18" i="21"/>
  <c r="I35" i="49"/>
  <c r="G20" i="22"/>
  <c r="N42" i="17"/>
  <c r="AN17" i="79"/>
  <c r="L20" i="22"/>
  <c r="AN17" i="84" s="1"/>
  <c r="G18" i="21"/>
  <c r="L35" i="49"/>
  <c r="AW23" i="67"/>
  <c r="AW26" i="67" s="1"/>
  <c r="O34" i="17"/>
  <c r="AW23" i="85" s="1"/>
  <c r="AW26" i="85" s="1"/>
  <c r="H36" i="17"/>
  <c r="N19" i="21"/>
  <c r="AP55" i="85" s="1"/>
  <c r="G23" i="17"/>
  <c r="AP55" i="67"/>
  <c r="BO92" i="53" l="1"/>
  <c r="Y17" i="85" s="1"/>
  <c r="Y134" i="85" s="1"/>
  <c r="AA134" i="85" s="1"/>
  <c r="L92" i="73"/>
  <c r="BL92" i="73" s="1"/>
  <c r="Y17" i="67"/>
  <c r="Y134" i="67" s="1"/>
  <c r="AA134" i="67" s="1"/>
  <c r="BB92" i="53"/>
  <c r="H93" i="53"/>
  <c r="M92" i="73"/>
  <c r="BH92" i="53"/>
  <c r="BG93" i="53"/>
  <c r="DI93" i="53" s="1"/>
  <c r="DI92" i="53"/>
  <c r="BA93" i="53"/>
  <c r="DC93" i="53" s="1"/>
  <c r="DC92" i="53"/>
  <c r="BN93" i="53"/>
  <c r="X18" i="85" s="1"/>
  <c r="X135" i="85" s="1"/>
  <c r="X18" i="67"/>
  <c r="X135" i="67" s="1"/>
  <c r="K93" i="73"/>
  <c r="J93" i="73"/>
  <c r="BK93" i="73" s="1"/>
  <c r="G30" i="2"/>
  <c r="AV47" i="84"/>
  <c r="AP47" i="84" s="1"/>
  <c r="AV47" i="79"/>
  <c r="AP47" i="79" s="1"/>
  <c r="AW11" i="67"/>
  <c r="AW14" i="67" s="1"/>
  <c r="O15" i="17"/>
  <c r="AW11" i="85" s="1"/>
  <c r="AW14" i="85" s="1"/>
  <c r="H17" i="17"/>
  <c r="F25" i="17"/>
  <c r="M23" i="17"/>
  <c r="AU17" i="85" s="1"/>
  <c r="AU20" i="85" s="1"/>
  <c r="AU17" i="67"/>
  <c r="AU20" i="67" s="1"/>
  <c r="K25" i="17"/>
  <c r="F88" i="1"/>
  <c r="V88" i="1" s="1"/>
  <c r="I43" i="48"/>
  <c r="H86" i="1"/>
  <c r="M17" i="17"/>
  <c r="L18" i="21"/>
  <c r="AN54" i="85" s="1"/>
  <c r="E15" i="17"/>
  <c r="AN54" i="67"/>
  <c r="AN7" i="79"/>
  <c r="AT41" i="79" s="1"/>
  <c r="AN41" i="79" s="1"/>
  <c r="AN60" i="79" s="1"/>
  <c r="L12" i="22"/>
  <c r="AN7" i="84" s="1"/>
  <c r="G9" i="16"/>
  <c r="P9" i="16" s="1"/>
  <c r="H19" i="22"/>
  <c r="O36" i="17"/>
  <c r="J132" i="1"/>
  <c r="AP17" i="79"/>
  <c r="N20" i="22"/>
  <c r="AP17" i="84" s="1"/>
  <c r="B46" i="48"/>
  <c r="I44" i="48"/>
  <c r="Y132" i="1"/>
  <c r="I44" i="2"/>
  <c r="AF41" i="83" s="1"/>
  <c r="M19" i="22"/>
  <c r="AO15" i="84" s="1"/>
  <c r="AO15" i="79"/>
  <c r="AO17" i="79"/>
  <c r="M20" i="22"/>
  <c r="AO17" i="84" s="1"/>
  <c r="D15" i="17"/>
  <c r="K18" i="21"/>
  <c r="AM54" i="85" s="1"/>
  <c r="AM54" i="67"/>
  <c r="N23" i="17"/>
  <c r="AV17" i="85" s="1"/>
  <c r="AV20" i="85" s="1"/>
  <c r="AV17" i="67"/>
  <c r="AV20" i="67" s="1"/>
  <c r="G25" i="17"/>
  <c r="G15" i="17"/>
  <c r="N18" i="21"/>
  <c r="AP54" i="85" s="1"/>
  <c r="AP54" i="67"/>
  <c r="H14" i="22"/>
  <c r="O25" i="17"/>
  <c r="J88" i="1"/>
  <c r="BB93" i="53" l="1"/>
  <c r="DD93" i="53" s="1"/>
  <c r="DD92" i="53"/>
  <c r="L93" i="73"/>
  <c r="BL93" i="73" s="1"/>
  <c r="BO93" i="53"/>
  <c r="Y18" i="85" s="1"/>
  <c r="Y135" i="85" s="1"/>
  <c r="AA135" i="85" s="1"/>
  <c r="Y18" i="67"/>
  <c r="Y135" i="67" s="1"/>
  <c r="AA135" i="67" s="1"/>
  <c r="M93" i="73"/>
  <c r="BH93" i="53"/>
  <c r="DJ93" i="53" s="1"/>
  <c r="DJ92" i="53"/>
  <c r="AD25" i="78"/>
  <c r="AD25" i="83"/>
  <c r="H12" i="22"/>
  <c r="O17" i="17"/>
  <c r="J86" i="1"/>
  <c r="M25" i="17"/>
  <c r="H88" i="1"/>
  <c r="F30" i="2"/>
  <c r="X86" i="1"/>
  <c r="H29" i="2"/>
  <c r="L15" i="17"/>
  <c r="AT11" i="85" s="1"/>
  <c r="AT14" i="85" s="1"/>
  <c r="E17" i="17"/>
  <c r="AS47" i="84"/>
  <c r="AM47" i="84" s="1"/>
  <c r="AS47" i="79"/>
  <c r="AM47" i="79" s="1"/>
  <c r="AT11" i="67"/>
  <c r="AT14" i="67" s="1"/>
  <c r="AR47" i="84"/>
  <c r="AL47" i="84" s="1"/>
  <c r="AR47" i="79"/>
  <c r="AL47" i="79" s="1"/>
  <c r="AU47" i="84"/>
  <c r="AO47" i="84" s="1"/>
  <c r="AU47" i="79"/>
  <c r="AO47" i="79" s="1"/>
  <c r="AT41" i="84"/>
  <c r="AN41" i="84" s="1"/>
  <c r="AN60" i="84" s="1"/>
  <c r="N25" i="17"/>
  <c r="I88" i="1"/>
  <c r="AF41" i="78"/>
  <c r="T44" i="2"/>
  <c r="AP15" i="79"/>
  <c r="N19" i="22"/>
  <c r="AP15" i="84" s="1"/>
  <c r="AD18" i="67"/>
  <c r="I46" i="48"/>
  <c r="AD18" i="85" s="1"/>
  <c r="Z88" i="1"/>
  <c r="J30" i="2"/>
  <c r="AG25" i="83" s="1"/>
  <c r="AS11" i="67"/>
  <c r="AS14" i="67" s="1"/>
  <c r="K15" i="17"/>
  <c r="AS11" i="85" s="1"/>
  <c r="AS14" i="85" s="1"/>
  <c r="D17" i="17"/>
  <c r="H17" i="22"/>
  <c r="I10" i="16"/>
  <c r="R10" i="16" s="1"/>
  <c r="H16" i="22"/>
  <c r="H18" i="22"/>
  <c r="N14" i="22"/>
  <c r="AP9" i="84" s="1"/>
  <c r="AV49" i="84" s="1"/>
  <c r="AP49" i="84" s="1"/>
  <c r="AP61" i="84" s="1"/>
  <c r="AP9" i="79"/>
  <c r="AV49" i="79" s="1"/>
  <c r="AP49" i="79" s="1"/>
  <c r="AP61" i="79" s="1"/>
  <c r="AV11" i="67"/>
  <c r="AV14" i="67" s="1"/>
  <c r="N15" i="17"/>
  <c r="AV11" i="85" s="1"/>
  <c r="AV14" i="85" s="1"/>
  <c r="G17" i="17"/>
  <c r="J44" i="2"/>
  <c r="AG41" i="83" s="1"/>
  <c r="Z132" i="1"/>
  <c r="I9" i="16" l="1"/>
  <c r="R9" i="16" s="1"/>
  <c r="AP7" i="79"/>
  <c r="AV41" i="79" s="1"/>
  <c r="AP41" i="79" s="1"/>
  <c r="AP60" i="79" s="1"/>
  <c r="N12" i="22"/>
  <c r="AP7" i="84" s="1"/>
  <c r="AV41" i="84" s="1"/>
  <c r="AP41" i="84" s="1"/>
  <c r="AP60" i="84" s="1"/>
  <c r="Z86" i="1"/>
  <c r="J29" i="2"/>
  <c r="AG24" i="83" s="1"/>
  <c r="X88" i="1"/>
  <c r="H30" i="2"/>
  <c r="AE25" i="83" s="1"/>
  <c r="AC25" i="78"/>
  <c r="AC25" i="83"/>
  <c r="Q30" i="2"/>
  <c r="R30" i="2"/>
  <c r="AE24" i="83"/>
  <c r="AE24" i="78"/>
  <c r="E12" i="22"/>
  <c r="L17" i="17"/>
  <c r="G86" i="1"/>
  <c r="AG25" i="78"/>
  <c r="V30" i="2"/>
  <c r="D12" i="22"/>
  <c r="K17" i="17"/>
  <c r="F86" i="1"/>
  <c r="U44" i="2"/>
  <c r="AG41" i="78"/>
  <c r="AP13" i="79"/>
  <c r="N18" i="22"/>
  <c r="AP13" i="84" s="1"/>
  <c r="AP12" i="79"/>
  <c r="N17" i="22"/>
  <c r="AP12" i="84" s="1"/>
  <c r="I86" i="1"/>
  <c r="N17" i="17"/>
  <c r="G12" i="22"/>
  <c r="AP11" i="79"/>
  <c r="N16" i="22"/>
  <c r="AP11" i="84" s="1"/>
  <c r="Y88" i="1"/>
  <c r="I30" i="2"/>
  <c r="AF25" i="83" s="1"/>
  <c r="V29" i="2" l="1"/>
  <c r="AG24" i="78"/>
  <c r="AE25" i="78"/>
  <c r="S30" i="2"/>
  <c r="W86" i="1"/>
  <c r="G29" i="2"/>
  <c r="K12" i="22"/>
  <c r="AM7" i="84" s="1"/>
  <c r="AS41" i="84" s="1"/>
  <c r="AM41" i="84" s="1"/>
  <c r="AM60" i="84" s="1"/>
  <c r="AM7" i="79"/>
  <c r="AS41" i="79" s="1"/>
  <c r="AM41" i="79" s="1"/>
  <c r="AM60" i="79" s="1"/>
  <c r="F9" i="16"/>
  <c r="O9" i="16" s="1"/>
  <c r="V86" i="1"/>
  <c r="F29" i="2"/>
  <c r="AC24" i="83" s="1"/>
  <c r="AF25" i="78"/>
  <c r="T30" i="2"/>
  <c r="E9" i="16"/>
  <c r="N9" i="16" s="1"/>
  <c r="AL7" i="79"/>
  <c r="AR41" i="79" s="1"/>
  <c r="AL41" i="79" s="1"/>
  <c r="AL60" i="79" s="1"/>
  <c r="J12" i="22"/>
  <c r="AL7" i="84" s="1"/>
  <c r="AR41" i="84" s="1"/>
  <c r="AL41" i="84" s="1"/>
  <c r="AL60" i="84" s="1"/>
  <c r="U30" i="2"/>
  <c r="H9" i="16"/>
  <c r="M12" i="22"/>
  <c r="AO7" i="84" s="1"/>
  <c r="AO7" i="79"/>
  <c r="Y86" i="1"/>
  <c r="I29" i="2"/>
  <c r="AF24" i="83" s="1"/>
  <c r="AD24" i="83" l="1"/>
  <c r="AD24" i="78"/>
  <c r="S29" i="2"/>
  <c r="AU41" i="79"/>
  <c r="AO41" i="79" s="1"/>
  <c r="AO60" i="79" s="1"/>
  <c r="AU41" i="84"/>
  <c r="AO41" i="84" s="1"/>
  <c r="AO60" i="84" s="1"/>
  <c r="Q9" i="16"/>
  <c r="Q29" i="2"/>
  <c r="AC24" i="78"/>
  <c r="R29" i="2"/>
  <c r="AF24" i="78"/>
  <c r="T29" i="2"/>
  <c r="U29" i="2"/>
  <c r="AA32" i="82"/>
  <c r="F151" i="82"/>
  <c r="AA151" i="82" s="1"/>
  <c r="F30" i="82"/>
  <c r="F11" i="82" s="1"/>
  <c r="H30" i="82" l="1"/>
  <c r="F219" i="82"/>
  <c r="AA219" i="82" s="1"/>
  <c r="AA11" i="82"/>
  <c r="AA30" i="82"/>
  <c r="H84" i="82" l="1"/>
  <c r="E29" i="50"/>
  <c r="AC30" i="82"/>
  <c r="H11" i="82"/>
  <c r="AC84" i="82"/>
  <c r="H65" i="82" l="1"/>
  <c r="E104" i="50"/>
  <c r="F29" i="50"/>
  <c r="E10" i="50"/>
  <c r="AQ29" i="50"/>
  <c r="H219" i="82"/>
  <c r="AC219" i="82" s="1"/>
  <c r="AC11" i="82"/>
  <c r="E85" i="50"/>
  <c r="AC65" i="82" l="1"/>
  <c r="H221" i="82"/>
  <c r="E280" i="50"/>
  <c r="B6" i="67"/>
  <c r="B102" i="67" s="1"/>
  <c r="AQ10" i="50"/>
  <c r="B6" i="85" s="1"/>
  <c r="B102" i="85" s="1"/>
  <c r="F104" i="50"/>
  <c r="AR29" i="50"/>
  <c r="G29" i="50"/>
  <c r="AQ104" i="50"/>
  <c r="F10" i="50"/>
  <c r="AC221" i="82"/>
  <c r="H223" i="82"/>
  <c r="AC223" i="82" s="1"/>
  <c r="E283" i="50"/>
  <c r="AQ283" i="50" s="1"/>
  <c r="AQ85" i="50"/>
  <c r="B9" i="85" s="1"/>
  <c r="B105" i="85" s="1"/>
  <c r="B9" i="67"/>
  <c r="B105" i="67" s="1"/>
  <c r="AQ280" i="50"/>
  <c r="AR104" i="50" l="1"/>
  <c r="F85" i="50"/>
  <c r="F280" i="50"/>
  <c r="AR10" i="50"/>
  <c r="C11" i="49"/>
  <c r="AS29" i="50"/>
  <c r="E285" i="50"/>
  <c r="AQ285" i="50" s="1"/>
  <c r="G10" i="50"/>
  <c r="H29" i="50"/>
  <c r="G104" i="50"/>
  <c r="AR280" i="50" l="1"/>
  <c r="F283" i="50"/>
  <c r="AR283" i="50" s="1"/>
  <c r="AR85" i="50"/>
  <c r="AS104" i="50"/>
  <c r="G85" i="50"/>
  <c r="AS10" i="50"/>
  <c r="C6" i="85" s="1"/>
  <c r="C102" i="85" s="1"/>
  <c r="I11" i="49"/>
  <c r="C10" i="49"/>
  <c r="C6" i="67"/>
  <c r="C102" i="67" s="1"/>
  <c r="H10" i="50"/>
  <c r="D11" i="49"/>
  <c r="G280" i="50"/>
  <c r="AT29" i="50"/>
  <c r="H104" i="50"/>
  <c r="I29" i="50"/>
  <c r="F285" i="50" l="1"/>
  <c r="AR285" i="50" s="1"/>
  <c r="G283" i="50"/>
  <c r="AS283" i="50" s="1"/>
  <c r="AS85" i="50"/>
  <c r="C9" i="85" s="1"/>
  <c r="C105" i="85" s="1"/>
  <c r="C9" i="67"/>
  <c r="C105" i="67" s="1"/>
  <c r="D6" i="67"/>
  <c r="D102" i="67" s="1"/>
  <c r="E11" i="49"/>
  <c r="H280" i="50"/>
  <c r="AT10" i="50"/>
  <c r="D6" i="85" s="1"/>
  <c r="D102" i="85" s="1"/>
  <c r="I10" i="49"/>
  <c r="AL5" i="85" s="1"/>
  <c r="AL10" i="85" s="1"/>
  <c r="C21" i="49"/>
  <c r="AL5" i="67"/>
  <c r="AL10" i="67" s="1"/>
  <c r="H85" i="50"/>
  <c r="AS280" i="50"/>
  <c r="J11" i="49"/>
  <c r="D10" i="49"/>
  <c r="J29" i="50"/>
  <c r="I10" i="50"/>
  <c r="I104" i="50"/>
  <c r="AU29" i="50"/>
  <c r="AT104" i="50"/>
  <c r="I21" i="49" l="1"/>
  <c r="G285" i="50"/>
  <c r="AS285" i="50" s="1"/>
  <c r="AT280" i="50"/>
  <c r="K11" i="49"/>
  <c r="E10" i="49"/>
  <c r="D17" i="21"/>
  <c r="D9" i="67"/>
  <c r="D105" i="67" s="1"/>
  <c r="H283" i="50"/>
  <c r="AT283" i="50" s="1"/>
  <c r="AT85" i="50"/>
  <c r="D9" i="85" s="1"/>
  <c r="D105" i="85" s="1"/>
  <c r="I280" i="50"/>
  <c r="F11" i="49"/>
  <c r="AU10" i="50"/>
  <c r="E6" i="85" s="1"/>
  <c r="E102" i="85" s="1"/>
  <c r="AM5" i="67"/>
  <c r="AM10" i="67" s="1"/>
  <c r="AU104" i="50"/>
  <c r="I85" i="50"/>
  <c r="J10" i="49"/>
  <c r="AM5" i="85" s="1"/>
  <c r="AM10" i="85" s="1"/>
  <c r="D21" i="49"/>
  <c r="K29" i="50"/>
  <c r="AV29" i="50"/>
  <c r="E6" i="67"/>
  <c r="E102" i="67" s="1"/>
  <c r="J104" i="50"/>
  <c r="J10" i="50"/>
  <c r="F10" i="49" l="1"/>
  <c r="L11" i="49"/>
  <c r="E21" i="49"/>
  <c r="AN5" i="67"/>
  <c r="AN10" i="67" s="1"/>
  <c r="K10" i="49"/>
  <c r="AN5" i="85" s="1"/>
  <c r="AN10" i="85" s="1"/>
  <c r="D9" i="17"/>
  <c r="D22" i="21"/>
  <c r="K22" i="21" s="1"/>
  <c r="AM53" i="67"/>
  <c r="AM58" i="67" s="1"/>
  <c r="K17" i="21"/>
  <c r="AM53" i="85" s="1"/>
  <c r="AM58" i="85" s="1"/>
  <c r="AU280" i="50"/>
  <c r="H285" i="50"/>
  <c r="AT285" i="50" s="1"/>
  <c r="E9" i="67"/>
  <c r="E105" i="67" s="1"/>
  <c r="I283" i="50"/>
  <c r="AU283" i="50" s="1"/>
  <c r="AU85" i="50"/>
  <c r="E9" i="85" s="1"/>
  <c r="E105" i="85" s="1"/>
  <c r="K10" i="50"/>
  <c r="K104" i="50"/>
  <c r="E17" i="21"/>
  <c r="J21" i="49"/>
  <c r="AW29" i="50"/>
  <c r="F6" i="67"/>
  <c r="F102" i="67" s="1"/>
  <c r="J280" i="50"/>
  <c r="AV10" i="50"/>
  <c r="F6" i="85" s="1"/>
  <c r="F102" i="85" s="1"/>
  <c r="G11" i="49"/>
  <c r="J85" i="50"/>
  <c r="AV104" i="50"/>
  <c r="K21" i="49" l="1"/>
  <c r="F17" i="21"/>
  <c r="AO5" i="67"/>
  <c r="AO10" i="67" s="1"/>
  <c r="F21" i="49"/>
  <c r="L10" i="49"/>
  <c r="AO5" i="85" s="1"/>
  <c r="AO10" i="85" s="1"/>
  <c r="AR39" i="84"/>
  <c r="AL39" i="84" s="1"/>
  <c r="AS5" i="67"/>
  <c r="AS8" i="67" s="1"/>
  <c r="AR39" i="79"/>
  <c r="AL39" i="79" s="1"/>
  <c r="K9" i="17"/>
  <c r="AS5" i="85" s="1"/>
  <c r="AS8" i="85" s="1"/>
  <c r="D11" i="17"/>
  <c r="J283" i="50"/>
  <c r="AV283" i="50" s="1"/>
  <c r="F9" i="67"/>
  <c r="F105" i="67" s="1"/>
  <c r="G10" i="49"/>
  <c r="M11" i="49"/>
  <c r="I285" i="50"/>
  <c r="AU285" i="50" s="1"/>
  <c r="G6" i="67"/>
  <c r="G102" i="67" s="1"/>
  <c r="K280" i="50"/>
  <c r="K85" i="50"/>
  <c r="AW104" i="50"/>
  <c r="AW10" i="50"/>
  <c r="G6" i="85" s="1"/>
  <c r="G102" i="85" s="1"/>
  <c r="AO10" i="50"/>
  <c r="AV280" i="50"/>
  <c r="E22" i="21"/>
  <c r="L22" i="21" s="1"/>
  <c r="L17" i="21"/>
  <c r="AN53" i="85" s="1"/>
  <c r="AN58" i="85" s="1"/>
  <c r="E9" i="17"/>
  <c r="AN53" i="67"/>
  <c r="AN58" i="67" s="1"/>
  <c r="AV85" i="50"/>
  <c r="F9" i="85" s="1"/>
  <c r="F105" i="85" s="1"/>
  <c r="AO53" i="67" l="1"/>
  <c r="AO58" i="67" s="1"/>
  <c r="M17" i="21"/>
  <c r="AO53" i="85" s="1"/>
  <c r="AO58" i="85" s="1"/>
  <c r="F9" i="17"/>
  <c r="F22" i="21"/>
  <c r="M22" i="21" s="1"/>
  <c r="L21" i="49"/>
  <c r="G17" i="21"/>
  <c r="C10" i="47"/>
  <c r="K11" i="17"/>
  <c r="F84" i="1"/>
  <c r="D10" i="22"/>
  <c r="AP5" i="67"/>
  <c r="AP10" i="67" s="1"/>
  <c r="M10" i="49"/>
  <c r="AP5" i="85" s="1"/>
  <c r="AP10" i="85" s="1"/>
  <c r="AS39" i="84"/>
  <c r="AM39" i="84" s="1"/>
  <c r="E11" i="17"/>
  <c r="AS39" i="79"/>
  <c r="AM39" i="79" s="1"/>
  <c r="G21" i="49"/>
  <c r="AT5" i="67"/>
  <c r="AT8" i="67" s="1"/>
  <c r="L9" i="17"/>
  <c r="AT5" i="85" s="1"/>
  <c r="AT8" i="85" s="1"/>
  <c r="J285" i="50"/>
  <c r="AV285" i="50" s="1"/>
  <c r="AW280" i="50"/>
  <c r="AO85" i="50"/>
  <c r="K283" i="50"/>
  <c r="AW283" i="50" s="1"/>
  <c r="G9" i="67"/>
  <c r="G105" i="67" s="1"/>
  <c r="AW85" i="50"/>
  <c r="G9" i="85" s="1"/>
  <c r="G105" i="85" s="1"/>
  <c r="F11" i="17" l="1"/>
  <c r="AT39" i="79"/>
  <c r="AN39" i="79" s="1"/>
  <c r="AU5" i="67"/>
  <c r="AU8" i="67" s="1"/>
  <c r="G9" i="17"/>
  <c r="G22" i="21"/>
  <c r="N22" i="21" s="1"/>
  <c r="AT39" i="84"/>
  <c r="AN39" i="84" s="1"/>
  <c r="M9" i="17"/>
  <c r="AU5" i="85" s="1"/>
  <c r="AU8" i="85" s="1"/>
  <c r="AP53" i="67"/>
  <c r="AP58" i="67" s="1"/>
  <c r="N17" i="21"/>
  <c r="AP53" i="85" s="1"/>
  <c r="AP58" i="85" s="1"/>
  <c r="H17" i="21"/>
  <c r="M21" i="49"/>
  <c r="D10" i="47"/>
  <c r="E10" i="22"/>
  <c r="L11" i="17"/>
  <c r="G84" i="1"/>
  <c r="E8" i="16"/>
  <c r="J10" i="22"/>
  <c r="AL5" i="84" s="1"/>
  <c r="AL5" i="79"/>
  <c r="V84" i="1"/>
  <c r="F28" i="2"/>
  <c r="C10" i="48"/>
  <c r="F90" i="1"/>
  <c r="C9" i="47"/>
  <c r="J10" i="47"/>
  <c r="K285" i="50"/>
  <c r="AW285" i="50" s="1"/>
  <c r="AV5" i="67" l="1"/>
  <c r="AV8" i="67" s="1"/>
  <c r="N9" i="17"/>
  <c r="AV5" i="85" s="1"/>
  <c r="AV8" i="85" s="1"/>
  <c r="G11" i="17"/>
  <c r="H84" i="1"/>
  <c r="E10" i="47"/>
  <c r="F10" i="22"/>
  <c r="M11" i="17"/>
  <c r="AR33" i="79"/>
  <c r="AL33" i="79" s="1"/>
  <c r="AL59" i="79" s="1"/>
  <c r="N8" i="16"/>
  <c r="G28" i="2"/>
  <c r="W84" i="1"/>
  <c r="F31" i="2"/>
  <c r="V90" i="1"/>
  <c r="H9" i="17"/>
  <c r="H22" i="21"/>
  <c r="O22" i="21" s="1"/>
  <c r="O17" i="21"/>
  <c r="AQ53" i="85" s="1"/>
  <c r="AQ58" i="85" s="1"/>
  <c r="AQ53" i="67"/>
  <c r="AQ58" i="67" s="1"/>
  <c r="AE4" i="67"/>
  <c r="J10" i="48"/>
  <c r="J9" i="47"/>
  <c r="AE4" i="85" s="1"/>
  <c r="C39" i="47"/>
  <c r="J39" i="47" s="1"/>
  <c r="C8" i="47"/>
  <c r="AC23" i="78"/>
  <c r="AC23" i="83"/>
  <c r="Q28" i="2"/>
  <c r="AR33" i="84"/>
  <c r="AL33" i="84" s="1"/>
  <c r="AL59" i="84" s="1"/>
  <c r="F8" i="16"/>
  <c r="K10" i="22"/>
  <c r="AM5" i="84" s="1"/>
  <c r="AM5" i="79"/>
  <c r="D9" i="47"/>
  <c r="D10" i="48"/>
  <c r="G90" i="1"/>
  <c r="C40" i="48"/>
  <c r="K10" i="47"/>
  <c r="W90" i="1" l="1"/>
  <c r="G31" i="2"/>
  <c r="C34" i="48"/>
  <c r="J40" i="48"/>
  <c r="AS33" i="79"/>
  <c r="AM33" i="79" s="1"/>
  <c r="AM59" i="79" s="1"/>
  <c r="D9" i="48"/>
  <c r="D40" i="48"/>
  <c r="K40" i="48" s="1"/>
  <c r="K10" i="48"/>
  <c r="AS33" i="84"/>
  <c r="AM33" i="84" s="1"/>
  <c r="AM59" i="84" s="1"/>
  <c r="E10" i="48"/>
  <c r="E9" i="47"/>
  <c r="L10" i="47"/>
  <c r="H90" i="1"/>
  <c r="D8" i="47"/>
  <c r="AF4" i="67"/>
  <c r="O8" i="16"/>
  <c r="H28" i="2"/>
  <c r="X84" i="1"/>
  <c r="AW5" i="67"/>
  <c r="AW8" i="67" s="1"/>
  <c r="AV39" i="84"/>
  <c r="AP39" i="84" s="1"/>
  <c r="H11" i="17"/>
  <c r="AN5" i="79"/>
  <c r="L10" i="22"/>
  <c r="AN5" i="84" s="1"/>
  <c r="G8" i="16"/>
  <c r="F10" i="47"/>
  <c r="I84" i="1"/>
  <c r="N11" i="17"/>
  <c r="K9" i="47"/>
  <c r="AF4" i="85" s="1"/>
  <c r="D39" i="47"/>
  <c r="K39" i="47" s="1"/>
  <c r="AE6" i="85"/>
  <c r="AE11" i="85" s="1"/>
  <c r="AE10" i="85"/>
  <c r="AE14" i="85" s="1"/>
  <c r="O9" i="17"/>
  <c r="AW5" i="85" s="1"/>
  <c r="AW8" i="85" s="1"/>
  <c r="AV39" i="79"/>
  <c r="AP39" i="79" s="1"/>
  <c r="AD23" i="78"/>
  <c r="R28" i="2"/>
  <c r="AD23" i="83"/>
  <c r="J8" i="47"/>
  <c r="C40" i="47"/>
  <c r="AE10" i="67"/>
  <c r="AE14" i="67" s="1"/>
  <c r="AE6" i="67"/>
  <c r="AE11" i="67" s="1"/>
  <c r="Q31" i="2"/>
  <c r="AC26" i="78"/>
  <c r="AC26" i="83"/>
  <c r="R31" i="2" l="1"/>
  <c r="AD26" i="83"/>
  <c r="AD26" i="78"/>
  <c r="C19" i="48"/>
  <c r="J19" i="48" s="1"/>
  <c r="J34" i="48"/>
  <c r="J40" i="47"/>
  <c r="C41" i="47"/>
  <c r="Y84" i="1"/>
  <c r="AF10" i="85"/>
  <c r="AF14" i="85" s="1"/>
  <c r="AF6" i="85"/>
  <c r="AF11" i="85" s="1"/>
  <c r="I28" i="2"/>
  <c r="P8" i="16"/>
  <c r="G10" i="47"/>
  <c r="H10" i="22"/>
  <c r="J84" i="1"/>
  <c r="O11" i="17"/>
  <c r="AT33" i="84"/>
  <c r="AN33" i="84" s="1"/>
  <c r="AN59" i="84" s="1"/>
  <c r="L10" i="48"/>
  <c r="E9" i="48"/>
  <c r="E40" i="48"/>
  <c r="L40" i="48" s="1"/>
  <c r="AT33" i="79"/>
  <c r="AN33" i="79" s="1"/>
  <c r="AN59" i="79" s="1"/>
  <c r="D42" i="48"/>
  <c r="D18" i="48"/>
  <c r="K9" i="48"/>
  <c r="F10" i="48"/>
  <c r="F9" i="47"/>
  <c r="M10" i="47"/>
  <c r="I90" i="1"/>
  <c r="AF6" i="67"/>
  <c r="AF11" i="67" s="1"/>
  <c r="AF10" i="67"/>
  <c r="AF14" i="67" s="1"/>
  <c r="D40" i="47"/>
  <c r="K8" i="47"/>
  <c r="AE23" i="83"/>
  <c r="AE23" i="78"/>
  <c r="S28" i="2"/>
  <c r="H31" i="2"/>
  <c r="X90" i="1"/>
  <c r="E39" i="47"/>
  <c r="L39" i="47" s="1"/>
  <c r="L9" i="47"/>
  <c r="AG4" i="85" s="1"/>
  <c r="AG4" i="67"/>
  <c r="E8" i="47"/>
  <c r="D38" i="48" l="1"/>
  <c r="J41" i="47"/>
  <c r="C43" i="47"/>
  <c r="J43" i="47" s="1"/>
  <c r="D41" i="47"/>
  <c r="D43" i="47" s="1"/>
  <c r="K43" i="47" s="1"/>
  <c r="K40" i="47"/>
  <c r="D48" i="48"/>
  <c r="K48" i="48" s="1"/>
  <c r="K18" i="48"/>
  <c r="D14" i="48"/>
  <c r="AG10" i="67"/>
  <c r="AG14" i="67" s="1"/>
  <c r="AG6" i="67"/>
  <c r="AG11" i="67" s="1"/>
  <c r="AE26" i="83"/>
  <c r="S31" i="2"/>
  <c r="AE26" i="78"/>
  <c r="Z84" i="1"/>
  <c r="AF23" i="78"/>
  <c r="J28" i="2"/>
  <c r="AF23" i="83"/>
  <c r="T28" i="2"/>
  <c r="E42" i="48"/>
  <c r="L9" i="48"/>
  <c r="E18" i="48"/>
  <c r="K42" i="48"/>
  <c r="D43" i="48"/>
  <c r="L8" i="47"/>
  <c r="E40" i="47"/>
  <c r="I31" i="2"/>
  <c r="Y90" i="1"/>
  <c r="AG6" i="85"/>
  <c r="AG11" i="85" s="1"/>
  <c r="AG10" i="85"/>
  <c r="AG14" i="85" s="1"/>
  <c r="AH4" i="67"/>
  <c r="F8" i="47"/>
  <c r="F39" i="47"/>
  <c r="M39" i="47" s="1"/>
  <c r="M9" i="47"/>
  <c r="AH4" i="85" s="1"/>
  <c r="F9" i="48"/>
  <c r="F40" i="48"/>
  <c r="M40" i="48" s="1"/>
  <c r="M10" i="48"/>
  <c r="AP5" i="79"/>
  <c r="I8" i="16"/>
  <c r="N10" i="22"/>
  <c r="AP5" i="84" s="1"/>
  <c r="N10" i="47"/>
  <c r="G10" i="48"/>
  <c r="J90" i="1"/>
  <c r="G9" i="47"/>
  <c r="K41" i="47" l="1"/>
  <c r="E38" i="48"/>
  <c r="D34" i="48"/>
  <c r="K38" i="48"/>
  <c r="K14" i="48"/>
  <c r="D8" i="48"/>
  <c r="K8" i="48" s="1"/>
  <c r="AG23" i="83"/>
  <c r="V28" i="2"/>
  <c r="U28" i="2"/>
  <c r="AG23" i="78"/>
  <c r="L18" i="48"/>
  <c r="E48" i="48"/>
  <c r="L48" i="48" s="1"/>
  <c r="L42" i="48"/>
  <c r="E43" i="48"/>
  <c r="Z90" i="1"/>
  <c r="J31" i="2"/>
  <c r="K43" i="48"/>
  <c r="N9" i="47"/>
  <c r="AI4" i="85" s="1"/>
  <c r="G8" i="47"/>
  <c r="G39" i="47"/>
  <c r="N39" i="47" s="1"/>
  <c r="AI4" i="67"/>
  <c r="G9" i="48"/>
  <c r="G40" i="48"/>
  <c r="N40" i="48" s="1"/>
  <c r="N10" i="48"/>
  <c r="E14" i="48"/>
  <c r="AV33" i="84"/>
  <c r="AP33" i="84" s="1"/>
  <c r="AP59" i="84" s="1"/>
  <c r="AS27" i="84"/>
  <c r="AH10" i="85"/>
  <c r="AH14" i="85" s="1"/>
  <c r="AH6" i="85"/>
  <c r="AH11" i="85" s="1"/>
  <c r="T31" i="2"/>
  <c r="AF26" i="78"/>
  <c r="AF26" i="83"/>
  <c r="E41" i="47"/>
  <c r="L40" i="47"/>
  <c r="R8" i="16"/>
  <c r="I11" i="16"/>
  <c r="AV33" i="79"/>
  <c r="AP33" i="79" s="1"/>
  <c r="AP59" i="79" s="1"/>
  <c r="AS27" i="79"/>
  <c r="F40" i="47"/>
  <c r="M8" i="47"/>
  <c r="AH10" i="67"/>
  <c r="AH14" i="67" s="1"/>
  <c r="F18" i="48"/>
  <c r="M9" i="48"/>
  <c r="AH6" i="67"/>
  <c r="AH11" i="67" s="1"/>
  <c r="F42" i="48"/>
  <c r="D44" i="48" l="1"/>
  <c r="D19" i="48"/>
  <c r="K19" i="48" s="1"/>
  <c r="K34" i="48"/>
  <c r="E34" i="48"/>
  <c r="L38" i="48"/>
  <c r="L43" i="48"/>
  <c r="F38" i="48"/>
  <c r="L41" i="47"/>
  <c r="E43" i="47"/>
  <c r="L43" i="47" s="1"/>
  <c r="AI6" i="85"/>
  <c r="AI11" i="85" s="1"/>
  <c r="N9" i="48"/>
  <c r="G42" i="48"/>
  <c r="G40" i="47"/>
  <c r="AG26" i="83"/>
  <c r="V31" i="2"/>
  <c r="U31" i="2"/>
  <c r="L14" i="48"/>
  <c r="AI6" i="67"/>
  <c r="AI11" i="67" s="1"/>
  <c r="AI10" i="85"/>
  <c r="AI14" i="85" s="1"/>
  <c r="G18" i="48"/>
  <c r="N8" i="47"/>
  <c r="AG26" i="78"/>
  <c r="E8" i="48"/>
  <c r="L8" i="48" s="1"/>
  <c r="AI10" i="67"/>
  <c r="AI14" i="67" s="1"/>
  <c r="M42" i="48"/>
  <c r="F43" i="48"/>
  <c r="M18" i="48"/>
  <c r="F14" i="48"/>
  <c r="F48" i="48"/>
  <c r="M48" i="48" s="1"/>
  <c r="M40" i="47"/>
  <c r="F41" i="47"/>
  <c r="F43" i="47" s="1"/>
  <c r="M43" i="47" s="1"/>
  <c r="I13" i="16"/>
  <c r="R11" i="16"/>
  <c r="G14" i="48" l="1"/>
  <c r="N18" i="48"/>
  <c r="N42" i="48"/>
  <c r="F34" i="48"/>
  <c r="L34" i="48"/>
  <c r="K44" i="48"/>
  <c r="E44" i="48"/>
  <c r="E19" i="48"/>
  <c r="L19" i="48" s="1"/>
  <c r="M38" i="48"/>
  <c r="G41" i="47"/>
  <c r="N41" i="47" s="1"/>
  <c r="AS22" i="79"/>
  <c r="R13" i="16"/>
  <c r="AS22" i="84" s="1"/>
  <c r="N40" i="47"/>
  <c r="G43" i="48"/>
  <c r="G48" i="48"/>
  <c r="N48" i="48" s="1"/>
  <c r="M43" i="48"/>
  <c r="I19" i="16"/>
  <c r="M41" i="47"/>
  <c r="G38" i="48"/>
  <c r="M14" i="48"/>
  <c r="F8" i="48"/>
  <c r="M8" i="48" s="1"/>
  <c r="N14" i="48" l="1"/>
  <c r="G8" i="48"/>
  <c r="N8" i="48" s="1"/>
  <c r="L44" i="48"/>
  <c r="F19" i="48"/>
  <c r="M19" i="48" s="1"/>
  <c r="M34" i="48"/>
  <c r="F44" i="48"/>
  <c r="G43" i="47"/>
  <c r="N43" i="47" s="1"/>
  <c r="N43" i="48"/>
  <c r="N38" i="48"/>
  <c r="G34" i="48"/>
  <c r="M44" i="48" l="1"/>
  <c r="N34" i="48"/>
  <c r="G44" i="48"/>
  <c r="G19" i="48"/>
  <c r="N19" i="48" s="1"/>
  <c r="N44" i="48" l="1"/>
  <c r="G57" i="65" l="1"/>
  <c r="E57" i="65"/>
  <c r="D57" i="65"/>
  <c r="H57" i="65"/>
  <c r="F57" i="65"/>
  <c r="AF17" i="84"/>
  <c r="AE17" i="84"/>
  <c r="AC17" i="84"/>
  <c r="AF16" i="84"/>
  <c r="AE16" i="84"/>
  <c r="AC16" i="84"/>
  <c r="AF15" i="84"/>
  <c r="AD15" i="84"/>
  <c r="G61" i="83"/>
  <c r="E61" i="83"/>
  <c r="C61" i="83"/>
  <c r="F60" i="83"/>
  <c r="D60" i="83"/>
  <c r="G59" i="83"/>
  <c r="E59" i="83"/>
  <c r="C59" i="83"/>
  <c r="AD17" i="84"/>
  <c r="AD16" i="84"/>
  <c r="AE15" i="84"/>
  <c r="AC15" i="84"/>
  <c r="F61" i="83"/>
  <c r="D61" i="83"/>
  <c r="G60" i="83"/>
  <c r="E60" i="83"/>
  <c r="C60" i="83"/>
  <c r="F59" i="83"/>
  <c r="D59" i="83"/>
  <c r="AF17" i="79"/>
  <c r="AC17" i="79"/>
  <c r="AC16" i="79"/>
  <c r="AC15" i="79"/>
  <c r="AD15" i="79"/>
  <c r="AE15" i="79"/>
  <c r="AF15" i="79"/>
  <c r="AD16" i="79"/>
  <c r="AE16" i="79"/>
  <c r="AF16" i="79"/>
  <c r="AD17" i="79"/>
  <c r="AE17" i="79"/>
  <c r="E59" i="78"/>
  <c r="F59" i="78"/>
  <c r="D60" i="78"/>
  <c r="E60" i="78"/>
  <c r="D61" i="78"/>
  <c r="F61" i="78"/>
  <c r="C61" i="78"/>
  <c r="C59" i="78"/>
  <c r="D59" i="78"/>
  <c r="G59" i="78"/>
  <c r="F60" i="78"/>
  <c r="G60" i="78"/>
  <c r="E61" i="78"/>
  <c r="G61" i="78"/>
  <c r="C60" i="78"/>
  <c r="D29" i="17"/>
  <c r="E29" i="17"/>
  <c r="F29" i="17"/>
  <c r="E30" i="17"/>
  <c r="F30" i="17"/>
  <c r="G30" i="17"/>
  <c r="D31" i="17"/>
  <c r="E31" i="17"/>
  <c r="F31" i="17"/>
  <c r="G31" i="17"/>
  <c r="G29" i="17"/>
  <c r="D30" i="17"/>
  <c r="F14" i="22"/>
  <c r="G14" i="22"/>
  <c r="AE14" i="79" l="1"/>
  <c r="AU57" i="79"/>
  <c r="AU57" i="84"/>
  <c r="AC14" i="84"/>
  <c r="AC12" i="84" s="1"/>
  <c r="AE14" i="84"/>
  <c r="AF14" i="84"/>
  <c r="AD14" i="84"/>
  <c r="AD12" i="84" s="1"/>
  <c r="AD14" i="79"/>
  <c r="AD12" i="79" s="1"/>
  <c r="AF14" i="79"/>
  <c r="AC14" i="79"/>
  <c r="AC12" i="79" s="1"/>
  <c r="AE12" i="79"/>
  <c r="F18" i="22"/>
  <c r="AN9" i="79"/>
  <c r="AQ27" i="79" s="1"/>
  <c r="F17" i="22"/>
  <c r="L14" i="22"/>
  <c r="F16" i="22"/>
  <c r="G10" i="16"/>
  <c r="H10" i="16"/>
  <c r="M14" i="22"/>
  <c r="G16" i="22"/>
  <c r="G17" i="22"/>
  <c r="G18" i="22"/>
  <c r="AO9" i="79"/>
  <c r="AR57" i="84"/>
  <c r="AS57" i="79"/>
  <c r="AS57" i="84"/>
  <c r="AT57" i="79"/>
  <c r="AR57" i="79"/>
  <c r="AT57" i="84"/>
  <c r="E14" i="22"/>
  <c r="D14" i="22"/>
  <c r="AU50" i="84" l="1"/>
  <c r="AO50" i="84" s="1"/>
  <c r="AE12" i="84"/>
  <c r="AF12" i="79"/>
  <c r="AU50" i="79"/>
  <c r="AO50" i="79" s="1"/>
  <c r="AU55" i="79"/>
  <c r="AO55" i="79" s="1"/>
  <c r="AU51" i="79"/>
  <c r="AO51" i="79" s="1"/>
  <c r="AU53" i="79"/>
  <c r="AO53" i="79" s="1"/>
  <c r="AU52" i="79"/>
  <c r="AO52" i="79" s="1"/>
  <c r="AU54" i="79"/>
  <c r="AO54" i="79" s="1"/>
  <c r="AU53" i="84"/>
  <c r="AO53" i="84" s="1"/>
  <c r="AU55" i="84"/>
  <c r="AO55" i="84" s="1"/>
  <c r="AU51" i="84"/>
  <c r="AO51" i="84" s="1"/>
  <c r="AU52" i="84"/>
  <c r="AO52" i="84" s="1"/>
  <c r="AU54" i="84"/>
  <c r="AO54" i="84" s="1"/>
  <c r="AF12" i="84"/>
  <c r="AT49" i="79"/>
  <c r="AN49" i="79" s="1"/>
  <c r="L18" i="22"/>
  <c r="AN13" i="84" s="1"/>
  <c r="AN13" i="79"/>
  <c r="L17" i="22"/>
  <c r="AN12" i="84" s="1"/>
  <c r="AN12" i="79"/>
  <c r="L16" i="22"/>
  <c r="AN11" i="84" s="1"/>
  <c r="AN11" i="79"/>
  <c r="G11" i="16"/>
  <c r="P10" i="16"/>
  <c r="Q10" i="16"/>
  <c r="M16" i="22"/>
  <c r="AO11" i="84" s="1"/>
  <c r="AO11" i="79"/>
  <c r="M17" i="22"/>
  <c r="AO12" i="84" s="1"/>
  <c r="AO12" i="79"/>
  <c r="M18" i="22"/>
  <c r="AO13" i="84" s="1"/>
  <c r="AO13" i="79"/>
  <c r="AU49" i="79"/>
  <c r="AO49" i="79" s="1"/>
  <c r="AN9" i="84"/>
  <c r="AO9" i="84"/>
  <c r="AR55" i="84"/>
  <c r="AL55" i="84" s="1"/>
  <c r="AR50" i="84"/>
  <c r="AL50" i="84" s="1"/>
  <c r="AR51" i="84"/>
  <c r="AL51" i="84" s="1"/>
  <c r="AR53" i="84"/>
  <c r="AL53" i="84" s="1"/>
  <c r="AR52" i="84"/>
  <c r="AL52" i="84" s="1"/>
  <c r="AR54" i="84"/>
  <c r="AL54" i="84" s="1"/>
  <c r="AS55" i="79"/>
  <c r="AM55" i="79" s="1"/>
  <c r="AS50" i="79"/>
  <c r="AM50" i="79" s="1"/>
  <c r="AS51" i="79"/>
  <c r="AM51" i="79" s="1"/>
  <c r="AS53" i="79"/>
  <c r="AM53" i="79" s="1"/>
  <c r="AS52" i="79"/>
  <c r="AM52" i="79" s="1"/>
  <c r="AS54" i="79"/>
  <c r="AM54" i="79" s="1"/>
  <c r="AS51" i="84"/>
  <c r="AM51" i="84" s="1"/>
  <c r="AS55" i="84"/>
  <c r="AM55" i="84" s="1"/>
  <c r="AS50" i="84"/>
  <c r="AM50" i="84" s="1"/>
  <c r="AS53" i="84"/>
  <c r="AM53" i="84" s="1"/>
  <c r="AS52" i="84"/>
  <c r="AM52" i="84" s="1"/>
  <c r="AS54" i="84"/>
  <c r="AM54" i="84" s="1"/>
  <c r="AT51" i="79"/>
  <c r="AN51" i="79" s="1"/>
  <c r="AT55" i="79"/>
  <c r="AN55" i="79" s="1"/>
  <c r="AT50" i="79"/>
  <c r="AN50" i="79" s="1"/>
  <c r="AT53" i="79"/>
  <c r="AN53" i="79" s="1"/>
  <c r="AT52" i="79"/>
  <c r="AN52" i="79" s="1"/>
  <c r="AT54" i="79"/>
  <c r="AN54" i="79" s="1"/>
  <c r="AR55" i="79"/>
  <c r="AL55" i="79" s="1"/>
  <c r="AR50" i="79"/>
  <c r="AL50" i="79" s="1"/>
  <c r="AR51" i="79"/>
  <c r="AL51" i="79" s="1"/>
  <c r="AR53" i="79"/>
  <c r="AL53" i="79" s="1"/>
  <c r="AR52" i="79"/>
  <c r="AL52" i="79" s="1"/>
  <c r="AR54" i="79"/>
  <c r="AL54" i="79" s="1"/>
  <c r="AT55" i="84"/>
  <c r="AN55" i="84" s="1"/>
  <c r="AT50" i="84"/>
  <c r="AN50" i="84" s="1"/>
  <c r="AT51" i="84"/>
  <c r="AN51" i="84" s="1"/>
  <c r="AT53" i="84"/>
  <c r="AN53" i="84" s="1"/>
  <c r="AT52" i="84"/>
  <c r="AN52" i="84" s="1"/>
  <c r="AT54" i="84"/>
  <c r="AN54" i="84" s="1"/>
  <c r="E18" i="22"/>
  <c r="AM9" i="79"/>
  <c r="E16" i="22"/>
  <c r="F10" i="16"/>
  <c r="E17" i="22"/>
  <c r="K14" i="22"/>
  <c r="AM9" i="84" s="1"/>
  <c r="D18" i="22"/>
  <c r="AL9" i="79"/>
  <c r="D17" i="22"/>
  <c r="D16" i="22"/>
  <c r="E10" i="16"/>
  <c r="J14" i="22"/>
  <c r="AL9" i="84" s="1"/>
  <c r="AO61" i="79" l="1"/>
  <c r="AQ27" i="84"/>
  <c r="AT49" i="84"/>
  <c r="AN49" i="84" s="1"/>
  <c r="AU49" i="84"/>
  <c r="AO49" i="84" s="1"/>
  <c r="AO61" i="84" s="1"/>
  <c r="G13" i="16"/>
  <c r="P11" i="16"/>
  <c r="K18" i="22"/>
  <c r="AM13" i="84" s="1"/>
  <c r="AM13" i="79"/>
  <c r="AP27" i="79"/>
  <c r="AS49" i="79"/>
  <c r="AM49" i="79" s="1"/>
  <c r="AM61" i="79" s="1"/>
  <c r="K16" i="22"/>
  <c r="AM11" i="84" s="1"/>
  <c r="AM11" i="79"/>
  <c r="F11" i="16"/>
  <c r="O10" i="16"/>
  <c r="K17" i="22"/>
  <c r="AM12" i="84" s="1"/>
  <c r="AM12" i="79"/>
  <c r="AP27" i="84"/>
  <c r="AS49" i="84"/>
  <c r="AM49" i="84" s="1"/>
  <c r="AM61" i="84" s="1"/>
  <c r="J18" i="22"/>
  <c r="AL13" i="84" s="1"/>
  <c r="AL13" i="79"/>
  <c r="AR49" i="79"/>
  <c r="AL49" i="79" s="1"/>
  <c r="AL61" i="79" s="1"/>
  <c r="AO27" i="79"/>
  <c r="AL12" i="79"/>
  <c r="J17" i="22"/>
  <c r="AL12" i="84" s="1"/>
  <c r="AL11" i="79"/>
  <c r="J16" i="22"/>
  <c r="AL11" i="84" s="1"/>
  <c r="N10" i="16"/>
  <c r="E11" i="16"/>
  <c r="AO27" i="84"/>
  <c r="AR49" i="84"/>
  <c r="AL49" i="84" s="1"/>
  <c r="AL61" i="84" s="1"/>
  <c r="AN61" i="79"/>
  <c r="AN61" i="84" l="1"/>
  <c r="G19" i="16"/>
  <c r="AQ22" i="79"/>
  <c r="P13" i="16"/>
  <c r="AQ22" i="84" s="1"/>
  <c r="O11" i="16"/>
  <c r="F13" i="16"/>
  <c r="E13" i="16"/>
  <c r="N11" i="16"/>
  <c r="F19" i="16" l="1"/>
  <c r="AP22" i="79"/>
  <c r="O13" i="16"/>
  <c r="AP22" i="84" s="1"/>
  <c r="AO22" i="79"/>
  <c r="E19" i="16"/>
  <c r="N13" i="16"/>
  <c r="AO22" i="84" s="1"/>
  <c r="C9" i="48"/>
  <c r="J11" i="48"/>
  <c r="J9" i="48" l="1"/>
  <c r="C42" i="48"/>
  <c r="C18" i="48"/>
  <c r="C48" i="48" s="1"/>
  <c r="J48" i="48" s="1"/>
  <c r="C14" i="48" l="1"/>
  <c r="J42" i="48"/>
  <c r="C43" i="48"/>
  <c r="J18" i="48"/>
  <c r="J14" i="48" l="1"/>
  <c r="C8" i="48"/>
  <c r="J8" i="48" s="1"/>
  <c r="C44" i="48"/>
  <c r="J43" i="48"/>
  <c r="J44" i="48" l="1"/>
  <c r="C46" i="48"/>
  <c r="D45" i="48" l="1"/>
  <c r="AE18" i="67"/>
  <c r="J46" i="48"/>
  <c r="AE18" i="85" s="1"/>
  <c r="D46" i="48" l="1"/>
  <c r="K45" i="48"/>
  <c r="AF17" i="85" s="1"/>
  <c r="AF17" i="67"/>
  <c r="AF18" i="67" l="1"/>
  <c r="K46" i="48"/>
  <c r="AF18" i="85" s="1"/>
  <c r="E45" i="48"/>
  <c r="AG17" i="67" l="1"/>
  <c r="L45" i="48"/>
  <c r="AG17" i="85" s="1"/>
  <c r="E46" i="48"/>
  <c r="AG18" i="67" l="1"/>
  <c r="L46" i="48"/>
  <c r="AG18" i="85" s="1"/>
  <c r="F45" i="48"/>
  <c r="F46" i="48" l="1"/>
  <c r="AH17" i="67"/>
  <c r="M45" i="48"/>
  <c r="AH17" i="85" s="1"/>
  <c r="G45" i="48" l="1"/>
  <c r="AH18" i="67"/>
  <c r="M46" i="48"/>
  <c r="AH18" i="85" s="1"/>
  <c r="G46" i="48" l="1"/>
  <c r="N45" i="48"/>
  <c r="AI17" i="85" s="1"/>
  <c r="AI17" i="67"/>
  <c r="N46" i="48" l="1"/>
  <c r="AI18" i="85" s="1"/>
  <c r="AI18" i="67"/>
  <c r="BK92" i="53" l="1"/>
  <c r="D93" i="53"/>
  <c r="D94" i="53" s="1"/>
  <c r="D93" i="73"/>
  <c r="D92" i="73"/>
  <c r="I92" i="53"/>
  <c r="AX92" i="53"/>
  <c r="E92" i="73"/>
  <c r="BD92" i="53"/>
  <c r="U17" i="67"/>
  <c r="J92" i="53"/>
  <c r="AA17" i="67" l="1"/>
  <c r="BD93" i="53"/>
  <c r="AX93" i="53"/>
  <c r="DF92" i="53"/>
  <c r="U18" i="67"/>
  <c r="Z18" i="67" s="1"/>
  <c r="CZ93" i="53"/>
  <c r="U17" i="85"/>
  <c r="Z17" i="85" s="1"/>
  <c r="BH93" i="73"/>
  <c r="CZ92" i="53"/>
  <c r="Z17" i="67"/>
  <c r="J93" i="53"/>
  <c r="U134" i="67"/>
  <c r="E93" i="73"/>
  <c r="BK93" i="53"/>
  <c r="U18" i="85" s="1"/>
  <c r="U135" i="67"/>
  <c r="BH92" i="73"/>
  <c r="E94" i="73"/>
  <c r="D94" i="73"/>
  <c r="BH94" i="73" s="1"/>
  <c r="AX94" i="53"/>
  <c r="CZ94" i="53" s="1"/>
  <c r="U19" i="67"/>
  <c r="I94" i="53"/>
  <c r="BP94" i="53" s="1"/>
  <c r="J94" i="53"/>
  <c r="BD94" i="53"/>
  <c r="DF94" i="53" s="1"/>
  <c r="BK94" i="53"/>
  <c r="U19" i="85" s="1"/>
  <c r="DF93" i="53"/>
  <c r="I93" i="53"/>
  <c r="BP93" i="53" s="1"/>
  <c r="BP92" i="53"/>
  <c r="AA18" i="67" l="1"/>
  <c r="AA17" i="85"/>
  <c r="U134" i="85"/>
  <c r="Z134" i="85" s="1"/>
  <c r="Z134" i="67"/>
  <c r="Z18" i="85"/>
  <c r="U135" i="85"/>
  <c r="Z135" i="85" s="1"/>
  <c r="AA19" i="67"/>
  <c r="Z19" i="67"/>
  <c r="U136" i="67"/>
  <c r="Z136" i="67" s="1"/>
  <c r="Z19" i="85"/>
  <c r="U136" i="85"/>
  <c r="Z136" i="85" s="1"/>
  <c r="AA19" i="85"/>
  <c r="Z135" i="67"/>
  <c r="AA18" i="85"/>
  <c r="H37" i="65"/>
  <c r="G44" i="83" l="1"/>
  <c r="G44" i="78"/>
  <c r="H30" i="65"/>
  <c r="H38" i="65"/>
  <c r="H43" i="65" l="1"/>
  <c r="G39" i="83"/>
  <c r="H31" i="65"/>
  <c r="H32" i="65"/>
  <c r="G39" i="78"/>
  <c r="G45" i="83"/>
  <c r="G45" i="78"/>
  <c r="H46" i="65" l="1"/>
  <c r="I65" i="1"/>
  <c r="H44" i="65"/>
  <c r="H45" i="65"/>
  <c r="G12" i="17"/>
  <c r="G46" i="83"/>
  <c r="G46" i="78"/>
  <c r="G40" i="83"/>
  <c r="G40" i="78"/>
  <c r="G41" i="83"/>
  <c r="G41" i="78"/>
  <c r="I14" i="2" l="1"/>
  <c r="I15" i="2"/>
  <c r="G47" i="83"/>
  <c r="G47" i="78"/>
  <c r="G48" i="83"/>
  <c r="G48" i="78"/>
  <c r="G10" i="22"/>
  <c r="AU39" i="79"/>
  <c r="AO39" i="79" s="1"/>
  <c r="AU39" i="84"/>
  <c r="AO39" i="84" s="1"/>
  <c r="AU34" i="84"/>
  <c r="AO34" i="84" s="1"/>
  <c r="AU34" i="79"/>
  <c r="AO34" i="79" s="1"/>
  <c r="AU35" i="84"/>
  <c r="AO35" i="84" s="1"/>
  <c r="AU35" i="79"/>
  <c r="AO35" i="79" s="1"/>
  <c r="AU37" i="84"/>
  <c r="AO37" i="84" s="1"/>
  <c r="AU37" i="79"/>
  <c r="AO37" i="79" s="1"/>
  <c r="AU36" i="79"/>
  <c r="AO36" i="79" s="1"/>
  <c r="AU36" i="84"/>
  <c r="AO36" i="84" s="1"/>
  <c r="AU38" i="79"/>
  <c r="AO38" i="79" s="1"/>
  <c r="AU38" i="84"/>
  <c r="AO38" i="84" s="1"/>
  <c r="T14" i="2" l="1"/>
  <c r="AF9" i="78"/>
  <c r="U14" i="2"/>
  <c r="AF9" i="83"/>
  <c r="U15" i="2"/>
  <c r="T15" i="2"/>
  <c r="AF10" i="83"/>
  <c r="AF10" i="78"/>
  <c r="H8" i="16"/>
  <c r="AO5" i="79"/>
  <c r="M10" i="22"/>
  <c r="AO5" i="84" s="1"/>
  <c r="H11" i="16" l="1"/>
  <c r="Q8" i="16"/>
  <c r="AR27" i="79"/>
  <c r="AU33" i="79"/>
  <c r="AO33" i="79" s="1"/>
  <c r="AO59" i="79" s="1"/>
  <c r="AR27" i="84"/>
  <c r="AU33" i="84"/>
  <c r="AO33" i="84" s="1"/>
  <c r="AO59" i="84" s="1"/>
  <c r="Q11" i="16" l="1"/>
  <c r="H13" i="16"/>
  <c r="Q13" i="16" l="1"/>
  <c r="AR22" i="84" s="1"/>
  <c r="H19" i="16"/>
  <c r="AR22" i="79"/>
</calcChain>
</file>

<file path=xl/comments1.xml><?xml version="1.0" encoding="utf-8"?>
<comments xmlns="http://schemas.openxmlformats.org/spreadsheetml/2006/main">
  <authors>
    <author>dk-kpeev</author>
  </authors>
  <commentList>
    <comment ref="C7" authorId="0" shapeId="0">
      <text>
        <r>
          <rPr>
            <b/>
            <sz val="9"/>
            <color indexed="81"/>
            <rFont val="Tahoma"/>
            <family val="2"/>
            <charset val="204"/>
          </rPr>
          <t>ДКЕВР:</t>
        </r>
        <r>
          <rPr>
            <sz val="9"/>
            <color indexed="81"/>
            <rFont val="Tahoma"/>
            <family val="2"/>
            <charset val="204"/>
          </rPr>
          <t xml:space="preserve">
Всички редове са задължителни!</t>
        </r>
      </text>
    </comment>
  </commentList>
</comments>
</file>

<file path=xl/comments2.xml><?xml version="1.0" encoding="utf-8"?>
<comments xmlns="http://schemas.openxmlformats.org/spreadsheetml/2006/main">
  <authors>
    <author>lllll</author>
    <author>user</author>
  </authors>
  <commentList>
    <comment ref="B18" authorId="0" shapeId="0">
      <text>
        <r>
          <rPr>
            <b/>
            <sz val="9"/>
            <color indexed="81"/>
            <rFont val="Tahoma"/>
            <family val="2"/>
            <charset val="204"/>
          </rPr>
          <t>КЕВР:</t>
        </r>
        <r>
          <rPr>
            <sz val="9"/>
            <color indexed="81"/>
            <rFont val="Tahoma"/>
            <family val="2"/>
            <charset val="204"/>
          </rPr>
          <t xml:space="preserve">
посочва се основанието, на което дружеството изпълнява дейността В и К оператор - (договор, концесия, ПЧП, решение на МС или ОС или друго)</t>
        </r>
      </text>
    </comment>
    <comment ref="B19" authorId="0" shapeId="0">
      <text>
        <r>
          <rPr>
            <b/>
            <sz val="9"/>
            <color indexed="81"/>
            <rFont val="Tahoma"/>
            <family val="2"/>
            <charset val="204"/>
          </rPr>
          <t>КЕВР:</t>
        </r>
        <r>
          <rPr>
            <sz val="9"/>
            <color indexed="81"/>
            <rFont val="Tahoma"/>
            <family val="2"/>
            <charset val="204"/>
          </rPr>
          <t xml:space="preserve">
в случай на необходимост добавете редове</t>
        </r>
      </text>
    </comment>
    <comment ref="B33" authorId="1" shapeId="0">
      <text>
        <r>
          <rPr>
            <b/>
            <sz val="9"/>
            <color indexed="81"/>
            <rFont val="Tahoma"/>
            <family val="2"/>
            <charset val="204"/>
          </rPr>
          <t>user:</t>
        </r>
        <r>
          <rPr>
            <sz val="9"/>
            <color indexed="81"/>
            <rFont val="Tahoma"/>
            <family val="2"/>
            <charset val="204"/>
          </rPr>
          <t xml:space="preserve">
Попълва се наименованието на ВиК оператора, на който се предоставя услугата.</t>
        </r>
      </text>
    </comment>
  </commentList>
</comments>
</file>

<file path=xl/comments3.xml><?xml version="1.0" encoding="utf-8"?>
<comments xmlns="http://schemas.openxmlformats.org/spreadsheetml/2006/main">
  <authors>
    <author>Sylvia</author>
  </authors>
  <commentList>
    <comment ref="AO7" authorId="0" shapeId="0">
      <text>
        <r>
          <rPr>
            <b/>
            <sz val="9"/>
            <color indexed="81"/>
            <rFont val="Tahoma"/>
            <family val="2"/>
            <charset val="204"/>
          </rPr>
          <t>КЕВР:</t>
        </r>
        <r>
          <rPr>
            <sz val="9"/>
            <color indexed="81"/>
            <rFont val="Tahoma"/>
            <family val="2"/>
            <charset val="204"/>
          </rPr>
          <t xml:space="preserve">
резултатите в колоната трябва да са 0!</t>
        </r>
      </text>
    </comment>
    <comment ref="D214" authorId="0" shapeId="0">
      <text>
        <r>
          <rPr>
            <b/>
            <sz val="9"/>
            <color indexed="81"/>
            <rFont val="Tahoma"/>
            <family val="2"/>
            <charset val="204"/>
          </rPr>
          <t>КЕВР:</t>
        </r>
        <r>
          <rPr>
            <sz val="9"/>
            <color indexed="81"/>
            <rFont val="Tahoma"/>
            <family val="2"/>
            <charset val="204"/>
          </rPr>
          <t xml:space="preserve">
при преоценени публични активи, да се нанесе реалната годишна амортизация, изчислена спрямо оставащия полезен живот на активите</t>
        </r>
      </text>
    </comment>
  </commentList>
</comments>
</file>

<file path=xl/comments4.xml><?xml version="1.0" encoding="utf-8"?>
<comments xmlns="http://schemas.openxmlformats.org/spreadsheetml/2006/main">
  <authors>
    <author>Sylvia</author>
  </authors>
  <commentList>
    <comment ref="E7" authorId="0" shapeId="0">
      <text>
        <r>
          <rPr>
            <b/>
            <sz val="9"/>
            <color indexed="81"/>
            <rFont val="Tahoma"/>
            <family val="2"/>
            <charset val="204"/>
          </rPr>
          <t>КЕВР:</t>
        </r>
        <r>
          <rPr>
            <sz val="9"/>
            <color indexed="81"/>
            <rFont val="Tahoma"/>
            <family val="2"/>
            <charset val="204"/>
          </rPr>
          <t xml:space="preserve">
12 мес./ бр. месеци на амортизация</t>
        </r>
      </text>
    </comment>
  </commentList>
</comments>
</file>

<file path=xl/comments5.xml><?xml version="1.0" encoding="utf-8"?>
<comments xmlns="http://schemas.openxmlformats.org/spreadsheetml/2006/main">
  <authors>
    <author>Ivaylo Kastchiev</author>
  </authors>
  <commentList>
    <comment ref="B13" authorId="0" shapeId="0">
      <text>
        <r>
          <rPr>
            <sz val="9"/>
            <color indexed="81"/>
            <rFont val="Tahoma"/>
            <family val="2"/>
          </rPr>
          <t xml:space="preserve">в отчета е 3936. равнявам на ИП
</t>
        </r>
      </text>
    </comment>
    <comment ref="B29" authorId="0" shapeId="0">
      <text>
        <r>
          <rPr>
            <sz val="9"/>
            <color indexed="81"/>
            <rFont val="Tahoma"/>
            <family val="2"/>
          </rPr>
          <t xml:space="preserve">в отчета е 1668. равнявам на ИП
</t>
        </r>
      </text>
    </comment>
  </commentList>
</comments>
</file>

<file path=xl/sharedStrings.xml><?xml version="1.0" encoding="utf-8"?>
<sst xmlns="http://schemas.openxmlformats.org/spreadsheetml/2006/main" count="7708" uniqueCount="2030">
  <si>
    <t>Приложение № 2</t>
  </si>
  <si>
    <t>№</t>
  </si>
  <si>
    <t>Описание на параметъра</t>
  </si>
  <si>
    <t>F1</t>
  </si>
  <si>
    <t>iE5</t>
  </si>
  <si>
    <t>iD51a</t>
  </si>
  <si>
    <t>iD62a</t>
  </si>
  <si>
    <t>iD63a</t>
  </si>
  <si>
    <t>iD64a</t>
  </si>
  <si>
    <t>iD65a</t>
  </si>
  <si>
    <t>D51a</t>
  </si>
  <si>
    <t>D62a</t>
  </si>
  <si>
    <t>D63a</t>
  </si>
  <si>
    <t>D64a</t>
  </si>
  <si>
    <t>D65a</t>
  </si>
  <si>
    <t>iD51b</t>
  </si>
  <si>
    <t>iD62b</t>
  </si>
  <si>
    <t>iD63b</t>
  </si>
  <si>
    <t>iD64b</t>
  </si>
  <si>
    <t>iD65b</t>
  </si>
  <si>
    <t>D51b</t>
  </si>
  <si>
    <t>D62b</t>
  </si>
  <si>
    <t>D63b</t>
  </si>
  <si>
    <t>D64b</t>
  </si>
  <si>
    <t>D65b</t>
  </si>
  <si>
    <t>iD98</t>
  </si>
  <si>
    <t>iD99</t>
  </si>
  <si>
    <t>D35</t>
  </si>
  <si>
    <t>iC8</t>
  </si>
  <si>
    <t>D28</t>
  </si>
  <si>
    <t>C8</t>
  </si>
  <si>
    <t>F16</t>
  </si>
  <si>
    <t>E10</t>
  </si>
  <si>
    <t>wE4</t>
  </si>
  <si>
    <t>wE2</t>
  </si>
  <si>
    <t>iD97</t>
  </si>
  <si>
    <t>wD38a</t>
  </si>
  <si>
    <t>wD38b</t>
  </si>
  <si>
    <t>wD44</t>
  </si>
  <si>
    <t>wC1</t>
  </si>
  <si>
    <t>zD1</t>
  </si>
  <si>
    <t>A3</t>
  </si>
  <si>
    <t>wD13</t>
  </si>
  <si>
    <t>wA2</t>
  </si>
  <si>
    <t>wA15</t>
  </si>
  <si>
    <t>wA14</t>
  </si>
  <si>
    <t xml:space="preserve">D20 </t>
  </si>
  <si>
    <t>Ефективност на разходите за услугата доставяне на вода на потребителите</t>
  </si>
  <si>
    <t>G1</t>
  </si>
  <si>
    <t>G4</t>
  </si>
  <si>
    <t xml:space="preserve">Ефективност на разходите за услугата отвеждане на отпадъчни води </t>
  </si>
  <si>
    <t>iwG1b</t>
  </si>
  <si>
    <t>iwG4b</t>
  </si>
  <si>
    <t xml:space="preserve">Ефективност на разходите за услугата пречистване на отпадъчни води </t>
  </si>
  <si>
    <t>iwG1c</t>
  </si>
  <si>
    <t>iwG4c</t>
  </si>
  <si>
    <t>iG99</t>
  </si>
  <si>
    <t>iG98</t>
  </si>
  <si>
    <t>iG97</t>
  </si>
  <si>
    <t>iF98</t>
  </si>
  <si>
    <t>F24</t>
  </si>
  <si>
    <t>wF20</t>
  </si>
  <si>
    <t xml:space="preserve">iF88 </t>
  </si>
  <si>
    <t>iF99</t>
  </si>
  <si>
    <t>F23</t>
  </si>
  <si>
    <t>iF17</t>
  </si>
  <si>
    <t>F18</t>
  </si>
  <si>
    <t>F19</t>
  </si>
  <si>
    <t>wF12</t>
  </si>
  <si>
    <t xml:space="preserve">wF13 </t>
  </si>
  <si>
    <t xml:space="preserve">wF14 </t>
  </si>
  <si>
    <t xml:space="preserve">iwF15 </t>
  </si>
  <si>
    <t xml:space="preserve">wF16 </t>
  </si>
  <si>
    <t xml:space="preserve">iF89 </t>
  </si>
  <si>
    <t xml:space="preserve">iE8 </t>
  </si>
  <si>
    <t>iE10</t>
  </si>
  <si>
    <t xml:space="preserve">iwE8 </t>
  </si>
  <si>
    <t xml:space="preserve">iwE10 </t>
  </si>
  <si>
    <t>B1</t>
  </si>
  <si>
    <t>C24</t>
  </si>
  <si>
    <t>wB1</t>
  </si>
  <si>
    <t>C29</t>
  </si>
  <si>
    <t>Параметър</t>
  </si>
  <si>
    <t>5.3</t>
  </si>
  <si>
    <t>5.4</t>
  </si>
  <si>
    <t>Приложение към бизнес план</t>
  </si>
  <si>
    <t>Данни за В и К оператора</t>
  </si>
  <si>
    <t>Описание</t>
  </si>
  <si>
    <t>попълва се от В и К оператора</t>
  </si>
  <si>
    <t>Наименование на В и К оператора:</t>
  </si>
  <si>
    <t>1.1</t>
  </si>
  <si>
    <t>1.2</t>
  </si>
  <si>
    <t>град:</t>
  </si>
  <si>
    <t>1.3</t>
  </si>
  <si>
    <t>ЕИК по БУЛСТАТ:</t>
  </si>
  <si>
    <t>2</t>
  </si>
  <si>
    <t>2.1</t>
  </si>
  <si>
    <t>2.2</t>
  </si>
  <si>
    <t>Прогнозни години:</t>
  </si>
  <si>
    <t>3</t>
  </si>
  <si>
    <t>4</t>
  </si>
  <si>
    <t>4.1</t>
  </si>
  <si>
    <t>4.2</t>
  </si>
  <si>
    <t>4.3</t>
  </si>
  <si>
    <t>5</t>
  </si>
  <si>
    <t>5.1</t>
  </si>
  <si>
    <t>Приложение 1</t>
  </si>
  <si>
    <t>Общи данни за В и К оператора</t>
  </si>
  <si>
    <t>Справки:</t>
  </si>
  <si>
    <t>5.2</t>
  </si>
  <si>
    <t>Приложение 2</t>
  </si>
  <si>
    <t>Техническа част на бизнес плана</t>
  </si>
  <si>
    <t>Приложение 3</t>
  </si>
  <si>
    <t>Икономическа част на бизнес плана</t>
  </si>
  <si>
    <t>Приложение 4</t>
  </si>
  <si>
    <t xml:space="preserve">Социална поносимост и социални дейности </t>
  </si>
  <si>
    <t>ПК1</t>
  </si>
  <si>
    <t>ПК2а</t>
  </si>
  <si>
    <t>ПК2б</t>
  </si>
  <si>
    <t>ПК2в</t>
  </si>
  <si>
    <t>ПК3</t>
  </si>
  <si>
    <t>ПК5</t>
  </si>
  <si>
    <t>ПК7а</t>
  </si>
  <si>
    <t>ПК7б</t>
  </si>
  <si>
    <t>ПК8</t>
  </si>
  <si>
    <t>ПК9</t>
  </si>
  <si>
    <t>ПК10</t>
  </si>
  <si>
    <t>ПК11а</t>
  </si>
  <si>
    <t>ПК11б</t>
  </si>
  <si>
    <t>ПК11в</t>
  </si>
  <si>
    <t>ПК11г</t>
  </si>
  <si>
    <t>ПК12а</t>
  </si>
  <si>
    <t>ПК12б</t>
  </si>
  <si>
    <t>ПК12в</t>
  </si>
  <si>
    <t>ПК12г</t>
  </si>
  <si>
    <t>ПК13</t>
  </si>
  <si>
    <t>ПК14а</t>
  </si>
  <si>
    <t>ПК14б</t>
  </si>
  <si>
    <t>ПК15а</t>
  </si>
  <si>
    <t>ПК15б</t>
  </si>
  <si>
    <t>Приложение № 1</t>
  </si>
  <si>
    <t>1</t>
  </si>
  <si>
    <t>Данни за търговското дружество</t>
  </si>
  <si>
    <t>Наименование на дружеството:</t>
  </si>
  <si>
    <t>Седалище:</t>
  </si>
  <si>
    <t>1.4</t>
  </si>
  <si>
    <t>Адрес на управление:</t>
  </si>
  <si>
    <t>1.5</t>
  </si>
  <si>
    <t>Дружеството се представлява от:</t>
  </si>
  <si>
    <t>1.6</t>
  </si>
  <si>
    <t>Рег.номер по ЗЗЛД в КЗЛД:</t>
  </si>
  <si>
    <t>1.7</t>
  </si>
  <si>
    <t>Рег.номер по ЗДДС, издаден на:</t>
  </si>
  <si>
    <t>1.8</t>
  </si>
  <si>
    <t>В и К оператор по силата на:</t>
  </si>
  <si>
    <t>1.9</t>
  </si>
  <si>
    <t>Съдружници/акционери; дялове</t>
  </si>
  <si>
    <t xml:space="preserve">Адрес за кореспонденция: </t>
  </si>
  <si>
    <t xml:space="preserve">Лица за кореспонденция: </t>
  </si>
  <si>
    <t>2.2.1</t>
  </si>
  <si>
    <t>сл. тел.:</t>
  </si>
  <si>
    <t>мобилен тел.:</t>
  </si>
  <si>
    <t xml:space="preserve">факс: </t>
  </si>
  <si>
    <t>e-mail:</t>
  </si>
  <si>
    <t>2.2.2</t>
  </si>
  <si>
    <t xml:space="preserve">Секретар: </t>
  </si>
  <si>
    <t>Мярка</t>
  </si>
  <si>
    <t>І.</t>
  </si>
  <si>
    <t>Доставяне на вода на потребители</t>
  </si>
  <si>
    <t>2.3</t>
  </si>
  <si>
    <t>%</t>
  </si>
  <si>
    <t>3.1</t>
  </si>
  <si>
    <t>3.2</t>
  </si>
  <si>
    <t>ІІ.</t>
  </si>
  <si>
    <t>Отвеждане на отпадъчни води</t>
  </si>
  <si>
    <t>Отведени количества отпадъчни води</t>
  </si>
  <si>
    <t>7.1</t>
  </si>
  <si>
    <t>Битови и приравнените към тях обществени, търговски и др.</t>
  </si>
  <si>
    <t>7.2</t>
  </si>
  <si>
    <t>Промишлени и други стопански потребители</t>
  </si>
  <si>
    <t>степен на замърсяване 1</t>
  </si>
  <si>
    <t>степен на замърсяване 2</t>
  </si>
  <si>
    <t>степен на замърсяване 3</t>
  </si>
  <si>
    <t>ІІІ.</t>
  </si>
  <si>
    <t>Пречистване на отпадъчни води</t>
  </si>
  <si>
    <t>Пречистени  количества отпадъчни води</t>
  </si>
  <si>
    <t>Пречистени количества отпадъчна вода според:</t>
  </si>
  <si>
    <t>Указания за попълване на справката</t>
  </si>
  <si>
    <t>1. Попълват се само клетките в жълт цвят</t>
  </si>
  <si>
    <t>Приложение № 3</t>
  </si>
  <si>
    <t>(хил. лв.)</t>
  </si>
  <si>
    <t>Дейности</t>
  </si>
  <si>
    <t>Отчет</t>
  </si>
  <si>
    <t>Разчет</t>
  </si>
  <si>
    <t>Общо:</t>
  </si>
  <si>
    <t>Остатъчна стойност от предишния период</t>
  </si>
  <si>
    <t>Получен през периода</t>
  </si>
  <si>
    <t>Погасяване на главници</t>
  </si>
  <si>
    <t>Лихви</t>
  </si>
  <si>
    <t>Лихви (%)</t>
  </si>
  <si>
    <t>Общо погасителни вноски</t>
  </si>
  <si>
    <t>Остатък главница</t>
  </si>
  <si>
    <t xml:space="preserve"> </t>
  </si>
  <si>
    <t xml:space="preserve">№ </t>
  </si>
  <si>
    <t>Наименование</t>
  </si>
  <si>
    <t>1.</t>
  </si>
  <si>
    <t>2.</t>
  </si>
  <si>
    <t>Доставяне на вода на потребителите</t>
  </si>
  <si>
    <t>Отвеждане на отпадъчните води</t>
  </si>
  <si>
    <t>Пречистване на отпадъчните води</t>
  </si>
  <si>
    <t>Доставяне вода на потребителите</t>
  </si>
  <si>
    <t>Съоръжения</t>
  </si>
  <si>
    <t>Транспортни средства</t>
  </si>
  <si>
    <t>Други ДМА</t>
  </si>
  <si>
    <t xml:space="preserve">Програмни продукти </t>
  </si>
  <si>
    <t>Продукти от развойна дейност</t>
  </si>
  <si>
    <t>Други ДНМА</t>
  </si>
  <si>
    <t>Земя</t>
  </si>
  <si>
    <t>Годишна амортизационна квота</t>
  </si>
  <si>
    <t>3.</t>
  </si>
  <si>
    <t xml:space="preserve">Начислена до момента амортизация </t>
  </si>
  <si>
    <t>4.</t>
  </si>
  <si>
    <t>Балансова стойност</t>
  </si>
  <si>
    <t>Разходи по икономически елементи</t>
  </si>
  <si>
    <t>Регулирана дейност</t>
  </si>
  <si>
    <t>Нерегулирана дейност</t>
  </si>
  <si>
    <t>Разходи за материали</t>
  </si>
  <si>
    <t xml:space="preserve">материали </t>
  </si>
  <si>
    <t xml:space="preserve"> - за обеззаразяване</t>
  </si>
  <si>
    <t xml:space="preserve"> - за коагуланти</t>
  </si>
  <si>
    <t xml:space="preserve"> - за флокуланти</t>
  </si>
  <si>
    <t xml:space="preserve"> - за ЛТК (лабораторно-технологични комплекси)</t>
  </si>
  <si>
    <t>електроенергия за технологични нужди</t>
  </si>
  <si>
    <t>горива и смазочни материали</t>
  </si>
  <si>
    <t>1.3.1</t>
  </si>
  <si>
    <t xml:space="preserve"> -за технологични нужди</t>
  </si>
  <si>
    <t>работно облекло</t>
  </si>
  <si>
    <t>канцеларски материали</t>
  </si>
  <si>
    <t>други</t>
  </si>
  <si>
    <t>Разходи за външни услуги</t>
  </si>
  <si>
    <t>застраховки</t>
  </si>
  <si>
    <t>разходи за доставяне на вода на входа на ВС от друг доставчик</t>
  </si>
  <si>
    <t>2.4</t>
  </si>
  <si>
    <t>наеми, в т.ч. и оперативен лизинг</t>
  </si>
  <si>
    <t>2.5</t>
  </si>
  <si>
    <t>съобщителни услуги</t>
  </si>
  <si>
    <t>2.6</t>
  </si>
  <si>
    <t>транспортни услуги</t>
  </si>
  <si>
    <t>2.7</t>
  </si>
  <si>
    <t>вода, осветление и отопление</t>
  </si>
  <si>
    <t>2.8</t>
  </si>
  <si>
    <t>разходи за публикации</t>
  </si>
  <si>
    <t>2.9</t>
  </si>
  <si>
    <t xml:space="preserve"> - юридически</t>
  </si>
  <si>
    <t xml:space="preserve"> - финансово-счетоводни и одиторски</t>
  </si>
  <si>
    <t xml:space="preserve"> - технически</t>
  </si>
  <si>
    <t>2.10</t>
  </si>
  <si>
    <t>въоръжена и противопожарна охрана</t>
  </si>
  <si>
    <t>2.11</t>
  </si>
  <si>
    <t>суми по договори за инкасиране</t>
  </si>
  <si>
    <t>2.12</t>
  </si>
  <si>
    <t>съдебни разходи</t>
  </si>
  <si>
    <t>2.13</t>
  </si>
  <si>
    <t>3.1.</t>
  </si>
  <si>
    <t>3.2.</t>
  </si>
  <si>
    <t>разходи за трудови възнаграждения</t>
  </si>
  <si>
    <t>социални разходи</t>
  </si>
  <si>
    <t>Други разходи</t>
  </si>
  <si>
    <t>6.1</t>
  </si>
  <si>
    <t>безплатна храна, съгласно нормативен документ</t>
  </si>
  <si>
    <t>6.2</t>
  </si>
  <si>
    <t>охрана на труда</t>
  </si>
  <si>
    <t>6.3</t>
  </si>
  <si>
    <t>служебни карти и пътувания</t>
  </si>
  <si>
    <t>6.4</t>
  </si>
  <si>
    <t>командировки</t>
  </si>
  <si>
    <t>6.5</t>
  </si>
  <si>
    <t>ОБЩО РАЗХОДИ</t>
  </si>
  <si>
    <t>Приложение № 4</t>
  </si>
  <si>
    <t>Показател</t>
  </si>
  <si>
    <t xml:space="preserve">Мярка </t>
  </si>
  <si>
    <t xml:space="preserve">Цена за доставяне на вода на потребителите </t>
  </si>
  <si>
    <r>
      <t>лв./куб.м (</t>
    </r>
    <r>
      <rPr>
        <i/>
        <sz val="9"/>
        <rFont val="Times New Roman"/>
        <family val="1"/>
        <charset val="204"/>
      </rPr>
      <t>без ДДС</t>
    </r>
    <r>
      <rPr>
        <sz val="9"/>
        <rFont val="Times New Roman"/>
        <family val="1"/>
        <charset val="204"/>
      </rPr>
      <t>)</t>
    </r>
  </si>
  <si>
    <t xml:space="preserve">Цена за отвеждане на отпадъчни води  </t>
  </si>
  <si>
    <t xml:space="preserve">Цена за пречистване на отпадъчни води  </t>
  </si>
  <si>
    <r>
      <t>лв./куб.м (</t>
    </r>
    <r>
      <rPr>
        <b/>
        <i/>
        <sz val="9"/>
        <rFont val="Times New Roman"/>
        <family val="1"/>
        <charset val="204"/>
      </rPr>
      <t>с ДДС</t>
    </r>
    <r>
      <rPr>
        <b/>
        <sz val="9"/>
        <rFont val="Times New Roman"/>
        <family val="1"/>
        <charset val="204"/>
      </rPr>
      <t>)</t>
    </r>
  </si>
  <si>
    <t>Минимално битово потребление</t>
  </si>
  <si>
    <t>куб.м/мес. на 1 човек</t>
  </si>
  <si>
    <t>лева</t>
  </si>
  <si>
    <t>Средно месечен доход на лице от домакинството в региона</t>
  </si>
  <si>
    <t>лева за месец</t>
  </si>
  <si>
    <t>Социална поносимост на цената на ВиК услугите</t>
  </si>
  <si>
    <t xml:space="preserve">лв./куб.м </t>
  </si>
  <si>
    <t xml:space="preserve">Описание </t>
  </si>
  <si>
    <t>Възвръщаемост за съответната В и К услуга</t>
  </si>
  <si>
    <t>хил.лв.</t>
  </si>
  <si>
    <t>Признати годишни разходи за съответната В и К услуга</t>
  </si>
  <si>
    <t>Необходими годишни приходи за съответната В и К услуга</t>
  </si>
  <si>
    <t>Отведени и пречистени количества вода</t>
  </si>
  <si>
    <t>Количества за битови и приравнени на тях потребители</t>
  </si>
  <si>
    <t>Количества за промишлени и други стопански потребители според степента на замърсяване</t>
  </si>
  <si>
    <t xml:space="preserve"> Коефициенти за разпределение на необходимите приходи</t>
  </si>
  <si>
    <t>Коефициент за замърсеност степен 1</t>
  </si>
  <si>
    <t>Коефициент за замърсеност степен 2</t>
  </si>
  <si>
    <t>Коефициент за замърсеност степен 3</t>
  </si>
  <si>
    <t>Регулаторна база на активите</t>
  </si>
  <si>
    <t xml:space="preserve">Оборотен капитал </t>
  </si>
  <si>
    <t>Показатели за определяне на небходимия оборотен капитал (ОК)</t>
  </si>
  <si>
    <t>5.</t>
  </si>
  <si>
    <t>Нетен цикъл на оборотния капитал</t>
  </si>
  <si>
    <t>дни</t>
  </si>
  <si>
    <t>6.</t>
  </si>
  <si>
    <t>Брой нетни цикли на оборотния капитал в годината</t>
  </si>
  <si>
    <t>-</t>
  </si>
  <si>
    <t>7.</t>
  </si>
  <si>
    <t>Годишни парични разходи за дейността "Доставяне на вода на потребителите"</t>
  </si>
  <si>
    <t>Признати годишни разходи за дейността</t>
  </si>
  <si>
    <t>8.</t>
  </si>
  <si>
    <t>Годишни парични разходи за дейността "Отвеждане на отпадъчни води"</t>
  </si>
  <si>
    <t>Годишни парични разходи за дейността "Пречистване на отпадъчни води"</t>
  </si>
  <si>
    <t>ОК за дейността "Доставяне на вода на потребителите"</t>
  </si>
  <si>
    <t>ОК за дейността "Отвеждане на отпадъчни води"</t>
  </si>
  <si>
    <t>ОК за дейността "Пречистване на отпадъчни води"</t>
  </si>
  <si>
    <t>хил. лв.</t>
  </si>
  <si>
    <t>Данъчни задължения</t>
  </si>
  <si>
    <t>Дял на собствения капитал</t>
  </si>
  <si>
    <t>Дял на привлечения капитал</t>
  </si>
  <si>
    <t xml:space="preserve">Възвръщаемост </t>
  </si>
  <si>
    <t>лв./куб.м</t>
  </si>
  <si>
    <t>Инвестиции</t>
  </si>
  <si>
    <t>iD96</t>
  </si>
  <si>
    <t>Източници за финансиране, общо, в т.ч.:</t>
  </si>
  <si>
    <t>Планирани инвестиции, общо:</t>
  </si>
  <si>
    <t>График за изграждане по години, (хил.лв.)</t>
  </si>
  <si>
    <t>Отчетна стойност</t>
  </si>
  <si>
    <t>1.1.1</t>
  </si>
  <si>
    <t>1.1.2</t>
  </si>
  <si>
    <t>1.1.3</t>
  </si>
  <si>
    <t>1.1.4</t>
  </si>
  <si>
    <t>Минимален месечен разход за вода на член от домакинството</t>
  </si>
  <si>
    <t xml:space="preserve">Количества доставена вода </t>
  </si>
  <si>
    <t>Приложение 5</t>
  </si>
  <si>
    <t>Ценови модел</t>
  </si>
  <si>
    <t>Приложение 6</t>
  </si>
  <si>
    <t>Справка № 2 - Променливи за изчисление на показателите за качество на предоставяните В и К услуги</t>
  </si>
  <si>
    <t xml:space="preserve">Справка № 3 - Показатели за качество на предоставяните В и К услуги </t>
  </si>
  <si>
    <t>Приложение № 5</t>
  </si>
  <si>
    <t>Ел.енергия</t>
  </si>
  <si>
    <t>кВтч</t>
  </si>
  <si>
    <t>Обобщена справка за консумацията и производството на ел.енергия</t>
  </si>
  <si>
    <t>Енергийна ефективност</t>
  </si>
  <si>
    <t>6.2.1</t>
  </si>
  <si>
    <t>Описание на проекта</t>
  </si>
  <si>
    <t>Код 
счетоводна сметка 
ДМА</t>
  </si>
  <si>
    <t xml:space="preserve">рехабилитация и изграждане на нови </t>
  </si>
  <si>
    <t>Сондажи и каптажи</t>
  </si>
  <si>
    <t>Санитарно-охранителни зони</t>
  </si>
  <si>
    <t>Довеждащи съоръжения</t>
  </si>
  <si>
    <t xml:space="preserve">реконструкции и изграждане на нови довеждащи  водопроводи </t>
  </si>
  <si>
    <t>Пречиствателни станции за питейни води</t>
  </si>
  <si>
    <t>сгради,съоръжения и оборудване</t>
  </si>
  <si>
    <t>Помпени станции</t>
  </si>
  <si>
    <t>Хидрофори</t>
  </si>
  <si>
    <t>Рехабилитация  и разширение на водопроводната мрежа над 10 м</t>
  </si>
  <si>
    <t>реконструкции и изграждане на нови  водопроводи над 10 м</t>
  </si>
  <si>
    <t>Сградни водопроводни отклонения</t>
  </si>
  <si>
    <t>подмяна и изграждане на нови</t>
  </si>
  <si>
    <t>Кранове и хидранти</t>
  </si>
  <si>
    <t xml:space="preserve">Управление на налягането </t>
  </si>
  <si>
    <t>Проучване и моделиране на водопроводната мрежа</t>
  </si>
  <si>
    <t>разходи за персонал, външни услуги и СМР за проучване и моделиране</t>
  </si>
  <si>
    <t>разширение на СКАДА и оборудване</t>
  </si>
  <si>
    <t>Лаборатория за питейни води</t>
  </si>
  <si>
    <t>апаратура и оборудване</t>
  </si>
  <si>
    <t>Лекотоварни автомобили за водоснабдяване</t>
  </si>
  <si>
    <t>покупка на нови и капиталов ремонт на съществуващи</t>
  </si>
  <si>
    <t>Тежкотоварни автомобили за водоснабдяване</t>
  </si>
  <si>
    <t>Строителна и специализирана механизация за водоснабдяване</t>
  </si>
  <si>
    <t>Канализационни помпени станции</t>
  </si>
  <si>
    <t>Рехабилитация  и разширение на канализационната мрежа над 10 м</t>
  </si>
  <si>
    <t>реконструкции и изграждане на нови канали над 10 м</t>
  </si>
  <si>
    <t>Сградни канализационни отклонения</t>
  </si>
  <si>
    <t>Проучване и моделиране на канализационната мрежа</t>
  </si>
  <si>
    <t>Лекотоварни автомобили  за канализация</t>
  </si>
  <si>
    <t>Тежкотоварни автомобили  за канализация</t>
  </si>
  <si>
    <t>Пречиствателни станции за отпадъчни води</t>
  </si>
  <si>
    <t>Лаборатория за отпадъчни води</t>
  </si>
  <si>
    <t>Лекотоварни автомобили  за  ПСОВ</t>
  </si>
  <si>
    <t>Тежкотоварни автомобили  за  ПСОВ</t>
  </si>
  <si>
    <t>Строителна и специализирана механизация  за ПСОВ</t>
  </si>
  <si>
    <t>Приходни водомери</t>
  </si>
  <si>
    <t>Приходни водомери с дистанционно отчитане</t>
  </si>
  <si>
    <t>Административни и обслужващи сгради и конструкции</t>
  </si>
  <si>
    <t>изграждане на нови и капиталов ремонт на съществуващи</t>
  </si>
  <si>
    <t>Стопански инвентар и офис оборудване</t>
  </si>
  <si>
    <t>покупка на нов и капиталов ремонт на съществуващ</t>
  </si>
  <si>
    <t>покупка на нови и надграждане и разширяване на съществуващи</t>
  </si>
  <si>
    <t>ИТ хардуер</t>
  </si>
  <si>
    <t>% Водоснабдяване:</t>
  </si>
  <si>
    <t>% Пречистване:</t>
  </si>
  <si>
    <t>ДРУГИ ИНВЕСТИЦИИ- разпределение:</t>
  </si>
  <si>
    <t>ОБЩО ИНВЕСТИЦИИ след разпределение:</t>
  </si>
  <si>
    <t>I.</t>
  </si>
  <si>
    <t>Собствени Дълготрайни Активи</t>
  </si>
  <si>
    <t>Сгради и конструкции</t>
  </si>
  <si>
    <t>Машини, апаратура и специализирано оборудване</t>
  </si>
  <si>
    <t>Строителна и специализирана механизация</t>
  </si>
  <si>
    <t>Ел. оборудване</t>
  </si>
  <si>
    <t xml:space="preserve">Измервателни устройства </t>
  </si>
  <si>
    <t xml:space="preserve"> Друго специализирано оборудване</t>
  </si>
  <si>
    <t xml:space="preserve"> Тежкотоварни</t>
  </si>
  <si>
    <t>Лекотоварни</t>
  </si>
  <si>
    <t>Автомобили</t>
  </si>
  <si>
    <t>Компютърна техника</t>
  </si>
  <si>
    <t>Дълготрайни материални активи в процес на изграждане</t>
  </si>
  <si>
    <t>Нематериални активи в процес на изграждане</t>
  </si>
  <si>
    <t>II.</t>
  </si>
  <si>
    <t>Ел. съоръжения</t>
  </si>
  <si>
    <t>Каптажи</t>
  </si>
  <si>
    <t>Сондажни и шахтови кладенци</t>
  </si>
  <si>
    <t xml:space="preserve">Водопроводи, вкл.СВО </t>
  </si>
  <si>
    <t>Канализация, вкл. СКО</t>
  </si>
  <si>
    <t>Съоръжения в пречиствателни, помпени, хлораторни станции и резервоари</t>
  </si>
  <si>
    <t>Други ВиК съоръжения</t>
  </si>
  <si>
    <t>III.</t>
  </si>
  <si>
    <t>Административни и обслужващи сгради</t>
  </si>
  <si>
    <t>Производствени сгради</t>
  </si>
  <si>
    <t>Машини</t>
  </si>
  <si>
    <t>Апаратура</t>
  </si>
  <si>
    <t>Ел. табла</t>
  </si>
  <si>
    <t>ВиК оборудване</t>
  </si>
  <si>
    <t>Трафопост</t>
  </si>
  <si>
    <t>Електропровод</t>
  </si>
  <si>
    <t>ВиК съоръжения</t>
  </si>
  <si>
    <t>Други съоръжения</t>
  </si>
  <si>
    <t>Офис оборудване</t>
  </si>
  <si>
    <t>1.3.2</t>
  </si>
  <si>
    <t>други разходи за материали</t>
  </si>
  <si>
    <t>1.7.1</t>
  </si>
  <si>
    <t>1.7.2</t>
  </si>
  <si>
    <t>1.7.3</t>
  </si>
  <si>
    <t>консултански услуги</t>
  </si>
  <si>
    <t xml:space="preserve"> - други консултантски услуги</t>
  </si>
  <si>
    <t>обучения на персонала</t>
  </si>
  <si>
    <t>2.14</t>
  </si>
  <si>
    <t>други разходи за външни услуги</t>
  </si>
  <si>
    <t>Разходи за амортизации</t>
  </si>
  <si>
    <t>разходи за амортизации на собствени активи</t>
  </si>
  <si>
    <t>Разходи за възнаграждения</t>
  </si>
  <si>
    <t>Разходи за осигуровки</t>
  </si>
  <si>
    <t>Данъци и такси</t>
  </si>
  <si>
    <t>местни данъци и такси</t>
  </si>
  <si>
    <t>такси за регулиране</t>
  </si>
  <si>
    <t>такси за ползване на водни обекти</t>
  </si>
  <si>
    <t>такси  за заустване</t>
  </si>
  <si>
    <t>други данъци и такси</t>
  </si>
  <si>
    <t>7.3</t>
  </si>
  <si>
    <t>7.4</t>
  </si>
  <si>
    <t>7.5</t>
  </si>
  <si>
    <t>7.6</t>
  </si>
  <si>
    <t>7.7</t>
  </si>
  <si>
    <t xml:space="preserve">Вид оперативен ремонт / Направление на оперативен ремонт
</t>
  </si>
  <si>
    <t>Количества (единица мярка)</t>
  </si>
  <si>
    <t>1.1.</t>
  </si>
  <si>
    <t>Ремонт на водоизточници</t>
  </si>
  <si>
    <t>1.2.</t>
  </si>
  <si>
    <t>1.3.</t>
  </si>
  <si>
    <t>Ремонт на участъци от водопроводната мрежа под 10 м</t>
  </si>
  <si>
    <t>1.4.</t>
  </si>
  <si>
    <t>Ремонт на СВО</t>
  </si>
  <si>
    <t>1.5.</t>
  </si>
  <si>
    <t>Ремонт на спирателни кранове и хидранти</t>
  </si>
  <si>
    <t>1.6.</t>
  </si>
  <si>
    <t>1.7.</t>
  </si>
  <si>
    <t>1.8.</t>
  </si>
  <si>
    <t>1.9.</t>
  </si>
  <si>
    <t>1.10.</t>
  </si>
  <si>
    <t>2.1.</t>
  </si>
  <si>
    <t>Ремонт на участъци от канализационна мрежа под 10 м</t>
  </si>
  <si>
    <t>2.2.</t>
  </si>
  <si>
    <t>Ремонт на СКО</t>
  </si>
  <si>
    <t>2.3.</t>
  </si>
  <si>
    <t>2.4.</t>
  </si>
  <si>
    <t>2.5.</t>
  </si>
  <si>
    <t>2.6.</t>
  </si>
  <si>
    <t>3.3.</t>
  </si>
  <si>
    <t>3.4.</t>
  </si>
  <si>
    <t>3.5.</t>
  </si>
  <si>
    <t xml:space="preserve">Наименование </t>
  </si>
  <si>
    <t>ПРИХОДИ</t>
  </si>
  <si>
    <t>Приходи от оперативна дейност</t>
  </si>
  <si>
    <t>Други приходи</t>
  </si>
  <si>
    <t>Приходи от строителство</t>
  </si>
  <si>
    <t>Приходи от финансирания</t>
  </si>
  <si>
    <t>Финансови приходи</t>
  </si>
  <si>
    <t>Приходи от лихви</t>
  </si>
  <si>
    <t>Положит. разлики от операции с фин.активи</t>
  </si>
  <si>
    <t>Положит. разлики от промяна на валут.курсове</t>
  </si>
  <si>
    <t>Други финансови приходи</t>
  </si>
  <si>
    <t xml:space="preserve">РАЗХОДИ </t>
  </si>
  <si>
    <t>Разходи от оперативна дейност</t>
  </si>
  <si>
    <t>Суровини и материали</t>
  </si>
  <si>
    <t>Външни услуги</t>
  </si>
  <si>
    <t>Разходи за социални осигуровки</t>
  </si>
  <si>
    <t xml:space="preserve">Разходи за амортизация </t>
  </si>
  <si>
    <t>Разходи за  обезценка на вземания</t>
  </si>
  <si>
    <t>Разходи за строителство</t>
  </si>
  <si>
    <t xml:space="preserve">Други разходи </t>
  </si>
  <si>
    <t>Финансови разходи</t>
  </si>
  <si>
    <t xml:space="preserve">Разходи за лихви </t>
  </si>
  <si>
    <t>Разходи от обезценка на финансови активи</t>
  </si>
  <si>
    <t>Отрицателни разлики от промяна на валутни курсове</t>
  </si>
  <si>
    <t>Други финансови разходи</t>
  </si>
  <si>
    <t>Печалба/ Загуба от оперативна дейност</t>
  </si>
  <si>
    <t>Печалба/ Загуба преди данъци</t>
  </si>
  <si>
    <t xml:space="preserve"> Разходи за данъци от печалбата</t>
  </si>
  <si>
    <t>Други данъци, алтернативни на корпоративния данък</t>
  </si>
  <si>
    <t>Печалба/ Загуба</t>
  </si>
  <si>
    <t>ПОСТЪПЛЕНИЯ</t>
  </si>
  <si>
    <t>Постъпления от оперативна дейност</t>
  </si>
  <si>
    <t>Постъпления от други приходи</t>
  </si>
  <si>
    <t>Финансови постъпления</t>
  </si>
  <si>
    <t>Постъпления от лихви</t>
  </si>
  <si>
    <t>Постъпления от финансирания</t>
  </si>
  <si>
    <t>Други финансови постъпления</t>
  </si>
  <si>
    <t xml:space="preserve">ПЛАЩАНИЯ </t>
  </si>
  <si>
    <t>Плащания по оперативна дейност:</t>
  </si>
  <si>
    <t>Възнаграждения</t>
  </si>
  <si>
    <t>Социални осигуровки</t>
  </si>
  <si>
    <t>Такси водоползване</t>
  </si>
  <si>
    <t>Такси заустване</t>
  </si>
  <si>
    <t>Такса регулиране</t>
  </si>
  <si>
    <t>Други плащания по оперативна дейност</t>
  </si>
  <si>
    <t>Други плащания</t>
  </si>
  <si>
    <t>Изплащане на дивиденти към  собственици</t>
  </si>
  <si>
    <t>Финансови и данъчни плащания</t>
  </si>
  <si>
    <t>Плащания на лихви</t>
  </si>
  <si>
    <t>Плащания на заеми</t>
  </si>
  <si>
    <t>Други финансови плащания</t>
  </si>
  <si>
    <t>Данък печалба</t>
  </si>
  <si>
    <t>Нето получен/ платен ДДС</t>
  </si>
  <si>
    <t xml:space="preserve">Други  данъци и такси </t>
  </si>
  <si>
    <t>Нетен паричен поток от оперативна дейност:</t>
  </si>
  <si>
    <t>Нетен паричен поток преди финансирания и данъци:</t>
  </si>
  <si>
    <t>Нетен паричен поток:</t>
  </si>
  <si>
    <t>Салдо на паричните средства в началото на периода:</t>
  </si>
  <si>
    <t>Салдо на паричните средства в края на периода:</t>
  </si>
  <si>
    <t>Призната стойност на ДА</t>
  </si>
  <si>
    <t>Амортизации за периода на използване на ДА</t>
  </si>
  <si>
    <t xml:space="preserve">Дългосрочни задължения по лихвени заеми и кредити за изграждане на извадени от баланса публични ДА </t>
  </si>
  <si>
    <t>Остатък главница към края на текущия период</t>
  </si>
  <si>
    <t>Справка № 5
Персонал</t>
  </si>
  <si>
    <t>Приложение № 6</t>
  </si>
  <si>
    <t>Справка № 5 - Персонал</t>
  </si>
  <si>
    <t>Прогнозни отчети</t>
  </si>
  <si>
    <t>Указания за попълване на справката:</t>
  </si>
  <si>
    <t>Собствена земя</t>
  </si>
  <si>
    <t>Други транспортни средства</t>
  </si>
  <si>
    <t>Земя публична собственост</t>
  </si>
  <si>
    <t xml:space="preserve">ОБЩО отчетна стойност: </t>
  </si>
  <si>
    <t xml:space="preserve">ОБЩО годишна амортизация: </t>
  </si>
  <si>
    <t xml:space="preserve">ОБЩО натрупана амортизация: </t>
  </si>
  <si>
    <t xml:space="preserve">ОБЩО балансова стойност: </t>
  </si>
  <si>
    <t>Тежкотоварни</t>
  </si>
  <si>
    <t xml:space="preserve">Стопански инвентар </t>
  </si>
  <si>
    <t>1. Попълват се само клетките в жълт цвят.</t>
  </si>
  <si>
    <t>4.1.</t>
  </si>
  <si>
    <t>4.2.</t>
  </si>
  <si>
    <t>5.1.</t>
  </si>
  <si>
    <t>5.2.</t>
  </si>
  <si>
    <t xml:space="preserve">Общо количество вода на входа на системата A3/Q4 </t>
  </si>
  <si>
    <t xml:space="preserve">Обща законна консумация iA14/Q5 </t>
  </si>
  <si>
    <t xml:space="preserve">Продадена фактурирана вода Q3 </t>
  </si>
  <si>
    <t>2.1.1</t>
  </si>
  <si>
    <t>битови потребители</t>
  </si>
  <si>
    <t>обществени и търговски потребители</t>
  </si>
  <si>
    <t>стопански потребители</t>
  </si>
  <si>
    <t>2.1.2</t>
  </si>
  <si>
    <t>Нефактурирана измерена консумация на вода Q3A.1</t>
  </si>
  <si>
    <t>Нефактурирана неизмерена консумация на вода Q3A.2</t>
  </si>
  <si>
    <t xml:space="preserve">Търговски загуби на вода Q8 </t>
  </si>
  <si>
    <t>3.1.1</t>
  </si>
  <si>
    <t>Незаконно ползване Q8.1</t>
  </si>
  <si>
    <t>3.1.2</t>
  </si>
  <si>
    <t>Неточност при измерване Q8.2</t>
  </si>
  <si>
    <t xml:space="preserve">Реални загуби на вода Q7 </t>
  </si>
  <si>
    <t>3.2.1</t>
  </si>
  <si>
    <t>Течове във водопроводите за сурова вода и загуби при пречистването Q7.1</t>
  </si>
  <si>
    <t>3.2.2</t>
  </si>
  <si>
    <t>Течове в системата за пренос и разпределение Q7.2</t>
  </si>
  <si>
    <t>3.2.3</t>
  </si>
  <si>
    <t>Течове и препълване на резервоарите за съхранение Q7.3</t>
  </si>
  <si>
    <t>3.2.4</t>
  </si>
  <si>
    <t>Течове в сградните отклонения Q7.4</t>
  </si>
  <si>
    <t xml:space="preserve">Неносеща приходи вода (неотчетена вода) Q9 </t>
  </si>
  <si>
    <t>тон с.в.</t>
  </si>
  <si>
    <t>Произведени утайки от ПСОВ през годината</t>
  </si>
  <si>
    <t>Депонирани утайки, в т.ч.:</t>
  </si>
  <si>
    <t>Остатък утайки към края на периода, в.т.ч.:</t>
  </si>
  <si>
    <t>6</t>
  </si>
  <si>
    <t>лв/тон с.в.</t>
  </si>
  <si>
    <t>2.15</t>
  </si>
  <si>
    <t>Справка № 8 - Ремонтна програма</t>
  </si>
  <si>
    <t>Справка № 9 - Инвестиционна програма</t>
  </si>
  <si>
    <t>Справка № 10 - Инвестиции и източници на финансиране</t>
  </si>
  <si>
    <t>Справка № 11 - Амортизационен план на Дълготрайни Активи</t>
  </si>
  <si>
    <t>Изразходвана ел.енергия за нерегулирана дейност</t>
  </si>
  <si>
    <t>Справка № 13
Анализ на социалната поносимост на предлаганите цени</t>
  </si>
  <si>
    <t>Битови и приравнените към тях потребители</t>
  </si>
  <si>
    <t>Справка № 12 - Годишни разходи</t>
  </si>
  <si>
    <t>Справка № 13 - Анализ на социалната поносимост на предлаганите цени</t>
  </si>
  <si>
    <t>Справка № 14  - Прогнозен отчет за приходите и разходите</t>
  </si>
  <si>
    <t>Справка № 15  - Прогнозен отчет за паричния поток</t>
  </si>
  <si>
    <t>Справка № 16  - Необходими приходи</t>
  </si>
  <si>
    <t>Справка № 17  - Регулаторна база на активите</t>
  </si>
  <si>
    <t>Справка № 18  - Оборотен капитал</t>
  </si>
  <si>
    <t>Оползотворени утайки, произведени в предходната година</t>
  </si>
  <si>
    <t>Оползотворени утайки, произведени през текущата година</t>
  </si>
  <si>
    <t>Депонирани утайки, произведени в предходната година</t>
  </si>
  <si>
    <t>3.3</t>
  </si>
  <si>
    <t>Депонирани утайки, произведени през текущата година</t>
  </si>
  <si>
    <t>Разходи за оползотворяване и депониране на утайки, в т.ч.:</t>
  </si>
  <si>
    <t>Разход за оползотворяване и депониране на тон с.в. утайка</t>
  </si>
  <si>
    <t>Собствени разходи за оползотворяване на утайките</t>
  </si>
  <si>
    <t>Разходи за външни услуги за оползотворяване на утайките</t>
  </si>
  <si>
    <t>Инвестиции в Собствени активи:</t>
  </si>
  <si>
    <t>Инвестиции в Публични активи:</t>
  </si>
  <si>
    <t>% инвестиции, които се заприхождават като активи:</t>
  </si>
  <si>
    <t>Право на ползване на публични активи</t>
  </si>
  <si>
    <t>Общо ополозтворени утайки съгласно методите, описани в Национален план за управление на утайките от градските пречиствателни станции за отпадъчни води, в т.ч.:</t>
  </si>
  <si>
    <t>проверка на  измервателни уреди</t>
  </si>
  <si>
    <t>външни услуги за оползотворяване на утайки</t>
  </si>
  <si>
    <t xml:space="preserve">социални осигуровки </t>
  </si>
  <si>
    <t>7.7.1</t>
  </si>
  <si>
    <t>7.7.2</t>
  </si>
  <si>
    <t>7.7.3</t>
  </si>
  <si>
    <t>7.7.4</t>
  </si>
  <si>
    <t>ОБЩО РАЗХОДИ за оперативен ремонт:</t>
  </si>
  <si>
    <t>разходи за ваучери за храна и други соц. надбавки и помощи за оперативен ремонт</t>
  </si>
  <si>
    <t>социални осигуровки  за оперативен ремонт</t>
  </si>
  <si>
    <t>разходи за трудови възнаграждения за оперативен ремонт</t>
  </si>
  <si>
    <t>външни услуги за оперативен ремонт</t>
  </si>
  <si>
    <t>материали за оперативен ремонт</t>
  </si>
  <si>
    <t>период на амортизация в годината на заприхождаване:</t>
  </si>
  <si>
    <t>Публични Дълготрайни Активи, изградени със собствени средства</t>
  </si>
  <si>
    <t>Публични Дълготрайни Активи, предоставени на ВиК оператора за експлоатация и поддръжка</t>
  </si>
  <si>
    <t>% Отвеждане:</t>
  </si>
  <si>
    <t>ИНВЕСТИЦИИ Водоснабдяване, Отвеждане и Пречистване:</t>
  </si>
  <si>
    <t>Признатите годишни прогнозни разходи за амортизации на активите, използвани за дейността</t>
  </si>
  <si>
    <t>Право на ползване на публични ДА</t>
  </si>
  <si>
    <t>Натрупана амортизация на Право на ползване на публични ДА</t>
  </si>
  <si>
    <t>Справка № 7 - Оползотворяване на утaйки от ПСОВ</t>
  </si>
  <si>
    <t>Измерване на вход  ВС</t>
  </si>
  <si>
    <t xml:space="preserve">Зониране  на водопроводната мрежа-контролно измерване </t>
  </si>
  <si>
    <t>подмяна на съществуващи и монтаж на нови водомери, шахти и водомерни възли на водомерни зони</t>
  </si>
  <si>
    <t>Рехабилитация  и разширение на главни  канализационни колектори и клонове</t>
  </si>
  <si>
    <t>Строителна и специализирана механизация за канализация</t>
  </si>
  <si>
    <t>подмяна на съществуващи и монтаж на нови приходни водомери на СВО, шахти и водомерни възли</t>
  </si>
  <si>
    <t>оборудване за дистанционно отчитане на приходни водомери</t>
  </si>
  <si>
    <t>ГИС</t>
  </si>
  <si>
    <t xml:space="preserve">Резервоари </t>
  </si>
  <si>
    <t>Хлораторни станциии</t>
  </si>
  <si>
    <t>Общи за регулирана дейност</t>
  </si>
  <si>
    <t>СКАДА за отвеждане на отпадъчни води</t>
  </si>
  <si>
    <t>СКАДА за водоснабдяване</t>
  </si>
  <si>
    <t>реконструкции и изграждане на главни канализационни колектори и клонове</t>
  </si>
  <si>
    <t>покупка на нови и капиталов ремонт на съществуващи, за извършване на СМР по водопроводната мрежа</t>
  </si>
  <si>
    <t>СКАДА за пречистване на отпадъчни води</t>
  </si>
  <si>
    <t xml:space="preserve">Автомобили </t>
  </si>
  <si>
    <t xml:space="preserve">Лекотоварни автомобили </t>
  </si>
  <si>
    <t>покупка на нова система и надграждане и разширяване на съществуваща</t>
  </si>
  <si>
    <t xml:space="preserve">разходи за персонал и външни услуги за  изграждане, надграждане и разширение на ГИС </t>
  </si>
  <si>
    <t>Автомобили  за канализация</t>
  </si>
  <si>
    <t>Автомобили  за  ПСОВ</t>
  </si>
  <si>
    <t>Автомобили за водоснабдяване</t>
  </si>
  <si>
    <t>Натурални показатели</t>
  </si>
  <si>
    <t>бр.</t>
  </si>
  <si>
    <t>м</t>
  </si>
  <si>
    <t>м.</t>
  </si>
  <si>
    <t>Права върху интелектуална собственост 
(ГИС, Хидравлични модели, др.)</t>
  </si>
  <si>
    <t>Проверка/
засичане на данни</t>
  </si>
  <si>
    <t>1.11.</t>
  </si>
  <si>
    <t>2.7.</t>
  </si>
  <si>
    <t>3.6.</t>
  </si>
  <si>
    <t>2.16</t>
  </si>
  <si>
    <t>лабораторни проби</t>
  </si>
  <si>
    <t>Собствени ДА и публични ДА, изградени със собствени средства</t>
  </si>
  <si>
    <t>Натрупана амортизация на собствени ДА и на публични ДА, изградени със собствени средства</t>
  </si>
  <si>
    <t xml:space="preserve">Подадена нефактурирана вода A13(Q3A) </t>
  </si>
  <si>
    <t xml:space="preserve">Общи загуби на вода A15(Q6) </t>
  </si>
  <si>
    <t>Дата на изготвяне на справките:</t>
  </si>
  <si>
    <t xml:space="preserve">Управител/Изп.директор: </t>
  </si>
  <si>
    <t xml:space="preserve">Гл. счетоводител/Фин.директор: </t>
  </si>
  <si>
    <t>Гл. техник/Техн. директор:</t>
  </si>
  <si>
    <t>НОРМА НА ВЪЗВРЪЩАЕМОСТ</t>
  </si>
  <si>
    <t>Арматури (спирателни кранове, хидранти, редуцир винтили, въздушници, др.)</t>
  </si>
  <si>
    <t>911102</t>
  </si>
  <si>
    <t>911202</t>
  </si>
  <si>
    <t>91140201</t>
  </si>
  <si>
    <t>91140202</t>
  </si>
  <si>
    <t>91140203</t>
  </si>
  <si>
    <t>91140204</t>
  </si>
  <si>
    <t>91140205</t>
  </si>
  <si>
    <t>91140206</t>
  </si>
  <si>
    <t>91140207</t>
  </si>
  <si>
    <t>91140208</t>
  </si>
  <si>
    <t>91130502</t>
  </si>
  <si>
    <t>9115</t>
  </si>
  <si>
    <t>подмяна на съществуващи и монтаж на нови редуцир вeнтили</t>
  </si>
  <si>
    <t>подмяна на съществуващи и монтаж на нови водомери, водомерни шахти и възли на водоизточници</t>
  </si>
  <si>
    <t>Друго специализирано оборудване за ПСОВ</t>
  </si>
  <si>
    <t>Друго специализирано оборудване за канализация</t>
  </si>
  <si>
    <t>Друго специализирано оборудване за водоснабдяване</t>
  </si>
  <si>
    <t>Оборудване за СКАДА</t>
  </si>
  <si>
    <t>911304</t>
  </si>
  <si>
    <t>91130501</t>
  </si>
  <si>
    <t>91130503</t>
  </si>
  <si>
    <t>911403</t>
  </si>
  <si>
    <t>6.2.2</t>
  </si>
  <si>
    <t>6.2.3</t>
  </si>
  <si>
    <t>2. Постъпленията се посочват със знак "+" , а плащанията - със знак "-".</t>
  </si>
  <si>
    <t>Разходи за социални осигуровки, хил.лв.</t>
  </si>
  <si>
    <t>Ремонт на довеждащи водопроводи</t>
  </si>
  <si>
    <t>Собствени разходи за депониране на утайките</t>
  </si>
  <si>
    <t>Разходи за външни услуги за депониране на утайките</t>
  </si>
  <si>
    <t>разлика</t>
  </si>
  <si>
    <t>2. В случай, че Неносеща приходи вода Q9 не е равна на сбора на компонентите си, на ред "разлика" ще се калкулират стойности различни от нула - което ще покаже необходимост от ревизия на данните в справката</t>
  </si>
  <si>
    <t>2.8.</t>
  </si>
  <si>
    <t>3.7.</t>
  </si>
  <si>
    <t>1.12.</t>
  </si>
  <si>
    <t>1.13.</t>
  </si>
  <si>
    <t>1.14.</t>
  </si>
  <si>
    <t>2.9.</t>
  </si>
  <si>
    <t>3.8.</t>
  </si>
  <si>
    <t>външни услуги за депониране на утайки</t>
  </si>
  <si>
    <t>2.17</t>
  </si>
  <si>
    <t>разходи за амортизации на публични активи, изградени със собствени средства</t>
  </si>
  <si>
    <t xml:space="preserve">разходи за амортизации на публични активи, приети за експлоатация и поддръжка </t>
  </si>
  <si>
    <t>Язовири</t>
  </si>
  <si>
    <t>Водоеми и водохващания</t>
  </si>
  <si>
    <t>2.5 % от средно месечния доход на лице от домакинството</t>
  </si>
  <si>
    <t>Водоеми  и речни водохващания</t>
  </si>
  <si>
    <t>iDMAm</t>
  </si>
  <si>
    <t>iDMAt</t>
  </si>
  <si>
    <t>ПК4а</t>
  </si>
  <si>
    <t>ПК4б</t>
  </si>
  <si>
    <t>Ед. мярка</t>
  </si>
  <si>
    <t>бр/1 000 СВО</t>
  </si>
  <si>
    <t>бр/1 000 СКО</t>
  </si>
  <si>
    <t>бр/100км/год</t>
  </si>
  <si>
    <t>бр/10 000 потреб</t>
  </si>
  <si>
    <t xml:space="preserve">Ниво на покритие с водоснабдителни услуги </t>
  </si>
  <si>
    <t xml:space="preserve">Качество на питейната вода в големи зони на водоснабдяване </t>
  </si>
  <si>
    <t xml:space="preserve">Качество на питейната вода в малки зони на водоснабдяване </t>
  </si>
  <si>
    <t xml:space="preserve">Мониторинг на качеството на питейната вода </t>
  </si>
  <si>
    <t xml:space="preserve">Непрекъснатост на водоснабдяването </t>
  </si>
  <si>
    <t xml:space="preserve">Общи загуби на вода във водоснабдителните системи </t>
  </si>
  <si>
    <t xml:space="preserve">Аварии по водопроводната мрежа </t>
  </si>
  <si>
    <t xml:space="preserve">Налягане във водоснабдителната система </t>
  </si>
  <si>
    <t xml:space="preserve">Ниво на покритие с услуги по отвеждане на отпадъчни води </t>
  </si>
  <si>
    <t>Ниво на покритие с услуги по пречистване на отпадъчни води</t>
  </si>
  <si>
    <t xml:space="preserve">Качество на отпадъчните води  </t>
  </si>
  <si>
    <t xml:space="preserve">Аварии на канализационната мрежа </t>
  </si>
  <si>
    <t xml:space="preserve">Наводнения в имоти на трети лица, причинени от канализацията </t>
  </si>
  <si>
    <t xml:space="preserve">Енергийна ефективност за дейността по пречистване на отпадъчни води </t>
  </si>
  <si>
    <t>Оползотворяване на утайките от ПСОВ</t>
  </si>
  <si>
    <t xml:space="preserve">Рехабилитация на водопроводната мрежа </t>
  </si>
  <si>
    <t xml:space="preserve">Събираемост </t>
  </si>
  <si>
    <t xml:space="preserve">Срок за отговор на писмени жалби на потребителите  </t>
  </si>
  <si>
    <t xml:space="preserve">Присъединяване към водоснабдителната система </t>
  </si>
  <si>
    <t>Присъединяване към канализационната система</t>
  </si>
  <si>
    <t xml:space="preserve">Ефективност на персонала за услугата доставяне на вода на потребителите </t>
  </si>
  <si>
    <t xml:space="preserve">Ефективност на персонала за услугите отвеждане и пречистване </t>
  </si>
  <si>
    <t>ПК</t>
  </si>
  <si>
    <t>ПК11д</t>
  </si>
  <si>
    <t>Активен контрол на течовете</t>
  </si>
  <si>
    <t>ПК12д</t>
  </si>
  <si>
    <t>ПК12е</t>
  </si>
  <si>
    <t xml:space="preserve">Ефективност на привеждане на водомерите в годност </t>
  </si>
  <si>
    <t xml:space="preserve">Ефективност на изграждане на водомерното стопанство </t>
  </si>
  <si>
    <t>Дългосрочно ниво</t>
  </si>
  <si>
    <r>
      <t>м</t>
    </r>
    <r>
      <rPr>
        <vertAlign val="superscript"/>
        <sz val="10"/>
        <rFont val="Times New Roman"/>
        <family val="1"/>
      </rPr>
      <t>3</t>
    </r>
    <r>
      <rPr>
        <sz val="10"/>
        <rFont val="Times New Roman"/>
        <family val="1"/>
      </rPr>
      <t xml:space="preserve">/год </t>
    </r>
  </si>
  <si>
    <t>iA10</t>
  </si>
  <si>
    <t>iA21</t>
  </si>
  <si>
    <t>брой</t>
  </si>
  <si>
    <t xml:space="preserve">Общ брой на направените анализи за качество на питейните води в големи зони на водоснабдяване за отчетната година, които отговарят на изискванията на приложимите стандарти или законови разпоредби. </t>
  </si>
  <si>
    <t>Общ брой анализи за показатели с индикаторно значение за качеството на питейната вода, отговарящи на нормативните изисквания, в големи зони на водоснабдяване;</t>
  </si>
  <si>
    <t>Общ брой анализи по микробиологични показатели за качество на питейната вода, отговарящи на нормативните изисквания, в големи зони на водоснабдяване;</t>
  </si>
  <si>
    <t>Общ брой анализи по физико-химични показатели за качество на питейната вода, отговарящи на нормативните изисквания, в големи зони на водоснабдяване;</t>
  </si>
  <si>
    <t>Общ брой анализи по радиоактивни показатели за качество на питейната вода, отговарящи на нормативните изисквания, в големи зони на водоснабдяване.</t>
  </si>
  <si>
    <t xml:space="preserve">Общ брой на направените анализи за качество на питейните води в големи зони на водоснабдяване, с изключение на анализите, които показват отклонения, разрешени по реда на наредбата по чл. 135, т. 3 от Закона за водите. </t>
  </si>
  <si>
    <t>Общ брой анализи за показатели с индикаторно значение за качеството на питейната вода в големи зони на водоснабдяване;</t>
  </si>
  <si>
    <t>Общ брой анализи по микробиологични показатели за качество на питейната вода в големи зони на водоснабдяване;</t>
  </si>
  <si>
    <t>Общ брой анализи по физико-химични показатели за качество на питейната вода в големи зони на водоснабдяване;</t>
  </si>
  <si>
    <t>Общ брой анализи по радиоактивни показатели за качество на питейната вода в големи зони на водоснабдяване.</t>
  </si>
  <si>
    <t xml:space="preserve">Общ брой на направените анализи за качество на питейните води в малки зони на водоснабдяване, които отговарят на изискванията на приложимите стандарти или законови разпоредби. </t>
  </si>
  <si>
    <t>Общ брой анализи за показатели с индикаторно значение за качеството на питейната вода, отговарящи на нормативните изисквания в малки зони на водоснабдяване;</t>
  </si>
  <si>
    <t>Общ брой анализи по микробиологични показатели за качество на питейната вода, отговарящи на нормативните изисквания в малки зони на водоснабдяване;</t>
  </si>
  <si>
    <t>Общ брой анализи по физико-химични показатели за качество на питейната вода, отговарящи на нормативните изисквания в малки зони на водоснабдяване;</t>
  </si>
  <si>
    <t>Общ брой анализи по радиоактивни показатели за качество на питейната вода, отговарящи на нормативните изисквания в малки зони на водоснабдяване.</t>
  </si>
  <si>
    <t xml:space="preserve">Общ брой на направените анализи за качество на питейните води в малки зони на водоснабдяване, с изключение на анализите, които показват отклонения, разрешени по реда на наредбата по чл. 135, ал. 1, т. 3 от Закона за водите. </t>
  </si>
  <si>
    <t>Общ брой анализи за показатели с индикаторно значение за качеството на питейната вода в малки зони на водоснабдяване;</t>
  </si>
  <si>
    <t>Общ брой анализи по микробиологични показатели за качество на питейната вода в малки зони на водоснабдяване;</t>
  </si>
  <si>
    <t>Общ брой анализи по физико-химични показатели за качество на питейната вода в малки зони на водоснабдяване;</t>
  </si>
  <si>
    <t>Общ брой анализи по радиоактивни показатели за качество на питейната вода в малки зони на водоснабдяване.</t>
  </si>
  <si>
    <t>Общ брой на зоните на водоснабдяване с изпълнен мониторинг</t>
  </si>
  <si>
    <t>Общ брой на зоните на водоснабдяване в обслужваната от ВиК оператора територия.</t>
  </si>
  <si>
    <t xml:space="preserve">Сумата от общия брой на населението засегнато от прекъсвания на водоснабдяването в обслужваната от оператора територия и продължителността на съответстващите прекъсвания (в часове в разглеждания период). </t>
  </si>
  <si>
    <t>брой/часове</t>
  </si>
  <si>
    <t>Подадена вода на вход водоснабдителна система (Q4, съгласно Наредба № 1 от 5.05.2006 г. за утвърждаване на Методика за определяне на допустимите загуби на вода във водоснабдителните системи</t>
  </si>
  <si>
    <t>Неносеща приходи вода (Q9 съгласно Наредба № 1 от 5.05.2006 г. за утвърждаване на Методика за определяне на допустимите загуби на вода във водоснабдителните системи, като се изключва водата подадена към друг оператор</t>
  </si>
  <si>
    <t>Продадена фактурирана вода (Q3, съгласно Наредба № 1 от 5.05.2006 г. за утвърждаване на Методика за определяне на допустимите загуби на вода във водоснабдителните системи, като се изключва водата подадена към друг оператор</t>
  </si>
  <si>
    <t>км</t>
  </si>
  <si>
    <t xml:space="preserve">Общ брой аварии по водопроводната мрежа, включително по арматури и фитинги </t>
  </si>
  <si>
    <t>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t>
  </si>
  <si>
    <t xml:space="preserve">Общ брой на водомерни зони в обслужваната от ВиК оператора територия. </t>
  </si>
  <si>
    <t xml:space="preserve">Общ брой потребители, обслужвани от оператора, които ползват услуга доставяне на вода на потребителите  </t>
  </si>
  <si>
    <t xml:space="preserve">Общ брой проби за качество на отпадъчните води, изискуеми съгласно разрешителните за заустване  </t>
  </si>
  <si>
    <t xml:space="preserve">Брой проби, отговарящи на условията, включени в разрешителните за заустване за разглеждания период  </t>
  </si>
  <si>
    <t xml:space="preserve">Брой запушвания на канализационната мрежа, различни от тези в сградните канализационни отклонения за разглеждания период  </t>
  </si>
  <si>
    <t xml:space="preserve">Брой аварии на канализационната мрежа поради структурно разрушаване на канала за разглеждания период  </t>
  </si>
  <si>
    <t xml:space="preserve">Брой запушвания  в сградните канализационни отклонения за разглеждания период  </t>
  </si>
  <si>
    <t xml:space="preserve">км </t>
  </si>
  <si>
    <t xml:space="preserve">Обща дължина на канализационната мрежа, експлоатирана от ВиК оператора </t>
  </si>
  <si>
    <t xml:space="preserve">Общо количество на изразходваната електрическа енергия, за добив, пречистване и доставка на вода от ВиК оператора  </t>
  </si>
  <si>
    <t xml:space="preserve">Общо количество на сухото тегло на утайките от експлоатираните от В и К оператора ПСОВ, произведени през годината, предхождаща отчетната година, и оползотворени до края на отчетната година </t>
  </si>
  <si>
    <t xml:space="preserve">Общо количество на постъпила за пречистване вода на вход ПСОВ, експлоатирани от ВиК оператора </t>
  </si>
  <si>
    <t xml:space="preserve">Обща дължина на рехабилитираната водопроводна мрежа  </t>
  </si>
  <si>
    <t>лв</t>
  </si>
  <si>
    <t xml:space="preserve">Обща сума на приходите от оперативна дейност от услуга доставяне на вода на потребителите  </t>
  </si>
  <si>
    <t xml:space="preserve">Обща сума на отчетените разходи за услуга доставяне на вода на потребителите съгласно ЕСРО </t>
  </si>
  <si>
    <t xml:space="preserve">Обща сума на приходите от оперативна дейност от услугата отвеждане на отпадъчни води  </t>
  </si>
  <si>
    <t xml:space="preserve">Обща сума на отчетените разходи за услугата отвеждане на отпадъчни води съгласно ЕСРО  </t>
  </si>
  <si>
    <t xml:space="preserve">Обща сума на приходите от оперативна дейност от услугата пречистване на отпадъчни води  </t>
  </si>
  <si>
    <t xml:space="preserve">Обща сума на отчетените разходи за услуга пречистване на отпадъчни води съгласно ЕСРО  </t>
  </si>
  <si>
    <t>Общо количество на сухото тегло на утайките от ПСОВ, експлоатирани от ВиК оператора, произведени през годината, предхождаща отчетната година (тон сухо вещество).</t>
  </si>
  <si>
    <t xml:space="preserve">Качество на информацията   </t>
  </si>
  <si>
    <t>D9</t>
  </si>
  <si>
    <t xml:space="preserve">лв с вкл. ДДС </t>
  </si>
  <si>
    <t>iD45</t>
  </si>
  <si>
    <t xml:space="preserve">Обща сума на приходите от продажби на водоснабдителни и канализационни услуги за годината  </t>
  </si>
  <si>
    <t xml:space="preserve">Обща сума на вземанията от потребители и доставчици към края на годината  </t>
  </si>
  <si>
    <t xml:space="preserve">Обща сума на вземанията от потребители и доставчици за предходната година </t>
  </si>
  <si>
    <t>iE6</t>
  </si>
  <si>
    <t>Общ брой водомери на СВО (средства за измерване).</t>
  </si>
  <si>
    <t>iD44</t>
  </si>
  <si>
    <t>Общ брой водомери на СВО (средства за измерване), които са в техническа и метрологична годност и отговарят на одобрения тип</t>
  </si>
  <si>
    <t>Общ брой водомери на СВО (средства за измерване), които са приведени в техническа и метрологична годност през отчетната година и отговарят на одобрения тип, и които са монтирани на СВО през отчетната година</t>
  </si>
  <si>
    <t>Група</t>
  </si>
  <si>
    <t>Население</t>
  </si>
  <si>
    <t xml:space="preserve">Общ брой потребители, обслужвани от оператора, които ползват услуга отвеждане на отпадъчни води </t>
  </si>
  <si>
    <t xml:space="preserve">Общ брой потребители, обслужвани от оператора, които ползват услуга пречистване на отпадъчни води </t>
  </si>
  <si>
    <t>Потребители</t>
  </si>
  <si>
    <t>Качество на питейната вода - големи зони на водоснабдяване</t>
  </si>
  <si>
    <t>Качество на питейната вода - малки зони на водоснабдяване</t>
  </si>
  <si>
    <t>Общ брой населени места в обособената територия, обслужвана от оператора за разглеждания период, в които се предоставя услугата доставяне на вода</t>
  </si>
  <si>
    <t>Общ брой населени места в обособената територия, обслужвана от оператора за разглеждания период, в които се предоставя услугата отвеждане на отпадъчни води</t>
  </si>
  <si>
    <t>Общ брой населени места в обособената територия, обслужвана от оператора за разглеждания период, в които се предоставя услугата пречистване на отпадъчни води</t>
  </si>
  <si>
    <t>Общ брой населени места в обособената територия, обслужвана от оператора за разглеждания период</t>
  </si>
  <si>
    <t>Населени места</t>
  </si>
  <si>
    <t>ВиК активи</t>
  </si>
  <si>
    <t>Общ брой пречиствателни станции за питейни води (ПСПВ)</t>
  </si>
  <si>
    <t>Общ брой резервоари (водоеми)</t>
  </si>
  <si>
    <t>Общ брой водоснабдителни помпени станции (ВПС)</t>
  </si>
  <si>
    <t>Общ брой канализационни помпени станции (КПС)</t>
  </si>
  <si>
    <t>Общ брой пречиствателни станции за отпадъчни води (ПСОВ)</t>
  </si>
  <si>
    <t>Прекъсвания и аварии</t>
  </si>
  <si>
    <t>Качество на отпадъчни води</t>
  </si>
  <si>
    <t>Обща дължина на водопроводната мрежа, за която е реализиран процес на регулярно обследване и активен контрол на течовете (включително микрофони, корелатори, акустични логери и други), при който се откриват и отстраняват скрити течове</t>
  </si>
  <si>
    <t>Рехабилитирана и проучена водопроводна мрежа</t>
  </si>
  <si>
    <t>Електро енергия</t>
  </si>
  <si>
    <t>Водни количества</t>
  </si>
  <si>
    <t>Утайки от ПСОВ</t>
  </si>
  <si>
    <t>Приходи, разходи и събираемост</t>
  </si>
  <si>
    <t>Оплаквания и жалби</t>
  </si>
  <si>
    <t>Отговори на оплаквания и жалби</t>
  </si>
  <si>
    <t>Присъединяване към ВиК мрежи</t>
  </si>
  <si>
    <t>Персонал</t>
  </si>
  <si>
    <t xml:space="preserve">Общ брой на персонала на еквивалентна пълна заетост за услуга доставяне на вода на потребителите </t>
  </si>
  <si>
    <t xml:space="preserve">Общ брой на персонала на еквивалентна пълна заетост за услугите отвеждане и пречистване на отпадъчни води </t>
  </si>
  <si>
    <t xml:space="preserve">Общ брой на окончателните договори за присъединяване към канализационната система, по които са изпълнени предварителните условия за присъединяване и сроковете за присъединяване изтичат до края на отчетната година </t>
  </si>
  <si>
    <t xml:space="preserve">Общ брой на поземлените имоти, присъединени към водоснабдителната система в сроковете и при условията, посочени в окончателните договори за присъединяване по чл. 84, ал. 2 от Закона за устройство на територията </t>
  </si>
  <si>
    <t xml:space="preserve">Общ брой на окончателните договори за присъединяване към водоснабдителната система, по които са изпълнени предварителните условия за присъединяване и сроковете за присъединяване изтичат до края на отчетната година </t>
  </si>
  <si>
    <t xml:space="preserve">Общ брой на поземлените имоти, присъединени към канализационната система в сроковете и при условията, посочени в окончателните договори за присъединяване по чл. 84, ал. 2 от Закона за устройство на територията </t>
  </si>
  <si>
    <t xml:space="preserve">Общ брой оплаквания на потребители по отношение фактуриране на услугите доставяне на вода на потребителите и отвеждане и пречистване на отпадъчни води </t>
  </si>
  <si>
    <t xml:space="preserve">Общ брой други оплаквания за услугата отвеждане и пречистване на отпадъчни води </t>
  </si>
  <si>
    <t xml:space="preserve">Общ брой оплаквания за замърсявания, мирис и гризачи </t>
  </si>
  <si>
    <t xml:space="preserve">Общ брой оплаквания за наводнявания на имоти </t>
  </si>
  <si>
    <t xml:space="preserve">Общ брой оплаквания за  запушвания на канализационната мрежа </t>
  </si>
  <si>
    <t xml:space="preserve">Общ брой оплаквания на потребители за разглеждания период за услугите отвеждане и пречистване на отпадъчни води </t>
  </si>
  <si>
    <t xml:space="preserve">Общ брой други оплаквания за услугата доставяне на вода на потребителите </t>
  </si>
  <si>
    <t xml:space="preserve">Общ брой оплаквания за нарушено водоснабдяване </t>
  </si>
  <si>
    <t xml:space="preserve">Общ брой оплаквания на потребители за разглеждания период за услуга доставяне на вода на потребителите </t>
  </si>
  <si>
    <t xml:space="preserve">Общ брой оплаквания от потребители свързани с налягане във водоснабдителната система за разглеждания период </t>
  </si>
  <si>
    <t xml:space="preserve">Общ брой на отговори на оплаквания на потребители по отношение фактуриране на услугите доставяне на вода на потребителите и отвеждане и пречистване на отпадъчни води  </t>
  </si>
  <si>
    <t xml:space="preserve">Общ брой отговори на оплаквания на потребители за услугите отвеждане и пречистване на отпадъчни води  </t>
  </si>
  <si>
    <t xml:space="preserve">Общ брой отговори на оплаквания на потребители за услуга доставяне на вода на потребителите </t>
  </si>
  <si>
    <t>Общ брой отговори на оплаквания на потребители в срок от 14 дни.</t>
  </si>
  <si>
    <t xml:space="preserve">Общ брой на сградните канализационни отклонения </t>
  </si>
  <si>
    <t>Общ брой на сградните водопроводни отклонения</t>
  </si>
  <si>
    <t>Мониторинг на качеството на питейната вода</t>
  </si>
  <si>
    <t>Общ брой водомери на водоизточници</t>
  </si>
  <si>
    <t>Общ брой контролни водомери по мрежата (различни от водомери на водоизточници)</t>
  </si>
  <si>
    <t>Общ брой разходомери на ПСОВ</t>
  </si>
  <si>
    <t>Общ брой разходомери по канализационна мрежа</t>
  </si>
  <si>
    <t xml:space="preserve">Измерване  </t>
  </si>
  <si>
    <t>Добита сурова вода от повърхностни водоизточници</t>
  </si>
  <si>
    <t>Добита сурова вода от  подземни  водоизточници</t>
  </si>
  <si>
    <t>Подадена сурова вода от друг ВиК оператор/доставчик</t>
  </si>
  <si>
    <t>Подадена пречистена вода от друг ВиК оператор / доставчик</t>
  </si>
  <si>
    <r>
      <t xml:space="preserve">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 </t>
    </r>
    <r>
      <rPr>
        <b/>
        <sz val="10"/>
        <rFont val="Times New Roman"/>
        <family val="1"/>
        <charset val="204"/>
      </rPr>
      <t>както и дължината на водопроводите, по които се довежда вода до друг оператор, само в случаите когато се използват единствено за тази цел.</t>
    </r>
  </si>
  <si>
    <t>Разход, хил.лв.</t>
  </si>
  <si>
    <t>Приход, хил.лв.</t>
  </si>
  <si>
    <t>Брой</t>
  </si>
  <si>
    <t>Профилактика (почистване, продухване, други)</t>
  </si>
  <si>
    <t>Шурфове (изкопни дейности);пътни настилки</t>
  </si>
  <si>
    <t>Шурфове (изкопни дейности) разпределение от спомаг.д-ст</t>
  </si>
  <si>
    <t>2.10.</t>
  </si>
  <si>
    <t>Шурфове (изкопни дейности)разпределение от спомаг.д-ст и у-ние</t>
  </si>
  <si>
    <t>3.9.</t>
  </si>
  <si>
    <r>
      <t>хил.м</t>
    </r>
    <r>
      <rPr>
        <vertAlign val="superscript"/>
        <sz val="9"/>
        <rFont val="Times New Roman"/>
        <family val="1"/>
      </rPr>
      <t>3</t>
    </r>
    <r>
      <rPr>
        <sz val="9"/>
        <rFont val="Times New Roman"/>
        <family val="1"/>
      </rPr>
      <t xml:space="preserve">/год </t>
    </r>
  </si>
  <si>
    <t>Коеф.</t>
  </si>
  <si>
    <t>Стойност на параметъра</t>
  </si>
  <si>
    <t>Норма на възвращаемост на собствения капитал, утвърдена от комисията</t>
  </si>
  <si>
    <t>Дължина на водопроводната мрежа (км)</t>
  </si>
  <si>
    <t>Дължина на канализационната мрежа (км)</t>
  </si>
  <si>
    <t>Количества вода на вход ВС (Q4) (хил.м3)</t>
  </si>
  <si>
    <t>Фактурирани количества отпадъчни води (хил.лв.)</t>
  </si>
  <si>
    <t>Вода на вход ПСОВ (хил.м3)</t>
  </si>
  <si>
    <t>Разходи за външни услуги (без разходи за доставяне на вода на входа на ВС от друг доставчик), хил.лв.</t>
  </si>
  <si>
    <t>Разходи за възнаграждения и осигуровки, хил.лв.</t>
  </si>
  <si>
    <t>Разходи за оперативен ремонт, хил.лв.</t>
  </si>
  <si>
    <t>Променливи разходи, хил.лв.</t>
  </si>
  <si>
    <r>
      <rPr>
        <b/>
        <sz val="9"/>
        <rFont val="Times New Roman"/>
        <family val="1"/>
        <charset val="204"/>
      </rPr>
      <t>Разходи за външни услуги</t>
    </r>
    <r>
      <rPr>
        <sz val="9"/>
        <rFont val="Times New Roman"/>
        <family val="1"/>
        <charset val="204"/>
      </rPr>
      <t xml:space="preserve"> (без разходи за доставяне на вода на входа на ВС от друг доставчик), </t>
    </r>
    <r>
      <rPr>
        <i/>
        <sz val="9"/>
        <rFont val="Times New Roman"/>
        <family val="1"/>
        <charset val="204"/>
      </rPr>
      <t>хил.лв/км за доставяне и отвеждане, хил.лв./хил.м3 вход ПСОВ за пречистване</t>
    </r>
  </si>
  <si>
    <r>
      <rPr>
        <b/>
        <sz val="9"/>
        <rFont val="Times New Roman"/>
        <family val="1"/>
        <charset val="204"/>
      </rPr>
      <t>Разходи за възнаграждения и осигуровки</t>
    </r>
    <r>
      <rPr>
        <sz val="9"/>
        <rFont val="Times New Roman"/>
        <family val="1"/>
        <charset val="204"/>
      </rPr>
      <t xml:space="preserve">, </t>
    </r>
    <r>
      <rPr>
        <i/>
        <sz val="9"/>
        <rFont val="Times New Roman"/>
        <family val="1"/>
        <charset val="204"/>
      </rPr>
      <t>хил.лв/км за доставяне и отвеждане, хил.лв./хил.м3 вход ПСОВ за пречистване</t>
    </r>
  </si>
  <si>
    <r>
      <rPr>
        <b/>
        <sz val="9"/>
        <rFont val="Times New Roman"/>
        <family val="1"/>
        <charset val="204"/>
      </rPr>
      <t>Разходи за оперативен ремонт</t>
    </r>
    <r>
      <rPr>
        <sz val="9"/>
        <rFont val="Times New Roman"/>
        <family val="1"/>
        <charset val="204"/>
      </rPr>
      <t>, хил.лв/км за доставяне и отвеждане, хил.лв./хил.м3 вход ПСОВ за пречистване</t>
    </r>
  </si>
  <si>
    <r>
      <rPr>
        <b/>
        <sz val="9"/>
        <rFont val="Times New Roman"/>
        <family val="1"/>
        <charset val="204"/>
      </rPr>
      <t>Променливи разходи</t>
    </r>
    <r>
      <rPr>
        <sz val="9"/>
        <rFont val="Times New Roman"/>
        <family val="1"/>
        <charset val="204"/>
      </rPr>
      <t xml:space="preserve">, </t>
    </r>
    <r>
      <rPr>
        <i/>
        <sz val="9"/>
        <rFont val="Times New Roman"/>
        <family val="1"/>
        <charset val="204"/>
      </rPr>
      <t>хил.лв./хил.м3 вход ВС за доставяне, фактурирани количества за отвеждане, и вход ПСОВ за пречистване</t>
    </r>
  </si>
  <si>
    <t>Разлика планирани инвестиции спрямо източници на финансиране</t>
  </si>
  <si>
    <t>в т.ч. в публични активи</t>
  </si>
  <si>
    <t>в т.ч. в собствени активи</t>
  </si>
  <si>
    <t>Инвестиции в собствени активи</t>
  </si>
  <si>
    <t>Инвестиции в публични активи</t>
  </si>
  <si>
    <t>Разлика на разходи за амортизации на собствени активи към инвестиции в собствени активи</t>
  </si>
  <si>
    <t>Разходи за амортизации на собствени активи</t>
  </si>
  <si>
    <t>Разходи за амортизации на публични активи, изградени със собствени средства</t>
  </si>
  <si>
    <t>Разлика на разходи за амортизации на публични активи, изградени със собствени средства към инвестиции в публични активи и разходи за главници по инвестиционни заеми</t>
  </si>
  <si>
    <t xml:space="preserve">Разходи за амортизации на публични активи, приети за експлоатация и поддръжка </t>
  </si>
  <si>
    <t>Дял на разходите за амортизации на публични активи, приети за експлоатация и поддръжка, включени в цените</t>
  </si>
  <si>
    <t>Собствени активи</t>
  </si>
  <si>
    <t>в т.ч. със собствени средства</t>
  </si>
  <si>
    <t>в т.ч. с привлечени средства</t>
  </si>
  <si>
    <t>Публични активи</t>
  </si>
  <si>
    <t>Разходи за главници на съществуващи дългосрочни заеми за изграждане на ДА (инвестиционни заеми)</t>
  </si>
  <si>
    <t>2.1.1.</t>
  </si>
  <si>
    <t>2.2.2.</t>
  </si>
  <si>
    <t>2.2.1.</t>
  </si>
  <si>
    <t>6.1.</t>
  </si>
  <si>
    <t>6.2.</t>
  </si>
  <si>
    <t>7.1.</t>
  </si>
  <si>
    <t>7.2.</t>
  </si>
  <si>
    <t>7.3.</t>
  </si>
  <si>
    <t>9.1.</t>
  </si>
  <si>
    <t>9.2.</t>
  </si>
  <si>
    <t>9.3.</t>
  </si>
  <si>
    <t>9.4.</t>
  </si>
  <si>
    <t>9.5.</t>
  </si>
  <si>
    <t>9.6.</t>
  </si>
  <si>
    <t>9.7.</t>
  </si>
  <si>
    <t>10.1.</t>
  </si>
  <si>
    <t>10.2.</t>
  </si>
  <si>
    <t>10.3.</t>
  </si>
  <si>
    <t>10.4.</t>
  </si>
  <si>
    <t>10.5.</t>
  </si>
  <si>
    <t>10.6.</t>
  </si>
  <si>
    <t>10.7.</t>
  </si>
  <si>
    <t>11.1.</t>
  </si>
  <si>
    <t>11.2.</t>
  </si>
  <si>
    <t>11.3.</t>
  </si>
  <si>
    <t>11.4.</t>
  </si>
  <si>
    <t>11.5.</t>
  </si>
  <si>
    <t>11.6.</t>
  </si>
  <si>
    <t>11.7.</t>
  </si>
  <si>
    <t>Разлика планирано финансиране на инвестиционната програма със заемни средства, и планирани заеми</t>
  </si>
  <si>
    <t>2.За  коефициент на степени на замърсеност се попълва:</t>
  </si>
  <si>
    <t>Информационни системи - собствени активи</t>
  </si>
  <si>
    <t>Информационни системи - публични активи</t>
  </si>
  <si>
    <t>Източник на информация (регистър/база данни/друго) - описание</t>
  </si>
  <si>
    <t>Дял на водните количества на вход ВС без измерване (по разрешителни)</t>
  </si>
  <si>
    <t>Общо дял на водните количества</t>
  </si>
  <si>
    <r>
      <t>Дял на водните количества на вход ВС,</t>
    </r>
    <r>
      <rPr>
        <b/>
        <sz val="10"/>
        <rFont val="Times New Roman"/>
        <family val="1"/>
        <charset val="204"/>
      </rPr>
      <t xml:space="preserve"> измервани при водоизточника</t>
    </r>
    <r>
      <rPr>
        <sz val="10"/>
        <rFont val="Times New Roman"/>
        <family val="1"/>
        <charset val="204"/>
      </rPr>
      <t xml:space="preserve">  (чл.194а ал.1 от Закона за водите)</t>
    </r>
  </si>
  <si>
    <r>
      <t>Дял на водните количества на вход ВС,</t>
    </r>
    <r>
      <rPr>
        <b/>
        <sz val="10"/>
        <rFont val="Times New Roman"/>
        <family val="1"/>
        <charset val="204"/>
      </rPr>
      <t xml:space="preserve"> измервани на хранителната тръба на напорния резервоар или на довеждащия водопровод</t>
    </r>
    <r>
      <rPr>
        <sz val="10"/>
        <rFont val="Times New Roman"/>
        <family val="1"/>
        <charset val="204"/>
      </rPr>
      <t>, при техническа невъзможност за монтаж на измервателно устройство при водоизточника (чл.194а, ал.4 от Закона за водите)</t>
    </r>
  </si>
  <si>
    <t>Помпи (вкл.хидрофори)</t>
  </si>
  <si>
    <t xml:space="preserve">Общо количество на изразходваната електрическа енергия за пречистване на отпадъчна вода от ПСОВ експлоатирани от ВиК оператора  </t>
  </si>
  <si>
    <t xml:space="preserve">Общ брой оплаквания на потребители от ВиК услуги за разглеждания период. </t>
  </si>
  <si>
    <t>Общ брой оплаквания за качеството на питейната вода</t>
  </si>
  <si>
    <t>Продадена сурова вода на друг ВиК оператор</t>
  </si>
  <si>
    <t xml:space="preserve">Продадена пречистена вода на друг ВиК оператор </t>
  </si>
  <si>
    <t>степен на замърсеност 1</t>
  </si>
  <si>
    <t>степен на замърсеност 2</t>
  </si>
  <si>
    <t>степен на замърсеност 3</t>
  </si>
  <si>
    <t>Общо утайки за оползотворяване и депониране</t>
  </si>
  <si>
    <t xml:space="preserve">Измервателни уреди </t>
  </si>
  <si>
    <t>3.4</t>
  </si>
  <si>
    <t>Броят на водомерни зони, имащи постоянно измерване на дебит и налягане на вход/изход зона, с интервал на запис на данни от 15 минути и архивиране на данните в електронни бази данни, за период от минимум 1 година, и измервания в критична точка при необходимост</t>
  </si>
  <si>
    <t>Справка № 6 - Отчет и прогнозно ниво на потребление на електроенергия за периода на бизнес плана</t>
  </si>
  <si>
    <t>Справка № 19  - Възвръщаемост на капитала</t>
  </si>
  <si>
    <t>Общ брой водоизточници (основни и резервни)</t>
  </si>
  <si>
    <t>Дял на разходите за социални осигуровки от разходите за възнаграждения, %</t>
  </si>
  <si>
    <t>Дял на социалните разходи от разходите за възнаграждения, %</t>
  </si>
  <si>
    <t>Инвестиционна програма</t>
  </si>
  <si>
    <t xml:space="preserve">Справка № 11.2.
 Новопридобити активи през отчетната година </t>
  </si>
  <si>
    <t>Необходими  приходи</t>
  </si>
  <si>
    <t xml:space="preserve"> Оборотен капитал</t>
  </si>
  <si>
    <t>Възвръщаемост на капитала</t>
  </si>
  <si>
    <t>Справка № 4 -  Отчет и прогнозно ниво на потребление на ВиК услугите за периода на бизнес плана</t>
  </si>
  <si>
    <t>Мобилни телефони</t>
  </si>
  <si>
    <t>Трафопост (трансформатор)</t>
  </si>
  <si>
    <t>Непризнати разходи</t>
  </si>
  <si>
    <t>Постъпления от нерегулирана дейност</t>
  </si>
  <si>
    <t>Приходи от нерегулирана дейност</t>
  </si>
  <si>
    <t>Постъпления от  ВиК услуги</t>
  </si>
  <si>
    <t>Постъпления от начислени лихви за предоставени ВиК услуги</t>
  </si>
  <si>
    <t>Приходи от ВиК услуги</t>
  </si>
  <si>
    <t>Приходи от начислени лихви за предоставени ВиК услуги</t>
  </si>
  <si>
    <t>покупка на ново и капиталов ремонт на съществуващо за извършване на СМР по канализационната мрежа</t>
  </si>
  <si>
    <t>покупка на нова и капиталов ремонт на съществуваща (каналочистачни машини, др.)</t>
  </si>
  <si>
    <t xml:space="preserve">сгради,съоръжения </t>
  </si>
  <si>
    <t>сгради, съоръжения</t>
  </si>
  <si>
    <t>ОБЩО</t>
  </si>
  <si>
    <t>Доставяне на вода с непитейни качества</t>
  </si>
  <si>
    <t>подмяна на съществуващи и монтаж на нови СК и ПХ  (в случаите, когато подмяната им не е част от реконструкция на ВиК мрежата)</t>
  </si>
  <si>
    <t>Помпи, вкл. хидрофорни уредби</t>
  </si>
  <si>
    <t>Друго специализирано оборудване</t>
  </si>
  <si>
    <t>съотношение</t>
  </si>
  <si>
    <t>Процент влажност на произведените утайки</t>
  </si>
  <si>
    <t>Процент влажност на оползотворените утайки</t>
  </si>
  <si>
    <t>Процент влажност на депонираните утайки</t>
  </si>
  <si>
    <t>Загуби при доставяне сурова вода на друг ВиК оператор</t>
  </si>
  <si>
    <t>Загуби при доставяне пречистена вода на друг ВиК оператор</t>
  </si>
  <si>
    <t>Прооверка балансова стойност</t>
  </si>
  <si>
    <r>
      <t>м</t>
    </r>
    <r>
      <rPr>
        <vertAlign val="superscript"/>
        <sz val="8"/>
        <rFont val="Times New Roman"/>
        <family val="1"/>
        <charset val="204"/>
      </rPr>
      <t>3</t>
    </r>
    <r>
      <rPr>
        <sz val="8"/>
        <rFont val="Times New Roman"/>
        <family val="1"/>
      </rPr>
      <t>/км/ден</t>
    </r>
  </si>
  <si>
    <r>
      <t>м</t>
    </r>
    <r>
      <rPr>
        <vertAlign val="superscript"/>
        <sz val="10"/>
        <rFont val="Times New Roman"/>
        <family val="1"/>
        <charset val="204"/>
      </rPr>
      <t>3</t>
    </r>
    <r>
      <rPr>
        <sz val="10"/>
        <rFont val="Times New Roman"/>
        <family val="1"/>
      </rPr>
      <t>/км/ден</t>
    </r>
  </si>
  <si>
    <r>
      <t>м</t>
    </r>
    <r>
      <rPr>
        <vertAlign val="superscript"/>
        <sz val="10"/>
        <rFont val="Times New Roman"/>
        <family val="1"/>
        <charset val="204"/>
      </rPr>
      <t>3</t>
    </r>
  </si>
  <si>
    <t>Год. аморт. норма</t>
  </si>
  <si>
    <t>Счето-водна сметка</t>
  </si>
  <si>
    <t>Очакван ефект във връзка с
 нивата на услугите</t>
  </si>
  <si>
    <t>Проектна готовност в т.ч. 
предварително проучване</t>
  </si>
  <si>
    <t>Разходи за амортизации на публични активи от Група 3 включени в цените на ВиК услуги за финансиране на инвестиции в публични активи и изплащане на главници на инвестиционни заеми</t>
  </si>
  <si>
    <t>Приложение №2</t>
  </si>
  <si>
    <t xml:space="preserve">Лице за контакт с КЕВР: </t>
  </si>
  <si>
    <t>Други съоръжения- собствени активи</t>
  </si>
  <si>
    <t>20403-</t>
  </si>
  <si>
    <t xml:space="preserve">Други съоръжения - публични активи, изградени със собствени средства  </t>
  </si>
  <si>
    <t>Отчетна стойност - НОВИ АКТИВИ</t>
  </si>
  <si>
    <t>Отчетна стойност - АКТИВИ С ИЗТИЧАЩ ЖИВОТ</t>
  </si>
  <si>
    <t>I.-II.</t>
  </si>
  <si>
    <t>2. Справка №12 се попълва за всички ВС</t>
  </si>
  <si>
    <t>1.Попълват се само клетките в жълт цвят</t>
  </si>
  <si>
    <t>Недостиг на собствени средства спрямо предвидените инвестиции в публични ДА</t>
  </si>
  <si>
    <t>5. Справка №11.2 се попълва за всички ВС</t>
  </si>
  <si>
    <t>Плащания ДДС</t>
  </si>
  <si>
    <t>Постъпления от ДДС</t>
  </si>
  <si>
    <t>2022 г.</t>
  </si>
  <si>
    <t>2023 г.</t>
  </si>
  <si>
    <t>2024 г.</t>
  </si>
  <si>
    <t>2025 г.</t>
  </si>
  <si>
    <t>2026 г.</t>
  </si>
  <si>
    <t>Разходи по икономически елементи за оперативен ремонт за услуга доставяне на вода на потребителите</t>
  </si>
  <si>
    <t>за механизация (горива за оперативен ремонт)</t>
  </si>
  <si>
    <t>2.7.1.</t>
  </si>
  <si>
    <t>отстраняване запушвания на канализационната мрежа, различни от тези в сградните канализационни отклонения</t>
  </si>
  <si>
    <t>2.7.2.</t>
  </si>
  <si>
    <t>отстраняване запушвания в СКО</t>
  </si>
  <si>
    <t>Профилактика (почистване, продухване, други), в т.ч.:</t>
  </si>
  <si>
    <t>Общо ремонти за услуга отвеждане на отпадъчните води</t>
  </si>
  <si>
    <t>Разходи по икономически елементи за оперативен ремонт за услуга отвеждане на отпадъчните води</t>
  </si>
  <si>
    <t>Общо ремонти за услуга пречистване на отпадъчните води</t>
  </si>
  <si>
    <t>Разходи по икономически елементи за оперативен ремонт за услуга пречистване на отпадъчните води</t>
  </si>
  <si>
    <t>4.3.</t>
  </si>
  <si>
    <t>4.4.</t>
  </si>
  <si>
    <t>4.5.</t>
  </si>
  <si>
    <t>4.6.</t>
  </si>
  <si>
    <t>4.7.</t>
  </si>
  <si>
    <t>4.8.</t>
  </si>
  <si>
    <t>4.9.</t>
  </si>
  <si>
    <t>4.10.</t>
  </si>
  <si>
    <t>4.11.</t>
  </si>
  <si>
    <t>4.12.</t>
  </si>
  <si>
    <t>4.13.</t>
  </si>
  <si>
    <t>4.14.</t>
  </si>
  <si>
    <t>Общо ремонти за услуга доставяне на вода с непитейни качества</t>
  </si>
  <si>
    <t>Разходи по икономически елементи за оперативен ремонт за услуга доставяне на вода с непитейни качества</t>
  </si>
  <si>
    <t>Доставяне на вода на друг ВиК оператор</t>
  </si>
  <si>
    <t>5.3.</t>
  </si>
  <si>
    <t>5.4.</t>
  </si>
  <si>
    <t>5.5.</t>
  </si>
  <si>
    <t>5.6.</t>
  </si>
  <si>
    <t>5.7.</t>
  </si>
  <si>
    <t>5.8.</t>
  </si>
  <si>
    <t>5.9.</t>
  </si>
  <si>
    <t>5.10.</t>
  </si>
  <si>
    <t>5.11.</t>
  </si>
  <si>
    <t>5.12.</t>
  </si>
  <si>
    <t>5.13.</t>
  </si>
  <si>
    <t>Общо ремонти за услуга доставяне на вода на друг ВиК оператор</t>
  </si>
  <si>
    <t>Разходи по икономически елементи за оперативен ремонт за услуга доставяне на вода на друг ВиК оператор</t>
  </si>
  <si>
    <t>6.3.</t>
  </si>
  <si>
    <t>ВС Доставяне на вода с непитейни качества</t>
  </si>
  <si>
    <t>Общ брой потребители, обслужвани от оператора, които ползват услуга доставяне на вода с непитейни качества</t>
  </si>
  <si>
    <t>ВиК Активи и измерване</t>
  </si>
  <si>
    <r>
      <t>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t>
    </r>
    <r>
      <rPr>
        <b/>
        <sz val="10"/>
        <rFont val="Times New Roman"/>
        <family val="1"/>
        <charset val="204"/>
      </rPr>
      <t xml:space="preserve"> както и дължината на водопроводите, по които се довежда вода до друг оператор, само в случаите когато се използват единствено за тази цел.</t>
    </r>
  </si>
  <si>
    <t>Аварии</t>
  </si>
  <si>
    <t>Приходи и разходи</t>
  </si>
  <si>
    <t>ВС Основна</t>
  </si>
  <si>
    <t xml:space="preserve">
</t>
  </si>
  <si>
    <r>
      <t>м</t>
    </r>
    <r>
      <rPr>
        <vertAlign val="superscript"/>
        <sz val="10"/>
        <rFont val="Times New Roman"/>
        <family val="1"/>
      </rPr>
      <t>3</t>
    </r>
    <r>
      <rPr>
        <sz val="10"/>
        <rFont val="Times New Roman"/>
        <family val="1"/>
      </rPr>
      <t>/км/ден</t>
    </r>
  </si>
  <si>
    <t>ІV.</t>
  </si>
  <si>
    <t>V.</t>
  </si>
  <si>
    <t>7</t>
  </si>
  <si>
    <t>Общо утайки за оползотворяване и депониране - реално тегло</t>
  </si>
  <si>
    <t>тон</t>
  </si>
  <si>
    <t>8</t>
  </si>
  <si>
    <t>Общо ополозтворени и депонирани утайки - реално тегло</t>
  </si>
  <si>
    <t>8.1.</t>
  </si>
  <si>
    <t>Оползотворени утайки</t>
  </si>
  <si>
    <t>8.2.</t>
  </si>
  <si>
    <t>Депонирани утайки</t>
  </si>
  <si>
    <t>9</t>
  </si>
  <si>
    <t>лв./тон</t>
  </si>
  <si>
    <t>Компонента</t>
  </si>
  <si>
    <t>Забележка / Описание</t>
  </si>
  <si>
    <t>Включително демографски прогнози на НСИ</t>
  </si>
  <si>
    <t xml:space="preserve">Променлива Е10: Общ брой потребители, обслужвани от оператора, които ползват услуга доставяне на вода на потребителите  </t>
  </si>
  <si>
    <t>Брой битови потребители на услугата доставяне на вода</t>
  </si>
  <si>
    <t>Брой обществени и търговски  потребители на услугата доставяне на вода</t>
  </si>
  <si>
    <t>Брой стопански  потребители на услугата доставяне на вода</t>
  </si>
  <si>
    <t>Фактурирана вода на битови потребители</t>
  </si>
  <si>
    <t>Ефект от намаление на търговски загуби</t>
  </si>
  <si>
    <t>Фактурирана вода на обществени и търговски потребители</t>
  </si>
  <si>
    <t>Фактурирана вода на стопански потребители</t>
  </si>
  <si>
    <t>Общо фактурирана вода на потребителите</t>
  </si>
  <si>
    <t>ОТВЕЖДАНЕ НА ОТПАДЪЧНИ ВОДИ</t>
  </si>
  <si>
    <t>Брой битови потребители на услугата отвеждане</t>
  </si>
  <si>
    <t>Брой обществени и търговски  потребители на услугата отвеждане</t>
  </si>
  <si>
    <t>Брой стопански  потребители на услугата отвеждане</t>
  </si>
  <si>
    <t>Общо фактурирани отведени отпадъчни води на потребителите</t>
  </si>
  <si>
    <t>ПРЕЧИСТВАНЕ НА ОТПАДЪЧНИ ВОДИ</t>
  </si>
  <si>
    <t>Брой битови потребители на услугата пречистване</t>
  </si>
  <si>
    <t>Брой обществени и търговски  потребители на услугата пречистване</t>
  </si>
  <si>
    <t>Брой стопански  потребители на услугата пречистване</t>
  </si>
  <si>
    <t>Общо фактурирани пречистени отпадъчни води на потребителите</t>
  </si>
  <si>
    <t>ИЗЧИСЛЕНИЯ</t>
  </si>
  <si>
    <t>Продадени водни количества</t>
  </si>
  <si>
    <t>IІ.</t>
  </si>
  <si>
    <t>Закупени водни количества</t>
  </si>
  <si>
    <t>ВиК оператор (наименование на продавача):</t>
  </si>
  <si>
    <t>Закупена сурова вода от друг ВиК оператор</t>
  </si>
  <si>
    <r>
      <t>лв./м</t>
    </r>
    <r>
      <rPr>
        <vertAlign val="superscript"/>
        <sz val="10"/>
        <rFont val="Times New Roman"/>
        <family val="1"/>
        <charset val="204"/>
      </rPr>
      <t>3</t>
    </r>
  </si>
  <si>
    <t>Разходи за закупена сурова вода</t>
  </si>
  <si>
    <t>хил.лв./год.</t>
  </si>
  <si>
    <t xml:space="preserve">Закупена пречистена вода от друг ВиК оператор </t>
  </si>
  <si>
    <r>
      <t>м</t>
    </r>
    <r>
      <rPr>
        <vertAlign val="superscript"/>
        <sz val="10"/>
        <rFont val="Times New Roman"/>
        <family val="1"/>
        <charset val="204"/>
      </rPr>
      <t>3</t>
    </r>
    <r>
      <rPr>
        <sz val="10"/>
        <rFont val="Times New Roman"/>
        <family val="1"/>
      </rPr>
      <t xml:space="preserve">/год </t>
    </r>
  </si>
  <si>
    <t>Разходи за закупена пречистена вода</t>
  </si>
  <si>
    <t>Закупена сурова вода на друг ВиК оператор</t>
  </si>
  <si>
    <t xml:space="preserve">Закупена пречистена вода на друг ВиК оператор </t>
  </si>
  <si>
    <t>ефект на изменение (%)</t>
  </si>
  <si>
    <t>Справка № 4.1.</t>
  </si>
  <si>
    <t>Проверка/равнение ефект търговски загуби със Справка № 4</t>
  </si>
  <si>
    <t>Съотношение на населението, ползващо услугата отвеждане на отпадъчни води спрямо населението, ползващо услугата доставяне вода на потребителите</t>
  </si>
  <si>
    <t>Съотношение на населението, ползващо услугата пречистване на отпадъчни води спрямо населението, ползващо услугата доставяне вода на потребителите</t>
  </si>
  <si>
    <t>Съотношение на брой потребители, ползващи услугата отвеждане на отпадъчни води спрямо брой потребители, ползващи услугата доставяне вода на потребителите</t>
  </si>
  <si>
    <t>Съотношение на брой потребители, ползващи услугата пречистване на отпадъчни води спрямо брой потребители, ползващи услугата доставяне вода на потребителите</t>
  </si>
  <si>
    <t>Фактурирани количества</t>
  </si>
  <si>
    <t>Съотношение на фактурирани количества отведени отпадъчни води спрямо фактурираните количества вода доставена на потребителите</t>
  </si>
  <si>
    <t>Съотношение на фактурирани количества пречистени отпадъчни води спрямо фактурираните количества вода доставена на потребителите</t>
  </si>
  <si>
    <t>Обща информация</t>
  </si>
  <si>
    <t>Услуги предоставяни от В и К оператора</t>
  </si>
  <si>
    <t>Доставяне на вода</t>
  </si>
  <si>
    <t>Отвеждане</t>
  </si>
  <si>
    <t>2.1.3</t>
  </si>
  <si>
    <t>Пречистване</t>
  </si>
  <si>
    <t>2.1.4</t>
  </si>
  <si>
    <t>2.1.5</t>
  </si>
  <si>
    <t>Доставяне на вода на друг ВиК оператор, в т.ч.:</t>
  </si>
  <si>
    <t>2.1.5.1</t>
  </si>
  <si>
    <t>2.1.5.2</t>
  </si>
  <si>
    <t>2.1.5.3</t>
  </si>
  <si>
    <t>Налични сертификати</t>
  </si>
  <si>
    <t>ISO 9000:2008 Управление на качеството</t>
  </si>
  <si>
    <t>ISO 14001:2004 Управление на околната среда на организациите</t>
  </si>
  <si>
    <t>OHSAS 18001:2007 Управление на здравословните и безопасни условия на труд</t>
  </si>
  <si>
    <t>Справка № 1 - Обща информация</t>
  </si>
  <si>
    <t>Справка № 4.2. - Отчет и прогноза за продадени и/или закупени водни количества на/от други ВиК оператори</t>
  </si>
  <si>
    <t>Произведени утайки през годината</t>
  </si>
  <si>
    <t>Доставяне на вода nа друг ВиК оператор</t>
  </si>
  <si>
    <t xml:space="preserve">Ръководители </t>
  </si>
  <si>
    <t xml:space="preserve">Специалисти </t>
  </si>
  <si>
    <t xml:space="preserve">Техници и приложни специалисти </t>
  </si>
  <si>
    <t xml:space="preserve"> Помощен административен персонал </t>
  </si>
  <si>
    <t xml:space="preserve"> Персонал, зает с услуги за населението, търговията и охраната </t>
  </si>
  <si>
    <t xml:space="preserve">Квалифицирани работници в селското, горското, ловното и рибното стопанство </t>
  </si>
  <si>
    <t xml:space="preserve">Квалифицирани работници и сродни на тях занаятчии </t>
  </si>
  <si>
    <t xml:space="preserve">Машинни оператори и монтажници </t>
  </si>
  <si>
    <t xml:space="preserve">Професии, неизискващи специална квалификация 
</t>
  </si>
  <si>
    <t>2.1.2.</t>
  </si>
  <si>
    <t>2.1.3.</t>
  </si>
  <si>
    <t>2.1.4.</t>
  </si>
  <si>
    <t>2.1.5.</t>
  </si>
  <si>
    <t>2.1.6.</t>
  </si>
  <si>
    <t>2.1.7.</t>
  </si>
  <si>
    <t>2.1.8.</t>
  </si>
  <si>
    <t>2.1.9.</t>
  </si>
  <si>
    <t>Обслужване на клиентите</t>
  </si>
  <si>
    <t>Транспотрт, администрация и ИТ</t>
  </si>
  <si>
    <t>ВС Доствяне на вода с непитейни качества</t>
  </si>
  <si>
    <t xml:space="preserve">Тежкотоварни автомобили </t>
  </si>
  <si>
    <t xml:space="preserve"> Доставяне на вода с непитейни качества</t>
  </si>
  <si>
    <t>Доставяне на вода за друг ВиК оператор</t>
  </si>
  <si>
    <t xml:space="preserve">  - за механизация (горива за оперативен ремонт)</t>
  </si>
  <si>
    <t>абонаментно обслужване</t>
  </si>
  <si>
    <t xml:space="preserve"> -за транспортни средства</t>
  </si>
  <si>
    <t>1.3.3</t>
  </si>
  <si>
    <t>2.9.1</t>
  </si>
  <si>
    <t>2.9.2</t>
  </si>
  <si>
    <t>2.9.3</t>
  </si>
  <si>
    <t>2.9.4</t>
  </si>
  <si>
    <t>2.18</t>
  </si>
  <si>
    <t>2.18.1</t>
  </si>
  <si>
    <t>2.18.2</t>
  </si>
  <si>
    <t>2.18.3</t>
  </si>
  <si>
    <t>ОБЩО РАЗХОДИ  без амортизации</t>
  </si>
  <si>
    <t>ОБЩО РАЗХОДИ  без АМ на ПДА, предадени за експлоатация</t>
  </si>
  <si>
    <t>Променливи разходи</t>
  </si>
  <si>
    <t xml:space="preserve"> Разходи по икономически елементи</t>
  </si>
  <si>
    <t>Общо разходи</t>
  </si>
  <si>
    <t>ОБЩО ИНВЕСТИЦИИ за регулирана дейност:</t>
  </si>
  <si>
    <t>Доставяне вода с непитейни качества</t>
  </si>
  <si>
    <t>Доставяне вода на друг ВиК оператор</t>
  </si>
  <si>
    <t>Възвръщаемост за доставяне на вода с непитейни качества</t>
  </si>
  <si>
    <t>Възвръщаемост за доставяне на вода на друг ВиК оператор</t>
  </si>
  <si>
    <t>9.</t>
  </si>
  <si>
    <t>ОК за дейността "Доставяне на вода с непитейни качества"</t>
  </si>
  <si>
    <t>10.</t>
  </si>
  <si>
    <t>ОК за дейността "Доставяне на вода на друг ВиК оператор"</t>
  </si>
  <si>
    <t>Годишни парични разходи за дейността "Доставяне на вода с непитейни качества"</t>
  </si>
  <si>
    <t>Годишни парични разходи за дейността "Доставяне на вода на друг ВиК оператор"</t>
  </si>
  <si>
    <t>11.</t>
  </si>
  <si>
    <t>12.</t>
  </si>
  <si>
    <t>ПК6</t>
  </si>
  <si>
    <t>Заеми (хил.лв.)</t>
  </si>
  <si>
    <t>Общо за регулирана дейност</t>
  </si>
  <si>
    <t>Oбщо за регулирана дейност</t>
  </si>
  <si>
    <t>Oбщо за доставяне на вода</t>
  </si>
  <si>
    <t>в т.ч. Разходи за възнаграждения за оперативен ремонт, хил.лв.</t>
  </si>
  <si>
    <t>в т т.ч. Капитализирани разходи за възнаграждения, хил.лв.</t>
  </si>
  <si>
    <t>в т.ч. Разходи за социални осигуровки за оперативен ремонт, хил.лв.</t>
  </si>
  <si>
    <t>в т.ч. Капитализирани разходи за социални осигуровки, хил.лв.</t>
  </si>
  <si>
    <t>в т.ч.. социални разходи (вкл. ваучери за храна) за оперативен рмеонт, хил.лв.</t>
  </si>
  <si>
    <t>Социални разходи (вкл. ваучери за храна), хил.лв.</t>
  </si>
  <si>
    <t xml:space="preserve">в т.ч. капитализирани социални разходи, хил.лв. </t>
  </si>
  <si>
    <t xml:space="preserve">Брой наети лица </t>
  </si>
  <si>
    <t>6.4.</t>
  </si>
  <si>
    <t>6.5.</t>
  </si>
  <si>
    <t>Брой  лица по трудово правоотношение, наети на непълно работно време</t>
  </si>
  <si>
    <t>5.1.1.</t>
  </si>
  <si>
    <t>5.1.2.</t>
  </si>
  <si>
    <t>5.1.3.</t>
  </si>
  <si>
    <t>5.1.4.</t>
  </si>
  <si>
    <t>5.1.5.</t>
  </si>
  <si>
    <t>5.1.6.</t>
  </si>
  <si>
    <t>5.1.7.</t>
  </si>
  <si>
    <t>5.1.8.</t>
  </si>
  <si>
    <t>5.1.9.</t>
  </si>
  <si>
    <t>ОБЩО за регулирана дейност</t>
  </si>
  <si>
    <t>Отвеждане и пречистване на отпадъчните води</t>
  </si>
  <si>
    <t>4.2.1</t>
  </si>
  <si>
    <t>4.2.2</t>
  </si>
  <si>
    <t>4.2.3</t>
  </si>
  <si>
    <t>4.2.4</t>
  </si>
  <si>
    <t>4.2.5</t>
  </si>
  <si>
    <t>5.5</t>
  </si>
  <si>
    <t>5.6</t>
  </si>
  <si>
    <t>Период на данните:</t>
  </si>
  <si>
    <t>Данни за кореспонденция:</t>
  </si>
  <si>
    <t>Опис на приложенията:</t>
  </si>
  <si>
    <t>1.1.1.</t>
  </si>
  <si>
    <t>1.2.1.</t>
  </si>
  <si>
    <t>IIІ.</t>
  </si>
  <si>
    <t>Отчет и прогноза за продадени и/или закупени водни количества на/от други ВиК оператори</t>
  </si>
  <si>
    <t>Справка № 1</t>
  </si>
  <si>
    <t>Променливи за изчисление на показателите за качество на предоставяните В и К услуги</t>
  </si>
  <si>
    <t>Справка № 2</t>
  </si>
  <si>
    <t xml:space="preserve">Показатели за качество на предоставяните В и К услуги </t>
  </si>
  <si>
    <t>Справка № 3</t>
  </si>
  <si>
    <t>Доставяне вода на друг ВиК оператор - Общо</t>
  </si>
  <si>
    <t xml:space="preserve">Справка № 4 </t>
  </si>
  <si>
    <t>Отчет и прогнозно ниво на потребление на В и К услугите за периода на бизнес плана</t>
  </si>
  <si>
    <t>Име и местоположение</t>
  </si>
  <si>
    <t>Община</t>
  </si>
  <si>
    <t>Техническа информация</t>
  </si>
  <si>
    <t>Месец и година на пускане в експлоатация</t>
  </si>
  <si>
    <t>Технически характеристики</t>
  </si>
  <si>
    <t>Друга информация</t>
  </si>
  <si>
    <t>Информация за обекта: етап на проектиране /изграждане, начин на финансиране, друго</t>
  </si>
  <si>
    <t>Разходи</t>
  </si>
  <si>
    <t>Начин на планиране на бъдещите разходи (проект, експертна оценка, друго)</t>
  </si>
  <si>
    <t>социални разходи (вкл. ваучери за храна)</t>
  </si>
  <si>
    <t>социални разходи (вкл. ваучери за храна) за оперативен ремонт</t>
  </si>
  <si>
    <t>Демографски прогнози на НСИ</t>
  </si>
  <si>
    <t>Очаквано присъединяване на нови потребители, в т.ч. промяна на обслужваната територия</t>
  </si>
  <si>
    <t>Прогнози за икономическо развитие на региона</t>
  </si>
  <si>
    <t>Прогнози за население и икономическо развитие</t>
  </si>
  <si>
    <t>Енергийна ефективност за дейността по  доставяне на вода на потребителите</t>
  </si>
  <si>
    <t>Ефективно изменение на нивото на ПК</t>
  </si>
  <si>
    <t>1.1.2.</t>
  </si>
  <si>
    <t>Брой  лица по трудово правоотношение, наети на пълно и непълно работно време (без служители по майчинство)</t>
  </si>
  <si>
    <r>
      <t>Брой  лица по трудово правоотношение, наети на пълно</t>
    </r>
    <r>
      <rPr>
        <sz val="9"/>
        <color rgb="FFFF0000"/>
        <rFont val="Times New Roman"/>
        <family val="1"/>
        <charset val="204"/>
      </rPr>
      <t xml:space="preserve"> </t>
    </r>
    <r>
      <rPr>
        <sz val="9"/>
        <rFont val="Times New Roman"/>
        <family val="1"/>
        <charset val="204"/>
      </rPr>
      <t>работно време (без служители по майчинство)</t>
    </r>
  </si>
  <si>
    <t>темп на изменение спрямо предходната година, %</t>
  </si>
  <si>
    <r>
      <t>Среден размер на възнаграждение на единица персонал</t>
    </r>
    <r>
      <rPr>
        <sz val="9"/>
        <color rgb="FFFF0000"/>
        <rFont val="Times New Roman"/>
        <family val="1"/>
        <charset val="204"/>
      </rPr>
      <t xml:space="preserve"> </t>
    </r>
    <r>
      <rPr>
        <sz val="9"/>
        <rFont val="Times New Roman"/>
        <family val="1"/>
        <charset val="204"/>
      </rPr>
      <t>(хил.лв./бр.)</t>
    </r>
  </si>
  <si>
    <t>1.2.2.</t>
  </si>
  <si>
    <t>1.2.3.</t>
  </si>
  <si>
    <t>1.2.4.</t>
  </si>
  <si>
    <t>1.2.5.</t>
  </si>
  <si>
    <t>1.2.6.</t>
  </si>
  <si>
    <t>1.2.7.</t>
  </si>
  <si>
    <t>1.2.8.</t>
  </si>
  <si>
    <t>1.2.9.</t>
  </si>
  <si>
    <t>увеличение</t>
  </si>
  <si>
    <t>намаление</t>
  </si>
  <si>
    <t>отчет</t>
  </si>
  <si>
    <t>разчет</t>
  </si>
  <si>
    <t xml:space="preserve">Проверка/равнение фактурирани количества на друг ВиК оператор </t>
  </si>
  <si>
    <t>Проверка/равнение загуби при доставяне на друг ВиК оператор</t>
  </si>
  <si>
    <t>Обща дължина на рехабилитираната водопроводна мрежа  ВС Доставяне на вода с непитейни качества</t>
  </si>
  <si>
    <t>Броят на водомерни зони, имащи постоянно измерване на дебит и налягане на вход/изход зона и измервания в критична точка при необходимост</t>
  </si>
  <si>
    <t>Собствени средства (хил.лв.)</t>
  </si>
  <si>
    <t>такси за заустване</t>
  </si>
  <si>
    <t xml:space="preserve"> - за технологични нужди</t>
  </si>
  <si>
    <t xml:space="preserve"> - за транспортни средства</t>
  </si>
  <si>
    <t xml:space="preserve"> - за механизация (горива за оперативен ремонт)</t>
  </si>
  <si>
    <t>Възвръщаемост за доставяне на вода на потребителите</t>
  </si>
  <si>
    <t>Други оперативни ремонти, общи за услугите - разпределение за доставяне вода на потребителите</t>
  </si>
  <si>
    <t>Други оперативни ремонти, общи за услугите - разпределение за отвеждане на отпадъчните води</t>
  </si>
  <si>
    <t>Други оперативни ремонти, общи за услугите - разпределение за пречистване на отпадъчните води</t>
  </si>
  <si>
    <t>Други оперативни ремонти, общи за услугите - разпределение за доставяне на вода с непитейни качества</t>
  </si>
  <si>
    <t>Други оперативни ремонти, общи за услугите - разпределение за доставяне на вода на друг ВиК оператор</t>
  </si>
  <si>
    <t>Ремонт на помпи за доставяне на вода на потребителите</t>
  </si>
  <si>
    <t>Ремонт на други съоръжения за доставяне на вода на потребителите</t>
  </si>
  <si>
    <t>Ремонт на оборудване, апаратура и машини за доставяне на вода на потребителите</t>
  </si>
  <si>
    <t>Ремонт на сгради за доставяне на вода на потребителите</t>
  </si>
  <si>
    <t>Други оперативни ремонти за доставяне на вода на потребителите</t>
  </si>
  <si>
    <t>Общо ремонти за услуга доставяне на вода на потребителите</t>
  </si>
  <si>
    <t>Ремонт на помпи за отвеждане на отпадъчните води</t>
  </si>
  <si>
    <t>Ремонт на оборудване, апаратура и машини за отвеждане на отпадъчните води</t>
  </si>
  <si>
    <t>Ремонт на сгради за отвеждане на отпадъчните води</t>
  </si>
  <si>
    <t>Ремонт на механизация и транспортни средства за отвеждане на отпадъчните води</t>
  </si>
  <si>
    <t>Други оперативни ремонти за отвеждане на отпадъчните води</t>
  </si>
  <si>
    <t>Ремонт на съоръжения за пречистване на отпадъчните води</t>
  </si>
  <si>
    <t>Ремонт на помпи за пречистване на отпадъчните води</t>
  </si>
  <si>
    <t>Ремонт на оборудване, апаратура и машини за пречистване на отпадъчните води</t>
  </si>
  <si>
    <t>Ремонт на сгради за пречистване на отпадъчните води</t>
  </si>
  <si>
    <t>Други оперативни ремонти за пречистване на отпадъчните води</t>
  </si>
  <si>
    <t>Ремонт на помпи за доставяне на вода с непитейни качества</t>
  </si>
  <si>
    <t>Ремонт на други съоръжения за доставяне на вода с непитейни качества</t>
  </si>
  <si>
    <t>Ремонт на оборудване, апаратура и машини за доставяне на вода с непитейни качества</t>
  </si>
  <si>
    <t>Ремонт на механизация и транспортни средства за доставяне на вода с непитейни качества</t>
  </si>
  <si>
    <t>Други оперативни ремонти за доставяне на вода с непитейни качества</t>
  </si>
  <si>
    <t>Ремонт на помпи за доставяне на вода на друг ВиК оператор</t>
  </si>
  <si>
    <t>Ремонт на други съоръжения за доставяне на вода на друг ВиК оператор</t>
  </si>
  <si>
    <t>Ремонт на оборудване, апаратура и машини за доставяне вода на друг ВиК оператор</t>
  </si>
  <si>
    <t>Ремонт на сгради за доставяне на вода на друг ВиК оператор</t>
  </si>
  <si>
    <t>Ремонт на механизация и транспортни средства за доставяне на вода на друг ВиК оператор</t>
  </si>
  <si>
    <t>Други оперативни ремонти за доставяне на вода на друг ВиК оператор</t>
  </si>
  <si>
    <t xml:space="preserve">2. Справка №7 се попълва само за ВС "Основна".  </t>
  </si>
  <si>
    <t>2. Цифрите в редове "Проверка/засичане на данни" трябва да са нули</t>
  </si>
  <si>
    <t>Справка № 9</t>
  </si>
  <si>
    <t>Справка № 12</t>
  </si>
  <si>
    <t>Годишни разходи</t>
  </si>
  <si>
    <t>Отчет и прогнозно ниво на потребление на електроенергия за периода на бизнес плана</t>
  </si>
  <si>
    <t>Справка № 6</t>
  </si>
  <si>
    <t>Справка № 4.2.</t>
  </si>
  <si>
    <t>9.8.</t>
  </si>
  <si>
    <t>% за собствени активи</t>
  </si>
  <si>
    <t>9.9.</t>
  </si>
  <si>
    <t>% за публични активи</t>
  </si>
  <si>
    <t>10.8.</t>
  </si>
  <si>
    <t>10.9.</t>
  </si>
  <si>
    <t>11.8.</t>
  </si>
  <si>
    <t>11.9.</t>
  </si>
  <si>
    <t>Група ВиК оператор</t>
  </si>
  <si>
    <t>Малък ВиК оператор</t>
  </si>
  <si>
    <t>Голям ВиК оператор</t>
  </si>
  <si>
    <t>Среден ВиК оператор</t>
  </si>
  <si>
    <t>Микро ВиК оператор</t>
  </si>
  <si>
    <t>Норма на възвръщаемост на привлечения капитал, утвърдена от комисията</t>
  </si>
  <si>
    <t>Групи ВиК оператори</t>
  </si>
  <si>
    <t>НВск</t>
  </si>
  <si>
    <t>НВпк</t>
  </si>
  <si>
    <t>4. Справка № 2 се попълва за ВС "Основна" и за ВС "Доставяне на вода с непитейни качества". Справка № 2 не се попълва за ВС "Вода за друг ВиК оператор"</t>
  </si>
  <si>
    <t>Възвръщаемост за отвеждане на отпадъчни води</t>
  </si>
  <si>
    <t>Възвръщаемост за пречистване на отпадъчни води</t>
  </si>
  <si>
    <t>ДОСТАВЯНЕ ВОДА НА ПОТРЕБИТЕЛИТЕ - ОСНОВНА</t>
  </si>
  <si>
    <t>Справка № 7</t>
  </si>
  <si>
    <t>Ремонтна програма</t>
  </si>
  <si>
    <t>Справка № 8</t>
  </si>
  <si>
    <t>Справка № 11</t>
  </si>
  <si>
    <t>Амортизационен план на Дълготрайни Активи</t>
  </si>
  <si>
    <t>Инвестиции и източници на финансиране</t>
  </si>
  <si>
    <t>Справка № 10</t>
  </si>
  <si>
    <t>Ремонт на механизация и транспортни средства за доставяне на вода на потребителите</t>
  </si>
  <si>
    <t>Ремонт на механизация и транспортни средства за пречистване на отпадъчните води</t>
  </si>
  <si>
    <t>Ремонт на сгради за доставяне на вода с непитейни качества</t>
  </si>
  <si>
    <t>Справка № 4.1. - Отчет и прогноза за фактурирани количества, население и потребители по услуги</t>
  </si>
  <si>
    <t>Справка № 20  - Цени за регулирани услуги</t>
  </si>
  <si>
    <t>Общ брой на населението по последно преброяване и демографски прогнози на НСИ, ползващо услугата доставяне на вода на потребителите в обособената територия, обслужвана от В и К оператора</t>
  </si>
  <si>
    <t xml:space="preserve">Общ брой на населението по последно преброяване и демографски прогнози на НСИ, ползващо услугата отвеждане на отпадъчни води в обособената територия, обслужвана от оператора за разглеждания период </t>
  </si>
  <si>
    <t>Общ брой на населението по последно преброяване и демографски прогнози на НСИ, ползващо услугата пречистване на отпадъчни води в обособената територия, обслужвана от оператора за разглеждания период</t>
  </si>
  <si>
    <t>Променлива F1: Общ брой на населението по последно преброяване и демографски прогнози на НСИ, ползващо услугата доставяне на вода на потребителите в обособената територия, обслужвана от В и К оператора</t>
  </si>
  <si>
    <t xml:space="preserve">Променлива wE4: Общ брой на населението по последно преброяване и демографски прогнози на НСИ, ползващо услугата отвеждане на отпадъчни води в обособената територия, обслужвана от оператора за разглеждания период </t>
  </si>
  <si>
    <t>Променлива wE2: Общ брой на населението по последно преброяване и демографски прогнози на НСИ, ползващо услугата пречистване на отпадъчни води в обособената територия, обслужвана от оператора за разглеждания период</t>
  </si>
  <si>
    <t xml:space="preserve">Общ брой на населението по последно преброяване и демографски прогнози на НСИ в обособената територия, обслужвана от оператора </t>
  </si>
  <si>
    <t>Разходи за възнаграждения по трудови правоотношения, хил.лв.</t>
  </si>
  <si>
    <t>Разходи за възнаграждения и хонорари, в хил.лв.</t>
  </si>
  <si>
    <t>Наети с договор за управление и контрол, граждански договор, допълнителен труд съгласно чл. 111 от КТ</t>
  </si>
  <si>
    <t>Разходи в Qр</t>
  </si>
  <si>
    <t>Разлика общо изменение - коеф. Qр</t>
  </si>
  <si>
    <t>Разходи за нови обекти и/или дейности, включени в коефициента Qp и ефективност на разходите</t>
  </si>
  <si>
    <t>Средноаритметично
2018-2020 г.</t>
  </si>
  <si>
    <t xml:space="preserve">ефект на изменение </t>
  </si>
  <si>
    <r>
      <t>м</t>
    </r>
    <r>
      <rPr>
        <vertAlign val="superscript"/>
        <sz val="10"/>
        <color indexed="8"/>
        <rFont val="Times New Roman"/>
        <family val="1"/>
        <charset val="204"/>
      </rPr>
      <t>3</t>
    </r>
  </si>
  <si>
    <r>
      <rPr>
        <sz val="10"/>
        <color rgb="FFFF0000"/>
        <rFont val="Times New Roman"/>
        <family val="1"/>
        <charset val="204"/>
      </rPr>
      <t>м</t>
    </r>
    <r>
      <rPr>
        <vertAlign val="superscript"/>
        <sz val="10"/>
        <color rgb="FFFF0000"/>
        <rFont val="Times New Roman"/>
        <family val="1"/>
        <charset val="204"/>
      </rPr>
      <t>3</t>
    </r>
  </si>
  <si>
    <t>ефект на изменение</t>
  </si>
  <si>
    <r>
      <t>м</t>
    </r>
    <r>
      <rPr>
        <vertAlign val="superscript"/>
        <sz val="10"/>
        <color indexed="8"/>
        <rFont val="Times New Roman"/>
        <family val="1"/>
        <charset val="204"/>
      </rPr>
      <t>3</t>
    </r>
    <r>
      <rPr>
        <sz val="10"/>
        <color indexed="8"/>
        <rFont val="Times New Roman"/>
        <family val="1"/>
        <charset val="204"/>
      </rPr>
      <t>/мес.</t>
    </r>
  </si>
  <si>
    <t>л/ж/д</t>
  </si>
  <si>
    <t>контрола</t>
  </si>
  <si>
    <t>3. Справка № 4.1. се попълва само за ВС "Основна"</t>
  </si>
  <si>
    <t xml:space="preserve">2. Справка № 3 е резултативна от данните в Справка № 2 за ВС "Основна" и ВС "Вода с непитейни качества". </t>
  </si>
  <si>
    <t>2. Качеството на информация се посочва с оценка от 1 до 4, съгласно указания НРКВКУ</t>
  </si>
  <si>
    <t>2. В случай на необходмост се добавят редове в раздел Данни за търговското дружество, съдружници/ акционери</t>
  </si>
  <si>
    <t xml:space="preserve">Фактурирано потребление на население </t>
  </si>
  <si>
    <r>
      <t xml:space="preserve">Фактурирано потребление на битови потребители </t>
    </r>
    <r>
      <rPr>
        <b/>
        <sz val="10"/>
        <color indexed="8"/>
        <rFont val="Times New Roman"/>
        <family val="1"/>
        <charset val="204"/>
      </rPr>
      <t/>
    </r>
  </si>
  <si>
    <r>
      <t xml:space="preserve">Фактурирано потребление на обществени и търговски потребители </t>
    </r>
    <r>
      <rPr>
        <b/>
        <sz val="10"/>
        <color indexed="8"/>
        <rFont val="Times New Roman"/>
        <family val="1"/>
        <charset val="204"/>
      </rPr>
      <t/>
    </r>
  </si>
  <si>
    <r>
      <t xml:space="preserve">Фактурирано потребление на стопански потребители </t>
    </r>
    <r>
      <rPr>
        <b/>
        <sz val="10"/>
        <color indexed="8"/>
        <rFont val="Times New Roman"/>
        <family val="1"/>
        <charset val="204"/>
      </rPr>
      <t/>
    </r>
  </si>
  <si>
    <t xml:space="preserve">Ефект от намаление на търговски загуби </t>
  </si>
  <si>
    <t>2. Цифрите в редове "Проверка/равнение ефект търговски загуби със Справка № 4" трябва да са нули</t>
  </si>
  <si>
    <t>3. За ВС "Доставяне на вода на друг ВиК оператор“  се попълват данни за вход, продадена вода и загуби за съответния ВиК оператор. За закупените водни количества от други ВиК оператори/доставчици се представят данни за количества и цени.</t>
  </si>
  <si>
    <t>Обект/ Дейност</t>
  </si>
  <si>
    <t>Обслужвано население, бр.</t>
  </si>
  <si>
    <r>
      <t>Фактурирани количества, м</t>
    </r>
    <r>
      <rPr>
        <vertAlign val="superscript"/>
        <sz val="10"/>
        <color theme="1"/>
        <rFont val="Times New Roman"/>
        <family val="1"/>
        <charset val="204"/>
      </rPr>
      <t>3</t>
    </r>
  </si>
  <si>
    <t>Електроенергия, кВтч</t>
  </si>
  <si>
    <t>Персонал, бр.</t>
  </si>
  <si>
    <t>Разходи за материали, хил. лв.</t>
  </si>
  <si>
    <t>ОБЩО РАЗХОДИ за услугата доставяне на вода, включени в Qр, хил. лв.</t>
  </si>
  <si>
    <t xml:space="preserve"> в т.ч. разходи за коагуланти, хил. лв.</t>
  </si>
  <si>
    <t xml:space="preserve"> в т.ч. разходи за флокуланти, хил. лв.</t>
  </si>
  <si>
    <t xml:space="preserve"> в т.ч. разходи за електроенергия, хил. лв.</t>
  </si>
  <si>
    <t>Разходи за външни услуги, хил. лв.</t>
  </si>
  <si>
    <t>Разходи за възнаграждения, хил. лв.</t>
  </si>
  <si>
    <t>Разходи за осигуровки, хил. лв.</t>
  </si>
  <si>
    <t>Данъци и такси, хил. лв.</t>
  </si>
  <si>
    <t>Други разходи, хил. лв.</t>
  </si>
  <si>
    <t>Технически и икономически параметри</t>
  </si>
  <si>
    <t>2. Справка №13 се попълва само за ВС "Основна"</t>
  </si>
  <si>
    <t xml:space="preserve"> в т.ч. разходи за обеззаразяване, хил. лв.</t>
  </si>
  <si>
    <t>Цени за регулирани услуги</t>
  </si>
  <si>
    <t>Контрола</t>
  </si>
  <si>
    <t>в т.ч. разходи за административна дейност</t>
  </si>
  <si>
    <t>Общ брой служители на заетост, еквивалент на пълна заетост (ЕПЗ)</t>
  </si>
  <si>
    <t>Среден размер на възнаграждение на единица персонал на заетост ЕПЗ (хил.лв./ЕПЗ)</t>
  </si>
  <si>
    <t>Брой служители, бр.</t>
  </si>
  <si>
    <t>3. В случай, че дружеството предоставя услугата доставяне на вода на друг ВиК оператор, се посочват наименованията на съответните ВиК оператори</t>
  </si>
  <si>
    <t>4. Справка № 4 се попълва за всички водоснабдителни системи - ВС "Основна", ВС "Доставяне на вода с непитейни качества", и ВС "Доставяне на вода на друг ВиК оператор". За ВС "Основна" се попълват всички данни за добити и подадени количества в редове 1.1-1.2. и 1.5-1.8, вкл. за ВС "Вода за друг ВиК оператор" (всички системи, ако са повече от една), редове 1.3. и 1.4. не се попълват (данните са резултативни от Справка № 4.2) . За ВС "Доставяне на вода на друг ВиК оператор" (редове 92 - 111  - данните за вход система, продадени водни количества, и неносеща приходи вода Q9 (в т.ч. компонентите на загубите) са резултативни от Справка № 4.2. За ВС "Вода с непитейни качества" се попълват самостоятелни данни за вход, продадена вода и загуби</t>
  </si>
  <si>
    <t xml:space="preserve">3. В случай, че дружеството планира влошване на нивото по даден показател за дадена година спрямо предходната година в съответната клетка ще се появи червена маркировка. </t>
  </si>
  <si>
    <t>Справка № 12.1.</t>
  </si>
  <si>
    <t>Справка № 12.2.</t>
  </si>
  <si>
    <t>Справка № 11.1. - Амортизация на новопридобити активи</t>
  </si>
  <si>
    <t>3. Данните за фактурирани количества за ВС "Основна" и ВС "Доставяне на вода на друг ВиК оператор" са резултативни съответно от Справка № 4.1. и № 4.2. Попълват се данни за фактурирани количества пречистени отпадъчни води единствено за промишлени и други стопански потребители според степени на замърсеност 1, 2, 3.
В случай, че Пречистените фактурирани количества отпадъчни води за промишлени и други стопански потребители в Справка 4.1. не са равни на сумата от Пречистените количества отпадъчни води според степени на замърсеност 1, 2 и 3, на ред "контрола" ще се калкулират стойности различни от нула, което ще покаже необходмост от ревизия на данните в справката</t>
  </si>
  <si>
    <t>3. В т.6 "Наети с договор за управление и контрол, граждански договор, допълнителен труд съгласно чл. 111 от КТ" се посочват наетите лица по договор за управление и контрол, които не са включени в т.1.2. извън-трудови правоотнощения, допълнителен труд по чл.111 от КТ и работещи собственици, като разходи за възнаграждения се посочват всички плащания, имащи характер на хонорари и др. подобни плащания</t>
  </si>
  <si>
    <t>2. В т. 1.2."Общ брой служители на заетост, еквивалент на пълна заетост (ЕПЗ)" се включват и наетите лица по договор за управление и контрол, на които основното работно място и прослужен трудов стаж е в отчетната единица; както и лица, временно отсъстващи поради болест, неплатен отпуск не по-дълъг от 3 месеца. Не се включват лицата в неплатен отпуск за повече от 3 месеца, акто и лицата в отпуск по майчинство.</t>
  </si>
  <si>
    <t xml:space="preserve">3. В колона „Заеми“ се посочват инвестициите планирани от дружеството, които ще се финансират чрез заеми. </t>
  </si>
  <si>
    <t>1. Справката е резултативна.</t>
  </si>
  <si>
    <t>2. Справка №14 се попълва само за цялото дружество</t>
  </si>
  <si>
    <t>3. Справка №15 се попълва за цялото дружество</t>
  </si>
  <si>
    <t xml:space="preserve"> Амортизация на новопридобити активи</t>
  </si>
  <si>
    <t>Справка № 11.1.</t>
  </si>
  <si>
    <t>Прогнозен отчет за паричния поток</t>
  </si>
  <si>
    <t>Справка № 15</t>
  </si>
  <si>
    <t>Прогнозен отчет за приходите и разходите</t>
  </si>
  <si>
    <t>Справка № 14</t>
  </si>
  <si>
    <t>Справка № 16</t>
  </si>
  <si>
    <t>Справка № 17</t>
  </si>
  <si>
    <t>Справка № 18</t>
  </si>
  <si>
    <t>Справка № 19</t>
  </si>
  <si>
    <t>Справка № 20</t>
  </si>
  <si>
    <t>Битови и приравнените към тях обществени и търговски потребители</t>
  </si>
  <si>
    <t>Услуга</t>
  </si>
  <si>
    <t>3.2.1.</t>
  </si>
  <si>
    <t>3.2.2.</t>
  </si>
  <si>
    <t>3.2.3.</t>
  </si>
  <si>
    <t>Код 
счетоводна сметка 
207</t>
  </si>
  <si>
    <t>% 
годишна амортизация</t>
  </si>
  <si>
    <t>ВС Доствяне на вода на друг ВиК оператор</t>
  </si>
  <si>
    <t>в т.ч. Разпределен общ административен персонал</t>
  </si>
  <si>
    <t>К-т за степен на замърсеност на пречистени отпадъчни води</t>
  </si>
  <si>
    <t>Собствени дългтрайни активи  и                                    Публични дълготрайни активи, изградени със собствени средства</t>
  </si>
  <si>
    <t>Нови ДА</t>
  </si>
  <si>
    <t>ДА с изтичащ полезен живот през периода</t>
  </si>
  <si>
    <t>Разпределение на общ административен персонал на заетост ЕПЗ</t>
  </si>
  <si>
    <t xml:space="preserve">Справка № 12.2. - Разходи за експолоатация и поддръжка на нови активи и/или осъществяване на нови дейности, включени в коефициент Qр </t>
  </si>
  <si>
    <t>Дълготрайни активи за периода на бизнес плана</t>
  </si>
  <si>
    <t>Справка № 11.2. - Дълготрайни активи за периода на бизнес плана</t>
  </si>
  <si>
    <t>ВиК оператор (наименование на продавача): "ВиК" ….</t>
  </si>
  <si>
    <t>Пряко зает персонал на заетост ЕПЗ</t>
  </si>
  <si>
    <t xml:space="preserve"> Непряко зает персонал на заетост ЕПЗ</t>
  </si>
  <si>
    <t>5. В т. 1.5."в т.ч. Разпределен общ административен персонал" се посочва разпределеният по дейности и услуги общ административен персонал, съгласно т. 15.7. от Указанията за НРКВКУ. В случай, че рзпределението на общия административен персонал не отговаря на изискванията на т. 15.7. от Указанията за НРКВКУ стойностите няма да се равнят с тези в т. 1.6. "Разпределение на общ административен персонал на заетост ЕПЗ" (която се явява контрола).</t>
  </si>
  <si>
    <t>4. Общият административен персонал е персоналът зает с централното управление на дружеството.</t>
  </si>
  <si>
    <t>Преки разходи</t>
  </si>
  <si>
    <t xml:space="preserve"> Непреки разходи</t>
  </si>
  <si>
    <t>Непреки разходи</t>
  </si>
  <si>
    <t>Параметри на публичните ВиК активи и обслужвани потребители</t>
  </si>
  <si>
    <t>Общ брой населени места, в които се предоставя услугата доставяне на вода</t>
  </si>
  <si>
    <t>Общ брой населени места, в които се предоставя услугата отвеждане на отпадъчни води</t>
  </si>
  <si>
    <t>Общ брой населени места, в които се предоставя услугата пречистване на отпадъчни води</t>
  </si>
  <si>
    <t xml:space="preserve">Общ брой на населението, ползващо услугата доставяне на вода на потребителите </t>
  </si>
  <si>
    <t xml:space="preserve">Брой население, ползващо услугата отвеждане на отпадъчни води </t>
  </si>
  <si>
    <t xml:space="preserve">Брой население, ползващо услугата пречистване на отпадъчни води    </t>
  </si>
  <si>
    <t>Общ брой населени места в обособената територия, обслужвана от ВиК оператора за разглеждания период</t>
  </si>
  <si>
    <t>Общ брой на населението в обособената територия, обслужвана от ВиК оператора</t>
  </si>
  <si>
    <t>Общ брой на водомерни зони в обслужваната от ВиК оператора територия</t>
  </si>
  <si>
    <t>Обща дължина на довеждащите водопроводи и разпределителната водопроводна мрежа</t>
  </si>
  <si>
    <t>Общ брой на сградните водопроводни отклонения (СВО)</t>
  </si>
  <si>
    <t>Общ брой на сградните канализационни отклонения  (СКО)</t>
  </si>
  <si>
    <t>Общ брой водомери на СВО (средства за измерване)</t>
  </si>
  <si>
    <r>
      <t>м</t>
    </r>
    <r>
      <rPr>
        <vertAlign val="superscript"/>
        <sz val="8"/>
        <rFont val="Times New Roman"/>
        <family val="1"/>
        <charset val="204"/>
      </rPr>
      <t>3</t>
    </r>
    <r>
      <rPr>
        <sz val="8"/>
        <rFont val="Times New Roman"/>
        <family val="1"/>
        <charset val="204"/>
      </rPr>
      <t xml:space="preserve">/год </t>
    </r>
  </si>
  <si>
    <r>
      <t>м</t>
    </r>
    <r>
      <rPr>
        <vertAlign val="superscript"/>
        <sz val="8"/>
        <rFont val="Times New Roman"/>
        <family val="1"/>
        <charset val="204"/>
      </rPr>
      <t>3</t>
    </r>
    <r>
      <rPr>
        <sz val="8"/>
        <rFont val="Times New Roman"/>
        <family val="1"/>
        <charset val="204"/>
      </rPr>
      <t>/км/ден</t>
    </r>
  </si>
  <si>
    <t>Ед. 
мярка</t>
  </si>
  <si>
    <t>Общ брой служители на заетост, еквивалентна пълна заетост (ЕПЗ)</t>
  </si>
  <si>
    <t>Среден размер на възнаграждение на единица персонал на ЕПЗ (хил.лв./ЕПЗ)</t>
  </si>
  <si>
    <t>Ед. Мярка</t>
  </si>
  <si>
    <t>ОБЩО за доставяне на вода</t>
  </si>
  <si>
    <t>ОБЩО за отвеждане и пречистване на отпадъчни води</t>
  </si>
  <si>
    <t>бр. ЕПЗ</t>
  </si>
  <si>
    <t>хил.лв. /ЕПЗ</t>
  </si>
  <si>
    <t xml:space="preserve">Брой  лица по трудово правоотношение, наети на пълно и непълно работно време </t>
  </si>
  <si>
    <t>темп на изменение спрямо 2020 г.</t>
  </si>
  <si>
    <t xml:space="preserve"> темп на изменение спрямо 2020 г.</t>
  </si>
  <si>
    <t>темп на изменение спрямо предходната година</t>
  </si>
  <si>
    <t>Дял на социалните разходи от разходите за възнаграждения</t>
  </si>
  <si>
    <t>Дял на разходите за социални осигуровки от разходите за възнаграждения</t>
  </si>
  <si>
    <t xml:space="preserve">Потребена електрическа енергия </t>
  </si>
  <si>
    <t>МВтч</t>
  </si>
  <si>
    <t>Разход, хил. лв.</t>
  </si>
  <si>
    <r>
      <t>кВтч/м</t>
    </r>
    <r>
      <rPr>
        <b/>
        <vertAlign val="superscript"/>
        <sz val="8"/>
        <color rgb="FF1F497D"/>
        <rFont val="Times New Roman"/>
        <family val="1"/>
        <charset val="204"/>
      </rPr>
      <t>3</t>
    </r>
  </si>
  <si>
    <t>Темп на изменение спрямо предходната година</t>
  </si>
  <si>
    <t>ОБЩО  за регулирана дейност</t>
  </si>
  <si>
    <t>Количество</t>
  </si>
  <si>
    <r>
      <t>Специфичен разход кВтч/м</t>
    </r>
    <r>
      <rPr>
        <b/>
        <vertAlign val="superscript"/>
        <sz val="8"/>
        <color rgb="FF1F497D"/>
        <rFont val="Times New Roman"/>
        <family val="1"/>
        <charset val="204"/>
      </rPr>
      <t xml:space="preserve">3 </t>
    </r>
    <r>
      <rPr>
        <b/>
        <sz val="8"/>
        <color rgb="FF1F497D"/>
        <rFont val="Times New Roman"/>
        <family val="1"/>
        <charset val="204"/>
      </rPr>
      <t>вода на вход ПСОВ</t>
    </r>
  </si>
  <si>
    <r>
      <t>Специфичен разход кВтч/м</t>
    </r>
    <r>
      <rPr>
        <b/>
        <vertAlign val="superscript"/>
        <sz val="8"/>
        <color rgb="FF1F497D"/>
        <rFont val="Times New Roman"/>
        <family val="1"/>
        <charset val="204"/>
      </rPr>
      <t>3</t>
    </r>
    <r>
      <rPr>
        <b/>
        <sz val="8"/>
        <color rgb="FF1F497D"/>
        <rFont val="Times New Roman"/>
        <family val="1"/>
        <charset val="204"/>
      </rPr>
      <t xml:space="preserve"> вода на вход ВС</t>
    </r>
  </si>
  <si>
    <t>Ополозтворени утайки съгласно методите, описани в Национален план за управление на утайките от ГПСОВ</t>
  </si>
  <si>
    <t xml:space="preserve">тон  </t>
  </si>
  <si>
    <t>лв./т.</t>
  </si>
  <si>
    <t>лв/тон  с.в.</t>
  </si>
  <si>
    <t>Обща стойност на обектите (хил.лв.)</t>
  </si>
  <si>
    <t xml:space="preserve">Брой </t>
  </si>
  <si>
    <t>Други ремонти,общи за услугите-разпр.</t>
  </si>
  <si>
    <t>водоизточници</t>
  </si>
  <si>
    <t>довеждащи водопроводи</t>
  </si>
  <si>
    <t>участъци от водопроводната мрежа под 10 м</t>
  </si>
  <si>
    <t>СВО</t>
  </si>
  <si>
    <t>спирателни кранове и хидранти</t>
  </si>
  <si>
    <t>помпи за доставяне на вода на потребителите</t>
  </si>
  <si>
    <t>други съоръжения за доставяне на вода на потребителите</t>
  </si>
  <si>
    <t>оборудване, апаратура и машини за доставяне на вода на потребителите</t>
  </si>
  <si>
    <t>механизация и транспортни средства за доставяне на вода на потребителите</t>
  </si>
  <si>
    <t>сгради за доставяне на вода на потребителите</t>
  </si>
  <si>
    <t>СКО</t>
  </si>
  <si>
    <t>Участъци от канализационна мрежа под 10 м</t>
  </si>
  <si>
    <t>помпи за отвеждане на отпадъчните води</t>
  </si>
  <si>
    <t>оборудване, апаратура и машини за отвеждане на отпадъчните води</t>
  </si>
  <si>
    <t>сгради за отвеждане на отпадъчните води</t>
  </si>
  <si>
    <t>механизация и транспортни средства за отвеждане на отпадъчните води</t>
  </si>
  <si>
    <t>Профилактика</t>
  </si>
  <si>
    <t>Други оперативни ремонти, общи за услугите - разпр.</t>
  </si>
  <si>
    <t>съоръжения за пречистване на отпадъчните води</t>
  </si>
  <si>
    <t>помпи за пречистване на отпадъчните води</t>
  </si>
  <si>
    <t>оборудване, апаратура и машини за пречистване на отпадъчните води</t>
  </si>
  <si>
    <t>сгради за пречистване на отпадъчните води</t>
  </si>
  <si>
    <t>механизация и транспортни средства за пречистване на отпадъчните води</t>
  </si>
  <si>
    <t>Предложени нива на показателите за качество</t>
  </si>
  <si>
    <r>
      <t>м</t>
    </r>
    <r>
      <rPr>
        <vertAlign val="superscript"/>
        <sz val="7"/>
        <rFont val="Times New Roman"/>
        <family val="1"/>
        <charset val="204"/>
      </rPr>
      <t>3</t>
    </r>
    <r>
      <rPr>
        <sz val="7"/>
        <rFont val="Times New Roman"/>
        <family val="1"/>
        <charset val="204"/>
      </rPr>
      <t>/км/ден</t>
    </r>
  </si>
  <si>
    <t xml:space="preserve"> Енергийна ефективност за дейността по  доставяне на вода на потребителите</t>
  </si>
  <si>
    <r>
      <t>кВч/м</t>
    </r>
    <r>
      <rPr>
        <vertAlign val="superscript"/>
        <sz val="7"/>
        <rFont val="Times New Roman"/>
        <family val="1"/>
        <charset val="204"/>
      </rPr>
      <t>3</t>
    </r>
  </si>
  <si>
    <t>Показател за качество</t>
  </si>
  <si>
    <t>ВС "Основна"</t>
  </si>
  <si>
    <t>ВС "Доставяне вода с непитейни качества"</t>
  </si>
  <si>
    <t>Общо</t>
  </si>
  <si>
    <t>Дял от общо</t>
  </si>
  <si>
    <t>ПСПВ</t>
  </si>
  <si>
    <t>Резервоари, ХС, ПС, хидрофори</t>
  </si>
  <si>
    <t>Разпределителна водопроводна мрежа над 10 м.</t>
  </si>
  <si>
    <t>СВО, СК, ПХ</t>
  </si>
  <si>
    <t>Измерване на вход, зониране - контролно измерване</t>
  </si>
  <si>
    <t>Управление на налягане, проучване и моделиране</t>
  </si>
  <si>
    <t>СКАДА</t>
  </si>
  <si>
    <t>Общо - публични активи водоснабдяване</t>
  </si>
  <si>
    <t>Собствени активи - автомобили, механизация, оборудване</t>
  </si>
  <si>
    <t>КПС</t>
  </si>
  <si>
    <t>Главни канализационни клонове</t>
  </si>
  <si>
    <t>Канализационна мрежа над 10 м.</t>
  </si>
  <si>
    <t>Проучване и моделиране</t>
  </si>
  <si>
    <t>Общо - публични активи канализация</t>
  </si>
  <si>
    <t>ПСОВ</t>
  </si>
  <si>
    <t>Общо - публични активи пречистване</t>
  </si>
  <si>
    <t>Водомери на СВО</t>
  </si>
  <si>
    <t>Информационни системи - собствени активи и ИТ хардуер</t>
  </si>
  <si>
    <t>Собствени активи - сгради, стопански инвентар, автомобили</t>
  </si>
  <si>
    <t>Общо транспорт, администрация и ИТ</t>
  </si>
  <si>
    <t>Общо инвестиции в публични активи</t>
  </si>
  <si>
    <t>Общо инвестиции в собствени активи</t>
  </si>
  <si>
    <t>ОБЩО ИНВЕСТИЦИИ</t>
  </si>
  <si>
    <t>Средно за периода</t>
  </si>
  <si>
    <t>Инвестиции на жител (лв. / брой)</t>
  </si>
  <si>
    <t>Параметър (хил.лв.)</t>
  </si>
  <si>
    <t>Общо за периода</t>
  </si>
  <si>
    <t>Финансиране със собствени средства</t>
  </si>
  <si>
    <t xml:space="preserve">Общо разходи за амортизации от собствени активи </t>
  </si>
  <si>
    <t>Разлика разходи за амортизации - инвестиции</t>
  </si>
  <si>
    <t>Финансиране с привлечени средства</t>
  </si>
  <si>
    <t>Разходи за главници на инвестиционни заеми</t>
  </si>
  <si>
    <t>Общо разходи за амортизации от публични активи от инвестиционна програма</t>
  </si>
  <si>
    <t>Недостиг за финансиране на инвестиционни разходи</t>
  </si>
  <si>
    <t>Общо разходи за амортизации на публични задбалансови активи</t>
  </si>
  <si>
    <t>Общо разходи за амортизации на публични задбалансови активи - предложени в цените</t>
  </si>
  <si>
    <t>Дял на разходи за амортизации на публични задбалансови активи - предложени в цените</t>
  </si>
  <si>
    <t>Инвестиции по договор</t>
  </si>
  <si>
    <t>Инвестиции в бизнес плана</t>
  </si>
  <si>
    <t>(хил.лв.)</t>
  </si>
  <si>
    <t>Инвестиции по направления и услуги</t>
  </si>
  <si>
    <t>Водоизточници и Санитарно-охранителни зони</t>
  </si>
  <si>
    <t xml:space="preserve">Съществуващ дългосрочен заем за изградeни ДА </t>
  </si>
  <si>
    <t>Общо инвестиции в собствени активи за доставяне на вода с непитейни качеста</t>
  </si>
  <si>
    <t>Общо инвестиции в публични активи за доставяне на вода с непитейни качеста</t>
  </si>
  <si>
    <t>Общо инвестиции в публични активи за доставяне на вода на друг ВиК оператор</t>
  </si>
  <si>
    <t>Общо инвестиции в собствени активи за доставяне на вода на друг ВиК оператор</t>
  </si>
  <si>
    <t>Общо инвестиции за доставяне на вода, отвеждане и пречистване на отпадъчни води (хил. лв.)</t>
  </si>
  <si>
    <t>Общ брой на населението, ползващо услугата доставяне на вода на потребителите в обособената територия, обслужвана от ВиК оператора (бр.)</t>
  </si>
  <si>
    <t>Финансиране на инвестиционната програма</t>
  </si>
  <si>
    <t>Финансиране със привлечени средства</t>
  </si>
  <si>
    <t>Разлика между инвестиционни разходи и разходи за амортизация на публични активи</t>
  </si>
  <si>
    <t>Общо инвестиционни разходи с финансиране от собствени средства и разходи за главници на инвестиционни заеми за публични активи</t>
  </si>
  <si>
    <t xml:space="preserve"> Нов дългосрочен заем за изграждане на публични ДА  </t>
  </si>
  <si>
    <t>Получен през периода (хил.лв.)</t>
  </si>
  <si>
    <t>Погасяване на главници (хил.лв.)</t>
  </si>
  <si>
    <t>Лихви (хил.лв.)</t>
  </si>
  <si>
    <t>Общо погасителни вноски (хил.лв.)</t>
  </si>
  <si>
    <t>Остатък главница (хил.лв.)</t>
  </si>
  <si>
    <t>Остатъчна стойност от предишния период (хил.лв.)</t>
  </si>
  <si>
    <t>Амортизационен план</t>
  </si>
  <si>
    <t>Раздел I: Собствени Дълготрайни Активи</t>
  </si>
  <si>
    <t>Раздел II: Публични Дълготрайни Активи, изградени със собствени средства</t>
  </si>
  <si>
    <t>Раздел III: Публични Дълготрайни Активи, предоставени на ВиК оператора за експлоатация и поддръжка</t>
  </si>
  <si>
    <t>Общо регулирана дейност</t>
  </si>
  <si>
    <t>Раздел III: Публични Дълготрайни Активи, предоставени на ВиК оператора за експлоатация и поддръжка - отчетна стойност</t>
  </si>
  <si>
    <t xml:space="preserve">Доставяне вода на потребителите, в т.ч. </t>
  </si>
  <si>
    <t>новопридобити през периода на бизнес плана</t>
  </si>
  <si>
    <t>Общо за регулирана дейност:</t>
  </si>
  <si>
    <t>Доставяне на вода на друг ВиК оператор:</t>
  </si>
  <si>
    <t>Доставяне на вода с непитейни качества:</t>
  </si>
  <si>
    <t>Разходи по икономически елементи (хил.лв.)</t>
  </si>
  <si>
    <t>Променливи разходи:</t>
  </si>
  <si>
    <t>ПРЕКИ РАЗХОДИ</t>
  </si>
  <si>
    <t>разходи за административна дейност</t>
  </si>
  <si>
    <t>НЕПРЕКИ РАЗХОДИ, в т.ч.:</t>
  </si>
  <si>
    <t>Оперативни разходи</t>
  </si>
  <si>
    <t>ОБЩО РАЗХОДИ за оперативен ремонт</t>
  </si>
  <si>
    <t>Бъдещи нови активи и/ или дейности (хил.лв.)</t>
  </si>
  <si>
    <t>Бъдещи нови активи и/ или дейности (хил. лв.)</t>
  </si>
  <si>
    <t>ОБЩО за пречистване на отпадъчни води</t>
  </si>
  <si>
    <t>ОБЩО за отвеждане на отпадъчни води</t>
  </si>
  <si>
    <t>ОБЩО за доставяне на вода на потребителите</t>
  </si>
  <si>
    <t>Бъдещи разходи за нови активи и/или нови дейности</t>
  </si>
  <si>
    <t>Доставяне на вода на потребителите:</t>
  </si>
  <si>
    <t>Отвеждане на отпадъчни води:</t>
  </si>
  <si>
    <t>Пречистване на отпадъчни води:</t>
  </si>
  <si>
    <t>Общо регулирана дейност:</t>
  </si>
  <si>
    <t>Наименование  (хил.лв.)</t>
  </si>
  <si>
    <t>Приходи от оперативна дейност (вкл. нерегулирана)</t>
  </si>
  <si>
    <t>Разходи от оперативна дейност  (вкл. нерегулирана)</t>
  </si>
  <si>
    <t>Наименование (хил.лв.)</t>
  </si>
  <si>
    <t>Реална норма на възвръщаемост (ROI) - печалба спрямо разходи от оперативна дейност (вкл. нерегулирана)</t>
  </si>
  <si>
    <t>Прогнозни отчети за приходи и разходи / парични потоци</t>
  </si>
  <si>
    <t>Отчет за парични потоци:</t>
  </si>
  <si>
    <t>Описание (хил.лв.)</t>
  </si>
  <si>
    <t>Описание  (хил.лв.)</t>
  </si>
  <si>
    <t>Предложение за цени и приходи от ВиК услуги</t>
  </si>
  <si>
    <t>Отведени количества вода</t>
  </si>
  <si>
    <t>Пречистени количества вода</t>
  </si>
  <si>
    <t>К-т за степен на замърсеност на отведeни и отпадъчни води</t>
  </si>
  <si>
    <t>Цени на ВиК услуги лв./куб.м без ДДС</t>
  </si>
  <si>
    <t>Необходими годишни приходи</t>
  </si>
  <si>
    <t>Прогнозни количества</t>
  </si>
  <si>
    <t>Цени на ВиК услуги</t>
  </si>
  <si>
    <t>Пределна норма на възвръщаемост на привлечения капитал, утвърдена от комисията</t>
  </si>
  <si>
    <t>Възвръщаемост за доставяне на вода</t>
  </si>
  <si>
    <t>Възвръщаемост за друг ВиК оператор</t>
  </si>
  <si>
    <r>
      <t>Описание  хил.м</t>
    </r>
    <r>
      <rPr>
        <b/>
        <vertAlign val="superscript"/>
        <sz val="9"/>
        <rFont val="Times New Roman"/>
        <family val="1"/>
        <charset val="204"/>
      </rPr>
      <t>3</t>
    </r>
    <r>
      <rPr>
        <b/>
        <sz val="9"/>
        <rFont val="Times New Roman"/>
        <family val="1"/>
      </rPr>
      <t xml:space="preserve">/год </t>
    </r>
  </si>
  <si>
    <r>
      <t>Описание  хил.м</t>
    </r>
    <r>
      <rPr>
        <b/>
        <vertAlign val="subscript"/>
        <sz val="9"/>
        <rFont val="Times New Roman"/>
        <family val="1"/>
        <charset val="204"/>
      </rPr>
      <t>3</t>
    </r>
    <r>
      <rPr>
        <b/>
        <sz val="9"/>
        <rFont val="Times New Roman"/>
        <family val="1"/>
      </rPr>
      <t xml:space="preserve">/год </t>
    </r>
  </si>
  <si>
    <t>Количества доставена вода на потребителите</t>
  </si>
  <si>
    <t>Степен на замърсеност 1</t>
  </si>
  <si>
    <t>Степен на замърсеност 2</t>
  </si>
  <si>
    <t>Степен на замърсеност 3</t>
  </si>
  <si>
    <t>Общ товар, кг/год.</t>
  </si>
  <si>
    <t>Обосновка на избраните коефициенти на замърсеност</t>
  </si>
  <si>
    <t>Лист</t>
  </si>
  <si>
    <t>кг/год.</t>
  </si>
  <si>
    <t>Коефициенти на степен на замърсеност</t>
  </si>
  <si>
    <t xml:space="preserve">Степен на замърсеност 1 </t>
  </si>
  <si>
    <t xml:space="preserve">Степен на замърсеност 2 </t>
  </si>
  <si>
    <t xml:space="preserve">Степен на замърсеност 3 </t>
  </si>
  <si>
    <t>мин. 
ст-ст</t>
  </si>
  <si>
    <t>макс.
 ст-ст</t>
  </si>
  <si>
    <t>Товар БПК5 за степен на замърсеност 2</t>
  </si>
  <si>
    <t>Товар БПК5 за степен на замърсеност 1</t>
  </si>
  <si>
    <t>Товар БПК5 за степен на замърсеност 3</t>
  </si>
  <si>
    <t>Товар БПК5 за степен на замърсеност на пречистени отпадъчни води</t>
  </si>
  <si>
    <t>Товар БПК5, кг/год</t>
  </si>
  <si>
    <t>ВиК операторът обосновава избраните стойности на коефициентите на замърсеност, съобразно приноса на товара от БПК5 към общия товар на промишлеността.</t>
  </si>
  <si>
    <t>Общо оперативен ремонт по услуги</t>
  </si>
  <si>
    <t>Изразходвана ел. еннергия за административни и спомагателни нужди</t>
  </si>
  <si>
    <t xml:space="preserve"> Нов дългосрочен заем за изграждане на собствени ДА  </t>
  </si>
  <si>
    <t>куб.м/мес. на 1 чов.</t>
  </si>
  <si>
    <t>Социална поносимост на цената на ВиК услугите (с ДДС)</t>
  </si>
  <si>
    <t>Цената на ВиК услугите за битови и приравнени към тях потребители (с ДДС)</t>
  </si>
  <si>
    <t>Вкл. публични ВиК активи</t>
  </si>
  <si>
    <t>Вкл. собствени ВиК активи</t>
  </si>
  <si>
    <t>Инвестиции в публични активи по БП</t>
  </si>
  <si>
    <t>Общо инвестиции по БП</t>
  </si>
  <si>
    <t xml:space="preserve">на , гр. </t>
  </si>
  <si>
    <t xml:space="preserve">ЕИК по БУЛСТАТ: </t>
  </si>
  <si>
    <t xml:space="preserve">Дата: </t>
  </si>
  <si>
    <t>Отчет и прогноза за фактурирани количества, население и потребители по услуги</t>
  </si>
  <si>
    <t>Изменения на годишните разходи спрямо базовата година</t>
  </si>
  <si>
    <t>Базова година:</t>
  </si>
  <si>
    <t>Справка № 12.1. - Изменения на годишните разходи спрямо базовата година</t>
  </si>
  <si>
    <t>Оползотворяване на утайки от ПСОВ</t>
  </si>
  <si>
    <t>Базова година</t>
  </si>
  <si>
    <r>
      <t>Специфичен разход кВтч/м</t>
    </r>
    <r>
      <rPr>
        <vertAlign val="superscript"/>
        <sz val="9"/>
        <color theme="3"/>
        <rFont val="Times New Roman"/>
        <family val="1"/>
        <charset val="204"/>
      </rPr>
      <t>3</t>
    </r>
    <r>
      <rPr>
        <sz val="9"/>
        <color theme="3"/>
        <rFont val="Times New Roman"/>
        <family val="1"/>
        <charset val="204"/>
      </rPr>
      <t xml:space="preserve"> вода на вход ВС</t>
    </r>
  </si>
  <si>
    <r>
      <t>Специфичен разход кВтч/м</t>
    </r>
    <r>
      <rPr>
        <vertAlign val="superscript"/>
        <sz val="9"/>
        <color theme="3"/>
        <rFont val="Times New Roman"/>
        <family val="1"/>
        <charset val="204"/>
      </rPr>
      <t>3</t>
    </r>
    <r>
      <rPr>
        <sz val="9"/>
        <color theme="3"/>
        <rFont val="Times New Roman"/>
        <family val="1"/>
        <charset val="204"/>
      </rPr>
      <t xml:space="preserve"> фактурирана вода</t>
    </r>
  </si>
  <si>
    <r>
      <t>Специфичен разход кВтч/м</t>
    </r>
    <r>
      <rPr>
        <vertAlign val="superscript"/>
        <sz val="9"/>
        <color theme="3"/>
        <rFont val="Times New Roman"/>
        <family val="1"/>
        <charset val="204"/>
      </rPr>
      <t>3</t>
    </r>
    <r>
      <rPr>
        <sz val="9"/>
        <color theme="3"/>
        <rFont val="Times New Roman"/>
        <family val="1"/>
        <charset val="204"/>
      </rPr>
      <t xml:space="preserve"> вода на вход ПСОВ</t>
    </r>
  </si>
  <si>
    <t xml:space="preserve">социални осигуровки за наети с договор за управление и контрол, граждански договор, допълнителен труд съгласно чл. 111 от КТ </t>
  </si>
  <si>
    <t>социални разходи (вкл. ваучери за храна) за наети с договор за управление и контрол, граждански договор, допълнителен труд съгласно чл. 111 от КТ</t>
  </si>
  <si>
    <t>разходи за възнаграждения и хонорари за наети с договор за управление и контрол, граждански договор, допълнителен труд съгласно чл. 111 от КТ</t>
  </si>
  <si>
    <t>2070209;207080209</t>
  </si>
  <si>
    <t>Изразходвана електроенергия "Ниско напрежение"</t>
  </si>
  <si>
    <t>Електроенергия</t>
  </si>
  <si>
    <t>Изразходвана електроенергия "Средно напражение"</t>
  </si>
  <si>
    <t>Изразходвана електроенергия "Високо напрежение"</t>
  </si>
  <si>
    <t>Общо изразходвана електроенергия</t>
  </si>
  <si>
    <t>Изразходвана електроенергия произведена от собствени източници (когенерация, други)</t>
  </si>
  <si>
    <t>Общо изразходвана електроенергия за технологични нужди</t>
  </si>
  <si>
    <t>Изразходвана електроенергия за административни нужди и спомагателна дейност</t>
  </si>
  <si>
    <t>Изразходвана електроенергия за нерегулирана дейност</t>
  </si>
  <si>
    <t>Обобщена справка за произведена и оползотворена/продадена електроенергия</t>
  </si>
  <si>
    <t>Произведена електроенергия от собствени източници</t>
  </si>
  <si>
    <t>Използвана електроенергия от собствени източници за вътрешни нужди</t>
  </si>
  <si>
    <t>Продадена електроенергия от собствени източници на външния пазар</t>
  </si>
  <si>
    <t>Средна цена на електроенергия, лв/МВтч</t>
  </si>
  <si>
    <t>Обобщена справка за консумацията и производството на електроенергия</t>
  </si>
  <si>
    <t>1. Попълват се само клетките в жълт цвят за съответната група ВиК оператори, съгласно решение на КЕВР</t>
  </si>
  <si>
    <t>Интернет страница</t>
  </si>
  <si>
    <t>5.14.</t>
  </si>
  <si>
    <t>Профилактика (почистване, продухване, други);пътни настилки</t>
  </si>
  <si>
    <t>Проверка /равнение брой потребители</t>
  </si>
  <si>
    <t>Включително очаквано присъединяване на нови потребители, в т.ч. промяна на обслужваната територия</t>
  </si>
  <si>
    <t>Очаквано присъединяване на нови потребители, в т.ч. промяна на обслужваната територия (данни с натрупване)</t>
  </si>
  <si>
    <t xml:space="preserve">Включително очаквано присъединяване на нови потребители, в т.ч. промяна на обслужваната територия </t>
  </si>
  <si>
    <t>Продадена фактурирана вода Q3, в т.ч.:</t>
  </si>
  <si>
    <t>ефект от намаление на търговски загуби Q8</t>
  </si>
  <si>
    <t>2027 г.</t>
  </si>
  <si>
    <t>2028 г.</t>
  </si>
  <si>
    <t>2029 г.</t>
  </si>
  <si>
    <t>2030 г.</t>
  </si>
  <si>
    <t>2031 г.</t>
  </si>
  <si>
    <t>Закупени водни количества за ВС "Доставяне на вода с непитейни качества"</t>
  </si>
  <si>
    <t>Изразходвана електроенергия, произведена от собствени източници (ФЕЦ, когенерация, други) в т.ч.:</t>
  </si>
  <si>
    <t>Описание на технически параметри на собствени източници за производство на електроенергия (когенерация, ФЕЦ, други), година на въвеждане в експлоатация, инсталирана мощност</t>
  </si>
  <si>
    <t xml:space="preserve">2. Справка № 6 се попълва за всички водоснабдителни системи - ВС "Основна", ВС "Доставяне на вода с непитейни качества" и ВС "Доставяне на вода на друг ВиК оператор". </t>
  </si>
  <si>
    <t>Нарастване на БВП съгласно средносрочна бюджетна прогноза 2026 - 2028 г.</t>
  </si>
  <si>
    <t>в т.ч.електроенергия за технологични нужди</t>
  </si>
  <si>
    <t>Справка № 11.3</t>
  </si>
  <si>
    <t>Отписани</t>
  </si>
  <si>
    <t>Прогноза</t>
  </si>
  <si>
    <t>Постъпили през годината</t>
  </si>
  <si>
    <t>Трансфер (отрицателна стойност)</t>
  </si>
  <si>
    <t>Трансферите от см. 207 в собствени и публични ДА</t>
  </si>
  <si>
    <t>2070101;207080101</t>
  </si>
  <si>
    <t>2070102;207080102</t>
  </si>
  <si>
    <t>2070103;207080103</t>
  </si>
  <si>
    <t>2070104;207080104</t>
  </si>
  <si>
    <t>2070105;207080105</t>
  </si>
  <si>
    <t>2070106;207080106</t>
  </si>
  <si>
    <t>2070107;207080107</t>
  </si>
  <si>
    <t>2070108;207080108</t>
  </si>
  <si>
    <t>2070109;207080109</t>
  </si>
  <si>
    <t>2070110;207080110</t>
  </si>
  <si>
    <t>2070111;207080111</t>
  </si>
  <si>
    <t>2070112;207080112</t>
  </si>
  <si>
    <t>2070113;207080113</t>
  </si>
  <si>
    <t>2070114;207080114</t>
  </si>
  <si>
    <t>2070115;207080115</t>
  </si>
  <si>
    <t>2070116;207080116</t>
  </si>
  <si>
    <t>2070117;207080117</t>
  </si>
  <si>
    <t>2070118;207080118</t>
  </si>
  <si>
    <t>2070119;207080119</t>
  </si>
  <si>
    <t>2070120;207080120</t>
  </si>
  <si>
    <t>2070121;207080121</t>
  </si>
  <si>
    <t>2070122;207080122</t>
  </si>
  <si>
    <t>2070123;207080123</t>
  </si>
  <si>
    <t>2070124;207080124</t>
  </si>
  <si>
    <t>2070201;207080201</t>
  </si>
  <si>
    <t>2070202;207080202</t>
  </si>
  <si>
    <t>2070203;207080203</t>
  </si>
  <si>
    <t>2070204;207080204</t>
  </si>
  <si>
    <t>2070205;207080205</t>
  </si>
  <si>
    <t>2070206;207080206</t>
  </si>
  <si>
    <t>2070207;207080207</t>
  </si>
  <si>
    <t>2070208;207080208</t>
  </si>
  <si>
    <t>2070210;207080210</t>
  </si>
  <si>
    <t>2070211;207080211</t>
  </si>
  <si>
    <t>2070301;207080301</t>
  </si>
  <si>
    <t>2070302;207080302</t>
  </si>
  <si>
    <t>2070303;207080303</t>
  </si>
  <si>
    <t>2070304;207080304</t>
  </si>
  <si>
    <t>2070305;207080305</t>
  </si>
  <si>
    <t>2070306;207080306</t>
  </si>
  <si>
    <t>2070307;207080307</t>
  </si>
  <si>
    <t>2070308;207080308</t>
  </si>
  <si>
    <t>2070401;207080401</t>
  </si>
  <si>
    <t>2070402;207080402</t>
  </si>
  <si>
    <t>2070601;207080601</t>
  </si>
  <si>
    <t>2070602;207080602</t>
  </si>
  <si>
    <t>2070603;207080603</t>
  </si>
  <si>
    <t>2070609;207080609</t>
  </si>
  <si>
    <t>2070604;207080604</t>
  </si>
  <si>
    <t>2070610;207080610</t>
  </si>
  <si>
    <t>2070611;207080611</t>
  </si>
  <si>
    <t>2070605;207080605</t>
  </si>
  <si>
    <t>2070606;207080606</t>
  </si>
  <si>
    <t>2070607;207080607</t>
  </si>
  <si>
    <t>2070608;207080608</t>
  </si>
  <si>
    <t>5. Цифрите в редове "Проверка балансова стойност" трябва да са нули, в противен случай да се ревизират отчетна стойност, натрупана амортизация и/или балансова стойност.</t>
  </si>
  <si>
    <t>2. В колона „Собствени средства“, се посочват всички инвестиции, които ще се финансират със собствени средства за периода на бизнес плана, в т. ч. и частта на съфинансиране на инвестиции по програми с финансиране от ЕС, по които ВиК операторът е бенефициент, ако ще се осигурят със собствени средства.</t>
  </si>
  <si>
    <t>Заеми за съфинансиране по програми с финансиране от ЕС (хил.лв.)</t>
  </si>
  <si>
    <t>Постъпили трансфери / начислена амортизация</t>
  </si>
  <si>
    <r>
      <t>лв./м</t>
    </r>
    <r>
      <rPr>
        <vertAlign val="superscript"/>
        <sz val="10"/>
        <rFont val="Times New Roman"/>
        <family val="1"/>
      </rPr>
      <t>3</t>
    </r>
  </si>
  <si>
    <r>
      <t>кВтч/м</t>
    </r>
    <r>
      <rPr>
        <vertAlign val="superscript"/>
        <sz val="8"/>
        <rFont val="Times New Roman"/>
        <family val="1"/>
      </rPr>
      <t>3</t>
    </r>
  </si>
  <si>
    <t>10</t>
  </si>
  <si>
    <t>11</t>
  </si>
  <si>
    <t xml:space="preserve"> Нов дългосрочен заем за изграждане на  ДА по програми с финансиране от ЕС</t>
  </si>
  <si>
    <r>
      <t xml:space="preserve">Изменение дял на ра-ди </t>
    </r>
    <r>
      <rPr>
        <u/>
        <sz val="8"/>
        <rFont val="Times New Roman"/>
        <family val="1"/>
        <charset val="204"/>
      </rPr>
      <t>Водоснабдяване</t>
    </r>
    <r>
      <rPr>
        <sz val="8"/>
        <rFont val="Times New Roman"/>
        <family val="1"/>
        <charset val="204"/>
      </rPr>
      <t>: 
Ремонт на:</t>
    </r>
  </si>
  <si>
    <r>
      <t xml:space="preserve">Изменение дял на ра-ди </t>
    </r>
    <r>
      <rPr>
        <u/>
        <sz val="8"/>
        <rFont val="Times New Roman"/>
        <family val="1"/>
        <charset val="204"/>
      </rPr>
      <t>Отвеждане</t>
    </r>
    <r>
      <rPr>
        <sz val="8"/>
        <rFont val="Times New Roman"/>
        <family val="1"/>
        <charset val="204"/>
      </rPr>
      <t>: 
Ремонт на:</t>
    </r>
  </si>
  <si>
    <r>
      <t xml:space="preserve">Изменение дял на ра-ди </t>
    </r>
    <r>
      <rPr>
        <u/>
        <sz val="8"/>
        <rFont val="Times New Roman"/>
        <family val="1"/>
        <charset val="204"/>
      </rPr>
      <t>Пречистване</t>
    </r>
    <r>
      <rPr>
        <sz val="8"/>
        <rFont val="Times New Roman"/>
        <family val="1"/>
        <charset val="204"/>
      </rPr>
      <t>: 
Ремонт на:</t>
    </r>
  </si>
  <si>
    <t xml:space="preserve">4. В колона „Заеми за съфинансиране по програми с финансиране от ЕС“ се посочва частта на съфинансиране на инвестиции, които ще се осигурят със заем. </t>
  </si>
  <si>
    <t>Съществуващи дългосрочни заеми за ДА</t>
  </si>
  <si>
    <t xml:space="preserve"> Нови дългосрочни заеми за изграждане на  ДА </t>
  </si>
  <si>
    <t>2.Ред 4 обобщава разходите за главници от текущите инвестиционни заеми, както и от бъдещи заеми за изграждане на публични ДА</t>
  </si>
  <si>
    <r>
      <t xml:space="preserve">3. Ред 7.2  се попълва </t>
    </r>
    <r>
      <rPr>
        <b/>
        <i/>
        <sz val="10"/>
        <rFont val="Times New Roman"/>
        <family val="1"/>
        <charset val="204"/>
      </rPr>
      <t>ръчно</t>
    </r>
    <r>
      <rPr>
        <i/>
        <sz val="10"/>
        <rFont val="Times New Roman"/>
        <family val="1"/>
        <charset val="204"/>
      </rPr>
      <t xml:space="preserve"> от ВиК оператора, в зависимост от недостига, изчислен в ред 6.2, и размера на разходите в ред 7.1.</t>
    </r>
  </si>
  <si>
    <t>4. Ред 8 изчислява недостига на собствени средства за инвестиции в публични ДА, след използването на разходи за амортизации на активите от група III на амортизационния план.</t>
  </si>
  <si>
    <t>5. В раздел  9 се посочва обобщенба информация за съществуващи инвестиционни заеми, по които са изградени ДА.</t>
  </si>
  <si>
    <t xml:space="preserve">Нарастване на БВП </t>
  </si>
  <si>
    <t>EUR/куб.м</t>
  </si>
  <si>
    <t xml:space="preserve">Разходи за експлоатация и поддръжка на нови активи и/или осъществяване на нови дейности, включени в коефициент Qр  </t>
  </si>
  <si>
    <t>1. Справката е резултативна</t>
  </si>
  <si>
    <t>Обратен курс: евро за един лев</t>
  </si>
  <si>
    <t>евро</t>
  </si>
  <si>
    <t xml:space="preserve">евро с вкл. ДДС </t>
  </si>
  <si>
    <t>Фиксиран курс на лева към 1 евро</t>
  </si>
  <si>
    <t>хил.евро/год.</t>
  </si>
  <si>
    <t>хил. евро</t>
  </si>
  <si>
    <t>хил. евро/ ЕПЗ</t>
  </si>
  <si>
    <t>Разход хил. евро</t>
  </si>
  <si>
    <t>Средна цена на електроенергия, евро/МВтч</t>
  </si>
  <si>
    <t>Приход хил. евро</t>
  </si>
  <si>
    <t>евро/тон с.в.</t>
  </si>
  <si>
    <t>евро/тон</t>
  </si>
  <si>
    <t xml:space="preserve">Средна цена(лв./бр. ремонт) </t>
  </si>
  <si>
    <t>Обща стойност на обектите (хил.евро)</t>
  </si>
  <si>
    <t xml:space="preserve">Средна цена (евро./бр. ремонт) </t>
  </si>
  <si>
    <t>График за изграждане по години, (хил.евро)</t>
  </si>
  <si>
    <t>Собствени средства (хил.евро)</t>
  </si>
  <si>
    <t>Заеми (хил.евро)</t>
  </si>
  <si>
    <t>Заеми за съфинансиране по програми с финансиране от ЕС (хил.евро)</t>
  </si>
  <si>
    <t>(хил. евро)</t>
  </si>
  <si>
    <r>
      <t>евро/куб.м (</t>
    </r>
    <r>
      <rPr>
        <i/>
        <sz val="9"/>
        <rFont val="Times New Roman"/>
        <family val="1"/>
        <charset val="204"/>
      </rPr>
      <t>без ДДС</t>
    </r>
    <r>
      <rPr>
        <sz val="9"/>
        <rFont val="Times New Roman"/>
        <family val="1"/>
        <charset val="204"/>
      </rPr>
      <t>)</t>
    </r>
  </si>
  <si>
    <r>
      <t>евро/куб.м (</t>
    </r>
    <r>
      <rPr>
        <b/>
        <i/>
        <sz val="9"/>
        <rFont val="Times New Roman"/>
        <family val="1"/>
        <charset val="204"/>
      </rPr>
      <t>с ДДС</t>
    </r>
    <r>
      <rPr>
        <b/>
        <sz val="9"/>
        <rFont val="Times New Roman"/>
        <family val="1"/>
        <charset val="204"/>
      </rPr>
      <t>)</t>
    </r>
  </si>
  <si>
    <t>евро за месец</t>
  </si>
  <si>
    <t xml:space="preserve">евро/куб.м </t>
  </si>
  <si>
    <t>хил.евро</t>
  </si>
  <si>
    <t>w</t>
  </si>
  <si>
    <r>
      <t>евро/м</t>
    </r>
    <r>
      <rPr>
        <vertAlign val="superscript"/>
        <sz val="10"/>
        <rFont val="Times New Roman"/>
        <family val="1"/>
        <charset val="204"/>
      </rPr>
      <t>3</t>
    </r>
  </si>
  <si>
    <t>0,511292 евро</t>
  </si>
  <si>
    <t>хил. евро/ бр.</t>
  </si>
  <si>
    <t>Разход, хил. €</t>
  </si>
  <si>
    <t>€/тон  с.в.</t>
  </si>
  <si>
    <t>€/т.</t>
  </si>
  <si>
    <t>хил.€ /ЕПЗ</t>
  </si>
  <si>
    <t>хил.€/ЕПЗ</t>
  </si>
  <si>
    <t>Обща стойност на обектите (хил.€)</t>
  </si>
  <si>
    <t>Среден размер на възнаграждение на единица персонал на ЕПЗ (хил.€/ЕПЗ)</t>
  </si>
  <si>
    <t>Цени на ВиК услуги €/куб.м без ДДС</t>
  </si>
  <si>
    <t xml:space="preserve">€/куб.м </t>
  </si>
  <si>
    <t>€/куб.м</t>
  </si>
  <si>
    <t>(хил.€)</t>
  </si>
  <si>
    <t>Общо инвестиции за доставяне на вода, отвеждане и пречистване на отпадъчни води (хил. €)</t>
  </si>
  <si>
    <t>Инвестиции на жител (€ / брой)</t>
  </si>
  <si>
    <t>Остатъчна стойност от предишния период (хил. €)</t>
  </si>
  <si>
    <t>Получен през периода (хил. €)</t>
  </si>
  <si>
    <t>Погасяване на главници (хил. €)</t>
  </si>
  <si>
    <t>Лихви (хил. €)</t>
  </si>
  <si>
    <t>Общо погасителни вноски (хил. €)</t>
  </si>
  <si>
    <t>Остатък главница (хил. €)</t>
  </si>
  <si>
    <t>Параметър (хил. €)</t>
  </si>
  <si>
    <t>Разходи по икономически елементи (хил. €)</t>
  </si>
  <si>
    <t>Бъдещи нови активи и/ или дейности (хил. €)</t>
  </si>
  <si>
    <t>Наименование  (хил. €)</t>
  </si>
  <si>
    <t>Наименование (хил. €)</t>
  </si>
  <si>
    <t>Описание (хил. €)</t>
  </si>
  <si>
    <t>хил. €</t>
  </si>
  <si>
    <t>Постоянни разходи, в т.ч.:</t>
  </si>
  <si>
    <t>разходи за амортизация на корпоративни и публични ВиК активи</t>
  </si>
  <si>
    <t>разходи за персонал</t>
  </si>
  <si>
    <t>Променливи разходи, в т.ч.:</t>
  </si>
  <si>
    <t>разходи за електроенергия</t>
  </si>
  <si>
    <t>Възвръщаемост на вложения капитал</t>
  </si>
  <si>
    <t>коефициент пречистване:</t>
  </si>
  <si>
    <t>проверка:</t>
  </si>
  <si>
    <t>доставяне на вода</t>
  </si>
  <si>
    <t>отвеждане на отпадъчни води</t>
  </si>
  <si>
    <t>пречистване на отпадъчни води</t>
  </si>
  <si>
    <t>Нов дългосрочен заем за изграждане на собствени ДА по програми с финансиране от ЕС</t>
  </si>
  <si>
    <t>Нов дългосрочен заем за изграждане на ДА по програми финансиране от ЕС</t>
  </si>
  <si>
    <t>Справка № 11.3. - Амортизационен план на дълготрайни активи за базова година</t>
  </si>
  <si>
    <r>
      <t>Образец на електронен модел на бизнес план за регулаторен период 2027-2031 г., разработен във вариант за базова</t>
    </r>
    <r>
      <rPr>
        <b/>
        <u/>
        <sz val="12"/>
        <rFont val="Times New Roman"/>
        <family val="1"/>
        <charset val="204"/>
      </rPr>
      <t xml:space="preserve"> 2024 г.</t>
    </r>
    <r>
      <rPr>
        <b/>
        <sz val="12"/>
        <rFont val="Times New Roman"/>
        <family val="1"/>
        <charset val="204"/>
      </rPr>
      <t>,                                     приет с Решение № У-1 от 16.07.2025 г. на КЕВР.</t>
    </r>
  </si>
  <si>
    <t>ВОДОСНАБДЯВАНЕ И КАНАЛИЗАЦИЯ ЕООД</t>
  </si>
  <si>
    <t>ХАСКОВО</t>
  </si>
  <si>
    <t>Лидия Грозева</t>
  </si>
  <si>
    <t>гр.Хасково</t>
  </si>
  <si>
    <t>ул."Сакар" №2</t>
  </si>
  <si>
    <t>www.vikhaskovo.bg</t>
  </si>
  <si>
    <t>ИНЖ. НЕНКО ДЕРВЕНКОВ</t>
  </si>
  <si>
    <t>да</t>
  </si>
  <si>
    <t>предварително проучване</t>
  </si>
  <si>
    <t xml:space="preserve">Рехабилитация и изграждане на нови сондажи
Изключване на кладенци със съдържание на нитрати </t>
  </si>
  <si>
    <t>Учредяване на СОЗ; Опазване и охраняване на СОЗ</t>
  </si>
  <si>
    <t>Реконструкция на довеждащи водопроводи, Намаляване загубите на вода, Подобряване качеството
на предлаганата услуга</t>
  </si>
  <si>
    <t>Осигуряване на безопасна и качествена питейна вода чрез отстраняване на замърсители и подобряване на здравната защита на населението.</t>
  </si>
  <si>
    <t xml:space="preserve">Ремонт и хидроизолации на резервоари и водни кули, Намаляване загубите на вода, Подобряване
качеството на предлаганата услуга </t>
  </si>
  <si>
    <t>Ремонт на хлораторни помещения,Подобряване качеството на предлаганата услуга, обеззаразяване
на питейната вода</t>
  </si>
  <si>
    <t>Ремонт на ПС, Изграждане на ел,проводи и катодни станции, Намаляване загубите на вода;
Подобряване качеството на предлаганата услуга, поддръжка на ДМА</t>
  </si>
  <si>
    <t>Закупувяне на нови помпи и оборудване за хидрофори, Намаляване загубите на вода; Подобряване качеството на
предлаганата услуга, поддръжка на ДМА</t>
  </si>
  <si>
    <t>Изграждане и подмяна на разпределителна водопроводна мрежа, Подобряване качеството на предлаганата
услуга</t>
  </si>
  <si>
    <t>Изграждане и подмяна на СВО, Намаляване загубите на вода; Подобряване качеството на предлаганата
услуга, присъединяване на нови потребители</t>
  </si>
  <si>
    <t xml:space="preserve">Подмяна на СК, ПХ и арматура, Намаляване загубите на вода,
Подобряване качеството на предлаганата услуга </t>
  </si>
  <si>
    <t>Зониране на водопроводна мрежа - СК,водомери, логери, Намаляване загубите на вода
Подобряване качеството на предлаганата услуга</t>
  </si>
  <si>
    <t>Закупувяне на помпи, ел, табла, апаратура, Намаляване загубите на вода,Монтиране на регулатори
на налягане, Намаляване загубите на вода
Подобряване качеството на предлаганата услуга</t>
  </si>
  <si>
    <t xml:space="preserve">Събиране на данни и проучване на водопроводната мрежа, Диспечиризация и наблюдение на
водопроводна мрежа, </t>
  </si>
  <si>
    <t>Дооборудване на лаборатория за питейна вода ПК 2а, ПК 2б, ПК 2в. Акредитация на лаборатория.</t>
  </si>
  <si>
    <t>Закупуване на лекотоварни автомобили с цел подпомагане качественотостроителство и
експлоатация на водопроводната мрежа</t>
  </si>
  <si>
    <t>Закупуване на тежкотоварни автомобили с цел подпомагане качественотостроителство и
експлоатация на водопроводната мрежа</t>
  </si>
  <si>
    <t xml:space="preserve">Извършване на качествено строителство и улеснена експлоатация на водопроводната мрежа </t>
  </si>
  <si>
    <t>Закупуване на инструменти,стр, механизация и оборудване</t>
  </si>
  <si>
    <t>Реконструкция на съществуващи КПС</t>
  </si>
  <si>
    <t>Реконструкции и подмяна на експлоатираните мрежи</t>
  </si>
  <si>
    <t>Реконструкция и подмяна на разпределителна канализационна мрежа</t>
  </si>
  <si>
    <t xml:space="preserve">Подмяна на съществуващи и изграждане на нови СКО, Отвеждане на отпадъчните води в
канализационната мрежа, присъединяване на нови абонати </t>
  </si>
  <si>
    <t xml:space="preserve">Разработване и внедряване на специализиран софтуер за хидравлично моделиране </t>
  </si>
  <si>
    <t>Подобряване качеството на пречистените отпадъчни води и намаляване на замърсяването на водните обекти чрез ефективна работа на ПСОВ.</t>
  </si>
  <si>
    <t xml:space="preserve">Намаляване загубите на вода
Подобряване качеството на предлаганата услуга </t>
  </si>
  <si>
    <t>Подобряване на условията на труд и повишаване на ефективността на дейностите чрез осигуряване на необходимия стопански инвентар и съвременно офис оборудване.</t>
  </si>
  <si>
    <t>Повишаване на оперативната ефективност, надеждността и качеството на транспортните услуги чрез осигуряване на съвременни тежкотоварни автомобили</t>
  </si>
  <si>
    <t>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ЯБЪЛКОВО</t>
  </si>
  <si>
    <t>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СВИЛЕНГРАД</t>
  </si>
  <si>
    <t>ДИМИТРОВГРАД</t>
  </si>
  <si>
    <t>СВИЛЕНГРАД</t>
  </si>
  <si>
    <t>Очаквани резултати: -Изградени нови ПСПВ - 1 бр. Изграждането на ПСПВ „Свиленград“ гарантира съответствие на качествата на питейната вода с нормативните изисквания и с изискванията на консуматорите, както и съответствие на процеса на пречистване с най-добрите и надеждни съвременни практики в областта. Съгласно  Приложение № 5 „Съответствие на агломерацията с изискванията на Директива 91/271/ЕИО“ към условията за кандидатстване, с изпълнението на дейността и проекта в цялост ще бъде изпълнен: Индикатор: „Жители, свързани към подобрено обществено водоснабдяване“: базова стойност: 0 и целева стойност: 64 121 бр. С изпълнението на описаните резултати ще се допринесе за постигането на целите на настоящето проектно предложение.</t>
  </si>
  <si>
    <t>Избран е изпълнител „НИВЕЛ СТРОЙ“ ЕООД и са изпратена покана за сключване на договор. С писмо Възложителят е уведомен, че поради техническа забава в административната процедура по одобрение и издаване на Гаранция за изпълнение, Изпълнителят има нужда от допълнително техническо време за предоставянето и.</t>
  </si>
  <si>
    <t>Сключен е Договор № ПОС – 14 от 08.04.2026год. с изпълнител ДЗЗД "ИНФРА РЕСУРС"  на стойност 4 049 390,38 евро. Срок за изпълнение: 570 (петстотин и седемдесет) календарни дни за проектиране и изпълнение на строително-монтажни работи на Обекта (считано от датата на започване до издаване на Сертификат за приемане от Инженера), но не по-късно от 31.12.2029 г.</t>
  </si>
  <si>
    <t xml:space="preserve">Очаквани резултати: Реконструирани ПСПВ - 1 бр.
 Предлаганата реконструкция и пускане в експлоатация на ПСПВ „Ябълково“ цели достигане на качеството на питейните води в разглежданата водоснабдителна система до нормативно заложените параметри в Наредба №9 от 16 март 2001 г. за качеството на водата, предназначена за питейно-битови цели и Директива 98/83/ЕО / Директива 2020/218 за качеството на водите, предназначени за консумация от човека до края на разглеждания в РПИП период. Отстраняването на недостатъците от конструктивно и технологично естество на амортизираната инсталация ще гарантира съществено подобряване в работата на цялата водоснабдителна инфраструктура. </t>
  </si>
  <si>
    <t>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агломерация Харманли, включително довеждащ колектор до ПСОВ</t>
  </si>
  <si>
    <t>ХАРМАНЛИ</t>
  </si>
  <si>
    <t>„Реконструкция и доизграждане на канализационната мрежа на агломерация Харманли. •Изградена нова канализационна мрежа в агломерация Харманли – 3628 м. •Реконструкция на съществуваща канализация - 1523 м. •Изграден отливен канал от ДПР-4 в агломерация Харманли – 42 м. •Изграден тласкател от КПС-1 в агломерация Харманли - 285 м. •Изградени аварийни изпускатели от КПС в агломерация Харманли – 36 м. •Изградени сградни канализационни отклонения (СКО) в агломерация Харманли - нови битови – 71 бр. •Изградени сградни канализационни отклонения (СКО) в агломерация Харманли - реконструирани – 42 бр. •Изградени сградни канализационни отклонения (СКО) в агломерация Харманли: ДПР- Реконструиран 1 бр., ДПР- нов 3 бр., КПС 1 Q=5,0 l/s; H=12 m; ШАХТА+ ПОМПИ -комплект - 1 бр., КПС 2 Q=15,0 l/s; H=10 m; - ШАХТА+ ПОМПИ - комплект – 1 бр., Шахта за решетки преди КПС – 2 бр., Изграден тласкател DN160 от КПС-2 с преминаване под река – 105 м., Направа на входни и изходни монтажни отвори с шпунтови стени с размери в план 14/6 м и 7/5 м и дълбочина 7 м, за сондиране под ЖП линии – 2 бр, Сондажно преминаване под ЖП линии със стоманена обсадна тръба Ø1400 – 58 м, Сондажно преминаване под ЖП линии със стоманена обсадна тръба Ø1200 – 36 м, Изградени входна и изходна ревизионна шахта при преминаванията на ЖП линии – 4 бр., Водопонижение на монтажни отвори за направа на сондажи под ЖП линии , УО – двойни – 21 бр., Изградени зауствания на същ. отливни канали от ДПР-1-нов и ДПР-2-нов с размери 210/133 см., за осигуряване на възможност за монтаж на възвратна клапа – 2 бр., Изградени зауствания на същ. отливни канали от ДПР-1-нов и ДПР-2-нов с размери 210/133 см., за осигуряване на възможност за монтаж на възвратна клапа -1 бр., Фрезоване, извозване на стр. отпадъци, полагане на пласт от плътен асфалтобетон и битумен разлив за площта от пътното платно извън рамките на траншеята (за участъците преминаващи по път на АПИ) – 3670м2</t>
  </si>
  <si>
    <t>Избран е изпълнител ДЗЗД "ПН ХАРМАНЛИ 25" с членове на обединението НИВЕЛ СТРОЙ ЕООД, ПИМК ООД и е изпратена покана за сключване на договор. С писмо Възложителят е уведомен, че поради техническа забава в административната процедура по одобрение и издаване на Гаранция за изпълнение, Изпълнителят има нужда от допълнително техническо време за предоставянето и.</t>
  </si>
  <si>
    <t>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ЕООД- 2. "Инженеринг (проектиране, авторски надзор, строителство и доставка на оборудване) за изграждане на нова ПСОВ Харманли”.</t>
  </si>
  <si>
    <t>Сключен е Договор №ПОС-4 от 28.11.2025год. с изпълнител "КАРО ТРЕЙДИНГ" ООД и стойност 10 901 057,35 евро без ДДС. Срок за изпълнение: 570 (петстотин и седемдесет) календарни дни за проектиране и изпълнение на строително-монтажни работи на Обекта (считано от датата на започване до издаване на Сертификат за приемане от Инженера), но не по-късно от 31.12.2029 г. Изпратено Уведомително писмо за стартиране изпълнението на дейностите съгласно клауза 8.1. [Започване на работите] на 26.02.2026г. Дата на започване 13.03.2026г.  Изпълнителят е предал на Инженера и Възложителя идеен проект част Технологична</t>
  </si>
  <si>
    <t>НСИ, СИСТЕМА ЗА ФАКТУРИРАНЕ</t>
  </si>
  <si>
    <t>НСИ</t>
  </si>
  <si>
    <t>СИСТЕМА ЗА ФАКТУРИРАНЕ</t>
  </si>
  <si>
    <t>РЕГИСТЪР НА АКТИВИТЕ, ГИС</t>
  </si>
  <si>
    <t>РЕГИСТЪР НА АКТИВИТЕ, ГИС, РЕГИСТЪР НА ВОДОМЕРИТЕ НА СВО</t>
  </si>
  <si>
    <t>РЕГИСТЪР НА АКТИВИТЕ, ГИС,РЕГИСТЪР НА ВОДОМЕРИТЕ НА СВО, СИСТЕМА ЗА ФАКТУРИРАНЕ</t>
  </si>
  <si>
    <t>РЕГИСТЪР НА ЛАБОРАТОРНИ ИЗСЛЕДВАНИЯ</t>
  </si>
  <si>
    <t>РЕГИСТЪР НА АВАРИИТЕ</t>
  </si>
  <si>
    <t>БАЗА ДАННИ</t>
  </si>
  <si>
    <t>БАЗА ДАННИ, СИСТЕМА ЗА ФАКТУРИРАНЕ</t>
  </si>
  <si>
    <t xml:space="preserve">БАЗА ДАННИ </t>
  </si>
  <si>
    <t>РЕГИСТЪР НА АКТИВИ, ГИС, БАЗА ДАННИ</t>
  </si>
  <si>
    <t>РЕГИСТЪР НА ВОДОМЕРИТЕ</t>
  </si>
  <si>
    <t>РЕГИСТЪР НА АКТИВИ</t>
  </si>
  <si>
    <t>РЕГИСТЪР НА АКТИВИ, ГИС</t>
  </si>
  <si>
    <t>ГИС, РЕГИСТЪР НА АВАРИИТЕ</t>
  </si>
  <si>
    <t>РЕГИСТЪР НА УТАЙКИ ОТ ПСОВ</t>
  </si>
  <si>
    <t>СИСТЕМА ЗА ФАКТУРИРАНЕ, СЧЕТОВОДНА СИСТЕМА</t>
  </si>
  <si>
    <t>СЧЕТОВОДНА СИСТЕМА</t>
  </si>
  <si>
    <t>РЕГИСТЪР НА ОПЛАКВАНИЯТА</t>
  </si>
  <si>
    <t>БАЗА ДАННИ - ПП ОМЕКС</t>
  </si>
  <si>
    <t>0894477825</t>
  </si>
  <si>
    <t>acc.vik.haskovo@abv.bg</t>
  </si>
  <si>
    <t>ГР. ХАСКОВО, УЛ. САКАР №2</t>
  </si>
  <si>
    <t>29.06.2026</t>
  </si>
  <si>
    <t>Ненко Дервенков</t>
  </si>
  <si>
    <t>038/501610</t>
  </si>
  <si>
    <t>0876990551</t>
  </si>
  <si>
    <t>upravitel@vik.haskovo.com</t>
  </si>
  <si>
    <t>038501641</t>
  </si>
  <si>
    <t>Ангел Петров</t>
  </si>
  <si>
    <t>038/501654</t>
  </si>
  <si>
    <t>0894627012</t>
  </si>
  <si>
    <t>PTO@vik.haskovo.com</t>
  </si>
  <si>
    <t>Милена Янкова</t>
  </si>
  <si>
    <t>office@vik.haskovo.com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</si>
</sst>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 _л_в_._-;\-* #,##0.00\ _л_в_._-;_-* &quot;-&quot;??\ _л_в_._-;_-@_-"/>
    <numFmt numFmtId="164" formatCode="_-* #,##0.00_-;\-* #,##0.00_-;_-* &quot;-&quot;??_-;_-@_-"/>
    <numFmt numFmtId="165" formatCode="_(* #,##0.00_);_(* \(#,##0.00\);_(* &quot;-&quot;??_);_(@_)"/>
    <numFmt numFmtId="166" formatCode="_-* #,##0.00\ _л_в_-;\-* #,##0.00\ _л_в_-;_-* &quot;-&quot;??\ _л_в_-;_-@_-"/>
    <numFmt numFmtId="167" formatCode="#,##0.0000"/>
    <numFmt numFmtId="168" formatCode="#,##0_ ;[Red]\-#,##0\ "/>
    <numFmt numFmtId="169" formatCode="#,##0;[Red]#,##0"/>
    <numFmt numFmtId="170" formatCode="0.0000"/>
    <numFmt numFmtId="171" formatCode="0\ \г."/>
    <numFmt numFmtId="172" formatCode="#,##0.000"/>
    <numFmt numFmtId="173" formatCode="0.0%"/>
    <numFmt numFmtId="174" formatCode="#,##0\ _л_в_."/>
    <numFmt numFmtId="175" formatCode="0_ ;[Red]\-0\ "/>
    <numFmt numFmtId="176" formatCode="#,##0.0"/>
    <numFmt numFmtId="177" formatCode="0.000"/>
    <numFmt numFmtId="178" formatCode="0.0"/>
    <numFmt numFmtId="179" formatCode="#,##0.00_ ;[Red]\-#,##0.00\ "/>
    <numFmt numFmtId="180" formatCode="#,##0.00000\ &quot;лв.&quot;"/>
  </numFmts>
  <fonts count="178">
    <font>
      <sz val="10"/>
      <name val="Arial"/>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charset val="204"/>
    </font>
    <font>
      <b/>
      <i/>
      <sz val="10"/>
      <name val="Times New Roman"/>
      <family val="1"/>
      <charset val="204"/>
    </font>
    <font>
      <sz val="9"/>
      <name val="Arial"/>
      <family val="2"/>
      <charset val="204"/>
    </font>
    <font>
      <b/>
      <sz val="14"/>
      <name val="Times New Roman"/>
      <family val="1"/>
      <charset val="204"/>
    </font>
    <font>
      <sz val="14"/>
      <name val="Times New Roman"/>
      <family val="1"/>
      <charset val="204"/>
    </font>
    <font>
      <u/>
      <sz val="10"/>
      <color indexed="12"/>
      <name val="Timok"/>
      <family val="2"/>
    </font>
    <font>
      <u/>
      <sz val="9"/>
      <color indexed="12"/>
      <name val="Timok"/>
      <family val="2"/>
    </font>
    <font>
      <b/>
      <sz val="11"/>
      <name val="Times New Roman"/>
      <family val="1"/>
      <charset val="204"/>
    </font>
    <font>
      <b/>
      <sz val="12"/>
      <name val="Times New Roman"/>
      <family val="1"/>
      <charset val="204"/>
    </font>
    <font>
      <b/>
      <sz val="10"/>
      <name val="Times New Roman"/>
      <family val="1"/>
      <charset val="204"/>
    </font>
    <font>
      <sz val="11"/>
      <color indexed="8"/>
      <name val="Calibri"/>
      <family val="2"/>
      <charset val="204"/>
    </font>
    <font>
      <sz val="11"/>
      <color indexed="9"/>
      <name val="Calibri"/>
      <family val="2"/>
      <charset val="204"/>
    </font>
    <font>
      <sz val="10"/>
      <name val="Hebar"/>
      <family val="2"/>
      <charset val="204"/>
    </font>
    <font>
      <b/>
      <sz val="11"/>
      <color indexed="8"/>
      <name val="Calibri"/>
      <family val="2"/>
      <charset val="204"/>
    </font>
    <font>
      <u/>
      <sz val="11"/>
      <color indexed="12"/>
      <name val="Calibri"/>
      <family val="2"/>
      <charset val="204"/>
    </font>
    <font>
      <sz val="10"/>
      <name val="Arial"/>
      <family val="2"/>
      <charset val="204"/>
    </font>
    <font>
      <b/>
      <sz val="18"/>
      <color indexed="62"/>
      <name val="Cambria"/>
      <family val="2"/>
      <charset val="204"/>
    </font>
    <font>
      <b/>
      <sz val="12"/>
      <color indexed="18"/>
      <name val="Arial"/>
      <family val="2"/>
    </font>
    <font>
      <b/>
      <sz val="9"/>
      <color indexed="81"/>
      <name val="Tahoma"/>
      <family val="2"/>
      <charset val="204"/>
    </font>
    <font>
      <sz val="9"/>
      <color indexed="81"/>
      <name val="Tahoma"/>
      <family val="2"/>
      <charset val="204"/>
    </font>
    <font>
      <b/>
      <i/>
      <sz val="12"/>
      <name val="Times New Roman"/>
      <family val="1"/>
      <charset val="204"/>
    </font>
    <font>
      <i/>
      <sz val="12"/>
      <name val="Times New Roman"/>
      <family val="1"/>
      <charset val="204"/>
    </font>
    <font>
      <sz val="12"/>
      <name val="Times New Roman"/>
      <family val="1"/>
      <charset val="204"/>
    </font>
    <font>
      <i/>
      <sz val="11"/>
      <name val="Times New Roman"/>
      <family val="1"/>
      <charset val="204"/>
    </font>
    <font>
      <i/>
      <sz val="8"/>
      <name val="Times New Roman"/>
      <family val="1"/>
      <charset val="204"/>
    </font>
    <font>
      <i/>
      <sz val="10"/>
      <name val="Arial"/>
      <family val="2"/>
      <charset val="204"/>
    </font>
    <font>
      <sz val="10"/>
      <color theme="1"/>
      <name val="Times New Roman"/>
      <family val="1"/>
      <charset val="204"/>
    </font>
    <font>
      <sz val="10"/>
      <name val="Arial"/>
      <family val="2"/>
      <charset val="204"/>
    </font>
    <font>
      <b/>
      <sz val="9"/>
      <name val="Times New Roman"/>
      <family val="1"/>
      <charset val="204"/>
    </font>
    <font>
      <sz val="9"/>
      <name val="Times New Roman"/>
      <family val="1"/>
      <charset val="204"/>
    </font>
    <font>
      <i/>
      <sz val="9"/>
      <name val="Times New Roman"/>
      <family val="1"/>
      <charset val="204"/>
    </font>
    <font>
      <i/>
      <sz val="10"/>
      <name val="Times New Roman"/>
      <family val="1"/>
      <charset val="204"/>
    </font>
    <font>
      <sz val="12"/>
      <name val="Arial"/>
      <family val="2"/>
      <charset val="204"/>
    </font>
    <font>
      <sz val="9"/>
      <name val="Times New Roman"/>
      <family val="1"/>
    </font>
    <font>
      <b/>
      <i/>
      <sz val="9"/>
      <name val="Times New Roman"/>
      <family val="1"/>
      <charset val="204"/>
    </font>
    <font>
      <b/>
      <sz val="9"/>
      <name val="Times New Roman"/>
      <family val="1"/>
    </font>
    <font>
      <b/>
      <u/>
      <sz val="9"/>
      <name val="Times New Roman"/>
      <family val="1"/>
      <charset val="204"/>
    </font>
    <font>
      <b/>
      <sz val="12"/>
      <color indexed="9"/>
      <name val="Times New Roman"/>
      <family val="1"/>
      <charset val="204"/>
    </font>
    <font>
      <b/>
      <u/>
      <sz val="10"/>
      <name val="Times New Roman"/>
      <family val="1"/>
      <charset val="204"/>
    </font>
    <font>
      <sz val="10"/>
      <color indexed="10"/>
      <name val="Times New Roman"/>
      <family val="1"/>
      <charset val="204"/>
    </font>
    <font>
      <sz val="11"/>
      <name val="Times New Roman"/>
      <family val="1"/>
      <charset val="204"/>
    </font>
    <font>
      <b/>
      <i/>
      <sz val="11"/>
      <name val="Times New Roman"/>
      <family val="1"/>
      <charset val="204"/>
    </font>
    <font>
      <sz val="11"/>
      <name val="Arial"/>
      <family val="2"/>
      <charset val="204"/>
    </font>
    <font>
      <sz val="8"/>
      <name val="Times New Roman"/>
      <family val="1"/>
      <charset val="204"/>
    </font>
    <font>
      <sz val="10"/>
      <color indexed="9"/>
      <name val="Arial"/>
      <family val="2"/>
      <charset val="204"/>
    </font>
    <font>
      <sz val="10"/>
      <name val="Times New Roman"/>
      <family val="1"/>
    </font>
    <font>
      <vertAlign val="superscript"/>
      <sz val="10"/>
      <name val="Times New Roman"/>
      <family val="1"/>
    </font>
    <font>
      <sz val="11"/>
      <color indexed="10"/>
      <name val="Times New Roman"/>
      <family val="1"/>
      <charset val="204"/>
    </font>
    <font>
      <sz val="10"/>
      <color indexed="10"/>
      <name val="Times New Roman"/>
      <family val="1"/>
    </font>
    <font>
      <sz val="9"/>
      <color indexed="10"/>
      <name val="Times New Roman"/>
      <family val="1"/>
    </font>
    <font>
      <sz val="11"/>
      <name val="Times New Roman"/>
      <family val="1"/>
    </font>
    <font>
      <sz val="10"/>
      <color indexed="9"/>
      <name val="Times New Roman"/>
      <family val="1"/>
      <charset val="204"/>
    </font>
    <font>
      <b/>
      <sz val="10"/>
      <color rgb="FFFF0000"/>
      <name val="Times New Roman"/>
      <family val="1"/>
      <charset val="204"/>
    </font>
    <font>
      <b/>
      <sz val="10"/>
      <name val="Times New Roman"/>
      <family val="1"/>
    </font>
    <font>
      <u/>
      <sz val="9"/>
      <color indexed="12"/>
      <name val="Times New Roman"/>
      <family val="1"/>
      <charset val="204"/>
    </font>
    <font>
      <b/>
      <sz val="10"/>
      <color theme="1"/>
      <name val="Times New Roman"/>
      <family val="1"/>
      <charset val="204"/>
    </font>
    <font>
      <b/>
      <sz val="10"/>
      <name val="Arial"/>
      <family val="2"/>
      <charset val="204"/>
    </font>
    <font>
      <b/>
      <sz val="12"/>
      <name val="Times New Roman"/>
      <family val="1"/>
    </font>
    <font>
      <sz val="12"/>
      <name val="Times New Roman"/>
      <family val="1"/>
    </font>
    <font>
      <b/>
      <i/>
      <sz val="12"/>
      <name val="Times New Roman"/>
      <family val="1"/>
    </font>
    <font>
      <i/>
      <sz val="12"/>
      <name val="Times New Roman"/>
      <family val="1"/>
    </font>
    <font>
      <b/>
      <sz val="10"/>
      <color indexed="10"/>
      <name val="Times New Roman"/>
      <family val="1"/>
      <charset val="204"/>
    </font>
    <font>
      <sz val="10"/>
      <color rgb="FFFF0000"/>
      <name val="Arial"/>
      <family val="2"/>
      <charset val="204"/>
    </font>
    <font>
      <b/>
      <sz val="9"/>
      <color theme="1"/>
      <name val="Times New Roman"/>
      <family val="1"/>
      <charset val="204"/>
    </font>
    <font>
      <sz val="12"/>
      <name val="TmsCyr"/>
    </font>
    <font>
      <b/>
      <sz val="14"/>
      <name val="Times New Roman"/>
      <family val="1"/>
    </font>
    <font>
      <sz val="10"/>
      <name val="Arial"/>
      <family val="2"/>
    </font>
    <font>
      <sz val="10"/>
      <color rgb="FFFF0000"/>
      <name val="Times New Roman"/>
      <family val="1"/>
      <charset val="204"/>
    </font>
    <font>
      <u/>
      <sz val="11"/>
      <name val="Timok"/>
      <family val="2"/>
    </font>
    <font>
      <b/>
      <i/>
      <sz val="10"/>
      <name val="Times New Roman"/>
      <family val="1"/>
    </font>
    <font>
      <b/>
      <sz val="11"/>
      <name val="Times New Roman"/>
      <family val="1"/>
    </font>
    <font>
      <sz val="11"/>
      <color theme="1"/>
      <name val="Calibri"/>
      <family val="2"/>
      <charset val="204"/>
      <scheme val="minor"/>
    </font>
    <font>
      <i/>
      <sz val="10"/>
      <name val="Times New Roman"/>
      <family val="1"/>
    </font>
    <font>
      <i/>
      <sz val="10"/>
      <color rgb="FF000000"/>
      <name val="Times New Roman"/>
      <family val="1"/>
    </font>
    <font>
      <u/>
      <sz val="12"/>
      <color indexed="12"/>
      <name val="Times New Roman"/>
      <family val="1"/>
    </font>
    <font>
      <sz val="11"/>
      <name val="Arial"/>
      <family val="2"/>
    </font>
    <font>
      <b/>
      <sz val="10"/>
      <name val="Arial"/>
      <family val="2"/>
    </font>
    <font>
      <sz val="10"/>
      <color theme="3"/>
      <name val="Times New Roman"/>
      <family val="1"/>
      <charset val="204"/>
    </font>
    <font>
      <sz val="10"/>
      <color theme="0" tint="-0.499984740745262"/>
      <name val="Times New Roman"/>
      <family val="1"/>
      <charset val="204"/>
    </font>
    <font>
      <sz val="12"/>
      <color theme="0" tint="-0.499984740745262"/>
      <name val="Times New Roman"/>
      <family val="1"/>
      <charset val="204"/>
    </font>
    <font>
      <sz val="10"/>
      <color rgb="FFFF0000"/>
      <name val="Arial"/>
      <family val="2"/>
    </font>
    <font>
      <i/>
      <sz val="10"/>
      <color rgb="FFFF0000"/>
      <name val="Arial"/>
      <family val="2"/>
    </font>
    <font>
      <sz val="11"/>
      <color rgb="FFFF0000"/>
      <name val="Arial"/>
      <family val="2"/>
    </font>
    <font>
      <sz val="9"/>
      <color rgb="FFFF0000"/>
      <name val="Times New Roman"/>
      <family val="1"/>
      <charset val="204"/>
    </font>
    <font>
      <i/>
      <sz val="9"/>
      <color rgb="FFFF0000"/>
      <name val="Times New Roman"/>
      <family val="1"/>
      <charset val="204"/>
    </font>
    <font>
      <sz val="10"/>
      <color theme="1"/>
      <name val="Arial"/>
      <family val="2"/>
      <charset val="204"/>
    </font>
    <font>
      <b/>
      <sz val="10"/>
      <color rgb="FFFF0000"/>
      <name val="Times New Roman"/>
      <family val="1"/>
    </font>
    <font>
      <i/>
      <sz val="10"/>
      <name val="Arial"/>
      <family val="2"/>
    </font>
    <font>
      <sz val="8"/>
      <name val="Times New Roman"/>
      <family val="1"/>
    </font>
    <font>
      <i/>
      <sz val="10"/>
      <color theme="1"/>
      <name val="Times New Roman"/>
      <family val="1"/>
      <charset val="204"/>
    </font>
    <font>
      <i/>
      <sz val="10"/>
      <color rgb="FFFF0000"/>
      <name val="Times New Roman"/>
      <family val="1"/>
    </font>
    <font>
      <sz val="9"/>
      <color theme="3"/>
      <name val="Times New Roman"/>
      <family val="1"/>
      <charset val="204"/>
    </font>
    <font>
      <b/>
      <sz val="9"/>
      <color theme="3"/>
      <name val="Times New Roman"/>
      <family val="1"/>
      <charset val="204"/>
    </font>
    <font>
      <b/>
      <sz val="9"/>
      <color rgb="FFFF0000"/>
      <name val="Times New Roman"/>
      <family val="1"/>
      <charset val="204"/>
    </font>
    <font>
      <vertAlign val="superscript"/>
      <sz val="9"/>
      <name val="Times New Roman"/>
      <family val="1"/>
    </font>
    <font>
      <sz val="9"/>
      <color theme="1"/>
      <name val="Times New Roman"/>
      <family val="1"/>
      <charset val="204"/>
    </font>
    <font>
      <sz val="9"/>
      <name val="Arial"/>
      <family val="2"/>
    </font>
    <font>
      <u/>
      <sz val="12"/>
      <color indexed="12"/>
      <name val="Times New Roman"/>
      <family val="1"/>
      <charset val="204"/>
    </font>
    <font>
      <sz val="10"/>
      <name val="Arial"/>
      <family val="2"/>
      <charset val="204"/>
    </font>
    <font>
      <vertAlign val="superscript"/>
      <sz val="8"/>
      <name val="Times New Roman"/>
      <family val="1"/>
      <charset val="204"/>
    </font>
    <font>
      <vertAlign val="superscript"/>
      <sz val="10"/>
      <name val="Times New Roman"/>
      <family val="1"/>
      <charset val="204"/>
    </font>
    <font>
      <i/>
      <sz val="8"/>
      <color rgb="FFFF0000"/>
      <name val="Arial"/>
      <family val="2"/>
    </font>
    <font>
      <sz val="8"/>
      <name val="Arial"/>
      <family val="2"/>
    </font>
    <font>
      <sz val="11"/>
      <color indexed="8"/>
      <name val="Calibri"/>
      <family val="2"/>
    </font>
    <font>
      <sz val="10"/>
      <color indexed="8"/>
      <name val="Times New Roman"/>
      <family val="1"/>
      <charset val="204"/>
    </font>
    <font>
      <b/>
      <sz val="10"/>
      <color indexed="8"/>
      <name val="Times New Roman"/>
      <family val="1"/>
      <charset val="204"/>
    </font>
    <font>
      <i/>
      <sz val="10"/>
      <color indexed="10"/>
      <name val="Times New Roman"/>
      <family val="1"/>
      <charset val="204"/>
    </font>
    <font>
      <i/>
      <sz val="10"/>
      <color rgb="FFFF0000"/>
      <name val="Times New Roman"/>
      <family val="1"/>
      <charset val="204"/>
    </font>
    <font>
      <sz val="9"/>
      <color rgb="FFFF33CC"/>
      <name val="Times New Roman"/>
      <family val="1"/>
      <charset val="204"/>
    </font>
    <font>
      <b/>
      <sz val="10"/>
      <color rgb="FF990000"/>
      <name val="Times New Roman"/>
      <family val="1"/>
      <charset val="204"/>
    </font>
    <font>
      <b/>
      <sz val="11"/>
      <color rgb="FF990000"/>
      <name val="Times New Roman"/>
      <family val="1"/>
      <charset val="204"/>
    </font>
    <font>
      <i/>
      <sz val="8"/>
      <name val="Arial"/>
      <family val="2"/>
      <charset val="204"/>
    </font>
    <font>
      <b/>
      <sz val="11"/>
      <name val="Arial"/>
      <family val="2"/>
    </font>
    <font>
      <b/>
      <sz val="10"/>
      <color theme="5"/>
      <name val="Arial"/>
      <family val="2"/>
    </font>
    <font>
      <i/>
      <sz val="9"/>
      <name val="Times New Roman"/>
      <family val="1"/>
    </font>
    <font>
      <sz val="14"/>
      <name val="Times New Roman"/>
      <family val="1"/>
    </font>
    <font>
      <b/>
      <i/>
      <sz val="9"/>
      <name val="Times New Roman"/>
      <family val="1"/>
    </font>
    <font>
      <i/>
      <sz val="9"/>
      <color theme="5"/>
      <name val="Times New Roman"/>
      <family val="1"/>
    </font>
    <font>
      <sz val="10"/>
      <color theme="3"/>
      <name val="Times New Roman"/>
      <family val="1"/>
    </font>
    <font>
      <b/>
      <sz val="9"/>
      <color theme="3"/>
      <name val="Times New Roman"/>
      <family val="1"/>
    </font>
    <font>
      <b/>
      <sz val="10"/>
      <color theme="3"/>
      <name val="Times New Roman"/>
      <family val="1"/>
    </font>
    <font>
      <i/>
      <sz val="11"/>
      <name val="Times New Roman"/>
      <family val="1"/>
    </font>
    <font>
      <vertAlign val="superscript"/>
      <sz val="10"/>
      <color indexed="8"/>
      <name val="Times New Roman"/>
      <family val="1"/>
      <charset val="204"/>
    </font>
    <font>
      <vertAlign val="superscript"/>
      <sz val="10"/>
      <color rgb="FFFF0000"/>
      <name val="Times New Roman"/>
      <family val="1"/>
      <charset val="204"/>
    </font>
    <font>
      <vertAlign val="superscript"/>
      <sz val="10"/>
      <color theme="1"/>
      <name val="Times New Roman"/>
      <family val="1"/>
      <charset val="204"/>
    </font>
    <font>
      <b/>
      <sz val="10"/>
      <name val="Times Bold Italic"/>
      <family val="1"/>
    </font>
    <font>
      <sz val="10"/>
      <name val="Times Bold Italic"/>
      <family val="1"/>
    </font>
    <font>
      <sz val="9"/>
      <name val="Times Bold Italic"/>
      <family val="1"/>
    </font>
    <font>
      <b/>
      <sz val="9"/>
      <name val="Times Bold Italic"/>
      <family val="1"/>
    </font>
    <font>
      <i/>
      <sz val="10"/>
      <name val="Times Bold Italic"/>
      <family val="1"/>
    </font>
    <font>
      <sz val="9"/>
      <color rgb="FF00B050"/>
      <name val="Times New Roman"/>
      <family val="1"/>
      <charset val="204"/>
    </font>
    <font>
      <b/>
      <u/>
      <sz val="12"/>
      <name val="Times New Roman"/>
      <family val="1"/>
      <charset val="204"/>
    </font>
    <font>
      <b/>
      <sz val="8"/>
      <name val="Times New Roman"/>
      <family val="1"/>
      <charset val="204"/>
    </font>
    <font>
      <sz val="8"/>
      <color theme="1"/>
      <name val="Times New Roman"/>
      <family val="1"/>
      <charset val="204"/>
    </font>
    <font>
      <b/>
      <sz val="8"/>
      <color theme="1"/>
      <name val="Times New Roman"/>
      <family val="1"/>
      <charset val="204"/>
    </font>
    <font>
      <sz val="7"/>
      <name val="Arial"/>
      <family val="2"/>
      <charset val="204"/>
    </font>
    <font>
      <b/>
      <sz val="7"/>
      <name val="Times New Roman"/>
      <family val="1"/>
      <charset val="204"/>
    </font>
    <font>
      <sz val="7"/>
      <name val="Times New Roman"/>
      <family val="1"/>
      <charset val="204"/>
    </font>
    <font>
      <i/>
      <sz val="7"/>
      <name val="Times New Roman"/>
      <family val="1"/>
      <charset val="204"/>
    </font>
    <font>
      <b/>
      <sz val="8"/>
      <color rgb="FF000000"/>
      <name val="Times New Roman"/>
      <family val="1"/>
      <charset val="204"/>
    </font>
    <font>
      <sz val="8"/>
      <color rgb="FF000000"/>
      <name val="Times New Roman"/>
      <family val="1"/>
      <charset val="204"/>
    </font>
    <font>
      <b/>
      <sz val="8"/>
      <color rgb="FF1F497D"/>
      <name val="Times New Roman"/>
      <family val="1"/>
      <charset val="204"/>
    </font>
    <font>
      <b/>
      <sz val="9"/>
      <color rgb="FF1F497D"/>
      <name val="Times New Roman"/>
      <family val="1"/>
      <charset val="204"/>
    </font>
    <font>
      <b/>
      <vertAlign val="superscript"/>
      <sz val="8"/>
      <color rgb="FF1F497D"/>
      <name val="Times New Roman"/>
      <family val="1"/>
      <charset val="204"/>
    </font>
    <font>
      <b/>
      <i/>
      <sz val="8"/>
      <color rgb="FF000000"/>
      <name val="Times New Roman"/>
      <family val="1"/>
      <charset val="204"/>
    </font>
    <font>
      <i/>
      <sz val="8"/>
      <color theme="1"/>
      <name val="Times New Roman"/>
      <family val="1"/>
      <charset val="204"/>
    </font>
    <font>
      <vertAlign val="superscript"/>
      <sz val="7"/>
      <name val="Times New Roman"/>
      <family val="1"/>
      <charset val="204"/>
    </font>
    <font>
      <b/>
      <sz val="8"/>
      <name val="Times New Roman"/>
      <family val="1"/>
    </font>
    <font>
      <b/>
      <vertAlign val="superscript"/>
      <sz val="9"/>
      <name val="Times New Roman"/>
      <family val="1"/>
      <charset val="204"/>
    </font>
    <font>
      <b/>
      <vertAlign val="subscript"/>
      <sz val="9"/>
      <name val="Times New Roman"/>
      <family val="1"/>
      <charset val="204"/>
    </font>
    <font>
      <vertAlign val="superscript"/>
      <sz val="9"/>
      <color theme="3"/>
      <name val="Times New Roman"/>
      <family val="1"/>
      <charset val="204"/>
    </font>
    <font>
      <i/>
      <sz val="9"/>
      <color rgb="FFFF00FF"/>
      <name val="Times New Roman"/>
      <family val="1"/>
      <charset val="204"/>
    </font>
    <font>
      <i/>
      <sz val="8"/>
      <color rgb="FFFF33CC"/>
      <name val="Times New Roman"/>
      <family val="1"/>
      <charset val="204"/>
    </font>
    <font>
      <b/>
      <i/>
      <sz val="9"/>
      <color rgb="FFFF0000"/>
      <name val="Times New Roman"/>
      <family val="1"/>
      <charset val="204"/>
    </font>
    <font>
      <vertAlign val="superscript"/>
      <sz val="8"/>
      <name val="Times New Roman"/>
      <family val="1"/>
    </font>
    <font>
      <b/>
      <i/>
      <sz val="8"/>
      <name val="Times New Roman"/>
      <family val="1"/>
      <charset val="204"/>
    </font>
    <font>
      <u/>
      <sz val="8"/>
      <name val="Times New Roman"/>
      <family val="1"/>
      <charset val="204"/>
    </font>
    <font>
      <sz val="12"/>
      <color theme="4" tint="-0.499984740745262"/>
      <name val="Times New Roman"/>
      <family val="1"/>
      <charset val="204"/>
    </font>
    <font>
      <b/>
      <i/>
      <sz val="12"/>
      <color theme="4" tint="-0.499984740745262"/>
      <name val="Times New Roman"/>
      <family val="1"/>
      <charset val="204"/>
    </font>
    <font>
      <sz val="10"/>
      <color rgb="FFFF0000"/>
      <name val="Times New Roman"/>
      <family val="1"/>
    </font>
    <font>
      <b/>
      <i/>
      <sz val="14"/>
      <name val="Times New Roman"/>
      <family val="1"/>
      <charset val="204"/>
    </font>
    <font>
      <sz val="10"/>
      <color rgb="FF0070C0"/>
      <name val="Times New Roman"/>
      <family val="1"/>
      <charset val="204"/>
    </font>
    <font>
      <sz val="8"/>
      <name val="Arial"/>
      <family val="2"/>
      <charset val="204"/>
    </font>
    <font>
      <sz val="10"/>
      <color rgb="FF0070C0"/>
      <name val="Times New Roman"/>
      <family val="1"/>
    </font>
    <font>
      <sz val="9"/>
      <color indexed="81"/>
      <name val="Tahoma"/>
      <family val="2"/>
    </font>
    <font>
      <b/>
      <sz val="10"/>
      <color theme="3" tint="0.39997558519241921"/>
      <name val="Times New Roman"/>
      <family val="1"/>
      <charset val="204"/>
    </font>
  </fonts>
  <fills count="56">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15"/>
      </patternFill>
    </fill>
    <fill>
      <patternFill patternType="solid">
        <fgColor indexed="22"/>
      </patternFill>
    </fill>
    <fill>
      <patternFill patternType="gray125">
        <bgColor indexed="42"/>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1"/>
      </patternFill>
    </fill>
    <fill>
      <patternFill patternType="solid">
        <fgColor indexed="44"/>
      </patternFill>
    </fill>
    <fill>
      <patternFill patternType="solid">
        <fgColor indexed="9"/>
        <bgColor indexed="64"/>
      </patternFill>
    </fill>
    <fill>
      <patternFill patternType="solid">
        <fgColor indexed="41"/>
        <bgColor indexed="64"/>
      </patternFill>
    </fill>
    <fill>
      <patternFill patternType="solid">
        <fgColor theme="4" tint="0.79998168889431442"/>
        <bgColor indexed="64"/>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theme="0"/>
        <bgColor indexed="64"/>
      </patternFill>
    </fill>
    <fill>
      <patternFill patternType="solid">
        <fgColor indexed="65"/>
        <bgColor indexed="64"/>
      </patternFill>
    </fill>
    <fill>
      <patternFill patternType="solid">
        <fgColor rgb="FFFFFFCC"/>
        <bgColor indexed="64"/>
      </patternFill>
    </fill>
    <fill>
      <patternFill patternType="lightGray">
        <bgColor theme="0"/>
      </patternFill>
    </fill>
    <fill>
      <patternFill patternType="solid">
        <fgColor rgb="FF07EDF9"/>
        <bgColor indexed="64"/>
      </patternFill>
    </fill>
    <fill>
      <patternFill patternType="solid">
        <fgColor rgb="FFCCFFFF"/>
        <bgColor indexed="64"/>
      </patternFill>
    </fill>
    <fill>
      <patternFill patternType="solid">
        <fgColor rgb="FFB7ECFF"/>
        <bgColor indexed="64"/>
      </patternFill>
    </fill>
    <fill>
      <patternFill patternType="solid">
        <fgColor rgb="FFEAEAEA"/>
        <bgColor indexed="64"/>
      </patternFill>
    </fill>
    <fill>
      <patternFill patternType="solid">
        <fgColor rgb="FF00CCFF"/>
        <bgColor indexed="64"/>
      </patternFill>
    </fill>
    <fill>
      <patternFill patternType="solid">
        <fgColor rgb="FF66FFFF"/>
        <bgColor indexed="64"/>
      </patternFill>
    </fill>
    <fill>
      <patternFill patternType="solid">
        <fgColor rgb="FFCCECFF"/>
        <bgColor indexed="64"/>
      </patternFill>
    </fill>
    <fill>
      <patternFill patternType="solid">
        <fgColor theme="0" tint="-0.14999847407452621"/>
        <bgColor indexed="64"/>
      </patternFill>
    </fill>
    <fill>
      <patternFill patternType="solid">
        <fgColor theme="0" tint="-0.14999847407452621"/>
        <bgColor indexed="63"/>
      </patternFill>
    </fill>
    <fill>
      <patternFill patternType="solid">
        <fgColor rgb="FFCCFFCC"/>
        <bgColor indexed="64"/>
      </patternFill>
    </fill>
    <fill>
      <patternFill patternType="solid">
        <fgColor rgb="FFBCF6C6"/>
        <bgColor indexed="64"/>
      </patternFill>
    </fill>
    <fill>
      <patternFill patternType="solid">
        <fgColor indexed="22"/>
        <bgColor indexed="64"/>
      </patternFill>
    </fill>
    <fill>
      <patternFill patternType="lightGray">
        <bgColor indexed="9"/>
      </patternFill>
    </fill>
    <fill>
      <patternFill patternType="solid">
        <fgColor theme="9" tint="0.79998168889431442"/>
        <bgColor indexed="64"/>
      </patternFill>
    </fill>
    <fill>
      <patternFill patternType="solid">
        <fgColor theme="0" tint="-0.14996795556505021"/>
        <bgColor indexed="64"/>
      </patternFill>
    </fill>
    <fill>
      <patternFill patternType="solid">
        <fgColor rgb="FFFFCC99"/>
        <bgColor indexed="64"/>
      </patternFill>
    </fill>
    <fill>
      <patternFill patternType="solid">
        <fgColor rgb="FFFFFFFF"/>
        <bgColor indexed="64"/>
      </patternFill>
    </fill>
    <fill>
      <patternFill patternType="solid">
        <fgColor rgb="FFD9D9D9"/>
        <bgColor indexed="64"/>
      </patternFill>
    </fill>
    <fill>
      <patternFill patternType="lightGray">
        <fgColor theme="0" tint="-0.24994659260841701"/>
        <bgColor rgb="FFBFBFBF"/>
      </patternFill>
    </fill>
    <fill>
      <patternFill patternType="gray125">
        <bgColor rgb="FFDFDFDF"/>
      </patternFill>
    </fill>
    <fill>
      <patternFill patternType="solid">
        <fgColor theme="1"/>
        <bgColor indexed="64"/>
      </patternFill>
    </fill>
    <fill>
      <patternFill patternType="solid">
        <fgColor rgb="FFFF8080"/>
        <bgColor indexed="64"/>
      </patternFill>
    </fill>
    <fill>
      <patternFill patternType="solid">
        <fgColor theme="0" tint="-0.24994659260841701"/>
        <bgColor indexed="64"/>
      </patternFill>
    </fill>
    <fill>
      <patternFill patternType="solid">
        <fgColor theme="4" tint="0.79998168889431442"/>
        <bgColor indexed="63"/>
      </patternFill>
    </fill>
    <fill>
      <patternFill patternType="mediumGray">
        <bgColor rgb="FFFFFFFF"/>
      </patternFill>
    </fill>
    <fill>
      <patternFill patternType="solid">
        <fgColor rgb="FFFFFF00"/>
        <bgColor indexed="64"/>
      </patternFill>
    </fill>
  </fills>
  <borders count="182">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8"/>
      </top>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diagonalUp="1" diagonalDown="1">
      <left style="medium">
        <color indexed="64"/>
      </left>
      <right style="medium">
        <color indexed="64"/>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diagonalUp="1" diagonalDown="1">
      <left style="medium">
        <color indexed="64"/>
      </left>
      <right style="medium">
        <color indexed="64"/>
      </right>
      <top style="medium">
        <color indexed="64"/>
      </top>
      <bottom style="thin">
        <color indexed="64"/>
      </bottom>
      <diagonal style="thin">
        <color indexed="64"/>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style="dashed">
        <color auto="1"/>
      </right>
      <top/>
      <bottom style="dashed">
        <color auto="1"/>
      </bottom>
      <diagonal/>
    </border>
    <border diagonalUp="1" diagonalDown="1">
      <left style="medium">
        <color indexed="64"/>
      </left>
      <right style="thin">
        <color indexed="64"/>
      </right>
      <top style="medium">
        <color indexed="64"/>
      </top>
      <bottom style="thin">
        <color indexed="64"/>
      </bottom>
      <diagonal style="thin">
        <color indexed="64"/>
      </diagonal>
    </border>
    <border diagonalUp="1" diagonalDown="1">
      <left style="thin">
        <color indexed="64"/>
      </left>
      <right style="medium">
        <color indexed="64"/>
      </right>
      <top style="medium">
        <color indexed="64"/>
      </top>
      <bottom style="thin">
        <color indexed="64"/>
      </bottom>
      <diagonal style="thin">
        <color indexed="64"/>
      </diagonal>
    </border>
    <border diagonalUp="1" diagonalDown="1">
      <left style="medium">
        <color indexed="64"/>
      </left>
      <right style="medium">
        <color indexed="64"/>
      </right>
      <top style="thin">
        <color indexed="64"/>
      </top>
      <bottom style="medium">
        <color indexed="64"/>
      </bottom>
      <diagonal style="thin">
        <color indexed="64"/>
      </diagonal>
    </border>
    <border diagonalUp="1" diagonalDown="1">
      <left style="medium">
        <color indexed="64"/>
      </left>
      <right style="thin">
        <color indexed="64"/>
      </right>
      <top style="thin">
        <color indexed="64"/>
      </top>
      <bottom style="medium">
        <color indexed="64"/>
      </bottom>
      <diagonal style="thin">
        <color indexed="64"/>
      </diagonal>
    </border>
    <border diagonalUp="1" diagonalDown="1">
      <left style="thin">
        <color indexed="64"/>
      </left>
      <right style="medium">
        <color indexed="64"/>
      </right>
      <top style="thin">
        <color indexed="64"/>
      </top>
      <bottom style="medium">
        <color indexed="64"/>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medium">
        <color indexed="64"/>
      </left>
      <right style="medium">
        <color indexed="64"/>
      </right>
      <top/>
      <bottom/>
      <diagonal style="thin">
        <color indexed="64"/>
      </diagonal>
    </border>
    <border diagonalUp="1" diagonalDown="1">
      <left style="thin">
        <color indexed="64"/>
      </left>
      <right style="medium">
        <color indexed="64"/>
      </right>
      <top/>
      <bottom/>
      <diagonal style="thin">
        <color indexed="64"/>
      </diagonal>
    </border>
    <border diagonalUp="1" diagonalDown="1">
      <left style="medium">
        <color indexed="64"/>
      </left>
      <right/>
      <top style="thin">
        <color indexed="64"/>
      </top>
      <bottom style="thin">
        <color indexed="64"/>
      </bottom>
      <diagonal style="thin">
        <color indexed="64"/>
      </diagonal>
    </border>
    <border diagonalUp="1" diagonalDown="1">
      <left style="medium">
        <color indexed="64"/>
      </left>
      <right style="thin">
        <color indexed="64"/>
      </right>
      <top style="thin">
        <color indexed="64"/>
      </top>
      <bottom style="thin">
        <color indexed="64"/>
      </bottom>
      <diagonal style="thin">
        <color indexed="64"/>
      </diagonal>
    </border>
    <border>
      <left style="medium">
        <color indexed="64"/>
      </left>
      <right/>
      <top style="thin">
        <color indexed="8"/>
      </top>
      <bottom/>
      <diagonal/>
    </border>
    <border>
      <left style="thin">
        <color indexed="64"/>
      </left>
      <right/>
      <top/>
      <bottom style="medium">
        <color indexed="64"/>
      </bottom>
      <diagonal/>
    </border>
    <border diagonalUp="1" diagonalDown="1">
      <left style="thin">
        <color indexed="64"/>
      </left>
      <right style="thin">
        <color indexed="64"/>
      </right>
      <top style="medium">
        <color indexed="64"/>
      </top>
      <bottom/>
      <diagonal style="thin">
        <color indexed="64"/>
      </diagonal>
    </border>
    <border diagonalUp="1" diagonalDown="1">
      <left style="thin">
        <color indexed="64"/>
      </left>
      <right style="medium">
        <color indexed="64"/>
      </right>
      <top style="medium">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medium">
        <color indexed="64"/>
      </bottom>
      <diagonal style="thin">
        <color indexed="64"/>
      </diagonal>
    </border>
    <border diagonalUp="1" diagonalDown="1">
      <left style="thin">
        <color indexed="64"/>
      </left>
      <right style="medium">
        <color indexed="64"/>
      </right>
      <top/>
      <bottom style="medium">
        <color indexed="64"/>
      </bottom>
      <diagonal style="thin">
        <color indexed="64"/>
      </diagonal>
    </border>
    <border diagonalUp="1" diagonalDown="1">
      <left/>
      <right style="thin">
        <color indexed="64"/>
      </right>
      <top style="medium">
        <color indexed="64"/>
      </top>
      <bottom/>
      <diagonal style="thin">
        <color indexed="64"/>
      </diagonal>
    </border>
    <border diagonalUp="1" diagonalDown="1">
      <left/>
      <right style="thin">
        <color indexed="64"/>
      </right>
      <top/>
      <bottom/>
      <diagonal style="thin">
        <color indexed="64"/>
      </diagonal>
    </border>
    <border diagonalUp="1" diagonalDown="1">
      <left/>
      <right style="thin">
        <color indexed="64"/>
      </right>
      <top/>
      <bottom style="medium">
        <color indexed="64"/>
      </bottom>
      <diagonal style="thin">
        <color indexed="64"/>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left/>
      <right style="medium">
        <color indexed="64"/>
      </right>
      <top style="thin">
        <color indexed="8"/>
      </top>
      <bottom style="medium">
        <color indexed="64"/>
      </bottom>
      <diagonal/>
    </border>
    <border diagonalUp="1" diagonalDown="1">
      <left style="medium">
        <color indexed="64"/>
      </left>
      <right style="medium">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top/>
      <bottom/>
      <diagonal/>
    </border>
    <border diagonalUp="1" diagonalDown="1">
      <left/>
      <right style="thin">
        <color indexed="64"/>
      </right>
      <top style="thin">
        <color indexed="64"/>
      </top>
      <bottom style="thin">
        <color indexed="64"/>
      </bottom>
      <diagonal style="thin">
        <color indexed="64"/>
      </diagonal>
    </border>
    <border diagonalUp="1" diagonalDown="1">
      <left/>
      <right style="medium">
        <color indexed="64"/>
      </right>
      <top style="medium">
        <color indexed="64"/>
      </top>
      <bottom/>
      <diagonal style="thin">
        <color indexed="64"/>
      </diagonal>
    </border>
    <border diagonalUp="1" diagonalDown="1">
      <left/>
      <right style="medium">
        <color indexed="64"/>
      </right>
      <top style="medium">
        <color indexed="64"/>
      </top>
      <bottom style="thin">
        <color indexed="64"/>
      </bottom>
      <diagonal style="thin">
        <color indexed="64"/>
      </diagonal>
    </border>
    <border diagonalUp="1" diagonalDown="1">
      <left/>
      <right style="medium">
        <color indexed="64"/>
      </right>
      <top style="thin">
        <color indexed="64"/>
      </top>
      <bottom style="medium">
        <color indexed="64"/>
      </bottom>
      <diagonal style="thin">
        <color indexed="64"/>
      </diagonal>
    </border>
    <border>
      <left style="thin">
        <color indexed="64"/>
      </left>
      <right style="double">
        <color indexed="64"/>
      </right>
      <top style="thin">
        <color indexed="64"/>
      </top>
      <bottom style="thin">
        <color indexed="64"/>
      </bottom>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style="medium">
        <color indexed="64"/>
      </left>
      <right style="medium">
        <color indexed="64"/>
      </right>
      <top/>
      <bottom style="thin">
        <color indexed="64"/>
      </bottom>
      <diagonal style="thin">
        <color indexed="64"/>
      </diagonal>
    </border>
    <border diagonalUp="1" diagonalDown="1">
      <left/>
      <right style="medium">
        <color indexed="64"/>
      </right>
      <top/>
      <bottom style="medium">
        <color indexed="64"/>
      </bottom>
      <diagonal style="thin">
        <color indexed="64"/>
      </diagonal>
    </border>
    <border diagonalUp="1" diagonalDown="1">
      <left style="medium">
        <color indexed="64"/>
      </left>
      <right style="thin">
        <color indexed="64"/>
      </right>
      <top/>
      <bottom style="medium">
        <color indexed="64"/>
      </bottom>
      <diagonal style="thin">
        <color indexed="64"/>
      </diagonal>
    </border>
    <border diagonalUp="1" diagonalDown="1">
      <left style="medium">
        <color indexed="64"/>
      </left>
      <right style="thin">
        <color indexed="64"/>
      </right>
      <top/>
      <bottom style="thin">
        <color indexed="64"/>
      </bottom>
      <diagonal style="thin">
        <color indexed="64"/>
      </diagonal>
    </border>
    <border diagonalUp="1" diagonalDown="1">
      <left style="medium">
        <color indexed="64"/>
      </left>
      <right style="thin">
        <color indexed="64"/>
      </right>
      <top style="thin">
        <color indexed="64"/>
      </top>
      <bottom/>
      <diagonal style="thin">
        <color indexed="64"/>
      </diagonal>
    </border>
    <border>
      <left/>
      <right style="hair">
        <color indexed="64"/>
      </right>
      <top/>
      <bottom/>
      <diagonal/>
    </border>
    <border>
      <left style="hair">
        <color indexed="64"/>
      </left>
      <right style="hair">
        <color indexed="64"/>
      </right>
      <top style="medium">
        <color indexed="64"/>
      </top>
      <bottom/>
      <diagonal/>
    </border>
    <border diagonalUp="1" diagonalDown="1">
      <left style="thin">
        <color indexed="64"/>
      </left>
      <right style="medium">
        <color indexed="64"/>
      </right>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diagonal style="thin">
        <color indexed="64"/>
      </diagonal>
    </border>
    <border>
      <left style="hair">
        <color indexed="64"/>
      </left>
      <right/>
      <top/>
      <bottom style="hair">
        <color indexed="64"/>
      </bottom>
      <diagonal/>
    </border>
    <border>
      <left/>
      <right style="hair">
        <color indexed="64"/>
      </right>
      <top/>
      <bottom style="hair">
        <color indexed="64"/>
      </bottom>
      <diagonal/>
    </border>
    <border diagonalUp="1" diagonalDown="1">
      <left style="hair">
        <color indexed="64"/>
      </left>
      <right style="hair">
        <color indexed="64"/>
      </right>
      <top/>
      <bottom style="hair">
        <color indexed="64"/>
      </bottom>
      <diagonal style="hair">
        <color indexed="64"/>
      </diagonal>
    </border>
    <border diagonalUp="1" diagonalDown="1">
      <left style="thin">
        <color indexed="64"/>
      </left>
      <right style="medium">
        <color indexed="64"/>
      </right>
      <top style="medium">
        <color indexed="64"/>
      </top>
      <bottom style="medium">
        <color indexed="64"/>
      </bottom>
      <diagonal style="thin">
        <color indexed="64"/>
      </diagonal>
    </border>
    <border diagonalUp="1" diagonalDown="1">
      <left style="medium">
        <color indexed="64"/>
      </left>
      <right style="thin">
        <color indexed="64"/>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medium">
        <color indexed="64"/>
      </bottom>
      <diagonal style="thin">
        <color indexed="64"/>
      </diagonal>
    </border>
    <border diagonalUp="1" diagonalDown="1">
      <left/>
      <right style="thin">
        <color indexed="64"/>
      </right>
      <top style="medium">
        <color indexed="64"/>
      </top>
      <bottom style="thin">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thin">
        <color indexed="64"/>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style="thin">
        <color indexed="64"/>
      </top>
      <bottom/>
      <diagonal style="thin">
        <color indexed="64"/>
      </diagonal>
    </border>
    <border diagonalUp="1" diagonalDown="1">
      <left/>
      <right style="thin">
        <color indexed="64"/>
      </right>
      <top/>
      <bottom style="thin">
        <color indexed="64"/>
      </bottom>
      <diagonal style="thin">
        <color indexed="64"/>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medium">
        <color indexed="64"/>
      </left>
      <right style="thin">
        <color indexed="64"/>
      </right>
      <top/>
      <bottom/>
      <diagonal style="thin">
        <color indexed="64"/>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bottom/>
      <diagonal/>
    </border>
    <border>
      <left/>
      <right style="thin">
        <color theme="0" tint="-0.24994659260841701"/>
      </right>
      <top/>
      <bottom/>
      <diagonal/>
    </border>
    <border>
      <left/>
      <right/>
      <top style="medium">
        <color theme="0" tint="-0.24994659260841701"/>
      </top>
      <bottom/>
      <diagonal/>
    </border>
    <border>
      <left/>
      <right/>
      <top/>
      <bottom style="medium">
        <color theme="0" tint="-0.24994659260841701"/>
      </bottom>
      <diagonal/>
    </border>
    <border>
      <left/>
      <right/>
      <top/>
      <bottom style="thin">
        <color theme="0" tint="-0.24994659260841701"/>
      </bottom>
      <diagonal/>
    </border>
    <border>
      <left/>
      <right/>
      <top style="thin">
        <color theme="0" tint="-0.24994659260841701"/>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s>
  <cellStyleXfs count="118">
    <xf numFmtId="0" fontId="0" fillId="0" borderId="0"/>
    <xf numFmtId="9" fontId="11" fillId="0" borderId="0" applyFont="0" applyFill="0" applyBorder="0" applyAlignment="0" applyProtection="0"/>
    <xf numFmtId="0" fontId="17" fillId="0" borderId="0" applyNumberFormat="0" applyFill="0" applyBorder="0" applyAlignment="0" applyProtection="0">
      <alignment vertical="top"/>
      <protection locked="0"/>
    </xf>
    <xf numFmtId="0" fontId="22" fillId="4"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3"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3" fillId="7" borderId="0" applyNumberFormat="0" applyBorder="0" applyAlignment="0" applyProtection="0"/>
    <xf numFmtId="0" fontId="22" fillId="4" borderId="0" applyNumberFormat="0" applyBorder="0" applyAlignment="0" applyProtection="0"/>
    <xf numFmtId="0" fontId="22" fillId="7" borderId="0" applyNumberFormat="0" applyBorder="0" applyAlignment="0" applyProtection="0"/>
    <xf numFmtId="0" fontId="23" fillId="7" borderId="0" applyNumberFormat="0" applyBorder="0" applyAlignment="0" applyProtection="0"/>
    <xf numFmtId="0" fontId="22" fillId="10"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0" fontId="23" fillId="11" borderId="0" applyNumberFormat="0" applyBorder="0" applyAlignment="0" applyProtection="0"/>
    <xf numFmtId="1" fontId="24" fillId="12" borderId="0">
      <alignment horizontal="center" vertical="center" wrapText="1"/>
    </xf>
    <xf numFmtId="4" fontId="24" fillId="13" borderId="7">
      <alignment vertical="center"/>
      <protection locked="0"/>
    </xf>
    <xf numFmtId="0" fontId="24" fillId="14" borderId="0">
      <alignment horizontal="right"/>
    </xf>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49" fontId="24" fillId="18" borderId="0">
      <alignment vertical="top" wrapText="1"/>
    </xf>
    <xf numFmtId="38" fontId="24" fillId="13" borderId="0">
      <alignment horizontal="right" vertical="center" wrapText="1"/>
    </xf>
    <xf numFmtId="0" fontId="26" fillId="0" borderId="0" applyNumberFormat="0" applyFill="0" applyBorder="0" applyAlignment="0" applyProtection="0">
      <alignment vertical="top"/>
      <protection locked="0"/>
    </xf>
    <xf numFmtId="0" fontId="27" fillId="19" borderId="8">
      <alignment wrapText="1"/>
    </xf>
    <xf numFmtId="0" fontId="22" fillId="0" borderId="0"/>
    <xf numFmtId="0" fontId="27" fillId="0" borderId="0"/>
    <xf numFmtId="9" fontId="22"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8" fillId="0" borderId="0" applyNumberFormat="0" applyFill="0" applyBorder="0" applyAlignment="0" applyProtection="0"/>
    <xf numFmtId="3" fontId="24" fillId="0" borderId="0">
      <alignment horizontal="right" vertical="center" wrapText="1"/>
      <protection locked="0"/>
    </xf>
    <xf numFmtId="0" fontId="29" fillId="0" borderId="0"/>
    <xf numFmtId="0" fontId="22" fillId="0" borderId="0"/>
    <xf numFmtId="0" fontId="44" fillId="0" borderId="0"/>
    <xf numFmtId="9" fontId="39" fillId="0" borderId="0" applyFont="0" applyFill="0" applyBorder="0" applyAlignment="0" applyProtection="0"/>
    <xf numFmtId="0" fontId="39" fillId="0" borderId="0"/>
    <xf numFmtId="0" fontId="44" fillId="0" borderId="0"/>
    <xf numFmtId="166" fontId="39" fillId="0" borderId="0" applyFont="0" applyFill="0" applyBorder="0" applyAlignment="0" applyProtection="0"/>
    <xf numFmtId="0" fontId="11" fillId="0" borderId="0"/>
    <xf numFmtId="43" fontId="27" fillId="0" borderId="0" applyFont="0" applyFill="0" applyBorder="0" applyAlignment="0" applyProtection="0"/>
    <xf numFmtId="0" fontId="76" fillId="0" borderId="0"/>
    <xf numFmtId="166" fontId="27" fillId="0" borderId="0" applyFont="0" applyFill="0" applyBorder="0" applyAlignment="0" applyProtection="0"/>
    <xf numFmtId="0" fontId="78" fillId="0" borderId="0"/>
    <xf numFmtId="9" fontId="10" fillId="0" borderId="0" applyFont="0" applyFill="0" applyBorder="0" applyAlignment="0" applyProtection="0"/>
    <xf numFmtId="9" fontId="9" fillId="0" borderId="0" applyFont="0" applyFill="0" applyBorder="0" applyAlignment="0" applyProtection="0"/>
    <xf numFmtId="0" fontId="83" fillId="0" borderId="0"/>
    <xf numFmtId="0" fontId="97" fillId="0" borderId="0"/>
    <xf numFmtId="0" fontId="83" fillId="0" borderId="0"/>
    <xf numFmtId="165" fontId="110" fillId="0" borderId="0" applyFont="0" applyFill="0" applyBorder="0" applyAlignment="0" applyProtection="0"/>
    <xf numFmtId="0" fontId="9" fillId="0" borderId="0"/>
    <xf numFmtId="0" fontId="8" fillId="0" borderId="0"/>
    <xf numFmtId="0" fontId="8" fillId="0" borderId="0"/>
    <xf numFmtId="9" fontId="27" fillId="0" borderId="0" applyFont="0" applyFill="0" applyBorder="0" applyAlignment="0" applyProtection="0"/>
    <xf numFmtId="9" fontId="115" fillId="0" borderId="0" applyFont="0" applyFill="0" applyBorder="0" applyAlignment="0" applyProtection="0"/>
    <xf numFmtId="9" fontId="115" fillId="0" borderId="0" applyFont="0" applyFill="0" applyBorder="0" applyAlignment="0" applyProtection="0"/>
    <xf numFmtId="165" fontId="27" fillId="0" borderId="0" applyFont="0" applyFill="0" applyBorder="0" applyAlignment="0" applyProtection="0"/>
    <xf numFmtId="9" fontId="115" fillId="0" borderId="0" applyFont="0" applyFill="0" applyBorder="0" applyAlignment="0" applyProtection="0"/>
    <xf numFmtId="0" fontId="7" fillId="0" borderId="0"/>
    <xf numFmtId="0" fontId="7" fillId="0" borderId="0"/>
    <xf numFmtId="0" fontId="115" fillId="0" borderId="0"/>
    <xf numFmtId="0" fontId="22" fillId="0" borderId="0"/>
    <xf numFmtId="0" fontId="22" fillId="0" borderId="0"/>
    <xf numFmtId="9" fontId="9" fillId="0" borderId="0" applyFont="0" applyFill="0" applyBorder="0" applyAlignment="0" applyProtection="0"/>
    <xf numFmtId="9"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7" fillId="0" borderId="0" applyNumberFormat="0" applyFill="0" applyBorder="0" applyAlignment="0" applyProtection="0">
      <alignment vertical="top"/>
      <protection locked="0"/>
    </xf>
    <xf numFmtId="0" fontId="27" fillId="0" borderId="0"/>
    <xf numFmtId="0" fontId="5" fillId="0" borderId="0"/>
    <xf numFmtId="0" fontId="4" fillId="0" borderId="0"/>
    <xf numFmtId="0" fontId="4" fillId="0" borderId="0"/>
    <xf numFmtId="0" fontId="22" fillId="0" borderId="0"/>
    <xf numFmtId="0" fontId="78" fillId="0" borderId="0"/>
    <xf numFmtId="0" fontId="4" fillId="0" borderId="0"/>
    <xf numFmtId="0" fontId="4" fillId="0" borderId="0"/>
    <xf numFmtId="9" fontId="4" fillId="0" borderId="0" applyFont="0" applyFill="0" applyBorder="0" applyAlignment="0" applyProtection="0"/>
    <xf numFmtId="0" fontId="22" fillId="0" borderId="0"/>
    <xf numFmtId="0" fontId="3" fillId="0" borderId="0"/>
    <xf numFmtId="9" fontId="3" fillId="0" borderId="0" applyFont="0" applyFill="0" applyBorder="0" applyAlignment="0" applyProtection="0"/>
    <xf numFmtId="0" fontId="3" fillId="0" borderId="0"/>
    <xf numFmtId="0" fontId="3" fillId="0" borderId="0"/>
    <xf numFmtId="0" fontId="2" fillId="0" borderId="0"/>
    <xf numFmtId="0" fontId="1" fillId="0" borderId="0"/>
    <xf numFmtId="0" fontId="1" fillId="0" borderId="0"/>
    <xf numFmtId="164" fontId="27" fillId="0" borderId="0" applyFont="0" applyFill="0" applyBorder="0" applyAlignment="0" applyProtection="0"/>
    <xf numFmtId="0" fontId="1" fillId="0" borderId="0"/>
    <xf numFmtId="0" fontId="1" fillId="0" borderId="0"/>
    <xf numFmtId="164"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5471">
    <xf numFmtId="0" fontId="0" fillId="0" borderId="0" xfId="0"/>
    <xf numFmtId="0" fontId="12" fillId="0" borderId="0" xfId="0" applyFont="1" applyAlignment="1">
      <alignment vertical="center"/>
    </xf>
    <xf numFmtId="0" fontId="21" fillId="0" borderId="0" xfId="0" applyFont="1"/>
    <xf numFmtId="0" fontId="40" fillId="0" borderId="0" xfId="31" applyFont="1" applyAlignment="1">
      <alignment horizontal="center" vertical="center"/>
    </xf>
    <xf numFmtId="0" fontId="45" fillId="0" borderId="0" xfId="0" applyFont="1" applyAlignment="1">
      <alignment vertical="center"/>
    </xf>
    <xf numFmtId="0" fontId="57" fillId="0" borderId="0" xfId="40" quotePrefix="1" applyFont="1" applyAlignment="1">
      <alignment horizontal="center" vertical="center" wrapText="1"/>
    </xf>
    <xf numFmtId="49" fontId="12" fillId="0" borderId="52" xfId="0" applyNumberFormat="1" applyFont="1" applyBorder="1" applyAlignment="1">
      <alignment horizontal="center" vertical="center" wrapText="1"/>
    </xf>
    <xf numFmtId="0" fontId="52" fillId="0" borderId="0" xfId="0" applyFont="1" applyAlignment="1">
      <alignment vertical="center"/>
    </xf>
    <xf numFmtId="0" fontId="52" fillId="20" borderId="0" xfId="0" applyFont="1" applyFill="1" applyAlignment="1">
      <alignment vertical="center"/>
    </xf>
    <xf numFmtId="0" fontId="45" fillId="20" borderId="0" xfId="40" applyFont="1" applyFill="1" applyAlignment="1">
      <alignment vertical="center"/>
    </xf>
    <xf numFmtId="0" fontId="45" fillId="0" borderId="0" xfId="40" applyFont="1" applyAlignment="1">
      <alignment vertical="center"/>
    </xf>
    <xf numFmtId="0" fontId="27" fillId="0" borderId="0" xfId="0" applyFont="1"/>
    <xf numFmtId="0" fontId="57" fillId="0" borderId="0" xfId="40" applyFont="1" applyAlignment="1">
      <alignment vertical="center"/>
    </xf>
    <xf numFmtId="0" fontId="60" fillId="0" borderId="0" xfId="40" applyFont="1" applyAlignment="1">
      <alignment vertical="center"/>
    </xf>
    <xf numFmtId="0" fontId="61" fillId="0" borderId="0" xfId="40" applyFont="1" applyAlignment="1">
      <alignment vertical="center"/>
    </xf>
    <xf numFmtId="0" fontId="63" fillId="0" borderId="0" xfId="0" applyFont="1" applyAlignment="1">
      <alignment vertical="center"/>
    </xf>
    <xf numFmtId="0" fontId="64" fillId="0" borderId="0" xfId="0" applyFont="1" applyAlignment="1">
      <alignment vertical="center"/>
    </xf>
    <xf numFmtId="0" fontId="27" fillId="27" borderId="0" xfId="32" applyFill="1"/>
    <xf numFmtId="49" fontId="69" fillId="20" borderId="17" xfId="32" applyNumberFormat="1" applyFont="1" applyFill="1" applyBorder="1" applyAlignment="1">
      <alignment horizontal="left" vertical="center"/>
    </xf>
    <xf numFmtId="0" fontId="52" fillId="26" borderId="0" xfId="0" applyFont="1" applyFill="1" applyAlignment="1">
      <alignment vertical="center"/>
    </xf>
    <xf numFmtId="0" fontId="45" fillId="0" borderId="0" xfId="32" applyFont="1" applyAlignment="1">
      <alignment vertical="center"/>
    </xf>
    <xf numFmtId="0" fontId="45" fillId="20" borderId="0" xfId="32" applyFont="1" applyFill="1" applyAlignment="1">
      <alignment vertical="center"/>
    </xf>
    <xf numFmtId="0" fontId="12" fillId="27" borderId="0" xfId="32" applyFont="1" applyFill="1"/>
    <xf numFmtId="0" fontId="35" fillId="27" borderId="0" xfId="40" applyFont="1" applyFill="1" applyAlignment="1">
      <alignment vertical="center"/>
    </xf>
    <xf numFmtId="0" fontId="12" fillId="27" borderId="0" xfId="0" applyFont="1" applyFill="1"/>
    <xf numFmtId="49" fontId="34" fillId="27" borderId="5" xfId="0" applyNumberFormat="1" applyFont="1" applyFill="1" applyBorder="1" applyAlignment="1">
      <alignment horizontal="left" vertical="center"/>
    </xf>
    <xf numFmtId="49" fontId="34" fillId="27" borderId="17" xfId="0" applyNumberFormat="1" applyFont="1" applyFill="1" applyBorder="1" applyAlignment="1">
      <alignment horizontal="left" vertical="center"/>
    </xf>
    <xf numFmtId="49" fontId="12" fillId="27" borderId="0" xfId="0" applyNumberFormat="1" applyFont="1" applyFill="1" applyAlignment="1">
      <alignment horizontal="right"/>
    </xf>
    <xf numFmtId="0" fontId="12" fillId="27" borderId="0" xfId="49" applyFont="1" applyFill="1"/>
    <xf numFmtId="0" fontId="21" fillId="27" borderId="0" xfId="49" applyFont="1" applyFill="1"/>
    <xf numFmtId="0" fontId="68" fillId="27" borderId="0" xfId="49" applyFont="1" applyFill="1"/>
    <xf numFmtId="49" fontId="12" fillId="27" borderId="0" xfId="49" applyNumberFormat="1" applyFont="1" applyFill="1" applyAlignment="1">
      <alignment horizontal="left" vertical="center" wrapText="1"/>
    </xf>
    <xf numFmtId="0" fontId="12" fillId="27" borderId="0" xfId="0" applyFont="1" applyFill="1" applyAlignment="1">
      <alignment vertical="center"/>
    </xf>
    <xf numFmtId="0" fontId="21" fillId="27" borderId="0" xfId="0" applyFont="1" applyFill="1" applyAlignment="1">
      <alignment horizontal="right"/>
    </xf>
    <xf numFmtId="0" fontId="12" fillId="27" borderId="0" xfId="31" applyFont="1" applyFill="1"/>
    <xf numFmtId="0" fontId="36" fillId="27" borderId="0" xfId="0" applyFont="1" applyFill="1" applyAlignment="1">
      <alignment horizontal="center"/>
    </xf>
    <xf numFmtId="0" fontId="21" fillId="27" borderId="0" xfId="0" applyFont="1" applyFill="1"/>
    <xf numFmtId="49" fontId="21" fillId="27" borderId="0" xfId="0" applyNumberFormat="1" applyFont="1" applyFill="1" applyAlignment="1">
      <alignment horizontal="right"/>
    </xf>
    <xf numFmtId="0" fontId="27" fillId="27" borderId="0" xfId="49" applyFont="1" applyFill="1"/>
    <xf numFmtId="0" fontId="54" fillId="27" borderId="0" xfId="49" applyFont="1" applyFill="1"/>
    <xf numFmtId="0" fontId="68" fillId="27" borderId="0" xfId="49" applyFont="1" applyFill="1" applyAlignment="1">
      <alignment vertical="center"/>
    </xf>
    <xf numFmtId="168" fontId="21" fillId="27" borderId="0" xfId="49" applyNumberFormat="1" applyFont="1" applyFill="1" applyAlignment="1">
      <alignment horizontal="right" vertical="center"/>
    </xf>
    <xf numFmtId="0" fontId="78" fillId="27" borderId="0" xfId="49" applyFill="1"/>
    <xf numFmtId="0" fontId="65" fillId="27" borderId="0" xfId="0" applyFont="1" applyFill="1" applyAlignment="1">
      <alignment vertical="center"/>
    </xf>
    <xf numFmtId="0" fontId="52" fillId="27" borderId="0" xfId="49" applyFont="1" applyFill="1" applyAlignment="1">
      <alignment vertical="center"/>
    </xf>
    <xf numFmtId="0" fontId="52" fillId="27" borderId="0" xfId="49" applyFont="1" applyFill="1" applyAlignment="1">
      <alignment horizontal="center" vertical="center"/>
    </xf>
    <xf numFmtId="168" fontId="57" fillId="20" borderId="0" xfId="52" applyNumberFormat="1" applyFont="1" applyFill="1" applyAlignment="1" applyProtection="1">
      <alignment vertical="center"/>
      <protection locked="0"/>
    </xf>
    <xf numFmtId="168" fontId="57" fillId="20" borderId="0" xfId="52" applyNumberFormat="1" applyFont="1" applyFill="1" applyAlignment="1" applyProtection="1">
      <alignment horizontal="right" vertical="center"/>
      <protection locked="0"/>
    </xf>
    <xf numFmtId="168" fontId="57" fillId="20" borderId="0" xfId="52" applyNumberFormat="1" applyFont="1" applyFill="1" applyAlignment="1">
      <alignment vertical="center"/>
    </xf>
    <xf numFmtId="49" fontId="40" fillId="24" borderId="52" xfId="32" applyNumberFormat="1" applyFont="1" applyFill="1" applyBorder="1" applyAlignment="1">
      <alignment horizontal="center" vertical="center" wrapText="1"/>
    </xf>
    <xf numFmtId="0" fontId="40" fillId="24" borderId="53" xfId="32" applyFont="1" applyFill="1" applyBorder="1" applyAlignment="1">
      <alignment horizontal="left" vertical="center"/>
    </xf>
    <xf numFmtId="49" fontId="41" fillId="0" borderId="52" xfId="32" applyNumberFormat="1" applyFont="1" applyBorder="1" applyAlignment="1">
      <alignment horizontal="center" vertical="center" wrapText="1"/>
    </xf>
    <xf numFmtId="0" fontId="41" fillId="20" borderId="53" xfId="32" applyFont="1" applyFill="1" applyBorder="1" applyAlignment="1">
      <alignment vertical="center"/>
    </xf>
    <xf numFmtId="0" fontId="40" fillId="24" borderId="53" xfId="32" applyFont="1" applyFill="1" applyBorder="1" applyAlignment="1">
      <alignment horizontal="left" vertical="center" wrapText="1"/>
    </xf>
    <xf numFmtId="49" fontId="41" fillId="0" borderId="54" xfId="32" applyNumberFormat="1" applyFont="1" applyBorder="1" applyAlignment="1">
      <alignment horizontal="center" vertical="center" wrapText="1"/>
    </xf>
    <xf numFmtId="0" fontId="41" fillId="20" borderId="53" xfId="32" applyFont="1" applyFill="1" applyBorder="1" applyAlignment="1">
      <alignment horizontal="left" vertical="center" wrapText="1"/>
    </xf>
    <xf numFmtId="168" fontId="41" fillId="20" borderId="0" xfId="32" applyNumberFormat="1" applyFont="1" applyFill="1" applyAlignment="1" applyProtection="1">
      <alignment horizontal="right" vertical="center"/>
      <protection locked="0"/>
    </xf>
    <xf numFmtId="168" fontId="41" fillId="20" borderId="0" xfId="32" applyNumberFormat="1" applyFont="1" applyFill="1" applyAlignment="1">
      <alignment vertical="center"/>
    </xf>
    <xf numFmtId="168" fontId="41" fillId="20" borderId="0" xfId="32" applyNumberFormat="1" applyFont="1" applyFill="1" applyAlignment="1">
      <alignment horizontal="right" vertical="center"/>
    </xf>
    <xf numFmtId="0" fontId="53" fillId="26" borderId="0" xfId="32" applyFont="1" applyFill="1" applyAlignment="1">
      <alignment horizontal="right" vertical="center"/>
    </xf>
    <xf numFmtId="49" fontId="40" fillId="0" borderId="0" xfId="32" applyNumberFormat="1" applyFont="1" applyAlignment="1">
      <alignment horizontal="center" vertical="center" wrapText="1"/>
    </xf>
    <xf numFmtId="0" fontId="40" fillId="0" borderId="0" xfId="32" applyFont="1" applyAlignment="1">
      <alignment horizontal="left" vertical="center"/>
    </xf>
    <xf numFmtId="3" fontId="41" fillId="3" borderId="24" xfId="32" applyNumberFormat="1" applyFont="1" applyFill="1" applyBorder="1" applyAlignment="1" applyProtection="1">
      <alignment horizontal="center" vertical="center"/>
      <protection locked="0"/>
    </xf>
    <xf numFmtId="3" fontId="41" fillId="3" borderId="17" xfId="32" applyNumberFormat="1" applyFont="1" applyFill="1" applyBorder="1" applyAlignment="1" applyProtection="1">
      <alignment horizontal="center" vertical="center"/>
      <protection locked="0"/>
    </xf>
    <xf numFmtId="3" fontId="41" fillId="3" borderId="23" xfId="32" applyNumberFormat="1" applyFont="1" applyFill="1" applyBorder="1" applyAlignment="1" applyProtection="1">
      <alignment horizontal="center" vertical="center"/>
      <protection locked="0"/>
    </xf>
    <xf numFmtId="168" fontId="41" fillId="20" borderId="0" xfId="32" applyNumberFormat="1" applyFont="1" applyFill="1" applyAlignment="1">
      <alignment horizontal="center" vertical="center"/>
    </xf>
    <xf numFmtId="0" fontId="52" fillId="27" borderId="0" xfId="0" applyFont="1" applyFill="1" applyAlignment="1">
      <alignment horizontal="left" vertical="center" wrapText="1"/>
    </xf>
    <xf numFmtId="0" fontId="99" fillId="27" borderId="0" xfId="49" applyFont="1" applyFill="1"/>
    <xf numFmtId="0" fontId="12" fillId="27" borderId="0" xfId="49" applyFont="1" applyFill="1" applyAlignment="1">
      <alignment horizontal="center"/>
    </xf>
    <xf numFmtId="0" fontId="12" fillId="3" borderId="7" xfId="0" applyFont="1" applyFill="1" applyBorder="1" applyAlignment="1" applyProtection="1">
      <alignment horizontal="center" vertical="center" wrapText="1"/>
      <protection locked="0"/>
    </xf>
    <xf numFmtId="0" fontId="12" fillId="3" borderId="73" xfId="0" applyFont="1" applyFill="1" applyBorder="1" applyAlignment="1" applyProtection="1">
      <alignment horizontal="center" vertical="center" wrapText="1"/>
      <protection locked="0"/>
    </xf>
    <xf numFmtId="0" fontId="12" fillId="3" borderId="76" xfId="0" applyFont="1" applyFill="1" applyBorder="1" applyAlignment="1" applyProtection="1">
      <alignment horizontal="center" vertical="center" wrapText="1"/>
      <protection locked="0"/>
    </xf>
    <xf numFmtId="0" fontId="12" fillId="3" borderId="53" xfId="0" applyFont="1" applyFill="1" applyBorder="1" applyAlignment="1" applyProtection="1">
      <alignment horizontal="center" vertical="center" wrapText="1"/>
      <protection locked="0"/>
    </xf>
    <xf numFmtId="0" fontId="12" fillId="3" borderId="77" xfId="0" applyFont="1" applyFill="1" applyBorder="1" applyAlignment="1" applyProtection="1">
      <alignment horizontal="center" vertical="center" wrapText="1"/>
      <protection locked="0"/>
    </xf>
    <xf numFmtId="0" fontId="12" fillId="3" borderId="57" xfId="0" applyFont="1" applyFill="1" applyBorder="1" applyAlignment="1" applyProtection="1">
      <alignment horizontal="center" vertical="center" wrapText="1"/>
      <protection locked="0"/>
    </xf>
    <xf numFmtId="0" fontId="12" fillId="3" borderId="72" xfId="0" applyFont="1" applyFill="1" applyBorder="1" applyAlignment="1" applyProtection="1">
      <alignment horizontal="center" vertical="center" wrapText="1"/>
      <protection locked="0"/>
    </xf>
    <xf numFmtId="0" fontId="12" fillId="3" borderId="32" xfId="0" applyFont="1" applyFill="1" applyBorder="1" applyAlignment="1" applyProtection="1">
      <alignment horizontal="center" vertical="center" wrapText="1"/>
      <protection locked="0"/>
    </xf>
    <xf numFmtId="0" fontId="12" fillId="3" borderId="79" xfId="0" applyFont="1" applyFill="1" applyBorder="1" applyAlignment="1" applyProtection="1">
      <alignment horizontal="center" vertical="center" wrapText="1"/>
      <protection locked="0"/>
    </xf>
    <xf numFmtId="0" fontId="12" fillId="3" borderId="51" xfId="0" applyFont="1" applyFill="1" applyBorder="1" applyAlignment="1" applyProtection="1">
      <alignment horizontal="center" vertical="center" wrapText="1"/>
      <protection locked="0"/>
    </xf>
    <xf numFmtId="0" fontId="12" fillId="3" borderId="17" xfId="0" applyFont="1" applyFill="1" applyBorder="1" applyAlignment="1" applyProtection="1">
      <alignment horizontal="center" vertical="center" wrapText="1"/>
      <protection locked="0"/>
    </xf>
    <xf numFmtId="0" fontId="12" fillId="3" borderId="21" xfId="0" applyFont="1" applyFill="1" applyBorder="1" applyAlignment="1" applyProtection="1">
      <alignment horizontal="center" vertical="center" wrapText="1"/>
      <protection locked="0"/>
    </xf>
    <xf numFmtId="49" fontId="57" fillId="27" borderId="17" xfId="52" applyNumberFormat="1" applyFont="1" applyFill="1" applyBorder="1" applyAlignment="1">
      <alignment horizontal="center" vertical="center" wrapText="1"/>
    </xf>
    <xf numFmtId="49" fontId="84" fillId="27" borderId="17" xfId="52" applyNumberFormat="1" applyFont="1" applyFill="1" applyBorder="1" applyAlignment="1">
      <alignment horizontal="center" vertical="center" wrapText="1"/>
    </xf>
    <xf numFmtId="49" fontId="65" fillId="27" borderId="21" xfId="52" applyNumberFormat="1" applyFont="1" applyFill="1" applyBorder="1" applyAlignment="1">
      <alignment horizontal="center" vertical="center" wrapText="1"/>
    </xf>
    <xf numFmtId="49" fontId="57" fillId="26" borderId="17" xfId="52" applyNumberFormat="1" applyFont="1" applyFill="1" applyBorder="1" applyAlignment="1">
      <alignment horizontal="center" vertical="center" wrapText="1"/>
    </xf>
    <xf numFmtId="49" fontId="57" fillId="26" borderId="21" xfId="52" applyNumberFormat="1" applyFont="1" applyFill="1" applyBorder="1" applyAlignment="1">
      <alignment horizontal="center" vertical="center" wrapText="1"/>
    </xf>
    <xf numFmtId="49" fontId="65" fillId="23" borderId="2" xfId="52" applyNumberFormat="1" applyFont="1" applyFill="1" applyBorder="1" applyAlignment="1">
      <alignment horizontal="center" vertical="center" wrapText="1"/>
    </xf>
    <xf numFmtId="0" fontId="57" fillId="27" borderId="51" xfId="40" quotePrefix="1" applyFont="1" applyFill="1" applyBorder="1" applyAlignment="1">
      <alignment horizontal="center" vertical="center" wrapText="1"/>
    </xf>
    <xf numFmtId="49" fontId="57" fillId="27" borderId="17" xfId="40" applyNumberFormat="1" applyFont="1" applyFill="1" applyBorder="1" applyAlignment="1">
      <alignment horizontal="center" vertical="center" wrapText="1"/>
    </xf>
    <xf numFmtId="0" fontId="65" fillId="23" borderId="2" xfId="40" applyFont="1" applyFill="1" applyBorder="1" applyAlignment="1">
      <alignment horizontal="center" vertical="center" wrapText="1"/>
    </xf>
    <xf numFmtId="49" fontId="57" fillId="27" borderId="51" xfId="40" quotePrefix="1" applyNumberFormat="1" applyFont="1" applyFill="1" applyBorder="1" applyAlignment="1">
      <alignment horizontal="center" vertical="center" wrapText="1"/>
    </xf>
    <xf numFmtId="49" fontId="57" fillId="27" borderId="21" xfId="40" applyNumberFormat="1" applyFont="1" applyFill="1" applyBorder="1" applyAlignment="1">
      <alignment horizontal="center" vertical="center" wrapText="1"/>
    </xf>
    <xf numFmtId="0" fontId="84" fillId="20" borderId="17" xfId="52" applyFont="1" applyFill="1" applyBorder="1" applyAlignment="1">
      <alignment horizontal="left" vertical="center"/>
    </xf>
    <xf numFmtId="0" fontId="65" fillId="20" borderId="21" xfId="52" applyFont="1" applyFill="1" applyBorder="1" applyAlignment="1">
      <alignment horizontal="left" vertical="center" wrapText="1"/>
    </xf>
    <xf numFmtId="0" fontId="57" fillId="26" borderId="17" xfId="52" applyFont="1" applyFill="1" applyBorder="1" applyAlignment="1">
      <alignment horizontal="left" vertical="center"/>
    </xf>
    <xf numFmtId="0" fontId="57" fillId="26" borderId="21" xfId="52" applyFont="1" applyFill="1" applyBorder="1" applyAlignment="1">
      <alignment horizontal="left" vertical="center"/>
    </xf>
    <xf numFmtId="0" fontId="57" fillId="26" borderId="17" xfId="52" applyFont="1" applyFill="1" applyBorder="1" applyAlignment="1">
      <alignment horizontal="left" vertical="center" wrapText="1"/>
    </xf>
    <xf numFmtId="0" fontId="57" fillId="20" borderId="21" xfId="52" applyFont="1" applyFill="1" applyBorder="1" applyAlignment="1">
      <alignment horizontal="left" vertical="center"/>
    </xf>
    <xf numFmtId="0" fontId="41" fillId="27" borderId="7" xfId="0" applyFont="1" applyFill="1" applyBorder="1" applyAlignment="1">
      <alignment horizontal="left" vertical="center" wrapText="1"/>
    </xf>
    <xf numFmtId="0" fontId="12" fillId="3" borderId="14"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41" fillId="0" borderId="7" xfId="0" applyFont="1" applyBorder="1" applyAlignment="1">
      <alignment horizontal="left" vertical="center" wrapText="1"/>
    </xf>
    <xf numFmtId="3" fontId="12" fillId="3" borderId="75" xfId="32" applyNumberFormat="1" applyFont="1" applyFill="1" applyBorder="1" applyAlignment="1" applyProtection="1">
      <alignment horizontal="center" vertical="center"/>
      <protection locked="0"/>
    </xf>
    <xf numFmtId="0" fontId="47" fillId="0" borderId="52" xfId="40" quotePrefix="1" applyFont="1" applyBorder="1" applyAlignment="1">
      <alignment horizontal="center" vertical="center" wrapText="1"/>
    </xf>
    <xf numFmtId="0" fontId="45" fillId="0" borderId="52" xfId="40" quotePrefix="1" applyFont="1" applyBorder="1" applyAlignment="1">
      <alignment horizontal="center" vertical="center" wrapText="1"/>
    </xf>
    <xf numFmtId="0" fontId="45" fillId="0" borderId="56" xfId="40" quotePrefix="1" applyFont="1" applyBorder="1" applyAlignment="1">
      <alignment horizontal="center" vertical="center" wrapText="1"/>
    </xf>
    <xf numFmtId="49" fontId="12" fillId="0" borderId="75" xfId="0" applyNumberFormat="1" applyFont="1" applyBorder="1" applyAlignment="1">
      <alignment horizontal="center" vertical="center" wrapText="1"/>
    </xf>
    <xf numFmtId="49" fontId="12" fillId="0" borderId="56" xfId="0" applyNumberFormat="1" applyFont="1" applyBorder="1" applyAlignment="1">
      <alignment horizontal="center" vertical="center" wrapText="1"/>
    </xf>
    <xf numFmtId="49" fontId="41" fillId="27" borderId="49" xfId="49" applyNumberFormat="1" applyFont="1" applyFill="1" applyBorder="1" applyAlignment="1">
      <alignment horizontal="left" vertical="center" wrapText="1"/>
    </xf>
    <xf numFmtId="49" fontId="40" fillId="24" borderId="38" xfId="49" applyNumberFormat="1" applyFont="1" applyFill="1" applyBorder="1" applyAlignment="1">
      <alignment horizontal="left" vertical="center" wrapText="1"/>
    </xf>
    <xf numFmtId="0" fontId="40" fillId="24" borderId="38" xfId="49" applyFont="1" applyFill="1" applyBorder="1" applyAlignment="1">
      <alignment horizontal="left" vertical="center" wrapText="1"/>
    </xf>
    <xf numFmtId="0" fontId="41" fillId="20" borderId="27" xfId="49" applyFont="1" applyFill="1" applyBorder="1" applyAlignment="1">
      <alignment horizontal="left" vertical="center" wrapText="1"/>
    </xf>
    <xf numFmtId="0" fontId="41" fillId="27" borderId="54" xfId="49" applyFont="1" applyFill="1" applyBorder="1" applyAlignment="1">
      <alignment horizontal="left" vertical="center" wrapText="1"/>
    </xf>
    <xf numFmtId="0" fontId="41" fillId="20" borderId="52" xfId="49" applyFont="1" applyFill="1" applyBorder="1" applyAlignment="1">
      <alignment horizontal="left" vertical="center" wrapText="1"/>
    </xf>
    <xf numFmtId="0" fontId="47" fillId="0" borderId="7" xfId="0" applyFont="1" applyBorder="1" applyAlignment="1">
      <alignment horizontal="left" vertical="center" wrapText="1"/>
    </xf>
    <xf numFmtId="0" fontId="47" fillId="0" borderId="7" xfId="0" applyFont="1" applyBorder="1" applyAlignment="1">
      <alignment horizontal="center" vertical="center" wrapText="1"/>
    </xf>
    <xf numFmtId="10" fontId="47" fillId="0" borderId="7" xfId="41" applyNumberFormat="1" applyFont="1" applyBorder="1" applyAlignment="1" applyProtection="1">
      <alignment horizontal="center" vertical="center"/>
    </xf>
    <xf numFmtId="10" fontId="47" fillId="0" borderId="53" xfId="41" applyNumberFormat="1" applyFont="1" applyBorder="1" applyAlignment="1" applyProtection="1">
      <alignment horizontal="center" vertical="center"/>
    </xf>
    <xf numFmtId="0" fontId="47" fillId="21" borderId="7" xfId="0" applyFont="1" applyFill="1" applyBorder="1" applyAlignment="1">
      <alignment horizontal="left" vertical="center" wrapText="1"/>
    </xf>
    <xf numFmtId="0" fontId="47" fillId="21" borderId="7" xfId="0" applyFont="1" applyFill="1" applyBorder="1" applyAlignment="1">
      <alignment horizontal="center" vertical="center" wrapText="1"/>
    </xf>
    <xf numFmtId="3" fontId="45" fillId="0" borderId="7" xfId="41" applyNumberFormat="1" applyFont="1" applyFill="1" applyBorder="1" applyAlignment="1" applyProtection="1">
      <alignment horizontal="center" vertical="center"/>
    </xf>
    <xf numFmtId="3" fontId="45" fillId="0" borderId="53" xfId="41" applyNumberFormat="1" applyFont="1" applyFill="1" applyBorder="1" applyAlignment="1" applyProtection="1">
      <alignment horizontal="center" vertical="center"/>
    </xf>
    <xf numFmtId="49" fontId="45" fillId="20" borderId="52" xfId="32" applyNumberFormat="1" applyFont="1" applyFill="1" applyBorder="1" applyAlignment="1">
      <alignment horizontal="center" vertical="center" wrapText="1"/>
    </xf>
    <xf numFmtId="0" fontId="45" fillId="0" borderId="23" xfId="32" applyFont="1" applyBorder="1" applyAlignment="1">
      <alignment vertical="center" wrapText="1"/>
    </xf>
    <xf numFmtId="0" fontId="47" fillId="0" borderId="52" xfId="0" applyFont="1" applyBorder="1" applyAlignment="1">
      <alignment horizontal="center" vertical="center" wrapText="1"/>
    </xf>
    <xf numFmtId="0" fontId="47" fillId="21" borderId="52" xfId="0" applyFont="1" applyFill="1" applyBorder="1" applyAlignment="1">
      <alignment horizontal="center" vertical="center" wrapText="1"/>
    </xf>
    <xf numFmtId="0" fontId="47" fillId="21" borderId="38" xfId="32" applyFont="1" applyFill="1" applyBorder="1" applyAlignment="1">
      <alignment horizontal="center" vertical="center" wrapText="1"/>
    </xf>
    <xf numFmtId="0" fontId="47" fillId="21" borderId="8" xfId="32" applyFont="1" applyFill="1" applyBorder="1" applyAlignment="1">
      <alignment vertical="center" wrapText="1"/>
    </xf>
    <xf numFmtId="0" fontId="12" fillId="3" borderId="31" xfId="0" applyFont="1" applyFill="1" applyBorder="1" applyAlignment="1" applyProtection="1">
      <alignment horizontal="center" vertical="center" wrapText="1"/>
      <protection locked="0"/>
    </xf>
    <xf numFmtId="0" fontId="12" fillId="3" borderId="50"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0" fontId="12" fillId="3" borderId="44" xfId="0" applyFont="1" applyFill="1" applyBorder="1" applyAlignment="1" applyProtection="1">
      <alignment horizontal="center" vertical="center" wrapText="1"/>
      <protection locked="0"/>
    </xf>
    <xf numFmtId="0" fontId="41" fillId="27" borderId="53" xfId="49" applyFont="1" applyFill="1" applyBorder="1" applyAlignment="1">
      <alignment horizontal="left" vertical="center" wrapText="1"/>
    </xf>
    <xf numFmtId="49" fontId="40" fillId="20" borderId="52" xfId="32" applyNumberFormat="1" applyFont="1" applyFill="1" applyBorder="1" applyAlignment="1">
      <alignment horizontal="center" vertical="center" wrapText="1"/>
    </xf>
    <xf numFmtId="0" fontId="40" fillId="0" borderId="23" xfId="32" applyFont="1" applyBorder="1" applyAlignment="1">
      <alignment vertical="center" wrapText="1"/>
    </xf>
    <xf numFmtId="0" fontId="40" fillId="0" borderId="0" xfId="32" applyFont="1" applyAlignment="1">
      <alignment vertical="center"/>
    </xf>
    <xf numFmtId="49" fontId="40" fillId="0" borderId="52" xfId="32" applyNumberFormat="1" applyFont="1" applyBorder="1" applyAlignment="1">
      <alignment horizontal="center" vertical="center" wrapText="1"/>
    </xf>
    <xf numFmtId="49" fontId="40" fillId="20" borderId="49" xfId="32" applyNumberFormat="1" applyFont="1" applyFill="1" applyBorder="1" applyAlignment="1">
      <alignment horizontal="center" vertical="center" wrapText="1"/>
    </xf>
    <xf numFmtId="0" fontId="40" fillId="0" borderId="33" xfId="32" applyFont="1" applyBorder="1" applyAlignment="1">
      <alignment vertical="center" wrapText="1"/>
    </xf>
    <xf numFmtId="0" fontId="40" fillId="0" borderId="54" xfId="32" applyFont="1" applyBorder="1" applyAlignment="1">
      <alignment horizontal="center" vertical="center"/>
    </xf>
    <xf numFmtId="0" fontId="40" fillId="0" borderId="37" xfId="32" applyFont="1" applyBorder="1" applyAlignment="1">
      <alignment vertical="center" wrapText="1"/>
    </xf>
    <xf numFmtId="0" fontId="0" fillId="26" borderId="0" xfId="0" applyFill="1" applyAlignment="1">
      <alignment horizontal="center" vertical="center"/>
    </xf>
    <xf numFmtId="0" fontId="0" fillId="26" borderId="0" xfId="0" applyFill="1" applyAlignment="1">
      <alignment vertical="center"/>
    </xf>
    <xf numFmtId="0" fontId="0" fillId="27" borderId="0" xfId="0" applyFill="1" applyAlignment="1">
      <alignment vertical="center"/>
    </xf>
    <xf numFmtId="0" fontId="0" fillId="27" borderId="0" xfId="0" applyFill="1" applyAlignment="1">
      <alignment horizontal="center" vertical="center"/>
    </xf>
    <xf numFmtId="0" fontId="19" fillId="26" borderId="0" xfId="0" applyFont="1" applyFill="1" applyAlignment="1">
      <alignment vertical="center" wrapText="1"/>
    </xf>
    <xf numFmtId="0" fontId="19" fillId="26" borderId="0" xfId="0" applyFont="1" applyFill="1" applyAlignment="1">
      <alignment horizontal="center" vertical="center" wrapText="1"/>
    </xf>
    <xf numFmtId="0" fontId="27" fillId="27" borderId="0" xfId="32" applyFill="1" applyAlignment="1">
      <alignment vertical="center"/>
    </xf>
    <xf numFmtId="0" fontId="68" fillId="27" borderId="0" xfId="32" applyFont="1" applyFill="1" applyAlignment="1">
      <alignment vertical="center"/>
    </xf>
    <xf numFmtId="0" fontId="27" fillId="26" borderId="0" xfId="32" applyFill="1" applyAlignment="1">
      <alignment vertical="center"/>
    </xf>
    <xf numFmtId="171" fontId="40" fillId="37" borderId="56" xfId="0" applyNumberFormat="1" applyFont="1" applyFill="1" applyBorder="1" applyAlignment="1">
      <alignment horizontal="center" vertical="center" wrapText="1"/>
    </xf>
    <xf numFmtId="171" fontId="40" fillId="37" borderId="77" xfId="0" applyNumberFormat="1" applyFont="1" applyFill="1" applyBorder="1" applyAlignment="1">
      <alignment horizontal="center" vertical="center" wrapText="1"/>
    </xf>
    <xf numFmtId="171" fontId="40" fillId="37" borderId="57" xfId="0" applyNumberFormat="1" applyFont="1" applyFill="1" applyBorder="1" applyAlignment="1">
      <alignment horizontal="center" vertical="center" wrapText="1"/>
    </xf>
    <xf numFmtId="171" fontId="40" fillId="37" borderId="56" xfId="32" applyNumberFormat="1" applyFont="1" applyFill="1" applyBorder="1" applyAlignment="1">
      <alignment horizontal="center" vertical="center" wrapText="1"/>
    </xf>
    <xf numFmtId="171" fontId="40" fillId="37" borderId="77" xfId="32" applyNumberFormat="1" applyFont="1" applyFill="1" applyBorder="1" applyAlignment="1">
      <alignment horizontal="center" vertical="center" wrapText="1"/>
    </xf>
    <xf numFmtId="171" fontId="40" fillId="37" borderId="57" xfId="32" applyNumberFormat="1" applyFont="1" applyFill="1" applyBorder="1" applyAlignment="1">
      <alignment horizontal="center" vertical="center" wrapText="1"/>
    </xf>
    <xf numFmtId="171" fontId="40" fillId="31" borderId="75" xfId="0" applyNumberFormat="1" applyFont="1" applyFill="1" applyBorder="1" applyAlignment="1">
      <alignment horizontal="center" vertical="center" wrapText="1"/>
    </xf>
    <xf numFmtId="171" fontId="40" fillId="31" borderId="73" xfId="0" applyNumberFormat="1" applyFont="1" applyFill="1" applyBorder="1" applyAlignment="1">
      <alignment horizontal="center" vertical="center" wrapText="1"/>
    </xf>
    <xf numFmtId="171" fontId="40" fillId="31" borderId="76" xfId="0" applyNumberFormat="1" applyFont="1" applyFill="1" applyBorder="1" applyAlignment="1">
      <alignment horizontal="center" vertical="center" wrapText="1"/>
    </xf>
    <xf numFmtId="171" fontId="40" fillId="31" borderId="75" xfId="32" applyNumberFormat="1" applyFont="1" applyFill="1" applyBorder="1" applyAlignment="1">
      <alignment horizontal="center" vertical="center" wrapText="1"/>
    </xf>
    <xf numFmtId="171" fontId="40" fillId="31" borderId="73" xfId="32" applyNumberFormat="1" applyFont="1" applyFill="1" applyBorder="1" applyAlignment="1">
      <alignment horizontal="center" vertical="center" wrapText="1"/>
    </xf>
    <xf numFmtId="171" fontId="40" fillId="31" borderId="76" xfId="32" applyNumberFormat="1" applyFont="1" applyFill="1" applyBorder="1" applyAlignment="1">
      <alignment horizontal="center" vertical="center" wrapText="1"/>
    </xf>
    <xf numFmtId="0" fontId="27" fillId="26" borderId="0" xfId="0" applyFont="1" applyFill="1" applyAlignment="1">
      <alignment vertical="center"/>
    </xf>
    <xf numFmtId="0" fontId="68" fillId="27" borderId="0" xfId="0" applyFont="1" applyFill="1" applyAlignment="1">
      <alignment vertical="center"/>
    </xf>
    <xf numFmtId="0" fontId="88" fillId="27" borderId="0" xfId="0" applyFont="1" applyFill="1" applyAlignment="1">
      <alignment vertical="center"/>
    </xf>
    <xf numFmtId="0" fontId="65" fillId="23" borderId="35" xfId="52" applyFont="1" applyFill="1" applyBorder="1" applyAlignment="1">
      <alignment horizontal="center" vertical="center" wrapText="1"/>
    </xf>
    <xf numFmtId="49" fontId="65" fillId="31" borderId="29" xfId="52" applyNumberFormat="1" applyFont="1" applyFill="1" applyBorder="1" applyAlignment="1">
      <alignment horizontal="center" vertical="center" wrapText="1"/>
    </xf>
    <xf numFmtId="49" fontId="57" fillId="27" borderId="24" xfId="52" applyNumberFormat="1" applyFont="1" applyFill="1" applyBorder="1" applyAlignment="1">
      <alignment horizontal="center" vertical="center" wrapText="1"/>
    </xf>
    <xf numFmtId="49" fontId="57" fillId="27" borderId="30" xfId="52" applyNumberFormat="1" applyFont="1" applyFill="1" applyBorder="1" applyAlignment="1">
      <alignment horizontal="center" vertical="center" wrapText="1"/>
    </xf>
    <xf numFmtId="0" fontId="65" fillId="31" borderId="29" xfId="52" applyFont="1" applyFill="1" applyBorder="1" applyAlignment="1">
      <alignment horizontal="left" vertical="center" wrapText="1"/>
    </xf>
    <xf numFmtId="0" fontId="65" fillId="23" borderId="11" xfId="52" applyFont="1" applyFill="1" applyBorder="1" applyAlignment="1">
      <alignment horizontal="center" vertical="center" wrapText="1"/>
    </xf>
    <xf numFmtId="0" fontId="65" fillId="23" borderId="41" xfId="52" applyFont="1" applyFill="1" applyBorder="1" applyAlignment="1">
      <alignment horizontal="center" vertical="center" wrapText="1"/>
    </xf>
    <xf numFmtId="0" fontId="65" fillId="37" borderId="2" xfId="52" applyFont="1" applyFill="1" applyBorder="1" applyAlignment="1">
      <alignment horizontal="center" vertical="center" wrapText="1"/>
    </xf>
    <xf numFmtId="3" fontId="41" fillId="3" borderId="7" xfId="0" applyNumberFormat="1" applyFont="1" applyFill="1" applyBorder="1" applyAlignment="1" applyProtection="1">
      <alignment horizontal="center" vertical="center"/>
      <protection locked="0"/>
    </xf>
    <xf numFmtId="49" fontId="12" fillId="27" borderId="0" xfId="49" applyNumberFormat="1" applyFont="1" applyFill="1" applyAlignment="1">
      <alignment horizontal="center" vertical="center" wrapText="1"/>
    </xf>
    <xf numFmtId="0" fontId="19" fillId="27" borderId="0" xfId="49" applyFont="1" applyFill="1" applyAlignment="1">
      <alignment vertical="center" wrapText="1"/>
    </xf>
    <xf numFmtId="0" fontId="12" fillId="27" borderId="0" xfId="49" applyFont="1" applyFill="1" applyAlignment="1">
      <alignment horizontal="center" vertical="center" wrapText="1"/>
    </xf>
    <xf numFmtId="0" fontId="12" fillId="27" borderId="0" xfId="49" applyFont="1" applyFill="1" applyAlignment="1">
      <alignment vertical="center" wrapText="1"/>
    </xf>
    <xf numFmtId="0" fontId="0" fillId="0" borderId="0" xfId="0" applyAlignment="1">
      <alignment horizontal="center"/>
    </xf>
    <xf numFmtId="0" fontId="15" fillId="27" borderId="0" xfId="32" applyFont="1" applyFill="1" applyAlignment="1">
      <alignment vertical="center" wrapText="1"/>
    </xf>
    <xf numFmtId="0" fontId="20" fillId="27" borderId="0" xfId="32" applyFont="1" applyFill="1" applyAlignment="1">
      <alignment vertical="center" wrapText="1"/>
    </xf>
    <xf numFmtId="3" fontId="12" fillId="3" borderId="73" xfId="0" applyNumberFormat="1" applyFont="1" applyFill="1" applyBorder="1" applyAlignment="1" applyProtection="1">
      <alignment horizontal="center" vertical="center" wrapText="1"/>
      <protection locked="0"/>
    </xf>
    <xf numFmtId="3" fontId="12" fillId="3" borderId="76" xfId="0" applyNumberFormat="1" applyFont="1" applyFill="1" applyBorder="1" applyAlignment="1" applyProtection="1">
      <alignment horizontal="center" vertical="center" wrapText="1"/>
      <protection locked="0"/>
    </xf>
    <xf numFmtId="3" fontId="12" fillId="3" borderId="7" xfId="0" applyNumberFormat="1" applyFont="1" applyFill="1" applyBorder="1" applyAlignment="1" applyProtection="1">
      <alignment horizontal="center" vertical="center" wrapText="1"/>
      <protection locked="0"/>
    </xf>
    <xf numFmtId="3" fontId="12" fillId="3" borderId="53" xfId="0" applyNumberFormat="1" applyFont="1" applyFill="1" applyBorder="1" applyAlignment="1" applyProtection="1">
      <alignment horizontal="center" vertical="center" wrapText="1"/>
      <protection locked="0"/>
    </xf>
    <xf numFmtId="3" fontId="12" fillId="3" borderId="32" xfId="0" applyNumberFormat="1" applyFont="1" applyFill="1" applyBorder="1" applyAlignment="1" applyProtection="1">
      <alignment horizontal="center" vertical="center" wrapText="1"/>
      <protection locked="0"/>
    </xf>
    <xf numFmtId="3" fontId="12" fillId="3" borderId="77" xfId="0" applyNumberFormat="1" applyFont="1" applyFill="1" applyBorder="1" applyAlignment="1" applyProtection="1">
      <alignment horizontal="center" vertical="center" wrapText="1"/>
      <protection locked="0"/>
    </xf>
    <xf numFmtId="3" fontId="12" fillId="3" borderId="57" xfId="0" applyNumberFormat="1" applyFont="1" applyFill="1" applyBorder="1" applyAlignment="1" applyProtection="1">
      <alignment horizontal="center" vertical="center" wrapText="1"/>
      <protection locked="0"/>
    </xf>
    <xf numFmtId="3" fontId="12" fillId="3" borderId="62" xfId="0" applyNumberFormat="1" applyFont="1" applyFill="1" applyBorder="1" applyAlignment="1" applyProtection="1">
      <alignment horizontal="center" vertical="center" wrapText="1"/>
      <protection locked="0"/>
    </xf>
    <xf numFmtId="3" fontId="12" fillId="3" borderId="15" xfId="0" applyNumberFormat="1" applyFont="1" applyFill="1" applyBorder="1" applyAlignment="1" applyProtection="1">
      <alignment horizontal="center" vertical="center" wrapText="1"/>
      <protection locked="0"/>
    </xf>
    <xf numFmtId="3" fontId="12" fillId="3" borderId="79" xfId="0" applyNumberFormat="1" applyFont="1" applyFill="1" applyBorder="1" applyAlignment="1" applyProtection="1">
      <alignment horizontal="center" vertical="center" wrapText="1"/>
      <protection locked="0"/>
    </xf>
    <xf numFmtId="173" fontId="12" fillId="3" borderId="7" xfId="0" applyNumberFormat="1" applyFont="1" applyFill="1" applyBorder="1" applyAlignment="1" applyProtection="1">
      <alignment horizontal="center" vertical="center" wrapText="1"/>
      <protection locked="0"/>
    </xf>
    <xf numFmtId="173" fontId="12" fillId="3" borderId="53" xfId="0" applyNumberFormat="1" applyFont="1" applyFill="1" applyBorder="1" applyAlignment="1" applyProtection="1">
      <alignment horizontal="center" vertical="center" wrapText="1"/>
      <protection locked="0"/>
    </xf>
    <xf numFmtId="3" fontId="65" fillId="24" borderId="44" xfId="52" applyNumberFormat="1" applyFont="1" applyFill="1" applyBorder="1" applyAlignment="1">
      <alignment horizontal="center" vertical="center" wrapText="1"/>
    </xf>
    <xf numFmtId="3" fontId="65" fillId="24" borderId="31" xfId="52" applyNumberFormat="1" applyFont="1" applyFill="1" applyBorder="1" applyAlignment="1">
      <alignment horizontal="center" vertical="center" wrapText="1"/>
    </xf>
    <xf numFmtId="3" fontId="65" fillId="24" borderId="50" xfId="52" applyNumberFormat="1" applyFont="1" applyFill="1" applyBorder="1" applyAlignment="1">
      <alignment horizontal="center" vertical="center" wrapText="1"/>
    </xf>
    <xf numFmtId="173" fontId="65" fillId="24" borderId="69" xfId="52" applyNumberFormat="1" applyFont="1" applyFill="1" applyBorder="1" applyAlignment="1">
      <alignment horizontal="center" vertical="center" wrapText="1"/>
    </xf>
    <xf numFmtId="173" fontId="65" fillId="24" borderId="63" xfId="52" applyNumberFormat="1" applyFont="1" applyFill="1" applyBorder="1" applyAlignment="1">
      <alignment horizontal="center" vertical="center" wrapText="1"/>
    </xf>
    <xf numFmtId="173" fontId="65" fillId="24" borderId="55" xfId="52" applyNumberFormat="1" applyFont="1" applyFill="1" applyBorder="1" applyAlignment="1">
      <alignment horizontal="center" vertical="center" wrapText="1"/>
    </xf>
    <xf numFmtId="3" fontId="65" fillId="31" borderId="72" xfId="52" applyNumberFormat="1" applyFont="1" applyFill="1" applyBorder="1" applyAlignment="1">
      <alignment horizontal="center" vertical="center"/>
    </xf>
    <xf numFmtId="3" fontId="65" fillId="31" borderId="14" xfId="52" applyNumberFormat="1" applyFont="1" applyFill="1" applyBorder="1" applyAlignment="1">
      <alignment horizontal="center" vertical="center"/>
    </xf>
    <xf numFmtId="3" fontId="57" fillId="3" borderId="32" xfId="52" applyNumberFormat="1" applyFont="1" applyFill="1" applyBorder="1" applyAlignment="1" applyProtection="1">
      <alignment horizontal="center" vertical="center"/>
      <protection locked="0"/>
    </xf>
    <xf numFmtId="3" fontId="57" fillId="3" borderId="15" xfId="52" applyNumberFormat="1" applyFont="1" applyFill="1" applyBorder="1" applyAlignment="1" applyProtection="1">
      <alignment horizontal="center" vertical="center"/>
      <protection locked="0"/>
    </xf>
    <xf numFmtId="3" fontId="57" fillId="3" borderId="7" xfId="52" applyNumberFormat="1" applyFont="1" applyFill="1" applyBorder="1" applyAlignment="1" applyProtection="1">
      <alignment horizontal="center" vertical="center"/>
      <protection locked="0"/>
    </xf>
    <xf numFmtId="3" fontId="57" fillId="3" borderId="53" xfId="52" applyNumberFormat="1" applyFont="1" applyFill="1" applyBorder="1" applyAlignment="1" applyProtection="1">
      <alignment horizontal="center" vertical="center"/>
      <protection locked="0"/>
    </xf>
    <xf numFmtId="3" fontId="57" fillId="3" borderId="79" xfId="52" applyNumberFormat="1" applyFont="1" applyFill="1" applyBorder="1" applyAlignment="1" applyProtection="1">
      <alignment horizontal="center" vertical="center"/>
      <protection locked="0"/>
    </xf>
    <xf numFmtId="3" fontId="57" fillId="3" borderId="77" xfId="52" applyNumberFormat="1" applyFont="1" applyFill="1" applyBorder="1" applyAlignment="1" applyProtection="1">
      <alignment horizontal="center" vertical="center"/>
      <protection locked="0"/>
    </xf>
    <xf numFmtId="3" fontId="65" fillId="31" borderId="44" xfId="52" applyNumberFormat="1" applyFont="1" applyFill="1" applyBorder="1" applyAlignment="1">
      <alignment horizontal="center" vertical="center"/>
    </xf>
    <xf numFmtId="3" fontId="65" fillId="31" borderId="31" xfId="52" applyNumberFormat="1" applyFont="1" applyFill="1" applyBorder="1" applyAlignment="1">
      <alignment horizontal="center" vertical="center"/>
    </xf>
    <xf numFmtId="3" fontId="65" fillId="31" borderId="50" xfId="52" applyNumberFormat="1" applyFont="1" applyFill="1" applyBorder="1" applyAlignment="1">
      <alignment horizontal="center" vertical="center"/>
    </xf>
    <xf numFmtId="173" fontId="65" fillId="31" borderId="69" xfId="52" applyNumberFormat="1" applyFont="1" applyFill="1" applyBorder="1" applyAlignment="1">
      <alignment horizontal="center" vertical="center"/>
    </xf>
    <xf numFmtId="173" fontId="65" fillId="31" borderId="63" xfId="52" applyNumberFormat="1" applyFont="1" applyFill="1" applyBorder="1" applyAlignment="1">
      <alignment horizontal="center" vertical="center"/>
    </xf>
    <xf numFmtId="173" fontId="65" fillId="31" borderId="55" xfId="52" applyNumberFormat="1" applyFont="1" applyFill="1" applyBorder="1" applyAlignment="1">
      <alignment horizontal="center" vertical="center"/>
    </xf>
    <xf numFmtId="3" fontId="65" fillId="27" borderId="72" xfId="52" applyNumberFormat="1" applyFont="1" applyFill="1" applyBorder="1" applyAlignment="1">
      <alignment horizontal="center" vertical="center"/>
    </xf>
    <xf numFmtId="3" fontId="65" fillId="27" borderId="73" xfId="52" applyNumberFormat="1" applyFont="1" applyFill="1" applyBorder="1" applyAlignment="1">
      <alignment horizontal="center" vertical="center"/>
    </xf>
    <xf numFmtId="3" fontId="65" fillId="27" borderId="76" xfId="52" applyNumberFormat="1" applyFont="1" applyFill="1" applyBorder="1" applyAlignment="1">
      <alignment horizontal="center" vertical="center"/>
    </xf>
    <xf numFmtId="173" fontId="65" fillId="27" borderId="32" xfId="52" applyNumberFormat="1" applyFont="1" applyFill="1" applyBorder="1" applyAlignment="1">
      <alignment horizontal="center" vertical="center"/>
    </xf>
    <xf numFmtId="173" fontId="65" fillId="27" borderId="7" xfId="52" applyNumberFormat="1" applyFont="1" applyFill="1" applyBorder="1" applyAlignment="1">
      <alignment horizontal="center" vertical="center"/>
    </xf>
    <xf numFmtId="173" fontId="65" fillId="27" borderId="53" xfId="52" applyNumberFormat="1" applyFont="1" applyFill="1" applyBorder="1" applyAlignment="1">
      <alignment horizontal="center" vertical="center"/>
    </xf>
    <xf numFmtId="3" fontId="65" fillId="27" borderId="7" xfId="52" applyNumberFormat="1" applyFont="1" applyFill="1" applyBorder="1" applyAlignment="1">
      <alignment horizontal="center" vertical="center"/>
    </xf>
    <xf numFmtId="3" fontId="65" fillId="27" borderId="53" xfId="52" applyNumberFormat="1" applyFont="1" applyFill="1" applyBorder="1" applyAlignment="1">
      <alignment horizontal="center" vertical="center"/>
    </xf>
    <xf numFmtId="10" fontId="65" fillId="27" borderId="32" xfId="52" applyNumberFormat="1" applyFont="1" applyFill="1" applyBorder="1" applyAlignment="1">
      <alignment horizontal="center" vertical="center"/>
    </xf>
    <xf numFmtId="10" fontId="65" fillId="27" borderId="7" xfId="52" applyNumberFormat="1" applyFont="1" applyFill="1" applyBorder="1" applyAlignment="1">
      <alignment horizontal="center" vertical="center"/>
    </xf>
    <xf numFmtId="10" fontId="65" fillId="27" borderId="53" xfId="52" applyNumberFormat="1" applyFont="1" applyFill="1" applyBorder="1" applyAlignment="1">
      <alignment horizontal="center" vertical="center"/>
    </xf>
    <xf numFmtId="3" fontId="57" fillId="3" borderId="19" xfId="52" applyNumberFormat="1" applyFont="1" applyFill="1" applyBorder="1" applyAlignment="1" applyProtection="1">
      <alignment horizontal="center" vertical="center"/>
      <protection locked="0"/>
    </xf>
    <xf numFmtId="3" fontId="65" fillId="31" borderId="73" xfId="52" applyNumberFormat="1" applyFont="1" applyFill="1" applyBorder="1" applyAlignment="1">
      <alignment horizontal="center" vertical="center"/>
    </xf>
    <xf numFmtId="3" fontId="65" fillId="31" borderId="76" xfId="52" applyNumberFormat="1" applyFont="1" applyFill="1" applyBorder="1" applyAlignment="1">
      <alignment horizontal="center" vertical="center"/>
    </xf>
    <xf numFmtId="173" fontId="65" fillId="31" borderId="32" xfId="52" applyNumberFormat="1" applyFont="1" applyFill="1" applyBorder="1" applyAlignment="1">
      <alignment horizontal="center" vertical="center"/>
    </xf>
    <xf numFmtId="173" fontId="65" fillId="31" borderId="7" xfId="52" applyNumberFormat="1" applyFont="1" applyFill="1" applyBorder="1" applyAlignment="1">
      <alignment horizontal="center" vertical="center"/>
    </xf>
    <xf numFmtId="173" fontId="65" fillId="31" borderId="53" xfId="52" applyNumberFormat="1" applyFont="1" applyFill="1" applyBorder="1" applyAlignment="1">
      <alignment horizontal="center" vertical="center"/>
    </xf>
    <xf numFmtId="4" fontId="65" fillId="31" borderId="69" xfId="52" applyNumberFormat="1" applyFont="1" applyFill="1" applyBorder="1" applyAlignment="1">
      <alignment horizontal="center" vertical="center"/>
    </xf>
    <xf numFmtId="4" fontId="65" fillId="31" borderId="63" xfId="52" applyNumberFormat="1" applyFont="1" applyFill="1" applyBorder="1" applyAlignment="1">
      <alignment horizontal="center" vertical="center"/>
    </xf>
    <xf numFmtId="4" fontId="65" fillId="31" borderId="55" xfId="52" applyNumberFormat="1" applyFont="1" applyFill="1" applyBorder="1" applyAlignment="1">
      <alignment horizontal="center" vertical="center"/>
    </xf>
    <xf numFmtId="3" fontId="65" fillId="26" borderId="72" xfId="52" applyNumberFormat="1" applyFont="1" applyFill="1" applyBorder="1" applyAlignment="1">
      <alignment horizontal="center" vertical="center"/>
    </xf>
    <xf numFmtId="3" fontId="65" fillId="26" borderId="73" xfId="52" applyNumberFormat="1" applyFont="1" applyFill="1" applyBorder="1" applyAlignment="1">
      <alignment horizontal="center" vertical="center"/>
    </xf>
    <xf numFmtId="3" fontId="65" fillId="26" borderId="76" xfId="52" applyNumberFormat="1" applyFont="1" applyFill="1" applyBorder="1" applyAlignment="1">
      <alignment horizontal="center" vertical="center"/>
    </xf>
    <xf numFmtId="173" fontId="65" fillId="26" borderId="32" xfId="52" applyNumberFormat="1" applyFont="1" applyFill="1" applyBorder="1" applyAlignment="1">
      <alignment horizontal="center" vertical="center"/>
    </xf>
    <xf numFmtId="173" fontId="65" fillId="26" borderId="7" xfId="52" applyNumberFormat="1" applyFont="1" applyFill="1" applyBorder="1" applyAlignment="1">
      <alignment horizontal="center" vertical="center"/>
    </xf>
    <xf numFmtId="173" fontId="65" fillId="26" borderId="53" xfId="52" applyNumberFormat="1" applyFont="1" applyFill="1" applyBorder="1" applyAlignment="1">
      <alignment horizontal="center" vertical="center"/>
    </xf>
    <xf numFmtId="4" fontId="65" fillId="31" borderId="32" xfId="52" applyNumberFormat="1" applyFont="1" applyFill="1" applyBorder="1" applyAlignment="1">
      <alignment horizontal="center" vertical="center"/>
    </xf>
    <xf numFmtId="4" fontId="65" fillId="31" borderId="7" xfId="52" applyNumberFormat="1" applyFont="1" applyFill="1" applyBorder="1" applyAlignment="1">
      <alignment horizontal="center" vertical="center"/>
    </xf>
    <xf numFmtId="4" fontId="65" fillId="31" borderId="53" xfId="52" applyNumberFormat="1" applyFont="1" applyFill="1" applyBorder="1" applyAlignment="1">
      <alignment horizontal="center" vertical="center"/>
    </xf>
    <xf numFmtId="3" fontId="98" fillId="31" borderId="79" xfId="52" applyNumberFormat="1" applyFont="1" applyFill="1" applyBorder="1" applyAlignment="1">
      <alignment horizontal="center" vertical="center"/>
    </xf>
    <xf numFmtId="3" fontId="98" fillId="31" borderId="77" xfId="52" applyNumberFormat="1" applyFont="1" applyFill="1" applyBorder="1" applyAlignment="1">
      <alignment horizontal="center" vertical="center"/>
    </xf>
    <xf numFmtId="3" fontId="98" fillId="31" borderId="57" xfId="52" applyNumberFormat="1" applyFont="1" applyFill="1" applyBorder="1" applyAlignment="1">
      <alignment horizontal="center" vertical="center"/>
    </xf>
    <xf numFmtId="9" fontId="41" fillId="3" borderId="24" xfId="32" applyNumberFormat="1" applyFont="1" applyFill="1" applyBorder="1" applyAlignment="1" applyProtection="1">
      <alignment horizontal="center" vertical="center"/>
      <protection locked="0"/>
    </xf>
    <xf numFmtId="9" fontId="41" fillId="3" borderId="17" xfId="32" applyNumberFormat="1" applyFont="1" applyFill="1" applyBorder="1" applyAlignment="1" applyProtection="1">
      <alignment horizontal="center" vertical="center"/>
      <protection locked="0"/>
    </xf>
    <xf numFmtId="0" fontId="41" fillId="0" borderId="53" xfId="31" applyFont="1" applyBorder="1" applyAlignment="1">
      <alignment vertical="center" wrapText="1"/>
    </xf>
    <xf numFmtId="0" fontId="40" fillId="0" borderId="1" xfId="31" applyFont="1" applyBorder="1" applyAlignment="1">
      <alignment horizontal="center" vertical="center" wrapText="1"/>
    </xf>
    <xf numFmtId="0" fontId="40" fillId="0" borderId="3" xfId="31" applyFont="1" applyBorder="1" applyAlignment="1">
      <alignment horizontal="center" vertical="center" wrapText="1"/>
    </xf>
    <xf numFmtId="171" fontId="40" fillId="37" borderId="2" xfId="32" applyNumberFormat="1" applyFont="1" applyFill="1" applyBorder="1" applyAlignment="1">
      <alignment horizontal="center" wrapText="1"/>
    </xf>
    <xf numFmtId="171" fontId="40" fillId="37" borderId="65" xfId="32" applyNumberFormat="1" applyFont="1" applyFill="1" applyBorder="1" applyAlignment="1">
      <alignment horizontal="center" wrapText="1"/>
    </xf>
    <xf numFmtId="171" fontId="40" fillId="37" borderId="9" xfId="32" applyNumberFormat="1" applyFont="1" applyFill="1" applyBorder="1" applyAlignment="1">
      <alignment horizontal="center" wrapText="1"/>
    </xf>
    <xf numFmtId="171" fontId="40" fillId="37" borderId="10" xfId="32" applyNumberFormat="1" applyFont="1" applyFill="1" applyBorder="1" applyAlignment="1">
      <alignment horizontal="center" wrapText="1"/>
    </xf>
    <xf numFmtId="171" fontId="47" fillId="37" borderId="77" xfId="0" applyNumberFormat="1" applyFont="1" applyFill="1" applyBorder="1" applyAlignment="1">
      <alignment horizontal="center" wrapText="1"/>
    </xf>
    <xf numFmtId="171" fontId="47" fillId="37" borderId="57" xfId="0" applyNumberFormat="1" applyFont="1" applyFill="1" applyBorder="1" applyAlignment="1">
      <alignment horizontal="center" wrapText="1"/>
    </xf>
    <xf numFmtId="171" fontId="47" fillId="37" borderId="56" xfId="0" applyNumberFormat="1" applyFont="1" applyFill="1" applyBorder="1" applyAlignment="1">
      <alignment horizontal="center" wrapText="1"/>
    </xf>
    <xf numFmtId="0" fontId="47" fillId="37" borderId="38" xfId="0" applyFont="1" applyFill="1" applyBorder="1" applyAlignment="1">
      <alignment horizontal="center" vertical="center" wrapText="1"/>
    </xf>
    <xf numFmtId="0" fontId="47" fillId="37" borderId="9" xfId="0" applyFont="1" applyFill="1" applyBorder="1" applyAlignment="1">
      <alignment horizontal="center" vertical="center" wrapText="1"/>
    </xf>
    <xf numFmtId="0" fontId="47" fillId="37" borderId="9" xfId="40" applyFont="1" applyFill="1" applyBorder="1" applyAlignment="1">
      <alignment horizontal="center" vertical="center"/>
    </xf>
    <xf numFmtId="174" fontId="96" fillId="26" borderId="9" xfId="37" applyNumberFormat="1" applyFont="1" applyFill="1" applyBorder="1" applyAlignment="1" applyProtection="1">
      <alignment horizontal="left" vertical="center" wrapText="1"/>
    </xf>
    <xf numFmtId="174" fontId="95" fillId="26" borderId="9" xfId="37" applyNumberFormat="1" applyFont="1" applyFill="1" applyBorder="1" applyAlignment="1" applyProtection="1">
      <alignment horizontal="center" vertical="center" wrapText="1"/>
    </xf>
    <xf numFmtId="3" fontId="12" fillId="3" borderId="24" xfId="32" applyNumberFormat="1" applyFont="1" applyFill="1" applyBorder="1" applyAlignment="1" applyProtection="1">
      <alignment horizontal="center" vertical="center"/>
      <protection locked="0"/>
    </xf>
    <xf numFmtId="3" fontId="12" fillId="3" borderId="15" xfId="32" applyNumberFormat="1" applyFont="1" applyFill="1" applyBorder="1" applyAlignment="1" applyProtection="1">
      <alignment horizontal="center" vertical="center"/>
      <protection locked="0"/>
    </xf>
    <xf numFmtId="3" fontId="12" fillId="3" borderId="62" xfId="32" applyNumberFormat="1" applyFont="1" applyFill="1" applyBorder="1" applyAlignment="1" applyProtection="1">
      <alignment horizontal="center" vertical="center"/>
      <protection locked="0"/>
    </xf>
    <xf numFmtId="4" fontId="41" fillId="0" borderId="32" xfId="0" applyNumberFormat="1" applyFont="1" applyBorder="1" applyAlignment="1">
      <alignment horizontal="center" vertical="center"/>
    </xf>
    <xf numFmtId="4" fontId="41" fillId="0" borderId="15" xfId="0" applyNumberFormat="1" applyFont="1" applyBorder="1" applyAlignment="1">
      <alignment horizontal="center" vertical="center"/>
    </xf>
    <xf numFmtId="4" fontId="41" fillId="0" borderId="7" xfId="0" applyNumberFormat="1" applyFont="1" applyBorder="1" applyAlignment="1">
      <alignment horizontal="center" vertical="center"/>
    </xf>
    <xf numFmtId="4" fontId="41" fillId="20" borderId="32" xfId="0" applyNumberFormat="1" applyFont="1" applyFill="1" applyBorder="1" applyAlignment="1">
      <alignment horizontal="center" vertical="center"/>
    </xf>
    <xf numFmtId="4" fontId="41" fillId="20" borderId="7" xfId="0" applyNumberFormat="1" applyFont="1" applyFill="1" applyBorder="1" applyAlignment="1">
      <alignment horizontal="center" vertical="center"/>
    </xf>
    <xf numFmtId="4" fontId="41" fillId="20" borderId="15" xfId="0" applyNumberFormat="1" applyFont="1" applyFill="1" applyBorder="1" applyAlignment="1">
      <alignment horizontal="center" vertical="center"/>
    </xf>
    <xf numFmtId="4" fontId="41" fillId="20" borderId="69" xfId="0" applyNumberFormat="1" applyFont="1" applyFill="1" applyBorder="1" applyAlignment="1">
      <alignment horizontal="center" vertical="center"/>
    </xf>
    <xf numFmtId="4" fontId="41" fillId="20" borderId="63" xfId="0" applyNumberFormat="1" applyFont="1" applyFill="1" applyBorder="1" applyAlignment="1">
      <alignment horizontal="center" vertical="center"/>
    </xf>
    <xf numFmtId="4" fontId="41" fillId="20" borderId="55" xfId="0" applyNumberFormat="1" applyFont="1" applyFill="1" applyBorder="1" applyAlignment="1">
      <alignment horizontal="center" vertical="center"/>
    </xf>
    <xf numFmtId="0" fontId="21" fillId="0" borderId="40" xfId="40" quotePrefix="1" applyFont="1" applyBorder="1" applyAlignment="1">
      <alignment horizontal="center" vertical="center" wrapText="1"/>
    </xf>
    <xf numFmtId="171" fontId="47" fillId="37" borderId="63" xfId="0" applyNumberFormat="1" applyFont="1" applyFill="1" applyBorder="1" applyAlignment="1">
      <alignment horizontal="center" wrapText="1"/>
    </xf>
    <xf numFmtId="171" fontId="47" fillId="37" borderId="55" xfId="0" applyNumberFormat="1" applyFont="1" applyFill="1" applyBorder="1" applyAlignment="1">
      <alignment horizontal="center" wrapText="1"/>
    </xf>
    <xf numFmtId="0" fontId="45" fillId="0" borderId="0" xfId="40" applyFont="1" applyAlignment="1">
      <alignment horizontal="right" vertical="center"/>
    </xf>
    <xf numFmtId="3" fontId="12" fillId="0" borderId="73" xfId="0" applyNumberFormat="1" applyFont="1" applyBorder="1" applyAlignment="1">
      <alignment horizontal="center" vertical="center" wrapText="1"/>
    </xf>
    <xf numFmtId="3" fontId="12" fillId="0" borderId="76" xfId="0" applyNumberFormat="1" applyFont="1" applyBorder="1" applyAlignment="1">
      <alignment horizontal="center" vertical="center" wrapText="1"/>
    </xf>
    <xf numFmtId="3" fontId="12" fillId="0" borderId="77" xfId="0" applyNumberFormat="1" applyFont="1" applyBorder="1" applyAlignment="1">
      <alignment horizontal="center" vertical="center" wrapText="1"/>
    </xf>
    <xf numFmtId="3" fontId="12" fillId="0" borderId="57" xfId="0" applyNumberFormat="1" applyFont="1" applyBorder="1" applyAlignment="1">
      <alignment horizontal="center" vertical="center" wrapText="1"/>
    </xf>
    <xf numFmtId="3" fontId="12" fillId="0" borderId="7" xfId="0" applyNumberFormat="1" applyFont="1" applyBorder="1" applyAlignment="1">
      <alignment horizontal="center" vertical="center" wrapText="1"/>
    </xf>
    <xf numFmtId="3" fontId="12" fillId="0" borderId="53" xfId="0" applyNumberFormat="1" applyFont="1" applyBorder="1" applyAlignment="1">
      <alignment horizontal="center" vertical="center" wrapText="1"/>
    </xf>
    <xf numFmtId="3" fontId="12" fillId="26" borderId="73" xfId="0" applyNumberFormat="1" applyFont="1" applyFill="1" applyBorder="1" applyAlignment="1">
      <alignment horizontal="center" vertical="center" wrapText="1"/>
    </xf>
    <xf numFmtId="3" fontId="12" fillId="26" borderId="76" xfId="0" applyNumberFormat="1" applyFont="1" applyFill="1" applyBorder="1" applyAlignment="1">
      <alignment horizontal="center" vertical="center" wrapText="1"/>
    </xf>
    <xf numFmtId="3" fontId="12" fillId="26" borderId="77" xfId="0" applyNumberFormat="1" applyFont="1" applyFill="1" applyBorder="1" applyAlignment="1">
      <alignment horizontal="center" vertical="center" wrapText="1"/>
    </xf>
    <xf numFmtId="3" fontId="12" fillId="26" borderId="57" xfId="0" applyNumberFormat="1" applyFont="1" applyFill="1" applyBorder="1" applyAlignment="1">
      <alignment horizontal="center" vertical="center" wrapText="1"/>
    </xf>
    <xf numFmtId="173" fontId="21" fillId="26" borderId="7" xfId="0" applyNumberFormat="1" applyFont="1" applyFill="1" applyBorder="1" applyAlignment="1">
      <alignment horizontal="center" vertical="center" wrapText="1"/>
    </xf>
    <xf numFmtId="173" fontId="21" fillId="26" borderId="53" xfId="0" applyNumberFormat="1" applyFont="1" applyFill="1" applyBorder="1" applyAlignment="1">
      <alignment horizontal="center" vertical="center" wrapText="1"/>
    </xf>
    <xf numFmtId="3" fontId="41" fillId="28" borderId="52" xfId="0" applyNumberFormat="1" applyFont="1" applyFill="1" applyBorder="1" applyAlignment="1" applyProtection="1">
      <alignment horizontal="center" vertical="center"/>
      <protection locked="0"/>
    </xf>
    <xf numFmtId="3" fontId="41" fillId="28" borderId="7" xfId="0" applyNumberFormat="1" applyFont="1" applyFill="1" applyBorder="1" applyAlignment="1" applyProtection="1">
      <alignment horizontal="center" vertical="center"/>
      <protection locked="0"/>
    </xf>
    <xf numFmtId="3" fontId="41" fillId="28" borderId="52" xfId="0" applyNumberFormat="1" applyFont="1" applyFill="1" applyBorder="1" applyAlignment="1" applyProtection="1">
      <alignment horizontal="right" vertical="center"/>
      <protection locked="0"/>
    </xf>
    <xf numFmtId="3" fontId="41" fillId="28" borderId="7" xfId="0" applyNumberFormat="1" applyFont="1" applyFill="1" applyBorder="1" applyAlignment="1" applyProtection="1">
      <alignment horizontal="right" vertical="center"/>
      <protection locked="0"/>
    </xf>
    <xf numFmtId="3" fontId="41" fillId="28" borderId="53" xfId="0" applyNumberFormat="1" applyFont="1" applyFill="1" applyBorder="1" applyAlignment="1" applyProtection="1">
      <alignment horizontal="right" vertical="center"/>
      <protection locked="0"/>
    </xf>
    <xf numFmtId="3" fontId="42" fillId="28" borderId="56" xfId="0" applyNumberFormat="1" applyFont="1" applyFill="1" applyBorder="1" applyAlignment="1" applyProtection="1">
      <alignment horizontal="center" vertical="center"/>
      <protection locked="0"/>
    </xf>
    <xf numFmtId="3" fontId="42" fillId="28" borderId="77" xfId="0" applyNumberFormat="1" applyFont="1" applyFill="1" applyBorder="1" applyAlignment="1" applyProtection="1">
      <alignment horizontal="center" vertical="center"/>
      <protection locked="0"/>
    </xf>
    <xf numFmtId="3" fontId="42" fillId="28" borderId="57" xfId="0" applyNumberFormat="1" applyFont="1" applyFill="1" applyBorder="1" applyAlignment="1" applyProtection="1">
      <alignment horizontal="center" vertical="center"/>
      <protection locked="0"/>
    </xf>
    <xf numFmtId="172" fontId="41" fillId="27" borderId="7" xfId="0" applyNumberFormat="1" applyFont="1" applyFill="1" applyBorder="1" applyAlignment="1">
      <alignment horizontal="center" vertical="center"/>
    </xf>
    <xf numFmtId="172" fontId="40" fillId="24" borderId="7" xfId="0" applyNumberFormat="1" applyFont="1" applyFill="1" applyBorder="1" applyAlignment="1">
      <alignment horizontal="center" vertical="center"/>
    </xf>
    <xf numFmtId="3" fontId="41" fillId="29" borderId="7" xfId="49" applyNumberFormat="1" applyFont="1" applyFill="1" applyBorder="1" applyAlignment="1">
      <alignment horizontal="right" vertical="center"/>
    </xf>
    <xf numFmtId="4" fontId="14" fillId="26" borderId="7" xfId="0" applyNumberFormat="1" applyFont="1" applyFill="1" applyBorder="1" applyAlignment="1">
      <alignment horizontal="center" vertical="center"/>
    </xf>
    <xf numFmtId="172" fontId="104" fillId="26" borderId="7" xfId="49" applyNumberFormat="1" applyFont="1" applyFill="1" applyBorder="1" applyAlignment="1">
      <alignment horizontal="center" vertical="center"/>
    </xf>
    <xf numFmtId="3" fontId="41" fillId="27" borderId="0" xfId="49" applyNumberFormat="1" applyFont="1" applyFill="1" applyAlignment="1">
      <alignment horizontal="center" vertical="center"/>
    </xf>
    <xf numFmtId="0" fontId="103" fillId="0" borderId="7" xfId="0" applyFont="1" applyBorder="1" applyAlignment="1">
      <alignment horizontal="left" vertical="center" wrapText="1"/>
    </xf>
    <xf numFmtId="3" fontId="40" fillId="24" borderId="7" xfId="0" applyNumberFormat="1" applyFont="1" applyFill="1" applyBorder="1" applyAlignment="1">
      <alignment horizontal="left" vertical="center" wrapText="1"/>
    </xf>
    <xf numFmtId="3" fontId="40" fillId="24" borderId="17" xfId="32" applyNumberFormat="1" applyFont="1" applyFill="1" applyBorder="1" applyAlignment="1">
      <alignment horizontal="center" vertical="center"/>
    </xf>
    <xf numFmtId="3" fontId="41" fillId="26" borderId="17" xfId="32" applyNumberFormat="1" applyFont="1" applyFill="1" applyBorder="1" applyAlignment="1">
      <alignment horizontal="center" vertical="center"/>
    </xf>
    <xf numFmtId="3" fontId="41" fillId="26" borderId="23" xfId="32" applyNumberFormat="1" applyFont="1" applyFill="1" applyBorder="1" applyAlignment="1">
      <alignment horizontal="center" vertical="center"/>
    </xf>
    <xf numFmtId="3" fontId="41" fillId="26" borderId="24" xfId="32" applyNumberFormat="1" applyFont="1" applyFill="1" applyBorder="1" applyAlignment="1">
      <alignment horizontal="center" vertical="center"/>
    </xf>
    <xf numFmtId="3" fontId="40" fillId="31" borderId="17" xfId="32" applyNumberFormat="1" applyFont="1" applyFill="1" applyBorder="1" applyAlignment="1">
      <alignment horizontal="center" vertical="center"/>
    </xf>
    <xf numFmtId="176" fontId="40" fillId="24" borderId="17" xfId="32" applyNumberFormat="1" applyFont="1" applyFill="1" applyBorder="1" applyAlignment="1">
      <alignment horizontal="center" vertical="center"/>
    </xf>
    <xf numFmtId="176" fontId="40" fillId="0" borderId="0" xfId="32" applyNumberFormat="1" applyFont="1" applyAlignment="1">
      <alignment horizontal="center" vertical="center"/>
    </xf>
    <xf numFmtId="3" fontId="40" fillId="31" borderId="38" xfId="32" applyNumberFormat="1" applyFont="1" applyFill="1" applyBorder="1" applyAlignment="1">
      <alignment horizontal="center" vertical="center"/>
    </xf>
    <xf numFmtId="3" fontId="40" fillId="31" borderId="9" xfId="32" applyNumberFormat="1" applyFont="1" applyFill="1" applyBorder="1" applyAlignment="1">
      <alignment horizontal="center" vertical="center"/>
    </xf>
    <xf numFmtId="3" fontId="40" fillId="31" borderId="65" xfId="32" applyNumberFormat="1" applyFont="1" applyFill="1" applyBorder="1" applyAlignment="1">
      <alignment horizontal="center" vertical="center"/>
    </xf>
    <xf numFmtId="3" fontId="40" fillId="31" borderId="80" xfId="32" applyNumberFormat="1" applyFont="1" applyFill="1" applyBorder="1" applyAlignment="1">
      <alignment horizontal="center" vertical="center"/>
    </xf>
    <xf numFmtId="3" fontId="40" fillId="31" borderId="58" xfId="32" applyNumberFormat="1" applyFont="1" applyFill="1" applyBorder="1" applyAlignment="1">
      <alignment horizontal="center" vertical="center"/>
    </xf>
    <xf numFmtId="0" fontId="40" fillId="31" borderId="75" xfId="32" applyFont="1" applyFill="1" applyBorder="1" applyAlignment="1">
      <alignment horizontal="center" vertical="center"/>
    </xf>
    <xf numFmtId="0" fontId="40" fillId="31" borderId="76" xfId="32" applyFont="1" applyFill="1" applyBorder="1" applyAlignment="1">
      <alignment vertical="center"/>
    </xf>
    <xf numFmtId="49" fontId="41" fillId="27" borderId="56" xfId="32" applyNumberFormat="1" applyFont="1" applyFill="1" applyBorder="1" applyAlignment="1">
      <alignment horizontal="center" vertical="center" wrapText="1"/>
    </xf>
    <xf numFmtId="49" fontId="21" fillId="37" borderId="35" xfId="0" applyNumberFormat="1" applyFont="1" applyFill="1" applyBorder="1" applyAlignment="1">
      <alignment horizontal="center" vertical="center"/>
    </xf>
    <xf numFmtId="49" fontId="21" fillId="37" borderId="41" xfId="0" applyNumberFormat="1" applyFont="1" applyFill="1" applyBorder="1" applyAlignment="1">
      <alignment horizontal="center" vertical="center"/>
    </xf>
    <xf numFmtId="0" fontId="21" fillId="37" borderId="35" xfId="0" applyFont="1" applyFill="1" applyBorder="1" applyAlignment="1">
      <alignment horizontal="center" vertical="center"/>
    </xf>
    <xf numFmtId="0" fontId="21" fillId="37" borderId="2" xfId="0" applyFont="1" applyFill="1" applyBorder="1" applyAlignment="1">
      <alignment horizontal="center" vertical="center" wrapText="1"/>
    </xf>
    <xf numFmtId="0" fontId="21" fillId="37" borderId="3" xfId="0" applyFont="1" applyFill="1" applyBorder="1" applyAlignment="1">
      <alignment horizontal="center" vertical="center" wrapText="1"/>
    </xf>
    <xf numFmtId="0" fontId="12" fillId="0" borderId="0" xfId="0" applyFont="1" applyAlignment="1">
      <alignment horizontal="center" vertical="center"/>
    </xf>
    <xf numFmtId="3" fontId="12" fillId="3" borderId="17" xfId="0" applyNumberFormat="1" applyFont="1" applyFill="1" applyBorder="1" applyAlignment="1" applyProtection="1">
      <alignment horizontal="center" vertical="center" wrapText="1"/>
      <protection locked="0"/>
    </xf>
    <xf numFmtId="3" fontId="12" fillId="3" borderId="51" xfId="0" applyNumberFormat="1" applyFont="1" applyFill="1" applyBorder="1" applyAlignment="1" applyProtection="1">
      <alignment horizontal="center" vertical="center" wrapText="1"/>
      <protection locked="0"/>
    </xf>
    <xf numFmtId="3" fontId="12" fillId="3" borderId="21" xfId="0" applyNumberFormat="1" applyFont="1" applyFill="1" applyBorder="1" applyAlignment="1" applyProtection="1">
      <alignment horizontal="center" vertical="center" wrapText="1"/>
      <protection locked="0"/>
    </xf>
    <xf numFmtId="3" fontId="12" fillId="0" borderId="51" xfId="0" applyNumberFormat="1" applyFont="1" applyBorder="1" applyAlignment="1">
      <alignment horizontal="center" vertical="center" wrapText="1"/>
    </xf>
    <xf numFmtId="3" fontId="12" fillId="0" borderId="17" xfId="0" applyNumberFormat="1" applyFont="1" applyBorder="1" applyAlignment="1">
      <alignment horizontal="center" vertical="center" wrapText="1"/>
    </xf>
    <xf numFmtId="3" fontId="12" fillId="0" borderId="39" xfId="0" applyNumberFormat="1" applyFont="1" applyBorder="1" applyAlignment="1">
      <alignment horizontal="center" vertical="center" wrapText="1"/>
    </xf>
    <xf numFmtId="173" fontId="12" fillId="3" borderId="17" xfId="0" applyNumberFormat="1" applyFont="1" applyFill="1" applyBorder="1" applyAlignment="1" applyProtection="1">
      <alignment horizontal="center" vertical="center" wrapText="1"/>
      <protection locked="0"/>
    </xf>
    <xf numFmtId="173" fontId="21" fillId="26" borderId="17" xfId="0" applyNumberFormat="1" applyFont="1" applyFill="1" applyBorder="1" applyAlignment="1">
      <alignment horizontal="center" vertical="center" wrapText="1"/>
    </xf>
    <xf numFmtId="3" fontId="12" fillId="3" borderId="5" xfId="0" applyNumberFormat="1" applyFont="1" applyFill="1" applyBorder="1" applyAlignment="1" applyProtection="1">
      <alignment horizontal="center" vertical="center" wrapText="1"/>
      <protection locked="0"/>
    </xf>
    <xf numFmtId="3" fontId="12" fillId="26" borderId="51" xfId="0" applyNumberFormat="1" applyFont="1" applyFill="1" applyBorder="1" applyAlignment="1">
      <alignment horizontal="center" vertical="center" wrapText="1"/>
    </xf>
    <xf numFmtId="3" fontId="12" fillId="26" borderId="21" xfId="0" applyNumberFormat="1" applyFont="1" applyFill="1" applyBorder="1" applyAlignment="1">
      <alignment horizontal="center" vertical="center" wrapText="1"/>
    </xf>
    <xf numFmtId="3" fontId="12" fillId="0" borderId="21" xfId="0" applyNumberFormat="1" applyFont="1" applyBorder="1" applyAlignment="1">
      <alignment horizontal="center" vertical="center" wrapText="1"/>
    </xf>
    <xf numFmtId="0" fontId="12" fillId="0" borderId="0" xfId="2" applyFont="1" applyBorder="1" applyAlignment="1" applyProtection="1">
      <alignment horizontal="center" vertical="center"/>
    </xf>
    <xf numFmtId="0" fontId="70" fillId="27" borderId="29" xfId="0" applyFont="1" applyFill="1" applyBorder="1" applyAlignment="1">
      <alignment horizontal="left" vertical="center"/>
    </xf>
    <xf numFmtId="49" fontId="33" fillId="27" borderId="14" xfId="0" applyNumberFormat="1" applyFont="1" applyFill="1" applyBorder="1" applyAlignment="1">
      <alignment horizontal="left" vertical="center"/>
    </xf>
    <xf numFmtId="49" fontId="33" fillId="27" borderId="6" xfId="0" applyNumberFormat="1" applyFont="1" applyFill="1" applyBorder="1" applyAlignment="1">
      <alignment horizontal="left" vertical="center"/>
    </xf>
    <xf numFmtId="49" fontId="33" fillId="27" borderId="24" xfId="0" applyNumberFormat="1" applyFont="1" applyFill="1" applyBorder="1" applyAlignment="1">
      <alignment horizontal="left" vertical="center"/>
    </xf>
    <xf numFmtId="49" fontId="33" fillId="27" borderId="15" xfId="0" applyNumberFormat="1" applyFont="1" applyFill="1" applyBorder="1" applyAlignment="1">
      <alignment horizontal="left" vertical="center"/>
    </xf>
    <xf numFmtId="168" fontId="12" fillId="27" borderId="0" xfId="49" applyNumberFormat="1" applyFont="1" applyFill="1" applyAlignment="1">
      <alignment horizontal="right" vertical="center" wrapText="1"/>
    </xf>
    <xf numFmtId="168" fontId="12" fillId="27" borderId="0" xfId="49" applyNumberFormat="1" applyFont="1" applyFill="1" applyAlignment="1">
      <alignment horizontal="center" vertical="center" wrapText="1"/>
    </xf>
    <xf numFmtId="4" fontId="40" fillId="27" borderId="75" xfId="49" applyNumberFormat="1" applyFont="1" applyFill="1" applyBorder="1" applyAlignment="1">
      <alignment horizontal="center" vertical="center"/>
    </xf>
    <xf numFmtId="4" fontId="40" fillId="27" borderId="73" xfId="49" applyNumberFormat="1" applyFont="1" applyFill="1" applyBorder="1" applyAlignment="1">
      <alignment horizontal="center" vertical="center"/>
    </xf>
    <xf numFmtId="4" fontId="40" fillId="27" borderId="76" xfId="49" applyNumberFormat="1" applyFont="1" applyFill="1" applyBorder="1" applyAlignment="1">
      <alignment horizontal="center" vertical="center"/>
    </xf>
    <xf numFmtId="4" fontId="40" fillId="27" borderId="72" xfId="49" applyNumberFormat="1" applyFont="1" applyFill="1" applyBorder="1" applyAlignment="1">
      <alignment horizontal="center" vertical="center"/>
    </xf>
    <xf numFmtId="4" fontId="40" fillId="27" borderId="52" xfId="49" applyNumberFormat="1" applyFont="1" applyFill="1" applyBorder="1" applyAlignment="1">
      <alignment horizontal="center" vertical="center"/>
    </xf>
    <xf numFmtId="4" fontId="40" fillId="27" borderId="7" xfId="49" applyNumberFormat="1" applyFont="1" applyFill="1" applyBorder="1" applyAlignment="1">
      <alignment horizontal="center" vertical="center"/>
    </xf>
    <xf numFmtId="4" fontId="40" fillId="27" borderId="53" xfId="49" applyNumberFormat="1" applyFont="1" applyFill="1" applyBorder="1" applyAlignment="1">
      <alignment horizontal="center" vertical="center"/>
    </xf>
    <xf numFmtId="4" fontId="40" fillId="27" borderId="32" xfId="49" applyNumberFormat="1" applyFont="1" applyFill="1" applyBorder="1" applyAlignment="1">
      <alignment horizontal="center" vertical="center"/>
    </xf>
    <xf numFmtId="4" fontId="40" fillId="27" borderId="56" xfId="49" applyNumberFormat="1" applyFont="1" applyFill="1" applyBorder="1" applyAlignment="1">
      <alignment horizontal="center" vertical="center"/>
    </xf>
    <xf numFmtId="4" fontId="40" fillId="27" borderId="77" xfId="49" applyNumberFormat="1" applyFont="1" applyFill="1" applyBorder="1" applyAlignment="1">
      <alignment horizontal="center" vertical="center"/>
    </xf>
    <xf numFmtId="4" fontId="40" fillId="27" borderId="57" xfId="49" applyNumberFormat="1" applyFont="1" applyFill="1" applyBorder="1" applyAlignment="1">
      <alignment horizontal="center" vertical="center"/>
    </xf>
    <xf numFmtId="4" fontId="40" fillId="27" borderId="79" xfId="49" applyNumberFormat="1" applyFont="1" applyFill="1" applyBorder="1" applyAlignment="1">
      <alignment horizontal="center" vertical="center"/>
    </xf>
    <xf numFmtId="0" fontId="65" fillId="37" borderId="2" xfId="52" applyFont="1" applyFill="1" applyBorder="1" applyAlignment="1">
      <alignment horizontal="center" vertical="center"/>
    </xf>
    <xf numFmtId="0" fontId="65" fillId="37" borderId="65" xfId="52" applyFont="1" applyFill="1" applyBorder="1" applyAlignment="1">
      <alignment horizontal="center" vertical="center"/>
    </xf>
    <xf numFmtId="0" fontId="65" fillId="23" borderId="11" xfId="52" applyFont="1" applyFill="1" applyBorder="1" applyAlignment="1">
      <alignment horizontal="center" vertical="center"/>
    </xf>
    <xf numFmtId="0" fontId="57" fillId="31" borderId="51" xfId="52" applyFont="1" applyFill="1" applyBorder="1" applyAlignment="1">
      <alignment horizontal="center" vertical="center" wrapText="1"/>
    </xf>
    <xf numFmtId="0" fontId="41" fillId="26" borderId="24" xfId="0" applyFont="1" applyFill="1" applyBorder="1" applyAlignment="1">
      <alignment vertical="center" wrapText="1"/>
    </xf>
    <xf numFmtId="0" fontId="57" fillId="20" borderId="17" xfId="52" applyFont="1" applyFill="1" applyBorder="1" applyAlignment="1">
      <alignment horizontal="center" vertical="center" wrapText="1"/>
    </xf>
    <xf numFmtId="0" fontId="57" fillId="31" borderId="5" xfId="52" applyFont="1" applyFill="1" applyBorder="1" applyAlignment="1">
      <alignment horizontal="center" vertical="center" wrapText="1"/>
    </xf>
    <xf numFmtId="0" fontId="57" fillId="31" borderId="39" xfId="52" applyFont="1" applyFill="1" applyBorder="1" applyAlignment="1">
      <alignment horizontal="center" vertical="center" wrapText="1"/>
    </xf>
    <xf numFmtId="0" fontId="57" fillId="20" borderId="51" xfId="52" applyFont="1" applyFill="1" applyBorder="1" applyAlignment="1">
      <alignment horizontal="center" vertical="center" wrapText="1"/>
    </xf>
    <xf numFmtId="0" fontId="57" fillId="20" borderId="21" xfId="52" applyFont="1" applyFill="1" applyBorder="1" applyAlignment="1">
      <alignment horizontal="center" vertical="center" wrapText="1"/>
    </xf>
    <xf numFmtId="0" fontId="57" fillId="31" borderId="17" xfId="52" applyFont="1" applyFill="1" applyBorder="1" applyAlignment="1">
      <alignment horizontal="center" vertical="center" wrapText="1"/>
    </xf>
    <xf numFmtId="0" fontId="57" fillId="31" borderId="21" xfId="52" applyFont="1" applyFill="1" applyBorder="1" applyAlignment="1">
      <alignment horizontal="center" vertical="center" wrapText="1"/>
    </xf>
    <xf numFmtId="0" fontId="57" fillId="23" borderId="8" xfId="52" applyFont="1" applyFill="1" applyBorder="1" applyAlignment="1">
      <alignment horizontal="center" vertical="center" wrapText="1"/>
    </xf>
    <xf numFmtId="4" fontId="41" fillId="0" borderId="17" xfId="0" applyNumberFormat="1" applyFont="1" applyBorder="1" applyAlignment="1">
      <alignment horizontal="center" vertical="center"/>
    </xf>
    <xf numFmtId="4" fontId="41" fillId="20" borderId="17" xfId="0" applyNumberFormat="1" applyFont="1" applyFill="1" applyBorder="1" applyAlignment="1">
      <alignment horizontal="center" vertical="center"/>
    </xf>
    <xf numFmtId="4" fontId="41" fillId="20" borderId="39" xfId="0" applyNumberFormat="1" applyFont="1" applyFill="1" applyBorder="1" applyAlignment="1">
      <alignment horizontal="center" vertical="center"/>
    </xf>
    <xf numFmtId="10" fontId="40" fillId="31" borderId="1" xfId="1" applyNumberFormat="1" applyFont="1" applyFill="1" applyBorder="1" applyAlignment="1" applyProtection="1">
      <alignment horizontal="center" vertical="center"/>
    </xf>
    <xf numFmtId="10" fontId="40" fillId="31" borderId="2" xfId="1" applyNumberFormat="1" applyFont="1" applyFill="1" applyBorder="1" applyAlignment="1" applyProtection="1">
      <alignment horizontal="center" vertical="center"/>
    </xf>
    <xf numFmtId="10" fontId="40" fillId="31" borderId="65" xfId="1" applyNumberFormat="1" applyFont="1" applyFill="1" applyBorder="1" applyAlignment="1" applyProtection="1">
      <alignment horizontal="center" vertical="center"/>
    </xf>
    <xf numFmtId="10" fontId="40" fillId="31" borderId="9" xfId="1" applyNumberFormat="1" applyFont="1" applyFill="1" applyBorder="1" applyAlignment="1" applyProtection="1">
      <alignment horizontal="center" vertical="center"/>
    </xf>
    <xf numFmtId="10" fontId="40" fillId="31" borderId="10" xfId="1" applyNumberFormat="1" applyFont="1" applyFill="1" applyBorder="1" applyAlignment="1" applyProtection="1">
      <alignment horizontal="center" vertical="center"/>
    </xf>
    <xf numFmtId="0" fontId="35" fillId="27" borderId="0" xfId="40" applyFont="1" applyFill="1" applyAlignment="1">
      <alignment horizontal="left" vertical="center"/>
    </xf>
    <xf numFmtId="0" fontId="41" fillId="0" borderId="10" xfId="49" applyFont="1" applyBorder="1" applyAlignment="1">
      <alignment horizontal="left" vertical="center" wrapText="1"/>
    </xf>
    <xf numFmtId="0" fontId="41" fillId="26" borderId="60" xfId="49" applyFont="1" applyFill="1" applyBorder="1" applyAlignment="1">
      <alignment horizontal="left" vertical="center" wrapText="1"/>
    </xf>
    <xf numFmtId="169" fontId="42" fillId="26" borderId="99" xfId="49" applyNumberFormat="1" applyFont="1" applyFill="1" applyBorder="1" applyAlignment="1">
      <alignment horizontal="center" vertical="center" wrapText="1"/>
    </xf>
    <xf numFmtId="169" fontId="42" fillId="26" borderId="90" xfId="49" applyNumberFormat="1" applyFont="1" applyFill="1" applyBorder="1" applyAlignment="1">
      <alignment horizontal="center" vertical="center" wrapText="1"/>
    </xf>
    <xf numFmtId="0" fontId="12" fillId="3" borderId="29" xfId="0" applyFont="1" applyFill="1" applyBorder="1" applyAlignment="1" applyProtection="1">
      <alignment horizontal="center" vertical="center" wrapText="1"/>
      <protection locked="0"/>
    </xf>
    <xf numFmtId="0" fontId="12" fillId="3" borderId="24" xfId="0" applyFont="1" applyFill="1" applyBorder="1" applyAlignment="1" applyProtection="1">
      <alignment horizontal="center" vertical="center" wrapText="1"/>
      <protection locked="0"/>
    </xf>
    <xf numFmtId="0" fontId="12" fillId="3" borderId="71" xfId="0" applyFont="1" applyFill="1" applyBorder="1" applyAlignment="1" applyProtection="1">
      <alignment horizontal="center" vertical="center" wrapText="1"/>
      <protection locked="0"/>
    </xf>
    <xf numFmtId="3" fontId="12" fillId="3" borderId="23" xfId="0" applyNumberFormat="1" applyFont="1" applyFill="1" applyBorder="1" applyAlignment="1" applyProtection="1">
      <alignment horizontal="center" vertical="center" wrapText="1"/>
      <protection locked="0"/>
    </xf>
    <xf numFmtId="0" fontId="12" fillId="3" borderId="52" xfId="0" applyFont="1" applyFill="1" applyBorder="1" applyAlignment="1" applyProtection="1">
      <alignment horizontal="center" vertical="center" wrapText="1"/>
      <protection locked="0"/>
    </xf>
    <xf numFmtId="0" fontId="12" fillId="3" borderId="75" xfId="0" applyFont="1" applyFill="1" applyBorder="1" applyAlignment="1" applyProtection="1">
      <alignment horizontal="center" vertical="center" wrapText="1"/>
      <protection locked="0"/>
    </xf>
    <xf numFmtId="0" fontId="12" fillId="3" borderId="101" xfId="0" applyFont="1" applyFill="1" applyBorder="1" applyAlignment="1" applyProtection="1">
      <alignment horizontal="center" vertical="center" wrapText="1"/>
      <protection locked="0"/>
    </xf>
    <xf numFmtId="10" fontId="12" fillId="3" borderId="17" xfId="0" applyNumberFormat="1" applyFont="1" applyFill="1" applyBorder="1" applyAlignment="1" applyProtection="1">
      <alignment horizontal="center" vertical="center" wrapText="1"/>
      <protection locked="0"/>
    </xf>
    <xf numFmtId="3" fontId="12" fillId="3" borderId="52" xfId="32" applyNumberFormat="1" applyFont="1" applyFill="1" applyBorder="1" applyAlignment="1" applyProtection="1">
      <alignment horizontal="center" vertical="center"/>
      <protection locked="0"/>
    </xf>
    <xf numFmtId="49" fontId="41" fillId="26" borderId="49" xfId="49" applyNumberFormat="1" applyFont="1" applyFill="1" applyBorder="1" applyAlignment="1">
      <alignment horizontal="left" vertical="center" wrapText="1"/>
    </xf>
    <xf numFmtId="172" fontId="41" fillId="0" borderId="72" xfId="0" applyNumberFormat="1" applyFont="1" applyBorder="1" applyAlignment="1">
      <alignment horizontal="center" vertical="center"/>
    </xf>
    <xf numFmtId="172" fontId="41" fillId="0" borderId="14" xfId="0" applyNumberFormat="1" applyFont="1" applyBorder="1" applyAlignment="1">
      <alignment horizontal="center" vertical="center"/>
    </xf>
    <xf numFmtId="172" fontId="41" fillId="0" borderId="32" xfId="0" applyNumberFormat="1" applyFont="1" applyBorder="1" applyAlignment="1">
      <alignment horizontal="center" vertical="center"/>
    </xf>
    <xf numFmtId="172" fontId="41" fillId="0" borderId="15" xfId="0" applyNumberFormat="1" applyFont="1" applyBorder="1" applyAlignment="1">
      <alignment horizontal="center" vertical="center"/>
    </xf>
    <xf numFmtId="4" fontId="40" fillId="24" borderId="7" xfId="0" applyNumberFormat="1" applyFont="1" applyFill="1" applyBorder="1" applyAlignment="1">
      <alignment horizontal="center" vertical="center"/>
    </xf>
    <xf numFmtId="3" fontId="12" fillId="3" borderId="17" xfId="32" applyNumberFormat="1" applyFont="1" applyFill="1" applyBorder="1" applyAlignment="1" applyProtection="1">
      <alignment horizontal="center" vertical="center"/>
      <protection locked="0"/>
    </xf>
    <xf numFmtId="3" fontId="12" fillId="3" borderId="21" xfId="32" applyNumberFormat="1" applyFont="1" applyFill="1" applyBorder="1" applyAlignment="1" applyProtection="1">
      <alignment horizontal="center" vertical="center"/>
      <protection locked="0"/>
    </xf>
    <xf numFmtId="3" fontId="12" fillId="3" borderId="7" xfId="32" applyNumberFormat="1" applyFont="1" applyFill="1" applyBorder="1" applyAlignment="1" applyProtection="1">
      <alignment horizontal="center" vertical="center"/>
      <protection locked="0"/>
    </xf>
    <xf numFmtId="3" fontId="12" fillId="3" borderId="53" xfId="32" applyNumberFormat="1" applyFont="1" applyFill="1" applyBorder="1" applyAlignment="1" applyProtection="1">
      <alignment horizontal="center" vertical="center"/>
      <protection locked="0"/>
    </xf>
    <xf numFmtId="3" fontId="12" fillId="3" borderId="32" xfId="32" applyNumberFormat="1" applyFont="1" applyFill="1" applyBorder="1" applyAlignment="1" applyProtection="1">
      <alignment horizontal="center" vertical="center"/>
      <protection locked="0"/>
    </xf>
    <xf numFmtId="176" fontId="41" fillId="3" borderId="23" xfId="32" applyNumberFormat="1" applyFont="1" applyFill="1" applyBorder="1" applyAlignment="1" applyProtection="1">
      <alignment horizontal="center" vertical="center"/>
      <protection locked="0"/>
    </xf>
    <xf numFmtId="176" fontId="41" fillId="3" borderId="17" xfId="32" applyNumberFormat="1" applyFont="1" applyFill="1" applyBorder="1" applyAlignment="1" applyProtection="1">
      <alignment horizontal="center" vertical="center"/>
      <protection locked="0"/>
    </xf>
    <xf numFmtId="3" fontId="40" fillId="31" borderId="60" xfId="32" applyNumberFormat="1" applyFont="1" applyFill="1" applyBorder="1" applyAlignment="1">
      <alignment horizontal="center" vertical="center"/>
    </xf>
    <xf numFmtId="3" fontId="41" fillId="3" borderId="52" xfId="32" applyNumberFormat="1" applyFont="1" applyFill="1" applyBorder="1" applyAlignment="1" applyProtection="1">
      <alignment horizontal="center" vertical="center"/>
      <protection locked="0"/>
    </xf>
    <xf numFmtId="3" fontId="41" fillId="3" borderId="7" xfId="32" applyNumberFormat="1" applyFont="1" applyFill="1" applyBorder="1" applyAlignment="1" applyProtection="1">
      <alignment horizontal="center" vertical="center"/>
      <protection locked="0"/>
    </xf>
    <xf numFmtId="3" fontId="40" fillId="31" borderId="1" xfId="32" applyNumberFormat="1" applyFont="1" applyFill="1" applyBorder="1" applyAlignment="1">
      <alignment horizontal="center" vertical="center"/>
    </xf>
    <xf numFmtId="3" fontId="41" fillId="3" borderId="58" xfId="32" applyNumberFormat="1" applyFont="1" applyFill="1" applyBorder="1" applyAlignment="1" applyProtection="1">
      <alignment horizontal="center" vertical="center"/>
      <protection locked="0"/>
    </xf>
    <xf numFmtId="3" fontId="41" fillId="29" borderId="56" xfId="49" applyNumberFormat="1" applyFont="1" applyFill="1" applyBorder="1" applyAlignment="1">
      <alignment horizontal="right" vertical="center"/>
    </xf>
    <xf numFmtId="3" fontId="41" fillId="29" borderId="77" xfId="49" applyNumberFormat="1" applyFont="1" applyFill="1" applyBorder="1" applyAlignment="1">
      <alignment horizontal="right" vertical="center"/>
    </xf>
    <xf numFmtId="3" fontId="41" fillId="29" borderId="57" xfId="49" applyNumberFormat="1" applyFont="1" applyFill="1" applyBorder="1" applyAlignment="1">
      <alignment horizontal="right" vertical="center"/>
    </xf>
    <xf numFmtId="3" fontId="42" fillId="3" borderId="7" xfId="32" applyNumberFormat="1" applyFont="1" applyFill="1" applyBorder="1" applyAlignment="1" applyProtection="1">
      <alignment horizontal="center" vertical="center"/>
      <protection locked="0"/>
    </xf>
    <xf numFmtId="3" fontId="42" fillId="3" borderId="53" xfId="32" applyNumberFormat="1" applyFont="1" applyFill="1" applyBorder="1" applyAlignment="1" applyProtection="1">
      <alignment horizontal="center" vertical="center"/>
      <protection locked="0"/>
    </xf>
    <xf numFmtId="3" fontId="42" fillId="3" borderId="63" xfId="32" applyNumberFormat="1" applyFont="1" applyFill="1" applyBorder="1" applyAlignment="1" applyProtection="1">
      <alignment horizontal="center" vertical="center"/>
      <protection locked="0"/>
    </xf>
    <xf numFmtId="3" fontId="42" fillId="3" borderId="55" xfId="32" applyNumberFormat="1" applyFont="1" applyFill="1" applyBorder="1" applyAlignment="1" applyProtection="1">
      <alignment horizontal="center" vertical="center"/>
      <protection locked="0"/>
    </xf>
    <xf numFmtId="3" fontId="40" fillId="31" borderId="8" xfId="32" applyNumberFormat="1" applyFont="1" applyFill="1" applyBorder="1" applyAlignment="1">
      <alignment vertical="center"/>
    </xf>
    <xf numFmtId="3" fontId="40" fillId="31" borderId="3" xfId="32" applyNumberFormat="1" applyFont="1" applyFill="1" applyBorder="1" applyAlignment="1">
      <alignment vertical="center"/>
    </xf>
    <xf numFmtId="0" fontId="41" fillId="27" borderId="49" xfId="32" applyFont="1" applyFill="1" applyBorder="1" applyAlignment="1">
      <alignment horizontal="center" vertical="center"/>
    </xf>
    <xf numFmtId="0" fontId="41" fillId="27" borderId="52" xfId="32" applyFont="1" applyFill="1" applyBorder="1" applyAlignment="1">
      <alignment horizontal="center" vertical="center"/>
    </xf>
    <xf numFmtId="0" fontId="41" fillId="27" borderId="54" xfId="32" applyFont="1" applyFill="1" applyBorder="1" applyAlignment="1">
      <alignment horizontal="center" vertical="center"/>
    </xf>
    <xf numFmtId="3" fontId="41" fillId="3" borderId="53" xfId="32" applyNumberFormat="1" applyFont="1" applyFill="1" applyBorder="1" applyAlignment="1" applyProtection="1">
      <alignment horizontal="center" vertical="center"/>
      <protection locked="0"/>
    </xf>
    <xf numFmtId="0" fontId="41" fillId="27" borderId="24" xfId="32" applyFont="1" applyFill="1" applyBorder="1" applyAlignment="1">
      <alignment horizontal="center" vertical="center"/>
    </xf>
    <xf numFmtId="3" fontId="41" fillId="3" borderId="54" xfId="32" applyNumberFormat="1" applyFont="1" applyFill="1" applyBorder="1" applyAlignment="1" applyProtection="1">
      <alignment horizontal="center" vertical="center"/>
      <protection locked="0"/>
    </xf>
    <xf numFmtId="3" fontId="41" fillId="3" borderId="49" xfId="32" applyNumberFormat="1" applyFont="1" applyFill="1" applyBorder="1" applyAlignment="1" applyProtection="1">
      <alignment horizontal="center" vertical="center"/>
      <protection locked="0"/>
    </xf>
    <xf numFmtId="3" fontId="41" fillId="3" borderId="31" xfId="32" applyNumberFormat="1" applyFont="1" applyFill="1" applyBorder="1" applyAlignment="1" applyProtection="1">
      <alignment horizontal="center" vertical="center"/>
      <protection locked="0"/>
    </xf>
    <xf numFmtId="3" fontId="41" fillId="3" borderId="50" xfId="32" applyNumberFormat="1" applyFont="1" applyFill="1" applyBorder="1" applyAlignment="1" applyProtection="1">
      <alignment horizontal="center" vertical="center"/>
      <protection locked="0"/>
    </xf>
    <xf numFmtId="3" fontId="42" fillId="3" borderId="75" xfId="32" applyNumberFormat="1" applyFont="1" applyFill="1" applyBorder="1" applyAlignment="1" applyProtection="1">
      <alignment horizontal="center" vertical="center"/>
      <protection locked="0"/>
    </xf>
    <xf numFmtId="3" fontId="42" fillId="3" borderId="73" xfId="32" applyNumberFormat="1" applyFont="1" applyFill="1" applyBorder="1" applyAlignment="1" applyProtection="1">
      <alignment horizontal="center" vertical="center"/>
      <protection locked="0"/>
    </xf>
    <xf numFmtId="3" fontId="42" fillId="3" borderId="76" xfId="32" applyNumberFormat="1" applyFont="1" applyFill="1" applyBorder="1" applyAlignment="1" applyProtection="1">
      <alignment horizontal="center" vertical="center"/>
      <protection locked="0"/>
    </xf>
    <xf numFmtId="3" fontId="42" fillId="3" borderId="52" xfId="32" applyNumberFormat="1" applyFont="1" applyFill="1" applyBorder="1" applyAlignment="1" applyProtection="1">
      <alignment horizontal="center" vertical="center"/>
      <protection locked="0"/>
    </xf>
    <xf numFmtId="0" fontId="93" fillId="27" borderId="0" xfId="49" applyFont="1" applyFill="1" applyAlignment="1">
      <alignment horizontal="left" vertical="center" wrapText="1"/>
    </xf>
    <xf numFmtId="0" fontId="0" fillId="27" borderId="0" xfId="0" applyFill="1" applyAlignment="1">
      <alignment horizontal="left" vertical="center" wrapText="1"/>
    </xf>
    <xf numFmtId="3" fontId="79" fillId="27" borderId="0" xfId="49" applyNumberFormat="1" applyFont="1" applyFill="1" applyAlignment="1">
      <alignment horizontal="center" vertical="center"/>
    </xf>
    <xf numFmtId="3" fontId="12" fillId="3" borderId="51" xfId="31" applyNumberFormat="1" applyFont="1" applyFill="1" applyBorder="1" applyAlignment="1" applyProtection="1">
      <alignment horizontal="center" vertical="center" wrapText="1"/>
      <protection locked="0"/>
    </xf>
    <xf numFmtId="3" fontId="12" fillId="3" borderId="72" xfId="31" applyNumberFormat="1" applyFont="1" applyFill="1" applyBorder="1" applyAlignment="1" applyProtection="1">
      <alignment horizontal="center" vertical="center" wrapText="1"/>
      <protection locked="0"/>
    </xf>
    <xf numFmtId="3" fontId="12" fillId="3" borderId="14" xfId="31" applyNumberFormat="1" applyFont="1" applyFill="1" applyBorder="1" applyAlignment="1" applyProtection="1">
      <alignment horizontal="center" vertical="center" wrapText="1"/>
      <protection locked="0"/>
    </xf>
    <xf numFmtId="3" fontId="12" fillId="3" borderId="17" xfId="31" applyNumberFormat="1" applyFont="1" applyFill="1" applyBorder="1" applyAlignment="1" applyProtection="1">
      <alignment horizontal="center" vertical="center" wrapText="1"/>
      <protection locked="0"/>
    </xf>
    <xf numFmtId="3" fontId="12" fillId="3" borderId="32" xfId="31" applyNumberFormat="1" applyFont="1" applyFill="1" applyBorder="1" applyAlignment="1" applyProtection="1">
      <alignment horizontal="center" vertical="center" wrapText="1"/>
      <protection locked="0"/>
    </xf>
    <xf numFmtId="3" fontId="12" fillId="3" borderId="15" xfId="31" applyNumberFormat="1" applyFont="1" applyFill="1" applyBorder="1" applyAlignment="1" applyProtection="1">
      <alignment horizontal="center" vertical="center" wrapText="1"/>
      <protection locked="0"/>
    </xf>
    <xf numFmtId="3" fontId="12" fillId="3" borderId="5" xfId="31" applyNumberFormat="1" applyFont="1" applyFill="1" applyBorder="1" applyAlignment="1" applyProtection="1">
      <alignment horizontal="center" vertical="center" wrapText="1"/>
      <protection locked="0"/>
    </xf>
    <xf numFmtId="3" fontId="12" fillId="3" borderId="44" xfId="31" applyNumberFormat="1" applyFont="1" applyFill="1" applyBorder="1" applyAlignment="1" applyProtection="1">
      <alignment horizontal="center" vertical="center" wrapText="1"/>
      <protection locked="0"/>
    </xf>
    <xf numFmtId="3" fontId="12" fillId="3" borderId="6" xfId="31" applyNumberFormat="1" applyFont="1" applyFill="1" applyBorder="1" applyAlignment="1" applyProtection="1">
      <alignment horizontal="center" vertical="center" wrapText="1"/>
      <protection locked="0"/>
    </xf>
    <xf numFmtId="3" fontId="12" fillId="3" borderId="23" xfId="31" applyNumberFormat="1" applyFont="1" applyFill="1" applyBorder="1" applyAlignment="1" applyProtection="1">
      <alignment horizontal="center" vertical="center" wrapText="1"/>
      <protection locked="0"/>
    </xf>
    <xf numFmtId="3" fontId="12" fillId="3" borderId="7" xfId="31" applyNumberFormat="1" applyFont="1" applyFill="1" applyBorder="1" applyAlignment="1" applyProtection="1">
      <alignment horizontal="center" vertical="center" wrapText="1"/>
      <protection locked="0"/>
    </xf>
    <xf numFmtId="3" fontId="12" fillId="3" borderId="53" xfId="31" applyNumberFormat="1" applyFont="1" applyFill="1" applyBorder="1" applyAlignment="1" applyProtection="1">
      <alignment horizontal="center" vertical="center" wrapText="1"/>
      <protection locked="0"/>
    </xf>
    <xf numFmtId="3" fontId="12" fillId="3" borderId="62" xfId="31" applyNumberFormat="1" applyFont="1" applyFill="1" applyBorder="1" applyAlignment="1" applyProtection="1">
      <alignment horizontal="center" vertical="center" wrapText="1"/>
      <protection locked="0"/>
    </xf>
    <xf numFmtId="3" fontId="12" fillId="3" borderId="2" xfId="31" applyNumberFormat="1" applyFont="1" applyFill="1" applyBorder="1" applyAlignment="1" applyProtection="1">
      <alignment horizontal="center" vertical="center" wrapText="1"/>
      <protection locked="0"/>
    </xf>
    <xf numFmtId="3" fontId="12" fillId="3" borderId="38" xfId="31" applyNumberFormat="1" applyFont="1" applyFill="1" applyBorder="1" applyAlignment="1" applyProtection="1">
      <alignment horizontal="center" vertical="center" wrapText="1"/>
      <protection locked="0"/>
    </xf>
    <xf numFmtId="3" fontId="12" fillId="3" borderId="8" xfId="31" applyNumberFormat="1" applyFont="1" applyFill="1" applyBorder="1" applyAlignment="1" applyProtection="1">
      <alignment horizontal="center" vertical="center" wrapText="1"/>
      <protection locked="0"/>
    </xf>
    <xf numFmtId="3" fontId="12" fillId="3" borderId="60" xfId="31" applyNumberFormat="1" applyFont="1" applyFill="1" applyBorder="1" applyAlignment="1" applyProtection="1">
      <alignment horizontal="center" vertical="center" wrapText="1"/>
      <protection locked="0"/>
    </xf>
    <xf numFmtId="3" fontId="12" fillId="3" borderId="9" xfId="31" applyNumberFormat="1" applyFont="1" applyFill="1" applyBorder="1" applyAlignment="1" applyProtection="1">
      <alignment horizontal="center" vertical="center" wrapText="1"/>
      <protection locked="0"/>
    </xf>
    <xf numFmtId="3" fontId="12" fillId="3" borderId="10" xfId="31" applyNumberFormat="1" applyFont="1" applyFill="1" applyBorder="1" applyAlignment="1" applyProtection="1">
      <alignment horizontal="center" vertical="center" wrapText="1"/>
      <protection locked="0"/>
    </xf>
    <xf numFmtId="3" fontId="12" fillId="3" borderId="3" xfId="31" applyNumberFormat="1" applyFont="1" applyFill="1" applyBorder="1" applyAlignment="1" applyProtection="1">
      <alignment horizontal="center" vertical="center" wrapText="1"/>
      <protection locked="0"/>
    </xf>
    <xf numFmtId="3" fontId="12" fillId="3" borderId="75" xfId="31" applyNumberFormat="1" applyFont="1" applyFill="1" applyBorder="1" applyAlignment="1" applyProtection="1">
      <alignment horizontal="center" vertical="center" wrapText="1"/>
      <protection locked="0"/>
    </xf>
    <xf numFmtId="3" fontId="12" fillId="3" borderId="73" xfId="31" applyNumberFormat="1" applyFont="1" applyFill="1" applyBorder="1" applyAlignment="1" applyProtection="1">
      <alignment horizontal="center" vertical="center" wrapText="1"/>
      <protection locked="0"/>
    </xf>
    <xf numFmtId="0" fontId="12" fillId="3" borderId="72" xfId="31" applyFont="1" applyFill="1" applyBorder="1" applyAlignment="1" applyProtection="1">
      <alignment horizontal="center" vertical="center" wrapText="1"/>
      <protection locked="0"/>
    </xf>
    <xf numFmtId="0" fontId="12" fillId="3" borderId="74" xfId="31" applyFont="1" applyFill="1" applyBorder="1" applyAlignment="1" applyProtection="1">
      <alignment horizontal="center" vertical="center" wrapText="1"/>
      <protection locked="0"/>
    </xf>
    <xf numFmtId="3" fontId="12" fillId="3" borderId="76" xfId="31" applyNumberFormat="1" applyFont="1" applyFill="1" applyBorder="1" applyAlignment="1" applyProtection="1">
      <alignment horizontal="center" vertical="center" wrapText="1"/>
      <protection locked="0"/>
    </xf>
    <xf numFmtId="0" fontId="12" fillId="3" borderId="75" xfId="31" applyFont="1" applyFill="1" applyBorder="1" applyAlignment="1" applyProtection="1">
      <alignment horizontal="center" vertical="center" wrapText="1"/>
      <protection locked="0"/>
    </xf>
    <xf numFmtId="0" fontId="12" fillId="3" borderId="73" xfId="31" applyFont="1" applyFill="1" applyBorder="1" applyAlignment="1" applyProtection="1">
      <alignment horizontal="center" vertical="center" wrapText="1"/>
      <protection locked="0"/>
    </xf>
    <xf numFmtId="3" fontId="12" fillId="3" borderId="74" xfId="31" applyNumberFormat="1" applyFont="1" applyFill="1" applyBorder="1" applyAlignment="1" applyProtection="1">
      <alignment horizontal="center" vertical="center" wrapText="1"/>
      <protection locked="0"/>
    </xf>
    <xf numFmtId="0" fontId="12" fillId="3" borderId="76" xfId="31" applyFont="1" applyFill="1" applyBorder="1" applyAlignment="1" applyProtection="1">
      <alignment horizontal="center" vertical="center" wrapText="1"/>
      <protection locked="0"/>
    </xf>
    <xf numFmtId="3" fontId="12" fillId="3" borderId="77" xfId="31" applyNumberFormat="1" applyFont="1" applyFill="1" applyBorder="1" applyAlignment="1" applyProtection="1">
      <alignment horizontal="center" vertical="center" wrapText="1"/>
      <protection locked="0"/>
    </xf>
    <xf numFmtId="0" fontId="12" fillId="3" borderId="32" xfId="31" applyFont="1" applyFill="1" applyBorder="1" applyAlignment="1" applyProtection="1">
      <alignment horizontal="center" vertical="center" wrapText="1"/>
      <protection locked="0"/>
    </xf>
    <xf numFmtId="0" fontId="12" fillId="3" borderId="62" xfId="31" applyFont="1" applyFill="1" applyBorder="1" applyAlignment="1" applyProtection="1">
      <alignment horizontal="center" vertical="center" wrapText="1"/>
      <protection locked="0"/>
    </xf>
    <xf numFmtId="3" fontId="12" fillId="3" borderId="19" xfId="31" applyNumberFormat="1" applyFont="1" applyFill="1" applyBorder="1" applyAlignment="1" applyProtection="1">
      <alignment horizontal="center" vertical="center" wrapText="1"/>
      <protection locked="0"/>
    </xf>
    <xf numFmtId="0" fontId="12" fillId="3" borderId="56" xfId="31" applyFont="1" applyFill="1" applyBorder="1" applyAlignment="1" applyProtection="1">
      <alignment horizontal="center" vertical="center" wrapText="1"/>
      <protection locked="0"/>
    </xf>
    <xf numFmtId="0" fontId="12" fillId="3" borderId="64" xfId="31" applyFont="1" applyFill="1" applyBorder="1" applyAlignment="1" applyProtection="1">
      <alignment horizontal="center" vertical="center" wrapText="1"/>
      <protection locked="0"/>
    </xf>
    <xf numFmtId="3" fontId="12" fillId="3" borderId="64" xfId="31" applyNumberFormat="1" applyFont="1" applyFill="1" applyBorder="1" applyAlignment="1" applyProtection="1">
      <alignment horizontal="center" vertical="center" wrapText="1"/>
      <protection locked="0"/>
    </xf>
    <xf numFmtId="0" fontId="12" fillId="3" borderId="57" xfId="31" applyFont="1" applyFill="1" applyBorder="1" applyAlignment="1" applyProtection="1">
      <alignment horizontal="center" vertical="center" wrapText="1"/>
      <protection locked="0"/>
    </xf>
    <xf numFmtId="0" fontId="12" fillId="3" borderId="37" xfId="31" applyFont="1" applyFill="1" applyBorder="1" applyAlignment="1" applyProtection="1">
      <alignment horizontal="center" vertical="center" wrapText="1"/>
      <protection locked="0"/>
    </xf>
    <xf numFmtId="3" fontId="12" fillId="3" borderId="57" xfId="31" applyNumberFormat="1" applyFont="1" applyFill="1" applyBorder="1" applyAlignment="1" applyProtection="1">
      <alignment horizontal="center" vertical="center" wrapText="1"/>
      <protection locked="0"/>
    </xf>
    <xf numFmtId="3" fontId="12" fillId="28" borderId="51" xfId="31" applyNumberFormat="1" applyFont="1" applyFill="1" applyBorder="1" applyAlignment="1" applyProtection="1">
      <alignment horizontal="center" vertical="center" wrapText="1"/>
      <protection locked="0"/>
    </xf>
    <xf numFmtId="0" fontId="12" fillId="28" borderId="73" xfId="31" applyFont="1" applyFill="1" applyBorder="1" applyAlignment="1" applyProtection="1">
      <alignment horizontal="center" vertical="center" wrapText="1"/>
      <protection locked="0"/>
    </xf>
    <xf numFmtId="3" fontId="12" fillId="28" borderId="73" xfId="31" applyNumberFormat="1" applyFont="1" applyFill="1" applyBorder="1" applyAlignment="1" applyProtection="1">
      <alignment horizontal="center" vertical="center" wrapText="1"/>
      <protection locked="0"/>
    </xf>
    <xf numFmtId="0" fontId="12" fillId="28" borderId="74" xfId="31" applyFont="1" applyFill="1" applyBorder="1" applyAlignment="1" applyProtection="1">
      <alignment horizontal="center" vertical="center" wrapText="1"/>
      <protection locked="0"/>
    </xf>
    <xf numFmtId="3" fontId="12" fillId="28" borderId="77" xfId="31" applyNumberFormat="1" applyFont="1" applyFill="1" applyBorder="1" applyAlignment="1" applyProtection="1">
      <alignment horizontal="center" vertical="center" wrapText="1"/>
      <protection locked="0"/>
    </xf>
    <xf numFmtId="0" fontId="12" fillId="28" borderId="57" xfId="31" applyFont="1" applyFill="1" applyBorder="1" applyAlignment="1" applyProtection="1">
      <alignment horizontal="center" vertical="center" wrapText="1"/>
      <protection locked="0"/>
    </xf>
    <xf numFmtId="0" fontId="12" fillId="0" borderId="51" xfId="2" applyFont="1" applyBorder="1" applyAlignment="1" applyProtection="1">
      <alignment horizontal="center" vertical="center" wrapText="1"/>
    </xf>
    <xf numFmtId="0" fontId="12" fillId="0" borderId="17" xfId="2" applyFont="1" applyBorder="1" applyAlignment="1" applyProtection="1">
      <alignment horizontal="center" vertical="center" wrapText="1"/>
    </xf>
    <xf numFmtId="0" fontId="12" fillId="0" borderId="21" xfId="2" applyFont="1" applyBorder="1" applyAlignment="1" applyProtection="1">
      <alignment horizontal="center" vertical="center" wrapText="1"/>
    </xf>
    <xf numFmtId="0" fontId="12" fillId="0" borderId="5" xfId="2" applyFont="1" applyBorder="1" applyAlignment="1" applyProtection="1">
      <alignment horizontal="center" vertical="center" wrapText="1"/>
    </xf>
    <xf numFmtId="3" fontId="21" fillId="0" borderId="51" xfId="0" applyNumberFormat="1" applyFont="1" applyBorder="1" applyAlignment="1">
      <alignment horizontal="center" vertical="center" wrapText="1"/>
    </xf>
    <xf numFmtId="3" fontId="21" fillId="0" borderId="73" xfId="0" applyNumberFormat="1" applyFont="1" applyBorder="1" applyAlignment="1">
      <alignment horizontal="center" vertical="center" wrapText="1"/>
    </xf>
    <xf numFmtId="3" fontId="21" fillId="0" borderId="76" xfId="0" applyNumberFormat="1" applyFont="1" applyBorder="1" applyAlignment="1">
      <alignment horizontal="center" vertical="center" wrapText="1"/>
    </xf>
    <xf numFmtId="3" fontId="21" fillId="0" borderId="17"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21" fillId="0" borderId="53" xfId="0" applyNumberFormat="1" applyFont="1" applyBorder="1" applyAlignment="1">
      <alignment horizontal="center" vertical="center" wrapText="1"/>
    </xf>
    <xf numFmtId="0" fontId="12" fillId="0" borderId="39" xfId="2" applyFont="1" applyBorder="1" applyAlignment="1" applyProtection="1">
      <alignment horizontal="center" vertical="center" wrapText="1"/>
    </xf>
    <xf numFmtId="0" fontId="21" fillId="0" borderId="17" xfId="2" applyFont="1" applyBorder="1" applyAlignment="1" applyProtection="1">
      <alignment horizontal="center" vertical="center" wrapText="1"/>
    </xf>
    <xf numFmtId="0" fontId="12" fillId="0" borderId="51" xfId="77" applyFont="1" applyFill="1" applyBorder="1" applyAlignment="1" applyProtection="1">
      <alignment horizontal="center" vertical="center" wrapText="1"/>
    </xf>
    <xf numFmtId="0" fontId="12" fillId="0" borderId="51" xfId="77" applyFont="1" applyBorder="1" applyAlignment="1" applyProtection="1">
      <alignment horizontal="center" vertical="center" wrapText="1"/>
    </xf>
    <xf numFmtId="0" fontId="12" fillId="0" borderId="17" xfId="77" applyFont="1" applyBorder="1" applyAlignment="1" applyProtection="1">
      <alignment horizontal="center" vertical="center" wrapText="1"/>
    </xf>
    <xf numFmtId="0" fontId="12" fillId="0" borderId="21" xfId="77" applyFont="1" applyBorder="1" applyAlignment="1" applyProtection="1">
      <alignment horizontal="center" vertical="center" wrapText="1"/>
    </xf>
    <xf numFmtId="0" fontId="12" fillId="0" borderId="5" xfId="77" applyFont="1" applyBorder="1" applyAlignment="1" applyProtection="1">
      <alignment horizontal="center" vertical="center" wrapText="1"/>
    </xf>
    <xf numFmtId="3" fontId="12" fillId="0" borderId="51" xfId="77" applyNumberFormat="1" applyFont="1" applyBorder="1" applyAlignment="1" applyProtection="1">
      <alignment horizontal="center" vertical="center" wrapText="1"/>
    </xf>
    <xf numFmtId="3" fontId="12" fillId="0" borderId="73" xfId="77" applyNumberFormat="1" applyFont="1" applyBorder="1" applyAlignment="1" applyProtection="1">
      <alignment horizontal="center" vertical="center" wrapText="1"/>
    </xf>
    <xf numFmtId="3" fontId="12" fillId="0" borderId="17" xfId="77" applyNumberFormat="1" applyFont="1" applyBorder="1" applyAlignment="1" applyProtection="1">
      <alignment horizontal="center" vertical="center" wrapText="1"/>
    </xf>
    <xf numFmtId="3" fontId="12" fillId="0" borderId="7" xfId="77" applyNumberFormat="1" applyFont="1" applyBorder="1" applyAlignment="1" applyProtection="1">
      <alignment horizontal="center" vertical="center" wrapText="1"/>
    </xf>
    <xf numFmtId="3" fontId="12" fillId="0" borderId="21" xfId="77" applyNumberFormat="1" applyFont="1" applyBorder="1" applyAlignment="1" applyProtection="1">
      <alignment horizontal="center" vertical="center" wrapText="1"/>
    </xf>
    <xf numFmtId="3" fontId="12" fillId="0" borderId="77" xfId="77" applyNumberFormat="1" applyFont="1" applyBorder="1" applyAlignment="1" applyProtection="1">
      <alignment horizontal="center" vertical="center" wrapText="1"/>
    </xf>
    <xf numFmtId="3" fontId="12" fillId="3" borderId="21" xfId="31" applyNumberFormat="1" applyFont="1" applyFill="1" applyBorder="1" applyAlignment="1" applyProtection="1">
      <alignment horizontal="center" vertical="center" wrapText="1"/>
      <protection locked="0"/>
    </xf>
    <xf numFmtId="0" fontId="65" fillId="23" borderId="2" xfId="57" applyFont="1" applyFill="1" applyBorder="1" applyAlignment="1">
      <alignment horizontal="center" vertical="center" wrapText="1"/>
    </xf>
    <xf numFmtId="0" fontId="65" fillId="23" borderId="65" xfId="57" applyFont="1" applyFill="1" applyBorder="1" applyAlignment="1">
      <alignment horizontal="center" vertical="center" wrapText="1"/>
    </xf>
    <xf numFmtId="0" fontId="65" fillId="23" borderId="9" xfId="57" applyFont="1" applyFill="1" applyBorder="1" applyAlignment="1">
      <alignment horizontal="center" vertical="center" wrapText="1"/>
    </xf>
    <xf numFmtId="0" fontId="65" fillId="23" borderId="10" xfId="57" applyFont="1" applyFill="1" applyBorder="1" applyAlignment="1">
      <alignment horizontal="center" vertical="center" wrapText="1"/>
    </xf>
    <xf numFmtId="49" fontId="65" fillId="31" borderId="17" xfId="57" applyNumberFormat="1" applyFont="1" applyFill="1" applyBorder="1" applyAlignment="1">
      <alignment horizontal="center" vertical="center" wrapText="1"/>
    </xf>
    <xf numFmtId="0" fontId="65" fillId="31" borderId="15" xfId="57" applyFont="1" applyFill="1" applyBorder="1" applyAlignment="1">
      <alignment horizontal="left" vertical="center" wrapText="1"/>
    </xf>
    <xf numFmtId="0" fontId="57" fillId="31" borderId="51" xfId="57" applyFont="1" applyFill="1" applyBorder="1" applyAlignment="1">
      <alignment horizontal="center" vertical="center" wrapText="1"/>
    </xf>
    <xf numFmtId="3" fontId="65" fillId="31" borderId="49" xfId="57" applyNumberFormat="1" applyFont="1" applyFill="1" applyBorder="1" applyAlignment="1">
      <alignment horizontal="center" vertical="center"/>
    </xf>
    <xf numFmtId="3" fontId="65" fillId="31" borderId="31" xfId="57" applyNumberFormat="1" applyFont="1" applyFill="1" applyBorder="1" applyAlignment="1">
      <alignment horizontal="center" vertical="center"/>
    </xf>
    <xf numFmtId="3" fontId="65" fillId="31" borderId="50" xfId="57" applyNumberFormat="1" applyFont="1" applyFill="1" applyBorder="1" applyAlignment="1">
      <alignment horizontal="center" vertical="center"/>
    </xf>
    <xf numFmtId="49" fontId="57" fillId="27" borderId="17" xfId="57" applyNumberFormat="1" applyFont="1" applyFill="1" applyBorder="1" applyAlignment="1">
      <alignment horizontal="center" vertical="center" wrapText="1"/>
    </xf>
    <xf numFmtId="0" fontId="57" fillId="20" borderId="17" xfId="57" applyFont="1" applyFill="1" applyBorder="1" applyAlignment="1">
      <alignment horizontal="center" vertical="center" wrapText="1"/>
    </xf>
    <xf numFmtId="3" fontId="57" fillId="3" borderId="52" xfId="57" applyNumberFormat="1" applyFont="1" applyFill="1" applyBorder="1" applyAlignment="1" applyProtection="1">
      <alignment horizontal="center" vertical="center"/>
      <protection locked="0"/>
    </xf>
    <xf numFmtId="3" fontId="57" fillId="3" borderId="7" xfId="57" applyNumberFormat="1" applyFont="1" applyFill="1" applyBorder="1" applyAlignment="1" applyProtection="1">
      <alignment horizontal="center" vertical="center"/>
      <protection locked="0"/>
    </xf>
    <xf numFmtId="3" fontId="57" fillId="3" borderId="53" xfId="57" applyNumberFormat="1" applyFont="1" applyFill="1" applyBorder="1" applyAlignment="1" applyProtection="1">
      <alignment horizontal="center" vertical="center"/>
      <protection locked="0"/>
    </xf>
    <xf numFmtId="49" fontId="57" fillId="27" borderId="39" xfId="57" applyNumberFormat="1" applyFont="1" applyFill="1" applyBorder="1" applyAlignment="1">
      <alignment horizontal="center" vertical="center" wrapText="1"/>
    </xf>
    <xf numFmtId="3" fontId="65" fillId="31" borderId="75" xfId="57" applyNumberFormat="1" applyFont="1" applyFill="1" applyBorder="1" applyAlignment="1">
      <alignment horizontal="center" vertical="center"/>
    </xf>
    <xf numFmtId="3" fontId="65" fillId="31" borderId="73" xfId="57" applyNumberFormat="1" applyFont="1" applyFill="1" applyBorder="1" applyAlignment="1">
      <alignment horizontal="center" vertical="center"/>
    </xf>
    <xf numFmtId="3" fontId="65" fillId="31" borderId="76" xfId="57" applyNumberFormat="1" applyFont="1" applyFill="1" applyBorder="1" applyAlignment="1">
      <alignment horizontal="center" vertical="center"/>
    </xf>
    <xf numFmtId="0" fontId="57" fillId="31" borderId="17" xfId="57" applyFont="1" applyFill="1" applyBorder="1" applyAlignment="1">
      <alignment horizontal="center" vertical="center" wrapText="1"/>
    </xf>
    <xf numFmtId="173" fontId="65" fillId="31" borderId="52" xfId="57" applyNumberFormat="1" applyFont="1" applyFill="1" applyBorder="1" applyAlignment="1">
      <alignment horizontal="center" vertical="center"/>
    </xf>
    <xf numFmtId="173" fontId="65" fillId="31" borderId="7" xfId="57" applyNumberFormat="1" applyFont="1" applyFill="1" applyBorder="1" applyAlignment="1">
      <alignment horizontal="center" vertical="center"/>
    </xf>
    <xf numFmtId="173" fontId="65" fillId="31" borderId="53" xfId="57" applyNumberFormat="1" applyFont="1" applyFill="1" applyBorder="1" applyAlignment="1">
      <alignment horizontal="center" vertical="center"/>
    </xf>
    <xf numFmtId="0" fontId="57" fillId="20" borderId="5" xfId="57" applyFont="1" applyFill="1" applyBorder="1" applyAlignment="1">
      <alignment horizontal="center" vertical="center" wrapText="1"/>
    </xf>
    <xf numFmtId="3" fontId="65" fillId="27" borderId="49" xfId="57" applyNumberFormat="1" applyFont="1" applyFill="1" applyBorder="1" applyAlignment="1">
      <alignment horizontal="center" vertical="center"/>
    </xf>
    <xf numFmtId="3" fontId="65" fillId="27" borderId="31" xfId="57" applyNumberFormat="1" applyFont="1" applyFill="1" applyBorder="1" applyAlignment="1">
      <alignment horizontal="center" vertical="center"/>
    </xf>
    <xf numFmtId="3" fontId="65" fillId="27" borderId="50" xfId="57" applyNumberFormat="1" applyFont="1" applyFill="1" applyBorder="1" applyAlignment="1">
      <alignment horizontal="center" vertical="center"/>
    </xf>
    <xf numFmtId="173" fontId="65" fillId="27" borderId="52" xfId="57" applyNumberFormat="1" applyFont="1" applyFill="1" applyBorder="1" applyAlignment="1">
      <alignment horizontal="center" vertical="center"/>
    </xf>
    <xf numFmtId="173" fontId="65" fillId="27" borderId="7" xfId="57" applyNumberFormat="1" applyFont="1" applyFill="1" applyBorder="1" applyAlignment="1">
      <alignment horizontal="center" vertical="center"/>
    </xf>
    <xf numFmtId="173" fontId="65" fillId="27" borderId="53" xfId="57" applyNumberFormat="1" applyFont="1" applyFill="1" applyBorder="1" applyAlignment="1">
      <alignment horizontal="center" vertical="center"/>
    </xf>
    <xf numFmtId="0" fontId="57" fillId="20" borderId="21" xfId="57" applyFont="1" applyFill="1" applyBorder="1" applyAlignment="1">
      <alignment horizontal="center" vertical="center" wrapText="1"/>
    </xf>
    <xf numFmtId="49" fontId="65" fillId="27" borderId="17" xfId="57" applyNumberFormat="1" applyFont="1" applyFill="1" applyBorder="1" applyAlignment="1">
      <alignment horizontal="center" vertical="center" wrapText="1"/>
    </xf>
    <xf numFmtId="0" fontId="65" fillId="20" borderId="15" xfId="57" applyFont="1" applyFill="1" applyBorder="1" applyAlignment="1">
      <alignment horizontal="left" vertical="center" wrapText="1"/>
    </xf>
    <xf numFmtId="49" fontId="65" fillId="27" borderId="21" xfId="57" applyNumberFormat="1" applyFont="1" applyFill="1" applyBorder="1" applyAlignment="1">
      <alignment horizontal="center" vertical="center" wrapText="1"/>
    </xf>
    <xf numFmtId="0" fontId="65" fillId="20" borderId="19" xfId="57" applyFont="1" applyFill="1" applyBorder="1" applyAlignment="1">
      <alignment horizontal="left" vertical="center" wrapText="1"/>
    </xf>
    <xf numFmtId="3" fontId="57" fillId="3" borderId="56" xfId="57" applyNumberFormat="1" applyFont="1" applyFill="1" applyBorder="1" applyAlignment="1" applyProtection="1">
      <alignment horizontal="center" vertical="center"/>
      <protection locked="0"/>
    </xf>
    <xf numFmtId="3" fontId="57" fillId="3" borderId="77" xfId="57" applyNumberFormat="1" applyFont="1" applyFill="1" applyBorder="1" applyAlignment="1" applyProtection="1">
      <alignment horizontal="center" vertical="center"/>
      <protection locked="0"/>
    </xf>
    <xf numFmtId="3" fontId="57" fillId="3" borderId="57" xfId="57" applyNumberFormat="1" applyFont="1" applyFill="1" applyBorder="1" applyAlignment="1" applyProtection="1">
      <alignment horizontal="center" vertical="center"/>
      <protection locked="0"/>
    </xf>
    <xf numFmtId="4" fontId="65" fillId="31" borderId="52" xfId="57" applyNumberFormat="1" applyFont="1" applyFill="1" applyBorder="1" applyAlignment="1">
      <alignment horizontal="center" vertical="center"/>
    </xf>
    <xf numFmtId="4" fontId="65" fillId="31" borderId="7" xfId="57" applyNumberFormat="1" applyFont="1" applyFill="1" applyBorder="1" applyAlignment="1">
      <alignment horizontal="center" vertical="center"/>
    </xf>
    <xf numFmtId="3" fontId="65" fillId="26" borderId="49" xfId="57" applyNumberFormat="1" applyFont="1" applyFill="1" applyBorder="1" applyAlignment="1">
      <alignment horizontal="center" vertical="center"/>
    </xf>
    <xf numFmtId="3" fontId="65" fillId="26" borderId="31" xfId="57" applyNumberFormat="1" applyFont="1" applyFill="1" applyBorder="1" applyAlignment="1">
      <alignment horizontal="center" vertical="center"/>
    </xf>
    <xf numFmtId="3" fontId="65" fillId="26" borderId="50" xfId="57" applyNumberFormat="1" applyFont="1" applyFill="1" applyBorder="1" applyAlignment="1">
      <alignment horizontal="center" vertical="center"/>
    </xf>
    <xf numFmtId="173" fontId="65" fillId="26" borderId="52" xfId="57" applyNumberFormat="1" applyFont="1" applyFill="1" applyBorder="1" applyAlignment="1">
      <alignment horizontal="center" vertical="center"/>
    </xf>
    <xf numFmtId="173" fontId="65" fillId="26" borderId="7" xfId="57" applyNumberFormat="1" applyFont="1" applyFill="1" applyBorder="1" applyAlignment="1">
      <alignment horizontal="center" vertical="center"/>
    </xf>
    <xf numFmtId="173" fontId="65" fillId="26" borderId="53" xfId="57" applyNumberFormat="1" applyFont="1" applyFill="1" applyBorder="1" applyAlignment="1">
      <alignment horizontal="center" vertical="center"/>
    </xf>
    <xf numFmtId="49" fontId="57" fillId="26" borderId="17" xfId="57" applyNumberFormat="1" applyFont="1" applyFill="1" applyBorder="1" applyAlignment="1">
      <alignment horizontal="center" vertical="center" wrapText="1"/>
    </xf>
    <xf numFmtId="0" fontId="57" fillId="26" borderId="15" xfId="57" applyFont="1" applyFill="1" applyBorder="1" applyAlignment="1">
      <alignment horizontal="left" vertical="center"/>
    </xf>
    <xf numFmtId="49" fontId="57" fillId="26" borderId="21" xfId="57" applyNumberFormat="1" applyFont="1" applyFill="1" applyBorder="1" applyAlignment="1">
      <alignment horizontal="center" vertical="center" wrapText="1"/>
    </xf>
    <xf numFmtId="0" fontId="57" fillId="26" borderId="19" xfId="57" applyFont="1" applyFill="1" applyBorder="1" applyAlignment="1">
      <alignment horizontal="left" vertical="center"/>
    </xf>
    <xf numFmtId="0" fontId="57" fillId="20" borderId="51" xfId="57" applyFont="1" applyFill="1" applyBorder="1" applyAlignment="1">
      <alignment horizontal="center" vertical="center" wrapText="1"/>
    </xf>
    <xf numFmtId="0" fontId="57" fillId="26" borderId="15" xfId="57" applyFont="1" applyFill="1" applyBorder="1" applyAlignment="1">
      <alignment horizontal="left" vertical="center" wrapText="1"/>
    </xf>
    <xf numFmtId="0" fontId="57" fillId="20" borderId="19" xfId="57" applyFont="1" applyFill="1" applyBorder="1" applyAlignment="1">
      <alignment horizontal="left" vertical="center"/>
    </xf>
    <xf numFmtId="0" fontId="57" fillId="31" borderId="5" xfId="57" applyFont="1" applyFill="1" applyBorder="1" applyAlignment="1">
      <alignment horizontal="center" vertical="center" wrapText="1"/>
    </xf>
    <xf numFmtId="0" fontId="57" fillId="31" borderId="21" xfId="57" applyFont="1" applyFill="1" applyBorder="1" applyAlignment="1">
      <alignment horizontal="center" vertical="center" wrapText="1"/>
    </xf>
    <xf numFmtId="3" fontId="98" fillId="31" borderId="56" xfId="58" applyNumberFormat="1" applyFont="1" applyFill="1" applyBorder="1" applyAlignment="1">
      <alignment horizontal="center" vertical="center"/>
    </xf>
    <xf numFmtId="3" fontId="98" fillId="31" borderId="77" xfId="58" applyNumberFormat="1" applyFont="1" applyFill="1" applyBorder="1" applyAlignment="1">
      <alignment horizontal="center" vertical="center"/>
    </xf>
    <xf numFmtId="3" fontId="98" fillId="31" borderId="57" xfId="58" applyNumberFormat="1" applyFont="1" applyFill="1" applyBorder="1" applyAlignment="1">
      <alignment horizontal="center" vertical="center"/>
    </xf>
    <xf numFmtId="3" fontId="12" fillId="0" borderId="76" xfId="77" applyNumberFormat="1" applyFont="1" applyBorder="1" applyAlignment="1" applyProtection="1">
      <alignment horizontal="center" vertical="center" wrapText="1"/>
    </xf>
    <xf numFmtId="3" fontId="12" fillId="0" borderId="53" xfId="77" applyNumberFormat="1" applyFont="1" applyBorder="1" applyAlignment="1" applyProtection="1">
      <alignment horizontal="center" vertical="center" wrapText="1"/>
    </xf>
    <xf numFmtId="3" fontId="12" fillId="0" borderId="57" xfId="77" applyNumberFormat="1" applyFont="1" applyBorder="1" applyAlignment="1" applyProtection="1">
      <alignment horizontal="center" vertical="center" wrapText="1"/>
    </xf>
    <xf numFmtId="4" fontId="65" fillId="31" borderId="24" xfId="57" applyNumberFormat="1" applyFont="1" applyFill="1" applyBorder="1" applyAlignment="1">
      <alignment horizontal="center" vertical="center"/>
    </xf>
    <xf numFmtId="4" fontId="65" fillId="31" borderId="62" xfId="57" applyNumberFormat="1" applyFont="1" applyFill="1" applyBorder="1" applyAlignment="1">
      <alignment horizontal="center" vertical="center"/>
    </xf>
    <xf numFmtId="4" fontId="65" fillId="31" borderId="23" xfId="57" applyNumberFormat="1" applyFont="1" applyFill="1" applyBorder="1" applyAlignment="1">
      <alignment horizontal="center" vertical="center"/>
    </xf>
    <xf numFmtId="4" fontId="65" fillId="31" borderId="53" xfId="57" applyNumberFormat="1" applyFont="1" applyFill="1" applyBorder="1" applyAlignment="1">
      <alignment horizontal="center" vertical="center"/>
    </xf>
    <xf numFmtId="49" fontId="65" fillId="0" borderId="29" xfId="80" applyNumberFormat="1" applyFont="1" applyBorder="1" applyAlignment="1">
      <alignment horizontal="center" vertical="center" wrapText="1"/>
    </xf>
    <xf numFmtId="0" fontId="57" fillId="20" borderId="17" xfId="80" applyFont="1" applyFill="1" applyBorder="1" applyAlignment="1">
      <alignment horizontal="center" vertical="center" wrapText="1"/>
    </xf>
    <xf numFmtId="3" fontId="57" fillId="3" borderId="32" xfId="80" applyNumberFormat="1" applyFont="1" applyFill="1" applyBorder="1" applyAlignment="1" applyProtection="1">
      <alignment horizontal="center" vertical="center"/>
      <protection locked="0"/>
    </xf>
    <xf numFmtId="3" fontId="57" fillId="3" borderId="7" xfId="80" applyNumberFormat="1" applyFont="1" applyFill="1" applyBorder="1" applyAlignment="1" applyProtection="1">
      <alignment horizontal="center" vertical="center"/>
      <protection locked="0"/>
    </xf>
    <xf numFmtId="3" fontId="57" fillId="3" borderId="53" xfId="80" applyNumberFormat="1" applyFont="1" applyFill="1" applyBorder="1" applyAlignment="1" applyProtection="1">
      <alignment horizontal="center" vertical="center"/>
      <protection locked="0"/>
    </xf>
    <xf numFmtId="0" fontId="41" fillId="0" borderId="26" xfId="0" applyFont="1" applyBorder="1" applyAlignment="1">
      <alignment horizontal="left" vertical="center" wrapText="1"/>
    </xf>
    <xf numFmtId="3" fontId="57" fillId="3" borderId="69" xfId="80" applyNumberFormat="1" applyFont="1" applyFill="1" applyBorder="1" applyAlignment="1" applyProtection="1">
      <alignment horizontal="center" vertical="center"/>
      <protection locked="0"/>
    </xf>
    <xf numFmtId="3" fontId="57" fillId="3" borderId="63" xfId="80" applyNumberFormat="1" applyFont="1" applyFill="1" applyBorder="1" applyAlignment="1" applyProtection="1">
      <alignment horizontal="center" vertical="center"/>
      <protection locked="0"/>
    </xf>
    <xf numFmtId="3" fontId="57" fillId="3" borderId="55" xfId="80" applyNumberFormat="1" applyFont="1" applyFill="1" applyBorder="1" applyAlignment="1" applyProtection="1">
      <alignment horizontal="center" vertical="center"/>
      <protection locked="0"/>
    </xf>
    <xf numFmtId="3" fontId="57" fillId="3" borderId="54" xfId="80" applyNumberFormat="1" applyFont="1" applyFill="1" applyBorder="1" applyAlignment="1" applyProtection="1">
      <alignment horizontal="center" vertical="center"/>
      <protection locked="0"/>
    </xf>
    <xf numFmtId="3" fontId="57" fillId="3" borderId="64" xfId="80" applyNumberFormat="1" applyFont="1" applyFill="1" applyBorder="1" applyAlignment="1" applyProtection="1">
      <alignment horizontal="center" vertical="center"/>
      <protection locked="0"/>
    </xf>
    <xf numFmtId="3" fontId="57" fillId="3" borderId="18" xfId="80" applyNumberFormat="1" applyFont="1" applyFill="1" applyBorder="1" applyAlignment="1" applyProtection="1">
      <alignment horizontal="center" vertical="center"/>
      <protection locked="0"/>
    </xf>
    <xf numFmtId="0" fontId="41" fillId="0" borderId="39" xfId="0" applyFont="1" applyBorder="1" applyAlignment="1">
      <alignment vertical="center" wrapText="1"/>
    </xf>
    <xf numFmtId="0" fontId="41" fillId="0" borderId="17" xfId="0" applyFont="1" applyBorder="1" applyAlignment="1">
      <alignment vertical="center" wrapText="1"/>
    </xf>
    <xf numFmtId="0" fontId="41" fillId="0" borderId="21" xfId="0" applyFont="1" applyBorder="1" applyAlignment="1">
      <alignment vertical="center" wrapText="1"/>
    </xf>
    <xf numFmtId="0" fontId="12" fillId="3" borderId="48"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center" vertical="center" wrapText="1"/>
      <protection locked="0"/>
    </xf>
    <xf numFmtId="0" fontId="12" fillId="3" borderId="56" xfId="0" applyFont="1" applyFill="1" applyBorder="1" applyAlignment="1" applyProtection="1">
      <alignment horizontal="center" vertical="center" wrapText="1"/>
      <protection locked="0"/>
    </xf>
    <xf numFmtId="0" fontId="12" fillId="3" borderId="36" xfId="0" applyFont="1" applyFill="1" applyBorder="1" applyAlignment="1" applyProtection="1">
      <alignment horizontal="center" vertical="center" wrapText="1"/>
      <protection locked="0"/>
    </xf>
    <xf numFmtId="0" fontId="12" fillId="3" borderId="22" xfId="0" applyFont="1" applyFill="1" applyBorder="1" applyAlignment="1" applyProtection="1">
      <alignment horizontal="center" vertical="center" wrapText="1"/>
      <protection locked="0"/>
    </xf>
    <xf numFmtId="0" fontId="12" fillId="3" borderId="58" xfId="0" applyFont="1" applyFill="1" applyBorder="1" applyAlignment="1" applyProtection="1">
      <alignment horizontal="center" vertical="center" wrapText="1"/>
      <protection locked="0"/>
    </xf>
    <xf numFmtId="4" fontId="57" fillId="3" borderId="7" xfId="80" applyNumberFormat="1" applyFont="1" applyFill="1" applyBorder="1" applyAlignment="1" applyProtection="1">
      <alignment horizontal="center" vertical="center"/>
      <protection locked="0"/>
    </xf>
    <xf numFmtId="4" fontId="57" fillId="3" borderId="53" xfId="80" applyNumberFormat="1" applyFont="1" applyFill="1" applyBorder="1" applyAlignment="1" applyProtection="1">
      <alignment horizontal="center" vertical="center"/>
      <protection locked="0"/>
    </xf>
    <xf numFmtId="4" fontId="57" fillId="3" borderId="32" xfId="80" applyNumberFormat="1" applyFont="1" applyFill="1" applyBorder="1" applyAlignment="1" applyProtection="1">
      <alignment horizontal="center" vertical="center"/>
      <protection locked="0"/>
    </xf>
    <xf numFmtId="49" fontId="43" fillId="3" borderId="24" xfId="31" applyNumberFormat="1" applyFont="1" applyFill="1" applyBorder="1" applyAlignment="1" applyProtection="1">
      <alignment horizontal="right" vertical="center"/>
      <protection locked="0"/>
    </xf>
    <xf numFmtId="0" fontId="69" fillId="20" borderId="17" xfId="32" applyFont="1" applyFill="1" applyBorder="1" applyAlignment="1">
      <alignment horizontal="right" vertical="center"/>
    </xf>
    <xf numFmtId="0" fontId="41" fillId="26" borderId="36" xfId="0" applyFont="1" applyFill="1" applyBorder="1" applyAlignment="1">
      <alignment vertical="center" wrapText="1"/>
    </xf>
    <xf numFmtId="0" fontId="40" fillId="24" borderId="55" xfId="32" applyFont="1" applyFill="1" applyBorder="1" applyAlignment="1">
      <alignment horizontal="left" vertical="center"/>
    </xf>
    <xf numFmtId="0" fontId="19" fillId="27" borderId="20" xfId="32" applyFont="1" applyFill="1" applyBorder="1" applyAlignment="1">
      <alignment horizontal="center" vertical="center" wrapText="1"/>
    </xf>
    <xf numFmtId="172" fontId="14" fillId="26" borderId="7" xfId="0" applyNumberFormat="1" applyFont="1" applyFill="1" applyBorder="1" applyAlignment="1">
      <alignment horizontal="center" vertical="center"/>
    </xf>
    <xf numFmtId="171" fontId="40" fillId="37" borderId="47" xfId="32" applyNumberFormat="1" applyFont="1" applyFill="1" applyBorder="1" applyAlignment="1">
      <alignment horizontal="center" vertical="center" wrapText="1"/>
    </xf>
    <xf numFmtId="171" fontId="40" fillId="37" borderId="71" xfId="32" applyNumberFormat="1" applyFont="1" applyFill="1" applyBorder="1" applyAlignment="1">
      <alignment horizontal="center" vertical="center" wrapText="1"/>
    </xf>
    <xf numFmtId="171" fontId="40" fillId="37" borderId="48" xfId="32" applyNumberFormat="1" applyFont="1" applyFill="1" applyBorder="1" applyAlignment="1">
      <alignment horizontal="center" vertical="center" wrapText="1"/>
    </xf>
    <xf numFmtId="171" fontId="40" fillId="31" borderId="51" xfId="32" applyNumberFormat="1" applyFont="1" applyFill="1" applyBorder="1" applyAlignment="1">
      <alignment horizontal="center" vertical="center" wrapText="1"/>
    </xf>
    <xf numFmtId="3" fontId="41" fillId="28" borderId="53" xfId="0" applyNumberFormat="1" applyFont="1" applyFill="1" applyBorder="1" applyAlignment="1" applyProtection="1">
      <alignment horizontal="center" vertical="center"/>
      <protection locked="0"/>
    </xf>
    <xf numFmtId="3" fontId="41" fillId="28" borderId="49" xfId="0" applyNumberFormat="1" applyFont="1" applyFill="1" applyBorder="1" applyAlignment="1" applyProtection="1">
      <alignment horizontal="center" vertical="center"/>
      <protection locked="0"/>
    </xf>
    <xf numFmtId="3" fontId="41" fillId="28" borderId="31" xfId="0" applyNumberFormat="1" applyFont="1" applyFill="1" applyBorder="1" applyAlignment="1" applyProtection="1">
      <alignment horizontal="center" vertical="center"/>
      <protection locked="0"/>
    </xf>
    <xf numFmtId="3" fontId="41" fillId="28" borderId="50" xfId="0" applyNumberFormat="1" applyFont="1" applyFill="1" applyBorder="1" applyAlignment="1" applyProtection="1">
      <alignment horizontal="center" vertical="center"/>
      <protection locked="0"/>
    </xf>
    <xf numFmtId="3" fontId="41" fillId="28" borderId="56" xfId="0" applyNumberFormat="1" applyFont="1" applyFill="1" applyBorder="1" applyAlignment="1" applyProtection="1">
      <alignment horizontal="center" vertical="center"/>
      <protection locked="0"/>
    </xf>
    <xf numFmtId="3" fontId="41" fillId="28" borderId="77" xfId="0" applyNumberFormat="1" applyFont="1" applyFill="1" applyBorder="1" applyAlignment="1" applyProtection="1">
      <alignment horizontal="center" vertical="center"/>
      <protection locked="0"/>
    </xf>
    <xf numFmtId="3" fontId="41" fillId="28" borderId="57" xfId="0" applyNumberFormat="1" applyFont="1" applyFill="1" applyBorder="1" applyAlignment="1" applyProtection="1">
      <alignment horizontal="center" vertical="center"/>
      <protection locked="0"/>
    </xf>
    <xf numFmtId="0" fontId="41" fillId="26" borderId="53" xfId="0" applyFont="1" applyFill="1" applyBorder="1" applyAlignment="1">
      <alignment vertical="center" wrapText="1"/>
    </xf>
    <xf numFmtId="0" fontId="42" fillId="27" borderId="25" xfId="0" applyFont="1" applyFill="1" applyBorder="1" applyAlignment="1">
      <alignment horizontal="center" vertical="center" wrapText="1"/>
    </xf>
    <xf numFmtId="0" fontId="42" fillId="0" borderId="50" xfId="0" applyFont="1" applyBorder="1" applyAlignment="1">
      <alignment horizontal="right" vertical="center" wrapText="1"/>
    </xf>
    <xf numFmtId="0" fontId="42" fillId="0" borderId="53" xfId="0" applyFont="1" applyBorder="1" applyAlignment="1">
      <alignment horizontal="right" vertical="center" wrapText="1"/>
    </xf>
    <xf numFmtId="0" fontId="42" fillId="0" borderId="57" xfId="0" applyFont="1" applyBorder="1" applyAlignment="1">
      <alignment horizontal="right" vertical="center"/>
    </xf>
    <xf numFmtId="3" fontId="120" fillId="28" borderId="52" xfId="0" applyNumberFormat="1" applyFont="1" applyFill="1" applyBorder="1" applyAlignment="1" applyProtection="1">
      <alignment horizontal="center" vertical="center"/>
      <protection locked="0"/>
    </xf>
    <xf numFmtId="3" fontId="120" fillId="28" borderId="7" xfId="0" applyNumberFormat="1" applyFont="1" applyFill="1" applyBorder="1" applyAlignment="1" applyProtection="1">
      <alignment horizontal="center" vertical="center"/>
      <protection locked="0"/>
    </xf>
    <xf numFmtId="3" fontId="120" fillId="28" borderId="53" xfId="0" applyNumberFormat="1" applyFont="1" applyFill="1" applyBorder="1" applyAlignment="1" applyProtection="1">
      <alignment horizontal="center" vertical="center"/>
      <protection locked="0"/>
    </xf>
    <xf numFmtId="168" fontId="41" fillId="3" borderId="7" xfId="0" applyNumberFormat="1" applyFont="1" applyFill="1" applyBorder="1" applyAlignment="1" applyProtection="1">
      <alignment horizontal="center" vertical="center"/>
      <protection locked="0"/>
    </xf>
    <xf numFmtId="168" fontId="41" fillId="3" borderId="7" xfId="0" applyNumberFormat="1" applyFont="1" applyFill="1" applyBorder="1" applyAlignment="1" applyProtection="1">
      <alignment horizontal="center" vertical="center" wrapText="1"/>
      <protection locked="0"/>
    </xf>
    <xf numFmtId="168" fontId="40" fillId="24" borderId="7" xfId="0" applyNumberFormat="1" applyFont="1" applyFill="1" applyBorder="1" applyAlignment="1">
      <alignment horizontal="center" vertical="center"/>
    </xf>
    <xf numFmtId="168" fontId="41" fillId="29" borderId="7" xfId="49" applyNumberFormat="1" applyFont="1" applyFill="1" applyBorder="1" applyAlignment="1">
      <alignment horizontal="right" vertical="center"/>
    </xf>
    <xf numFmtId="168" fontId="14" fillId="26" borderId="7" xfId="0" applyNumberFormat="1" applyFont="1" applyFill="1" applyBorder="1" applyAlignment="1">
      <alignment horizontal="center" vertical="center"/>
    </xf>
    <xf numFmtId="168" fontId="41" fillId="27" borderId="7" xfId="0" applyNumberFormat="1" applyFont="1" applyFill="1" applyBorder="1" applyAlignment="1">
      <alignment horizontal="center" vertical="center"/>
    </xf>
    <xf numFmtId="0" fontId="45" fillId="0" borderId="0" xfId="32" applyFont="1" applyAlignment="1">
      <alignment horizontal="center" vertical="center"/>
    </xf>
    <xf numFmtId="0" fontId="45" fillId="0" borderId="0" xfId="43" applyFont="1" applyAlignment="1">
      <alignment horizontal="center" vertical="center"/>
    </xf>
    <xf numFmtId="168" fontId="47" fillId="21" borderId="38" xfId="48" applyNumberFormat="1" applyFont="1" applyFill="1" applyBorder="1" applyAlignment="1" applyProtection="1">
      <alignment horizontal="center" vertical="center"/>
    </xf>
    <xf numFmtId="168" fontId="47" fillId="21" borderId="9" xfId="48" applyNumberFormat="1" applyFont="1" applyFill="1" applyBorder="1" applyAlignment="1" applyProtection="1">
      <alignment horizontal="center" vertical="center"/>
    </xf>
    <xf numFmtId="168" fontId="47" fillId="21" borderId="10" xfId="48" applyNumberFormat="1" applyFont="1" applyFill="1" applyBorder="1" applyAlignment="1" applyProtection="1">
      <alignment horizontal="center" vertical="center"/>
    </xf>
    <xf numFmtId="0" fontId="122" fillId="0" borderId="0" xfId="0" quotePrefix="1" applyFont="1" applyAlignment="1">
      <alignment horizontal="center" vertical="center"/>
    </xf>
    <xf numFmtId="0" fontId="122" fillId="0" borderId="0" xfId="0" applyFont="1" applyAlignment="1">
      <alignment vertical="center"/>
    </xf>
    <xf numFmtId="0" fontId="121" fillId="0" borderId="0" xfId="0" applyFont="1" applyAlignment="1">
      <alignment horizontal="center" vertical="center"/>
    </xf>
    <xf numFmtId="3" fontId="121" fillId="0" borderId="0" xfId="0" applyNumberFormat="1" applyFont="1" applyAlignment="1">
      <alignment horizontal="center" vertical="center"/>
    </xf>
    <xf numFmtId="171" fontId="47" fillId="37" borderId="79" xfId="0" applyNumberFormat="1" applyFont="1" applyFill="1" applyBorder="1" applyAlignment="1">
      <alignment horizontal="center" wrapText="1"/>
    </xf>
    <xf numFmtId="0" fontId="27" fillId="27" borderId="0" xfId="0" applyFont="1" applyFill="1" applyAlignment="1">
      <alignment vertical="center"/>
    </xf>
    <xf numFmtId="0" fontId="42" fillId="0" borderId="53" xfId="0" applyFont="1" applyBorder="1" applyAlignment="1">
      <alignment horizontal="right" vertical="center"/>
    </xf>
    <xf numFmtId="0" fontId="87" fillId="27" borderId="0" xfId="49" applyFont="1" applyFill="1" applyAlignment="1">
      <alignment vertical="center"/>
    </xf>
    <xf numFmtId="49" fontId="41" fillId="0" borderId="53" xfId="0" applyNumberFormat="1" applyFont="1" applyBorder="1" applyAlignment="1">
      <alignment vertical="center" wrapText="1"/>
    </xf>
    <xf numFmtId="49" fontId="41" fillId="0" borderId="57" xfId="0" applyNumberFormat="1" applyFont="1" applyBorder="1" applyAlignment="1">
      <alignment vertical="center" wrapText="1"/>
    </xf>
    <xf numFmtId="0" fontId="41" fillId="26" borderId="7" xfId="0" applyFont="1" applyFill="1" applyBorder="1" applyAlignment="1">
      <alignment horizontal="left" vertical="center" wrapText="1"/>
    </xf>
    <xf numFmtId="0" fontId="20" fillId="27" borderId="0" xfId="49" applyFont="1" applyFill="1" applyAlignment="1">
      <alignment horizontal="center" vertical="center"/>
    </xf>
    <xf numFmtId="0" fontId="68" fillId="26" borderId="0" xfId="0" applyFont="1" applyFill="1" applyAlignment="1">
      <alignment vertical="center"/>
    </xf>
    <xf numFmtId="0" fontId="37" fillId="26" borderId="0" xfId="0" applyFont="1" applyFill="1" applyAlignment="1">
      <alignment vertical="center"/>
    </xf>
    <xf numFmtId="0" fontId="12" fillId="0" borderId="0" xfId="31" applyFont="1" applyAlignment="1">
      <alignment vertical="center"/>
    </xf>
    <xf numFmtId="0" fontId="16" fillId="0" borderId="0" xfId="0" applyFont="1" applyAlignment="1">
      <alignment vertical="center"/>
    </xf>
    <xf numFmtId="49" fontId="12" fillId="0" borderId="0" xfId="31" applyNumberFormat="1" applyFont="1" applyAlignment="1">
      <alignment horizontal="center" vertical="center"/>
    </xf>
    <xf numFmtId="0" fontId="66" fillId="0" borderId="0" xfId="2" quotePrefix="1" applyFont="1" applyAlignment="1" applyProtection="1">
      <alignment vertical="center"/>
    </xf>
    <xf numFmtId="0" fontId="41" fillId="0" borderId="0" xfId="0" applyFont="1" applyAlignment="1">
      <alignment vertical="center"/>
    </xf>
    <xf numFmtId="0" fontId="43" fillId="0" borderId="0" xfId="31" applyFont="1" applyAlignment="1">
      <alignment horizontal="right" vertical="center"/>
    </xf>
    <xf numFmtId="0" fontId="41" fillId="0" borderId="0" xfId="31" applyFont="1" applyAlignment="1">
      <alignment horizontal="right" vertical="center"/>
    </xf>
    <xf numFmtId="0" fontId="12" fillId="0" borderId="0" xfId="31" applyFont="1" applyAlignment="1">
      <alignment horizontal="center" vertical="center"/>
    </xf>
    <xf numFmtId="0" fontId="21" fillId="0" borderId="0" xfId="31" applyFont="1" applyAlignment="1">
      <alignment horizontal="center" vertical="center"/>
    </xf>
    <xf numFmtId="174" fontId="41" fillId="0" borderId="73" xfId="28" applyNumberFormat="1" applyFont="1" applyFill="1" applyBorder="1">
      <alignment horizontal="right" vertical="center" wrapText="1"/>
    </xf>
    <xf numFmtId="174" fontId="41" fillId="0" borderId="76" xfId="28" applyNumberFormat="1" applyFont="1" applyFill="1" applyBorder="1">
      <alignment horizontal="right" vertical="center" wrapText="1"/>
    </xf>
    <xf numFmtId="174" fontId="41" fillId="0" borderId="73" xfId="37" applyNumberFormat="1" applyFont="1" applyBorder="1" applyProtection="1">
      <alignment horizontal="right" vertical="center" wrapText="1"/>
    </xf>
    <xf numFmtId="49" fontId="12" fillId="0" borderId="0" xfId="31" applyNumberFormat="1" applyFont="1" applyAlignment="1">
      <alignment vertical="center"/>
    </xf>
    <xf numFmtId="0" fontId="54" fillId="27" borderId="0" xfId="49" applyFont="1" applyFill="1" applyAlignment="1">
      <alignment vertical="center"/>
    </xf>
    <xf numFmtId="0" fontId="78" fillId="27" borderId="0" xfId="49" applyFill="1" applyAlignment="1">
      <alignment vertical="center"/>
    </xf>
    <xf numFmtId="0" fontId="15" fillId="27" borderId="0" xfId="49" applyFont="1" applyFill="1" applyAlignment="1">
      <alignment vertical="center" wrapText="1"/>
    </xf>
    <xf numFmtId="0" fontId="52" fillId="27" borderId="0" xfId="49" applyFont="1" applyFill="1" applyAlignment="1">
      <alignment horizontal="left" vertical="center"/>
    </xf>
    <xf numFmtId="0" fontId="80" fillId="27" borderId="0" xfId="2" quotePrefix="1" applyFont="1" applyFill="1" applyAlignment="1" applyProtection="1">
      <alignment vertical="center"/>
    </xf>
    <xf numFmtId="10" fontId="62" fillId="27" borderId="0" xfId="49" applyNumberFormat="1" applyFont="1" applyFill="1" applyAlignment="1">
      <alignment horizontal="center" vertical="center" wrapText="1"/>
    </xf>
    <xf numFmtId="170" fontId="19" fillId="27" borderId="0" xfId="49" applyNumberFormat="1" applyFont="1" applyFill="1" applyAlignment="1">
      <alignment horizontal="center" vertical="center" wrapText="1"/>
    </xf>
    <xf numFmtId="0" fontId="19" fillId="27" borderId="0" xfId="49" applyFont="1" applyFill="1" applyAlignment="1">
      <alignment horizontal="center" vertical="center" wrapText="1"/>
    </xf>
    <xf numFmtId="9" fontId="62" fillId="27" borderId="0" xfId="49" applyNumberFormat="1" applyFont="1" applyFill="1" applyAlignment="1">
      <alignment horizontal="center" vertical="center" wrapText="1"/>
    </xf>
    <xf numFmtId="1" fontId="40" fillId="27" borderId="0" xfId="49" applyNumberFormat="1" applyFont="1" applyFill="1" applyAlignment="1">
      <alignment horizontal="center" vertical="center" wrapText="1"/>
    </xf>
    <xf numFmtId="0" fontId="35" fillId="27" borderId="20" xfId="49" applyFont="1" applyFill="1" applyBorder="1" applyAlignment="1">
      <alignment vertical="center" wrapText="1"/>
    </xf>
    <xf numFmtId="171" fontId="40" fillId="37" borderId="2" xfId="49" applyNumberFormat="1" applyFont="1" applyFill="1" applyBorder="1" applyAlignment="1">
      <alignment horizontal="center" vertical="center" wrapText="1"/>
    </xf>
    <xf numFmtId="171" fontId="40" fillId="37" borderId="79" xfId="49" applyNumberFormat="1" applyFont="1" applyFill="1" applyBorder="1" applyAlignment="1">
      <alignment horizontal="center" vertical="center" wrapText="1"/>
    </xf>
    <xf numFmtId="171" fontId="40" fillId="37" borderId="77" xfId="49" applyNumberFormat="1" applyFont="1" applyFill="1" applyBorder="1" applyAlignment="1">
      <alignment horizontal="center" vertical="center" wrapText="1"/>
    </xf>
    <xf numFmtId="171" fontId="40" fillId="37" borderId="43" xfId="49" applyNumberFormat="1" applyFont="1" applyFill="1" applyBorder="1" applyAlignment="1">
      <alignment horizontal="center" vertical="center" wrapText="1"/>
    </xf>
    <xf numFmtId="0" fontId="37" fillId="27" borderId="0" xfId="49" applyFont="1" applyFill="1" applyAlignment="1">
      <alignment vertical="center"/>
    </xf>
    <xf numFmtId="0" fontId="27" fillId="27" borderId="0" xfId="49" applyFont="1" applyFill="1" applyAlignment="1">
      <alignment vertical="center"/>
    </xf>
    <xf numFmtId="0" fontId="78" fillId="26" borderId="0" xfId="49" applyFill="1" applyAlignment="1">
      <alignment vertical="center"/>
    </xf>
    <xf numFmtId="0" fontId="52" fillId="26" borderId="0" xfId="49" applyFont="1" applyFill="1" applyAlignment="1">
      <alignment vertical="center"/>
    </xf>
    <xf numFmtId="0" fontId="19" fillId="27" borderId="0" xfId="49" applyFont="1" applyFill="1" applyAlignment="1">
      <alignment horizontal="center" vertical="center"/>
    </xf>
    <xf numFmtId="0" fontId="12" fillId="27" borderId="0" xfId="49" applyFont="1" applyFill="1" applyAlignment="1">
      <alignment vertical="center"/>
    </xf>
    <xf numFmtId="0" fontId="21" fillId="27" borderId="0" xfId="0" applyFont="1" applyFill="1" applyAlignment="1">
      <alignment horizontal="right" vertical="center"/>
    </xf>
    <xf numFmtId="49" fontId="12" fillId="27" borderId="0" xfId="0" applyNumberFormat="1" applyFont="1" applyFill="1" applyAlignment="1">
      <alignment horizontal="right" vertical="center"/>
    </xf>
    <xf numFmtId="0" fontId="12" fillId="27" borderId="0" xfId="31" applyFont="1" applyFill="1" applyAlignment="1">
      <alignment vertical="center"/>
    </xf>
    <xf numFmtId="0" fontId="36" fillId="27" borderId="0" xfId="0" applyFont="1" applyFill="1" applyAlignment="1">
      <alignment horizontal="center" vertical="center"/>
    </xf>
    <xf numFmtId="49" fontId="52" fillId="27" borderId="0" xfId="49" applyNumberFormat="1" applyFont="1" applyFill="1" applyAlignment="1">
      <alignment horizontal="center" vertical="center"/>
    </xf>
    <xf numFmtId="0" fontId="21" fillId="27" borderId="0" xfId="49" applyFont="1" applyFill="1" applyAlignment="1">
      <alignment vertical="center"/>
    </xf>
    <xf numFmtId="49" fontId="21" fillId="27" borderId="0" xfId="0" applyNumberFormat="1" applyFont="1" applyFill="1" applyAlignment="1">
      <alignment horizontal="right" vertical="center"/>
    </xf>
    <xf numFmtId="0" fontId="52" fillId="27" borderId="0" xfId="49" applyFont="1" applyFill="1" applyAlignment="1">
      <alignment horizontal="center" vertical="center" wrapText="1"/>
    </xf>
    <xf numFmtId="0" fontId="35" fillId="27" borderId="0" xfId="49" applyFont="1" applyFill="1" applyAlignment="1">
      <alignment horizontal="left" vertical="center"/>
    </xf>
    <xf numFmtId="0" fontId="62" fillId="27" borderId="0" xfId="49" applyFont="1" applyFill="1" applyAlignment="1">
      <alignment vertical="center"/>
    </xf>
    <xf numFmtId="0" fontId="62" fillId="27" borderId="0" xfId="49" applyFont="1" applyFill="1" applyAlignment="1">
      <alignment horizontal="center" vertical="center"/>
    </xf>
    <xf numFmtId="0" fontId="52" fillId="27" borderId="0" xfId="49" applyFont="1" applyFill="1" applyAlignment="1">
      <alignment horizontal="left" vertical="center" wrapText="1"/>
    </xf>
    <xf numFmtId="171" fontId="40" fillId="37" borderId="78" xfId="49" applyNumberFormat="1" applyFont="1" applyFill="1" applyBorder="1" applyAlignment="1">
      <alignment horizontal="center" vertical="center" wrapText="1"/>
    </xf>
    <xf numFmtId="171" fontId="40" fillId="37" borderId="28" xfId="49" applyNumberFormat="1" applyFont="1" applyFill="1" applyBorder="1" applyAlignment="1">
      <alignment horizontal="center" vertical="center" wrapText="1"/>
    </xf>
    <xf numFmtId="171" fontId="40" fillId="37" borderId="20" xfId="49" applyNumberFormat="1" applyFont="1" applyFill="1" applyBorder="1" applyAlignment="1">
      <alignment horizontal="center" vertical="center" wrapText="1"/>
    </xf>
    <xf numFmtId="171" fontId="40" fillId="37" borderId="56" xfId="49" applyNumberFormat="1" applyFont="1" applyFill="1" applyBorder="1" applyAlignment="1">
      <alignment horizontal="center" vertical="center"/>
    </xf>
    <xf numFmtId="171" fontId="40" fillId="37" borderId="77" xfId="49" applyNumberFormat="1" applyFont="1" applyFill="1" applyBorder="1" applyAlignment="1">
      <alignment horizontal="center" vertical="center"/>
    </xf>
    <xf numFmtId="171" fontId="40" fillId="37" borderId="57" xfId="49" applyNumberFormat="1" applyFont="1" applyFill="1" applyBorder="1" applyAlignment="1">
      <alignment horizontal="center" vertical="center"/>
    </xf>
    <xf numFmtId="171" fontId="40" fillId="37" borderId="79" xfId="49" applyNumberFormat="1" applyFont="1" applyFill="1" applyBorder="1" applyAlignment="1">
      <alignment horizontal="center" vertical="center"/>
    </xf>
    <xf numFmtId="0" fontId="41" fillId="27" borderId="29" xfId="49" applyFont="1" applyFill="1" applyBorder="1" applyAlignment="1">
      <alignment vertical="center" wrapText="1"/>
    </xf>
    <xf numFmtId="0" fontId="41" fillId="27" borderId="24" xfId="49" applyFont="1" applyFill="1" applyBorder="1" applyAlignment="1">
      <alignment vertical="center" wrapText="1"/>
    </xf>
    <xf numFmtId="0" fontId="41" fillId="27" borderId="30" xfId="49" applyFont="1" applyFill="1" applyBorder="1" applyAlignment="1">
      <alignment vertical="center" wrapText="1"/>
    </xf>
    <xf numFmtId="9" fontId="41" fillId="33" borderId="53" xfId="1" applyFont="1" applyFill="1" applyBorder="1" applyAlignment="1" applyProtection="1">
      <alignment horizontal="center" vertical="center" wrapText="1"/>
    </xf>
    <xf numFmtId="175" fontId="52" fillId="27" borderId="0" xfId="49" applyNumberFormat="1" applyFont="1" applyFill="1" applyAlignment="1">
      <alignment horizontal="center" vertical="center"/>
    </xf>
    <xf numFmtId="175" fontId="52" fillId="27" borderId="0" xfId="49" applyNumberFormat="1" applyFont="1" applyFill="1" applyAlignment="1">
      <alignment horizontal="center" vertical="center" wrapText="1"/>
    </xf>
    <xf numFmtId="175" fontId="19" fillId="27" borderId="0" xfId="49" applyNumberFormat="1" applyFont="1" applyFill="1" applyAlignment="1">
      <alignment horizontal="center" vertical="center" wrapText="1"/>
    </xf>
    <xf numFmtId="175" fontId="15" fillId="27" borderId="0" xfId="49" applyNumberFormat="1" applyFont="1" applyFill="1" applyAlignment="1">
      <alignment vertical="center" wrapText="1"/>
    </xf>
    <xf numFmtId="175" fontId="40" fillId="27" borderId="0" xfId="49" applyNumberFormat="1" applyFont="1" applyFill="1" applyAlignment="1">
      <alignment horizontal="center" vertical="center" wrapText="1"/>
    </xf>
    <xf numFmtId="49" fontId="41" fillId="0" borderId="49" xfId="32" applyNumberFormat="1" applyFont="1" applyBorder="1" applyAlignment="1">
      <alignment horizontal="center" vertical="center" wrapText="1"/>
    </xf>
    <xf numFmtId="49" fontId="41" fillId="0" borderId="50" xfId="0" applyNumberFormat="1" applyFont="1" applyBorder="1" applyAlignment="1">
      <alignment vertical="center" wrapText="1"/>
    </xf>
    <xf numFmtId="0" fontId="27" fillId="0" borderId="0" xfId="0" applyFont="1" applyAlignment="1">
      <alignment vertical="center"/>
    </xf>
    <xf numFmtId="0" fontId="40" fillId="31" borderId="76" xfId="32" applyFont="1" applyFill="1" applyBorder="1" applyAlignment="1">
      <alignment vertical="center" wrapText="1"/>
    </xf>
    <xf numFmtId="16" fontId="41" fillId="26" borderId="24" xfId="32" applyNumberFormat="1" applyFont="1" applyFill="1" applyBorder="1" applyAlignment="1">
      <alignment horizontal="center" vertical="center"/>
    </xf>
    <xf numFmtId="0" fontId="42" fillId="27" borderId="29" xfId="0" applyFont="1" applyFill="1" applyBorder="1" applyAlignment="1">
      <alignment horizontal="center" vertical="center" wrapText="1"/>
    </xf>
    <xf numFmtId="0" fontId="42" fillId="0" borderId="76" xfId="0" applyFont="1" applyBorder="1" applyAlignment="1">
      <alignment horizontal="right" vertical="center" wrapText="1"/>
    </xf>
    <xf numFmtId="0" fontId="12" fillId="3" borderId="34" xfId="88" applyFont="1" applyFill="1" applyBorder="1" applyAlignment="1" applyProtection="1">
      <alignment horizontal="center" vertical="center" wrapText="1"/>
      <protection locked="0"/>
    </xf>
    <xf numFmtId="0" fontId="12" fillId="3" borderId="21" xfId="88" applyFont="1" applyFill="1" applyBorder="1" applyAlignment="1" applyProtection="1">
      <alignment horizontal="center" vertical="center" wrapText="1"/>
      <protection locked="0"/>
    </xf>
    <xf numFmtId="0" fontId="12" fillId="3" borderId="17" xfId="88" applyFont="1" applyFill="1" applyBorder="1" applyAlignment="1" applyProtection="1">
      <alignment horizontal="center" vertical="center" wrapText="1"/>
      <protection locked="0"/>
    </xf>
    <xf numFmtId="0" fontId="12" fillId="3" borderId="51" xfId="88" applyFont="1" applyFill="1" applyBorder="1" applyAlignment="1" applyProtection="1">
      <alignment horizontal="center" vertical="center" wrapText="1"/>
      <protection locked="0"/>
    </xf>
    <xf numFmtId="3" fontId="12" fillId="3" borderId="53" xfId="88" applyNumberFormat="1" applyFont="1" applyFill="1" applyBorder="1" applyAlignment="1" applyProtection="1">
      <alignment horizontal="center" vertical="center" wrapText="1"/>
      <protection locked="0"/>
    </xf>
    <xf numFmtId="3" fontId="12" fillId="3" borderId="7" xfId="88" applyNumberFormat="1" applyFont="1" applyFill="1" applyBorder="1" applyAlignment="1" applyProtection="1">
      <alignment horizontal="center" vertical="center" wrapText="1"/>
      <protection locked="0"/>
    </xf>
    <xf numFmtId="0" fontId="12" fillId="3" borderId="5" xfId="88" applyFont="1" applyFill="1" applyBorder="1" applyAlignment="1" applyProtection="1">
      <alignment horizontal="center" vertical="center" wrapText="1"/>
      <protection locked="0"/>
    </xf>
    <xf numFmtId="3" fontId="12" fillId="3" borderId="76" xfId="88" applyNumberFormat="1" applyFont="1" applyFill="1" applyBorder="1" applyAlignment="1" applyProtection="1">
      <alignment horizontal="center" vertical="center" wrapText="1"/>
      <protection locked="0"/>
    </xf>
    <xf numFmtId="3" fontId="12" fillId="3" borderId="73" xfId="88" applyNumberFormat="1" applyFont="1" applyFill="1" applyBorder="1" applyAlignment="1" applyProtection="1">
      <alignment horizontal="center" vertical="center" wrapText="1"/>
      <protection locked="0"/>
    </xf>
    <xf numFmtId="3" fontId="12" fillId="3" borderId="32" xfId="88" applyNumberFormat="1" applyFont="1" applyFill="1" applyBorder="1" applyAlignment="1" applyProtection="1">
      <alignment horizontal="center" vertical="center" wrapText="1"/>
      <protection locked="0"/>
    </xf>
    <xf numFmtId="3" fontId="12" fillId="3" borderId="52" xfId="88" applyNumberFormat="1" applyFont="1" applyFill="1" applyBorder="1" applyAlignment="1" applyProtection="1">
      <alignment horizontal="center" vertical="center" wrapText="1"/>
      <protection locked="0"/>
    </xf>
    <xf numFmtId="3" fontId="12" fillId="28" borderId="7" xfId="88" applyNumberFormat="1" applyFont="1" applyFill="1" applyBorder="1" applyAlignment="1" applyProtection="1">
      <alignment horizontal="center" vertical="center" wrapText="1"/>
      <protection locked="0"/>
    </xf>
    <xf numFmtId="3" fontId="12" fillId="3" borderId="15" xfId="88" applyNumberFormat="1" applyFont="1" applyFill="1" applyBorder="1" applyAlignment="1" applyProtection="1">
      <alignment horizontal="center" vertical="center" wrapText="1"/>
      <protection locked="0"/>
    </xf>
    <xf numFmtId="3" fontId="12" fillId="28" borderId="73" xfId="88" applyNumberFormat="1" applyFont="1" applyFill="1" applyBorder="1" applyAlignment="1" applyProtection="1">
      <alignment horizontal="center" vertical="center" wrapText="1"/>
      <protection locked="0"/>
    </xf>
    <xf numFmtId="3" fontId="12" fillId="28" borderId="74" xfId="88" applyNumberFormat="1" applyFont="1" applyFill="1" applyBorder="1" applyAlignment="1" applyProtection="1">
      <alignment horizontal="center" vertical="center" wrapText="1"/>
      <protection locked="0"/>
    </xf>
    <xf numFmtId="0" fontId="20" fillId="20" borderId="29" xfId="0" applyFont="1" applyFill="1" applyBorder="1" applyAlignment="1">
      <alignment horizontal="right" vertical="center"/>
    </xf>
    <xf numFmtId="0" fontId="20" fillId="20" borderId="24" xfId="0" applyFont="1" applyFill="1" applyBorder="1" applyAlignment="1">
      <alignment horizontal="right" vertical="center"/>
    </xf>
    <xf numFmtId="0" fontId="65" fillId="31" borderId="15" xfId="52" applyFont="1" applyFill="1" applyBorder="1" applyAlignment="1">
      <alignment horizontal="left" vertical="center" wrapText="1"/>
    </xf>
    <xf numFmtId="0" fontId="57" fillId="20" borderId="15" xfId="52" applyFont="1" applyFill="1" applyBorder="1" applyAlignment="1">
      <alignment horizontal="left" vertical="center"/>
    </xf>
    <xf numFmtId="49" fontId="57" fillId="27" borderId="39" xfId="52" applyNumberFormat="1" applyFont="1" applyFill="1" applyBorder="1" applyAlignment="1">
      <alignment horizontal="center" vertical="center" wrapText="1"/>
    </xf>
    <xf numFmtId="0" fontId="57" fillId="20" borderId="39" xfId="52" applyFont="1" applyFill="1" applyBorder="1" applyAlignment="1">
      <alignment horizontal="center" vertical="center" wrapText="1"/>
    </xf>
    <xf numFmtId="49" fontId="62" fillId="27" borderId="0" xfId="40" applyNumberFormat="1" applyFont="1" applyFill="1" applyAlignment="1">
      <alignment horizontal="center" vertical="center" wrapText="1"/>
    </xf>
    <xf numFmtId="0" fontId="57" fillId="20" borderId="30" xfId="80" applyFont="1" applyFill="1" applyBorder="1" applyAlignment="1">
      <alignment horizontal="center" vertical="center" wrapText="1"/>
    </xf>
    <xf numFmtId="0" fontId="82" fillId="44" borderId="2" xfId="52" applyFont="1" applyFill="1" applyBorder="1" applyAlignment="1">
      <alignment horizontal="center" vertical="center" wrapText="1"/>
    </xf>
    <xf numFmtId="0" fontId="20" fillId="27" borderId="20" xfId="32" applyFont="1" applyFill="1" applyBorder="1" applyAlignment="1">
      <alignment horizontal="center" vertical="center" wrapText="1"/>
    </xf>
    <xf numFmtId="3" fontId="12" fillId="3" borderId="52" xfId="0" applyNumberFormat="1" applyFont="1" applyFill="1" applyBorder="1" applyAlignment="1" applyProtection="1">
      <alignment horizontal="center" vertical="center" wrapText="1"/>
      <protection locked="0"/>
    </xf>
    <xf numFmtId="0" fontId="57" fillId="31" borderId="39" xfId="57" applyFont="1" applyFill="1" applyBorder="1" applyAlignment="1">
      <alignment horizontal="center" vertical="center" wrapText="1"/>
    </xf>
    <xf numFmtId="173" fontId="65" fillId="31" borderId="54" xfId="57" applyNumberFormat="1" applyFont="1" applyFill="1" applyBorder="1" applyAlignment="1">
      <alignment horizontal="center" vertical="center"/>
    </xf>
    <xf numFmtId="3" fontId="65" fillId="26" borderId="75" xfId="57" applyNumberFormat="1" applyFont="1" applyFill="1" applyBorder="1" applyAlignment="1">
      <alignment horizontal="center" vertical="center"/>
    </xf>
    <xf numFmtId="173" fontId="65" fillId="31" borderId="63" xfId="57" applyNumberFormat="1" applyFont="1" applyFill="1" applyBorder="1" applyAlignment="1">
      <alignment horizontal="center" vertical="center"/>
    </xf>
    <xf numFmtId="3" fontId="65" fillId="26" borderId="73" xfId="57" applyNumberFormat="1" applyFont="1" applyFill="1" applyBorder="1" applyAlignment="1">
      <alignment horizontal="center" vertical="center"/>
    </xf>
    <xf numFmtId="173" fontId="65" fillId="31" borderId="77" xfId="57" applyNumberFormat="1" applyFont="1" applyFill="1" applyBorder="1" applyAlignment="1">
      <alignment horizontal="center" vertical="center"/>
    </xf>
    <xf numFmtId="173" fontId="65" fillId="31" borderId="55" xfId="57" applyNumberFormat="1" applyFont="1" applyFill="1" applyBorder="1" applyAlignment="1">
      <alignment horizontal="center" vertical="center"/>
    </xf>
    <xf numFmtId="3" fontId="65" fillId="26" borderId="76" xfId="57" applyNumberFormat="1" applyFont="1" applyFill="1" applyBorder="1" applyAlignment="1">
      <alignment horizontal="center" vertical="center"/>
    </xf>
    <xf numFmtId="0" fontId="69" fillId="20" borderId="1" xfId="32" applyFont="1" applyFill="1" applyBorder="1" applyAlignment="1">
      <alignment horizontal="right" vertical="center"/>
    </xf>
    <xf numFmtId="0" fontId="57" fillId="20" borderId="39" xfId="80" applyFont="1" applyFill="1" applyBorder="1" applyAlignment="1">
      <alignment horizontal="center" vertical="center" wrapText="1"/>
    </xf>
    <xf numFmtId="0" fontId="57" fillId="20" borderId="21" xfId="80" applyFont="1" applyFill="1" applyBorder="1" applyAlignment="1">
      <alignment horizontal="center" vertical="center" wrapText="1"/>
    </xf>
    <xf numFmtId="0" fontId="100" fillId="0" borderId="17" xfId="2" applyFont="1" applyBorder="1" applyAlignment="1" applyProtection="1">
      <alignment horizontal="center" vertical="center" wrapText="1"/>
    </xf>
    <xf numFmtId="0" fontId="100" fillId="0" borderId="21" xfId="2" applyFont="1" applyBorder="1" applyAlignment="1" applyProtection="1">
      <alignment horizontal="center" vertical="center" wrapText="1"/>
    </xf>
    <xf numFmtId="0" fontId="16" fillId="27" borderId="0" xfId="32" applyFont="1" applyFill="1" applyAlignment="1">
      <alignment vertical="center" wrapText="1"/>
    </xf>
    <xf numFmtId="0" fontId="34" fillId="27" borderId="0" xfId="32" applyFont="1" applyFill="1" applyAlignment="1">
      <alignment vertical="center" wrapText="1"/>
    </xf>
    <xf numFmtId="171" fontId="41" fillId="31" borderId="51" xfId="32" applyNumberFormat="1" applyFont="1" applyFill="1" applyBorder="1" applyAlignment="1">
      <alignment horizontal="center" vertical="center" wrapText="1"/>
    </xf>
    <xf numFmtId="0" fontId="78" fillId="27" borderId="0" xfId="0" applyFont="1" applyFill="1" applyAlignment="1">
      <alignment vertical="center"/>
    </xf>
    <xf numFmtId="0" fontId="40" fillId="26" borderId="53" xfId="0" applyFont="1" applyFill="1" applyBorder="1" applyAlignment="1">
      <alignment horizontal="left" vertical="center" wrapText="1"/>
    </xf>
    <xf numFmtId="49" fontId="41" fillId="27" borderId="47" xfId="32" applyNumberFormat="1" applyFont="1" applyFill="1" applyBorder="1" applyAlignment="1">
      <alignment horizontal="center" vertical="center" wrapText="1"/>
    </xf>
    <xf numFmtId="0" fontId="41" fillId="27" borderId="48" xfId="32" applyFont="1" applyFill="1" applyBorder="1" applyAlignment="1">
      <alignment horizontal="left" vertical="center" wrapText="1"/>
    </xf>
    <xf numFmtId="49" fontId="41" fillId="27" borderId="75" xfId="32" applyNumberFormat="1" applyFont="1" applyFill="1" applyBorder="1" applyAlignment="1">
      <alignment horizontal="center" vertical="center" wrapText="1"/>
    </xf>
    <xf numFmtId="49" fontId="41" fillId="27" borderId="6" xfId="32" applyNumberFormat="1" applyFont="1" applyFill="1" applyBorder="1" applyAlignment="1">
      <alignment vertical="center" wrapText="1"/>
    </xf>
    <xf numFmtId="49" fontId="41" fillId="27" borderId="19" xfId="32" applyNumberFormat="1" applyFont="1" applyFill="1" applyBorder="1" applyAlignment="1">
      <alignment vertical="center" wrapText="1"/>
    </xf>
    <xf numFmtId="0" fontId="42" fillId="27" borderId="27" xfId="0" applyFont="1" applyFill="1" applyBorder="1" applyAlignment="1">
      <alignment horizontal="center" vertical="center" wrapText="1"/>
    </xf>
    <xf numFmtId="0" fontId="42" fillId="0" borderId="25" xfId="0" applyFont="1" applyBorder="1" applyAlignment="1">
      <alignment horizontal="center" vertical="center" wrapText="1"/>
    </xf>
    <xf numFmtId="0" fontId="42" fillId="0" borderId="24" xfId="0" applyFont="1" applyBorder="1" applyAlignment="1">
      <alignment horizontal="center" vertical="center" wrapText="1"/>
    </xf>
    <xf numFmtId="0" fontId="87" fillId="0" borderId="0" xfId="49" applyFont="1" applyAlignment="1">
      <alignment vertical="center"/>
    </xf>
    <xf numFmtId="0" fontId="40" fillId="0" borderId="29" xfId="31" applyFont="1" applyBorder="1" applyAlignment="1">
      <alignment horizontal="center" vertical="center" wrapText="1"/>
    </xf>
    <xf numFmtId="0" fontId="40" fillId="0" borderId="14" xfId="31" applyFont="1" applyBorder="1" applyAlignment="1">
      <alignment horizontal="center" vertical="center" wrapText="1"/>
    </xf>
    <xf numFmtId="3" fontId="12" fillId="28" borderId="62" xfId="88" applyNumberFormat="1" applyFont="1" applyFill="1" applyBorder="1" applyAlignment="1" applyProtection="1">
      <alignment horizontal="center" vertical="center" wrapText="1"/>
      <protection locked="0"/>
    </xf>
    <xf numFmtId="10" fontId="12" fillId="0" borderId="75" xfId="0" applyNumberFormat="1" applyFont="1" applyBorder="1" applyAlignment="1">
      <alignment horizontal="center" vertical="center"/>
    </xf>
    <xf numFmtId="10" fontId="12" fillId="0" borderId="73" xfId="0" applyNumberFormat="1" applyFont="1" applyBorder="1" applyAlignment="1">
      <alignment horizontal="center" vertical="center"/>
    </xf>
    <xf numFmtId="10" fontId="12" fillId="0" borderId="52" xfId="0" applyNumberFormat="1" applyFont="1" applyBorder="1" applyAlignment="1">
      <alignment horizontal="center" vertical="center"/>
    </xf>
    <xf numFmtId="10" fontId="12" fillId="0" borderId="7" xfId="0" applyNumberFormat="1" applyFont="1" applyBorder="1" applyAlignment="1">
      <alignment horizontal="center" vertical="center"/>
    </xf>
    <xf numFmtId="10" fontId="12" fillId="0" borderId="14" xfId="0" applyNumberFormat="1" applyFont="1" applyBorder="1" applyAlignment="1">
      <alignment horizontal="center" vertical="center"/>
    </xf>
    <xf numFmtId="10" fontId="12" fillId="0" borderId="15" xfId="0" applyNumberFormat="1" applyFont="1" applyBorder="1" applyAlignment="1">
      <alignment horizontal="center" vertical="center"/>
    </xf>
    <xf numFmtId="2" fontId="12" fillId="0" borderId="15" xfId="0" applyNumberFormat="1" applyFont="1" applyBorder="1" applyAlignment="1">
      <alignment horizontal="center" vertical="center"/>
    </xf>
    <xf numFmtId="0" fontId="19" fillId="2" borderId="42" xfId="0" applyFont="1" applyFill="1" applyBorder="1" applyAlignment="1">
      <alignment vertical="center" wrapText="1"/>
    </xf>
    <xf numFmtId="0" fontId="19" fillId="2" borderId="48" xfId="0" applyFont="1" applyFill="1" applyBorder="1" applyAlignment="1">
      <alignment vertical="center" wrapText="1"/>
    </xf>
    <xf numFmtId="0" fontId="19" fillId="2" borderId="101" xfId="0" applyFont="1" applyFill="1" applyBorder="1" applyAlignment="1">
      <alignment vertical="center" wrapText="1"/>
    </xf>
    <xf numFmtId="3" fontId="65" fillId="31" borderId="29" xfId="57" applyNumberFormat="1" applyFont="1" applyFill="1" applyBorder="1" applyAlignment="1">
      <alignment horizontal="center" vertical="center"/>
    </xf>
    <xf numFmtId="3" fontId="65" fillId="31" borderId="49" xfId="52" applyNumberFormat="1" applyFont="1" applyFill="1" applyBorder="1" applyAlignment="1">
      <alignment horizontal="center" vertical="center"/>
    </xf>
    <xf numFmtId="3" fontId="57" fillId="3" borderId="52" xfId="52" applyNumberFormat="1" applyFont="1" applyFill="1" applyBorder="1" applyAlignment="1" applyProtection="1">
      <alignment horizontal="center" vertical="center"/>
      <protection locked="0"/>
    </xf>
    <xf numFmtId="3" fontId="57" fillId="3" borderId="56" xfId="52" applyNumberFormat="1" applyFont="1" applyFill="1" applyBorder="1" applyAlignment="1" applyProtection="1">
      <alignment horizontal="center" vertical="center"/>
      <protection locked="0"/>
    </xf>
    <xf numFmtId="3" fontId="57" fillId="3" borderId="63" xfId="52" applyNumberFormat="1" applyFont="1" applyFill="1" applyBorder="1" applyAlignment="1" applyProtection="1">
      <alignment horizontal="center" vertical="center"/>
      <protection locked="0"/>
    </xf>
    <xf numFmtId="3" fontId="57" fillId="3" borderId="55" xfId="52" applyNumberFormat="1" applyFont="1" applyFill="1" applyBorder="1" applyAlignment="1" applyProtection="1">
      <alignment horizontal="center" vertical="center"/>
      <protection locked="0"/>
    </xf>
    <xf numFmtId="10" fontId="65" fillId="27" borderId="52" xfId="52" applyNumberFormat="1" applyFont="1" applyFill="1" applyBorder="1" applyAlignment="1">
      <alignment horizontal="center" vertical="center"/>
    </xf>
    <xf numFmtId="3" fontId="65" fillId="31" borderId="75" xfId="52" applyNumberFormat="1" applyFont="1" applyFill="1" applyBorder="1" applyAlignment="1">
      <alignment horizontal="center" vertical="center"/>
    </xf>
    <xf numFmtId="3" fontId="98" fillId="31" borderId="56" xfId="54" applyNumberFormat="1" applyFont="1" applyFill="1" applyBorder="1" applyAlignment="1">
      <alignment horizontal="center" vertical="center"/>
    </xf>
    <xf numFmtId="3" fontId="98" fillId="31" borderId="77" xfId="54" applyNumberFormat="1" applyFont="1" applyFill="1" applyBorder="1" applyAlignment="1">
      <alignment horizontal="center" vertical="center"/>
    </xf>
    <xf numFmtId="3" fontId="98" fillId="31" borderId="57" xfId="54" applyNumberFormat="1" applyFont="1" applyFill="1" applyBorder="1" applyAlignment="1">
      <alignment horizontal="center" vertical="center"/>
    </xf>
    <xf numFmtId="3" fontId="65" fillId="27" borderId="73" xfId="57" applyNumberFormat="1" applyFont="1" applyFill="1" applyBorder="1" applyAlignment="1">
      <alignment horizontal="center" vertical="center"/>
    </xf>
    <xf numFmtId="3" fontId="65" fillId="27" borderId="76" xfId="57" applyNumberFormat="1" applyFont="1" applyFill="1" applyBorder="1" applyAlignment="1">
      <alignment horizontal="center" vertical="center"/>
    </xf>
    <xf numFmtId="0" fontId="42" fillId="0" borderId="50" xfId="32" applyFont="1" applyBorder="1" applyAlignment="1">
      <alignment horizontal="right" vertical="center" wrapText="1"/>
    </xf>
    <xf numFmtId="49" fontId="41" fillId="0" borderId="25" xfId="32" applyNumberFormat="1" applyFont="1" applyBorder="1" applyAlignment="1">
      <alignment horizontal="center" vertical="center" wrapText="1"/>
    </xf>
    <xf numFmtId="49" fontId="41" fillId="26" borderId="49" xfId="32" applyNumberFormat="1" applyFont="1" applyFill="1" applyBorder="1" applyAlignment="1">
      <alignment horizontal="center" vertical="center" wrapText="1"/>
    </xf>
    <xf numFmtId="0" fontId="41" fillId="26" borderId="50" xfId="32" applyFont="1" applyFill="1" applyBorder="1" applyAlignment="1">
      <alignment vertical="center" wrapText="1"/>
    </xf>
    <xf numFmtId="0" fontId="41" fillId="0" borderId="50" xfId="32" applyFont="1" applyBorder="1" applyAlignment="1">
      <alignment vertical="center" wrapText="1"/>
    </xf>
    <xf numFmtId="0" fontId="41" fillId="0" borderId="53" xfId="32" applyFont="1" applyBorder="1" applyAlignment="1">
      <alignment vertical="center" wrapText="1"/>
    </xf>
    <xf numFmtId="16" fontId="40" fillId="26" borderId="52" xfId="32" applyNumberFormat="1" applyFont="1" applyFill="1" applyBorder="1" applyAlignment="1">
      <alignment horizontal="center" vertical="center"/>
    </xf>
    <xf numFmtId="0" fontId="40" fillId="26" borderId="53" xfId="0" applyFont="1" applyFill="1" applyBorder="1" applyAlignment="1">
      <alignment vertical="center" wrapText="1"/>
    </xf>
    <xf numFmtId="9" fontId="40" fillId="24" borderId="10" xfId="1" applyFont="1" applyFill="1" applyBorder="1" applyAlignment="1" applyProtection="1">
      <alignment horizontal="center" vertical="center" wrapText="1"/>
    </xf>
    <xf numFmtId="9" fontId="41" fillId="33" borderId="50" xfId="1" applyFont="1" applyFill="1" applyBorder="1" applyAlignment="1" applyProtection="1">
      <alignment horizontal="center" vertical="center" wrapText="1"/>
    </xf>
    <xf numFmtId="9" fontId="41" fillId="26" borderId="53" xfId="1" applyFont="1" applyFill="1" applyBorder="1" applyAlignment="1" applyProtection="1">
      <alignment horizontal="center" vertical="center" wrapText="1"/>
    </xf>
    <xf numFmtId="9" fontId="41" fillId="0" borderId="53" xfId="1" applyFont="1" applyFill="1" applyBorder="1" applyAlignment="1" applyProtection="1">
      <alignment horizontal="center" vertical="center" wrapText="1"/>
    </xf>
    <xf numFmtId="9" fontId="40" fillId="0" borderId="10" xfId="1" applyFont="1" applyFill="1" applyBorder="1" applyAlignment="1" applyProtection="1">
      <alignment horizontal="center" vertical="center" wrapText="1"/>
    </xf>
    <xf numFmtId="0" fontId="40" fillId="37" borderId="14" xfId="49" applyFont="1" applyFill="1" applyBorder="1" applyAlignment="1">
      <alignment horizontal="center" vertical="center" wrapText="1"/>
    </xf>
    <xf numFmtId="171" fontId="40" fillId="37" borderId="19" xfId="49" applyNumberFormat="1" applyFont="1" applyFill="1" applyBorder="1" applyAlignment="1">
      <alignment horizontal="center" vertical="center"/>
    </xf>
    <xf numFmtId="4" fontId="40" fillId="27" borderId="14" xfId="49" applyNumberFormat="1" applyFont="1" applyFill="1" applyBorder="1" applyAlignment="1">
      <alignment horizontal="center" vertical="center"/>
    </xf>
    <xf numFmtId="4" fontId="40" fillId="27" borderId="15" xfId="49" applyNumberFormat="1" applyFont="1" applyFill="1" applyBorder="1" applyAlignment="1">
      <alignment horizontal="center" vertical="center"/>
    </xf>
    <xf numFmtId="4" fontId="40" fillId="27" borderId="19" xfId="49" applyNumberFormat="1" applyFont="1" applyFill="1" applyBorder="1" applyAlignment="1">
      <alignment horizontal="center" vertical="center"/>
    </xf>
    <xf numFmtId="0" fontId="40" fillId="37" borderId="22" xfId="49" applyFont="1" applyFill="1" applyBorder="1" applyAlignment="1">
      <alignment horizontal="center" vertical="center" wrapText="1"/>
    </xf>
    <xf numFmtId="171" fontId="40" fillId="37" borderId="28" xfId="49" applyNumberFormat="1" applyFont="1" applyFill="1" applyBorder="1" applyAlignment="1">
      <alignment horizontal="center" vertical="center"/>
    </xf>
    <xf numFmtId="4" fontId="40" fillId="27" borderId="22" xfId="49" applyNumberFormat="1" applyFont="1" applyFill="1" applyBorder="1" applyAlignment="1">
      <alignment horizontal="center" vertical="center"/>
    </xf>
    <xf numFmtId="4" fontId="40" fillId="27" borderId="23" xfId="49" applyNumberFormat="1" applyFont="1" applyFill="1" applyBorder="1" applyAlignment="1">
      <alignment horizontal="center" vertical="center"/>
    </xf>
    <xf numFmtId="4" fontId="40" fillId="27" borderId="28" xfId="49" applyNumberFormat="1" applyFont="1" applyFill="1" applyBorder="1" applyAlignment="1">
      <alignment horizontal="center" vertical="center"/>
    </xf>
    <xf numFmtId="49" fontId="41" fillId="27" borderId="52" xfId="49" applyNumberFormat="1" applyFont="1" applyFill="1" applyBorder="1" applyAlignment="1">
      <alignment horizontal="left" vertical="center" wrapText="1"/>
    </xf>
    <xf numFmtId="49" fontId="42" fillId="27" borderId="52" xfId="49" applyNumberFormat="1" applyFont="1" applyFill="1" applyBorder="1" applyAlignment="1">
      <alignment horizontal="left" vertical="center" wrapText="1"/>
    </xf>
    <xf numFmtId="49" fontId="42" fillId="27" borderId="49" xfId="49" applyNumberFormat="1" applyFont="1" applyFill="1" applyBorder="1" applyAlignment="1">
      <alignment horizontal="left" vertical="center" wrapText="1"/>
    </xf>
    <xf numFmtId="49" fontId="42" fillId="27" borderId="54" xfId="49" applyNumberFormat="1" applyFont="1" applyFill="1" applyBorder="1" applyAlignment="1">
      <alignment horizontal="left" vertical="center" wrapText="1"/>
    </xf>
    <xf numFmtId="0" fontId="40" fillId="0" borderId="42" xfId="31" applyFont="1" applyBorder="1" applyAlignment="1">
      <alignment horizontal="center" vertical="center" wrapText="1"/>
    </xf>
    <xf numFmtId="0" fontId="40" fillId="0" borderId="43" xfId="31" applyFont="1" applyBorder="1" applyAlignment="1">
      <alignment horizontal="center" vertical="center" wrapText="1"/>
    </xf>
    <xf numFmtId="168" fontId="52" fillId="27" borderId="0" xfId="49" applyNumberFormat="1" applyFont="1" applyFill="1" applyAlignment="1">
      <alignment horizontal="center" vertical="center"/>
    </xf>
    <xf numFmtId="168" fontId="62" fillId="27" borderId="0" xfId="49" applyNumberFormat="1" applyFont="1" applyFill="1" applyAlignment="1">
      <alignment horizontal="center" vertical="center" wrapText="1"/>
    </xf>
    <xf numFmtId="168" fontId="62" fillId="27" borderId="0" xfId="49" applyNumberFormat="1" applyFont="1" applyFill="1" applyAlignment="1">
      <alignment horizontal="right" vertical="center" wrapText="1"/>
    </xf>
    <xf numFmtId="168" fontId="52" fillId="27" borderId="0" xfId="49" applyNumberFormat="1" applyFont="1" applyFill="1" applyAlignment="1">
      <alignment horizontal="center" vertical="center" wrapText="1"/>
    </xf>
    <xf numFmtId="168" fontId="19" fillId="27" borderId="0" xfId="49" applyNumberFormat="1" applyFont="1" applyFill="1" applyAlignment="1">
      <alignment horizontal="center" vertical="center" wrapText="1"/>
    </xf>
    <xf numFmtId="168" fontId="19" fillId="27" borderId="0" xfId="49" applyNumberFormat="1" applyFont="1" applyFill="1" applyAlignment="1">
      <alignment horizontal="center" vertical="center"/>
    </xf>
    <xf numFmtId="168" fontId="40" fillId="37" borderId="29" xfId="49" applyNumberFormat="1" applyFont="1" applyFill="1" applyBorder="1" applyAlignment="1">
      <alignment horizontal="center" vertical="center" wrapText="1"/>
    </xf>
    <xf numFmtId="168" fontId="40" fillId="37" borderId="30" xfId="49" applyNumberFormat="1" applyFont="1" applyFill="1" applyBorder="1" applyAlignment="1">
      <alignment horizontal="center" vertical="center"/>
    </xf>
    <xf numFmtId="168" fontId="40" fillId="27" borderId="29" xfId="49" applyNumberFormat="1" applyFont="1" applyFill="1" applyBorder="1" applyAlignment="1">
      <alignment horizontal="center" vertical="center"/>
    </xf>
    <xf numFmtId="168" fontId="40" fillId="27" borderId="24" xfId="49" applyNumberFormat="1" applyFont="1" applyFill="1" applyBorder="1" applyAlignment="1">
      <alignment horizontal="center" vertical="center"/>
    </xf>
    <xf numFmtId="168" fontId="40" fillId="27" borderId="30" xfId="49" applyNumberFormat="1" applyFont="1" applyFill="1" applyBorder="1" applyAlignment="1">
      <alignment horizontal="center" vertical="center"/>
    </xf>
    <xf numFmtId="168" fontId="40" fillId="37" borderId="22" xfId="49" applyNumberFormat="1" applyFont="1" applyFill="1" applyBorder="1" applyAlignment="1">
      <alignment horizontal="center" vertical="center" wrapText="1"/>
    </xf>
    <xf numFmtId="168" fontId="40" fillId="37" borderId="28" xfId="49" applyNumberFormat="1" applyFont="1" applyFill="1" applyBorder="1" applyAlignment="1">
      <alignment horizontal="center" vertical="center"/>
    </xf>
    <xf numFmtId="168" fontId="40" fillId="27" borderId="22" xfId="49" applyNumberFormat="1" applyFont="1" applyFill="1" applyBorder="1" applyAlignment="1">
      <alignment horizontal="center" vertical="center"/>
    </xf>
    <xf numFmtId="168" fontId="40" fillId="27" borderId="23" xfId="49" applyNumberFormat="1" applyFont="1" applyFill="1" applyBorder="1" applyAlignment="1">
      <alignment horizontal="center" vertical="center"/>
    </xf>
    <xf numFmtId="168" fontId="40" fillId="27" borderId="28" xfId="49" applyNumberFormat="1" applyFont="1" applyFill="1" applyBorder="1" applyAlignment="1">
      <alignment horizontal="center" vertical="center"/>
    </xf>
    <xf numFmtId="168" fontId="15" fillId="27" borderId="0" xfId="49" applyNumberFormat="1" applyFont="1" applyFill="1" applyAlignment="1">
      <alignment vertical="center" wrapText="1"/>
    </xf>
    <xf numFmtId="0" fontId="21" fillId="26" borderId="0" xfId="0" applyFont="1" applyFill="1" applyAlignment="1">
      <alignment horizontal="center" vertical="center" wrapText="1"/>
    </xf>
    <xf numFmtId="49" fontId="21" fillId="26" borderId="0" xfId="0" applyNumberFormat="1" applyFont="1" applyFill="1" applyAlignment="1">
      <alignment horizontal="center" vertical="center"/>
    </xf>
    <xf numFmtId="10" fontId="21" fillId="0" borderId="52" xfId="0" applyNumberFormat="1" applyFont="1" applyBorder="1" applyAlignment="1">
      <alignment horizontal="center" vertical="center"/>
    </xf>
    <xf numFmtId="10" fontId="21" fillId="0" borderId="45" xfId="0" applyNumberFormat="1" applyFont="1" applyBorder="1" applyAlignment="1">
      <alignment horizontal="center" vertical="center"/>
    </xf>
    <xf numFmtId="10" fontId="21" fillId="0" borderId="21" xfId="0" applyNumberFormat="1" applyFont="1" applyBorder="1" applyAlignment="1">
      <alignment horizontal="center" vertical="center"/>
    </xf>
    <xf numFmtId="10" fontId="21" fillId="0" borderId="17" xfId="0" applyNumberFormat="1" applyFont="1" applyBorder="1" applyAlignment="1">
      <alignment horizontal="center" vertical="center"/>
    </xf>
    <xf numFmtId="10" fontId="21" fillId="0" borderId="66" xfId="0" applyNumberFormat="1" applyFont="1" applyBorder="1" applyAlignment="1">
      <alignment horizontal="center" vertical="center"/>
    </xf>
    <xf numFmtId="3" fontId="12" fillId="3" borderId="29" xfId="31" applyNumberFormat="1" applyFont="1" applyFill="1" applyBorder="1" applyAlignment="1" applyProtection="1">
      <alignment horizontal="center" vertical="center" wrapText="1"/>
      <protection locked="0"/>
    </xf>
    <xf numFmtId="3" fontId="12" fillId="0" borderId="30" xfId="0" applyNumberFormat="1" applyFont="1" applyBorder="1" applyAlignment="1">
      <alignment horizontal="center" vertical="center" wrapText="1"/>
    </xf>
    <xf numFmtId="3" fontId="12" fillId="0" borderId="78" xfId="0" applyNumberFormat="1" applyFont="1" applyBorder="1" applyAlignment="1">
      <alignment horizontal="center" vertical="center" wrapText="1"/>
    </xf>
    <xf numFmtId="0" fontId="40" fillId="24" borderId="76" xfId="78" applyFont="1" applyFill="1" applyBorder="1" applyAlignment="1">
      <alignment horizontal="left" vertical="center"/>
    </xf>
    <xf numFmtId="0" fontId="41" fillId="26" borderId="53" xfId="78" applyFont="1" applyFill="1" applyBorder="1" applyAlignment="1">
      <alignment horizontal="left" vertical="center"/>
    </xf>
    <xf numFmtId="0" fontId="40" fillId="31" borderId="53" xfId="78" applyFont="1" applyFill="1" applyBorder="1" applyAlignment="1">
      <alignment horizontal="left" vertical="center"/>
    </xf>
    <xf numFmtId="0" fontId="40" fillId="24" borderId="53" xfId="78" applyFont="1" applyFill="1" applyBorder="1" applyAlignment="1">
      <alignment horizontal="left" vertical="center"/>
    </xf>
    <xf numFmtId="9" fontId="40" fillId="24" borderId="9" xfId="1" applyFont="1" applyFill="1" applyBorder="1" applyAlignment="1" applyProtection="1">
      <alignment horizontal="center" vertical="center" wrapText="1"/>
    </xf>
    <xf numFmtId="9" fontId="41" fillId="33" borderId="31" xfId="1" applyFont="1" applyFill="1" applyBorder="1" applyAlignment="1" applyProtection="1">
      <alignment horizontal="center" vertical="center" wrapText="1"/>
    </xf>
    <xf numFmtId="9" fontId="41" fillId="26" borderId="7" xfId="1" applyFont="1" applyFill="1" applyBorder="1" applyAlignment="1" applyProtection="1">
      <alignment horizontal="center" vertical="center" wrapText="1"/>
    </xf>
    <xf numFmtId="9" fontId="41" fillId="33" borderId="7" xfId="1" applyFont="1" applyFill="1" applyBorder="1" applyAlignment="1" applyProtection="1">
      <alignment horizontal="center" vertical="center" wrapText="1"/>
    </xf>
    <xf numFmtId="9" fontId="41" fillId="26" borderId="77" xfId="1" applyFont="1" applyFill="1" applyBorder="1" applyAlignment="1" applyProtection="1">
      <alignment horizontal="center" vertical="center" wrapText="1"/>
    </xf>
    <xf numFmtId="9" fontId="40" fillId="0" borderId="9" xfId="1" applyFont="1" applyFill="1" applyBorder="1" applyAlignment="1" applyProtection="1">
      <alignment horizontal="center" vertical="center" wrapText="1"/>
    </xf>
    <xf numFmtId="9" fontId="40" fillId="24" borderId="60" xfId="1" applyFont="1" applyFill="1" applyBorder="1" applyAlignment="1" applyProtection="1">
      <alignment horizontal="center" vertical="center" wrapText="1"/>
    </xf>
    <xf numFmtId="9" fontId="41" fillId="33" borderId="62" xfId="1" applyFont="1" applyFill="1" applyBorder="1" applyAlignment="1" applyProtection="1">
      <alignment horizontal="center" vertical="center" wrapText="1"/>
    </xf>
    <xf numFmtId="9" fontId="41" fillId="26" borderId="23" xfId="1" applyFont="1" applyFill="1" applyBorder="1" applyAlignment="1" applyProtection="1">
      <alignment horizontal="center" vertical="center" wrapText="1"/>
    </xf>
    <xf numFmtId="9" fontId="41" fillId="33" borderId="61" xfId="1" applyFont="1" applyFill="1" applyBorder="1" applyAlignment="1" applyProtection="1">
      <alignment horizontal="center" vertical="center" wrapText="1"/>
    </xf>
    <xf numFmtId="9" fontId="40" fillId="24" borderId="8" xfId="1" applyFont="1" applyFill="1" applyBorder="1" applyAlignment="1" applyProtection="1">
      <alignment horizontal="center" vertical="center" wrapText="1"/>
    </xf>
    <xf numFmtId="9" fontId="40" fillId="0" borderId="60" xfId="1" applyFont="1" applyFill="1" applyBorder="1" applyAlignment="1" applyProtection="1">
      <alignment horizontal="center" vertical="center" wrapText="1"/>
    </xf>
    <xf numFmtId="9" fontId="40" fillId="24" borderId="3" xfId="1" applyFont="1" applyFill="1" applyBorder="1" applyAlignment="1" applyProtection="1">
      <alignment horizontal="center" vertical="center" wrapText="1"/>
    </xf>
    <xf numFmtId="9" fontId="41" fillId="26" borderId="15" xfId="1" applyFont="1" applyFill="1" applyBorder="1" applyAlignment="1" applyProtection="1">
      <alignment horizontal="center" vertical="center" wrapText="1"/>
    </xf>
    <xf numFmtId="9" fontId="41" fillId="33" borderId="33" xfId="1" applyFont="1" applyFill="1" applyBorder="1" applyAlignment="1" applyProtection="1">
      <alignment horizontal="center" vertical="center" wrapText="1"/>
    </xf>
    <xf numFmtId="9" fontId="41" fillId="33" borderId="6" xfId="1" applyFont="1" applyFill="1" applyBorder="1" applyAlignment="1" applyProtection="1">
      <alignment horizontal="center" vertical="center" wrapText="1"/>
    </xf>
    <xf numFmtId="0" fontId="40" fillId="24" borderId="3" xfId="49" applyFont="1" applyFill="1" applyBorder="1" applyAlignment="1">
      <alignment horizontal="left" vertical="center" wrapText="1"/>
    </xf>
    <xf numFmtId="0" fontId="41" fillId="27" borderId="50" xfId="49" applyFont="1" applyFill="1" applyBorder="1" applyAlignment="1">
      <alignment horizontal="left" vertical="center" wrapText="1"/>
    </xf>
    <xf numFmtId="0" fontId="41" fillId="0" borderId="53" xfId="49" applyFont="1" applyBorder="1" applyAlignment="1">
      <alignment horizontal="left" vertical="center" wrapText="1"/>
    </xf>
    <xf numFmtId="0" fontId="40" fillId="24" borderId="10" xfId="49" applyFont="1" applyFill="1" applyBorder="1" applyAlignment="1">
      <alignment horizontal="left" vertical="center" wrapText="1"/>
    </xf>
    <xf numFmtId="0" fontId="41" fillId="0" borderId="50" xfId="49" applyFont="1" applyBorder="1" applyAlignment="1">
      <alignment horizontal="left" vertical="center" wrapText="1"/>
    </xf>
    <xf numFmtId="49" fontId="42" fillId="27" borderId="36" xfId="49" applyNumberFormat="1" applyFont="1" applyFill="1" applyBorder="1" applyAlignment="1">
      <alignment horizontal="left" vertical="center" wrapText="1"/>
    </xf>
    <xf numFmtId="0" fontId="41" fillId="0" borderId="55" xfId="49" applyFont="1" applyBorder="1" applyAlignment="1">
      <alignment horizontal="left" vertical="center" wrapText="1"/>
    </xf>
    <xf numFmtId="0" fontId="41" fillId="0" borderId="50" xfId="31" applyFont="1" applyBorder="1" applyAlignment="1">
      <alignment horizontal="left" vertical="center" wrapText="1"/>
    </xf>
    <xf numFmtId="49" fontId="41" fillId="0" borderId="53" xfId="49" applyNumberFormat="1" applyFont="1" applyBorder="1" applyAlignment="1">
      <alignment horizontal="left" vertical="center" wrapText="1"/>
    </xf>
    <xf numFmtId="49" fontId="41" fillId="27" borderId="53" xfId="49" applyNumberFormat="1" applyFont="1" applyFill="1" applyBorder="1" applyAlignment="1">
      <alignment horizontal="left" vertical="center" wrapText="1"/>
    </xf>
    <xf numFmtId="0" fontId="40" fillId="37" borderId="2" xfId="49" applyFont="1" applyFill="1" applyBorder="1" applyAlignment="1">
      <alignment horizontal="center" vertical="center"/>
    </xf>
    <xf numFmtId="3" fontId="40" fillId="24" borderId="65" xfId="49" applyNumberFormat="1" applyFont="1" applyFill="1" applyBorder="1" applyAlignment="1">
      <alignment horizontal="center" vertical="center" wrapText="1"/>
    </xf>
    <xf numFmtId="3" fontId="41" fillId="27" borderId="44" xfId="49" applyNumberFormat="1" applyFont="1" applyFill="1" applyBorder="1" applyAlignment="1">
      <alignment horizontal="center" vertical="center" wrapText="1"/>
    </xf>
    <xf numFmtId="3" fontId="41" fillId="0" borderId="32" xfId="49" applyNumberFormat="1" applyFont="1" applyBorder="1" applyAlignment="1">
      <alignment horizontal="center" vertical="center" wrapText="1"/>
    </xf>
    <xf numFmtId="3" fontId="41" fillId="27" borderId="32" xfId="49" applyNumberFormat="1" applyFont="1" applyFill="1" applyBorder="1" applyAlignment="1">
      <alignment horizontal="center" vertical="center" wrapText="1"/>
    </xf>
    <xf numFmtId="9" fontId="41" fillId="26" borderId="62" xfId="1" applyFont="1" applyFill="1" applyBorder="1" applyAlignment="1" applyProtection="1">
      <alignment horizontal="center" vertical="center" wrapText="1"/>
    </xf>
    <xf numFmtId="49" fontId="65" fillId="0" borderId="0" xfId="57" applyNumberFormat="1" applyFont="1" applyAlignment="1">
      <alignment horizontal="center" vertical="center" wrapText="1"/>
    </xf>
    <xf numFmtId="49" fontId="65" fillId="0" borderId="135" xfId="57" applyNumberFormat="1" applyFont="1" applyBorder="1" applyAlignment="1">
      <alignment horizontal="center" vertical="center" wrapText="1"/>
    </xf>
    <xf numFmtId="3" fontId="65" fillId="31" borderId="22" xfId="57" applyNumberFormat="1" applyFont="1" applyFill="1" applyBorder="1" applyAlignment="1">
      <alignment horizontal="center" vertical="center"/>
    </xf>
    <xf numFmtId="3" fontId="65" fillId="31" borderId="74" xfId="57" applyNumberFormat="1" applyFont="1" applyFill="1" applyBorder="1" applyAlignment="1">
      <alignment horizontal="center" vertical="center"/>
    </xf>
    <xf numFmtId="3" fontId="12" fillId="26" borderId="5" xfId="0" applyNumberFormat="1" applyFont="1" applyFill="1" applyBorder="1" applyAlignment="1">
      <alignment horizontal="center" vertical="center" wrapText="1"/>
    </xf>
    <xf numFmtId="0" fontId="12" fillId="26" borderId="17" xfId="0" applyFont="1" applyFill="1" applyBorder="1" applyAlignment="1">
      <alignment horizontal="center" vertical="center" wrapText="1"/>
    </xf>
    <xf numFmtId="1" fontId="12" fillId="26" borderId="17" xfId="0" applyNumberFormat="1" applyFont="1" applyFill="1" applyBorder="1" applyAlignment="1">
      <alignment horizontal="center" vertical="center" wrapText="1"/>
    </xf>
    <xf numFmtId="0" fontId="12" fillId="26" borderId="21" xfId="0" applyFont="1" applyFill="1" applyBorder="1" applyAlignment="1">
      <alignment horizontal="center" vertical="center" wrapText="1"/>
    </xf>
    <xf numFmtId="3" fontId="12" fillId="26" borderId="17" xfId="0" applyNumberFormat="1" applyFont="1" applyFill="1" applyBorder="1" applyAlignment="1">
      <alignment horizontal="center" vertical="center" wrapText="1"/>
    </xf>
    <xf numFmtId="3" fontId="12" fillId="26" borderId="39" xfId="0" applyNumberFormat="1" applyFont="1" applyFill="1" applyBorder="1" applyAlignment="1">
      <alignment horizontal="center" vertical="center" wrapText="1"/>
    </xf>
    <xf numFmtId="3" fontId="12" fillId="3" borderId="72" xfId="88" applyNumberFormat="1" applyFont="1" applyFill="1" applyBorder="1" applyAlignment="1" applyProtection="1">
      <alignment horizontal="center" vertical="center" wrapText="1"/>
      <protection locked="0"/>
    </xf>
    <xf numFmtId="3" fontId="12" fillId="28" borderId="44" xfId="88" applyNumberFormat="1" applyFont="1" applyFill="1" applyBorder="1" applyAlignment="1" applyProtection="1">
      <alignment horizontal="center" vertical="center" wrapText="1"/>
      <protection locked="0"/>
    </xf>
    <xf numFmtId="3" fontId="12" fillId="3" borderId="44" xfId="88" applyNumberFormat="1" applyFont="1" applyFill="1" applyBorder="1" applyAlignment="1" applyProtection="1">
      <alignment horizontal="center" vertical="center" wrapText="1"/>
      <protection locked="0"/>
    </xf>
    <xf numFmtId="3" fontId="12" fillId="28" borderId="32" xfId="88" applyNumberFormat="1" applyFont="1" applyFill="1" applyBorder="1" applyAlignment="1" applyProtection="1">
      <alignment horizontal="center" vertical="center" wrapText="1"/>
      <protection locked="0"/>
    </xf>
    <xf numFmtId="173" fontId="65" fillId="31" borderId="56" xfId="57" applyNumberFormat="1" applyFont="1" applyFill="1" applyBorder="1" applyAlignment="1">
      <alignment horizontal="center" vertical="center"/>
    </xf>
    <xf numFmtId="173" fontId="65" fillId="31" borderId="57" xfId="57" applyNumberFormat="1" applyFont="1" applyFill="1" applyBorder="1" applyAlignment="1">
      <alignment horizontal="center" vertical="center"/>
    </xf>
    <xf numFmtId="0" fontId="57" fillId="20" borderId="39" xfId="57" applyFont="1" applyFill="1" applyBorder="1" applyAlignment="1">
      <alignment horizontal="center" vertical="center" wrapText="1"/>
    </xf>
    <xf numFmtId="173" fontId="65" fillId="27" borderId="56" xfId="57" applyNumberFormat="1" applyFont="1" applyFill="1" applyBorder="1" applyAlignment="1">
      <alignment horizontal="center" vertical="center"/>
    </xf>
    <xf numFmtId="173" fontId="65" fillId="27" borderId="77" xfId="57" applyNumberFormat="1" applyFont="1" applyFill="1" applyBorder="1" applyAlignment="1">
      <alignment horizontal="center" vertical="center"/>
    </xf>
    <xf numFmtId="173" fontId="65" fillId="27" borderId="57" xfId="57" applyNumberFormat="1" applyFont="1" applyFill="1" applyBorder="1" applyAlignment="1">
      <alignment horizontal="center" vertical="center"/>
    </xf>
    <xf numFmtId="173" fontId="65" fillId="26" borderId="56" xfId="57" applyNumberFormat="1" applyFont="1" applyFill="1" applyBorder="1" applyAlignment="1">
      <alignment horizontal="center" vertical="center"/>
    </xf>
    <xf numFmtId="173" fontId="65" fillId="26" borderId="77" xfId="57" applyNumberFormat="1" applyFont="1" applyFill="1" applyBorder="1" applyAlignment="1">
      <alignment horizontal="center" vertical="center"/>
    </xf>
    <xf numFmtId="173" fontId="65" fillId="26" borderId="57" xfId="57" applyNumberFormat="1" applyFont="1" applyFill="1" applyBorder="1" applyAlignment="1">
      <alignment horizontal="center" vertical="center"/>
    </xf>
    <xf numFmtId="0" fontId="65" fillId="23" borderId="8" xfId="57" applyFont="1" applyFill="1" applyBorder="1" applyAlignment="1">
      <alignment horizontal="center" vertical="center"/>
    </xf>
    <xf numFmtId="3" fontId="57" fillId="0" borderId="32" xfId="52" applyNumberFormat="1" applyFont="1" applyBorder="1" applyAlignment="1">
      <alignment horizontal="center" vertical="center"/>
    </xf>
    <xf numFmtId="3" fontId="57" fillId="0" borderId="53" xfId="52" applyNumberFormat="1" applyFont="1" applyBorder="1" applyAlignment="1">
      <alignment horizontal="center" vertical="center"/>
    </xf>
    <xf numFmtId="3" fontId="57" fillId="0" borderId="57" xfId="52" applyNumberFormat="1" applyFont="1" applyBorder="1" applyAlignment="1">
      <alignment horizontal="center" vertical="center"/>
    </xf>
    <xf numFmtId="0" fontId="118" fillId="20" borderId="119" xfId="88" applyFont="1" applyFill="1" applyBorder="1" applyAlignment="1">
      <alignment horizontal="right" vertical="center" wrapText="1"/>
    </xf>
    <xf numFmtId="3" fontId="118" fillId="20" borderId="118" xfId="88" applyNumberFormat="1" applyFont="1" applyFill="1" applyBorder="1" applyAlignment="1">
      <alignment horizontal="center" vertical="center" wrapText="1"/>
    </xf>
    <xf numFmtId="3" fontId="118" fillId="20" borderId="136" xfId="88" applyNumberFormat="1" applyFont="1" applyFill="1" applyBorder="1" applyAlignment="1">
      <alignment horizontal="center" vertical="center" wrapText="1"/>
    </xf>
    <xf numFmtId="0" fontId="38" fillId="26" borderId="121" xfId="88" applyFont="1" applyFill="1" applyBorder="1" applyAlignment="1">
      <alignment horizontal="center" vertical="center" wrapText="1"/>
    </xf>
    <xf numFmtId="3" fontId="118" fillId="20" borderId="119" xfId="88" applyNumberFormat="1" applyFont="1" applyFill="1" applyBorder="1" applyAlignment="1">
      <alignment horizontal="center" vertical="center" wrapText="1"/>
    </xf>
    <xf numFmtId="3" fontId="118" fillId="20" borderId="121" xfId="88" applyNumberFormat="1" applyFont="1" applyFill="1" applyBorder="1" applyAlignment="1">
      <alignment horizontal="center" vertical="center" wrapText="1"/>
    </xf>
    <xf numFmtId="10" fontId="65" fillId="31" borderId="52" xfId="57" applyNumberFormat="1" applyFont="1" applyFill="1" applyBorder="1" applyAlignment="1">
      <alignment horizontal="center" vertical="center"/>
    </xf>
    <xf numFmtId="10" fontId="65" fillId="31" borderId="7" xfId="57" applyNumberFormat="1" applyFont="1" applyFill="1" applyBorder="1" applyAlignment="1">
      <alignment horizontal="center" vertical="center"/>
    </xf>
    <xf numFmtId="10" fontId="65" fillId="31" borderId="53" xfId="57" applyNumberFormat="1" applyFont="1" applyFill="1" applyBorder="1" applyAlignment="1">
      <alignment horizontal="center" vertical="center"/>
    </xf>
    <xf numFmtId="10" fontId="65" fillId="31" borderId="32" xfId="52" applyNumberFormat="1" applyFont="1" applyFill="1" applyBorder="1" applyAlignment="1">
      <alignment horizontal="center" vertical="center"/>
    </xf>
    <xf numFmtId="10" fontId="65" fillId="31" borderId="7" xfId="52" applyNumberFormat="1" applyFont="1" applyFill="1" applyBorder="1" applyAlignment="1">
      <alignment horizontal="center" vertical="center"/>
    </xf>
    <xf numFmtId="10" fontId="65" fillId="31" borderId="53" xfId="52" applyNumberFormat="1" applyFont="1" applyFill="1" applyBorder="1" applyAlignment="1">
      <alignment horizontal="center" vertical="center"/>
    </xf>
    <xf numFmtId="3" fontId="41" fillId="29" borderId="19" xfId="49" applyNumberFormat="1" applyFont="1" applyFill="1" applyBorder="1" applyAlignment="1">
      <alignment horizontal="right" vertical="center"/>
    </xf>
    <xf numFmtId="3" fontId="42" fillId="3" borderId="54" xfId="32" applyNumberFormat="1" applyFont="1" applyFill="1" applyBorder="1" applyAlignment="1" applyProtection="1">
      <alignment horizontal="center" vertical="center"/>
      <protection locked="0"/>
    </xf>
    <xf numFmtId="3" fontId="41" fillId="29" borderId="8" xfId="49" applyNumberFormat="1" applyFont="1" applyFill="1" applyBorder="1" applyAlignment="1">
      <alignment horizontal="right" vertical="center"/>
    </xf>
    <xf numFmtId="3" fontId="41" fillId="29" borderId="3" xfId="49" applyNumberFormat="1" applyFont="1" applyFill="1" applyBorder="1" applyAlignment="1">
      <alignment horizontal="right" vertical="center"/>
    </xf>
    <xf numFmtId="3" fontId="41" fillId="29" borderId="79" xfId="49" applyNumberFormat="1" applyFont="1" applyFill="1" applyBorder="1" applyAlignment="1">
      <alignment horizontal="right" vertical="center"/>
    </xf>
    <xf numFmtId="3" fontId="40" fillId="31" borderId="10" xfId="32" applyNumberFormat="1" applyFont="1" applyFill="1" applyBorder="1" applyAlignment="1">
      <alignment horizontal="center" vertical="center"/>
    </xf>
    <xf numFmtId="0" fontId="40" fillId="26" borderId="49" xfId="32" applyFont="1" applyFill="1" applyBorder="1" applyAlignment="1">
      <alignment horizontal="center" vertical="center"/>
    </xf>
    <xf numFmtId="0" fontId="40" fillId="26" borderId="50" xfId="32" applyFont="1" applyFill="1" applyBorder="1" applyAlignment="1">
      <alignment vertical="center"/>
    </xf>
    <xf numFmtId="49" fontId="40" fillId="27" borderId="49" xfId="32" applyNumberFormat="1" applyFont="1" applyFill="1" applyBorder="1" applyAlignment="1">
      <alignment horizontal="center" vertical="center" wrapText="1"/>
    </xf>
    <xf numFmtId="0" fontId="40" fillId="27" borderId="50" xfId="32" applyFont="1" applyFill="1" applyBorder="1" applyAlignment="1">
      <alignment horizontal="left" vertical="center" wrapText="1"/>
    </xf>
    <xf numFmtId="1" fontId="21" fillId="26" borderId="51" xfId="0" applyNumberFormat="1" applyFont="1" applyFill="1" applyBorder="1" applyAlignment="1">
      <alignment horizontal="center" vertical="center"/>
    </xf>
    <xf numFmtId="9" fontId="21" fillId="26" borderId="17" xfId="0" applyNumberFormat="1" applyFont="1" applyFill="1" applyBorder="1" applyAlignment="1">
      <alignment horizontal="center" vertical="center"/>
    </xf>
    <xf numFmtId="1" fontId="21" fillId="26" borderId="17" xfId="0" applyNumberFormat="1" applyFont="1" applyFill="1" applyBorder="1" applyAlignment="1">
      <alignment horizontal="center" vertical="center"/>
    </xf>
    <xf numFmtId="10" fontId="21" fillId="26" borderId="17" xfId="0" applyNumberFormat="1" applyFont="1" applyFill="1" applyBorder="1" applyAlignment="1">
      <alignment horizontal="center" vertical="center"/>
    </xf>
    <xf numFmtId="178" fontId="21" fillId="26" borderId="21" xfId="0" applyNumberFormat="1" applyFont="1" applyFill="1" applyBorder="1" applyAlignment="1">
      <alignment horizontal="center" vertical="center"/>
    </xf>
    <xf numFmtId="3" fontId="40" fillId="0" borderId="52" xfId="0" applyNumberFormat="1" applyFont="1" applyBorder="1" applyAlignment="1">
      <alignment horizontal="center" vertical="center"/>
    </xf>
    <xf numFmtId="3" fontId="40" fillId="0" borderId="7" xfId="0" applyNumberFormat="1" applyFont="1" applyBorder="1" applyAlignment="1">
      <alignment horizontal="center" vertical="center"/>
    </xf>
    <xf numFmtId="3" fontId="40" fillId="0" borderId="53" xfId="0" applyNumberFormat="1" applyFont="1" applyBorder="1" applyAlignment="1">
      <alignment horizontal="center" vertical="center"/>
    </xf>
    <xf numFmtId="3" fontId="40" fillId="27" borderId="52" xfId="0" applyNumberFormat="1" applyFont="1" applyFill="1" applyBorder="1" applyAlignment="1">
      <alignment horizontal="center" vertical="center"/>
    </xf>
    <xf numFmtId="3" fontId="40" fillId="27" borderId="7" xfId="0" applyNumberFormat="1" applyFont="1" applyFill="1" applyBorder="1" applyAlignment="1">
      <alignment horizontal="center" vertical="center"/>
    </xf>
    <xf numFmtId="3" fontId="40" fillId="27" borderId="53" xfId="0" applyNumberFormat="1" applyFont="1" applyFill="1" applyBorder="1" applyAlignment="1">
      <alignment horizontal="center" vertical="center"/>
    </xf>
    <xf numFmtId="173" fontId="40" fillId="27" borderId="17" xfId="70" applyNumberFormat="1" applyFont="1" applyFill="1" applyBorder="1" applyAlignment="1" applyProtection="1">
      <alignment horizontal="center" vertical="center"/>
    </xf>
    <xf numFmtId="3" fontId="41" fillId="27" borderId="52" xfId="0" applyNumberFormat="1" applyFont="1" applyFill="1" applyBorder="1" applyAlignment="1">
      <alignment horizontal="center" vertical="center"/>
    </xf>
    <xf numFmtId="3" fontId="41" fillId="27" borderId="7" xfId="0" applyNumberFormat="1" applyFont="1" applyFill="1" applyBorder="1" applyAlignment="1">
      <alignment horizontal="center" vertical="center"/>
    </xf>
    <xf numFmtId="3" fontId="41" fillId="27" borderId="53" xfId="0" applyNumberFormat="1" applyFont="1" applyFill="1" applyBorder="1" applyAlignment="1">
      <alignment horizontal="center" vertical="center"/>
    </xf>
    <xf numFmtId="173" fontId="41" fillId="27" borderId="17" xfId="70" applyNumberFormat="1" applyFont="1" applyFill="1" applyBorder="1" applyAlignment="1" applyProtection="1">
      <alignment horizontal="center" vertical="center"/>
    </xf>
    <xf numFmtId="3" fontId="41" fillId="27" borderId="49" xfId="0" applyNumberFormat="1" applyFont="1" applyFill="1" applyBorder="1" applyAlignment="1">
      <alignment horizontal="center" vertical="center"/>
    </xf>
    <xf numFmtId="3" fontId="41" fillId="27" borderId="31" xfId="0" applyNumberFormat="1" applyFont="1" applyFill="1" applyBorder="1" applyAlignment="1">
      <alignment horizontal="center" vertical="center"/>
    </xf>
    <xf numFmtId="3" fontId="41" fillId="27" borderId="50" xfId="0" applyNumberFormat="1" applyFont="1" applyFill="1" applyBorder="1" applyAlignment="1">
      <alignment horizontal="center" vertical="center"/>
    </xf>
    <xf numFmtId="173" fontId="41" fillId="27" borderId="5" xfId="70" applyNumberFormat="1" applyFont="1" applyFill="1" applyBorder="1" applyAlignment="1" applyProtection="1">
      <alignment horizontal="center" vertical="center"/>
    </xf>
    <xf numFmtId="173" fontId="40" fillId="27" borderId="5" xfId="70" applyNumberFormat="1" applyFont="1" applyFill="1" applyBorder="1" applyAlignment="1" applyProtection="1">
      <alignment horizontal="center" vertical="center"/>
    </xf>
    <xf numFmtId="3" fontId="57" fillId="26" borderId="32" xfId="80" applyNumberFormat="1" applyFont="1" applyFill="1" applyBorder="1" applyAlignment="1">
      <alignment horizontal="center" vertical="center"/>
    </xf>
    <xf numFmtId="3" fontId="57" fillId="26" borderId="53" xfId="80" applyNumberFormat="1" applyFont="1" applyFill="1" applyBorder="1" applyAlignment="1">
      <alignment horizontal="center" vertical="center"/>
    </xf>
    <xf numFmtId="3" fontId="57" fillId="26" borderId="30" xfId="80" applyNumberFormat="1" applyFont="1" applyFill="1" applyBorder="1" applyAlignment="1">
      <alignment horizontal="center" vertical="center"/>
    </xf>
    <xf numFmtId="3" fontId="57" fillId="26" borderId="77" xfId="80" applyNumberFormat="1" applyFont="1" applyFill="1" applyBorder="1" applyAlignment="1">
      <alignment horizontal="center" vertical="center"/>
    </xf>
    <xf numFmtId="3" fontId="57" fillId="26" borderId="28" xfId="80" applyNumberFormat="1" applyFont="1" applyFill="1" applyBorder="1" applyAlignment="1">
      <alignment horizontal="center" vertical="center"/>
    </xf>
    <xf numFmtId="3" fontId="57" fillId="26" borderId="78" xfId="80" applyNumberFormat="1" applyFont="1" applyFill="1" applyBorder="1" applyAlignment="1">
      <alignment horizontal="center" vertical="center"/>
    </xf>
    <xf numFmtId="3" fontId="57" fillId="26" borderId="57" xfId="80" applyNumberFormat="1" applyFont="1" applyFill="1" applyBorder="1" applyAlignment="1">
      <alignment horizontal="center" vertical="center"/>
    </xf>
    <xf numFmtId="3" fontId="57" fillId="0" borderId="69" xfId="80" applyNumberFormat="1" applyFont="1" applyBorder="1" applyAlignment="1">
      <alignment horizontal="center" vertical="center"/>
    </xf>
    <xf numFmtId="3" fontId="57" fillId="0" borderId="18" xfId="80" applyNumberFormat="1" applyFont="1" applyBorder="1" applyAlignment="1">
      <alignment horizontal="center" vertical="center"/>
    </xf>
    <xf numFmtId="3" fontId="57" fillId="0" borderId="56" xfId="80" applyNumberFormat="1" applyFont="1" applyBorder="1" applyAlignment="1">
      <alignment horizontal="center" vertical="center"/>
    </xf>
    <xf numFmtId="3" fontId="57" fillId="0" borderId="4" xfId="80" applyNumberFormat="1" applyFont="1" applyBorder="1" applyAlignment="1">
      <alignment horizontal="center" vertical="center"/>
    </xf>
    <xf numFmtId="3" fontId="57" fillId="0" borderId="77" xfId="80" applyNumberFormat="1" applyFont="1" applyBorder="1" applyAlignment="1">
      <alignment horizontal="center" vertical="center"/>
    </xf>
    <xf numFmtId="3" fontId="57" fillId="0" borderId="57" xfId="80" applyNumberFormat="1" applyFont="1" applyBorder="1" applyAlignment="1">
      <alignment horizontal="center" vertical="center"/>
    </xf>
    <xf numFmtId="3" fontId="57" fillId="0" borderId="31" xfId="80" applyNumberFormat="1" applyFont="1" applyBorder="1" applyAlignment="1">
      <alignment horizontal="center" vertical="center"/>
    </xf>
    <xf numFmtId="3" fontId="57" fillId="0" borderId="53" xfId="80" applyNumberFormat="1" applyFont="1" applyBorder="1" applyAlignment="1">
      <alignment horizontal="center" vertical="center"/>
    </xf>
    <xf numFmtId="3" fontId="12" fillId="26" borderId="90" xfId="88" applyNumberFormat="1" applyFont="1" applyFill="1" applyBorder="1" applyAlignment="1">
      <alignment horizontal="center" vertical="center" wrapText="1"/>
    </xf>
    <xf numFmtId="3" fontId="12" fillId="26" borderId="112" xfId="88" applyNumberFormat="1" applyFont="1" applyFill="1" applyBorder="1" applyAlignment="1">
      <alignment horizontal="center" vertical="center" wrapText="1"/>
    </xf>
    <xf numFmtId="3" fontId="12" fillId="26" borderId="91" xfId="88" applyNumberFormat="1" applyFont="1" applyFill="1" applyBorder="1" applyAlignment="1">
      <alignment horizontal="center" vertical="center" wrapText="1"/>
    </xf>
    <xf numFmtId="3" fontId="12" fillId="26" borderId="72" xfId="88" applyNumberFormat="1" applyFont="1" applyFill="1" applyBorder="1" applyAlignment="1">
      <alignment horizontal="center" vertical="center" wrapText="1"/>
    </xf>
    <xf numFmtId="3" fontId="12" fillId="26" borderId="73" xfId="88" applyNumberFormat="1" applyFont="1" applyFill="1" applyBorder="1" applyAlignment="1">
      <alignment horizontal="center" vertical="center" wrapText="1"/>
    </xf>
    <xf numFmtId="3" fontId="12" fillId="26" borderId="49" xfId="88" applyNumberFormat="1" applyFont="1" applyFill="1" applyBorder="1" applyAlignment="1">
      <alignment horizontal="center" vertical="center" wrapText="1"/>
    </xf>
    <xf numFmtId="3" fontId="12" fillId="26" borderId="44" xfId="88" applyNumberFormat="1" applyFont="1" applyFill="1" applyBorder="1" applyAlignment="1">
      <alignment horizontal="center" vertical="center" wrapText="1"/>
    </xf>
    <xf numFmtId="173" fontId="43" fillId="26" borderId="44" xfId="70" applyNumberFormat="1" applyFont="1" applyFill="1" applyBorder="1" applyAlignment="1" applyProtection="1">
      <alignment horizontal="center" vertical="center" wrapText="1"/>
    </xf>
    <xf numFmtId="10" fontId="119" fillId="26" borderId="31" xfId="70" applyNumberFormat="1" applyFont="1" applyFill="1" applyBorder="1" applyAlignment="1" applyProtection="1">
      <alignment horizontal="center" vertical="center" wrapText="1"/>
    </xf>
    <xf numFmtId="10" fontId="119" fillId="26" borderId="50" xfId="70" applyNumberFormat="1" applyFont="1" applyFill="1" applyBorder="1" applyAlignment="1" applyProtection="1">
      <alignment horizontal="center" vertical="center" wrapText="1"/>
    </xf>
    <xf numFmtId="3" fontId="116" fillId="20" borderId="72" xfId="88" applyNumberFormat="1" applyFont="1" applyFill="1" applyBorder="1" applyAlignment="1">
      <alignment horizontal="center" vertical="center" wrapText="1"/>
    </xf>
    <xf numFmtId="3" fontId="116" fillId="20" borderId="73" xfId="88" applyNumberFormat="1" applyFont="1" applyFill="1" applyBorder="1" applyAlignment="1">
      <alignment horizontal="center" vertical="center" wrapText="1"/>
    </xf>
    <xf numFmtId="3" fontId="116" fillId="20" borderId="76" xfId="88" applyNumberFormat="1" applyFont="1" applyFill="1" applyBorder="1" applyAlignment="1">
      <alignment horizontal="center" vertical="center" wrapText="1"/>
    </xf>
    <xf numFmtId="3" fontId="116" fillId="20" borderId="32" xfId="88" applyNumberFormat="1" applyFont="1" applyFill="1" applyBorder="1" applyAlignment="1">
      <alignment horizontal="center" vertical="center" wrapText="1"/>
    </xf>
    <xf numFmtId="3" fontId="116" fillId="20" borderId="7" xfId="88" applyNumberFormat="1" applyFont="1" applyFill="1" applyBorder="1" applyAlignment="1">
      <alignment horizontal="center" vertical="center" wrapText="1"/>
    </xf>
    <xf numFmtId="3" fontId="116" fillId="20" borderId="53" xfId="88" applyNumberFormat="1" applyFont="1" applyFill="1" applyBorder="1" applyAlignment="1">
      <alignment horizontal="center" vertical="center" wrapText="1"/>
    </xf>
    <xf numFmtId="3" fontId="12" fillId="26" borderId="99" xfId="88" applyNumberFormat="1" applyFont="1" applyFill="1" applyBorder="1" applyAlignment="1">
      <alignment horizontal="center" vertical="center" wrapText="1"/>
    </xf>
    <xf numFmtId="3" fontId="12" fillId="26" borderId="113" xfId="88" applyNumberFormat="1" applyFont="1" applyFill="1" applyBorder="1" applyAlignment="1">
      <alignment horizontal="center" vertical="center" wrapText="1"/>
    </xf>
    <xf numFmtId="3" fontId="12" fillId="26" borderId="95" xfId="88" applyNumberFormat="1" applyFont="1" applyFill="1" applyBorder="1" applyAlignment="1">
      <alignment horizontal="center" vertical="center" wrapText="1"/>
    </xf>
    <xf numFmtId="3" fontId="117" fillId="26" borderId="24" xfId="88" applyNumberFormat="1" applyFont="1" applyFill="1" applyBorder="1" applyAlignment="1">
      <alignment horizontal="center" vertical="center" wrapText="1"/>
    </xf>
    <xf numFmtId="3" fontId="117" fillId="26" borderId="7" xfId="88" applyNumberFormat="1" applyFont="1" applyFill="1" applyBorder="1" applyAlignment="1">
      <alignment horizontal="center" vertical="center" wrapText="1"/>
    </xf>
    <xf numFmtId="3" fontId="117" fillId="26" borderId="15" xfId="88" applyNumberFormat="1" applyFont="1" applyFill="1" applyBorder="1" applyAlignment="1">
      <alignment horizontal="center" vertical="center" wrapText="1"/>
    </xf>
    <xf numFmtId="3" fontId="12" fillId="26" borderId="31" xfId="88" applyNumberFormat="1" applyFont="1" applyFill="1" applyBorder="1" applyAlignment="1">
      <alignment horizontal="center" vertical="center" wrapText="1"/>
    </xf>
    <xf numFmtId="10" fontId="119" fillId="26" borderId="61" xfId="70" applyNumberFormat="1" applyFont="1" applyFill="1" applyBorder="1" applyAlignment="1" applyProtection="1">
      <alignment horizontal="center" vertical="center" wrapText="1"/>
    </xf>
    <xf numFmtId="3" fontId="117" fillId="26" borderId="79" xfId="88" applyNumberFormat="1" applyFont="1" applyFill="1" applyBorder="1" applyAlignment="1">
      <alignment horizontal="center" vertical="center" wrapText="1"/>
    </xf>
    <xf numFmtId="0" fontId="41" fillId="26" borderId="29" xfId="49" applyFont="1" applyFill="1" applyBorder="1" applyAlignment="1">
      <alignment vertical="center" wrapText="1"/>
    </xf>
    <xf numFmtId="169" fontId="41" fillId="26" borderId="75" xfId="49" applyNumberFormat="1" applyFont="1" applyFill="1" applyBorder="1" applyAlignment="1">
      <alignment horizontal="center" vertical="center"/>
    </xf>
    <xf numFmtId="169" fontId="41" fillId="26" borderId="73" xfId="49" applyNumberFormat="1" applyFont="1" applyFill="1" applyBorder="1" applyAlignment="1">
      <alignment horizontal="center" vertical="center"/>
    </xf>
    <xf numFmtId="169" fontId="41" fillId="26" borderId="76" xfId="49" applyNumberFormat="1" applyFont="1" applyFill="1" applyBorder="1" applyAlignment="1">
      <alignment horizontal="center" vertical="center"/>
    </xf>
    <xf numFmtId="168" fontId="41" fillId="26" borderId="29" xfId="49" applyNumberFormat="1" applyFont="1" applyFill="1" applyBorder="1" applyAlignment="1">
      <alignment horizontal="center" vertical="center"/>
    </xf>
    <xf numFmtId="169" fontId="41" fillId="26" borderId="14" xfId="49" applyNumberFormat="1" applyFont="1" applyFill="1" applyBorder="1" applyAlignment="1">
      <alignment horizontal="center" vertical="center"/>
    </xf>
    <xf numFmtId="169" fontId="41" fillId="26" borderId="72" xfId="49" applyNumberFormat="1" applyFont="1" applyFill="1" applyBorder="1" applyAlignment="1">
      <alignment horizontal="center" vertical="center"/>
    </xf>
    <xf numFmtId="168" fontId="41" fillId="26" borderId="22" xfId="49" applyNumberFormat="1" applyFont="1" applyFill="1" applyBorder="1" applyAlignment="1">
      <alignment horizontal="center" vertical="center"/>
    </xf>
    <xf numFmtId="169" fontId="41" fillId="26" borderId="22" xfId="49" applyNumberFormat="1" applyFont="1" applyFill="1" applyBorder="1" applyAlignment="1">
      <alignment horizontal="center" vertical="center"/>
    </xf>
    <xf numFmtId="0" fontId="41" fillId="26" borderId="24" xfId="49" applyFont="1" applyFill="1" applyBorder="1" applyAlignment="1">
      <alignment vertical="center"/>
    </xf>
    <xf numFmtId="169" fontId="41" fillId="26" borderId="52" xfId="49" applyNumberFormat="1" applyFont="1" applyFill="1" applyBorder="1" applyAlignment="1">
      <alignment horizontal="center" vertical="center"/>
    </xf>
    <xf numFmtId="169" fontId="41" fillId="26" borderId="7" xfId="49" applyNumberFormat="1" applyFont="1" applyFill="1" applyBorder="1" applyAlignment="1">
      <alignment horizontal="center" vertical="center"/>
    </xf>
    <xf numFmtId="169" fontId="41" fillId="26" borderId="53" xfId="49" applyNumberFormat="1" applyFont="1" applyFill="1" applyBorder="1" applyAlignment="1">
      <alignment horizontal="center" vertical="center"/>
    </xf>
    <xf numFmtId="168" fontId="41" fillId="26" borderId="24" xfId="49" applyNumberFormat="1" applyFont="1" applyFill="1" applyBorder="1" applyAlignment="1">
      <alignment horizontal="center" vertical="center"/>
    </xf>
    <xf numFmtId="169" fontId="41" fillId="26" borderId="15" xfId="49" applyNumberFormat="1" applyFont="1" applyFill="1" applyBorder="1" applyAlignment="1">
      <alignment horizontal="center" vertical="center"/>
    </xf>
    <xf numFmtId="169" fontId="41" fillId="26" borderId="32" xfId="49" applyNumberFormat="1" applyFont="1" applyFill="1" applyBorder="1" applyAlignment="1">
      <alignment horizontal="center" vertical="center"/>
    </xf>
    <xf numFmtId="168" fontId="41" fillId="26" borderId="23" xfId="49" applyNumberFormat="1" applyFont="1" applyFill="1" applyBorder="1" applyAlignment="1">
      <alignment horizontal="center" vertical="center"/>
    </xf>
    <xf numFmtId="169" fontId="41" fillId="26" borderId="23" xfId="49" applyNumberFormat="1" applyFont="1" applyFill="1" applyBorder="1" applyAlignment="1">
      <alignment horizontal="center" vertical="center"/>
    </xf>
    <xf numFmtId="0" fontId="41" fillId="26" borderId="30" xfId="49" applyFont="1" applyFill="1" applyBorder="1" applyAlignment="1">
      <alignment vertical="center"/>
    </xf>
    <xf numFmtId="169" fontId="41" fillId="26" borderId="56" xfId="49" applyNumberFormat="1" applyFont="1" applyFill="1" applyBorder="1" applyAlignment="1">
      <alignment horizontal="center" vertical="center"/>
    </xf>
    <xf numFmtId="169" fontId="41" fillId="26" borderId="77" xfId="49" applyNumberFormat="1" applyFont="1" applyFill="1" applyBorder="1" applyAlignment="1">
      <alignment horizontal="center" vertical="center"/>
    </xf>
    <xf numFmtId="169" fontId="41" fillId="26" borderId="57" xfId="49" applyNumberFormat="1" applyFont="1" applyFill="1" applyBorder="1" applyAlignment="1">
      <alignment horizontal="center" vertical="center"/>
    </xf>
    <xf numFmtId="168" fontId="41" fillId="26" borderId="30" xfId="49" applyNumberFormat="1" applyFont="1" applyFill="1" applyBorder="1" applyAlignment="1">
      <alignment horizontal="center" vertical="center"/>
    </xf>
    <xf numFmtId="169" fontId="41" fillId="26" borderId="19" xfId="49" applyNumberFormat="1" applyFont="1" applyFill="1" applyBorder="1" applyAlignment="1">
      <alignment horizontal="center" vertical="center"/>
    </xf>
    <xf numFmtId="169" fontId="41" fillId="26" borderId="79" xfId="49" applyNumberFormat="1" applyFont="1" applyFill="1" applyBorder="1" applyAlignment="1">
      <alignment horizontal="center" vertical="center"/>
    </xf>
    <xf numFmtId="168" fontId="41" fillId="26" borderId="28" xfId="49" applyNumberFormat="1" applyFont="1" applyFill="1" applyBorder="1" applyAlignment="1">
      <alignment horizontal="center" vertical="center"/>
    </xf>
    <xf numFmtId="169" fontId="41" fillId="26" borderId="28" xfId="49" applyNumberFormat="1" applyFont="1" applyFill="1" applyBorder="1" applyAlignment="1">
      <alignment horizontal="center" vertical="center"/>
    </xf>
    <xf numFmtId="0" fontId="41" fillId="26" borderId="1" xfId="49" applyFont="1" applyFill="1" applyBorder="1" applyAlignment="1">
      <alignment vertical="center"/>
    </xf>
    <xf numFmtId="0" fontId="41" fillId="26" borderId="38" xfId="49" applyFont="1" applyFill="1" applyBorder="1" applyAlignment="1">
      <alignment horizontal="center" vertical="center"/>
    </xf>
    <xf numFmtId="0" fontId="41" fillId="26" borderId="9" xfId="49" applyFont="1" applyFill="1" applyBorder="1" applyAlignment="1">
      <alignment horizontal="center" vertical="center"/>
    </xf>
    <xf numFmtId="0" fontId="41" fillId="26" borderId="10" xfId="49" applyFont="1" applyFill="1" applyBorder="1" applyAlignment="1">
      <alignment horizontal="center" vertical="center"/>
    </xf>
    <xf numFmtId="168" fontId="40" fillId="26" borderId="1" xfId="49" applyNumberFormat="1" applyFont="1" applyFill="1" applyBorder="1" applyAlignment="1">
      <alignment horizontal="center" vertical="center"/>
    </xf>
    <xf numFmtId="0" fontId="40" fillId="26" borderId="3" xfId="49" applyFont="1" applyFill="1" applyBorder="1" applyAlignment="1">
      <alignment horizontal="center" vertical="center"/>
    </xf>
    <xf numFmtId="0" fontId="40" fillId="26" borderId="65" xfId="49" applyFont="1" applyFill="1" applyBorder="1" applyAlignment="1">
      <alignment horizontal="center" vertical="center"/>
    </xf>
    <xf numFmtId="0" fontId="40" fillId="26" borderId="9" xfId="49" applyFont="1" applyFill="1" applyBorder="1" applyAlignment="1">
      <alignment horizontal="center" vertical="center"/>
    </xf>
    <xf numFmtId="0" fontId="40" fillId="26" borderId="10" xfId="49" applyFont="1" applyFill="1" applyBorder="1" applyAlignment="1">
      <alignment horizontal="center" vertical="center"/>
    </xf>
    <xf numFmtId="168" fontId="40" fillId="26" borderId="8" xfId="49" applyNumberFormat="1" applyFont="1" applyFill="1" applyBorder="1" applyAlignment="1">
      <alignment horizontal="center" vertical="center"/>
    </xf>
    <xf numFmtId="0" fontId="40" fillId="26" borderId="8" xfId="49" applyFont="1" applyFill="1" applyBorder="1" applyAlignment="1">
      <alignment horizontal="center" vertical="center"/>
    </xf>
    <xf numFmtId="0" fontId="40" fillId="26" borderId="38" xfId="49" applyFont="1" applyFill="1" applyBorder="1" applyAlignment="1">
      <alignment horizontal="center" vertical="center"/>
    </xf>
    <xf numFmtId="0" fontId="41" fillId="26" borderId="29" xfId="49" applyFont="1" applyFill="1" applyBorder="1" applyAlignment="1">
      <alignment vertical="center"/>
    </xf>
    <xf numFmtId="3" fontId="41" fillId="26" borderId="75" xfId="49" applyNumberFormat="1" applyFont="1" applyFill="1" applyBorder="1" applyAlignment="1">
      <alignment horizontal="center" vertical="center"/>
    </xf>
    <xf numFmtId="3" fontId="41" fillId="26" borderId="73" xfId="49" applyNumberFormat="1" applyFont="1" applyFill="1" applyBorder="1" applyAlignment="1">
      <alignment horizontal="center" vertical="center"/>
    </xf>
    <xf numFmtId="3" fontId="41" fillId="26" borderId="76" xfId="49" applyNumberFormat="1" applyFont="1" applyFill="1" applyBorder="1" applyAlignment="1">
      <alignment horizontal="center" vertical="center"/>
    </xf>
    <xf numFmtId="168" fontId="41" fillId="29" borderId="29" xfId="49" applyNumberFormat="1" applyFont="1" applyFill="1" applyBorder="1" applyAlignment="1">
      <alignment horizontal="center" vertical="center"/>
    </xf>
    <xf numFmtId="3" fontId="41" fillId="29" borderId="14" xfId="49" applyNumberFormat="1" applyFont="1" applyFill="1" applyBorder="1" applyAlignment="1">
      <alignment horizontal="center" vertical="center"/>
    </xf>
    <xf numFmtId="3" fontId="41" fillId="29" borderId="72" xfId="49" applyNumberFormat="1" applyFont="1" applyFill="1" applyBorder="1" applyAlignment="1">
      <alignment horizontal="center" vertical="center"/>
    </xf>
    <xf numFmtId="3" fontId="41" fillId="29" borderId="73" xfId="49" applyNumberFormat="1" applyFont="1" applyFill="1" applyBorder="1" applyAlignment="1">
      <alignment horizontal="center" vertical="center"/>
    </xf>
    <xf numFmtId="3" fontId="41" fillId="29" borderId="76" xfId="49" applyNumberFormat="1" applyFont="1" applyFill="1" applyBorder="1" applyAlignment="1">
      <alignment horizontal="center" vertical="center"/>
    </xf>
    <xf numFmtId="168" fontId="41" fillId="29" borderId="22" xfId="49" applyNumberFormat="1" applyFont="1" applyFill="1" applyBorder="1" applyAlignment="1">
      <alignment horizontal="center" vertical="center"/>
    </xf>
    <xf numFmtId="3" fontId="41" fillId="29" borderId="22" xfId="49" applyNumberFormat="1" applyFont="1" applyFill="1" applyBorder="1" applyAlignment="1">
      <alignment horizontal="center" vertical="center"/>
    </xf>
    <xf numFmtId="3" fontId="41" fillId="29" borderId="75" xfId="49" applyNumberFormat="1" applyFont="1" applyFill="1" applyBorder="1" applyAlignment="1">
      <alignment horizontal="center" vertical="center"/>
    </xf>
    <xf numFmtId="0" fontId="108" fillId="26" borderId="52" xfId="49" applyFont="1" applyFill="1" applyBorder="1" applyAlignment="1">
      <alignment horizontal="center" vertical="center"/>
    </xf>
    <xf numFmtId="3" fontId="41" fillId="29" borderId="7" xfId="49" applyNumberFormat="1" applyFont="1" applyFill="1" applyBorder="1" applyAlignment="1">
      <alignment horizontal="center" vertical="center"/>
    </xf>
    <xf numFmtId="3" fontId="41" fillId="29" borderId="53" xfId="49" applyNumberFormat="1" applyFont="1" applyFill="1" applyBorder="1" applyAlignment="1">
      <alignment horizontal="center" vertical="center"/>
    </xf>
    <xf numFmtId="3" fontId="41" fillId="26" borderId="15" xfId="49" applyNumberFormat="1" applyFont="1" applyFill="1" applyBorder="1" applyAlignment="1">
      <alignment horizontal="center" vertical="center"/>
    </xf>
    <xf numFmtId="3" fontId="41" fillId="26" borderId="32" xfId="49" applyNumberFormat="1" applyFont="1" applyFill="1" applyBorder="1" applyAlignment="1">
      <alignment horizontal="center" vertical="center"/>
    </xf>
    <xf numFmtId="3" fontId="41" fillId="26" borderId="7" xfId="49" applyNumberFormat="1" applyFont="1" applyFill="1" applyBorder="1" applyAlignment="1">
      <alignment horizontal="center" vertical="center"/>
    </xf>
    <xf numFmtId="3" fontId="41" fillId="26" borderId="53" xfId="49" applyNumberFormat="1" applyFont="1" applyFill="1" applyBorder="1" applyAlignment="1">
      <alignment horizontal="center" vertical="center"/>
    </xf>
    <xf numFmtId="3" fontId="41" fillId="26" borderId="23" xfId="49" applyNumberFormat="1" applyFont="1" applyFill="1" applyBorder="1" applyAlignment="1">
      <alignment horizontal="center" vertical="center"/>
    </xf>
    <xf numFmtId="3" fontId="41" fillId="29" borderId="52" xfId="49" applyNumberFormat="1" applyFont="1" applyFill="1" applyBorder="1" applyAlignment="1">
      <alignment horizontal="center" vertical="center"/>
    </xf>
    <xf numFmtId="3" fontId="41" fillId="26" borderId="52" xfId="49" applyNumberFormat="1" applyFont="1" applyFill="1" applyBorder="1" applyAlignment="1">
      <alignment horizontal="center" vertical="center"/>
    </xf>
    <xf numFmtId="168" fontId="41" fillId="29" borderId="24" xfId="49" applyNumberFormat="1" applyFont="1" applyFill="1" applyBorder="1" applyAlignment="1">
      <alignment horizontal="center" vertical="center"/>
    </xf>
    <xf numFmtId="3" fontId="41" fillId="29" borderId="15" xfId="49" applyNumberFormat="1" applyFont="1" applyFill="1" applyBorder="1" applyAlignment="1">
      <alignment horizontal="center" vertical="center"/>
    </xf>
    <xf numFmtId="3" fontId="41" fillId="29" borderId="32" xfId="49" applyNumberFormat="1" applyFont="1" applyFill="1" applyBorder="1" applyAlignment="1">
      <alignment horizontal="center" vertical="center"/>
    </xf>
    <xf numFmtId="168" fontId="41" fillId="29" borderId="23" xfId="49" applyNumberFormat="1" applyFont="1" applyFill="1" applyBorder="1" applyAlignment="1">
      <alignment horizontal="center" vertical="center"/>
    </xf>
    <xf numFmtId="3" fontId="41" fillId="29" borderId="23" xfId="49" applyNumberFormat="1" applyFont="1" applyFill="1" applyBorder="1" applyAlignment="1">
      <alignment horizontal="center" vertical="center"/>
    </xf>
    <xf numFmtId="168" fontId="41" fillId="29" borderId="30" xfId="49" applyNumberFormat="1" applyFont="1" applyFill="1" applyBorder="1" applyAlignment="1">
      <alignment horizontal="right" vertical="center"/>
    </xf>
    <xf numFmtId="168" fontId="41" fillId="29" borderId="28" xfId="49" applyNumberFormat="1" applyFont="1" applyFill="1" applyBorder="1" applyAlignment="1">
      <alignment horizontal="right" vertical="center"/>
    </xf>
    <xf numFmtId="3" fontId="41" fillId="29" borderId="28" xfId="49" applyNumberFormat="1" applyFont="1" applyFill="1" applyBorder="1" applyAlignment="1">
      <alignment horizontal="right" vertical="center"/>
    </xf>
    <xf numFmtId="3" fontId="41" fillId="26" borderId="56" xfId="49" applyNumberFormat="1" applyFont="1" applyFill="1" applyBorder="1" applyAlignment="1">
      <alignment horizontal="center" vertical="center"/>
    </xf>
    <xf numFmtId="3" fontId="41" fillId="26" borderId="77" xfId="49" applyNumberFormat="1" applyFont="1" applyFill="1" applyBorder="1" applyAlignment="1">
      <alignment horizontal="center" vertical="center"/>
    </xf>
    <xf numFmtId="3" fontId="41" fillId="26" borderId="57" xfId="49" applyNumberFormat="1" applyFont="1" applyFill="1" applyBorder="1" applyAlignment="1">
      <alignment horizontal="center" vertical="center"/>
    </xf>
    <xf numFmtId="0" fontId="52" fillId="26" borderId="1" xfId="49" applyFont="1" applyFill="1" applyBorder="1" applyAlignment="1">
      <alignment vertical="center"/>
    </xf>
    <xf numFmtId="3" fontId="52" fillId="26" borderId="38" xfId="49" applyNumberFormat="1" applyFont="1" applyFill="1" applyBorder="1" applyAlignment="1">
      <alignment horizontal="center" vertical="center"/>
    </xf>
    <xf numFmtId="3" fontId="52" fillId="26" borderId="9" xfId="49" applyNumberFormat="1" applyFont="1" applyFill="1" applyBorder="1" applyAlignment="1">
      <alignment horizontal="center" vertical="center"/>
    </xf>
    <xf numFmtId="3" fontId="52" fillId="26" borderId="10" xfId="49" applyNumberFormat="1" applyFont="1" applyFill="1" applyBorder="1" applyAlignment="1">
      <alignment horizontal="center" vertical="center"/>
    </xf>
    <xf numFmtId="168" fontId="19" fillId="26" borderId="1" xfId="49" applyNumberFormat="1" applyFont="1" applyFill="1" applyBorder="1" applyAlignment="1">
      <alignment horizontal="center" vertical="center"/>
    </xf>
    <xf numFmtId="0" fontId="19" fillId="26" borderId="3" xfId="49" applyFont="1" applyFill="1" applyBorder="1" applyAlignment="1">
      <alignment horizontal="center" vertical="center"/>
    </xf>
    <xf numFmtId="0" fontId="19" fillId="26" borderId="65" xfId="49" applyFont="1" applyFill="1" applyBorder="1" applyAlignment="1">
      <alignment horizontal="center" vertical="center"/>
    </xf>
    <xf numFmtId="0" fontId="19" fillId="26" borderId="9" xfId="49" applyFont="1" applyFill="1" applyBorder="1" applyAlignment="1">
      <alignment horizontal="center" vertical="center"/>
    </xf>
    <xf numFmtId="0" fontId="19" fillId="26" borderId="10" xfId="49" applyFont="1" applyFill="1" applyBorder="1" applyAlignment="1">
      <alignment horizontal="center" vertical="center"/>
    </xf>
    <xf numFmtId="168" fontId="19" fillId="26" borderId="8" xfId="49" applyNumberFormat="1" applyFont="1" applyFill="1" applyBorder="1" applyAlignment="1">
      <alignment horizontal="center" vertical="center"/>
    </xf>
    <xf numFmtId="0" fontId="19" fillId="26" borderId="8" xfId="49" applyFont="1" applyFill="1" applyBorder="1" applyAlignment="1">
      <alignment horizontal="center" vertical="center"/>
    </xf>
    <xf numFmtId="0" fontId="19" fillId="26" borderId="38" xfId="49" applyFont="1" applyFill="1" applyBorder="1" applyAlignment="1">
      <alignment horizontal="center" vertical="center"/>
    </xf>
    <xf numFmtId="0" fontId="52" fillId="26" borderId="10" xfId="49" applyFont="1" applyFill="1" applyBorder="1" applyAlignment="1">
      <alignment horizontal="center" vertical="center"/>
    </xf>
    <xf numFmtId="3" fontId="41" fillId="28" borderId="4" xfId="32" applyNumberFormat="1" applyFont="1" applyFill="1" applyBorder="1" applyAlignment="1" applyProtection="1">
      <alignment horizontal="center" vertical="center"/>
      <protection locked="0"/>
    </xf>
    <xf numFmtId="3" fontId="41" fillId="28" borderId="67" xfId="32" applyNumberFormat="1" applyFont="1" applyFill="1" applyBorder="1" applyAlignment="1" applyProtection="1">
      <alignment horizontal="center" vertical="center"/>
      <protection locked="0"/>
    </xf>
    <xf numFmtId="0" fontId="40" fillId="0" borderId="19" xfId="31" applyFont="1" applyBorder="1" applyAlignment="1">
      <alignment horizontal="center" vertical="center" wrapText="1"/>
    </xf>
    <xf numFmtId="0" fontId="41" fillId="37" borderId="26" xfId="49" applyFont="1" applyFill="1" applyBorder="1" applyAlignment="1">
      <alignment horizontal="center" vertical="center" wrapText="1"/>
    </xf>
    <xf numFmtId="3" fontId="40" fillId="24" borderId="2" xfId="49" applyNumberFormat="1" applyFont="1" applyFill="1" applyBorder="1" applyAlignment="1">
      <alignment horizontal="center" vertical="center" wrapText="1"/>
    </xf>
    <xf numFmtId="3" fontId="41" fillId="27" borderId="5" xfId="49" applyNumberFormat="1" applyFont="1" applyFill="1" applyBorder="1" applyAlignment="1">
      <alignment horizontal="center" vertical="center" wrapText="1"/>
    </xf>
    <xf numFmtId="3" fontId="41" fillId="0" borderId="17" xfId="49" applyNumberFormat="1" applyFont="1" applyBorder="1" applyAlignment="1">
      <alignment horizontal="center" vertical="center" wrapText="1"/>
    </xf>
    <xf numFmtId="3" fontId="41" fillId="0" borderId="5" xfId="49" applyNumberFormat="1" applyFont="1" applyBorder="1" applyAlignment="1">
      <alignment horizontal="center" vertical="center" wrapText="1"/>
    </xf>
    <xf numFmtId="3" fontId="41" fillId="0" borderId="39" xfId="49" applyNumberFormat="1" applyFont="1" applyBorder="1" applyAlignment="1">
      <alignment horizontal="center" vertical="center" wrapText="1"/>
    </xf>
    <xf numFmtId="3" fontId="41" fillId="0" borderId="5" xfId="31" applyNumberFormat="1" applyFont="1" applyBorder="1" applyAlignment="1">
      <alignment horizontal="center" vertical="center" wrapText="1"/>
    </xf>
    <xf numFmtId="3" fontId="41" fillId="0" borderId="26" xfId="31" applyNumberFormat="1" applyFont="1" applyBorder="1" applyAlignment="1">
      <alignment horizontal="center" vertical="center" wrapText="1"/>
    </xf>
    <xf numFmtId="3" fontId="41" fillId="27" borderId="17" xfId="49" applyNumberFormat="1" applyFont="1" applyFill="1" applyBorder="1" applyAlignment="1">
      <alignment horizontal="center" vertical="center" wrapText="1"/>
    </xf>
    <xf numFmtId="3" fontId="41" fillId="0" borderId="17" xfId="31" applyNumberFormat="1" applyFont="1" applyBorder="1" applyAlignment="1">
      <alignment horizontal="center" vertical="center" wrapText="1"/>
    </xf>
    <xf numFmtId="3" fontId="40" fillId="0" borderId="2" xfId="31" applyNumberFormat="1" applyFont="1" applyBorder="1" applyAlignment="1">
      <alignment horizontal="center" vertical="center" wrapText="1"/>
    </xf>
    <xf numFmtId="3" fontId="40" fillId="0" borderId="51" xfId="31" applyNumberFormat="1" applyFont="1" applyBorder="1" applyAlignment="1">
      <alignment horizontal="center" vertical="center" wrapText="1"/>
    </xf>
    <xf numFmtId="9" fontId="41" fillId="0" borderId="7" xfId="1" applyFont="1" applyFill="1" applyBorder="1" applyAlignment="1" applyProtection="1">
      <alignment horizontal="center" vertical="center" wrapText="1"/>
    </xf>
    <xf numFmtId="9" fontId="41" fillId="0" borderId="62" xfId="1" applyFont="1" applyFill="1" applyBorder="1" applyAlignment="1" applyProtection="1">
      <alignment horizontal="center" vertical="center" wrapText="1"/>
    </xf>
    <xf numFmtId="9" fontId="41" fillId="0" borderId="77" xfId="1" applyFont="1" applyFill="1" applyBorder="1" applyAlignment="1" applyProtection="1">
      <alignment horizontal="center" vertical="center" wrapText="1"/>
    </xf>
    <xf numFmtId="9" fontId="41" fillId="0" borderId="78" xfId="1" applyFont="1" applyFill="1" applyBorder="1" applyAlignment="1" applyProtection="1">
      <alignment horizontal="center" vertical="center" wrapText="1"/>
    </xf>
    <xf numFmtId="9" fontId="41" fillId="0" borderId="73" xfId="1" applyFont="1" applyFill="1" applyBorder="1" applyAlignment="1" applyProtection="1">
      <alignment horizontal="center" vertical="center" wrapText="1"/>
    </xf>
    <xf numFmtId="9" fontId="41" fillId="0" borderId="72" xfId="1" applyFont="1" applyFill="1" applyBorder="1" applyAlignment="1" applyProtection="1">
      <alignment horizontal="center" vertical="center" wrapText="1"/>
    </xf>
    <xf numFmtId="9" fontId="41" fillId="0" borderId="22" xfId="1" applyFont="1" applyFill="1" applyBorder="1" applyAlignment="1" applyProtection="1">
      <alignment horizontal="center" vertical="center" wrapText="1"/>
    </xf>
    <xf numFmtId="9" fontId="41" fillId="0" borderId="23" xfId="1" applyFont="1" applyFill="1" applyBorder="1" applyAlignment="1" applyProtection="1">
      <alignment horizontal="center" vertical="center" wrapText="1"/>
    </xf>
    <xf numFmtId="9" fontId="41" fillId="0" borderId="32" xfId="1" applyFont="1" applyFill="1" applyBorder="1" applyAlignment="1" applyProtection="1">
      <alignment horizontal="center" vertical="center" wrapText="1"/>
    </xf>
    <xf numFmtId="3" fontId="41" fillId="33" borderId="44" xfId="49" applyNumberFormat="1" applyFont="1" applyFill="1" applyBorder="1" applyAlignment="1">
      <alignment horizontal="center" vertical="center" wrapText="1"/>
    </xf>
    <xf numFmtId="3" fontId="41" fillId="33" borderId="31" xfId="49" applyNumberFormat="1" applyFont="1" applyFill="1" applyBorder="1" applyAlignment="1">
      <alignment horizontal="center" vertical="center" wrapText="1"/>
    </xf>
    <xf numFmtId="3" fontId="41" fillId="26" borderId="32" xfId="49" applyNumberFormat="1" applyFont="1" applyFill="1" applyBorder="1" applyAlignment="1">
      <alignment horizontal="center" vertical="center" wrapText="1"/>
    </xf>
    <xf numFmtId="3" fontId="41" fillId="26" borderId="7" xfId="49" applyNumberFormat="1" applyFont="1" applyFill="1" applyBorder="1" applyAlignment="1">
      <alignment horizontal="center" vertical="center" wrapText="1"/>
    </xf>
    <xf numFmtId="3" fontId="41" fillId="33" borderId="32" xfId="49" applyNumberFormat="1" applyFont="1" applyFill="1" applyBorder="1" applyAlignment="1">
      <alignment horizontal="center" vertical="center" wrapText="1"/>
    </xf>
    <xf numFmtId="3" fontId="41" fillId="33" borderId="7" xfId="49" applyNumberFormat="1" applyFont="1" applyFill="1" applyBorder="1" applyAlignment="1">
      <alignment horizontal="center" vertical="center" wrapText="1"/>
    </xf>
    <xf numFmtId="3" fontId="41" fillId="0" borderId="7" xfId="49" applyNumberFormat="1" applyFont="1" applyBorder="1" applyAlignment="1">
      <alignment horizontal="center" vertical="center" wrapText="1"/>
    </xf>
    <xf numFmtId="3" fontId="41" fillId="0" borderId="79" xfId="49" applyNumberFormat="1" applyFont="1" applyBorder="1" applyAlignment="1">
      <alignment horizontal="center" vertical="center" wrapText="1"/>
    </xf>
    <xf numFmtId="3" fontId="41" fillId="0" borderId="77" xfId="49" applyNumberFormat="1" applyFont="1" applyBorder="1" applyAlignment="1">
      <alignment horizontal="center" vertical="center" wrapText="1"/>
    </xf>
    <xf numFmtId="3" fontId="41" fillId="0" borderId="22" xfId="49" applyNumberFormat="1" applyFont="1" applyBorder="1" applyAlignment="1">
      <alignment horizontal="center" vertical="center" wrapText="1"/>
    </xf>
    <xf numFmtId="3" fontId="41" fillId="0" borderId="72" xfId="49" applyNumberFormat="1" applyFont="1" applyBorder="1" applyAlignment="1">
      <alignment horizontal="center" vertical="center" wrapText="1"/>
    </xf>
    <xf numFmtId="3" fontId="41" fillId="0" borderId="23" xfId="49" applyNumberFormat="1" applyFont="1" applyBorder="1" applyAlignment="1">
      <alignment horizontal="center" vertical="center" wrapText="1"/>
    </xf>
    <xf numFmtId="3" fontId="41" fillId="33" borderId="23" xfId="49" applyNumberFormat="1" applyFont="1" applyFill="1" applyBorder="1" applyAlignment="1">
      <alignment horizontal="center" vertical="center" wrapText="1"/>
    </xf>
    <xf numFmtId="3" fontId="41" fillId="26" borderId="23" xfId="49" applyNumberFormat="1" applyFont="1" applyFill="1" applyBorder="1" applyAlignment="1">
      <alignment horizontal="center" vertical="center" wrapText="1"/>
    </xf>
    <xf numFmtId="3" fontId="41" fillId="33" borderId="33" xfId="49" applyNumberFormat="1" applyFont="1" applyFill="1" applyBorder="1" applyAlignment="1">
      <alignment horizontal="center" vertical="center" wrapText="1"/>
    </xf>
    <xf numFmtId="3" fontId="41" fillId="0" borderId="73" xfId="49" applyNumberFormat="1" applyFont="1" applyBorder="1" applyAlignment="1">
      <alignment horizontal="center" vertical="center" wrapText="1"/>
    </xf>
    <xf numFmtId="3" fontId="41" fillId="0" borderId="81" xfId="49" applyNumberFormat="1" applyFont="1" applyBorder="1" applyAlignment="1">
      <alignment horizontal="center" vertical="center" wrapText="1"/>
    </xf>
    <xf numFmtId="3" fontId="40" fillId="24" borderId="9" xfId="49" applyNumberFormat="1" applyFont="1" applyFill="1" applyBorder="1" applyAlignment="1">
      <alignment horizontal="center" vertical="center" wrapText="1"/>
    </xf>
    <xf numFmtId="3" fontId="40" fillId="24" borderId="8" xfId="49" applyNumberFormat="1" applyFont="1" applyFill="1" applyBorder="1" applyAlignment="1">
      <alignment horizontal="center" vertical="center" wrapText="1"/>
    </xf>
    <xf numFmtId="3" fontId="41" fillId="33" borderId="62" xfId="49" applyNumberFormat="1" applyFont="1" applyFill="1" applyBorder="1" applyAlignment="1">
      <alignment horizontal="center" vertical="center" wrapText="1"/>
    </xf>
    <xf numFmtId="3" fontId="40" fillId="24" borderId="60" xfId="49" applyNumberFormat="1" applyFont="1" applyFill="1" applyBorder="1" applyAlignment="1">
      <alignment horizontal="center" vertical="center" wrapText="1"/>
    </xf>
    <xf numFmtId="3" fontId="41" fillId="26" borderId="28" xfId="49" applyNumberFormat="1" applyFont="1" applyFill="1" applyBorder="1" applyAlignment="1">
      <alignment horizontal="center" vertical="center" wrapText="1"/>
    </xf>
    <xf numFmtId="3" fontId="41" fillId="26" borderId="77" xfId="49" applyNumberFormat="1" applyFont="1" applyFill="1" applyBorder="1" applyAlignment="1">
      <alignment horizontal="center" vertical="center" wrapText="1"/>
    </xf>
    <xf numFmtId="3" fontId="40" fillId="0" borderId="8" xfId="31" applyNumberFormat="1" applyFont="1" applyBorder="1" applyAlignment="1">
      <alignment horizontal="center" vertical="center" wrapText="1"/>
    </xf>
    <xf numFmtId="3" fontId="40" fillId="0" borderId="9" xfId="31" applyNumberFormat="1" applyFont="1" applyBorder="1" applyAlignment="1">
      <alignment horizontal="center" vertical="center" wrapText="1"/>
    </xf>
    <xf numFmtId="3" fontId="40" fillId="0" borderId="8" xfId="49" applyNumberFormat="1" applyFont="1" applyBorder="1" applyAlignment="1">
      <alignment horizontal="center" vertical="center" wrapText="1"/>
    </xf>
    <xf numFmtId="3" fontId="40" fillId="0" borderId="9" xfId="49" applyNumberFormat="1" applyFont="1" applyBorder="1" applyAlignment="1">
      <alignment horizontal="center" vertical="center" wrapText="1"/>
    </xf>
    <xf numFmtId="3" fontId="40" fillId="0" borderId="23" xfId="49" applyNumberFormat="1" applyFont="1" applyBorder="1" applyAlignment="1">
      <alignment horizontal="center" vertical="center" wrapText="1"/>
    </xf>
    <xf numFmtId="3" fontId="40" fillId="0" borderId="32" xfId="49" applyNumberFormat="1" applyFont="1" applyBorder="1" applyAlignment="1">
      <alignment horizontal="center" vertical="center" wrapText="1"/>
    </xf>
    <xf numFmtId="3" fontId="40" fillId="0" borderId="7" xfId="49" applyNumberFormat="1" applyFont="1" applyBorder="1" applyAlignment="1">
      <alignment horizontal="center" vertical="center" wrapText="1"/>
    </xf>
    <xf numFmtId="0" fontId="88" fillId="27" borderId="0" xfId="49" applyFont="1" applyFill="1" applyAlignment="1">
      <alignment vertical="center"/>
    </xf>
    <xf numFmtId="3" fontId="40" fillId="24" borderId="2" xfId="1" applyNumberFormat="1" applyFont="1" applyFill="1" applyBorder="1" applyAlignment="1" applyProtection="1">
      <alignment horizontal="center" vertical="center" wrapText="1"/>
    </xf>
    <xf numFmtId="3" fontId="41" fillId="33" borderId="5" xfId="1" applyNumberFormat="1" applyFont="1" applyFill="1" applyBorder="1" applyAlignment="1" applyProtection="1">
      <alignment horizontal="center" vertical="center" wrapText="1"/>
    </xf>
    <xf numFmtId="3" fontId="41" fillId="26" borderId="17" xfId="1" applyNumberFormat="1" applyFont="1" applyFill="1" applyBorder="1" applyAlignment="1" applyProtection="1">
      <alignment horizontal="center" vertical="center" wrapText="1"/>
    </xf>
    <xf numFmtId="3" fontId="41" fillId="33" borderId="17" xfId="1" applyNumberFormat="1" applyFont="1" applyFill="1" applyBorder="1" applyAlignment="1" applyProtection="1">
      <alignment horizontal="center" vertical="center" wrapText="1"/>
    </xf>
    <xf numFmtId="3" fontId="41" fillId="26" borderId="21" xfId="1" applyNumberFormat="1" applyFont="1" applyFill="1" applyBorder="1" applyAlignment="1" applyProtection="1">
      <alignment horizontal="center" vertical="center" wrapText="1"/>
    </xf>
    <xf numFmtId="3" fontId="40" fillId="0" borderId="2" xfId="1" applyNumberFormat="1" applyFont="1" applyFill="1" applyBorder="1" applyAlignment="1" applyProtection="1">
      <alignment horizontal="center" vertical="center" wrapText="1"/>
    </xf>
    <xf numFmtId="3" fontId="40" fillId="0" borderId="17" xfId="49" applyNumberFormat="1" applyFont="1" applyBorder="1" applyAlignment="1">
      <alignment horizontal="center" vertical="center" wrapText="1"/>
    </xf>
    <xf numFmtId="0" fontId="41" fillId="27" borderId="0" xfId="49" applyFont="1" applyFill="1" applyAlignment="1">
      <alignment vertical="center"/>
    </xf>
    <xf numFmtId="168" fontId="41" fillId="27" borderId="0" xfId="49" applyNumberFormat="1" applyFont="1" applyFill="1" applyAlignment="1">
      <alignment horizontal="center" vertical="center"/>
    </xf>
    <xf numFmtId="0" fontId="41" fillId="27" borderId="0" xfId="49" applyFont="1" applyFill="1" applyAlignment="1">
      <alignment horizontal="center" vertical="center"/>
    </xf>
    <xf numFmtId="168" fontId="40" fillId="27" borderId="0" xfId="49" applyNumberFormat="1" applyFont="1" applyFill="1" applyAlignment="1">
      <alignment horizontal="center" vertical="center"/>
    </xf>
    <xf numFmtId="0" fontId="40" fillId="27" borderId="0" xfId="49" applyFont="1" applyFill="1" applyAlignment="1">
      <alignment horizontal="center" vertical="center"/>
    </xf>
    <xf numFmtId="175" fontId="40" fillId="27" borderId="0" xfId="49" applyNumberFormat="1" applyFont="1" applyFill="1" applyAlignment="1">
      <alignment horizontal="center" vertical="center"/>
    </xf>
    <xf numFmtId="175" fontId="41" fillId="27" borderId="0" xfId="49" applyNumberFormat="1" applyFont="1" applyFill="1" applyAlignment="1">
      <alignment horizontal="center" vertical="center"/>
    </xf>
    <xf numFmtId="0" fontId="41" fillId="27" borderId="0" xfId="49" applyFont="1" applyFill="1" applyAlignment="1">
      <alignment horizontal="center" vertical="center" wrapText="1"/>
    </xf>
    <xf numFmtId="175" fontId="41" fillId="27" borderId="0" xfId="49" applyNumberFormat="1" applyFont="1" applyFill="1" applyAlignment="1">
      <alignment horizontal="center" vertical="center" wrapText="1"/>
    </xf>
    <xf numFmtId="3" fontId="41" fillId="0" borderId="17" xfId="1" applyNumberFormat="1" applyFont="1" applyFill="1" applyBorder="1" applyAlignment="1" applyProtection="1">
      <alignment horizontal="center" vertical="center" wrapText="1"/>
    </xf>
    <xf numFmtId="3" fontId="41" fillId="0" borderId="21" xfId="1" applyNumberFormat="1" applyFont="1" applyFill="1" applyBorder="1" applyAlignment="1" applyProtection="1">
      <alignment horizontal="center" vertical="center" wrapText="1"/>
    </xf>
    <xf numFmtId="3" fontId="41" fillId="0" borderId="39" xfId="1" applyNumberFormat="1" applyFont="1" applyFill="1" applyBorder="1" applyAlignment="1" applyProtection="1">
      <alignment horizontal="center" vertical="center" wrapText="1"/>
    </xf>
    <xf numFmtId="3" fontId="41" fillId="0" borderId="5" xfId="1" applyNumberFormat="1" applyFont="1" applyFill="1" applyBorder="1" applyAlignment="1" applyProtection="1">
      <alignment horizontal="center" vertical="center" wrapText="1"/>
    </xf>
    <xf numFmtId="3" fontId="41" fillId="0" borderId="51" xfId="1" applyNumberFormat="1" applyFont="1" applyFill="1" applyBorder="1" applyAlignment="1" applyProtection="1">
      <alignment horizontal="center" vertical="center" wrapText="1"/>
    </xf>
    <xf numFmtId="9" fontId="41" fillId="0" borderId="57" xfId="1" applyFont="1" applyFill="1" applyBorder="1" applyAlignment="1" applyProtection="1">
      <alignment horizontal="center" vertical="center" wrapText="1"/>
    </xf>
    <xf numFmtId="9" fontId="41" fillId="0" borderId="15" xfId="1" applyFont="1" applyFill="1" applyBorder="1" applyAlignment="1" applyProtection="1">
      <alignment horizontal="center" vertical="center" wrapText="1"/>
    </xf>
    <xf numFmtId="9" fontId="41" fillId="0" borderId="14" xfId="1" applyFont="1" applyFill="1" applyBorder="1" applyAlignment="1" applyProtection="1">
      <alignment horizontal="center" vertical="center" wrapText="1"/>
    </xf>
    <xf numFmtId="3" fontId="41" fillId="33" borderId="17" xfId="49" applyNumberFormat="1" applyFont="1" applyFill="1" applyBorder="1" applyAlignment="1">
      <alignment horizontal="center" vertical="center" wrapText="1"/>
    </xf>
    <xf numFmtId="3" fontId="41" fillId="33" borderId="5" xfId="49" applyNumberFormat="1" applyFont="1" applyFill="1" applyBorder="1" applyAlignment="1">
      <alignment horizontal="center" vertical="center" wrapText="1"/>
    </xf>
    <xf numFmtId="9" fontId="41" fillId="33" borderId="15" xfId="1" applyFont="1" applyFill="1" applyBorder="1" applyAlignment="1" applyProtection="1">
      <alignment horizontal="center" vertical="center" wrapText="1"/>
    </xf>
    <xf numFmtId="49" fontId="36" fillId="27" borderId="49" xfId="49" applyNumberFormat="1" applyFont="1" applyFill="1" applyBorder="1" applyAlignment="1">
      <alignment horizontal="left" vertical="center" wrapText="1"/>
    </xf>
    <xf numFmtId="0" fontId="36" fillId="27" borderId="50" xfId="49" applyFont="1" applyFill="1" applyBorder="1" applyAlignment="1">
      <alignment horizontal="left" vertical="center" wrapText="1"/>
    </xf>
    <xf numFmtId="3" fontId="36" fillId="27" borderId="5" xfId="49" applyNumberFormat="1" applyFont="1" applyFill="1" applyBorder="1" applyAlignment="1">
      <alignment horizontal="center" vertical="center" wrapText="1"/>
    </xf>
    <xf numFmtId="3" fontId="36" fillId="0" borderId="32" xfId="32" applyNumberFormat="1" applyFont="1" applyBorder="1" applyAlignment="1">
      <alignment horizontal="center" vertical="center"/>
    </xf>
    <xf numFmtId="9" fontId="36" fillId="0" borderId="7" xfId="1" applyFont="1" applyFill="1" applyBorder="1" applyAlignment="1" applyProtection="1">
      <alignment horizontal="center" vertical="center"/>
    </xf>
    <xf numFmtId="3" fontId="36" fillId="0" borderId="7" xfId="32" applyNumberFormat="1" applyFont="1" applyBorder="1" applyAlignment="1">
      <alignment horizontal="center" vertical="center"/>
    </xf>
    <xf numFmtId="9" fontId="36" fillId="0" borderId="62" xfId="1" applyFont="1" applyFill="1" applyBorder="1" applyAlignment="1" applyProtection="1">
      <alignment horizontal="center" vertical="center"/>
    </xf>
    <xf numFmtId="3" fontId="36" fillId="0" borderId="17" xfId="1" applyNumberFormat="1" applyFont="1" applyFill="1" applyBorder="1" applyAlignment="1" applyProtection="1">
      <alignment horizontal="center" vertical="center"/>
    </xf>
    <xf numFmtId="9" fontId="36" fillId="0" borderId="53" xfId="1" applyFont="1" applyFill="1" applyBorder="1" applyAlignment="1" applyProtection="1">
      <alignment horizontal="center" vertical="center"/>
    </xf>
    <xf numFmtId="3" fontId="36" fillId="0" borderId="23" xfId="32" applyNumberFormat="1" applyFont="1" applyBorder="1" applyAlignment="1">
      <alignment horizontal="center" vertical="center"/>
    </xf>
    <xf numFmtId="0" fontId="123" fillId="27" borderId="0" xfId="49" applyFont="1" applyFill="1" applyAlignment="1">
      <alignment vertical="center"/>
    </xf>
    <xf numFmtId="0" fontId="36" fillId="0" borderId="50" xfId="49" applyFont="1" applyBorder="1" applyAlignment="1">
      <alignment horizontal="left" vertical="center" wrapText="1"/>
    </xf>
    <xf numFmtId="3" fontId="36" fillId="0" borderId="5" xfId="49" applyNumberFormat="1" applyFont="1" applyBorder="1" applyAlignment="1">
      <alignment horizontal="center" vertical="center" wrapText="1"/>
    </xf>
    <xf numFmtId="49" fontId="36" fillId="27" borderId="52" xfId="49" applyNumberFormat="1" applyFont="1" applyFill="1" applyBorder="1" applyAlignment="1">
      <alignment horizontal="left" vertical="center" wrapText="1"/>
    </xf>
    <xf numFmtId="0" fontId="36" fillId="0" borderId="53" xfId="49" applyFont="1" applyBorder="1" applyAlignment="1">
      <alignment horizontal="left" vertical="center" wrapText="1"/>
    </xf>
    <xf numFmtId="3" fontId="36" fillId="0" borderId="17" xfId="49" applyNumberFormat="1" applyFont="1" applyBorder="1" applyAlignment="1">
      <alignment horizontal="center" vertical="center" wrapText="1"/>
    </xf>
    <xf numFmtId="3" fontId="36" fillId="0" borderId="32" xfId="49" applyNumberFormat="1" applyFont="1" applyBorder="1" applyAlignment="1">
      <alignment horizontal="center" vertical="center" wrapText="1"/>
    </xf>
    <xf numFmtId="9" fontId="36" fillId="0" borderId="7" xfId="1" applyFont="1" applyFill="1" applyBorder="1" applyAlignment="1" applyProtection="1">
      <alignment horizontal="center" vertical="center" wrapText="1"/>
    </xf>
    <xf numFmtId="3" fontId="36" fillId="0" borderId="7" xfId="49" applyNumberFormat="1" applyFont="1" applyBorder="1" applyAlignment="1">
      <alignment horizontal="center" vertical="center" wrapText="1"/>
    </xf>
    <xf numFmtId="9" fontId="36" fillId="0" borderId="62" xfId="1" applyFont="1" applyFill="1" applyBorder="1" applyAlignment="1" applyProtection="1">
      <alignment horizontal="center" vertical="center" wrapText="1"/>
    </xf>
    <xf numFmtId="3" fontId="36" fillId="0" borderId="17" xfId="1" applyNumberFormat="1" applyFont="1" applyFill="1" applyBorder="1" applyAlignment="1" applyProtection="1">
      <alignment horizontal="center" vertical="center" wrapText="1"/>
    </xf>
    <xf numFmtId="9" fontId="36" fillId="0" borderId="53" xfId="1" applyFont="1" applyFill="1" applyBorder="1" applyAlignment="1" applyProtection="1">
      <alignment horizontal="center" vertical="center" wrapText="1"/>
    </xf>
    <xf numFmtId="3" fontId="36" fillId="0" borderId="23" xfId="49" applyNumberFormat="1" applyFont="1" applyBorder="1" applyAlignment="1">
      <alignment horizontal="center" vertical="center" wrapText="1"/>
    </xf>
    <xf numFmtId="9" fontId="36" fillId="0" borderId="32" xfId="1" applyFont="1" applyFill="1" applyBorder="1" applyAlignment="1" applyProtection="1">
      <alignment horizontal="center" vertical="center" wrapText="1"/>
    </xf>
    <xf numFmtId="9" fontId="36" fillId="0" borderId="23" xfId="1" applyFont="1" applyFill="1" applyBorder="1" applyAlignment="1" applyProtection="1">
      <alignment horizontal="center" vertical="center" wrapText="1"/>
    </xf>
    <xf numFmtId="9" fontId="36" fillId="0" borderId="15" xfId="1" applyFont="1" applyFill="1" applyBorder="1" applyAlignment="1" applyProtection="1">
      <alignment horizontal="center" vertical="center" wrapText="1"/>
    </xf>
    <xf numFmtId="9" fontId="40" fillId="0" borderId="3" xfId="1" applyFont="1" applyFill="1" applyBorder="1" applyAlignment="1" applyProtection="1">
      <alignment horizontal="center" vertical="center" wrapText="1"/>
    </xf>
    <xf numFmtId="0" fontId="124" fillId="0" borderId="0" xfId="49" applyFont="1" applyAlignment="1">
      <alignment vertical="center"/>
    </xf>
    <xf numFmtId="0" fontId="124" fillId="27" borderId="0" xfId="49" applyFont="1" applyFill="1" applyAlignment="1">
      <alignment vertical="center"/>
    </xf>
    <xf numFmtId="9" fontId="40" fillId="0" borderId="7" xfId="1" applyFont="1" applyFill="1" applyBorder="1" applyAlignment="1" applyProtection="1">
      <alignment horizontal="center" vertical="center" wrapText="1"/>
    </xf>
    <xf numFmtId="9" fontId="40" fillId="0" borderId="32" xfId="1" applyFont="1" applyFill="1" applyBorder="1" applyAlignment="1" applyProtection="1">
      <alignment horizontal="center" vertical="center" wrapText="1"/>
    </xf>
    <xf numFmtId="9" fontId="40" fillId="0" borderId="23" xfId="1" applyFont="1" applyFill="1" applyBorder="1" applyAlignment="1" applyProtection="1">
      <alignment horizontal="center" vertical="center" wrapText="1"/>
    </xf>
    <xf numFmtId="9" fontId="40" fillId="0" borderId="15" xfId="1" applyFont="1" applyFill="1" applyBorder="1" applyAlignment="1" applyProtection="1">
      <alignment horizontal="center" vertical="center" wrapText="1"/>
    </xf>
    <xf numFmtId="3" fontId="40" fillId="0" borderId="17" xfId="1" applyNumberFormat="1" applyFont="1" applyFill="1" applyBorder="1" applyAlignment="1" applyProtection="1">
      <alignment horizontal="center" vertical="center" wrapText="1"/>
    </xf>
    <xf numFmtId="0" fontId="88" fillId="0" borderId="0" xfId="49" applyFont="1" applyAlignment="1">
      <alignment vertical="center"/>
    </xf>
    <xf numFmtId="0" fontId="125" fillId="27" borderId="0" xfId="49" applyFont="1" applyFill="1" applyAlignment="1">
      <alignment vertical="center"/>
    </xf>
    <xf numFmtId="3" fontId="41" fillId="27" borderId="7" xfId="49" applyNumberFormat="1" applyFont="1" applyFill="1" applyBorder="1" applyAlignment="1">
      <alignment horizontal="center" vertical="center" wrapText="1"/>
    </xf>
    <xf numFmtId="3" fontId="41" fillId="27" borderId="77" xfId="49" applyNumberFormat="1" applyFont="1" applyFill="1" applyBorder="1" applyAlignment="1">
      <alignment horizontal="center" vertical="center" wrapText="1"/>
    </xf>
    <xf numFmtId="3" fontId="41" fillId="27" borderId="31" xfId="49" applyNumberFormat="1" applyFont="1" applyFill="1" applyBorder="1" applyAlignment="1">
      <alignment horizontal="center" vertical="center" wrapText="1"/>
    </xf>
    <xf numFmtId="3" fontId="41" fillId="27" borderId="50" xfId="49" applyNumberFormat="1" applyFont="1" applyFill="1" applyBorder="1" applyAlignment="1">
      <alignment horizontal="center" vertical="center" wrapText="1"/>
    </xf>
    <xf numFmtId="3" fontId="41" fillId="27" borderId="52" xfId="49" applyNumberFormat="1" applyFont="1" applyFill="1" applyBorder="1" applyAlignment="1">
      <alignment horizontal="center" vertical="center" wrapText="1"/>
    </xf>
    <xf numFmtId="3" fontId="41" fillId="27" borderId="53" xfId="49" applyNumberFormat="1" applyFont="1" applyFill="1" applyBorder="1" applyAlignment="1">
      <alignment horizontal="center" vertical="center" wrapText="1"/>
    </xf>
    <xf numFmtId="3" fontId="41" fillId="27" borderId="56" xfId="49" applyNumberFormat="1" applyFont="1" applyFill="1" applyBorder="1" applyAlignment="1">
      <alignment horizontal="center" vertical="center" wrapText="1"/>
    </xf>
    <xf numFmtId="3" fontId="41" fillId="27" borderId="57" xfId="49" applyNumberFormat="1" applyFont="1" applyFill="1" applyBorder="1" applyAlignment="1">
      <alignment horizontal="center" vertical="center" wrapText="1"/>
    </xf>
    <xf numFmtId="3" fontId="41" fillId="27" borderId="49" xfId="49" applyNumberFormat="1" applyFont="1" applyFill="1" applyBorder="1" applyAlignment="1">
      <alignment horizontal="center" vertical="center" wrapText="1"/>
    </xf>
    <xf numFmtId="2" fontId="41" fillId="0" borderId="61" xfId="83" applyNumberFormat="1" applyFont="1" applyBorder="1" applyAlignment="1">
      <alignment horizontal="left" vertical="center" wrapText="1"/>
    </xf>
    <xf numFmtId="2" fontId="41" fillId="0" borderId="62" xfId="83" applyNumberFormat="1" applyFont="1" applyBorder="1" applyAlignment="1">
      <alignment horizontal="left" vertical="center" wrapText="1"/>
    </xf>
    <xf numFmtId="2" fontId="41" fillId="0" borderId="78" xfId="83" applyNumberFormat="1" applyFont="1" applyBorder="1" applyAlignment="1">
      <alignment horizontal="left" vertical="center" wrapText="1"/>
    </xf>
    <xf numFmtId="3" fontId="41" fillId="27" borderId="79" xfId="49" applyNumberFormat="1" applyFont="1" applyFill="1" applyBorder="1" applyAlignment="1">
      <alignment horizontal="center" vertical="center" wrapText="1"/>
    </xf>
    <xf numFmtId="2" fontId="41" fillId="37" borderId="26" xfId="83" applyNumberFormat="1" applyFont="1" applyFill="1" applyBorder="1" applyAlignment="1">
      <alignment horizontal="center" vertical="center" wrapText="1"/>
    </xf>
    <xf numFmtId="2" fontId="41" fillId="37" borderId="34" xfId="83" applyNumberFormat="1" applyFont="1" applyFill="1" applyBorder="1" applyAlignment="1">
      <alignment horizontal="center" vertical="center" wrapText="1"/>
    </xf>
    <xf numFmtId="49" fontId="41" fillId="20" borderId="52" xfId="32" applyNumberFormat="1" applyFont="1" applyFill="1" applyBorder="1" applyAlignment="1">
      <alignment horizontal="center" vertical="center" wrapText="1"/>
    </xf>
    <xf numFmtId="0" fontId="41" fillId="0" borderId="23" xfId="32" applyFont="1" applyBorder="1" applyAlignment="1">
      <alignment vertical="center" wrapText="1"/>
    </xf>
    <xf numFmtId="171" fontId="47" fillId="37" borderId="56" xfId="32" applyNumberFormat="1" applyFont="1" applyFill="1" applyBorder="1" applyAlignment="1">
      <alignment horizontal="center" vertical="center" wrapText="1"/>
    </xf>
    <xf numFmtId="171" fontId="47" fillId="37" borderId="77" xfId="32" applyNumberFormat="1" applyFont="1" applyFill="1" applyBorder="1" applyAlignment="1">
      <alignment horizontal="center" vertical="center" wrapText="1"/>
    </xf>
    <xf numFmtId="171" fontId="47" fillId="37" borderId="57" xfId="32" applyNumberFormat="1" applyFont="1" applyFill="1" applyBorder="1" applyAlignment="1">
      <alignment horizontal="center" vertical="center" wrapText="1"/>
    </xf>
    <xf numFmtId="9" fontId="41" fillId="0" borderId="76" xfId="1" applyFont="1" applyFill="1" applyBorder="1" applyAlignment="1" applyProtection="1">
      <alignment horizontal="center" vertical="center" wrapText="1"/>
    </xf>
    <xf numFmtId="9" fontId="40" fillId="0" borderId="53" xfId="1" applyFont="1" applyFill="1" applyBorder="1" applyAlignment="1" applyProtection="1">
      <alignment horizontal="center" vertical="center" wrapText="1"/>
    </xf>
    <xf numFmtId="3" fontId="40" fillId="24" borderId="1" xfId="49" applyNumberFormat="1" applyFont="1" applyFill="1" applyBorder="1" applyAlignment="1">
      <alignment horizontal="center" vertical="center" wrapText="1"/>
    </xf>
    <xf numFmtId="3" fontId="41" fillId="33" borderId="25" xfId="49" applyNumberFormat="1" applyFont="1" applyFill="1" applyBorder="1" applyAlignment="1">
      <alignment horizontal="center" vertical="center" wrapText="1"/>
    </xf>
    <xf numFmtId="3" fontId="12" fillId="0" borderId="24" xfId="32" applyNumberFormat="1" applyFont="1" applyBorder="1" applyAlignment="1">
      <alignment horizontal="center" vertical="center"/>
    </xf>
    <xf numFmtId="3" fontId="41" fillId="26" borderId="24" xfId="49" applyNumberFormat="1" applyFont="1" applyFill="1" applyBorder="1" applyAlignment="1">
      <alignment horizontal="center" vertical="center" wrapText="1"/>
    </xf>
    <xf numFmtId="3" fontId="42" fillId="0" borderId="24" xfId="49" applyNumberFormat="1" applyFont="1" applyBorder="1" applyAlignment="1">
      <alignment horizontal="center" vertical="center" wrapText="1"/>
    </xf>
    <xf numFmtId="3" fontId="41" fillId="0" borderId="24" xfId="49" applyNumberFormat="1" applyFont="1" applyBorder="1" applyAlignment="1">
      <alignment horizontal="center" vertical="center" wrapText="1"/>
    </xf>
    <xf numFmtId="3" fontId="40" fillId="0" borderId="1" xfId="31" applyNumberFormat="1" applyFont="1" applyBorder="1" applyAlignment="1">
      <alignment horizontal="center" vertical="center" wrapText="1"/>
    </xf>
    <xf numFmtId="3" fontId="40" fillId="0" borderId="1" xfId="49" applyNumberFormat="1" applyFont="1" applyBorder="1" applyAlignment="1">
      <alignment horizontal="center" vertical="center" wrapText="1"/>
    </xf>
    <xf numFmtId="3" fontId="42" fillId="26" borderId="24" xfId="49" applyNumberFormat="1" applyFont="1" applyFill="1" applyBorder="1" applyAlignment="1">
      <alignment horizontal="center" vertical="center" wrapText="1"/>
    </xf>
    <xf numFmtId="49" fontId="45" fillId="0" borderId="52" xfId="0" applyNumberFormat="1" applyFont="1" applyBorder="1" applyAlignment="1">
      <alignment horizontal="center" vertical="center" wrapText="1"/>
    </xf>
    <xf numFmtId="0" fontId="45" fillId="0" borderId="7" xfId="0" applyFont="1" applyBorder="1" applyAlignment="1">
      <alignment horizontal="left" vertical="center" wrapText="1"/>
    </xf>
    <xf numFmtId="0" fontId="45" fillId="0" borderId="7" xfId="0" applyFont="1" applyBorder="1" applyAlignment="1">
      <alignment horizontal="center" vertical="center" wrapText="1"/>
    </xf>
    <xf numFmtId="3" fontId="45" fillId="0" borderId="63" xfId="59" applyNumberFormat="1" applyFont="1" applyFill="1" applyBorder="1" applyAlignment="1" applyProtection="1">
      <alignment horizontal="center" vertical="center"/>
    </xf>
    <xf numFmtId="0" fontId="47" fillId="0" borderId="56" xfId="0" applyFont="1" applyBorder="1" applyAlignment="1">
      <alignment horizontal="center" vertical="center"/>
    </xf>
    <xf numFmtId="0" fontId="47" fillId="0" borderId="77" xfId="0" applyFont="1" applyBorder="1" applyAlignment="1">
      <alignment horizontal="left" vertical="center" wrapText="1"/>
    </xf>
    <xf numFmtId="0" fontId="47" fillId="0" borderId="77" xfId="0" applyFont="1" applyBorder="1" applyAlignment="1">
      <alignment horizontal="center" vertical="center" wrapText="1"/>
    </xf>
    <xf numFmtId="3" fontId="47" fillId="0" borderId="77" xfId="0" applyNumberFormat="1" applyFont="1" applyBorder="1" applyAlignment="1">
      <alignment horizontal="center" vertical="center"/>
    </xf>
    <xf numFmtId="0" fontId="15" fillId="26" borderId="0" xfId="83" applyFont="1" applyFill="1" applyAlignment="1">
      <alignment vertical="center" wrapText="1"/>
    </xf>
    <xf numFmtId="0" fontId="57" fillId="27" borderId="0" xfId="32" applyFont="1" applyFill="1" applyAlignment="1">
      <alignment horizontal="center" vertical="center"/>
    </xf>
    <xf numFmtId="0" fontId="57" fillId="27" borderId="0" xfId="32" applyFont="1" applyFill="1" applyAlignment="1">
      <alignment vertical="center"/>
    </xf>
    <xf numFmtId="0" fontId="57" fillId="27" borderId="0" xfId="32" applyFont="1" applyFill="1" applyAlignment="1">
      <alignment vertical="center" wrapText="1"/>
    </xf>
    <xf numFmtId="0" fontId="84" fillId="27" borderId="0" xfId="32" applyFont="1" applyFill="1" applyAlignment="1">
      <alignment horizontal="center" vertical="center"/>
    </xf>
    <xf numFmtId="0" fontId="57" fillId="27" borderId="0" xfId="32" applyFont="1" applyFill="1" applyAlignment="1">
      <alignment horizontal="center" vertical="center" wrapText="1"/>
    </xf>
    <xf numFmtId="0" fontId="84" fillId="27" borderId="0" xfId="32" applyFont="1" applyFill="1" applyAlignment="1">
      <alignment horizontal="left" vertical="center" wrapText="1"/>
    </xf>
    <xf numFmtId="0" fontId="127" fillId="27" borderId="0" xfId="32" applyFont="1" applyFill="1" applyAlignment="1">
      <alignment vertical="center"/>
    </xf>
    <xf numFmtId="0" fontId="62" fillId="27" borderId="0" xfId="32" applyFont="1" applyFill="1" applyAlignment="1">
      <alignment vertical="center"/>
    </xf>
    <xf numFmtId="3" fontId="57" fillId="3" borderId="49" xfId="32" applyNumberFormat="1" applyFont="1" applyFill="1" applyBorder="1" applyAlignment="1" applyProtection="1">
      <alignment horizontal="center" vertical="center"/>
      <protection locked="0"/>
    </xf>
    <xf numFmtId="3" fontId="57" fillId="3" borderId="50" xfId="32" applyNumberFormat="1" applyFont="1" applyFill="1" applyBorder="1" applyAlignment="1" applyProtection="1">
      <alignment horizontal="center" vertical="center"/>
      <protection locked="0"/>
    </xf>
    <xf numFmtId="3" fontId="57" fillId="3" borderId="44" xfId="32" applyNumberFormat="1" applyFont="1" applyFill="1" applyBorder="1" applyAlignment="1" applyProtection="1">
      <alignment horizontal="center" vertical="center"/>
      <protection locked="0"/>
    </xf>
    <xf numFmtId="3" fontId="57" fillId="3" borderId="31" xfId="32" applyNumberFormat="1" applyFont="1" applyFill="1" applyBorder="1" applyAlignment="1" applyProtection="1">
      <alignment horizontal="center" vertical="center"/>
      <protection locked="0"/>
    </xf>
    <xf numFmtId="3" fontId="57" fillId="3" borderId="61" xfId="32" applyNumberFormat="1" applyFont="1" applyFill="1" applyBorder="1" applyAlignment="1" applyProtection="1">
      <alignment horizontal="center" vertical="center"/>
      <protection locked="0"/>
    </xf>
    <xf numFmtId="3" fontId="57" fillId="3" borderId="25" xfId="32" applyNumberFormat="1" applyFont="1" applyFill="1" applyBorder="1" applyAlignment="1" applyProtection="1">
      <alignment horizontal="center" vertical="center"/>
      <protection locked="0"/>
    </xf>
    <xf numFmtId="3" fontId="57" fillId="3" borderId="5" xfId="32" applyNumberFormat="1" applyFont="1" applyFill="1" applyBorder="1" applyAlignment="1" applyProtection="1">
      <alignment horizontal="center" vertical="center"/>
      <protection locked="0"/>
    </xf>
    <xf numFmtId="3" fontId="57" fillId="3" borderId="52" xfId="32" applyNumberFormat="1" applyFont="1" applyFill="1" applyBorder="1" applyAlignment="1" applyProtection="1">
      <alignment horizontal="center" vertical="center"/>
      <protection locked="0"/>
    </xf>
    <xf numFmtId="3" fontId="57" fillId="3" borderId="53" xfId="32" applyNumberFormat="1" applyFont="1" applyFill="1" applyBorder="1" applyAlignment="1" applyProtection="1">
      <alignment horizontal="center" vertical="center"/>
      <protection locked="0"/>
    </xf>
    <xf numFmtId="3" fontId="57" fillId="3" borderId="32" xfId="32" applyNumberFormat="1" applyFont="1" applyFill="1" applyBorder="1" applyAlignment="1" applyProtection="1">
      <alignment horizontal="center" vertical="center"/>
      <protection locked="0"/>
    </xf>
    <xf numFmtId="3" fontId="57" fillId="3" borderId="7" xfId="32" applyNumberFormat="1" applyFont="1" applyFill="1" applyBorder="1" applyAlignment="1" applyProtection="1">
      <alignment horizontal="center" vertical="center"/>
      <protection locked="0"/>
    </xf>
    <xf numFmtId="3" fontId="57" fillId="3" borderId="62" xfId="32" applyNumberFormat="1" applyFont="1" applyFill="1" applyBorder="1" applyAlignment="1" applyProtection="1">
      <alignment horizontal="center" vertical="center"/>
      <protection locked="0"/>
    </xf>
    <xf numFmtId="3" fontId="57" fillId="3" borderId="24" xfId="32" applyNumberFormat="1" applyFont="1" applyFill="1" applyBorder="1" applyAlignment="1" applyProtection="1">
      <alignment horizontal="center" vertical="center"/>
      <protection locked="0"/>
    </xf>
    <xf numFmtId="3" fontId="57" fillId="3" borderId="17" xfId="32" applyNumberFormat="1" applyFont="1" applyFill="1" applyBorder="1" applyAlignment="1" applyProtection="1">
      <alignment horizontal="center" vertical="center" wrapText="1"/>
      <protection locked="0"/>
    </xf>
    <xf numFmtId="3" fontId="57" fillId="3" borderId="17" xfId="32" applyNumberFormat="1" applyFont="1" applyFill="1" applyBorder="1" applyAlignment="1" applyProtection="1">
      <alignment horizontal="center" vertical="center"/>
      <protection locked="0"/>
    </xf>
    <xf numFmtId="3" fontId="57" fillId="3" borderId="54" xfId="32" applyNumberFormat="1" applyFont="1" applyFill="1" applyBorder="1" applyAlignment="1" applyProtection="1">
      <alignment horizontal="center" vertical="center"/>
      <protection locked="0"/>
    </xf>
    <xf numFmtId="3" fontId="57" fillId="3" borderId="55" xfId="32" applyNumberFormat="1" applyFont="1" applyFill="1" applyBorder="1" applyAlignment="1" applyProtection="1">
      <alignment horizontal="center" vertical="center"/>
      <protection locked="0"/>
    </xf>
    <xf numFmtId="3" fontId="57" fillId="3" borderId="69" xfId="32" applyNumberFormat="1" applyFont="1" applyFill="1" applyBorder="1" applyAlignment="1" applyProtection="1">
      <alignment horizontal="center" vertical="center"/>
      <protection locked="0"/>
    </xf>
    <xf numFmtId="3" fontId="57" fillId="3" borderId="63" xfId="32" applyNumberFormat="1" applyFont="1" applyFill="1" applyBorder="1" applyAlignment="1" applyProtection="1">
      <alignment horizontal="center" vertical="center"/>
      <protection locked="0"/>
    </xf>
    <xf numFmtId="3" fontId="57" fillId="3" borderId="64" xfId="32" applyNumberFormat="1" applyFont="1" applyFill="1" applyBorder="1" applyAlignment="1" applyProtection="1">
      <alignment horizontal="center" vertical="center"/>
      <protection locked="0"/>
    </xf>
    <xf numFmtId="3" fontId="57" fillId="3" borderId="36" xfId="32" applyNumberFormat="1" applyFont="1" applyFill="1" applyBorder="1" applyAlignment="1" applyProtection="1">
      <alignment horizontal="center" vertical="center"/>
      <protection locked="0"/>
    </xf>
    <xf numFmtId="3" fontId="57" fillId="3" borderId="39" xfId="32" applyNumberFormat="1" applyFont="1" applyFill="1" applyBorder="1" applyAlignment="1" applyProtection="1">
      <alignment horizontal="center" vertical="center" wrapText="1"/>
      <protection locked="0"/>
    </xf>
    <xf numFmtId="3" fontId="57" fillId="3" borderId="5" xfId="32" applyNumberFormat="1" applyFont="1" applyFill="1" applyBorder="1" applyAlignment="1" applyProtection="1">
      <alignment horizontal="center" vertical="center" wrapText="1"/>
      <protection locked="0"/>
    </xf>
    <xf numFmtId="3" fontId="57" fillId="3" borderId="6" xfId="32" applyNumberFormat="1" applyFont="1" applyFill="1" applyBorder="1" applyAlignment="1" applyProtection="1">
      <alignment horizontal="center" vertical="center"/>
      <protection locked="0"/>
    </xf>
    <xf numFmtId="3" fontId="57" fillId="3" borderId="18" xfId="32" applyNumberFormat="1" applyFont="1" applyFill="1" applyBorder="1" applyAlignment="1" applyProtection="1">
      <alignment horizontal="center" vertical="center"/>
      <protection locked="0"/>
    </xf>
    <xf numFmtId="3" fontId="57" fillId="3" borderId="23" xfId="32" applyNumberFormat="1" applyFont="1" applyFill="1" applyBorder="1" applyAlignment="1" applyProtection="1">
      <alignment horizontal="center" vertical="center"/>
      <protection locked="0"/>
    </xf>
    <xf numFmtId="3" fontId="57" fillId="3" borderId="127" xfId="32" applyNumberFormat="1" applyFont="1" applyFill="1" applyBorder="1" applyAlignment="1" applyProtection="1">
      <alignment horizontal="center" vertical="center"/>
      <protection locked="0"/>
    </xf>
    <xf numFmtId="3" fontId="57" fillId="3" borderId="30" xfId="32" applyNumberFormat="1" applyFont="1" applyFill="1" applyBorder="1" applyAlignment="1" applyProtection="1">
      <alignment horizontal="center" vertical="center"/>
      <protection locked="0"/>
    </xf>
    <xf numFmtId="3" fontId="57" fillId="3" borderId="21" xfId="32" applyNumberFormat="1" applyFont="1" applyFill="1" applyBorder="1" applyAlignment="1" applyProtection="1">
      <alignment horizontal="center" vertical="center"/>
      <protection locked="0"/>
    </xf>
    <xf numFmtId="3" fontId="57" fillId="3" borderId="56" xfId="32" applyNumberFormat="1" applyFont="1" applyFill="1" applyBorder="1" applyAlignment="1" applyProtection="1">
      <alignment horizontal="center" vertical="center"/>
      <protection locked="0"/>
    </xf>
    <xf numFmtId="3" fontId="57" fillId="3" borderId="57" xfId="32" applyNumberFormat="1" applyFont="1" applyFill="1" applyBorder="1" applyAlignment="1" applyProtection="1">
      <alignment horizontal="center" vertical="center"/>
      <protection locked="0"/>
    </xf>
    <xf numFmtId="3" fontId="57" fillId="3" borderId="79" xfId="32" applyNumberFormat="1" applyFont="1" applyFill="1" applyBorder="1" applyAlignment="1" applyProtection="1">
      <alignment horizontal="center" vertical="center"/>
      <protection locked="0"/>
    </xf>
    <xf numFmtId="0" fontId="57" fillId="26" borderId="0" xfId="0" applyFont="1" applyFill="1" applyAlignment="1">
      <alignment vertical="center"/>
    </xf>
    <xf numFmtId="3" fontId="84" fillId="27" borderId="0" xfId="32" applyNumberFormat="1" applyFont="1" applyFill="1" applyAlignment="1">
      <alignment horizontal="center" vertical="center"/>
    </xf>
    <xf numFmtId="3" fontId="57" fillId="27" borderId="0" xfId="32" applyNumberFormat="1" applyFont="1" applyFill="1" applyAlignment="1">
      <alignment horizontal="center" vertical="center"/>
    </xf>
    <xf numFmtId="0" fontId="130" fillId="27" borderId="0" xfId="32" applyFont="1" applyFill="1" applyAlignment="1">
      <alignment vertical="center"/>
    </xf>
    <xf numFmtId="0" fontId="132" fillId="27" borderId="0" xfId="32" applyFont="1" applyFill="1" applyAlignment="1">
      <alignment vertical="center"/>
    </xf>
    <xf numFmtId="0" fontId="65" fillId="27" borderId="0" xfId="32" applyFont="1" applyFill="1" applyAlignment="1">
      <alignment vertical="center"/>
    </xf>
    <xf numFmtId="0" fontId="45" fillId="27" borderId="0" xfId="0" applyFont="1" applyFill="1" applyAlignment="1">
      <alignment vertical="center"/>
    </xf>
    <xf numFmtId="0" fontId="126" fillId="27" borderId="0" xfId="0" applyFont="1" applyFill="1" applyAlignment="1">
      <alignment horizontal="center" vertical="center"/>
    </xf>
    <xf numFmtId="0" fontId="45" fillId="27" borderId="0" xfId="0" applyFont="1" applyFill="1" applyAlignment="1">
      <alignment horizontal="center" vertical="center"/>
    </xf>
    <xf numFmtId="0" fontId="47" fillId="27" borderId="0" xfId="0" applyFont="1" applyFill="1" applyAlignment="1">
      <alignment vertical="center"/>
    </xf>
    <xf numFmtId="0" fontId="128" fillId="27" borderId="0" xfId="0" applyFont="1" applyFill="1" applyAlignment="1">
      <alignment horizontal="center" vertical="center"/>
    </xf>
    <xf numFmtId="0" fontId="47" fillId="27" borderId="0" xfId="0" applyFont="1" applyFill="1" applyAlignment="1">
      <alignment horizontal="center" vertical="center"/>
    </xf>
    <xf numFmtId="0" fontId="126" fillId="27" borderId="0" xfId="31" applyFont="1" applyFill="1" applyAlignment="1">
      <alignment horizontal="left" vertical="center"/>
    </xf>
    <xf numFmtId="0" fontId="78" fillId="27" borderId="0" xfId="49" applyFill="1" applyAlignment="1">
      <alignment vertical="center" wrapText="1"/>
    </xf>
    <xf numFmtId="0" fontId="14" fillId="27" borderId="0" xfId="49" applyFont="1" applyFill="1" applyAlignment="1">
      <alignment vertical="center" wrapText="1"/>
    </xf>
    <xf numFmtId="0" fontId="12" fillId="27" borderId="0" xfId="49" applyFont="1" applyFill="1" applyAlignment="1">
      <alignment horizontal="center" vertical="center"/>
    </xf>
    <xf numFmtId="0" fontId="92" fillId="27" borderId="0" xfId="49" applyFont="1" applyFill="1" applyAlignment="1">
      <alignment vertical="center"/>
    </xf>
    <xf numFmtId="0" fontId="0" fillId="0" borderId="0" xfId="0" applyAlignment="1">
      <alignment vertical="center"/>
    </xf>
    <xf numFmtId="0" fontId="14" fillId="0" borderId="0" xfId="0" applyFont="1" applyAlignment="1">
      <alignment vertical="center"/>
    </xf>
    <xf numFmtId="0" fontId="18" fillId="0" borderId="0" xfId="2" quotePrefix="1" applyFont="1" applyAlignment="1" applyProtection="1">
      <alignment vertical="center"/>
    </xf>
    <xf numFmtId="0" fontId="18" fillId="0" borderId="0" xfId="2" quotePrefix="1" applyFont="1" applyFill="1" applyAlignment="1" applyProtection="1">
      <alignment vertical="center"/>
    </xf>
    <xf numFmtId="0" fontId="17" fillId="0" borderId="0" xfId="2" quotePrefix="1" applyAlignment="1" applyProtection="1">
      <alignment vertical="center"/>
    </xf>
    <xf numFmtId="0" fontId="55" fillId="0" borderId="0" xfId="0" applyFont="1" applyAlignment="1">
      <alignment vertical="center"/>
    </xf>
    <xf numFmtId="0" fontId="34" fillId="0" borderId="0" xfId="0" applyFont="1" applyAlignment="1">
      <alignment vertical="center"/>
    </xf>
    <xf numFmtId="171" fontId="47" fillId="37" borderId="9" xfId="0" applyNumberFormat="1" applyFont="1" applyFill="1" applyBorder="1" applyAlignment="1">
      <alignment horizontal="center" vertical="center" wrapText="1"/>
    </xf>
    <xf numFmtId="171" fontId="47" fillId="37" borderId="10" xfId="0" applyNumberFormat="1" applyFont="1" applyFill="1" applyBorder="1" applyAlignment="1">
      <alignment horizontal="center" vertical="center" wrapText="1"/>
    </xf>
    <xf numFmtId="0" fontId="12" fillId="0" borderId="0" xfId="40" quotePrefix="1" applyFont="1" applyAlignment="1">
      <alignment horizontal="center" vertical="center" wrapText="1"/>
    </xf>
    <xf numFmtId="0" fontId="45" fillId="26" borderId="0" xfId="32" applyFont="1" applyFill="1" applyAlignment="1">
      <alignment vertical="center"/>
    </xf>
    <xf numFmtId="49" fontId="47" fillId="26" borderId="75" xfId="32" applyNumberFormat="1" applyFont="1" applyFill="1" applyBorder="1" applyAlignment="1">
      <alignment horizontal="center" vertical="center" wrapText="1"/>
    </xf>
    <xf numFmtId="0" fontId="47" fillId="26" borderId="22" xfId="32" applyFont="1" applyFill="1" applyBorder="1" applyAlignment="1">
      <alignment vertical="center" wrapText="1"/>
    </xf>
    <xf numFmtId="0" fontId="47" fillId="26" borderId="0" xfId="32" applyFont="1" applyFill="1" applyAlignment="1">
      <alignment vertical="center"/>
    </xf>
    <xf numFmtId="49" fontId="45" fillId="26" borderId="52" xfId="32" applyNumberFormat="1" applyFont="1" applyFill="1" applyBorder="1" applyAlignment="1">
      <alignment horizontal="center" vertical="center" wrapText="1"/>
    </xf>
    <xf numFmtId="0" fontId="45" fillId="26" borderId="23" xfId="32" applyFont="1" applyFill="1" applyBorder="1" applyAlignment="1">
      <alignment vertical="center" wrapText="1"/>
    </xf>
    <xf numFmtId="49" fontId="47" fillId="26" borderId="52" xfId="32" applyNumberFormat="1" applyFont="1" applyFill="1" applyBorder="1" applyAlignment="1">
      <alignment horizontal="center" vertical="center" wrapText="1"/>
    </xf>
    <xf numFmtId="0" fontId="47" fillId="26" borderId="23" xfId="32" applyFont="1" applyFill="1" applyBorder="1" applyAlignment="1">
      <alignment vertical="center" wrapText="1"/>
    </xf>
    <xf numFmtId="0" fontId="47" fillId="26" borderId="56" xfId="32" applyFont="1" applyFill="1" applyBorder="1" applyAlignment="1">
      <alignment horizontal="center" vertical="center"/>
    </xf>
    <xf numFmtId="0" fontId="47" fillId="26" borderId="28" xfId="32" applyFont="1" applyFill="1" applyBorder="1" applyAlignment="1">
      <alignment vertical="center" wrapText="1"/>
    </xf>
    <xf numFmtId="49" fontId="47" fillId="26" borderId="49" xfId="32" applyNumberFormat="1" applyFont="1" applyFill="1" applyBorder="1" applyAlignment="1">
      <alignment horizontal="center" vertical="center" wrapText="1"/>
    </xf>
    <xf numFmtId="0" fontId="47" fillId="26" borderId="33" xfId="32" applyFont="1" applyFill="1" applyBorder="1" applyAlignment="1">
      <alignment vertical="center" wrapText="1"/>
    </xf>
    <xf numFmtId="0" fontId="47" fillId="26" borderId="54" xfId="32" applyFont="1" applyFill="1" applyBorder="1" applyAlignment="1">
      <alignment horizontal="center" vertical="center"/>
    </xf>
    <xf numFmtId="0" fontId="47" fillId="26" borderId="37" xfId="32" applyFont="1" applyFill="1" applyBorder="1" applyAlignment="1">
      <alignment vertical="center" wrapText="1"/>
    </xf>
    <xf numFmtId="0" fontId="41" fillId="31" borderId="38" xfId="32" applyFont="1" applyFill="1" applyBorder="1" applyAlignment="1">
      <alignment horizontal="center" vertical="center"/>
    </xf>
    <xf numFmtId="0" fontId="42" fillId="27" borderId="75" xfId="32" applyFont="1" applyFill="1" applyBorder="1" applyAlignment="1">
      <alignment horizontal="center" vertical="center"/>
    </xf>
    <xf numFmtId="0" fontId="42" fillId="27" borderId="52" xfId="32" applyFont="1" applyFill="1" applyBorder="1" applyAlignment="1">
      <alignment horizontal="center" vertical="center"/>
    </xf>
    <xf numFmtId="0" fontId="42" fillId="27" borderId="49" xfId="32" applyFont="1" applyFill="1" applyBorder="1" applyAlignment="1">
      <alignment horizontal="center" vertical="center"/>
    </xf>
    <xf numFmtId="0" fontId="42" fillId="27" borderId="54" xfId="32" applyFont="1" applyFill="1" applyBorder="1" applyAlignment="1">
      <alignment horizontal="center" vertical="center"/>
    </xf>
    <xf numFmtId="0" fontId="65" fillId="23" borderId="35" xfId="52" applyFont="1" applyFill="1" applyBorder="1" applyAlignment="1">
      <alignment horizontal="left" vertical="center"/>
    </xf>
    <xf numFmtId="3" fontId="57" fillId="20" borderId="0" xfId="52" applyNumberFormat="1" applyFont="1" applyFill="1" applyAlignment="1" applyProtection="1">
      <alignment horizontal="right" vertical="center"/>
      <protection locked="0"/>
    </xf>
    <xf numFmtId="0" fontId="85" fillId="27" borderId="17" xfId="52" applyFont="1" applyFill="1" applyBorder="1" applyAlignment="1">
      <alignment vertical="center"/>
    </xf>
    <xf numFmtId="3" fontId="57" fillId="26" borderId="0" xfId="52" applyNumberFormat="1" applyFont="1" applyFill="1" applyAlignment="1" applyProtection="1">
      <alignment horizontal="right" vertical="center"/>
      <protection locked="0"/>
    </xf>
    <xf numFmtId="0" fontId="65" fillId="23" borderId="2" xfId="52" applyFont="1" applyFill="1" applyBorder="1" applyAlignment="1">
      <alignment horizontal="left" vertical="center"/>
    </xf>
    <xf numFmtId="0" fontId="57" fillId="27" borderId="51" xfId="52" applyFont="1" applyFill="1" applyBorder="1" applyAlignment="1">
      <alignment horizontal="left" vertical="center" wrapText="1"/>
    </xf>
    <xf numFmtId="0" fontId="57" fillId="27" borderId="17" xfId="52" applyFont="1" applyFill="1" applyBorder="1" applyAlignment="1">
      <alignment horizontal="left" vertical="center" wrapText="1"/>
    </xf>
    <xf numFmtId="49" fontId="57" fillId="27" borderId="17" xfId="52" applyNumberFormat="1" applyFont="1" applyFill="1" applyBorder="1" applyAlignment="1">
      <alignment vertical="center"/>
    </xf>
    <xf numFmtId="0" fontId="57" fillId="27" borderId="17" xfId="52" applyFont="1" applyFill="1" applyBorder="1" applyAlignment="1">
      <alignment horizontal="right" vertical="center"/>
    </xf>
    <xf numFmtId="0" fontId="57" fillId="27" borderId="21" xfId="52" applyFont="1" applyFill="1" applyBorder="1" applyAlignment="1">
      <alignment horizontal="right" vertical="center"/>
    </xf>
    <xf numFmtId="0" fontId="21" fillId="0" borderId="0" xfId="0" applyFont="1" applyAlignment="1">
      <alignment vertical="center"/>
    </xf>
    <xf numFmtId="0" fontId="41" fillId="0" borderId="68" xfId="0" applyFont="1" applyBorder="1" applyAlignment="1">
      <alignment horizontal="left" vertical="center"/>
    </xf>
    <xf numFmtId="0" fontId="41" fillId="27" borderId="27" xfId="0" applyFont="1" applyFill="1" applyBorder="1" applyAlignment="1">
      <alignment horizontal="center" vertical="center" wrapText="1"/>
    </xf>
    <xf numFmtId="0" fontId="41" fillId="27" borderId="25" xfId="0" applyFont="1" applyFill="1" applyBorder="1" applyAlignment="1">
      <alignment horizontal="center" vertical="center" wrapText="1"/>
    </xf>
    <xf numFmtId="0" fontId="27" fillId="26" borderId="0" xfId="0" applyFont="1" applyFill="1" applyAlignment="1">
      <alignment horizontal="center" vertical="center"/>
    </xf>
    <xf numFmtId="10" fontId="12" fillId="3" borderId="52" xfId="70" applyNumberFormat="1" applyFont="1" applyFill="1" applyBorder="1" applyAlignment="1" applyProtection="1">
      <alignment horizontal="center" vertical="center"/>
      <protection locked="0"/>
    </xf>
    <xf numFmtId="10" fontId="12" fillId="3" borderId="7" xfId="70" applyNumberFormat="1" applyFont="1" applyFill="1" applyBorder="1" applyAlignment="1" applyProtection="1">
      <alignment horizontal="center" vertical="center"/>
      <protection locked="0"/>
    </xf>
    <xf numFmtId="10" fontId="12" fillId="3" borderId="53" xfId="70" applyNumberFormat="1" applyFont="1" applyFill="1" applyBorder="1" applyAlignment="1" applyProtection="1">
      <alignment horizontal="center" vertical="center"/>
      <protection locked="0"/>
    </xf>
    <xf numFmtId="10" fontId="12" fillId="3" borderId="56" xfId="70" applyNumberFormat="1" applyFont="1" applyFill="1" applyBorder="1" applyAlignment="1" applyProtection="1">
      <alignment horizontal="center" vertical="center"/>
      <protection locked="0"/>
    </xf>
    <xf numFmtId="10" fontId="12" fillId="3" borderId="77" xfId="70" applyNumberFormat="1" applyFont="1" applyFill="1" applyBorder="1" applyAlignment="1" applyProtection="1">
      <alignment horizontal="center" vertical="center"/>
      <protection locked="0"/>
    </xf>
    <xf numFmtId="10" fontId="12" fillId="3" borderId="57" xfId="70" applyNumberFormat="1" applyFont="1" applyFill="1" applyBorder="1" applyAlignment="1" applyProtection="1">
      <alignment horizontal="center" vertical="center"/>
      <protection locked="0"/>
    </xf>
    <xf numFmtId="174" fontId="41" fillId="26" borderId="73" xfId="37" applyNumberFormat="1" applyFont="1" applyFill="1" applyBorder="1" applyProtection="1">
      <alignment horizontal="right" vertical="center" wrapText="1"/>
    </xf>
    <xf numFmtId="174" fontId="41" fillId="26" borderId="73" xfId="28" applyNumberFormat="1" applyFont="1" applyFill="1" applyBorder="1">
      <alignment horizontal="right" vertical="center" wrapText="1"/>
    </xf>
    <xf numFmtId="174" fontId="41" fillId="26" borderId="76" xfId="28" applyNumberFormat="1" applyFont="1" applyFill="1" applyBorder="1">
      <alignment horizontal="right" vertical="center" wrapText="1"/>
    </xf>
    <xf numFmtId="0" fontId="19" fillId="0" borderId="1" xfId="40" applyFont="1" applyBorder="1"/>
    <xf numFmtId="0" fontId="54" fillId="0" borderId="0" xfId="0" applyFont="1" applyAlignment="1">
      <alignment vertical="center"/>
    </xf>
    <xf numFmtId="0" fontId="41" fillId="0" borderId="7" xfId="40" applyFont="1" applyBorder="1" applyAlignment="1">
      <alignment vertical="center"/>
    </xf>
    <xf numFmtId="0" fontId="41" fillId="0" borderId="77" xfId="40" applyFont="1" applyBorder="1" applyAlignment="1">
      <alignment vertical="center"/>
    </xf>
    <xf numFmtId="0" fontId="45" fillId="0" borderId="0" xfId="40" applyFont="1"/>
    <xf numFmtId="0" fontId="40" fillId="0" borderId="73" xfId="40" applyFont="1" applyBorder="1" applyAlignment="1">
      <alignment horizontal="center" vertical="center"/>
    </xf>
    <xf numFmtId="10" fontId="40" fillId="0" borderId="73" xfId="70" applyNumberFormat="1" applyFont="1" applyBorder="1" applyAlignment="1" applyProtection="1">
      <alignment horizontal="center" vertical="center"/>
    </xf>
    <xf numFmtId="10" fontId="40" fillId="0" borderId="76" xfId="70" applyNumberFormat="1" applyFont="1" applyBorder="1" applyAlignment="1" applyProtection="1">
      <alignment horizontal="center" vertical="center"/>
    </xf>
    <xf numFmtId="10" fontId="40" fillId="26" borderId="7" xfId="59" applyNumberFormat="1" applyFont="1" applyFill="1" applyBorder="1" applyAlignment="1" applyProtection="1">
      <alignment horizontal="center" vertical="center"/>
    </xf>
    <xf numFmtId="10" fontId="47" fillId="21" borderId="7" xfId="59" applyNumberFormat="1" applyFont="1" applyFill="1" applyBorder="1" applyAlignment="1" applyProtection="1">
      <alignment horizontal="center" vertical="center"/>
    </xf>
    <xf numFmtId="10" fontId="47" fillId="21" borderId="53" xfId="59" applyNumberFormat="1" applyFont="1" applyFill="1" applyBorder="1" applyAlignment="1" applyProtection="1">
      <alignment horizontal="center" vertical="center"/>
    </xf>
    <xf numFmtId="0" fontId="12" fillId="28" borderId="79" xfId="31" applyFont="1" applyFill="1" applyBorder="1" applyAlignment="1" applyProtection="1">
      <alignment horizontal="center" vertical="center" wrapText="1"/>
      <protection locked="0"/>
    </xf>
    <xf numFmtId="3" fontId="12" fillId="28" borderId="21" xfId="31" applyNumberFormat="1" applyFont="1" applyFill="1" applyBorder="1" applyAlignment="1" applyProtection="1">
      <alignment horizontal="center" vertical="center" wrapText="1"/>
      <protection locked="0"/>
    </xf>
    <xf numFmtId="0" fontId="41" fillId="0" borderId="52" xfId="40" applyFont="1" applyBorder="1" applyAlignment="1">
      <alignment horizontal="center" vertical="center"/>
    </xf>
    <xf numFmtId="0" fontId="41" fillId="0" borderId="56" xfId="40" applyFont="1" applyBorder="1" applyAlignment="1">
      <alignment horizontal="center" vertical="center"/>
    </xf>
    <xf numFmtId="3" fontId="12" fillId="20" borderId="39" xfId="88" applyNumberFormat="1" applyFont="1" applyFill="1" applyBorder="1" applyAlignment="1">
      <alignment horizontal="center" vertical="center" wrapText="1"/>
    </xf>
    <xf numFmtId="3" fontId="12" fillId="26" borderId="32" xfId="88" applyNumberFormat="1" applyFont="1" applyFill="1" applyBorder="1" applyAlignment="1">
      <alignment horizontal="center" vertical="center" wrapText="1"/>
    </xf>
    <xf numFmtId="10" fontId="41" fillId="26" borderId="7" xfId="70" applyNumberFormat="1" applyFont="1" applyFill="1" applyBorder="1" applyAlignment="1" applyProtection="1">
      <alignment horizontal="right" vertical="center" wrapText="1"/>
    </xf>
    <xf numFmtId="9" fontId="42" fillId="26" borderId="99" xfId="49" applyNumberFormat="1" applyFont="1" applyFill="1" applyBorder="1" applyAlignment="1">
      <alignment horizontal="center" vertical="center" wrapText="1"/>
    </xf>
    <xf numFmtId="171" fontId="41" fillId="37" borderId="56" xfId="49" applyNumberFormat="1" applyFont="1" applyFill="1" applyBorder="1" applyAlignment="1">
      <alignment horizontal="center" vertical="center" wrapText="1"/>
    </xf>
    <xf numFmtId="171" fontId="41" fillId="37" borderId="77" xfId="49" applyNumberFormat="1" applyFont="1" applyFill="1" applyBorder="1" applyAlignment="1">
      <alignment horizontal="center" vertical="center" wrapText="1"/>
    </xf>
    <xf numFmtId="171" fontId="41" fillId="37" borderId="57" xfId="49" applyNumberFormat="1" applyFont="1" applyFill="1" applyBorder="1" applyAlignment="1">
      <alignment horizontal="center" vertical="center" wrapText="1"/>
    </xf>
    <xf numFmtId="0" fontId="40" fillId="37" borderId="0" xfId="49" applyFont="1" applyFill="1" applyAlignment="1">
      <alignment horizontal="center" vertical="center" wrapText="1"/>
    </xf>
    <xf numFmtId="3" fontId="117" fillId="26" borderId="56" xfId="88" applyNumberFormat="1" applyFont="1" applyFill="1" applyBorder="1" applyAlignment="1">
      <alignment horizontal="center" vertical="center" wrapText="1"/>
    </xf>
    <xf numFmtId="3" fontId="117" fillId="26" borderId="19" xfId="88" applyNumberFormat="1" applyFont="1" applyFill="1" applyBorder="1" applyAlignment="1">
      <alignment horizontal="center" vertical="center" wrapText="1"/>
    </xf>
    <xf numFmtId="3" fontId="57" fillId="26" borderId="32" xfId="52" applyNumberFormat="1" applyFont="1" applyFill="1" applyBorder="1" applyAlignment="1">
      <alignment horizontal="center" vertical="center"/>
    </xf>
    <xf numFmtId="3" fontId="57" fillId="26" borderId="15" xfId="52" applyNumberFormat="1" applyFont="1" applyFill="1" applyBorder="1" applyAlignment="1">
      <alignment horizontal="center" vertical="center"/>
    </xf>
    <xf numFmtId="3" fontId="21" fillId="26" borderId="72" xfId="52" applyNumberFormat="1" applyFont="1" applyFill="1" applyBorder="1" applyAlignment="1">
      <alignment horizontal="center" vertical="center"/>
    </xf>
    <xf numFmtId="3" fontId="21" fillId="26" borderId="73" xfId="52" applyNumberFormat="1" applyFont="1" applyFill="1" applyBorder="1" applyAlignment="1">
      <alignment horizontal="center" vertical="center"/>
    </xf>
    <xf numFmtId="3" fontId="21" fillId="26" borderId="76" xfId="52" applyNumberFormat="1" applyFont="1" applyFill="1" applyBorder="1" applyAlignment="1">
      <alignment horizontal="center" vertical="center"/>
    </xf>
    <xf numFmtId="3" fontId="21" fillId="26" borderId="32" xfId="52" applyNumberFormat="1" applyFont="1" applyFill="1" applyBorder="1" applyAlignment="1">
      <alignment horizontal="center" vertical="center"/>
    </xf>
    <xf numFmtId="3" fontId="21" fillId="26" borderId="7" xfId="52" applyNumberFormat="1" applyFont="1" applyFill="1" applyBorder="1" applyAlignment="1">
      <alignment horizontal="center" vertical="center"/>
    </xf>
    <xf numFmtId="3" fontId="21" fillId="26" borderId="53" xfId="52" applyNumberFormat="1" applyFont="1" applyFill="1" applyBorder="1" applyAlignment="1">
      <alignment horizontal="center" vertical="center"/>
    </xf>
    <xf numFmtId="0" fontId="57" fillId="20" borderId="14" xfId="52" applyFont="1" applyFill="1" applyBorder="1" applyAlignment="1">
      <alignment horizontal="center" vertical="center" wrapText="1"/>
    </xf>
    <xf numFmtId="0" fontId="57" fillId="20" borderId="15" xfId="52" applyFont="1" applyFill="1" applyBorder="1" applyAlignment="1">
      <alignment horizontal="center" vertical="center" wrapText="1"/>
    </xf>
    <xf numFmtId="0" fontId="57" fillId="20" borderId="19" xfId="52" applyFont="1" applyFill="1" applyBorder="1" applyAlignment="1">
      <alignment horizontal="center" vertical="center" wrapText="1"/>
    </xf>
    <xf numFmtId="3" fontId="98" fillId="27" borderId="32" xfId="52" applyNumberFormat="1" applyFont="1" applyFill="1" applyBorder="1" applyAlignment="1">
      <alignment horizontal="center" vertical="center"/>
    </xf>
    <xf numFmtId="3" fontId="98" fillId="27" borderId="7" xfId="52" applyNumberFormat="1" applyFont="1" applyFill="1" applyBorder="1" applyAlignment="1">
      <alignment horizontal="center" vertical="center"/>
    </xf>
    <xf numFmtId="3" fontId="98" fillId="27" borderId="53" xfId="52" applyNumberFormat="1" applyFont="1" applyFill="1" applyBorder="1" applyAlignment="1">
      <alignment horizontal="center" vertical="center"/>
    </xf>
    <xf numFmtId="3" fontId="65" fillId="27" borderId="75" xfId="57" applyNumberFormat="1" applyFont="1" applyFill="1" applyBorder="1" applyAlignment="1">
      <alignment horizontal="center" vertical="center"/>
    </xf>
    <xf numFmtId="171" fontId="41" fillId="37" borderId="79" xfId="49" applyNumberFormat="1" applyFont="1" applyFill="1" applyBorder="1" applyAlignment="1">
      <alignment horizontal="center" vertical="center" wrapText="1"/>
    </xf>
    <xf numFmtId="171" fontId="41" fillId="37" borderId="38" xfId="49" applyNumberFormat="1" applyFont="1" applyFill="1" applyBorder="1" applyAlignment="1">
      <alignment horizontal="center" vertical="center" wrapText="1"/>
    </xf>
    <xf numFmtId="171" fontId="41" fillId="37" borderId="9" xfId="49" applyNumberFormat="1" applyFont="1" applyFill="1" applyBorder="1" applyAlignment="1">
      <alignment horizontal="center" vertical="center" wrapText="1"/>
    </xf>
    <xf numFmtId="171" fontId="41" fillId="37" borderId="65" xfId="49" applyNumberFormat="1" applyFont="1" applyFill="1" applyBorder="1" applyAlignment="1">
      <alignment horizontal="center" vertical="center" wrapText="1"/>
    </xf>
    <xf numFmtId="2" fontId="12" fillId="0" borderId="52" xfId="0" applyNumberFormat="1" applyFont="1" applyBorder="1" applyAlignment="1">
      <alignment horizontal="center" vertical="center"/>
    </xf>
    <xf numFmtId="2" fontId="12" fillId="0" borderId="7" xfId="0" applyNumberFormat="1" applyFont="1" applyBorder="1" applyAlignment="1">
      <alignment horizontal="center" vertical="center"/>
    </xf>
    <xf numFmtId="177" fontId="12" fillId="0" borderId="52" xfId="0" applyNumberFormat="1" applyFont="1" applyBorder="1" applyAlignment="1">
      <alignment horizontal="center" vertical="center"/>
    </xf>
    <xf numFmtId="177" fontId="12" fillId="0" borderId="7" xfId="0" applyNumberFormat="1" applyFont="1" applyBorder="1" applyAlignment="1">
      <alignment horizontal="center" vertical="center"/>
    </xf>
    <xf numFmtId="2" fontId="12" fillId="0" borderId="77" xfId="0" applyNumberFormat="1" applyFont="1" applyBorder="1" applyAlignment="1">
      <alignment horizontal="center" vertical="center"/>
    </xf>
    <xf numFmtId="2" fontId="12" fillId="0" borderId="73" xfId="0" applyNumberFormat="1" applyFont="1" applyBorder="1" applyAlignment="1">
      <alignment horizontal="center" vertical="center"/>
    </xf>
    <xf numFmtId="177" fontId="12" fillId="0" borderId="15" xfId="0" applyNumberFormat="1" applyFont="1" applyBorder="1" applyAlignment="1">
      <alignment horizontal="center" vertical="center"/>
    </xf>
    <xf numFmtId="2" fontId="12" fillId="0" borderId="53" xfId="0" applyNumberFormat="1" applyFont="1" applyBorder="1" applyAlignment="1">
      <alignment horizontal="center" vertical="center"/>
    </xf>
    <xf numFmtId="2" fontId="12" fillId="0" borderId="57" xfId="0" applyNumberFormat="1" applyFont="1" applyBorder="1" applyAlignment="1">
      <alignment horizontal="center" vertical="center"/>
    </xf>
    <xf numFmtId="2" fontId="12" fillId="0" borderId="75" xfId="0" applyNumberFormat="1" applyFont="1" applyBorder="1" applyAlignment="1">
      <alignment horizontal="center" vertical="center"/>
    </xf>
    <xf numFmtId="2" fontId="12" fillId="0" borderId="56" xfId="0" applyNumberFormat="1" applyFont="1" applyBorder="1" applyAlignment="1">
      <alignment horizontal="center" vertical="center"/>
    </xf>
    <xf numFmtId="168" fontId="19" fillId="27" borderId="0" xfId="49" applyNumberFormat="1" applyFont="1" applyFill="1" applyAlignment="1">
      <alignment horizontal="left" vertical="center"/>
    </xf>
    <xf numFmtId="174" fontId="96" fillId="26" borderId="0" xfId="37" applyNumberFormat="1" applyFont="1" applyFill="1" applyAlignment="1" applyProtection="1">
      <alignment horizontal="left" vertical="center" wrapText="1"/>
    </xf>
    <xf numFmtId="174" fontId="95" fillId="26" borderId="0" xfId="37" applyNumberFormat="1" applyFont="1" applyFill="1" applyAlignment="1" applyProtection="1">
      <alignment horizontal="center" vertical="center" wrapText="1"/>
    </xf>
    <xf numFmtId="172" fontId="41" fillId="0" borderId="75" xfId="0" applyNumberFormat="1" applyFont="1" applyBorder="1" applyAlignment="1">
      <alignment horizontal="center" vertical="center"/>
    </xf>
    <xf numFmtId="172" fontId="41" fillId="0" borderId="52" xfId="0" applyNumberFormat="1" applyFont="1" applyBorder="1" applyAlignment="1">
      <alignment horizontal="center" vertical="center"/>
    </xf>
    <xf numFmtId="4" fontId="41" fillId="0" borderId="52" xfId="0" applyNumberFormat="1" applyFont="1" applyBorder="1" applyAlignment="1">
      <alignment horizontal="center" vertical="center"/>
    </xf>
    <xf numFmtId="4" fontId="41" fillId="20" borderId="52" xfId="0" applyNumberFormat="1" applyFont="1" applyFill="1" applyBorder="1" applyAlignment="1">
      <alignment horizontal="center" vertical="center"/>
    </xf>
    <xf numFmtId="4" fontId="41" fillId="20" borderId="54" xfId="0" applyNumberFormat="1" applyFont="1" applyFill="1" applyBorder="1" applyAlignment="1">
      <alignment horizontal="center" vertical="center"/>
    </xf>
    <xf numFmtId="0" fontId="43" fillId="27" borderId="0" xfId="40" applyFont="1" applyFill="1" applyAlignment="1">
      <alignment horizontal="left" vertical="center"/>
    </xf>
    <xf numFmtId="171" fontId="40" fillId="37" borderId="38" xfId="0" applyNumberFormat="1" applyFont="1" applyFill="1" applyBorder="1" applyAlignment="1">
      <alignment horizontal="center" vertical="center" wrapText="1"/>
    </xf>
    <xf numFmtId="171" fontId="40" fillId="37" borderId="9" xfId="0" applyNumberFormat="1" applyFont="1" applyFill="1" applyBorder="1" applyAlignment="1">
      <alignment horizontal="center" vertical="center" wrapText="1"/>
    </xf>
    <xf numFmtId="171" fontId="40" fillId="37" borderId="10" xfId="0" applyNumberFormat="1" applyFont="1" applyFill="1" applyBorder="1" applyAlignment="1">
      <alignment horizontal="center" vertical="center" wrapText="1"/>
    </xf>
    <xf numFmtId="0" fontId="41" fillId="0" borderId="50" xfId="0" applyFont="1" applyBorder="1" applyAlignment="1">
      <alignment horizontal="right" vertical="center" wrapText="1"/>
    </xf>
    <xf numFmtId="0" fontId="41" fillId="27" borderId="30" xfId="0" applyFont="1" applyFill="1" applyBorder="1" applyAlignment="1">
      <alignment horizontal="center" vertical="center" wrapText="1"/>
    </xf>
    <xf numFmtId="3" fontId="41" fillId="3" borderId="66" xfId="32" applyNumberFormat="1" applyFont="1" applyFill="1" applyBorder="1" applyAlignment="1" applyProtection="1">
      <alignment horizontal="center" vertical="center"/>
      <protection locked="0"/>
    </xf>
    <xf numFmtId="3" fontId="41" fillId="3" borderId="4" xfId="32" applyNumberFormat="1" applyFont="1" applyFill="1" applyBorder="1" applyAlignment="1" applyProtection="1">
      <alignment horizontal="center" vertical="center"/>
      <protection locked="0"/>
    </xf>
    <xf numFmtId="3" fontId="41" fillId="26" borderId="5" xfId="32" applyNumberFormat="1" applyFont="1" applyFill="1" applyBorder="1" applyAlignment="1">
      <alignment horizontal="center" vertical="center"/>
    </xf>
    <xf numFmtId="49" fontId="41" fillId="0" borderId="52" xfId="0" applyNumberFormat="1" applyFont="1" applyBorder="1" applyAlignment="1">
      <alignment horizontal="center" vertical="center"/>
    </xf>
    <xf numFmtId="0" fontId="41" fillId="0" borderId="7" xfId="0" applyFont="1" applyBorder="1" applyAlignment="1">
      <alignment horizontal="center" vertical="center"/>
    </xf>
    <xf numFmtId="3" fontId="41" fillId="0" borderId="7" xfId="0" applyNumberFormat="1" applyFont="1" applyBorder="1" applyAlignment="1">
      <alignment horizontal="center" vertical="center"/>
    </xf>
    <xf numFmtId="3" fontId="41" fillId="0" borderId="53" xfId="0" applyNumberFormat="1" applyFont="1" applyBorder="1" applyAlignment="1">
      <alignment horizontal="center" vertical="center"/>
    </xf>
    <xf numFmtId="49" fontId="40" fillId="0" borderId="52" xfId="0" applyNumberFormat="1" applyFont="1" applyBorder="1" applyAlignment="1">
      <alignment horizontal="center" vertical="center"/>
    </xf>
    <xf numFmtId="0" fontId="40" fillId="0" borderId="7" xfId="0" applyFont="1" applyBorder="1" applyAlignment="1">
      <alignment horizontal="left" vertical="center" wrapText="1"/>
    </xf>
    <xf numFmtId="3" fontId="41" fillId="0" borderId="62" xfId="0" applyNumberFormat="1" applyFont="1" applyBorder="1" applyAlignment="1">
      <alignment horizontal="center" vertical="center"/>
    </xf>
    <xf numFmtId="0" fontId="40" fillId="0" borderId="7" xfId="0" applyFont="1" applyBorder="1" applyAlignment="1">
      <alignment vertical="center" wrapText="1"/>
    </xf>
    <xf numFmtId="49" fontId="41" fillId="0" borderId="56" xfId="0" applyNumberFormat="1" applyFont="1" applyBorder="1" applyAlignment="1">
      <alignment horizontal="center" vertical="center"/>
    </xf>
    <xf numFmtId="0" fontId="41" fillId="0" borderId="77" xfId="0" applyFont="1" applyBorder="1" applyAlignment="1">
      <alignment horizontal="left" vertical="center" wrapText="1"/>
    </xf>
    <xf numFmtId="0" fontId="41" fillId="0" borderId="77" xfId="0" applyFont="1" applyBorder="1" applyAlignment="1">
      <alignment horizontal="center" vertical="center"/>
    </xf>
    <xf numFmtId="3" fontId="41" fillId="0" borderId="78" xfId="0" applyNumberFormat="1" applyFont="1" applyBorder="1" applyAlignment="1">
      <alignment horizontal="center" vertical="center"/>
    </xf>
    <xf numFmtId="3" fontId="41" fillId="0" borderId="57" xfId="0" applyNumberFormat="1" applyFont="1" applyBorder="1" applyAlignment="1">
      <alignment horizontal="center" vertical="center"/>
    </xf>
    <xf numFmtId="49" fontId="40" fillId="0" borderId="49" xfId="0" applyNumberFormat="1" applyFont="1" applyBorder="1" applyAlignment="1">
      <alignment horizontal="center" vertical="center"/>
    </xf>
    <xf numFmtId="0" fontId="40" fillId="0" borderId="31" xfId="0" applyFont="1" applyBorder="1" applyAlignment="1">
      <alignment horizontal="left" vertical="center" wrapText="1"/>
    </xf>
    <xf numFmtId="0" fontId="41" fillId="0" borderId="31" xfId="0" applyFont="1" applyBorder="1" applyAlignment="1">
      <alignment horizontal="center" vertical="center"/>
    </xf>
    <xf numFmtId="3" fontId="40" fillId="0" borderId="31" xfId="0" applyNumberFormat="1" applyFont="1" applyBorder="1" applyAlignment="1">
      <alignment horizontal="center" vertical="center"/>
    </xf>
    <xf numFmtId="3" fontId="40" fillId="0" borderId="50" xfId="0" applyNumberFormat="1" applyFont="1" applyBorder="1" applyAlignment="1">
      <alignment horizontal="center" vertical="center"/>
    </xf>
    <xf numFmtId="0" fontId="40" fillId="21" borderId="38" xfId="0" quotePrefix="1" applyFont="1" applyFill="1" applyBorder="1" applyAlignment="1">
      <alignment horizontal="center" vertical="center"/>
    </xf>
    <xf numFmtId="0" fontId="40" fillId="21" borderId="9" xfId="0" applyFont="1" applyFill="1" applyBorder="1" applyAlignment="1">
      <alignment vertical="center"/>
    </xf>
    <xf numFmtId="0" fontId="40" fillId="21" borderId="9" xfId="0" applyFont="1" applyFill="1" applyBorder="1" applyAlignment="1">
      <alignment horizontal="center" vertical="center"/>
    </xf>
    <xf numFmtId="3" fontId="40" fillId="21" borderId="9" xfId="0" applyNumberFormat="1" applyFont="1" applyFill="1" applyBorder="1" applyAlignment="1">
      <alignment horizontal="center" vertical="center"/>
    </xf>
    <xf numFmtId="3" fontId="40" fillId="21" borderId="3" xfId="0" applyNumberFormat="1" applyFont="1" applyFill="1" applyBorder="1" applyAlignment="1">
      <alignment horizontal="center" vertical="center"/>
    </xf>
    <xf numFmtId="3" fontId="40" fillId="21" borderId="10" xfId="0" applyNumberFormat="1" applyFont="1" applyFill="1" applyBorder="1" applyAlignment="1">
      <alignment horizontal="center" vertical="center"/>
    </xf>
    <xf numFmtId="3" fontId="41" fillId="27" borderId="61" xfId="32" applyNumberFormat="1" applyFont="1" applyFill="1" applyBorder="1" applyAlignment="1">
      <alignment horizontal="left" vertical="center" wrapText="1"/>
    </xf>
    <xf numFmtId="3" fontId="41" fillId="27" borderId="62" xfId="32" applyNumberFormat="1" applyFont="1" applyFill="1" applyBorder="1" applyAlignment="1">
      <alignment horizontal="left" vertical="center" wrapText="1"/>
    </xf>
    <xf numFmtId="3" fontId="41" fillId="27" borderId="62" xfId="32" applyNumberFormat="1" applyFont="1" applyFill="1" applyBorder="1" applyAlignment="1">
      <alignment horizontal="left" vertical="center"/>
    </xf>
    <xf numFmtId="3" fontId="40" fillId="31" borderId="60" xfId="32" applyNumberFormat="1" applyFont="1" applyFill="1" applyBorder="1" applyAlignment="1">
      <alignment horizontal="left" vertical="center" wrapText="1"/>
    </xf>
    <xf numFmtId="3" fontId="41" fillId="31" borderId="2" xfId="32" applyNumberFormat="1" applyFont="1" applyFill="1" applyBorder="1" applyAlignment="1">
      <alignment horizontal="center" vertical="center"/>
    </xf>
    <xf numFmtId="3" fontId="42" fillId="0" borderId="74" xfId="32" applyNumberFormat="1" applyFont="1" applyBorder="1" applyAlignment="1">
      <alignment horizontal="left" vertical="center" wrapText="1"/>
    </xf>
    <xf numFmtId="3" fontId="42" fillId="26" borderId="51" xfId="32" applyNumberFormat="1" applyFont="1" applyFill="1" applyBorder="1" applyAlignment="1">
      <alignment horizontal="center" vertical="center"/>
    </xf>
    <xf numFmtId="3" fontId="42" fillId="0" borderId="62" xfId="32" applyNumberFormat="1" applyFont="1" applyBorder="1" applyAlignment="1">
      <alignment horizontal="left" vertical="center" wrapText="1"/>
    </xf>
    <xf numFmtId="3" fontId="42" fillId="26" borderId="17" xfId="32" applyNumberFormat="1" applyFont="1" applyFill="1" applyBorder="1" applyAlignment="1">
      <alignment horizontal="center" vertical="center"/>
    </xf>
    <xf numFmtId="3" fontId="41" fillId="0" borderId="62" xfId="32" applyNumberFormat="1" applyFont="1" applyBorder="1" applyAlignment="1">
      <alignment horizontal="left" vertical="center" wrapText="1"/>
    </xf>
    <xf numFmtId="3" fontId="41" fillId="27" borderId="64" xfId="32" applyNumberFormat="1" applyFont="1" applyFill="1" applyBorder="1" applyAlignment="1">
      <alignment horizontal="left" vertical="center" wrapText="1"/>
    </xf>
    <xf numFmtId="3" fontId="41" fillId="26" borderId="39" xfId="32" applyNumberFormat="1" applyFont="1" applyFill="1" applyBorder="1" applyAlignment="1">
      <alignment horizontal="center" vertical="center"/>
    </xf>
    <xf numFmtId="3" fontId="40" fillId="31" borderId="60" xfId="32" applyNumberFormat="1" applyFont="1" applyFill="1" applyBorder="1" applyAlignment="1">
      <alignment vertical="center"/>
    </xf>
    <xf numFmtId="3" fontId="42" fillId="0" borderId="61" xfId="32" applyNumberFormat="1" applyFont="1" applyBorder="1" applyAlignment="1">
      <alignment horizontal="left" vertical="center" wrapText="1"/>
    </xf>
    <xf numFmtId="3" fontId="42" fillId="0" borderId="64" xfId="32" applyNumberFormat="1" applyFont="1" applyBorder="1" applyAlignment="1">
      <alignment horizontal="left" vertical="center" wrapText="1"/>
    </xf>
    <xf numFmtId="3" fontId="42" fillId="0" borderId="76" xfId="32" applyNumberFormat="1" applyFont="1" applyBorder="1" applyAlignment="1">
      <alignment horizontal="left" vertical="center" wrapText="1"/>
    </xf>
    <xf numFmtId="3" fontId="42" fillId="0" borderId="53" xfId="32" applyNumberFormat="1" applyFont="1" applyBorder="1" applyAlignment="1">
      <alignment horizontal="left" vertical="center" wrapText="1"/>
    </xf>
    <xf numFmtId="3" fontId="41" fillId="31" borderId="1" xfId="32" applyNumberFormat="1" applyFont="1" applyFill="1" applyBorder="1" applyAlignment="1">
      <alignment horizontal="center" vertical="center"/>
    </xf>
    <xf numFmtId="3" fontId="40" fillId="31" borderId="20" xfId="32" applyNumberFormat="1" applyFont="1" applyFill="1" applyBorder="1" applyAlignment="1">
      <alignment vertical="center"/>
    </xf>
    <xf numFmtId="3" fontId="41" fillId="27" borderId="61" xfId="32" applyNumberFormat="1" applyFont="1" applyFill="1" applyBorder="1" applyAlignment="1">
      <alignment vertical="center" wrapText="1"/>
    </xf>
    <xf numFmtId="0" fontId="65" fillId="45" borderId="11" xfId="52" applyFont="1" applyFill="1" applyBorder="1" applyAlignment="1">
      <alignment horizontal="center" vertical="center" wrapText="1"/>
    </xf>
    <xf numFmtId="0" fontId="40" fillId="39" borderId="47" xfId="32" applyFont="1" applyFill="1" applyBorder="1" applyAlignment="1">
      <alignment horizontal="center" vertical="center" wrapText="1"/>
    </xf>
    <xf numFmtId="3" fontId="40" fillId="39" borderId="8" xfId="32" applyNumberFormat="1" applyFont="1" applyFill="1" applyBorder="1" applyAlignment="1">
      <alignment vertical="center" wrapText="1"/>
    </xf>
    <xf numFmtId="0" fontId="40" fillId="39" borderId="38" xfId="32" applyFont="1" applyFill="1" applyBorder="1" applyAlignment="1">
      <alignment horizontal="center" vertical="center" wrapText="1"/>
    </xf>
    <xf numFmtId="0" fontId="41" fillId="26" borderId="27" xfId="49" applyFont="1" applyFill="1" applyBorder="1" applyAlignment="1">
      <alignment horizontal="left" vertical="center" wrapText="1"/>
    </xf>
    <xf numFmtId="0" fontId="41" fillId="26" borderId="50" xfId="49" applyFont="1" applyFill="1" applyBorder="1" applyAlignment="1">
      <alignment horizontal="left" vertical="center" wrapText="1"/>
    </xf>
    <xf numFmtId="3" fontId="41" fillId="26" borderId="5" xfId="49" applyNumberFormat="1" applyFont="1" applyFill="1" applyBorder="1" applyAlignment="1">
      <alignment horizontal="center" vertical="center" wrapText="1"/>
    </xf>
    <xf numFmtId="3" fontId="41" fillId="26" borderId="22" xfId="49" applyNumberFormat="1" applyFont="1" applyFill="1" applyBorder="1" applyAlignment="1">
      <alignment horizontal="center" vertical="center" wrapText="1"/>
    </xf>
    <xf numFmtId="9" fontId="41" fillId="26" borderId="73" xfId="1" applyFont="1" applyFill="1" applyBorder="1" applyAlignment="1" applyProtection="1">
      <alignment horizontal="center" vertical="center" wrapText="1"/>
    </xf>
    <xf numFmtId="3" fontId="41" fillId="26" borderId="73" xfId="49" applyNumberFormat="1" applyFont="1" applyFill="1" applyBorder="1" applyAlignment="1">
      <alignment horizontal="center" vertical="center" wrapText="1"/>
    </xf>
    <xf numFmtId="9" fontId="41" fillId="26" borderId="74" xfId="1" applyFont="1" applyFill="1" applyBorder="1" applyAlignment="1" applyProtection="1">
      <alignment horizontal="center" vertical="center" wrapText="1"/>
    </xf>
    <xf numFmtId="3" fontId="41" fillId="26" borderId="51" xfId="1" applyNumberFormat="1" applyFont="1" applyFill="1" applyBorder="1" applyAlignment="1" applyProtection="1">
      <alignment horizontal="center" vertical="center" wrapText="1"/>
    </xf>
    <xf numFmtId="9" fontId="41" fillId="26" borderId="76" xfId="1" applyFont="1" applyFill="1" applyBorder="1" applyAlignment="1" applyProtection="1">
      <alignment horizontal="center" vertical="center" wrapText="1"/>
    </xf>
    <xf numFmtId="0" fontId="41" fillId="26" borderId="52" xfId="49" applyFont="1" applyFill="1" applyBorder="1" applyAlignment="1">
      <alignment horizontal="left" vertical="center" wrapText="1"/>
    </xf>
    <xf numFmtId="0" fontId="41" fillId="26" borderId="54" xfId="49" applyFont="1" applyFill="1" applyBorder="1" applyAlignment="1">
      <alignment horizontal="left" vertical="center" wrapText="1"/>
    </xf>
    <xf numFmtId="0" fontId="41" fillId="26" borderId="55" xfId="49" applyFont="1" applyFill="1" applyBorder="1" applyAlignment="1">
      <alignment horizontal="left" vertical="center" wrapText="1"/>
    </xf>
    <xf numFmtId="3" fontId="41" fillId="26" borderId="39" xfId="49" applyNumberFormat="1" applyFont="1" applyFill="1" applyBorder="1" applyAlignment="1">
      <alignment horizontal="center" vertical="center" wrapText="1"/>
    </xf>
    <xf numFmtId="9" fontId="41" fillId="26" borderId="78" xfId="1" applyFont="1" applyFill="1" applyBorder="1" applyAlignment="1" applyProtection="1">
      <alignment horizontal="center" vertical="center" wrapText="1"/>
    </xf>
    <xf numFmtId="9" fontId="41" fillId="26" borderId="57" xfId="1" applyFont="1" applyFill="1" applyBorder="1" applyAlignment="1" applyProtection="1">
      <alignment horizontal="center" vertical="center" wrapText="1"/>
    </xf>
    <xf numFmtId="49" fontId="21" fillId="40" borderId="1" xfId="83" applyNumberFormat="1" applyFont="1" applyFill="1" applyBorder="1" applyAlignment="1">
      <alignment vertical="center"/>
    </xf>
    <xf numFmtId="49" fontId="21" fillId="40" borderId="8" xfId="83" applyNumberFormat="1" applyFont="1" applyFill="1" applyBorder="1" applyAlignment="1">
      <alignment vertical="center" wrapText="1"/>
    </xf>
    <xf numFmtId="3" fontId="42" fillId="0" borderId="37" xfId="32" applyNumberFormat="1" applyFont="1" applyBorder="1" applyAlignment="1">
      <alignment horizontal="left" vertical="center" wrapText="1"/>
    </xf>
    <xf numFmtId="49" fontId="40" fillId="24" borderId="75" xfId="78" applyNumberFormat="1" applyFont="1" applyFill="1" applyBorder="1" applyAlignment="1">
      <alignment horizontal="center" vertical="center" wrapText="1"/>
    </xf>
    <xf numFmtId="49" fontId="41" fillId="26" borderId="52" xfId="78" applyNumberFormat="1" applyFont="1" applyFill="1" applyBorder="1" applyAlignment="1">
      <alignment horizontal="center" vertical="center" wrapText="1"/>
    </xf>
    <xf numFmtId="49" fontId="40" fillId="31" borderId="52" xfId="78" applyNumberFormat="1" applyFont="1" applyFill="1" applyBorder="1" applyAlignment="1">
      <alignment horizontal="center" vertical="center" wrapText="1"/>
    </xf>
    <xf numFmtId="49" fontId="40" fillId="24" borderId="52" xfId="78" applyNumberFormat="1" applyFont="1" applyFill="1" applyBorder="1" applyAlignment="1">
      <alignment horizontal="center" vertical="center" wrapText="1"/>
    </xf>
    <xf numFmtId="49" fontId="41" fillId="26" borderId="56" xfId="78" applyNumberFormat="1" applyFont="1" applyFill="1" applyBorder="1" applyAlignment="1">
      <alignment horizontal="center" vertical="center" wrapText="1"/>
    </xf>
    <xf numFmtId="3" fontId="142" fillId="0" borderId="66" xfId="0" applyNumberFormat="1" applyFont="1" applyBorder="1" applyAlignment="1">
      <alignment horizontal="center" vertical="center"/>
    </xf>
    <xf numFmtId="3" fontId="142" fillId="0" borderId="4" xfId="0" applyNumberFormat="1" applyFont="1" applyBorder="1" applyAlignment="1">
      <alignment horizontal="center" vertical="center"/>
    </xf>
    <xf numFmtId="3" fontId="142" fillId="0" borderId="68" xfId="0" applyNumberFormat="1" applyFont="1" applyBorder="1" applyAlignment="1">
      <alignment horizontal="center" vertical="center"/>
    </xf>
    <xf numFmtId="3" fontId="41" fillId="0" borderId="50" xfId="0" applyNumberFormat="1" applyFont="1" applyBorder="1" applyAlignment="1">
      <alignment horizontal="center" vertical="center"/>
    </xf>
    <xf numFmtId="3" fontId="41" fillId="0" borderId="49" xfId="0" applyNumberFormat="1" applyFont="1" applyBorder="1" applyAlignment="1">
      <alignment horizontal="center" vertical="center"/>
    </xf>
    <xf numFmtId="3" fontId="41" fillId="0" borderId="31" xfId="0" applyNumberFormat="1" applyFont="1" applyBorder="1" applyAlignment="1">
      <alignment horizontal="center" vertical="center"/>
    </xf>
    <xf numFmtId="3" fontId="40" fillId="26" borderId="31" xfId="0" applyNumberFormat="1" applyFont="1" applyFill="1" applyBorder="1" applyAlignment="1">
      <alignment horizontal="center" vertical="center"/>
    </xf>
    <xf numFmtId="3" fontId="40" fillId="26" borderId="50" xfId="0" applyNumberFormat="1" applyFont="1" applyFill="1" applyBorder="1" applyAlignment="1">
      <alignment horizontal="center" vertical="center"/>
    </xf>
    <xf numFmtId="3" fontId="40" fillId="26" borderId="49" xfId="0" applyNumberFormat="1" applyFont="1" applyFill="1" applyBorder="1" applyAlignment="1">
      <alignment horizontal="center" vertical="center"/>
    </xf>
    <xf numFmtId="3" fontId="41" fillId="27" borderId="56" xfId="0" applyNumberFormat="1" applyFont="1" applyFill="1" applyBorder="1" applyAlignment="1">
      <alignment horizontal="center" vertical="center"/>
    </xf>
    <xf numFmtId="3" fontId="41" fillId="27" borderId="77" xfId="0" applyNumberFormat="1" applyFont="1" applyFill="1" applyBorder="1" applyAlignment="1">
      <alignment horizontal="center" vertical="center"/>
    </xf>
    <xf numFmtId="3" fontId="41" fillId="27" borderId="57" xfId="0" applyNumberFormat="1" applyFont="1" applyFill="1" applyBorder="1" applyAlignment="1">
      <alignment horizontal="center" vertical="center"/>
    </xf>
    <xf numFmtId="173" fontId="41" fillId="27" borderId="39" xfId="70" applyNumberFormat="1" applyFont="1" applyFill="1" applyBorder="1" applyAlignment="1" applyProtection="1">
      <alignment horizontal="center" vertical="center"/>
    </xf>
    <xf numFmtId="173" fontId="40" fillId="27" borderId="39" xfId="70" applyNumberFormat="1" applyFont="1" applyFill="1" applyBorder="1" applyAlignment="1" applyProtection="1">
      <alignment horizontal="center" vertical="center"/>
    </xf>
    <xf numFmtId="173" fontId="41" fillId="27" borderId="51" xfId="70" applyNumberFormat="1" applyFont="1" applyFill="1" applyBorder="1" applyAlignment="1" applyProtection="1">
      <alignment horizontal="center" vertical="center"/>
    </xf>
    <xf numFmtId="173" fontId="40" fillId="27" borderId="51" xfId="70" applyNumberFormat="1" applyFont="1" applyFill="1" applyBorder="1" applyAlignment="1" applyProtection="1">
      <alignment horizontal="center" vertical="center"/>
    </xf>
    <xf numFmtId="3" fontId="41" fillId="0" borderId="66" xfId="0" applyNumberFormat="1" applyFont="1" applyBorder="1" applyAlignment="1">
      <alignment horizontal="center" vertical="center"/>
    </xf>
    <xf numFmtId="3" fontId="41" fillId="0" borderId="4" xfId="0" applyNumberFormat="1" applyFont="1" applyBorder="1" applyAlignment="1">
      <alignment horizontal="center" vertical="center"/>
    </xf>
    <xf numFmtId="3" fontId="41" fillId="27" borderId="4" xfId="0" applyNumberFormat="1" applyFont="1" applyFill="1" applyBorder="1" applyAlignment="1">
      <alignment horizontal="center" vertical="center"/>
    </xf>
    <xf numFmtId="3" fontId="41" fillId="27" borderId="68" xfId="0" applyNumberFormat="1" applyFont="1" applyFill="1" applyBorder="1" applyAlignment="1">
      <alignment horizontal="center" vertical="center"/>
    </xf>
    <xf numFmtId="173" fontId="41" fillId="27" borderId="34" xfId="70" applyNumberFormat="1" applyFont="1" applyFill="1" applyBorder="1" applyAlignment="1" applyProtection="1">
      <alignment horizontal="center" vertical="center"/>
    </xf>
    <xf numFmtId="173" fontId="40" fillId="27" borderId="34" xfId="70" applyNumberFormat="1" applyFont="1" applyFill="1" applyBorder="1" applyAlignment="1" applyProtection="1">
      <alignment horizontal="center" vertical="center"/>
    </xf>
    <xf numFmtId="3" fontId="41" fillId="31" borderId="75" xfId="0" applyNumberFormat="1" applyFont="1" applyFill="1" applyBorder="1" applyAlignment="1">
      <alignment horizontal="center" vertical="center"/>
    </xf>
    <xf numFmtId="3" fontId="41" fillId="31" borderId="73" xfId="0" applyNumberFormat="1" applyFont="1" applyFill="1" applyBorder="1" applyAlignment="1">
      <alignment horizontal="center" vertical="center"/>
    </xf>
    <xf numFmtId="3" fontId="41" fillId="31" borderId="76" xfId="0" applyNumberFormat="1" applyFont="1" applyFill="1" applyBorder="1" applyAlignment="1">
      <alignment horizontal="center" vertical="center"/>
    </xf>
    <xf numFmtId="173" fontId="41" fillId="31" borderId="51" xfId="70" applyNumberFormat="1" applyFont="1" applyFill="1" applyBorder="1" applyAlignment="1" applyProtection="1">
      <alignment horizontal="center" vertical="center"/>
    </xf>
    <xf numFmtId="173" fontId="40" fillId="31" borderId="51" xfId="70" applyNumberFormat="1" applyFont="1" applyFill="1" applyBorder="1" applyAlignment="1" applyProtection="1">
      <alignment horizontal="center" vertical="center"/>
    </xf>
    <xf numFmtId="173" fontId="40" fillId="26" borderId="5" xfId="70" applyNumberFormat="1" applyFont="1" applyFill="1" applyBorder="1" applyAlignment="1" applyProtection="1">
      <alignment horizontal="center" vertical="center"/>
    </xf>
    <xf numFmtId="173" fontId="41" fillId="27" borderId="5" xfId="51" applyNumberFormat="1" applyFont="1" applyFill="1" applyBorder="1" applyAlignment="1" applyProtection="1">
      <alignment horizontal="center" vertical="center"/>
    </xf>
    <xf numFmtId="173" fontId="40" fillId="27" borderId="5" xfId="51" applyNumberFormat="1" applyFont="1" applyFill="1" applyBorder="1" applyAlignment="1" applyProtection="1">
      <alignment horizontal="center" vertical="center"/>
    </xf>
    <xf numFmtId="173" fontId="41" fillId="27" borderId="17" xfId="51" applyNumberFormat="1" applyFont="1" applyFill="1" applyBorder="1" applyAlignment="1" applyProtection="1">
      <alignment horizontal="center" vertical="center"/>
    </xf>
    <xf numFmtId="173" fontId="40" fillId="27" borderId="17" xfId="51" applyNumberFormat="1" applyFont="1" applyFill="1" applyBorder="1" applyAlignment="1" applyProtection="1">
      <alignment horizontal="center" vertical="center"/>
    </xf>
    <xf numFmtId="173" fontId="41" fillId="0" borderId="5" xfId="70" applyNumberFormat="1" applyFont="1" applyFill="1" applyBorder="1" applyAlignment="1" applyProtection="1">
      <alignment horizontal="center" vertical="center"/>
    </xf>
    <xf numFmtId="173" fontId="40" fillId="0" borderId="5" xfId="70" applyNumberFormat="1" applyFont="1" applyFill="1" applyBorder="1" applyAlignment="1" applyProtection="1">
      <alignment horizontal="center" vertical="center"/>
    </xf>
    <xf numFmtId="173" fontId="41" fillId="27" borderId="21" xfId="70" applyNumberFormat="1" applyFont="1" applyFill="1" applyBorder="1" applyAlignment="1" applyProtection="1">
      <alignment horizontal="center" vertical="center"/>
    </xf>
    <xf numFmtId="173" fontId="40" fillId="27" borderId="21" xfId="70" applyNumberFormat="1" applyFont="1" applyFill="1" applyBorder="1" applyAlignment="1" applyProtection="1">
      <alignment horizontal="center" vertical="center"/>
    </xf>
    <xf numFmtId="173" fontId="41" fillId="0" borderId="17" xfId="70" applyNumberFormat="1" applyFont="1" applyFill="1" applyBorder="1" applyAlignment="1" applyProtection="1">
      <alignment horizontal="center" vertical="center"/>
    </xf>
    <xf numFmtId="173" fontId="40" fillId="0" borderId="17" xfId="70" applyNumberFormat="1" applyFont="1" applyFill="1" applyBorder="1" applyAlignment="1" applyProtection="1">
      <alignment horizontal="center" vertical="center"/>
    </xf>
    <xf numFmtId="4" fontId="40" fillId="26" borderId="49" xfId="0" applyNumberFormat="1" applyFont="1" applyFill="1" applyBorder="1" applyAlignment="1">
      <alignment horizontal="center" vertical="center"/>
    </xf>
    <xf numFmtId="4" fontId="40" fillId="26" borderId="31" xfId="0" applyNumberFormat="1" applyFont="1" applyFill="1" applyBorder="1" applyAlignment="1">
      <alignment horizontal="center" vertical="center"/>
    </xf>
    <xf numFmtId="4" fontId="40" fillId="26" borderId="50" xfId="0" applyNumberFormat="1" applyFont="1" applyFill="1" applyBorder="1" applyAlignment="1">
      <alignment horizontal="center" vertical="center"/>
    </xf>
    <xf numFmtId="4" fontId="95" fillId="26" borderId="130" xfId="0" applyNumberFormat="1" applyFont="1" applyFill="1" applyBorder="1" applyAlignment="1">
      <alignment horizontal="center" vertical="center"/>
    </xf>
    <xf numFmtId="4" fontId="105" fillId="26" borderId="130" xfId="0" applyNumberFormat="1" applyFont="1" applyFill="1" applyBorder="1" applyAlignment="1">
      <alignment horizontal="center" vertical="center"/>
    </xf>
    <xf numFmtId="4" fontId="41" fillId="0" borderId="99" xfId="0" applyNumberFormat="1" applyFont="1" applyBorder="1" applyAlignment="1">
      <alignment horizontal="center" vertical="center"/>
    </xf>
    <xf numFmtId="10" fontId="41" fillId="0" borderId="31" xfId="70" applyNumberFormat="1" applyFont="1" applyFill="1" applyBorder="1" applyAlignment="1" applyProtection="1">
      <alignment horizontal="center" vertical="center"/>
    </xf>
    <xf numFmtId="4" fontId="41" fillId="0" borderId="134" xfId="0" applyNumberFormat="1" applyFont="1" applyBorder="1" applyAlignment="1">
      <alignment horizontal="center" vertical="center"/>
    </xf>
    <xf numFmtId="10" fontId="41" fillId="0" borderId="4" xfId="70" applyNumberFormat="1" applyFont="1" applyFill="1" applyBorder="1" applyAlignment="1" applyProtection="1">
      <alignment horizontal="center" vertical="center"/>
    </xf>
    <xf numFmtId="4" fontId="95" fillId="26" borderId="92" xfId="0" applyNumberFormat="1" applyFont="1" applyFill="1" applyBorder="1" applyAlignment="1">
      <alignment horizontal="center" vertical="center"/>
    </xf>
    <xf numFmtId="4" fontId="105" fillId="26" borderId="92" xfId="0" applyNumberFormat="1" applyFont="1" applyFill="1" applyBorder="1" applyAlignment="1">
      <alignment horizontal="center" vertical="center"/>
    </xf>
    <xf numFmtId="4" fontId="40" fillId="26" borderId="73" xfId="0" applyNumberFormat="1" applyFont="1" applyFill="1" applyBorder="1" applyAlignment="1">
      <alignment horizontal="center" vertical="center"/>
    </xf>
    <xf numFmtId="4" fontId="40" fillId="26" borderId="76" xfId="0" applyNumberFormat="1" applyFont="1" applyFill="1" applyBorder="1" applyAlignment="1">
      <alignment horizontal="center" vertical="center"/>
    </xf>
    <xf numFmtId="4" fontId="40" fillId="26" borderId="7" xfId="0" applyNumberFormat="1" applyFont="1" applyFill="1" applyBorder="1" applyAlignment="1">
      <alignment horizontal="center" vertical="center"/>
    </xf>
    <xf numFmtId="4" fontId="40" fillId="26" borderId="53" xfId="0" applyNumberFormat="1" applyFont="1" applyFill="1" applyBorder="1" applyAlignment="1">
      <alignment horizontal="center" vertical="center"/>
    </xf>
    <xf numFmtId="4" fontId="40" fillId="26" borderId="77" xfId="0" applyNumberFormat="1" applyFont="1" applyFill="1" applyBorder="1" applyAlignment="1">
      <alignment horizontal="center" vertical="center"/>
    </xf>
    <xf numFmtId="4" fontId="40" fillId="26" borderId="57" xfId="0" applyNumberFormat="1" applyFont="1" applyFill="1" applyBorder="1" applyAlignment="1">
      <alignment horizontal="center" vertical="center"/>
    </xf>
    <xf numFmtId="9" fontId="40" fillId="27" borderId="49" xfId="51" applyFont="1" applyFill="1" applyBorder="1" applyAlignment="1" applyProtection="1">
      <alignment horizontal="center" vertical="center"/>
    </xf>
    <xf numFmtId="9" fontId="40" fillId="27" borderId="31" xfId="51" applyFont="1" applyFill="1" applyBorder="1" applyAlignment="1" applyProtection="1">
      <alignment horizontal="center" vertical="center"/>
    </xf>
    <xf numFmtId="9" fontId="40" fillId="27" borderId="50" xfId="51" applyFont="1" applyFill="1" applyBorder="1" applyAlignment="1" applyProtection="1">
      <alignment horizontal="center" vertical="center"/>
    </xf>
    <xf numFmtId="9" fontId="40" fillId="26" borderId="56" xfId="51" applyFont="1" applyFill="1" applyBorder="1" applyAlignment="1" applyProtection="1">
      <alignment horizontal="center" vertical="center"/>
    </xf>
    <xf numFmtId="9" fontId="40" fillId="26" borderId="77" xfId="51" applyFont="1" applyFill="1" applyBorder="1" applyAlignment="1" applyProtection="1">
      <alignment horizontal="center" vertical="center"/>
    </xf>
    <xf numFmtId="9" fontId="40" fillId="26" borderId="57" xfId="51" applyFont="1" applyFill="1" applyBorder="1" applyAlignment="1" applyProtection="1">
      <alignment horizontal="center" vertical="center"/>
    </xf>
    <xf numFmtId="4" fontId="41" fillId="26" borderId="47" xfId="0" applyNumberFormat="1" applyFont="1" applyFill="1" applyBorder="1" applyAlignment="1">
      <alignment horizontal="center" vertical="center"/>
    </xf>
    <xf numFmtId="4" fontId="41" fillId="26" borderId="71" xfId="0" applyNumberFormat="1" applyFont="1" applyFill="1" applyBorder="1" applyAlignment="1">
      <alignment horizontal="center" vertical="center"/>
    </xf>
    <xf numFmtId="4" fontId="41" fillId="26" borderId="48" xfId="0" applyNumberFormat="1" applyFont="1" applyFill="1" applyBorder="1" applyAlignment="1">
      <alignment horizontal="center" vertical="center"/>
    </xf>
    <xf numFmtId="0" fontId="40" fillId="37" borderId="40" xfId="49" applyFont="1" applyFill="1" applyBorder="1" applyAlignment="1">
      <alignment horizontal="center" vertical="center" wrapText="1"/>
    </xf>
    <xf numFmtId="0" fontId="40" fillId="37" borderId="11" xfId="49" applyFont="1" applyFill="1" applyBorder="1" applyAlignment="1">
      <alignment horizontal="center" vertical="center" wrapText="1"/>
    </xf>
    <xf numFmtId="0" fontId="40" fillId="37" borderId="41" xfId="49" applyFont="1" applyFill="1" applyBorder="1" applyAlignment="1">
      <alignment horizontal="center" vertical="center" wrapText="1"/>
    </xf>
    <xf numFmtId="0" fontId="40" fillId="37" borderId="27" xfId="49" applyFont="1" applyFill="1" applyBorder="1" applyAlignment="1">
      <alignment horizontal="center" vertical="center" wrapText="1"/>
    </xf>
    <xf numFmtId="0" fontId="40" fillId="37" borderId="16" xfId="49" applyFont="1" applyFill="1" applyBorder="1" applyAlignment="1">
      <alignment horizontal="center" vertical="center" wrapText="1"/>
    </xf>
    <xf numFmtId="0" fontId="70" fillId="0" borderId="0" xfId="32" applyFont="1"/>
    <xf numFmtId="0" fontId="69" fillId="37" borderId="30" xfId="32" applyFont="1" applyFill="1" applyBorder="1" applyAlignment="1">
      <alignment horizontal="center" vertical="center"/>
    </xf>
    <xf numFmtId="49" fontId="69" fillId="0" borderId="5" xfId="32" applyNumberFormat="1" applyFont="1" applyBorder="1" applyAlignment="1">
      <alignment horizontal="left" vertical="center"/>
    </xf>
    <xf numFmtId="0" fontId="69" fillId="0" borderId="29" xfId="32" applyFont="1" applyBorder="1" applyAlignment="1">
      <alignment horizontal="right" vertical="center"/>
    </xf>
    <xf numFmtId="49" fontId="70" fillId="0" borderId="17" xfId="32" applyNumberFormat="1" applyFont="1" applyBorder="1" applyAlignment="1">
      <alignment horizontal="left" vertical="center"/>
    </xf>
    <xf numFmtId="0" fontId="70" fillId="0" borderId="24" xfId="32" applyFont="1" applyBorder="1" applyAlignment="1">
      <alignment horizontal="right" vertical="center"/>
    </xf>
    <xf numFmtId="49" fontId="69" fillId="0" borderId="39" xfId="32" applyNumberFormat="1" applyFont="1" applyBorder="1" applyAlignment="1">
      <alignment horizontal="left" vertical="center"/>
    </xf>
    <xf numFmtId="0" fontId="69" fillId="0" borderId="36" xfId="32" applyFont="1" applyBorder="1" applyAlignment="1">
      <alignment horizontal="right" vertical="center"/>
    </xf>
    <xf numFmtId="0" fontId="69" fillId="0" borderId="25" xfId="32" applyFont="1" applyBorder="1" applyAlignment="1">
      <alignment horizontal="right" vertical="center"/>
    </xf>
    <xf numFmtId="49" fontId="20" fillId="27" borderId="2" xfId="0" applyNumberFormat="1" applyFont="1" applyFill="1" applyBorder="1" applyAlignment="1">
      <alignment horizontal="left" vertical="center"/>
    </xf>
    <xf numFmtId="0" fontId="20" fillId="27" borderId="1" xfId="0" applyFont="1" applyFill="1" applyBorder="1" applyAlignment="1">
      <alignment horizontal="right" vertical="center"/>
    </xf>
    <xf numFmtId="49" fontId="34" fillId="27" borderId="1" xfId="0" applyNumberFormat="1" applyFont="1" applyFill="1" applyBorder="1" applyAlignment="1">
      <alignment horizontal="left" vertical="center"/>
    </xf>
    <xf numFmtId="49" fontId="34" fillId="27" borderId="3" xfId="0" applyNumberFormat="1" applyFont="1" applyFill="1" applyBorder="1" applyAlignment="1">
      <alignment horizontal="left" vertical="center"/>
    </xf>
    <xf numFmtId="0" fontId="32" fillId="27" borderId="24" xfId="0" applyFont="1" applyFill="1" applyBorder="1" applyAlignment="1">
      <alignment horizontal="right"/>
    </xf>
    <xf numFmtId="0" fontId="34" fillId="27" borderId="24" xfId="0" applyFont="1" applyFill="1" applyBorder="1" applyAlignment="1">
      <alignment horizontal="right"/>
    </xf>
    <xf numFmtId="49" fontId="34" fillId="27" borderId="21" xfId="0" applyNumberFormat="1" applyFont="1" applyFill="1" applyBorder="1" applyAlignment="1">
      <alignment horizontal="left" vertical="center"/>
    </xf>
    <xf numFmtId="0" fontId="34" fillId="27" borderId="30" xfId="0" applyFont="1" applyFill="1" applyBorder="1" applyAlignment="1">
      <alignment horizontal="right"/>
    </xf>
    <xf numFmtId="49" fontId="69" fillId="0" borderId="17" xfId="32" applyNumberFormat="1" applyFont="1" applyBorder="1" applyAlignment="1">
      <alignment horizontal="left" vertical="center"/>
    </xf>
    <xf numFmtId="0" fontId="69" fillId="0" borderId="51" xfId="32" applyFont="1" applyBorder="1" applyAlignment="1">
      <alignment horizontal="right" vertical="center"/>
    </xf>
    <xf numFmtId="0" fontId="86" fillId="0" borderId="23" xfId="2" applyNumberFormat="1" applyFont="1" applyFill="1" applyBorder="1" applyAlignment="1" applyProtection="1">
      <alignment horizontal="left" vertical="center" wrapText="1"/>
    </xf>
    <xf numFmtId="14" fontId="69" fillId="0" borderId="0" xfId="32" applyNumberFormat="1" applyFont="1"/>
    <xf numFmtId="0" fontId="69" fillId="0" borderId="0" xfId="32" applyFont="1" applyAlignment="1">
      <alignment horizontal="right"/>
    </xf>
    <xf numFmtId="0" fontId="72" fillId="0" borderId="0" xfId="32" applyFont="1" applyAlignment="1">
      <alignment horizontal="center"/>
    </xf>
    <xf numFmtId="49" fontId="70" fillId="0" borderId="0" xfId="32" applyNumberFormat="1" applyFont="1"/>
    <xf numFmtId="0" fontId="72" fillId="0" borderId="0" xfId="31" applyFont="1"/>
    <xf numFmtId="0" fontId="41" fillId="0" borderId="0" xfId="0" applyFont="1"/>
    <xf numFmtId="0" fontId="43" fillId="0" borderId="0" xfId="0" applyFont="1"/>
    <xf numFmtId="0" fontId="48" fillId="0" borderId="0" xfId="0" applyFont="1"/>
    <xf numFmtId="0" fontId="40" fillId="0" borderId="0" xfId="0" applyFont="1"/>
    <xf numFmtId="0" fontId="13" fillId="27" borderId="0" xfId="0" applyFont="1" applyFill="1" applyAlignment="1">
      <alignment horizontal="right"/>
    </xf>
    <xf numFmtId="0" fontId="20" fillId="37" borderId="30" xfId="0" applyFont="1" applyFill="1" applyBorder="1" applyAlignment="1">
      <alignment horizontal="center" vertical="center"/>
    </xf>
    <xf numFmtId="49" fontId="20" fillId="27" borderId="2" xfId="0" applyNumberFormat="1" applyFont="1" applyFill="1" applyBorder="1" applyAlignment="1">
      <alignment horizontal="center" vertical="center"/>
    </xf>
    <xf numFmtId="0" fontId="21" fillId="27" borderId="1" xfId="0" applyFont="1" applyFill="1" applyBorder="1" applyAlignment="1">
      <alignment horizontal="left" vertical="center"/>
    </xf>
    <xf numFmtId="49" fontId="34" fillId="27" borderId="5" xfId="0" applyNumberFormat="1" applyFont="1" applyFill="1" applyBorder="1" applyAlignment="1">
      <alignment horizontal="center" vertical="center"/>
    </xf>
    <xf numFmtId="0" fontId="12" fillId="27" borderId="29" xfId="0" applyFont="1" applyFill="1" applyBorder="1" applyAlignment="1">
      <alignment horizontal="right" vertical="center"/>
    </xf>
    <xf numFmtId="0" fontId="12" fillId="27" borderId="24" xfId="0" applyFont="1" applyFill="1" applyBorder="1" applyAlignment="1">
      <alignment horizontal="right" vertical="center"/>
    </xf>
    <xf numFmtId="49" fontId="34" fillId="27" borderId="17" xfId="0" applyNumberFormat="1" applyFont="1" applyFill="1" applyBorder="1" applyAlignment="1">
      <alignment horizontal="center" vertical="center"/>
    </xf>
    <xf numFmtId="49" fontId="34" fillId="27" borderId="39" xfId="0" applyNumberFormat="1" applyFont="1" applyFill="1" applyBorder="1" applyAlignment="1">
      <alignment horizontal="center" vertical="center"/>
    </xf>
    <xf numFmtId="0" fontId="12" fillId="27" borderId="30" xfId="0" applyFont="1" applyFill="1" applyBorder="1" applyAlignment="1">
      <alignment horizontal="right" vertical="center"/>
    </xf>
    <xf numFmtId="49" fontId="20" fillId="27" borderId="2" xfId="31" applyNumberFormat="1" applyFont="1" applyFill="1" applyBorder="1" applyAlignment="1">
      <alignment horizontal="center" vertical="center"/>
    </xf>
    <xf numFmtId="0" fontId="21" fillId="27" borderId="1" xfId="31" applyFont="1" applyFill="1" applyBorder="1" applyAlignment="1">
      <alignment horizontal="left" vertical="center"/>
    </xf>
    <xf numFmtId="49" fontId="34" fillId="27" borderId="17" xfId="31" applyNumberFormat="1" applyFont="1" applyFill="1" applyBorder="1" applyAlignment="1">
      <alignment horizontal="center" vertical="center"/>
    </xf>
    <xf numFmtId="0" fontId="12" fillId="27" borderId="24" xfId="31" applyFont="1" applyFill="1" applyBorder="1" applyAlignment="1">
      <alignment horizontal="right" vertical="center" wrapText="1"/>
    </xf>
    <xf numFmtId="0" fontId="12" fillId="27" borderId="24" xfId="31" applyFont="1" applyFill="1" applyBorder="1" applyAlignment="1">
      <alignment horizontal="right" vertical="center"/>
    </xf>
    <xf numFmtId="49" fontId="20" fillId="27" borderId="26" xfId="31" applyNumberFormat="1" applyFont="1" applyFill="1" applyBorder="1" applyAlignment="1">
      <alignment horizontal="center" vertical="center"/>
    </xf>
    <xf numFmtId="0" fontId="12" fillId="0" borderId="24" xfId="31" applyFont="1" applyBorder="1" applyAlignment="1">
      <alignment horizontal="right" vertical="center" wrapText="1"/>
    </xf>
    <xf numFmtId="49" fontId="20" fillId="27" borderId="34" xfId="31" applyNumberFormat="1" applyFont="1" applyFill="1" applyBorder="1" applyAlignment="1">
      <alignment horizontal="center" vertical="center"/>
    </xf>
    <xf numFmtId="0" fontId="12" fillId="0" borderId="21" xfId="31" applyFont="1" applyBorder="1" applyAlignment="1">
      <alignment horizontal="right" vertical="center" wrapText="1"/>
    </xf>
    <xf numFmtId="14" fontId="40" fillId="27" borderId="0" xfId="0" applyNumberFormat="1" applyFont="1" applyFill="1" applyAlignment="1">
      <alignment horizontal="left" vertical="center" indent="1"/>
    </xf>
    <xf numFmtId="0" fontId="40" fillId="27" borderId="0" xfId="0" applyFont="1" applyFill="1" applyAlignment="1">
      <alignment horizontal="right"/>
    </xf>
    <xf numFmtId="0" fontId="41" fillId="27" borderId="0" xfId="0" applyFont="1" applyFill="1" applyAlignment="1">
      <alignment horizontal="center"/>
    </xf>
    <xf numFmtId="0" fontId="42" fillId="27" borderId="0" xfId="0" applyFont="1" applyFill="1" applyAlignment="1">
      <alignment horizontal="center"/>
    </xf>
    <xf numFmtId="49" fontId="41" fillId="27" borderId="0" xfId="0" applyNumberFormat="1" applyFont="1" applyFill="1" applyAlignment="1">
      <alignment horizontal="center"/>
    </xf>
    <xf numFmtId="0" fontId="70" fillId="27" borderId="0" xfId="32" applyFont="1" applyFill="1"/>
    <xf numFmtId="0" fontId="48" fillId="27" borderId="0" xfId="0" applyFont="1" applyFill="1"/>
    <xf numFmtId="49" fontId="41" fillId="27" borderId="0" xfId="0" applyNumberFormat="1" applyFont="1" applyFill="1" applyAlignment="1">
      <alignment horizontal="right"/>
    </xf>
    <xf numFmtId="49" fontId="70" fillId="27" borderId="0" xfId="32" applyNumberFormat="1" applyFont="1" applyFill="1"/>
    <xf numFmtId="0" fontId="41" fillId="27" borderId="0" xfId="0" applyFont="1" applyFill="1"/>
    <xf numFmtId="49" fontId="12" fillId="27" borderId="0" xfId="0" applyNumberFormat="1" applyFont="1" applyFill="1"/>
    <xf numFmtId="0" fontId="13" fillId="0" borderId="0" xfId="0" applyFont="1" applyAlignment="1">
      <alignment horizontal="center" vertical="center"/>
    </xf>
    <xf numFmtId="0" fontId="41" fillId="0" borderId="0" xfId="0" applyFont="1" applyAlignment="1">
      <alignment horizontal="center" vertical="center"/>
    </xf>
    <xf numFmtId="0" fontId="12" fillId="0" borderId="76" xfId="0" applyFont="1" applyBorder="1" applyAlignment="1">
      <alignment vertical="center" wrapText="1"/>
    </xf>
    <xf numFmtId="3" fontId="12" fillId="26" borderId="75" xfId="0" applyNumberFormat="1" applyFont="1" applyFill="1" applyBorder="1" applyAlignment="1">
      <alignment horizontal="center" vertical="center" wrapText="1"/>
    </xf>
    <xf numFmtId="0" fontId="12" fillId="0" borderId="53" xfId="0" applyFont="1" applyBorder="1" applyAlignment="1">
      <alignment vertical="center" wrapText="1"/>
    </xf>
    <xf numFmtId="3" fontId="12" fillId="26" borderId="52" xfId="0" applyNumberFormat="1" applyFont="1" applyFill="1" applyBorder="1" applyAlignment="1">
      <alignment horizontal="center" vertical="center" wrapText="1"/>
    </xf>
    <xf numFmtId="3" fontId="12" fillId="26" borderId="7" xfId="0" applyNumberFormat="1" applyFont="1" applyFill="1" applyBorder="1" applyAlignment="1">
      <alignment horizontal="center" vertical="center" wrapText="1"/>
    </xf>
    <xf numFmtId="3" fontId="12" fillId="26" borderId="53" xfId="0" applyNumberFormat="1" applyFont="1" applyFill="1" applyBorder="1" applyAlignment="1">
      <alignment horizontal="center" vertical="center" wrapText="1"/>
    </xf>
    <xf numFmtId="0" fontId="12" fillId="0" borderId="57" xfId="0" applyFont="1" applyBorder="1" applyAlignment="1">
      <alignment vertical="center" wrapText="1"/>
    </xf>
    <xf numFmtId="3" fontId="12" fillId="26" borderId="56" xfId="0" applyNumberFormat="1" applyFont="1" applyFill="1" applyBorder="1" applyAlignment="1">
      <alignment horizontal="center" vertical="center" wrapText="1"/>
    </xf>
    <xf numFmtId="0" fontId="12" fillId="0" borderId="32" xfId="0" applyFont="1" applyBorder="1" applyAlignment="1">
      <alignment vertical="center" wrapText="1"/>
    </xf>
    <xf numFmtId="0" fontId="12" fillId="0" borderId="79" xfId="0" applyFont="1" applyBorder="1" applyAlignment="1">
      <alignment vertical="center" wrapText="1"/>
    </xf>
    <xf numFmtId="0" fontId="12" fillId="0" borderId="72" xfId="0" applyFont="1" applyBorder="1" applyAlignment="1">
      <alignment vertical="center" wrapText="1"/>
    </xf>
    <xf numFmtId="0" fontId="12" fillId="0" borderId="44" xfId="0" applyFont="1" applyBorder="1" applyAlignment="1">
      <alignment vertical="center" wrapText="1"/>
    </xf>
    <xf numFmtId="0" fontId="12" fillId="0" borderId="50" xfId="0" applyFont="1" applyBorder="1" applyAlignment="1">
      <alignment vertical="center" wrapText="1"/>
    </xf>
    <xf numFmtId="0" fontId="12" fillId="0" borderId="53" xfId="0" applyFont="1" applyBorder="1" applyAlignment="1">
      <alignment horizontal="justify" vertical="center" wrapText="1"/>
    </xf>
    <xf numFmtId="0" fontId="67" fillId="0" borderId="72" xfId="0" applyFont="1" applyBorder="1" applyAlignment="1">
      <alignment vertical="center" wrapText="1"/>
    </xf>
    <xf numFmtId="0" fontId="67" fillId="0" borderId="76" xfId="0" applyFont="1" applyBorder="1" applyAlignment="1">
      <alignment vertical="center" wrapText="1"/>
    </xf>
    <xf numFmtId="3" fontId="21" fillId="0" borderId="29" xfId="0" applyNumberFormat="1" applyFont="1" applyBorder="1" applyAlignment="1">
      <alignment horizontal="center" vertical="center" wrapText="1"/>
    </xf>
    <xf numFmtId="3" fontId="21" fillId="0" borderId="22" xfId="0" applyNumberFormat="1" applyFont="1" applyBorder="1" applyAlignment="1">
      <alignment horizontal="center" vertical="center" wrapText="1"/>
    </xf>
    <xf numFmtId="3" fontId="21" fillId="0" borderId="74" xfId="0" applyNumberFormat="1" applyFont="1" applyBorder="1" applyAlignment="1">
      <alignment horizontal="center" vertical="center" wrapText="1"/>
    </xf>
    <xf numFmtId="0" fontId="67" fillId="0" borderId="32" xfId="0" applyFont="1" applyBorder="1" applyAlignment="1">
      <alignment vertical="center" wrapText="1"/>
    </xf>
    <xf numFmtId="0" fontId="67" fillId="0" borderId="53" xfId="0" applyFont="1" applyBorder="1" applyAlignment="1">
      <alignment vertical="center" wrapText="1"/>
    </xf>
    <xf numFmtId="3" fontId="21" fillId="0" borderId="24" xfId="0" applyNumberFormat="1" applyFont="1" applyBorder="1" applyAlignment="1">
      <alignment horizontal="center" vertical="center" wrapText="1"/>
    </xf>
    <xf numFmtId="3" fontId="21" fillId="0" borderId="62" xfId="0" applyNumberFormat="1" applyFont="1" applyBorder="1" applyAlignment="1">
      <alignment horizontal="center" vertical="center" wrapText="1"/>
    </xf>
    <xf numFmtId="3" fontId="21" fillId="0" borderId="14" xfId="0" applyNumberFormat="1" applyFont="1" applyBorder="1" applyAlignment="1">
      <alignment horizontal="center" vertical="center" wrapText="1"/>
    </xf>
    <xf numFmtId="3" fontId="12" fillId="26" borderId="24" xfId="0" applyNumberFormat="1" applyFont="1" applyFill="1" applyBorder="1" applyAlignment="1">
      <alignment horizontal="center" vertical="center" wrapText="1"/>
    </xf>
    <xf numFmtId="3" fontId="12" fillId="26" borderId="62" xfId="0" applyNumberFormat="1" applyFont="1" applyFill="1" applyBorder="1" applyAlignment="1">
      <alignment horizontal="center" vertical="center" wrapText="1"/>
    </xf>
    <xf numFmtId="0" fontId="12" fillId="0" borderId="69" xfId="0" applyFont="1" applyBorder="1" applyAlignment="1">
      <alignment vertical="center" wrapText="1"/>
    </xf>
    <xf numFmtId="0" fontId="12" fillId="0" borderId="55" xfId="0" applyFont="1" applyBorder="1" applyAlignment="1">
      <alignment vertical="center" wrapText="1"/>
    </xf>
    <xf numFmtId="0" fontId="12" fillId="0" borderId="75" xfId="0" applyFont="1" applyBorder="1" applyAlignment="1">
      <alignment vertical="center" wrapText="1"/>
    </xf>
    <xf numFmtId="0" fontId="12" fillId="0" borderId="52" xfId="0" applyFont="1" applyBorder="1" applyAlignment="1">
      <alignment vertical="center" wrapText="1"/>
    </xf>
    <xf numFmtId="0" fontId="21" fillId="0" borderId="52" xfId="0" applyFont="1" applyBorder="1" applyAlignment="1">
      <alignment vertical="center" wrapText="1"/>
    </xf>
    <xf numFmtId="0" fontId="21" fillId="0" borderId="53" xfId="0" applyFont="1" applyBorder="1" applyAlignment="1">
      <alignment vertical="center" wrapText="1"/>
    </xf>
    <xf numFmtId="0" fontId="12" fillId="26" borderId="7" xfId="0" applyFont="1" applyFill="1" applyBorder="1" applyAlignment="1">
      <alignment horizontal="center" vertical="center" wrapText="1"/>
    </xf>
    <xf numFmtId="0" fontId="12" fillId="26" borderId="62" xfId="0" applyFont="1" applyFill="1" applyBorder="1" applyAlignment="1">
      <alignment horizontal="center" vertical="center" wrapText="1"/>
    </xf>
    <xf numFmtId="0" fontId="12" fillId="26" borderId="52" xfId="0" applyFont="1" applyFill="1" applyBorder="1" applyAlignment="1">
      <alignment horizontal="center" vertical="center" wrapText="1"/>
    </xf>
    <xf numFmtId="0" fontId="12" fillId="26" borderId="53" xfId="0" applyFont="1" applyFill="1" applyBorder="1" applyAlignment="1">
      <alignment horizontal="center" vertical="center" wrapText="1"/>
    </xf>
    <xf numFmtId="0" fontId="12" fillId="0" borderId="56" xfId="0" applyFont="1" applyBorder="1" applyAlignment="1">
      <alignment vertical="center" wrapText="1"/>
    </xf>
    <xf numFmtId="0" fontId="12" fillId="26" borderId="53" xfId="0" applyFont="1" applyFill="1" applyBorder="1" applyAlignment="1">
      <alignment vertical="center" wrapText="1"/>
    </xf>
    <xf numFmtId="0" fontId="101" fillId="0" borderId="32" xfId="0" applyFont="1" applyBorder="1" applyAlignment="1">
      <alignment vertical="center" wrapText="1"/>
    </xf>
    <xf numFmtId="0" fontId="101" fillId="0" borderId="53" xfId="0" applyFont="1" applyBorder="1" applyAlignment="1">
      <alignment vertical="center" wrapText="1"/>
    </xf>
    <xf numFmtId="0" fontId="12" fillId="0" borderId="15" xfId="0" applyFont="1" applyBorder="1" applyAlignment="1">
      <alignment vertical="center" wrapText="1"/>
    </xf>
    <xf numFmtId="0" fontId="43" fillId="0" borderId="79" xfId="0" applyFont="1" applyBorder="1" applyAlignment="1">
      <alignment vertical="center" wrapText="1"/>
    </xf>
    <xf numFmtId="0" fontId="43" fillId="0" borderId="57" xfId="0" applyFont="1" applyBorder="1" applyAlignment="1">
      <alignment vertical="center" wrapText="1"/>
    </xf>
    <xf numFmtId="0" fontId="34" fillId="0" borderId="40" xfId="31" applyFont="1" applyBorder="1" applyAlignment="1">
      <alignment horizontal="center" vertical="center" wrapText="1"/>
    </xf>
    <xf numFmtId="0" fontId="12" fillId="0" borderId="51" xfId="31" applyFont="1" applyBorder="1" applyAlignment="1">
      <alignment vertical="center" wrapText="1"/>
    </xf>
    <xf numFmtId="0" fontId="12" fillId="0" borderId="76" xfId="31" applyFont="1" applyBorder="1" applyAlignment="1">
      <alignment vertical="center" wrapText="1"/>
    </xf>
    <xf numFmtId="0" fontId="34" fillId="0" borderId="51" xfId="31" applyFont="1" applyBorder="1" applyAlignment="1">
      <alignment vertical="center" wrapText="1"/>
    </xf>
    <xf numFmtId="0" fontId="12" fillId="0" borderId="14" xfId="31" applyFont="1" applyBorder="1" applyAlignment="1">
      <alignment vertical="center" wrapText="1"/>
    </xf>
    <xf numFmtId="0" fontId="34" fillId="0" borderId="17" xfId="31" applyFont="1" applyBorder="1" applyAlignment="1">
      <alignment vertical="center" wrapText="1"/>
    </xf>
    <xf numFmtId="0" fontId="12" fillId="0" borderId="15" xfId="31" applyFont="1" applyBorder="1" applyAlignment="1">
      <alignment vertical="center" wrapText="1"/>
    </xf>
    <xf numFmtId="0" fontId="34" fillId="0" borderId="26" xfId="31" applyFont="1" applyBorder="1" applyAlignment="1">
      <alignment vertical="center" wrapText="1"/>
    </xf>
    <xf numFmtId="0" fontId="12" fillId="0" borderId="17" xfId="31" applyFont="1" applyBorder="1" applyAlignment="1">
      <alignment vertical="center" wrapText="1"/>
    </xf>
    <xf numFmtId="0" fontId="12" fillId="0" borderId="53" xfId="31" applyFont="1" applyBorder="1" applyAlignment="1">
      <alignment vertical="center" wrapText="1"/>
    </xf>
    <xf numFmtId="0" fontId="12" fillId="0" borderId="39" xfId="31" applyFont="1" applyBorder="1" applyAlignment="1">
      <alignment vertical="center" wrapText="1"/>
    </xf>
    <xf numFmtId="0" fontId="12" fillId="0" borderId="21" xfId="31" applyFont="1" applyBorder="1" applyAlignment="1">
      <alignment vertical="center" wrapText="1"/>
    </xf>
    <xf numFmtId="0" fontId="12" fillId="0" borderId="2" xfId="31" applyFont="1" applyBorder="1" applyAlignment="1">
      <alignment vertical="center" wrapText="1"/>
    </xf>
    <xf numFmtId="0" fontId="12" fillId="0" borderId="50" xfId="31" applyFont="1" applyBorder="1" applyAlignment="1">
      <alignment vertical="center" wrapText="1"/>
    </xf>
    <xf numFmtId="0" fontId="12" fillId="0" borderId="55" xfId="31" applyFont="1" applyBorder="1" applyAlignment="1">
      <alignment vertical="center" wrapText="1"/>
    </xf>
    <xf numFmtId="0" fontId="12" fillId="0" borderId="57" xfId="31" applyFont="1" applyBorder="1" applyAlignment="1">
      <alignment vertical="center" wrapText="1"/>
    </xf>
    <xf numFmtId="14" fontId="21" fillId="0" borderId="0" xfId="0" applyNumberFormat="1" applyFont="1" applyAlignment="1">
      <alignment horizontal="left" vertical="center"/>
    </xf>
    <xf numFmtId="0" fontId="21" fillId="0" borderId="0" xfId="0" applyFont="1" applyAlignment="1">
      <alignment horizontal="right" vertical="center"/>
    </xf>
    <xf numFmtId="0" fontId="13" fillId="0" borderId="0" xfId="0" applyFont="1" applyAlignment="1">
      <alignment horizontal="left" vertical="center"/>
    </xf>
    <xf numFmtId="14" fontId="65" fillId="0" borderId="0" xfId="0" applyNumberFormat="1" applyFont="1" applyAlignment="1">
      <alignment vertical="center"/>
    </xf>
    <xf numFmtId="0" fontId="21" fillId="0" borderId="0" xfId="0" applyFont="1" applyAlignment="1">
      <alignment horizontal="center" vertical="center"/>
    </xf>
    <xf numFmtId="0" fontId="21" fillId="27" borderId="0" xfId="0" applyFont="1" applyFill="1" applyAlignment="1">
      <alignment vertical="center"/>
    </xf>
    <xf numFmtId="0" fontId="12" fillId="0" borderId="0" xfId="0" applyFont="1" applyAlignment="1">
      <alignment horizontal="left" vertical="center"/>
    </xf>
    <xf numFmtId="3" fontId="12" fillId="28" borderId="51" xfId="77" applyNumberFormat="1" applyFont="1" applyFill="1" applyBorder="1" applyAlignment="1" applyProtection="1">
      <alignment horizontal="center" vertical="center" wrapText="1"/>
      <protection locked="0"/>
    </xf>
    <xf numFmtId="3" fontId="12" fillId="28" borderId="73" xfId="77" applyNumberFormat="1" applyFont="1" applyFill="1" applyBorder="1" applyAlignment="1" applyProtection="1">
      <alignment horizontal="center" vertical="center" wrapText="1"/>
      <protection locked="0"/>
    </xf>
    <xf numFmtId="3" fontId="12" fillId="28" borderId="22" xfId="77" applyNumberFormat="1" applyFont="1" applyFill="1" applyBorder="1" applyAlignment="1" applyProtection="1">
      <alignment horizontal="center" vertical="center" wrapText="1"/>
      <protection locked="0"/>
    </xf>
    <xf numFmtId="3" fontId="12" fillId="28" borderId="74" xfId="77" applyNumberFormat="1" applyFont="1" applyFill="1" applyBorder="1" applyAlignment="1" applyProtection="1">
      <alignment horizontal="center" vertical="center" wrapText="1"/>
      <protection locked="0"/>
    </xf>
    <xf numFmtId="3" fontId="12" fillId="28" borderId="14" xfId="77" applyNumberFormat="1" applyFont="1" applyFill="1" applyBorder="1" applyAlignment="1" applyProtection="1">
      <alignment horizontal="center" vertical="center" wrapText="1"/>
      <protection locked="0"/>
    </xf>
    <xf numFmtId="3" fontId="12" fillId="28" borderId="17" xfId="77" applyNumberFormat="1" applyFont="1" applyFill="1" applyBorder="1" applyAlignment="1" applyProtection="1">
      <alignment horizontal="center" vertical="center" wrapText="1"/>
      <protection locked="0"/>
    </xf>
    <xf numFmtId="3" fontId="12" fillId="28" borderId="23" xfId="77" applyNumberFormat="1" applyFont="1" applyFill="1" applyBorder="1" applyAlignment="1" applyProtection="1">
      <alignment horizontal="center" vertical="center" wrapText="1"/>
      <protection locked="0"/>
    </xf>
    <xf numFmtId="3" fontId="12" fillId="28" borderId="62" xfId="77" applyNumberFormat="1" applyFont="1" applyFill="1" applyBorder="1" applyAlignment="1" applyProtection="1">
      <alignment horizontal="center" vertical="center" wrapText="1"/>
      <protection locked="0"/>
    </xf>
    <xf numFmtId="3" fontId="12" fillId="28" borderId="7" xfId="77" applyNumberFormat="1" applyFont="1" applyFill="1" applyBorder="1" applyAlignment="1" applyProtection="1">
      <alignment horizontal="center" vertical="center" wrapText="1"/>
      <protection locked="0"/>
    </xf>
    <xf numFmtId="3" fontId="12" fillId="28" borderId="53" xfId="77" applyNumberFormat="1" applyFont="1" applyFill="1" applyBorder="1" applyAlignment="1" applyProtection="1">
      <alignment horizontal="center" vertical="center" wrapText="1"/>
      <protection locked="0"/>
    </xf>
    <xf numFmtId="3" fontId="12" fillId="28" borderId="21" xfId="77" applyNumberFormat="1" applyFont="1" applyFill="1" applyBorder="1" applyAlignment="1" applyProtection="1">
      <alignment horizontal="center" vertical="center" wrapText="1"/>
      <protection locked="0"/>
    </xf>
    <xf numFmtId="3" fontId="12" fillId="28" borderId="78" xfId="77" applyNumberFormat="1" applyFont="1" applyFill="1" applyBorder="1" applyAlignment="1" applyProtection="1">
      <alignment horizontal="center" vertical="center" wrapText="1"/>
      <protection locked="0"/>
    </xf>
    <xf numFmtId="3" fontId="12" fillId="28" borderId="77" xfId="77" applyNumberFormat="1" applyFont="1" applyFill="1" applyBorder="1" applyAlignment="1" applyProtection="1">
      <alignment horizontal="center" vertical="center" wrapText="1"/>
      <protection locked="0"/>
    </xf>
    <xf numFmtId="3" fontId="12" fillId="28" borderId="19" xfId="77" applyNumberFormat="1" applyFont="1" applyFill="1" applyBorder="1" applyAlignment="1" applyProtection="1">
      <alignment horizontal="center" vertical="center" wrapText="1"/>
      <protection locked="0"/>
    </xf>
    <xf numFmtId="0" fontId="12" fillId="28" borderId="73" xfId="77" applyFont="1" applyFill="1" applyBorder="1" applyAlignment="1" applyProtection="1">
      <alignment horizontal="center" vertical="center" wrapText="1"/>
      <protection locked="0"/>
    </xf>
    <xf numFmtId="0" fontId="12" fillId="28" borderId="77" xfId="77" applyFont="1" applyFill="1" applyBorder="1" applyAlignment="1" applyProtection="1">
      <alignment horizontal="center" vertical="center" wrapText="1"/>
      <protection locked="0"/>
    </xf>
    <xf numFmtId="49" fontId="21" fillId="0" borderId="0" xfId="0" applyNumberFormat="1" applyFont="1" applyAlignment="1">
      <alignment horizontal="left" vertical="center"/>
    </xf>
    <xf numFmtId="0" fontId="21" fillId="26" borderId="0" xfId="0" applyFont="1" applyFill="1" applyAlignment="1">
      <alignment vertical="center"/>
    </xf>
    <xf numFmtId="49" fontId="21" fillId="0" borderId="0" xfId="0" applyNumberFormat="1" applyFont="1" applyAlignment="1">
      <alignment vertical="center"/>
    </xf>
    <xf numFmtId="0" fontId="19" fillId="0" borderId="0" xfId="0" applyFont="1" applyAlignment="1">
      <alignment horizontal="center" vertical="center"/>
    </xf>
    <xf numFmtId="0" fontId="12" fillId="0" borderId="17" xfId="0" applyFont="1" applyBorder="1" applyAlignment="1">
      <alignment horizontal="center" vertical="center"/>
    </xf>
    <xf numFmtId="0" fontId="19" fillId="0" borderId="14" xfId="0" applyFont="1" applyBorder="1" applyAlignment="1">
      <alignment vertical="center"/>
    </xf>
    <xf numFmtId="0" fontId="12" fillId="0" borderId="51" xfId="0" applyFont="1" applyBorder="1" applyAlignment="1">
      <alignment horizontal="left" vertical="center" wrapText="1"/>
    </xf>
    <xf numFmtId="9" fontId="21" fillId="22" borderId="50" xfId="0" applyNumberFormat="1" applyFont="1" applyFill="1" applyBorder="1" applyAlignment="1">
      <alignment horizontal="center" vertical="center"/>
    </xf>
    <xf numFmtId="9" fontId="21" fillId="26" borderId="0" xfId="0" applyNumberFormat="1" applyFont="1" applyFill="1" applyAlignment="1">
      <alignment horizontal="center" vertical="center"/>
    </xf>
    <xf numFmtId="0" fontId="19" fillId="0" borderId="15" xfId="0" applyFont="1" applyBorder="1" applyAlignment="1">
      <alignment vertical="center"/>
    </xf>
    <xf numFmtId="0" fontId="12" fillId="0" borderId="17" xfId="0" applyFont="1" applyBorder="1" applyAlignment="1">
      <alignment horizontal="left" vertical="center" wrapText="1"/>
    </xf>
    <xf numFmtId="9" fontId="21" fillId="22" borderId="53" xfId="0" applyNumberFormat="1" applyFont="1" applyFill="1" applyBorder="1" applyAlignment="1">
      <alignment horizontal="center" vertical="center"/>
    </xf>
    <xf numFmtId="0" fontId="21" fillId="22" borderId="53" xfId="0" applyFont="1" applyFill="1" applyBorder="1" applyAlignment="1">
      <alignment horizontal="center" vertical="center"/>
    </xf>
    <xf numFmtId="0" fontId="21" fillId="26" borderId="0" xfId="0" applyFont="1" applyFill="1" applyAlignment="1">
      <alignment horizontal="center" vertical="center"/>
    </xf>
    <xf numFmtId="0" fontId="38" fillId="0" borderId="17" xfId="0" applyFont="1" applyBorder="1" applyAlignment="1">
      <alignment vertical="center" wrapText="1"/>
    </xf>
    <xf numFmtId="10" fontId="21" fillId="22" borderId="53" xfId="0" applyNumberFormat="1" applyFont="1" applyFill="1" applyBorder="1" applyAlignment="1">
      <alignment horizontal="center" vertical="center"/>
    </xf>
    <xf numFmtId="10" fontId="21" fillId="26" borderId="0" xfId="0" applyNumberFormat="1" applyFont="1" applyFill="1" applyAlignment="1">
      <alignment horizontal="center" vertical="center"/>
    </xf>
    <xf numFmtId="0" fontId="12" fillId="0" borderId="21" xfId="0" applyFont="1" applyBorder="1" applyAlignment="1">
      <alignment horizontal="center" vertical="center"/>
    </xf>
    <xf numFmtId="0" fontId="19" fillId="0" borderId="19" xfId="0" applyFont="1" applyBorder="1" applyAlignment="1">
      <alignment vertical="center"/>
    </xf>
    <xf numFmtId="0" fontId="38" fillId="0" borderId="21" xfId="0" applyFont="1" applyBorder="1" applyAlignment="1">
      <alignment vertical="center" wrapText="1"/>
    </xf>
    <xf numFmtId="0" fontId="21" fillId="22" borderId="57" xfId="0" applyFont="1" applyFill="1" applyBorder="1" applyAlignment="1">
      <alignment horizontal="center" vertical="center"/>
    </xf>
    <xf numFmtId="2" fontId="12" fillId="21" borderId="83" xfId="70" applyNumberFormat="1" applyFont="1" applyFill="1" applyBorder="1" applyAlignment="1" applyProtection="1">
      <alignment horizontal="center" vertical="center"/>
    </xf>
    <xf numFmtId="0" fontId="12" fillId="26" borderId="110" xfId="0" applyFont="1" applyFill="1" applyBorder="1" applyAlignment="1">
      <alignment horizontal="center" vertical="center" wrapText="1"/>
    </xf>
    <xf numFmtId="0" fontId="21" fillId="0" borderId="85" xfId="0" applyFont="1" applyBorder="1" applyAlignment="1">
      <alignment horizontal="center" vertical="center"/>
    </xf>
    <xf numFmtId="0" fontId="21" fillId="0" borderId="91" xfId="0" applyFont="1" applyBorder="1" applyAlignment="1">
      <alignment horizontal="center" vertical="center"/>
    </xf>
    <xf numFmtId="10" fontId="12" fillId="21" borderId="83" xfId="70" applyNumberFormat="1" applyFont="1" applyFill="1" applyBorder="1" applyAlignment="1" applyProtection="1">
      <alignment horizontal="center" vertical="center"/>
    </xf>
    <xf numFmtId="0" fontId="12" fillId="26" borderId="116" xfId="0" applyFont="1" applyFill="1" applyBorder="1" applyAlignment="1">
      <alignment horizontal="center" vertical="center" wrapText="1"/>
    </xf>
    <xf numFmtId="9" fontId="21" fillId="0" borderId="81" xfId="0" applyNumberFormat="1" applyFont="1" applyBorder="1" applyAlignment="1">
      <alignment horizontal="center" vertical="center"/>
    </xf>
    <xf numFmtId="9" fontId="21" fillId="0" borderId="0" xfId="0" applyNumberFormat="1" applyFont="1" applyAlignment="1">
      <alignment horizontal="center" vertical="center"/>
    </xf>
    <xf numFmtId="9" fontId="21" fillId="0" borderId="95" xfId="0" applyNumberFormat="1" applyFont="1" applyBorder="1" applyAlignment="1">
      <alignment horizontal="center" vertical="center"/>
    </xf>
    <xf numFmtId="0" fontId="12" fillId="26" borderId="81" xfId="0" applyFont="1" applyFill="1" applyBorder="1" applyAlignment="1">
      <alignment horizontal="center" vertical="center" wrapText="1"/>
    </xf>
    <xf numFmtId="0" fontId="21" fillId="0" borderId="81" xfId="0" applyFont="1" applyBorder="1" applyAlignment="1">
      <alignment horizontal="center" vertical="center"/>
    </xf>
    <xf numFmtId="0" fontId="21" fillId="0" borderId="95" xfId="0" applyFont="1" applyBorder="1" applyAlignment="1">
      <alignment horizontal="center" vertical="center"/>
    </xf>
    <xf numFmtId="10" fontId="21" fillId="0" borderId="81" xfId="0" applyNumberFormat="1" applyFont="1" applyBorder="1" applyAlignment="1">
      <alignment horizontal="center" vertical="center"/>
    </xf>
    <xf numFmtId="10" fontId="21" fillId="0" borderId="0" xfId="0" applyNumberFormat="1" applyFont="1" applyAlignment="1">
      <alignment horizontal="center" vertical="center"/>
    </xf>
    <xf numFmtId="0" fontId="12" fillId="0" borderId="21" xfId="0" applyFont="1" applyBorder="1" applyAlignment="1">
      <alignment horizontal="left" vertical="center" wrapText="1"/>
    </xf>
    <xf numFmtId="2" fontId="12" fillId="21" borderId="115" xfId="70" applyNumberFormat="1" applyFont="1" applyFill="1" applyBorder="1" applyAlignment="1" applyProtection="1">
      <alignment horizontal="center" vertical="center"/>
    </xf>
    <xf numFmtId="0" fontId="12" fillId="26" borderId="111" xfId="0" applyFont="1" applyFill="1" applyBorder="1" applyAlignment="1">
      <alignment horizontal="center" vertical="center" wrapText="1"/>
    </xf>
    <xf numFmtId="0" fontId="21" fillId="0" borderId="92" xfId="0" applyFont="1" applyBorder="1" applyAlignment="1">
      <alignment horizontal="center" vertical="center"/>
    </xf>
    <xf numFmtId="0" fontId="21" fillId="0" borderId="94" xfId="0" applyFont="1" applyBorder="1" applyAlignment="1">
      <alignment horizontal="center" vertical="center"/>
    </xf>
    <xf numFmtId="49" fontId="12" fillId="0" borderId="0" xfId="0" applyNumberFormat="1" applyFont="1" applyAlignment="1">
      <alignment horizontal="center" vertical="center"/>
    </xf>
    <xf numFmtId="170" fontId="12" fillId="0" borderId="0" xfId="0" applyNumberFormat="1" applyFont="1" applyAlignment="1">
      <alignment vertical="center"/>
    </xf>
    <xf numFmtId="0" fontId="12" fillId="0" borderId="11" xfId="0" applyFont="1" applyBorder="1" applyAlignment="1">
      <alignment vertical="center"/>
    </xf>
    <xf numFmtId="0" fontId="43" fillId="0" borderId="0" xfId="0" applyFont="1" applyAlignment="1">
      <alignment vertical="center"/>
    </xf>
    <xf numFmtId="0" fontId="57" fillId="27" borderId="0" xfId="52" applyFont="1" applyFill="1" applyAlignment="1">
      <alignment vertical="center"/>
    </xf>
    <xf numFmtId="0" fontId="81" fillId="27" borderId="0" xfId="52" applyFont="1" applyFill="1" applyAlignment="1">
      <alignment vertical="center"/>
    </xf>
    <xf numFmtId="0" fontId="81" fillId="27" borderId="0" xfId="52" applyFont="1" applyFill="1" applyAlignment="1">
      <alignment horizontal="right" vertical="center"/>
    </xf>
    <xf numFmtId="1" fontId="81" fillId="23" borderId="8" xfId="52" applyNumberFormat="1" applyFont="1" applyFill="1" applyBorder="1" applyAlignment="1">
      <alignment horizontal="center" vertical="center"/>
    </xf>
    <xf numFmtId="1" fontId="81" fillId="23" borderId="3" xfId="52" applyNumberFormat="1" applyFont="1" applyFill="1" applyBorder="1" applyAlignment="1">
      <alignment horizontal="center" vertical="center"/>
    </xf>
    <xf numFmtId="3" fontId="57" fillId="23" borderId="8" xfId="52" applyNumberFormat="1" applyFont="1" applyFill="1" applyBorder="1" applyAlignment="1">
      <alignment horizontal="center" vertical="center"/>
    </xf>
    <xf numFmtId="3" fontId="57" fillId="23" borderId="3" xfId="52" applyNumberFormat="1" applyFont="1" applyFill="1" applyBorder="1" applyAlignment="1">
      <alignment horizontal="center" vertical="center"/>
    </xf>
    <xf numFmtId="0" fontId="65" fillId="23" borderId="8" xfId="57" applyFont="1" applyFill="1" applyBorder="1" applyAlignment="1">
      <alignment horizontal="left" vertical="center"/>
    </xf>
    <xf numFmtId="14" fontId="65" fillId="27" borderId="0" xfId="52" applyNumberFormat="1" applyFont="1" applyFill="1" applyAlignment="1">
      <alignment vertical="center"/>
    </xf>
    <xf numFmtId="0" fontId="21" fillId="27" borderId="0" xfId="52" applyFont="1" applyFill="1" applyAlignment="1">
      <alignment horizontal="right" vertical="center"/>
    </xf>
    <xf numFmtId="3" fontId="43" fillId="27" borderId="0" xfId="52" applyNumberFormat="1" applyFont="1" applyFill="1" applyAlignment="1">
      <alignment vertical="center"/>
    </xf>
    <xf numFmtId="168" fontId="57" fillId="20" borderId="0" xfId="52" applyNumberFormat="1" applyFont="1" applyFill="1" applyAlignment="1">
      <alignment horizontal="right" vertical="center"/>
    </xf>
    <xf numFmtId="0" fontId="65" fillId="27" borderId="0" xfId="52" applyFont="1" applyFill="1" applyAlignment="1">
      <alignment vertical="center"/>
    </xf>
    <xf numFmtId="0" fontId="43" fillId="27" borderId="0" xfId="52" applyFont="1" applyFill="1" applyAlignment="1">
      <alignment vertical="center"/>
    </xf>
    <xf numFmtId="0" fontId="84" fillId="27" borderId="0" xfId="52" applyFont="1" applyFill="1" applyAlignment="1">
      <alignment vertical="center"/>
    </xf>
    <xf numFmtId="0" fontId="84" fillId="27" borderId="0" xfId="31" applyFont="1" applyFill="1" applyAlignment="1">
      <alignment vertical="center"/>
    </xf>
    <xf numFmtId="3" fontId="65" fillId="28" borderId="49" xfId="57" applyNumberFormat="1" applyFont="1" applyFill="1" applyBorder="1" applyAlignment="1" applyProtection="1">
      <alignment horizontal="center" vertical="center"/>
      <protection locked="0"/>
    </xf>
    <xf numFmtId="3" fontId="65" fillId="28" borderId="31" xfId="57" applyNumberFormat="1" applyFont="1" applyFill="1" applyBorder="1" applyAlignment="1" applyProtection="1">
      <alignment horizontal="center" vertical="center"/>
      <protection locked="0"/>
    </xf>
    <xf numFmtId="0" fontId="116" fillId="20" borderId="0" xfId="88" applyFont="1" applyFill="1" applyAlignment="1">
      <alignment horizontal="center" vertical="center" wrapText="1"/>
    </xf>
    <xf numFmtId="0" fontId="81" fillId="27" borderId="0" xfId="91" applyFont="1" applyFill="1" applyAlignment="1">
      <alignment horizontal="right"/>
    </xf>
    <xf numFmtId="0" fontId="21" fillId="20" borderId="0" xfId="88" applyFont="1" applyFill="1" applyAlignment="1">
      <alignment horizontal="left" vertical="center" wrapText="1"/>
    </xf>
    <xf numFmtId="178" fontId="116" fillId="20" borderId="0" xfId="88" applyNumberFormat="1" applyFont="1" applyFill="1" applyAlignment="1">
      <alignment horizontal="center" vertical="center" wrapText="1"/>
    </xf>
    <xf numFmtId="0" fontId="117" fillId="41" borderId="11" xfId="88" applyFont="1" applyFill="1" applyBorder="1" applyAlignment="1">
      <alignment horizontal="center" vertical="center" wrapText="1"/>
    </xf>
    <xf numFmtId="0" fontId="116" fillId="20" borderId="22" xfId="88" applyFont="1" applyFill="1" applyBorder="1" applyAlignment="1">
      <alignment horizontal="center" vertical="center" wrapText="1"/>
    </xf>
    <xf numFmtId="0" fontId="119" fillId="20" borderId="33" xfId="88" applyFont="1" applyFill="1" applyBorder="1" applyAlignment="1">
      <alignment horizontal="center" vertical="center" wrapText="1"/>
    </xf>
    <xf numFmtId="10" fontId="43" fillId="26" borderId="44" xfId="70" applyNumberFormat="1" applyFont="1" applyFill="1" applyBorder="1" applyAlignment="1" applyProtection="1">
      <alignment horizontal="center" vertical="center" wrapText="1"/>
    </xf>
    <xf numFmtId="0" fontId="116" fillId="20" borderId="53" xfId="88" applyFont="1" applyFill="1" applyBorder="1" applyAlignment="1">
      <alignment horizontal="left" vertical="center" wrapText="1"/>
    </xf>
    <xf numFmtId="0" fontId="116" fillId="20" borderId="23" xfId="88" applyFont="1" applyFill="1" applyBorder="1" applyAlignment="1">
      <alignment horizontal="center" vertical="center" wrapText="1"/>
    </xf>
    <xf numFmtId="0" fontId="117" fillId="20" borderId="57" xfId="88" applyFont="1" applyFill="1" applyBorder="1" applyAlignment="1">
      <alignment horizontal="center" vertical="center" wrapText="1"/>
    </xf>
    <xf numFmtId="0" fontId="117" fillId="20" borderId="28" xfId="88" applyFont="1" applyFill="1" applyBorder="1" applyAlignment="1">
      <alignment horizontal="center" vertical="center" wrapText="1"/>
    </xf>
    <xf numFmtId="0" fontId="117" fillId="20" borderId="53" xfId="88" applyFont="1" applyFill="1" applyBorder="1" applyAlignment="1">
      <alignment horizontal="center" vertical="center" wrapText="1"/>
    </xf>
    <xf numFmtId="0" fontId="117" fillId="20" borderId="23" xfId="88" applyFont="1" applyFill="1" applyBorder="1" applyAlignment="1">
      <alignment horizontal="center" vertical="center" wrapText="1"/>
    </xf>
    <xf numFmtId="3" fontId="117" fillId="26" borderId="52" xfId="88" applyNumberFormat="1" applyFont="1" applyFill="1" applyBorder="1" applyAlignment="1">
      <alignment horizontal="center" vertical="center" wrapText="1"/>
    </xf>
    <xf numFmtId="3" fontId="117" fillId="26" borderId="32" xfId="88" applyNumberFormat="1" applyFont="1" applyFill="1" applyBorder="1" applyAlignment="1">
      <alignment horizontal="center" vertical="center" wrapText="1"/>
    </xf>
    <xf numFmtId="0" fontId="116" fillId="20" borderId="33" xfId="88" applyFont="1" applyFill="1" applyBorder="1" applyAlignment="1">
      <alignment horizontal="center" vertical="center" wrapText="1"/>
    </xf>
    <xf numFmtId="3" fontId="12" fillId="26" borderId="133" xfId="88" applyNumberFormat="1" applyFont="1" applyFill="1" applyBorder="1" applyAlignment="1">
      <alignment horizontal="center" vertical="center" wrapText="1"/>
    </xf>
    <xf numFmtId="3" fontId="12" fillId="26" borderId="117" xfId="88" applyNumberFormat="1" applyFont="1" applyFill="1" applyBorder="1" applyAlignment="1">
      <alignment horizontal="center" vertical="center" wrapText="1"/>
    </xf>
    <xf numFmtId="3" fontId="12" fillId="26" borderId="137" xfId="88" applyNumberFormat="1" applyFont="1" applyFill="1" applyBorder="1" applyAlignment="1">
      <alignment horizontal="center" vertical="center" wrapText="1"/>
    </xf>
    <xf numFmtId="0" fontId="116" fillId="20" borderId="20" xfId="88" applyFont="1" applyFill="1" applyBorder="1" applyAlignment="1">
      <alignment horizontal="center" vertical="center" wrapText="1"/>
    </xf>
    <xf numFmtId="3" fontId="116" fillId="20" borderId="74" xfId="88" applyNumberFormat="1" applyFont="1" applyFill="1" applyBorder="1" applyAlignment="1">
      <alignment horizontal="center" vertical="center" wrapText="1"/>
    </xf>
    <xf numFmtId="3" fontId="116" fillId="20" borderId="62" xfId="88" applyNumberFormat="1" applyFont="1" applyFill="1" applyBorder="1" applyAlignment="1">
      <alignment horizontal="center" vertical="center" wrapText="1"/>
    </xf>
    <xf numFmtId="3" fontId="64" fillId="26" borderId="119" xfId="70" applyNumberFormat="1" applyFont="1" applyFill="1" applyBorder="1" applyAlignment="1" applyProtection="1">
      <alignment horizontal="center" vertical="center" wrapText="1"/>
    </xf>
    <xf numFmtId="0" fontId="38" fillId="26" borderId="142" xfId="88" applyFont="1" applyFill="1" applyBorder="1" applyAlignment="1">
      <alignment horizontal="center" vertical="center" wrapText="1"/>
    </xf>
    <xf numFmtId="10" fontId="64" fillId="26" borderId="142" xfId="70" applyNumberFormat="1" applyFont="1" applyFill="1" applyBorder="1" applyAlignment="1" applyProtection="1">
      <alignment horizontal="center" vertical="center" wrapText="1"/>
    </xf>
    <xf numFmtId="10" fontId="64" fillId="26" borderId="120" xfId="70" applyNumberFormat="1" applyFont="1" applyFill="1" applyBorder="1" applyAlignment="1" applyProtection="1">
      <alignment horizontal="center" vertical="center" wrapText="1"/>
    </xf>
    <xf numFmtId="3" fontId="64" fillId="26" borderId="121" xfId="70" applyNumberFormat="1" applyFont="1" applyFill="1" applyBorder="1" applyAlignment="1" applyProtection="1">
      <alignment horizontal="center" vertical="center" wrapText="1"/>
    </xf>
    <xf numFmtId="0" fontId="38" fillId="26" borderId="122" xfId="88" applyFont="1" applyFill="1" applyBorder="1" applyAlignment="1">
      <alignment horizontal="center" vertical="center" wrapText="1"/>
    </xf>
    <xf numFmtId="0" fontId="38" fillId="26" borderId="0" xfId="88" applyFont="1" applyFill="1" applyAlignment="1">
      <alignment horizontal="center" vertical="center" wrapText="1"/>
    </xf>
    <xf numFmtId="3" fontId="116" fillId="20" borderId="0" xfId="88" applyNumberFormat="1" applyFont="1" applyFill="1" applyAlignment="1">
      <alignment horizontal="center" vertical="center" wrapText="1"/>
    </xf>
    <xf numFmtId="0" fontId="117" fillId="20" borderId="20" xfId="88" applyFont="1" applyFill="1" applyBorder="1" applyAlignment="1">
      <alignment vertical="center" wrapText="1"/>
    </xf>
    <xf numFmtId="0" fontId="117" fillId="20" borderId="0" xfId="88" applyFont="1" applyFill="1" applyAlignment="1">
      <alignment vertical="center" wrapText="1"/>
    </xf>
    <xf numFmtId="3" fontId="117" fillId="41" borderId="45" xfId="88" applyNumberFormat="1" applyFont="1" applyFill="1" applyBorder="1" applyAlignment="1">
      <alignment horizontal="center" vertical="center" wrapText="1"/>
    </xf>
    <xf numFmtId="3" fontId="117" fillId="41" borderId="80" xfId="88" applyNumberFormat="1" applyFont="1" applyFill="1" applyBorder="1" applyAlignment="1">
      <alignment horizontal="center" vertical="center" wrapText="1"/>
    </xf>
    <xf numFmtId="3" fontId="117" fillId="41" borderId="41" xfId="88" applyNumberFormat="1" applyFont="1" applyFill="1" applyBorder="1" applyAlignment="1">
      <alignment horizontal="center" vertical="center" wrapText="1"/>
    </xf>
    <xf numFmtId="0" fontId="116" fillId="20" borderId="14" xfId="88" applyFont="1" applyFill="1" applyBorder="1" applyAlignment="1">
      <alignment horizontal="center" vertical="center" wrapText="1"/>
    </xf>
    <xf numFmtId="0" fontId="116" fillId="20" borderId="6" xfId="88" applyFont="1" applyFill="1" applyBorder="1" applyAlignment="1">
      <alignment horizontal="center" vertical="center" wrapText="1"/>
    </xf>
    <xf numFmtId="0" fontId="116" fillId="20" borderId="43" xfId="88" applyFont="1" applyFill="1" applyBorder="1" applyAlignment="1">
      <alignment horizontal="center" vertical="center" wrapText="1"/>
    </xf>
    <xf numFmtId="0" fontId="117" fillId="20" borderId="0" xfId="88" applyFont="1" applyFill="1" applyAlignment="1">
      <alignment horizontal="left" vertical="center" wrapText="1"/>
    </xf>
    <xf numFmtId="0" fontId="117" fillId="41" borderId="38" xfId="88" applyFont="1" applyFill="1" applyBorder="1" applyAlignment="1">
      <alignment horizontal="center" vertical="center" wrapText="1"/>
    </xf>
    <xf numFmtId="0" fontId="117" fillId="41" borderId="10" xfId="88" applyFont="1" applyFill="1" applyBorder="1" applyAlignment="1">
      <alignment horizontal="center" vertical="center" wrapText="1"/>
    </xf>
    <xf numFmtId="3" fontId="117" fillId="41" borderId="124" xfId="88" applyNumberFormat="1" applyFont="1" applyFill="1" applyBorder="1" applyAlignment="1">
      <alignment horizontal="center" vertical="center" wrapText="1"/>
    </xf>
    <xf numFmtId="0" fontId="116" fillId="20" borderId="76" xfId="88" applyFont="1" applyFill="1" applyBorder="1" applyAlignment="1">
      <alignment horizontal="center" vertical="center" wrapText="1"/>
    </xf>
    <xf numFmtId="3" fontId="116" fillId="20" borderId="75" xfId="88" applyNumberFormat="1" applyFont="1" applyFill="1" applyBorder="1" applyAlignment="1">
      <alignment horizontal="center" vertical="center" wrapText="1"/>
    </xf>
    <xf numFmtId="3" fontId="116" fillId="20" borderId="14" xfId="88" applyNumberFormat="1" applyFont="1" applyFill="1" applyBorder="1" applyAlignment="1">
      <alignment horizontal="center" vertical="center" wrapText="1"/>
    </xf>
    <xf numFmtId="3" fontId="116" fillId="20" borderId="125" xfId="88" applyNumberFormat="1" applyFont="1" applyFill="1" applyBorder="1" applyAlignment="1">
      <alignment horizontal="center" vertical="center" wrapText="1"/>
    </xf>
    <xf numFmtId="0" fontId="116" fillId="20" borderId="53" xfId="88" applyFont="1" applyFill="1" applyBorder="1" applyAlignment="1">
      <alignment horizontal="center" vertical="center" wrapText="1"/>
    </xf>
    <xf numFmtId="3" fontId="116" fillId="20" borderId="52" xfId="88" applyNumberFormat="1" applyFont="1" applyFill="1" applyBorder="1" applyAlignment="1">
      <alignment horizontal="center" vertical="center" wrapText="1"/>
    </xf>
    <xf numFmtId="3" fontId="116" fillId="20" borderId="15" xfId="88" applyNumberFormat="1" applyFont="1" applyFill="1" applyBorder="1" applyAlignment="1">
      <alignment horizontal="center" vertical="center" wrapText="1"/>
    </xf>
    <xf numFmtId="3" fontId="116" fillId="20" borderId="82" xfId="88" applyNumberFormat="1" applyFont="1" applyFill="1" applyBorder="1" applyAlignment="1">
      <alignment horizontal="center" vertical="center" wrapText="1"/>
    </xf>
    <xf numFmtId="0" fontId="116" fillId="20" borderId="55" xfId="88" applyFont="1" applyFill="1" applyBorder="1" applyAlignment="1">
      <alignment horizontal="center" vertical="center" wrapText="1"/>
    </xf>
    <xf numFmtId="0" fontId="116" fillId="20" borderId="37" xfId="88" applyFont="1" applyFill="1" applyBorder="1" applyAlignment="1">
      <alignment horizontal="center" vertical="center" wrapText="1"/>
    </xf>
    <xf numFmtId="3" fontId="116" fillId="20" borderId="56" xfId="88" applyNumberFormat="1" applyFont="1" applyFill="1" applyBorder="1" applyAlignment="1">
      <alignment horizontal="center" vertical="center" wrapText="1"/>
    </xf>
    <xf numFmtId="3" fontId="116" fillId="20" borderId="79" xfId="88" applyNumberFormat="1" applyFont="1" applyFill="1" applyBorder="1" applyAlignment="1">
      <alignment horizontal="center" vertical="center" wrapText="1"/>
    </xf>
    <xf numFmtId="3" fontId="116" fillId="20" borderId="19" xfId="88" applyNumberFormat="1" applyFont="1" applyFill="1" applyBorder="1" applyAlignment="1">
      <alignment horizontal="center" vertical="center" wrapText="1"/>
    </xf>
    <xf numFmtId="3" fontId="116" fillId="20" borderId="77" xfId="88" applyNumberFormat="1" applyFont="1" applyFill="1" applyBorder="1" applyAlignment="1">
      <alignment horizontal="center" vertical="center" wrapText="1"/>
    </xf>
    <xf numFmtId="3" fontId="116" fillId="20" borderId="126" xfId="88" applyNumberFormat="1" applyFont="1" applyFill="1" applyBorder="1" applyAlignment="1">
      <alignment horizontal="center" vertical="center" wrapText="1"/>
    </xf>
    <xf numFmtId="0" fontId="116" fillId="20" borderId="51" xfId="88" applyFont="1" applyFill="1" applyBorder="1" applyAlignment="1">
      <alignment horizontal="center" vertical="center" wrapText="1"/>
    </xf>
    <xf numFmtId="4" fontId="116" fillId="20" borderId="75" xfId="88" applyNumberFormat="1" applyFont="1" applyFill="1" applyBorder="1" applyAlignment="1">
      <alignment horizontal="center" vertical="center" wrapText="1"/>
    </xf>
    <xf numFmtId="4" fontId="116" fillId="20" borderId="72" xfId="88" applyNumberFormat="1" applyFont="1" applyFill="1" applyBorder="1" applyAlignment="1">
      <alignment horizontal="center" vertical="center" wrapText="1"/>
    </xf>
    <xf numFmtId="4" fontId="116" fillId="20" borderId="14" xfId="88" applyNumberFormat="1" applyFont="1" applyFill="1" applyBorder="1" applyAlignment="1">
      <alignment horizontal="center" vertical="center" wrapText="1"/>
    </xf>
    <xf numFmtId="4" fontId="116" fillId="20" borderId="73" xfId="88" applyNumberFormat="1" applyFont="1" applyFill="1" applyBorder="1" applyAlignment="1">
      <alignment horizontal="center" vertical="center" wrapText="1"/>
    </xf>
    <xf numFmtId="0" fontId="116" fillId="20" borderId="5" xfId="88" applyFont="1" applyFill="1" applyBorder="1" applyAlignment="1">
      <alignment horizontal="center" vertical="center" wrapText="1"/>
    </xf>
    <xf numFmtId="4" fontId="116" fillId="20" borderId="52" xfId="88" applyNumberFormat="1" applyFont="1" applyFill="1" applyBorder="1" applyAlignment="1">
      <alignment horizontal="center" vertical="center" wrapText="1"/>
    </xf>
    <xf numFmtId="4" fontId="116" fillId="20" borderId="32" xfId="88" applyNumberFormat="1" applyFont="1" applyFill="1" applyBorder="1" applyAlignment="1">
      <alignment horizontal="center" vertical="center" wrapText="1"/>
    </xf>
    <xf numFmtId="4" fontId="116" fillId="20" borderId="15" xfId="88" applyNumberFormat="1" applyFont="1" applyFill="1" applyBorder="1" applyAlignment="1">
      <alignment horizontal="center" vertical="center" wrapText="1"/>
    </xf>
    <xf numFmtId="4" fontId="116" fillId="20" borderId="7" xfId="88" applyNumberFormat="1" applyFont="1" applyFill="1" applyBorder="1" applyAlignment="1">
      <alignment horizontal="center" vertical="center" wrapText="1"/>
    </xf>
    <xf numFmtId="0" fontId="116" fillId="20" borderId="57" xfId="88" applyFont="1" applyFill="1" applyBorder="1" applyAlignment="1">
      <alignment horizontal="center" vertical="center" wrapText="1"/>
    </xf>
    <xf numFmtId="4" fontId="116" fillId="20" borderId="56" xfId="88" applyNumberFormat="1" applyFont="1" applyFill="1" applyBorder="1" applyAlignment="1">
      <alignment horizontal="center" vertical="center" wrapText="1"/>
    </xf>
    <xf numFmtId="4" fontId="116" fillId="20" borderId="79" xfId="88" applyNumberFormat="1" applyFont="1" applyFill="1" applyBorder="1" applyAlignment="1">
      <alignment horizontal="center" vertical="center" wrapText="1"/>
    </xf>
    <xf numFmtId="4" fontId="116" fillId="20" borderId="19" xfId="88" applyNumberFormat="1" applyFont="1" applyFill="1" applyBorder="1" applyAlignment="1">
      <alignment horizontal="center" vertical="center" wrapText="1"/>
    </xf>
    <xf numFmtId="4" fontId="116" fillId="20" borderId="77" xfId="88" applyNumberFormat="1" applyFont="1" applyFill="1" applyBorder="1" applyAlignment="1">
      <alignment horizontal="center" vertical="center" wrapText="1"/>
    </xf>
    <xf numFmtId="0" fontId="116" fillId="20" borderId="50" xfId="88" applyFont="1" applyFill="1" applyBorder="1" applyAlignment="1">
      <alignment horizontal="center" vertical="center" wrapText="1"/>
    </xf>
    <xf numFmtId="0" fontId="116" fillId="20" borderId="38" xfId="88" applyFont="1" applyFill="1" applyBorder="1" applyAlignment="1">
      <alignment horizontal="center" vertical="center" wrapText="1"/>
    </xf>
    <xf numFmtId="0" fontId="116" fillId="20" borderId="8" xfId="88" applyFont="1" applyFill="1" applyBorder="1" applyAlignment="1">
      <alignment horizontal="center" vertical="center" wrapText="1"/>
    </xf>
    <xf numFmtId="0" fontId="116" fillId="20" borderId="2" xfId="88" applyFont="1" applyFill="1" applyBorder="1" applyAlignment="1">
      <alignment horizontal="center" vertical="center" wrapText="1"/>
    </xf>
    <xf numFmtId="3" fontId="116" fillId="20" borderId="132" xfId="88" applyNumberFormat="1" applyFont="1" applyFill="1" applyBorder="1" applyAlignment="1">
      <alignment horizontal="center" vertical="center" wrapText="1"/>
    </xf>
    <xf numFmtId="3" fontId="116" fillId="20" borderId="105" xfId="88" applyNumberFormat="1" applyFont="1" applyFill="1" applyBorder="1" applyAlignment="1">
      <alignment horizontal="center" vertical="center" wrapText="1"/>
    </xf>
    <xf numFmtId="3" fontId="116" fillId="20" borderId="70" xfId="88" applyNumberFormat="1" applyFont="1" applyFill="1" applyBorder="1" applyAlignment="1">
      <alignment horizontal="center" vertical="center" wrapText="1"/>
    </xf>
    <xf numFmtId="3" fontId="116" fillId="20" borderId="71" xfId="88" applyNumberFormat="1" applyFont="1" applyFill="1" applyBorder="1" applyAlignment="1">
      <alignment horizontal="center" vertical="center" wrapText="1"/>
    </xf>
    <xf numFmtId="3" fontId="116" fillId="20" borderId="131" xfId="88" applyNumberFormat="1" applyFont="1" applyFill="1" applyBorder="1" applyAlignment="1">
      <alignment horizontal="center" vertical="center" wrapText="1"/>
    </xf>
    <xf numFmtId="0" fontId="12" fillId="26" borderId="46" xfId="88" applyFont="1" applyFill="1" applyBorder="1" applyAlignment="1">
      <alignment horizontal="center" vertical="center" wrapText="1"/>
    </xf>
    <xf numFmtId="0" fontId="12" fillId="26" borderId="11" xfId="88" applyFont="1" applyFill="1" applyBorder="1" applyAlignment="1">
      <alignment horizontal="center" vertical="center" wrapText="1"/>
    </xf>
    <xf numFmtId="10" fontId="12" fillId="26" borderId="75" xfId="89" applyNumberFormat="1" applyFont="1" applyFill="1" applyBorder="1" applyAlignment="1" applyProtection="1">
      <alignment horizontal="center" vertical="center" wrapText="1"/>
    </xf>
    <xf numFmtId="10" fontId="12" fillId="26" borderId="72" xfId="89" applyNumberFormat="1" applyFont="1" applyFill="1" applyBorder="1" applyAlignment="1" applyProtection="1">
      <alignment horizontal="center" vertical="center" wrapText="1"/>
    </xf>
    <xf numFmtId="10" fontId="12" fillId="26" borderId="14" xfId="89" applyNumberFormat="1" applyFont="1" applyFill="1" applyBorder="1" applyAlignment="1" applyProtection="1">
      <alignment horizontal="center" vertical="center" wrapText="1"/>
    </xf>
    <xf numFmtId="10" fontId="12" fillId="26" borderId="22" xfId="89" applyNumberFormat="1" applyFont="1" applyFill="1" applyBorder="1" applyAlignment="1" applyProtection="1">
      <alignment horizontal="center" vertical="center" wrapText="1"/>
    </xf>
    <xf numFmtId="0" fontId="79" fillId="26" borderId="91" xfId="88" applyFont="1" applyFill="1" applyBorder="1" applyAlignment="1">
      <alignment horizontal="left" vertical="center" wrapText="1"/>
    </xf>
    <xf numFmtId="0" fontId="12" fillId="26" borderId="57" xfId="88" applyFont="1" applyFill="1" applyBorder="1" applyAlignment="1">
      <alignment horizontal="center" vertical="center" wrapText="1"/>
    </xf>
    <xf numFmtId="0" fontId="12" fillId="26" borderId="37" xfId="88" applyFont="1" applyFill="1" applyBorder="1" applyAlignment="1">
      <alignment horizontal="center" vertical="center" wrapText="1"/>
    </xf>
    <xf numFmtId="10" fontId="12" fillId="26" borderId="52" xfId="89" applyNumberFormat="1" applyFont="1" applyFill="1" applyBorder="1" applyAlignment="1" applyProtection="1">
      <alignment horizontal="center" vertical="center" wrapText="1"/>
    </xf>
    <xf numFmtId="10" fontId="12" fillId="26" borderId="32" xfId="89" applyNumberFormat="1" applyFont="1" applyFill="1" applyBorder="1" applyAlignment="1" applyProtection="1">
      <alignment horizontal="center" vertical="center" wrapText="1"/>
    </xf>
    <xf numFmtId="10" fontId="12" fillId="26" borderId="15" xfId="89" applyNumberFormat="1" applyFont="1" applyFill="1" applyBorder="1" applyAlignment="1" applyProtection="1">
      <alignment horizontal="center" vertical="center" wrapText="1"/>
    </xf>
    <xf numFmtId="10" fontId="12" fillId="26" borderId="23" xfId="89" applyNumberFormat="1" applyFont="1" applyFill="1" applyBorder="1" applyAlignment="1" applyProtection="1">
      <alignment horizontal="center" vertical="center" wrapText="1"/>
    </xf>
    <xf numFmtId="0" fontId="79" fillId="26" borderId="95" xfId="88" applyFont="1" applyFill="1" applyBorder="1" applyAlignment="1">
      <alignment horizontal="left" vertical="center" wrapText="1"/>
    </xf>
    <xf numFmtId="0" fontId="12" fillId="26" borderId="76" xfId="88" applyFont="1" applyFill="1" applyBorder="1" applyAlignment="1">
      <alignment horizontal="center" vertical="center" wrapText="1"/>
    </xf>
    <xf numFmtId="0" fontId="12" fillId="26" borderId="22" xfId="88" applyFont="1" applyFill="1" applyBorder="1" applyAlignment="1">
      <alignment horizontal="center" vertical="center" wrapText="1"/>
    </xf>
    <xf numFmtId="0" fontId="12" fillId="26" borderId="55" xfId="88" applyFont="1" applyFill="1" applyBorder="1" applyAlignment="1">
      <alignment horizontal="center" vertical="center" wrapText="1"/>
    </xf>
    <xf numFmtId="10" fontId="79" fillId="26" borderId="95" xfId="89" applyNumberFormat="1" applyFont="1" applyFill="1" applyBorder="1" applyAlignment="1" applyProtection="1">
      <alignment horizontal="center" vertical="center" wrapText="1"/>
    </xf>
    <xf numFmtId="0" fontId="12" fillId="26" borderId="28" xfId="88" applyFont="1" applyFill="1" applyBorder="1" applyAlignment="1">
      <alignment horizontal="center" vertical="center" wrapText="1"/>
    </xf>
    <xf numFmtId="10" fontId="12" fillId="26" borderId="56" xfId="89" applyNumberFormat="1" applyFont="1" applyFill="1" applyBorder="1" applyAlignment="1" applyProtection="1">
      <alignment horizontal="center" vertical="center" wrapText="1"/>
    </xf>
    <xf numFmtId="10" fontId="12" fillId="26" borderId="79" xfId="89" applyNumberFormat="1" applyFont="1" applyFill="1" applyBorder="1" applyAlignment="1" applyProtection="1">
      <alignment horizontal="center" vertical="center" wrapText="1"/>
    </xf>
    <xf numFmtId="10" fontId="12" fillId="26" borderId="19" xfId="89" applyNumberFormat="1" applyFont="1" applyFill="1" applyBorder="1" applyAlignment="1" applyProtection="1">
      <alignment horizontal="center" vertical="center" wrapText="1"/>
    </xf>
    <xf numFmtId="10" fontId="12" fillId="26" borderId="28" xfId="89" applyNumberFormat="1" applyFont="1" applyFill="1" applyBorder="1" applyAlignment="1" applyProtection="1">
      <alignment horizontal="center" vertical="center" wrapText="1"/>
    </xf>
    <xf numFmtId="0" fontId="79" fillId="26" borderId="94" xfId="88" applyFont="1" applyFill="1" applyBorder="1" applyAlignment="1">
      <alignment horizontal="left" vertical="center" wrapText="1"/>
    </xf>
    <xf numFmtId="0" fontId="12" fillId="26" borderId="0" xfId="88" applyFont="1" applyFill="1" applyAlignment="1">
      <alignment horizontal="center" vertical="center" wrapText="1"/>
    </xf>
    <xf numFmtId="10" fontId="12" fillId="26" borderId="0" xfId="89" applyNumberFormat="1" applyFont="1" applyFill="1" applyBorder="1" applyAlignment="1" applyProtection="1">
      <alignment horizontal="center" vertical="center" wrapText="1"/>
    </xf>
    <xf numFmtId="0" fontId="79" fillId="26" borderId="0" xfId="88" applyFont="1" applyFill="1" applyAlignment="1">
      <alignment horizontal="left" vertical="center" wrapText="1"/>
    </xf>
    <xf numFmtId="14" fontId="117" fillId="20" borderId="0" xfId="88" applyNumberFormat="1" applyFont="1" applyFill="1" applyAlignment="1">
      <alignment horizontal="left" vertical="center"/>
    </xf>
    <xf numFmtId="0" fontId="12" fillId="20" borderId="0" xfId="88" applyFont="1" applyFill="1" applyAlignment="1">
      <alignment horizontal="center" vertical="center"/>
    </xf>
    <xf numFmtId="0" fontId="21" fillId="20" borderId="0" xfId="88" applyFont="1" applyFill="1" applyAlignment="1">
      <alignment horizontal="right" vertical="center"/>
    </xf>
    <xf numFmtId="0" fontId="12" fillId="20" borderId="0" xfId="88" applyFont="1" applyFill="1" applyAlignment="1">
      <alignment horizontal="left" vertical="center"/>
    </xf>
    <xf numFmtId="0" fontId="43" fillId="20" borderId="0" xfId="88" applyFont="1" applyFill="1" applyAlignment="1">
      <alignment horizontal="left" vertical="center"/>
    </xf>
    <xf numFmtId="3" fontId="117" fillId="28" borderId="56" xfId="88" applyNumberFormat="1" applyFont="1" applyFill="1" applyBorder="1" applyAlignment="1" applyProtection="1">
      <alignment horizontal="center" vertical="center" wrapText="1"/>
      <protection locked="0"/>
    </xf>
    <xf numFmtId="3" fontId="117" fillId="28" borderId="79" xfId="88" applyNumberFormat="1" applyFont="1" applyFill="1" applyBorder="1" applyAlignment="1" applyProtection="1">
      <alignment horizontal="center" vertical="center" wrapText="1"/>
      <protection locked="0"/>
    </xf>
    <xf numFmtId="3" fontId="117" fillId="28" borderId="54" xfId="88" applyNumberFormat="1" applyFont="1" applyFill="1" applyBorder="1" applyAlignment="1" applyProtection="1">
      <alignment horizontal="center" vertical="center" wrapText="1"/>
      <protection locked="0"/>
    </xf>
    <xf numFmtId="3" fontId="117" fillId="28" borderId="69" xfId="88" applyNumberFormat="1" applyFont="1" applyFill="1" applyBorder="1" applyAlignment="1" applyProtection="1">
      <alignment horizontal="center" vertical="center" wrapText="1"/>
      <protection locked="0"/>
    </xf>
    <xf numFmtId="3" fontId="116" fillId="28" borderId="32" xfId="88" applyNumberFormat="1" applyFont="1" applyFill="1" applyBorder="1" applyAlignment="1" applyProtection="1">
      <alignment horizontal="center" vertical="center" wrapText="1"/>
      <protection locked="0"/>
    </xf>
    <xf numFmtId="3" fontId="116" fillId="28" borderId="7" xfId="88" applyNumberFormat="1" applyFont="1" applyFill="1" applyBorder="1" applyAlignment="1" applyProtection="1">
      <alignment horizontal="center" vertical="center" wrapText="1"/>
      <protection locked="0"/>
    </xf>
    <xf numFmtId="0" fontId="82" fillId="44" borderId="2" xfId="52" applyFont="1" applyFill="1" applyBorder="1" applyAlignment="1">
      <alignment horizontal="center" vertical="center"/>
    </xf>
    <xf numFmtId="0" fontId="40" fillId="39" borderId="42" xfId="49" applyFont="1" applyFill="1" applyBorder="1" applyAlignment="1">
      <alignment horizontal="center" vertical="center" wrapText="1"/>
    </xf>
    <xf numFmtId="0" fontId="21" fillId="39" borderId="42" xfId="49" applyFont="1" applyFill="1" applyBorder="1" applyAlignment="1">
      <alignment horizontal="left" vertical="center" wrapText="1"/>
    </xf>
    <xf numFmtId="0" fontId="40" fillId="39" borderId="38" xfId="49" applyFont="1" applyFill="1" applyBorder="1" applyAlignment="1">
      <alignment horizontal="center" vertical="center" wrapText="1"/>
    </xf>
    <xf numFmtId="0" fontId="40" fillId="39" borderId="9" xfId="49" applyFont="1" applyFill="1" applyBorder="1" applyAlignment="1">
      <alignment horizontal="center" vertical="center" wrapText="1"/>
    </xf>
    <xf numFmtId="0" fontId="40" fillId="39" borderId="10" xfId="49" applyFont="1" applyFill="1" applyBorder="1" applyAlignment="1">
      <alignment horizontal="center" vertical="center" wrapText="1"/>
    </xf>
    <xf numFmtId="0" fontId="57" fillId="27" borderId="15" xfId="52" applyFont="1" applyFill="1" applyBorder="1" applyAlignment="1">
      <alignment horizontal="left" vertical="center"/>
    </xf>
    <xf numFmtId="0" fontId="40" fillId="39" borderId="47" xfId="49" applyFont="1" applyFill="1" applyBorder="1" applyAlignment="1">
      <alignment horizontal="center" vertical="center" wrapText="1"/>
    </xf>
    <xf numFmtId="0" fontId="40" fillId="39" borderId="71" xfId="49" applyFont="1" applyFill="1" applyBorder="1" applyAlignment="1">
      <alignment horizontal="center" vertical="center" wrapText="1"/>
    </xf>
    <xf numFmtId="0" fontId="40" fillId="39" borderId="48" xfId="49" applyFont="1" applyFill="1" applyBorder="1" applyAlignment="1">
      <alignment horizontal="center" vertical="center" wrapText="1"/>
    </xf>
    <xf numFmtId="0" fontId="40" fillId="26" borderId="42" xfId="49" applyFont="1" applyFill="1" applyBorder="1" applyAlignment="1">
      <alignment horizontal="center" vertical="center" wrapText="1"/>
    </xf>
    <xf numFmtId="0" fontId="62" fillId="27" borderId="0" xfId="52" applyFont="1" applyFill="1" applyAlignment="1">
      <alignment vertical="center"/>
    </xf>
    <xf numFmtId="0" fontId="41" fillId="27" borderId="0" xfId="52" applyFont="1" applyFill="1" applyAlignment="1">
      <alignment vertical="center"/>
    </xf>
    <xf numFmtId="14" fontId="82" fillId="27" borderId="0" xfId="52" applyNumberFormat="1" applyFont="1" applyFill="1" applyAlignment="1">
      <alignment horizontal="left" vertical="center"/>
    </xf>
    <xf numFmtId="14" fontId="40" fillId="27" borderId="0" xfId="52" applyNumberFormat="1" applyFont="1" applyFill="1" applyAlignment="1">
      <alignment vertical="center"/>
    </xf>
    <xf numFmtId="3" fontId="21" fillId="27" borderId="0" xfId="84" applyNumberFormat="1" applyFont="1" applyFill="1" applyAlignment="1">
      <alignment horizontal="right" vertical="center"/>
    </xf>
    <xf numFmtId="3" fontId="12" fillId="27" borderId="0" xfId="84" applyNumberFormat="1" applyFont="1" applyFill="1" applyAlignment="1">
      <alignment horizontal="left" vertical="center"/>
    </xf>
    <xf numFmtId="0" fontId="40" fillId="27" borderId="0" xfId="52" applyFont="1" applyFill="1" applyAlignment="1">
      <alignment horizontal="right" vertical="center"/>
    </xf>
    <xf numFmtId="3" fontId="12" fillId="27" borderId="0" xfId="84" applyNumberFormat="1" applyFont="1" applyFill="1" applyAlignment="1">
      <alignment horizontal="right" vertical="center"/>
    </xf>
    <xf numFmtId="3" fontId="43" fillId="27" borderId="0" xfId="84" applyNumberFormat="1" applyFont="1" applyFill="1" applyAlignment="1">
      <alignment horizontal="left" vertical="center"/>
    </xf>
    <xf numFmtId="0" fontId="42" fillId="27" borderId="0" xfId="52" applyFont="1" applyFill="1" applyAlignment="1">
      <alignment vertical="center"/>
    </xf>
    <xf numFmtId="0" fontId="12" fillId="27" borderId="0" xfId="52" applyFont="1" applyFill="1" applyAlignment="1">
      <alignment vertical="center"/>
    </xf>
    <xf numFmtId="0" fontId="57" fillId="27" borderId="0" xfId="54" applyFont="1" applyFill="1" applyAlignment="1">
      <alignment vertical="center"/>
    </xf>
    <xf numFmtId="0" fontId="65" fillId="27" borderId="0" xfId="54" applyFont="1" applyFill="1" applyAlignment="1">
      <alignment vertical="center"/>
    </xf>
    <xf numFmtId="0" fontId="102" fillId="27" borderId="0" xfId="54" applyFont="1" applyFill="1" applyAlignment="1">
      <alignment vertical="center" wrapText="1"/>
    </xf>
    <xf numFmtId="0" fontId="43" fillId="26" borderId="0" xfId="0" applyFont="1" applyFill="1" applyAlignment="1">
      <alignment vertical="center" wrapText="1"/>
    </xf>
    <xf numFmtId="3" fontId="65" fillId="28" borderId="49" xfId="52" applyNumberFormat="1" applyFont="1" applyFill="1" applyBorder="1" applyAlignment="1" applyProtection="1">
      <alignment horizontal="center" vertical="center"/>
      <protection locked="0"/>
    </xf>
    <xf numFmtId="3" fontId="65" fillId="28" borderId="73" xfId="52" applyNumberFormat="1" applyFont="1" applyFill="1" applyBorder="1" applyAlignment="1" applyProtection="1">
      <alignment horizontal="center" vertical="center"/>
      <protection locked="0"/>
    </xf>
    <xf numFmtId="3" fontId="65" fillId="28" borderId="76" xfId="52" applyNumberFormat="1" applyFont="1" applyFill="1" applyBorder="1" applyAlignment="1" applyProtection="1">
      <alignment horizontal="center" vertical="center"/>
      <protection locked="0"/>
    </xf>
    <xf numFmtId="3" fontId="12" fillId="28" borderId="75" xfId="57" applyNumberFormat="1" applyFont="1" applyFill="1" applyBorder="1" applyAlignment="1" applyProtection="1">
      <alignment horizontal="center" vertical="center"/>
      <protection locked="0"/>
    </xf>
    <xf numFmtId="3" fontId="12" fillId="28" borderId="73" xfId="57" applyNumberFormat="1" applyFont="1" applyFill="1" applyBorder="1" applyAlignment="1" applyProtection="1">
      <alignment horizontal="center" vertical="center"/>
      <protection locked="0"/>
    </xf>
    <xf numFmtId="3" fontId="12" fillId="28" borderId="76" xfId="57" applyNumberFormat="1" applyFont="1" applyFill="1" applyBorder="1" applyAlignment="1" applyProtection="1">
      <alignment horizontal="center" vertical="center"/>
      <protection locked="0"/>
    </xf>
    <xf numFmtId="3" fontId="12" fillId="28" borderId="49" xfId="57" applyNumberFormat="1" applyFont="1" applyFill="1" applyBorder="1" applyAlignment="1" applyProtection="1">
      <alignment horizontal="center" vertical="center"/>
      <protection locked="0"/>
    </xf>
    <xf numFmtId="3" fontId="12" fillId="28" borderId="31" xfId="57" applyNumberFormat="1" applyFont="1" applyFill="1" applyBorder="1" applyAlignment="1" applyProtection="1">
      <alignment horizontal="center" vertical="center"/>
      <protection locked="0"/>
    </xf>
    <xf numFmtId="3" fontId="12" fillId="28" borderId="50" xfId="57" applyNumberFormat="1" applyFont="1" applyFill="1" applyBorder="1" applyAlignment="1" applyProtection="1">
      <alignment horizontal="center" vertical="center"/>
      <protection locked="0"/>
    </xf>
    <xf numFmtId="0" fontId="52" fillId="26" borderId="0" xfId="32" applyFont="1" applyFill="1" applyAlignment="1">
      <alignment vertical="center"/>
    </xf>
    <xf numFmtId="0" fontId="13" fillId="26" borderId="0" xfId="32" applyFont="1" applyFill="1" applyAlignment="1">
      <alignment horizontal="right" vertical="center"/>
    </xf>
    <xf numFmtId="49" fontId="40" fillId="27" borderId="24" xfId="0" applyNumberFormat="1" applyFont="1" applyFill="1" applyBorder="1" applyAlignment="1">
      <alignment horizontal="center" vertical="center" wrapText="1"/>
    </xf>
    <xf numFmtId="3" fontId="40" fillId="26" borderId="52" xfId="0" applyNumberFormat="1" applyFont="1" applyFill="1" applyBorder="1" applyAlignment="1">
      <alignment horizontal="center" vertical="center"/>
    </xf>
    <xf numFmtId="3" fontId="40" fillId="26" borderId="7" xfId="0" applyNumberFormat="1" applyFont="1" applyFill="1" applyBorder="1" applyAlignment="1">
      <alignment horizontal="center" vertical="center"/>
    </xf>
    <xf numFmtId="3" fontId="40" fillId="26" borderId="53" xfId="0" applyNumberFormat="1" applyFont="1" applyFill="1" applyBorder="1" applyAlignment="1">
      <alignment horizontal="center" vertical="center"/>
    </xf>
    <xf numFmtId="3" fontId="41" fillId="0" borderId="99" xfId="0" applyNumberFormat="1" applyFont="1" applyBorder="1" applyAlignment="1">
      <alignment horizontal="right" vertical="center"/>
    </xf>
    <xf numFmtId="3" fontId="41" fillId="0" borderId="113" xfId="0" applyNumberFormat="1" applyFont="1" applyBorder="1" applyAlignment="1">
      <alignment horizontal="right" vertical="center"/>
    </xf>
    <xf numFmtId="3" fontId="41" fillId="0" borderId="95" xfId="0" applyNumberFormat="1" applyFont="1" applyBorder="1" applyAlignment="1">
      <alignment horizontal="right" vertical="center"/>
    </xf>
    <xf numFmtId="3" fontId="142" fillId="0" borderId="25" xfId="0" applyNumberFormat="1" applyFont="1" applyBorder="1" applyAlignment="1">
      <alignment horizontal="center" vertical="center"/>
    </xf>
    <xf numFmtId="3" fontId="142" fillId="0" borderId="77" xfId="0" applyNumberFormat="1" applyFont="1" applyBorder="1" applyAlignment="1">
      <alignment horizontal="center" vertical="center"/>
    </xf>
    <xf numFmtId="3" fontId="142" fillId="0" borderId="44" xfId="0" applyNumberFormat="1" applyFont="1" applyBorder="1" applyAlignment="1">
      <alignment horizontal="center" vertical="center"/>
    </xf>
    <xf numFmtId="3" fontId="142" fillId="0" borderId="31" xfId="0" applyNumberFormat="1" applyFont="1" applyBorder="1" applyAlignment="1">
      <alignment horizontal="center" vertical="center"/>
    </xf>
    <xf numFmtId="3" fontId="142" fillId="0" borderId="50" xfId="0" applyNumberFormat="1" applyFont="1" applyBorder="1" applyAlignment="1">
      <alignment horizontal="center" vertical="center"/>
    </xf>
    <xf numFmtId="3" fontId="142" fillId="0" borderId="49" xfId="0" applyNumberFormat="1" applyFont="1" applyBorder="1" applyAlignment="1">
      <alignment horizontal="center" vertical="center"/>
    </xf>
    <xf numFmtId="3" fontId="41" fillId="0" borderId="93" xfId="0" applyNumberFormat="1" applyFont="1" applyBorder="1" applyAlignment="1">
      <alignment horizontal="right" vertical="center"/>
    </xf>
    <xf numFmtId="3" fontId="41" fillId="0" borderId="114" xfId="0" applyNumberFormat="1" applyFont="1" applyBorder="1" applyAlignment="1">
      <alignment horizontal="right" vertical="center"/>
    </xf>
    <xf numFmtId="3" fontId="41" fillId="0" borderId="94" xfId="0" applyNumberFormat="1" applyFont="1" applyBorder="1" applyAlignment="1">
      <alignment horizontal="right" vertical="center"/>
    </xf>
    <xf numFmtId="3" fontId="41" fillId="31" borderId="75" xfId="0" applyNumberFormat="1" applyFont="1" applyFill="1" applyBorder="1" applyAlignment="1">
      <alignment horizontal="right" vertical="center"/>
    </xf>
    <xf numFmtId="3" fontId="41" fillId="31" borderId="73" xfId="0" applyNumberFormat="1" applyFont="1" applyFill="1" applyBorder="1" applyAlignment="1">
      <alignment horizontal="right" vertical="center"/>
    </xf>
    <xf numFmtId="3" fontId="41" fillId="31" borderId="76" xfId="0" applyNumberFormat="1" applyFont="1" applyFill="1" applyBorder="1" applyAlignment="1">
      <alignment horizontal="right" vertical="center"/>
    </xf>
    <xf numFmtId="9" fontId="40" fillId="0" borderId="56" xfId="51" applyFont="1" applyFill="1" applyBorder="1" applyAlignment="1" applyProtection="1">
      <alignment horizontal="center" vertical="center"/>
    </xf>
    <xf numFmtId="9" fontId="40" fillId="0" borderId="77" xfId="51" applyFont="1" applyFill="1" applyBorder="1" applyAlignment="1" applyProtection="1">
      <alignment horizontal="center" vertical="center"/>
    </xf>
    <xf numFmtId="9" fontId="40" fillId="0" borderId="57" xfId="51" applyFont="1" applyFill="1" applyBorder="1" applyAlignment="1" applyProtection="1">
      <alignment horizontal="center" vertical="center"/>
    </xf>
    <xf numFmtId="0" fontId="27" fillId="27" borderId="0" xfId="32" applyFill="1" applyAlignment="1">
      <alignment horizontal="center" vertical="center"/>
    </xf>
    <xf numFmtId="14" fontId="40" fillId="26" borderId="0" xfId="32" applyNumberFormat="1" applyFont="1" applyFill="1" applyAlignment="1">
      <alignment horizontal="center" vertical="center"/>
    </xf>
    <xf numFmtId="14" fontId="40" fillId="26" borderId="0" xfId="32" applyNumberFormat="1" applyFont="1" applyFill="1" applyAlignment="1">
      <alignment vertical="center"/>
    </xf>
    <xf numFmtId="0" fontId="41" fillId="26" borderId="0" xfId="32" applyFont="1" applyFill="1" applyAlignment="1">
      <alignment horizontal="center" vertical="center"/>
    </xf>
    <xf numFmtId="0" fontId="40" fillId="26" borderId="0" xfId="32" applyFont="1" applyFill="1" applyAlignment="1">
      <alignment horizontal="right" vertical="center"/>
    </xf>
    <xf numFmtId="0" fontId="41" fillId="26" borderId="0" xfId="32" applyFont="1" applyFill="1" applyAlignment="1">
      <alignment horizontal="left" vertical="center"/>
    </xf>
    <xf numFmtId="0" fontId="41" fillId="26" borderId="0" xfId="32" applyFont="1" applyFill="1" applyAlignment="1">
      <alignment vertical="center"/>
    </xf>
    <xf numFmtId="49" fontId="41" fillId="26" borderId="0" xfId="32" applyNumberFormat="1" applyFont="1" applyFill="1" applyAlignment="1">
      <alignment horizontal="right" vertical="center"/>
    </xf>
    <xf numFmtId="0" fontId="126" fillId="26" borderId="0" xfId="32" applyFont="1" applyFill="1" applyAlignment="1">
      <alignment horizontal="left" vertical="center"/>
    </xf>
    <xf numFmtId="14" fontId="137" fillId="27" borderId="0" xfId="0" applyNumberFormat="1" applyFont="1" applyFill="1" applyAlignment="1">
      <alignment vertical="center"/>
    </xf>
    <xf numFmtId="0" fontId="138" fillId="27" borderId="0" xfId="0" applyFont="1" applyFill="1" applyAlignment="1">
      <alignment vertical="center"/>
    </xf>
    <xf numFmtId="0" fontId="137" fillId="27" borderId="0" xfId="0" applyFont="1" applyFill="1" applyAlignment="1">
      <alignment vertical="center"/>
    </xf>
    <xf numFmtId="0" fontId="137" fillId="27" borderId="0" xfId="0" applyFont="1" applyFill="1" applyAlignment="1">
      <alignment horizontal="right" vertical="center"/>
    </xf>
    <xf numFmtId="0" fontId="138" fillId="27" borderId="0" xfId="0" applyFont="1" applyFill="1" applyAlignment="1">
      <alignment horizontal="center" vertical="center"/>
    </xf>
    <xf numFmtId="0" fontId="27" fillId="27" borderId="0" xfId="32" applyFill="1" applyAlignment="1">
      <alignment horizontal="right" vertical="center"/>
    </xf>
    <xf numFmtId="0" fontId="141" fillId="27" borderId="0" xfId="0" applyFont="1" applyFill="1" applyAlignment="1">
      <alignment horizontal="center" vertical="center"/>
    </xf>
    <xf numFmtId="0" fontId="27" fillId="27" borderId="0" xfId="0" applyFont="1" applyFill="1" applyAlignment="1">
      <alignment horizontal="center" vertical="center"/>
    </xf>
    <xf numFmtId="0" fontId="139" fillId="27" borderId="0" xfId="32" applyFont="1" applyFill="1" applyAlignment="1">
      <alignment horizontal="center" vertical="center"/>
    </xf>
    <xf numFmtId="0" fontId="140" fillId="27" borderId="0" xfId="32" applyFont="1" applyFill="1" applyAlignment="1">
      <alignment horizontal="center" vertical="center"/>
    </xf>
    <xf numFmtId="3" fontId="40" fillId="28" borderId="49" xfId="0" applyNumberFormat="1" applyFont="1" applyFill="1" applyBorder="1" applyAlignment="1" applyProtection="1">
      <alignment horizontal="center" vertical="center"/>
      <protection locked="0"/>
    </xf>
    <xf numFmtId="3" fontId="40" fillId="28" borderId="31" xfId="0" applyNumberFormat="1" applyFont="1" applyFill="1" applyBorder="1" applyAlignment="1" applyProtection="1">
      <alignment horizontal="center" vertical="center"/>
      <protection locked="0"/>
    </xf>
    <xf numFmtId="3" fontId="40" fillId="28" borderId="50" xfId="0" applyNumberFormat="1" applyFont="1" applyFill="1" applyBorder="1" applyAlignment="1" applyProtection="1">
      <alignment horizontal="center" vertical="center"/>
      <protection locked="0"/>
    </xf>
    <xf numFmtId="0" fontId="52" fillId="26" borderId="0" xfId="0" applyFont="1" applyFill="1" applyAlignment="1">
      <alignment horizontal="center" vertical="center"/>
    </xf>
    <xf numFmtId="0" fontId="13" fillId="26" borderId="0" xfId="0" applyFont="1" applyFill="1" applyAlignment="1">
      <alignment horizontal="center" vertical="center"/>
    </xf>
    <xf numFmtId="168" fontId="41" fillId="26" borderId="7" xfId="0" applyNumberFormat="1" applyFont="1" applyFill="1" applyBorder="1" applyAlignment="1">
      <alignment horizontal="center" vertical="center" wrapText="1"/>
    </xf>
    <xf numFmtId="3" fontId="41" fillId="26" borderId="113" xfId="32" applyNumberFormat="1" applyFont="1" applyFill="1" applyBorder="1" applyAlignment="1">
      <alignment horizontal="center" vertical="center"/>
    </xf>
    <xf numFmtId="168" fontId="41" fillId="26" borderId="7" xfId="0" applyNumberFormat="1" applyFont="1" applyFill="1" applyBorder="1" applyAlignment="1">
      <alignment horizontal="center" vertical="center"/>
    </xf>
    <xf numFmtId="3" fontId="41" fillId="26" borderId="7" xfId="0" applyNumberFormat="1" applyFont="1" applyFill="1" applyBorder="1" applyAlignment="1">
      <alignment horizontal="center" vertical="center"/>
    </xf>
    <xf numFmtId="14" fontId="41" fillId="26" borderId="0" xfId="0" applyNumberFormat="1" applyFont="1" applyFill="1" applyAlignment="1">
      <alignment vertical="center"/>
    </xf>
    <xf numFmtId="14" fontId="40" fillId="26" borderId="0" xfId="0" applyNumberFormat="1" applyFont="1" applyFill="1" applyAlignment="1">
      <alignment vertical="center"/>
    </xf>
    <xf numFmtId="0" fontId="41" fillId="26" borderId="0" xfId="0" applyFont="1" applyFill="1" applyAlignment="1">
      <alignment horizontal="center" vertical="center"/>
    </xf>
    <xf numFmtId="0" fontId="40" fillId="26" borderId="0" xfId="0" applyFont="1" applyFill="1" applyAlignment="1">
      <alignment horizontal="right" vertical="center"/>
    </xf>
    <xf numFmtId="0" fontId="41" fillId="26" borderId="0" xfId="0" applyFont="1" applyFill="1" applyAlignment="1">
      <alignment horizontal="left" vertical="center"/>
    </xf>
    <xf numFmtId="0" fontId="41" fillId="26" borderId="0" xfId="0" applyFont="1" applyFill="1" applyAlignment="1">
      <alignment vertical="center"/>
    </xf>
    <xf numFmtId="0" fontId="42" fillId="26" borderId="0" xfId="0" applyFont="1" applyFill="1" applyAlignment="1">
      <alignment horizontal="left" vertical="center"/>
    </xf>
    <xf numFmtId="0" fontId="41" fillId="27" borderId="0" xfId="0" applyFont="1" applyFill="1" applyAlignment="1">
      <alignment vertical="center"/>
    </xf>
    <xf numFmtId="0" fontId="41" fillId="27" borderId="0" xfId="0" applyFont="1" applyFill="1" applyAlignment="1">
      <alignment horizontal="center" vertical="center"/>
    </xf>
    <xf numFmtId="0" fontId="42" fillId="27" borderId="0" xfId="31" applyFont="1" applyFill="1" applyAlignment="1">
      <alignment horizontal="center" vertical="center"/>
    </xf>
    <xf numFmtId="0" fontId="40" fillId="27" borderId="0" xfId="0" applyFont="1" applyFill="1" applyAlignment="1">
      <alignment vertical="center"/>
    </xf>
    <xf numFmtId="0" fontId="40" fillId="27" borderId="0" xfId="0" applyFont="1" applyFill="1" applyAlignment="1">
      <alignment horizontal="center" vertical="center"/>
    </xf>
    <xf numFmtId="0" fontId="42" fillId="26" borderId="0" xfId="0" applyFont="1" applyFill="1" applyAlignment="1">
      <alignment horizontal="center" vertical="center"/>
    </xf>
    <xf numFmtId="0" fontId="12" fillId="0" borderId="0" xfId="32" applyFont="1" applyAlignment="1">
      <alignment vertical="center"/>
    </xf>
    <xf numFmtId="0" fontId="13" fillId="0" borderId="0" xfId="32" applyFont="1" applyAlignment="1">
      <alignment horizontal="center" vertical="center"/>
    </xf>
    <xf numFmtId="0" fontId="20" fillId="0" borderId="0" xfId="32" applyFont="1" applyAlignment="1">
      <alignment horizontal="center" vertical="center"/>
    </xf>
    <xf numFmtId="0" fontId="41" fillId="24" borderId="17" xfId="32" applyFont="1" applyFill="1" applyBorder="1" applyAlignment="1">
      <alignment horizontal="center" vertical="center" wrapText="1"/>
    </xf>
    <xf numFmtId="0" fontId="41" fillId="0" borderId="53" xfId="32" applyFont="1" applyBorder="1" applyAlignment="1">
      <alignment horizontal="left" vertical="center" wrapText="1"/>
    </xf>
    <xf numFmtId="0" fontId="41" fillId="20" borderId="5" xfId="32" applyFont="1" applyFill="1" applyBorder="1" applyAlignment="1">
      <alignment horizontal="center" vertical="center" wrapText="1"/>
    </xf>
    <xf numFmtId="0" fontId="41" fillId="20" borderId="17" xfId="32" applyFont="1" applyFill="1" applyBorder="1" applyAlignment="1">
      <alignment horizontal="center" vertical="center" wrapText="1"/>
    </xf>
    <xf numFmtId="0" fontId="41" fillId="24" borderId="51" xfId="78" applyFont="1" applyFill="1" applyBorder="1" applyAlignment="1">
      <alignment horizontal="center" vertical="center" wrapText="1"/>
    </xf>
    <xf numFmtId="176" fontId="40" fillId="24" borderId="51" xfId="78" applyNumberFormat="1" applyFont="1" applyFill="1" applyBorder="1" applyAlignment="1">
      <alignment horizontal="center" vertical="center"/>
    </xf>
    <xf numFmtId="176" fontId="40" fillId="24" borderId="75" xfId="78" applyNumberFormat="1" applyFont="1" applyFill="1" applyBorder="1" applyAlignment="1">
      <alignment horizontal="center" vertical="center"/>
    </xf>
    <xf numFmtId="0" fontId="41" fillId="26" borderId="17" xfId="78" applyFont="1" applyFill="1" applyBorder="1" applyAlignment="1">
      <alignment horizontal="center" vertical="center" wrapText="1"/>
    </xf>
    <xf numFmtId="176" fontId="41" fillId="26" borderId="17" xfId="78" applyNumberFormat="1" applyFont="1" applyFill="1" applyBorder="1" applyAlignment="1">
      <alignment horizontal="center" vertical="center"/>
    </xf>
    <xf numFmtId="3" fontId="41" fillId="26" borderId="39" xfId="78" applyNumberFormat="1" applyFont="1" applyFill="1" applyBorder="1" applyAlignment="1">
      <alignment horizontal="center" vertical="center"/>
    </xf>
    <xf numFmtId="0" fontId="41" fillId="31" borderId="17" xfId="78" applyFont="1" applyFill="1" applyBorder="1" applyAlignment="1">
      <alignment horizontal="center" vertical="center" wrapText="1"/>
    </xf>
    <xf numFmtId="176" fontId="40" fillId="24" borderId="17" xfId="78" applyNumberFormat="1" applyFont="1" applyFill="1" applyBorder="1" applyAlignment="1">
      <alignment horizontal="center" vertical="center"/>
    </xf>
    <xf numFmtId="176" fontId="40" fillId="24" borderId="52" xfId="78" applyNumberFormat="1" applyFont="1" applyFill="1" applyBorder="1" applyAlignment="1">
      <alignment horizontal="center" vertical="center"/>
    </xf>
    <xf numFmtId="3" fontId="41" fillId="26" borderId="17" xfId="78" applyNumberFormat="1" applyFont="1" applyFill="1" applyBorder="1" applyAlignment="1">
      <alignment horizontal="center" vertical="center"/>
    </xf>
    <xf numFmtId="0" fontId="41" fillId="24" borderId="17" xfId="78" applyFont="1" applyFill="1" applyBorder="1" applyAlignment="1">
      <alignment horizontal="center" vertical="center" wrapText="1"/>
    </xf>
    <xf numFmtId="176" fontId="40" fillId="24" borderId="49" xfId="78" applyNumberFormat="1" applyFont="1" applyFill="1" applyBorder="1" applyAlignment="1">
      <alignment horizontal="center" vertical="center"/>
    </xf>
    <xf numFmtId="176" fontId="40" fillId="24" borderId="5" xfId="78" applyNumberFormat="1" applyFont="1" applyFill="1" applyBorder="1" applyAlignment="1">
      <alignment horizontal="center" vertical="center"/>
    </xf>
    <xf numFmtId="14" fontId="41" fillId="26" borderId="57" xfId="78" applyNumberFormat="1" applyFont="1" applyFill="1" applyBorder="1" applyAlignment="1">
      <alignment vertical="center"/>
    </xf>
    <xf numFmtId="0" fontId="41" fillId="26" borderId="21" xfId="78" applyFont="1" applyFill="1" applyBorder="1" applyAlignment="1">
      <alignment horizontal="center" vertical="center" wrapText="1"/>
    </xf>
    <xf numFmtId="176" fontId="41" fillId="26" borderId="21" xfId="78" applyNumberFormat="1" applyFont="1" applyFill="1" applyBorder="1" applyAlignment="1">
      <alignment horizontal="center" vertical="center"/>
    </xf>
    <xf numFmtId="0" fontId="41" fillId="0" borderId="0" xfId="32" applyFont="1" applyAlignment="1">
      <alignment horizontal="center" vertical="center" wrapText="1"/>
    </xf>
    <xf numFmtId="0" fontId="41" fillId="0" borderId="0" xfId="32" applyFont="1" applyAlignment="1">
      <alignment vertical="center"/>
    </xf>
    <xf numFmtId="14" fontId="40" fillId="0" borderId="0" xfId="32" applyNumberFormat="1" applyFont="1" applyAlignment="1">
      <alignment horizontal="left" vertical="center"/>
    </xf>
    <xf numFmtId="0" fontId="41" fillId="0" borderId="0" xfId="32" applyFont="1" applyAlignment="1">
      <alignment horizontal="center" vertical="center"/>
    </xf>
    <xf numFmtId="0" fontId="40" fillId="0" borderId="0" xfId="32" applyFont="1" applyAlignment="1">
      <alignment horizontal="right" vertical="center"/>
    </xf>
    <xf numFmtId="0" fontId="41" fillId="0" borderId="0" xfId="32" applyFont="1" applyAlignment="1">
      <alignment horizontal="left" vertical="center"/>
    </xf>
    <xf numFmtId="0" fontId="40" fillId="0" borderId="0" xfId="32" applyFont="1" applyAlignment="1">
      <alignment horizontal="center" vertical="center"/>
    </xf>
    <xf numFmtId="0" fontId="42" fillId="0" borderId="0" xfId="32" applyFont="1" applyAlignment="1">
      <alignment horizontal="left" vertical="center"/>
    </xf>
    <xf numFmtId="3" fontId="41" fillId="0" borderId="0" xfId="32" applyNumberFormat="1" applyFont="1" applyAlignment="1">
      <alignment horizontal="center" vertical="center"/>
    </xf>
    <xf numFmtId="0" fontId="42" fillId="0" borderId="0" xfId="32" applyFont="1" applyAlignment="1">
      <alignment horizontal="center" vertical="center"/>
    </xf>
    <xf numFmtId="49" fontId="40" fillId="0" borderId="0" xfId="32" applyNumberFormat="1" applyFont="1" applyAlignment="1">
      <alignment horizontal="center" vertical="center"/>
    </xf>
    <xf numFmtId="0" fontId="43" fillId="0" borderId="0" xfId="31" applyFont="1" applyAlignment="1">
      <alignment horizontal="center" vertical="center"/>
    </xf>
    <xf numFmtId="0" fontId="42" fillId="0" borderId="0" xfId="31" applyFont="1" applyAlignment="1">
      <alignment horizontal="center" vertical="center"/>
    </xf>
    <xf numFmtId="0" fontId="41" fillId="27" borderId="0" xfId="32" applyFont="1" applyFill="1" applyAlignment="1">
      <alignment vertical="center"/>
    </xf>
    <xf numFmtId="0" fontId="41" fillId="27" borderId="0" xfId="32" applyFont="1" applyFill="1" applyAlignment="1">
      <alignment vertical="center" wrapText="1"/>
    </xf>
    <xf numFmtId="0" fontId="46" fillId="27" borderId="0" xfId="0" applyFont="1" applyFill="1" applyAlignment="1">
      <alignment vertical="center"/>
    </xf>
    <xf numFmtId="3" fontId="41" fillId="27" borderId="53" xfId="32" applyNumberFormat="1" applyFont="1" applyFill="1" applyBorder="1" applyAlignment="1">
      <alignment horizontal="left" vertical="center" wrapText="1"/>
    </xf>
    <xf numFmtId="3" fontId="41" fillId="26" borderId="93" xfId="32" applyNumberFormat="1" applyFont="1" applyFill="1" applyBorder="1" applyAlignment="1">
      <alignment horizontal="center" vertical="center"/>
    </xf>
    <xf numFmtId="3" fontId="41" fillId="26" borderId="114" xfId="32" applyNumberFormat="1" applyFont="1" applyFill="1" applyBorder="1" applyAlignment="1">
      <alignment horizontal="center" vertical="center"/>
    </xf>
    <xf numFmtId="3" fontId="41" fillId="26" borderId="94" xfId="32" applyNumberFormat="1" applyFont="1" applyFill="1" applyBorder="1" applyAlignment="1">
      <alignment horizontal="center" vertical="center"/>
    </xf>
    <xf numFmtId="0" fontId="42" fillId="26" borderId="24" xfId="32" applyFont="1" applyFill="1" applyBorder="1" applyAlignment="1">
      <alignment horizontal="center" vertical="center"/>
    </xf>
    <xf numFmtId="3" fontId="41" fillId="26" borderId="90" xfId="32" applyNumberFormat="1" applyFont="1" applyFill="1" applyBorder="1" applyAlignment="1">
      <alignment horizontal="center" vertical="center"/>
    </xf>
    <xf numFmtId="3" fontId="41" fillId="26" borderId="112" xfId="32" applyNumberFormat="1" applyFont="1" applyFill="1" applyBorder="1" applyAlignment="1">
      <alignment horizontal="center" vertical="center"/>
    </xf>
    <xf numFmtId="3" fontId="41" fillId="26" borderId="91" xfId="32" applyNumberFormat="1" applyFont="1" applyFill="1" applyBorder="1" applyAlignment="1">
      <alignment horizontal="center" vertical="center"/>
    </xf>
    <xf numFmtId="3" fontId="41" fillId="26" borderId="99" xfId="32" applyNumberFormat="1" applyFont="1" applyFill="1" applyBorder="1" applyAlignment="1">
      <alignment horizontal="center" vertical="center"/>
    </xf>
    <xf numFmtId="3" fontId="41" fillId="26" borderId="95" xfId="32" applyNumberFormat="1" applyFont="1" applyFill="1" applyBorder="1" applyAlignment="1">
      <alignment horizontal="center" vertical="center"/>
    </xf>
    <xf numFmtId="3" fontId="41" fillId="26" borderId="134" xfId="32" applyNumberFormat="1" applyFont="1" applyFill="1" applyBorder="1" applyAlignment="1">
      <alignment horizontal="center" vertical="center"/>
    </xf>
    <xf numFmtId="3" fontId="41" fillId="26" borderId="138" xfId="32" applyNumberFormat="1" applyFont="1" applyFill="1" applyBorder="1" applyAlignment="1">
      <alignment horizontal="center" vertical="center"/>
    </xf>
    <xf numFmtId="3" fontId="41" fillId="26" borderId="139" xfId="32" applyNumberFormat="1" applyFont="1" applyFill="1" applyBorder="1" applyAlignment="1">
      <alignment horizontal="center" vertical="center"/>
    </xf>
    <xf numFmtId="0" fontId="41" fillId="26" borderId="0" xfId="0" applyFont="1" applyFill="1" applyAlignment="1">
      <alignment vertical="center" wrapText="1"/>
    </xf>
    <xf numFmtId="14" fontId="40" fillId="26" borderId="0" xfId="0" applyNumberFormat="1" applyFont="1" applyFill="1" applyAlignment="1">
      <alignment horizontal="left" vertical="center"/>
    </xf>
    <xf numFmtId="0" fontId="42" fillId="27" borderId="0" xfId="0" applyFont="1" applyFill="1" applyAlignment="1">
      <alignment horizontal="center" vertical="center"/>
    </xf>
    <xf numFmtId="0" fontId="42" fillId="27" borderId="0" xfId="31" applyFont="1" applyFill="1" applyAlignment="1">
      <alignment vertical="center"/>
    </xf>
    <xf numFmtId="0" fontId="42" fillId="27" borderId="0" xfId="0" applyFont="1" applyFill="1" applyAlignment="1">
      <alignment horizontal="left" vertical="center"/>
    </xf>
    <xf numFmtId="0" fontId="45" fillId="27" borderId="0" xfId="32" applyFont="1" applyFill="1" applyAlignment="1">
      <alignment horizontal="center" vertical="center"/>
    </xf>
    <xf numFmtId="0" fontId="84" fillId="27" borderId="0" xfId="32" applyFont="1" applyFill="1" applyAlignment="1">
      <alignment vertical="center"/>
    </xf>
    <xf numFmtId="0" fontId="81" fillId="27" borderId="0" xfId="32" applyFont="1" applyFill="1" applyAlignment="1">
      <alignment horizontal="right" vertical="center"/>
    </xf>
    <xf numFmtId="0" fontId="77" fillId="27" borderId="0" xfId="32" applyFont="1" applyFill="1" applyAlignment="1">
      <alignment vertical="center" wrapText="1"/>
    </xf>
    <xf numFmtId="0" fontId="57" fillId="27" borderId="0" xfId="32" applyFont="1" applyFill="1" applyAlignment="1">
      <alignment horizontal="left" vertical="center"/>
    </xf>
    <xf numFmtId="0" fontId="69" fillId="27" borderId="0" xfId="32" applyFont="1" applyFill="1" applyAlignment="1">
      <alignment vertical="center"/>
    </xf>
    <xf numFmtId="0" fontId="127" fillId="27" borderId="0" xfId="32" applyFont="1" applyFill="1" applyAlignment="1">
      <alignment horizontal="center" vertical="center"/>
    </xf>
    <xf numFmtId="0" fontId="127" fillId="27" borderId="0" xfId="32" applyFont="1" applyFill="1" applyAlignment="1">
      <alignment horizontal="left" vertical="center"/>
    </xf>
    <xf numFmtId="0" fontId="65" fillId="27" borderId="20" xfId="32" applyFont="1" applyFill="1" applyBorder="1" applyAlignment="1">
      <alignment vertical="center"/>
    </xf>
    <xf numFmtId="0" fontId="84" fillId="27" borderId="20" xfId="32" applyFont="1" applyFill="1" applyBorder="1" applyAlignment="1">
      <alignment vertical="center"/>
    </xf>
    <xf numFmtId="0" fontId="65" fillId="27" borderId="20" xfId="32" applyFont="1" applyFill="1" applyBorder="1" applyAlignment="1">
      <alignment horizontal="center" vertical="center"/>
    </xf>
    <xf numFmtId="3" fontId="128" fillId="37" borderId="38" xfId="32" applyNumberFormat="1" applyFont="1" applyFill="1" applyBorder="1" applyAlignment="1">
      <alignment horizontal="center" vertical="center"/>
    </xf>
    <xf numFmtId="3" fontId="128" fillId="37" borderId="10" xfId="32" applyNumberFormat="1" applyFont="1" applyFill="1" applyBorder="1" applyAlignment="1">
      <alignment horizontal="center" vertical="center"/>
    </xf>
    <xf numFmtId="3" fontId="47" fillId="37" borderId="65" xfId="32" applyNumberFormat="1" applyFont="1" applyFill="1" applyBorder="1" applyAlignment="1">
      <alignment horizontal="center" vertical="center"/>
    </xf>
    <xf numFmtId="3" fontId="47" fillId="37" borderId="9" xfId="32" applyNumberFormat="1" applyFont="1" applyFill="1" applyBorder="1" applyAlignment="1">
      <alignment horizontal="center" vertical="center"/>
    </xf>
    <xf numFmtId="3" fontId="47" fillId="37" borderId="10" xfId="32" applyNumberFormat="1" applyFont="1" applyFill="1" applyBorder="1" applyAlignment="1">
      <alignment horizontal="center" vertical="center"/>
    </xf>
    <xf numFmtId="1" fontId="128" fillId="37" borderId="65" xfId="32" applyNumberFormat="1" applyFont="1" applyFill="1" applyBorder="1" applyAlignment="1">
      <alignment horizontal="center" vertical="center" wrapText="1"/>
    </xf>
    <xf numFmtId="1" fontId="128" fillId="37" borderId="10" xfId="32" applyNumberFormat="1" applyFont="1" applyFill="1" applyBorder="1" applyAlignment="1">
      <alignment horizontal="center" vertical="center" wrapText="1"/>
    </xf>
    <xf numFmtId="1" fontId="47" fillId="37" borderId="65" xfId="32" applyNumberFormat="1" applyFont="1" applyFill="1" applyBorder="1" applyAlignment="1">
      <alignment horizontal="center" vertical="center" wrapText="1"/>
    </xf>
    <xf numFmtId="1" fontId="47" fillId="37" borderId="9" xfId="32" applyNumberFormat="1" applyFont="1" applyFill="1" applyBorder="1" applyAlignment="1">
      <alignment horizontal="center" vertical="center" wrapText="1"/>
    </xf>
    <xf numFmtId="1" fontId="47" fillId="37" borderId="60" xfId="32" applyNumberFormat="1" applyFont="1" applyFill="1" applyBorder="1" applyAlignment="1">
      <alignment horizontal="center" vertical="center" wrapText="1"/>
    </xf>
    <xf numFmtId="1" fontId="128" fillId="37" borderId="38" xfId="32" applyNumberFormat="1" applyFont="1" applyFill="1" applyBorder="1" applyAlignment="1">
      <alignment horizontal="center" vertical="center" wrapText="1"/>
    </xf>
    <xf numFmtId="0" fontId="47" fillId="37" borderId="2" xfId="0" applyFont="1" applyFill="1" applyBorder="1" applyAlignment="1">
      <alignment horizontal="center" vertical="center" wrapText="1"/>
    </xf>
    <xf numFmtId="1" fontId="47" fillId="37" borderId="20" xfId="32" applyNumberFormat="1" applyFont="1" applyFill="1" applyBorder="1" applyAlignment="1">
      <alignment horizontal="center" vertical="center"/>
    </xf>
    <xf numFmtId="1" fontId="47" fillId="37" borderId="71" xfId="32" applyNumberFormat="1" applyFont="1" applyFill="1" applyBorder="1" applyAlignment="1">
      <alignment horizontal="center" vertical="center"/>
    </xf>
    <xf numFmtId="1" fontId="47" fillId="37" borderId="48" xfId="32" applyNumberFormat="1" applyFont="1" applyFill="1" applyBorder="1" applyAlignment="1">
      <alignment vertical="center"/>
    </xf>
    <xf numFmtId="0" fontId="47" fillId="31" borderId="2" xfId="32" applyFont="1" applyFill="1" applyBorder="1" applyAlignment="1">
      <alignment horizontal="center" vertical="center"/>
    </xf>
    <xf numFmtId="0" fontId="47" fillId="31" borderId="2" xfId="32" applyFont="1" applyFill="1" applyBorder="1" applyAlignment="1">
      <alignment horizontal="left" vertical="center"/>
    </xf>
    <xf numFmtId="0" fontId="47" fillId="31" borderId="2" xfId="32" applyFont="1" applyFill="1" applyBorder="1" applyAlignment="1">
      <alignment vertical="center" wrapText="1"/>
    </xf>
    <xf numFmtId="3" fontId="128" fillId="31" borderId="38" xfId="55" applyNumberFormat="1" applyFont="1" applyFill="1" applyBorder="1" applyAlignment="1" applyProtection="1">
      <alignment horizontal="center" vertical="center"/>
    </xf>
    <xf numFmtId="3" fontId="128" fillId="31" borderId="10" xfId="55" applyNumberFormat="1" applyFont="1" applyFill="1" applyBorder="1" applyAlignment="1" applyProtection="1">
      <alignment horizontal="center" vertical="center"/>
    </xf>
    <xf numFmtId="3" fontId="47" fillId="31" borderId="65" xfId="55" applyNumberFormat="1" applyFont="1" applyFill="1" applyBorder="1" applyAlignment="1" applyProtection="1">
      <alignment horizontal="center" vertical="center"/>
    </xf>
    <xf numFmtId="3" fontId="47" fillId="31" borderId="9" xfId="55" applyNumberFormat="1" applyFont="1" applyFill="1" applyBorder="1" applyAlignment="1" applyProtection="1">
      <alignment horizontal="center" vertical="center"/>
    </xf>
    <xf numFmtId="3" fontId="47" fillId="31" borderId="60" xfId="55" applyNumberFormat="1" applyFont="1" applyFill="1" applyBorder="1" applyAlignment="1" applyProtection="1">
      <alignment horizontal="center" vertical="center"/>
    </xf>
    <xf numFmtId="3" fontId="47" fillId="31" borderId="2" xfId="32" applyNumberFormat="1" applyFont="1" applyFill="1" applyBorder="1" applyAlignment="1">
      <alignment horizontal="center" vertical="center"/>
    </xf>
    <xf numFmtId="3" fontId="128" fillId="31" borderId="38" xfId="32" applyNumberFormat="1" applyFont="1" applyFill="1" applyBorder="1" applyAlignment="1">
      <alignment horizontal="center" vertical="center"/>
    </xf>
    <xf numFmtId="3" fontId="128" fillId="31" borderId="10" xfId="32" applyNumberFormat="1" applyFont="1" applyFill="1" applyBorder="1" applyAlignment="1">
      <alignment horizontal="center" vertical="center"/>
    </xf>
    <xf numFmtId="3" fontId="47" fillId="31" borderId="65" xfId="32" applyNumberFormat="1" applyFont="1" applyFill="1" applyBorder="1" applyAlignment="1">
      <alignment horizontal="center" vertical="center"/>
    </xf>
    <xf numFmtId="3" fontId="47" fillId="31" borderId="9" xfId="32" applyNumberFormat="1" applyFont="1" applyFill="1" applyBorder="1" applyAlignment="1">
      <alignment horizontal="center" vertical="center"/>
    </xf>
    <xf numFmtId="3" fontId="47" fillId="31" borderId="10" xfId="32" applyNumberFormat="1" applyFont="1" applyFill="1" applyBorder="1" applyAlignment="1">
      <alignment horizontal="center" vertical="center"/>
    </xf>
    <xf numFmtId="3" fontId="47" fillId="31" borderId="60" xfId="32" applyNumberFormat="1" applyFont="1" applyFill="1" applyBorder="1" applyAlignment="1">
      <alignment horizontal="center" vertical="center"/>
    </xf>
    <xf numFmtId="3" fontId="45" fillId="29" borderId="38" xfId="49" applyNumberFormat="1" applyFont="1" applyFill="1" applyBorder="1" applyAlignment="1">
      <alignment horizontal="center" vertical="center"/>
    </xf>
    <xf numFmtId="3" fontId="45" fillId="29" borderId="60" xfId="49" applyNumberFormat="1" applyFont="1" applyFill="1" applyBorder="1" applyAlignment="1">
      <alignment horizontal="right" vertical="center"/>
    </xf>
    <xf numFmtId="3" fontId="45" fillId="29" borderId="2" xfId="49" applyNumberFormat="1" applyFont="1" applyFill="1" applyBorder="1" applyAlignment="1">
      <alignment horizontal="center" vertical="center"/>
    </xf>
    <xf numFmtId="3" fontId="45" fillId="29" borderId="9" xfId="49" applyNumberFormat="1" applyFont="1" applyFill="1" applyBorder="1" applyAlignment="1">
      <alignment horizontal="center" vertical="center"/>
    </xf>
    <xf numFmtId="3" fontId="45" fillId="29" borderId="10" xfId="49" applyNumberFormat="1" applyFont="1" applyFill="1" applyBorder="1" applyAlignment="1">
      <alignment horizontal="right" vertical="center"/>
    </xf>
    <xf numFmtId="3" fontId="45" fillId="29" borderId="3" xfId="49" applyNumberFormat="1" applyFont="1" applyFill="1" applyBorder="1" applyAlignment="1">
      <alignment horizontal="left" vertical="center"/>
    </xf>
    <xf numFmtId="0" fontId="47" fillId="27" borderId="5" xfId="32" applyFont="1" applyFill="1" applyBorder="1" applyAlignment="1">
      <alignment horizontal="center" vertical="center"/>
    </xf>
    <xf numFmtId="0" fontId="45" fillId="0" borderId="5" xfId="0" applyFont="1" applyBorder="1" applyAlignment="1">
      <alignment horizontal="center" vertical="center"/>
    </xf>
    <xf numFmtId="9" fontId="45" fillId="27" borderId="5" xfId="70" applyFont="1" applyFill="1" applyBorder="1" applyAlignment="1" applyProtection="1">
      <alignment horizontal="center" vertical="center"/>
    </xf>
    <xf numFmtId="3" fontId="45" fillId="27" borderId="25" xfId="32" applyNumberFormat="1" applyFont="1" applyFill="1" applyBorder="1" applyAlignment="1">
      <alignment horizontal="left" vertical="center" wrapText="1"/>
    </xf>
    <xf numFmtId="3" fontId="57" fillId="0" borderId="46" xfId="55" applyNumberFormat="1" applyFont="1" applyFill="1" applyBorder="1" applyAlignment="1" applyProtection="1">
      <alignment horizontal="center" vertical="center"/>
    </xf>
    <xf numFmtId="3" fontId="57" fillId="0" borderId="13" xfId="55" applyNumberFormat="1" applyFont="1" applyFill="1" applyBorder="1" applyAlignment="1" applyProtection="1">
      <alignment horizontal="center" vertical="center"/>
    </xf>
    <xf numFmtId="3" fontId="57" fillId="0" borderId="4" xfId="55" applyNumberFormat="1" applyFont="1" applyFill="1" applyBorder="1" applyAlignment="1" applyProtection="1">
      <alignment horizontal="center" vertical="center"/>
    </xf>
    <xf numFmtId="3" fontId="57" fillId="0" borderId="67" xfId="55" applyNumberFormat="1" applyFont="1" applyFill="1" applyBorder="1" applyAlignment="1" applyProtection="1">
      <alignment horizontal="center" vertical="center"/>
    </xf>
    <xf numFmtId="3" fontId="47" fillId="27" borderId="5" xfId="32" applyNumberFormat="1" applyFont="1" applyFill="1" applyBorder="1" applyAlignment="1">
      <alignment horizontal="center" vertical="center"/>
    </xf>
    <xf numFmtId="3" fontId="45" fillId="0" borderId="5" xfId="32" applyNumberFormat="1" applyFont="1" applyBorder="1" applyAlignment="1">
      <alignment horizontal="center" vertical="center" wrapText="1"/>
    </xf>
    <xf numFmtId="3" fontId="126" fillId="27" borderId="5" xfId="32" applyNumberFormat="1" applyFont="1" applyFill="1" applyBorder="1" applyAlignment="1">
      <alignment horizontal="left" vertical="center" wrapText="1"/>
    </xf>
    <xf numFmtId="0" fontId="47" fillId="27" borderId="17" xfId="32" applyFont="1" applyFill="1" applyBorder="1" applyAlignment="1">
      <alignment horizontal="center" vertical="center"/>
    </xf>
    <xf numFmtId="0" fontId="45" fillId="0" borderId="17" xfId="0" applyFont="1" applyBorder="1" applyAlignment="1">
      <alignment horizontal="center" vertical="center"/>
    </xf>
    <xf numFmtId="9" fontId="45" fillId="27" borderId="17" xfId="70" applyFont="1" applyFill="1" applyBorder="1" applyAlignment="1" applyProtection="1">
      <alignment horizontal="center" vertical="center"/>
    </xf>
    <xf numFmtId="3" fontId="45" fillId="27" borderId="24" xfId="32" applyNumberFormat="1" applyFont="1" applyFill="1" applyBorder="1" applyAlignment="1">
      <alignment horizontal="left" vertical="center" wrapText="1"/>
    </xf>
    <xf numFmtId="3" fontId="57" fillId="0" borderId="53" xfId="55" applyNumberFormat="1" applyFont="1" applyFill="1" applyBorder="1" applyAlignment="1" applyProtection="1">
      <alignment horizontal="center" vertical="center"/>
    </xf>
    <xf numFmtId="3" fontId="57" fillId="0" borderId="52" xfId="55" applyNumberFormat="1" applyFont="1" applyFill="1" applyBorder="1" applyAlignment="1" applyProtection="1">
      <alignment horizontal="center" vertical="center"/>
    </xf>
    <xf numFmtId="3" fontId="57" fillId="0" borderId="7" xfId="55" applyNumberFormat="1" applyFont="1" applyFill="1" applyBorder="1" applyAlignment="1" applyProtection="1">
      <alignment horizontal="center" vertical="center"/>
    </xf>
    <xf numFmtId="3" fontId="57" fillId="0" borderId="62" xfId="55" applyNumberFormat="1" applyFont="1" applyFill="1" applyBorder="1" applyAlignment="1" applyProtection="1">
      <alignment horizontal="center" vertical="center"/>
    </xf>
    <xf numFmtId="3" fontId="47" fillId="27" borderId="17" xfId="32" applyNumberFormat="1" applyFont="1" applyFill="1" applyBorder="1" applyAlignment="1">
      <alignment horizontal="center" vertical="center"/>
    </xf>
    <xf numFmtId="3" fontId="45" fillId="0" borderId="17" xfId="32" applyNumberFormat="1" applyFont="1" applyBorder="1" applyAlignment="1">
      <alignment horizontal="center" vertical="center" wrapText="1"/>
    </xf>
    <xf numFmtId="3" fontId="126" fillId="27" borderId="17" xfId="32" applyNumberFormat="1" applyFont="1" applyFill="1" applyBorder="1" applyAlignment="1">
      <alignment horizontal="left" vertical="center" wrapText="1"/>
    </xf>
    <xf numFmtId="9" fontId="45" fillId="26" borderId="17" xfId="70" applyFont="1" applyFill="1" applyBorder="1" applyAlignment="1" applyProtection="1">
      <alignment horizontal="center" vertical="center"/>
    </xf>
    <xf numFmtId="3" fontId="45" fillId="0" borderId="24" xfId="32" applyNumberFormat="1" applyFont="1" applyBorder="1" applyAlignment="1">
      <alignment horizontal="left" vertical="center" wrapText="1"/>
    </xf>
    <xf numFmtId="9" fontId="45" fillId="0" borderId="17" xfId="70" applyFont="1" applyFill="1" applyBorder="1" applyAlignment="1" applyProtection="1">
      <alignment horizontal="center" vertical="center"/>
    </xf>
    <xf numFmtId="3" fontId="126" fillId="26" borderId="17" xfId="32" applyNumberFormat="1" applyFont="1" applyFill="1" applyBorder="1" applyAlignment="1">
      <alignment horizontal="left" vertical="center" wrapText="1"/>
    </xf>
    <xf numFmtId="3" fontId="126" fillId="0" borderId="17" xfId="32" applyNumberFormat="1" applyFont="1" applyBorder="1" applyAlignment="1">
      <alignment horizontal="left" vertical="center" wrapText="1"/>
    </xf>
    <xf numFmtId="3" fontId="45" fillId="26" borderId="17" xfId="32" applyNumberFormat="1" applyFont="1" applyFill="1" applyBorder="1" applyAlignment="1">
      <alignment horizontal="center" vertical="center" wrapText="1"/>
    </xf>
    <xf numFmtId="0" fontId="47" fillId="22" borderId="17" xfId="32" applyFont="1" applyFill="1" applyBorder="1" applyAlignment="1">
      <alignment horizontal="center" vertical="center"/>
    </xf>
    <xf numFmtId="0" fontId="47" fillId="22" borderId="39" xfId="32" applyFont="1" applyFill="1" applyBorder="1" applyAlignment="1">
      <alignment horizontal="center" vertical="center"/>
    </xf>
    <xf numFmtId="0" fontId="45" fillId="0" borderId="39" xfId="0" applyFont="1" applyBorder="1" applyAlignment="1">
      <alignment horizontal="center" vertical="center"/>
    </xf>
    <xf numFmtId="9" fontId="45" fillId="27" borderId="39" xfId="70" applyFont="1" applyFill="1" applyBorder="1" applyAlignment="1" applyProtection="1">
      <alignment horizontal="center" vertical="center"/>
    </xf>
    <xf numFmtId="3" fontId="45" fillId="27" borderId="36" xfId="32" applyNumberFormat="1" applyFont="1" applyFill="1" applyBorder="1" applyAlignment="1">
      <alignment horizontal="left" vertical="center" wrapText="1"/>
    </xf>
    <xf numFmtId="3" fontId="47" fillId="27" borderId="21" xfId="32" applyNumberFormat="1" applyFont="1" applyFill="1" applyBorder="1" applyAlignment="1">
      <alignment horizontal="center" vertical="center"/>
    </xf>
    <xf numFmtId="3" fontId="45" fillId="0" borderId="39" xfId="32" applyNumberFormat="1" applyFont="1" applyBorder="1" applyAlignment="1">
      <alignment horizontal="center" vertical="center" wrapText="1"/>
    </xf>
    <xf numFmtId="3" fontId="126" fillId="0" borderId="39" xfId="32" applyNumberFormat="1" applyFont="1" applyBorder="1" applyAlignment="1">
      <alignment horizontal="left" vertical="center" wrapText="1"/>
    </xf>
    <xf numFmtId="3" fontId="47" fillId="31" borderId="10" xfId="55" applyNumberFormat="1" applyFont="1" applyFill="1" applyBorder="1" applyAlignment="1" applyProtection="1">
      <alignment horizontal="center" vertical="center"/>
    </xf>
    <xf numFmtId="3" fontId="47" fillId="31" borderId="1" xfId="32" applyNumberFormat="1" applyFont="1" applyFill="1" applyBorder="1" applyAlignment="1">
      <alignment horizontal="center" vertical="center"/>
    </xf>
    <xf numFmtId="3" fontId="47" fillId="31" borderId="2" xfId="32" applyNumberFormat="1" applyFont="1" applyFill="1" applyBorder="1" applyAlignment="1">
      <alignment horizontal="center" vertical="center" wrapText="1"/>
    </xf>
    <xf numFmtId="3" fontId="47" fillId="31" borderId="10" xfId="32" applyNumberFormat="1" applyFont="1" applyFill="1" applyBorder="1" applyAlignment="1">
      <alignment horizontal="right" vertical="center" wrapText="1"/>
    </xf>
    <xf numFmtId="3" fontId="47" fillId="31" borderId="65" xfId="32" applyNumberFormat="1" applyFont="1" applyFill="1" applyBorder="1" applyAlignment="1">
      <alignment horizontal="center" vertical="center" wrapText="1"/>
    </xf>
    <xf numFmtId="3" fontId="47" fillId="31" borderId="9" xfId="32" applyNumberFormat="1" applyFont="1" applyFill="1" applyBorder="1" applyAlignment="1">
      <alignment horizontal="center" vertical="center" wrapText="1"/>
    </xf>
    <xf numFmtId="3" fontId="47" fillId="31" borderId="10" xfId="32" applyNumberFormat="1" applyFont="1" applyFill="1" applyBorder="1" applyAlignment="1">
      <alignment horizontal="center" vertical="center" wrapText="1"/>
    </xf>
    <xf numFmtId="0" fontId="128" fillId="31" borderId="2" xfId="32" applyFont="1" applyFill="1" applyBorder="1" applyAlignment="1">
      <alignment horizontal="left" vertical="center" wrapText="1"/>
    </xf>
    <xf numFmtId="0" fontId="45" fillId="27" borderId="5" xfId="32" applyFont="1" applyFill="1" applyBorder="1" applyAlignment="1">
      <alignment horizontal="center" vertical="center"/>
    </xf>
    <xf numFmtId="0" fontId="45" fillId="0" borderId="5" xfId="32" applyFont="1" applyBorder="1" applyAlignment="1">
      <alignment horizontal="center" vertical="center"/>
    </xf>
    <xf numFmtId="3" fontId="45" fillId="27" borderId="5" xfId="32" applyNumberFormat="1" applyFont="1" applyFill="1" applyBorder="1" applyAlignment="1">
      <alignment horizontal="left" vertical="center" wrapText="1"/>
    </xf>
    <xf numFmtId="3" fontId="47" fillId="27" borderId="25" xfId="32" applyNumberFormat="1" applyFont="1" applyFill="1" applyBorder="1" applyAlignment="1">
      <alignment horizontal="center" vertical="center"/>
    </xf>
    <xf numFmtId="3" fontId="126" fillId="26" borderId="5" xfId="32" applyNumberFormat="1" applyFont="1" applyFill="1" applyBorder="1" applyAlignment="1">
      <alignment horizontal="left" vertical="center" wrapText="1"/>
    </xf>
    <xf numFmtId="0" fontId="45" fillId="27" borderId="17" xfId="32" applyFont="1" applyFill="1" applyBorder="1" applyAlignment="1">
      <alignment horizontal="center" vertical="center"/>
    </xf>
    <xf numFmtId="0" fontId="45" fillId="0" borderId="17" xfId="32" applyFont="1" applyBorder="1" applyAlignment="1">
      <alignment horizontal="center" vertical="center"/>
    </xf>
    <xf numFmtId="3" fontId="45" fillId="27" borderId="17" xfId="32" applyNumberFormat="1" applyFont="1" applyFill="1" applyBorder="1" applyAlignment="1">
      <alignment horizontal="left" vertical="center" wrapText="1"/>
    </xf>
    <xf numFmtId="3" fontId="47" fillId="27" borderId="24" xfId="32" applyNumberFormat="1" applyFont="1" applyFill="1" applyBorder="1" applyAlignment="1">
      <alignment horizontal="center" vertical="center"/>
    </xf>
    <xf numFmtId="3" fontId="45" fillId="0" borderId="17" xfId="32" applyNumberFormat="1" applyFont="1" applyBorder="1" applyAlignment="1">
      <alignment horizontal="left" vertical="center" wrapText="1"/>
    </xf>
    <xf numFmtId="3" fontId="126" fillId="26" borderId="32" xfId="32" applyNumberFormat="1" applyFont="1" applyFill="1" applyBorder="1" applyAlignment="1">
      <alignment horizontal="center" vertical="center"/>
    </xf>
    <xf numFmtId="3" fontId="126" fillId="26" borderId="62" xfId="32" applyNumberFormat="1" applyFont="1" applyFill="1" applyBorder="1" applyAlignment="1">
      <alignment horizontal="center" vertical="center"/>
    </xf>
    <xf numFmtId="3" fontId="126" fillId="26" borderId="52" xfId="32" applyNumberFormat="1" applyFont="1" applyFill="1" applyBorder="1" applyAlignment="1">
      <alignment horizontal="center" vertical="center"/>
    </xf>
    <xf numFmtId="3" fontId="126" fillId="26" borderId="7" xfId="32" applyNumberFormat="1" applyFont="1" applyFill="1" applyBorder="1" applyAlignment="1">
      <alignment horizontal="center" vertical="center"/>
    </xf>
    <xf numFmtId="3" fontId="126" fillId="26" borderId="53" xfId="32" applyNumberFormat="1" applyFont="1" applyFill="1" applyBorder="1" applyAlignment="1">
      <alignment horizontal="center" vertical="center"/>
    </xf>
    <xf numFmtId="0" fontId="45" fillId="22" borderId="17" xfId="32" applyFont="1" applyFill="1" applyBorder="1" applyAlignment="1">
      <alignment horizontal="center" vertical="center"/>
    </xf>
    <xf numFmtId="0" fontId="45" fillId="22" borderId="39" xfId="32" applyFont="1" applyFill="1" applyBorder="1" applyAlignment="1">
      <alignment horizontal="center" vertical="center"/>
    </xf>
    <xf numFmtId="0" fontId="45" fillId="0" borderId="39" xfId="32" applyFont="1" applyBorder="1" applyAlignment="1">
      <alignment horizontal="center" vertical="center"/>
    </xf>
    <xf numFmtId="3" fontId="45" fillId="27" borderId="39" xfId="32" applyNumberFormat="1" applyFont="1" applyFill="1" applyBorder="1" applyAlignment="1">
      <alignment horizontal="left" vertical="center" wrapText="1"/>
    </xf>
    <xf numFmtId="3" fontId="47" fillId="27" borderId="36" xfId="32" applyNumberFormat="1" applyFont="1" applyFill="1" applyBorder="1" applyAlignment="1">
      <alignment horizontal="center" vertical="center"/>
    </xf>
    <xf numFmtId="3" fontId="45" fillId="0" borderId="5" xfId="32" applyNumberFormat="1" applyFont="1" applyBorder="1" applyAlignment="1">
      <alignment horizontal="left" vertical="center" wrapText="1"/>
    </xf>
    <xf numFmtId="3" fontId="57" fillId="0" borderId="49" xfId="32" applyNumberFormat="1" applyFont="1" applyBorder="1" applyAlignment="1">
      <alignment horizontal="center" vertical="center"/>
    </xf>
    <xf numFmtId="3" fontId="57" fillId="0" borderId="50" xfId="32" applyNumberFormat="1" applyFont="1" applyBorder="1" applyAlignment="1">
      <alignment horizontal="center" vertical="center"/>
    </xf>
    <xf numFmtId="3" fontId="57" fillId="0" borderId="44" xfId="32" applyNumberFormat="1" applyFont="1" applyBorder="1" applyAlignment="1">
      <alignment horizontal="center" vertical="center"/>
    </xf>
    <xf numFmtId="3" fontId="57" fillId="0" borderId="31" xfId="32" applyNumberFormat="1" applyFont="1" applyBorder="1" applyAlignment="1">
      <alignment horizontal="center" vertical="center"/>
    </xf>
    <xf numFmtId="3" fontId="57" fillId="0" borderId="52" xfId="32" applyNumberFormat="1" applyFont="1" applyBorder="1" applyAlignment="1">
      <alignment horizontal="center" vertical="center"/>
    </xf>
    <xf numFmtId="3" fontId="57" fillId="0" borderId="53" xfId="32" applyNumberFormat="1" applyFont="1" applyBorder="1" applyAlignment="1">
      <alignment horizontal="center" vertical="center"/>
    </xf>
    <xf numFmtId="3" fontId="57" fillId="0" borderId="32" xfId="32" applyNumberFormat="1" applyFont="1" applyBorder="1" applyAlignment="1">
      <alignment horizontal="center" vertical="center"/>
    </xf>
    <xf numFmtId="3" fontId="57" fillId="0" borderId="7" xfId="32" applyNumberFormat="1" applyFont="1" applyBorder="1" applyAlignment="1">
      <alignment horizontal="center" vertical="center"/>
    </xf>
    <xf numFmtId="3" fontId="57" fillId="0" borderId="54" xfId="32" applyNumberFormat="1" applyFont="1" applyBorder="1" applyAlignment="1">
      <alignment horizontal="center" vertical="center"/>
    </xf>
    <xf numFmtId="3" fontId="57" fillId="0" borderId="55" xfId="32" applyNumberFormat="1" applyFont="1" applyBorder="1" applyAlignment="1">
      <alignment horizontal="center" vertical="center"/>
    </xf>
    <xf numFmtId="3" fontId="57" fillId="0" borderId="69" xfId="32" applyNumberFormat="1" applyFont="1" applyBorder="1" applyAlignment="1">
      <alignment horizontal="center" vertical="center"/>
    </xf>
    <xf numFmtId="3" fontId="57" fillId="0" borderId="63" xfId="32" applyNumberFormat="1" applyFont="1" applyBorder="1" applyAlignment="1">
      <alignment horizontal="center" vertical="center"/>
    </xf>
    <xf numFmtId="9" fontId="45" fillId="0" borderId="5" xfId="70" applyFont="1" applyFill="1" applyBorder="1" applyAlignment="1" applyProtection="1">
      <alignment horizontal="center" vertical="center"/>
    </xf>
    <xf numFmtId="3" fontId="126" fillId="0" borderId="5" xfId="32" applyNumberFormat="1" applyFont="1" applyBorder="1" applyAlignment="1">
      <alignment horizontal="left" vertical="center" wrapText="1"/>
    </xf>
    <xf numFmtId="0" fontId="45" fillId="27" borderId="39" xfId="32" applyFont="1" applyFill="1" applyBorder="1" applyAlignment="1">
      <alignment horizontal="center" vertical="center"/>
    </xf>
    <xf numFmtId="9" fontId="45" fillId="0" borderId="39" xfId="70" applyFont="1" applyFill="1" applyBorder="1" applyAlignment="1" applyProtection="1">
      <alignment horizontal="center" vertical="center"/>
    </xf>
    <xf numFmtId="3" fontId="45" fillId="0" borderId="39" xfId="32" applyNumberFormat="1" applyFont="1" applyBorder="1" applyAlignment="1">
      <alignment horizontal="left" vertical="center" wrapText="1"/>
    </xf>
    <xf numFmtId="0" fontId="45" fillId="22" borderId="5" xfId="32" applyFont="1" applyFill="1" applyBorder="1" applyAlignment="1">
      <alignment horizontal="center" vertical="center"/>
    </xf>
    <xf numFmtId="9" fontId="45" fillId="26" borderId="5" xfId="70" applyFont="1" applyFill="1" applyBorder="1" applyAlignment="1" applyProtection="1">
      <alignment horizontal="center" vertical="center"/>
    </xf>
    <xf numFmtId="0" fontId="45" fillId="26" borderId="17" xfId="32" applyFont="1" applyFill="1" applyBorder="1" applyAlignment="1">
      <alignment horizontal="center" vertical="center"/>
    </xf>
    <xf numFmtId="9" fontId="57" fillId="27" borderId="17" xfId="70" applyFont="1" applyFill="1" applyBorder="1" applyAlignment="1" applyProtection="1">
      <alignment horizontal="center" vertical="center"/>
    </xf>
    <xf numFmtId="3" fontId="45" fillId="27" borderId="17" xfId="32" applyNumberFormat="1" applyFont="1" applyFill="1" applyBorder="1" applyAlignment="1">
      <alignment horizontal="left" vertical="center"/>
    </xf>
    <xf numFmtId="3" fontId="45" fillId="0" borderId="21" xfId="32" applyNumberFormat="1" applyFont="1" applyBorder="1" applyAlignment="1">
      <alignment horizontal="center" vertical="center" wrapText="1"/>
    </xf>
    <xf numFmtId="3" fontId="45" fillId="26" borderId="5" xfId="32" applyNumberFormat="1" applyFont="1" applyFill="1" applyBorder="1" applyAlignment="1">
      <alignment horizontal="center" vertical="center" wrapText="1"/>
    </xf>
    <xf numFmtId="3" fontId="126" fillId="27" borderId="21" xfId="32" applyNumberFormat="1" applyFont="1" applyFill="1" applyBorder="1" applyAlignment="1">
      <alignment horizontal="left" vertical="center" wrapText="1"/>
    </xf>
    <xf numFmtId="1" fontId="128" fillId="31" borderId="38" xfId="55" applyNumberFormat="1" applyFont="1" applyFill="1" applyBorder="1" applyAlignment="1" applyProtection="1">
      <alignment horizontal="center" vertical="center"/>
    </xf>
    <xf numFmtId="1" fontId="128" fillId="31" borderId="10" xfId="55" applyNumberFormat="1" applyFont="1" applyFill="1" applyBorder="1" applyAlignment="1" applyProtection="1">
      <alignment horizontal="center" vertical="center"/>
    </xf>
    <xf numFmtId="1" fontId="47" fillId="31" borderId="65" xfId="55" applyNumberFormat="1" applyFont="1" applyFill="1" applyBorder="1" applyAlignment="1" applyProtection="1">
      <alignment horizontal="center" vertical="center"/>
    </xf>
    <xf numFmtId="1" fontId="47" fillId="31" borderId="9" xfId="55" applyNumberFormat="1" applyFont="1" applyFill="1" applyBorder="1" applyAlignment="1" applyProtection="1">
      <alignment horizontal="center" vertical="center"/>
    </xf>
    <xf numFmtId="1" fontId="47" fillId="31" borderId="60" xfId="55" applyNumberFormat="1" applyFont="1" applyFill="1" applyBorder="1" applyAlignment="1" applyProtection="1">
      <alignment horizontal="center" vertical="center"/>
    </xf>
    <xf numFmtId="3" fontId="45" fillId="29" borderId="3" xfId="49" applyNumberFormat="1" applyFont="1" applyFill="1" applyBorder="1" applyAlignment="1">
      <alignment horizontal="center" vertical="center"/>
    </xf>
    <xf numFmtId="3" fontId="45" fillId="29" borderId="65" xfId="49" applyNumberFormat="1" applyFont="1" applyFill="1" applyBorder="1" applyAlignment="1">
      <alignment horizontal="center" vertical="center"/>
    </xf>
    <xf numFmtId="0" fontId="47" fillId="31" borderId="51" xfId="32" applyFont="1" applyFill="1" applyBorder="1" applyAlignment="1">
      <alignment horizontal="center" vertical="center"/>
    </xf>
    <xf numFmtId="0" fontId="47" fillId="31" borderId="51" xfId="32" applyFont="1" applyFill="1" applyBorder="1" applyAlignment="1">
      <alignment horizontal="left" vertical="center"/>
    </xf>
    <xf numFmtId="0" fontId="47" fillId="31" borderId="51" xfId="32" applyFont="1" applyFill="1" applyBorder="1" applyAlignment="1">
      <alignment vertical="center" wrapText="1"/>
    </xf>
    <xf numFmtId="3" fontId="128" fillId="31" borderId="75" xfId="55" applyNumberFormat="1" applyFont="1" applyFill="1" applyBorder="1" applyAlignment="1" applyProtection="1">
      <alignment horizontal="center" vertical="center"/>
    </xf>
    <xf numFmtId="3" fontId="128" fillId="31" borderId="76" xfId="55" applyNumberFormat="1" applyFont="1" applyFill="1" applyBorder="1" applyAlignment="1" applyProtection="1">
      <alignment horizontal="center" vertical="center"/>
    </xf>
    <xf numFmtId="3" fontId="47" fillId="31" borderId="72" xfId="55" applyNumberFormat="1" applyFont="1" applyFill="1" applyBorder="1" applyAlignment="1" applyProtection="1">
      <alignment horizontal="center" vertical="center"/>
    </xf>
    <xf numFmtId="3" fontId="47" fillId="31" borderId="73" xfId="55" applyNumberFormat="1" applyFont="1" applyFill="1" applyBorder="1" applyAlignment="1" applyProtection="1">
      <alignment horizontal="center" vertical="center"/>
    </xf>
    <xf numFmtId="3" fontId="47" fillId="31" borderId="76" xfId="55" applyNumberFormat="1" applyFont="1" applyFill="1" applyBorder="1" applyAlignment="1" applyProtection="1">
      <alignment horizontal="center" vertical="center"/>
    </xf>
    <xf numFmtId="3" fontId="47" fillId="31" borderId="51" xfId="32" applyNumberFormat="1" applyFont="1" applyFill="1" applyBorder="1" applyAlignment="1">
      <alignment horizontal="center" vertical="center"/>
    </xf>
    <xf numFmtId="3" fontId="128" fillId="31" borderId="75" xfId="32" applyNumberFormat="1" applyFont="1" applyFill="1" applyBorder="1" applyAlignment="1">
      <alignment horizontal="center" vertical="center"/>
    </xf>
    <xf numFmtId="3" fontId="128" fillId="31" borderId="76" xfId="32" applyNumberFormat="1" applyFont="1" applyFill="1" applyBorder="1" applyAlignment="1">
      <alignment horizontal="center" vertical="center"/>
    </xf>
    <xf numFmtId="3" fontId="47" fillId="31" borderId="72" xfId="32" applyNumberFormat="1" applyFont="1" applyFill="1" applyBorder="1" applyAlignment="1">
      <alignment horizontal="center" vertical="center"/>
    </xf>
    <xf numFmtId="3" fontId="47" fillId="31" borderId="73" xfId="32" applyNumberFormat="1" applyFont="1" applyFill="1" applyBorder="1" applyAlignment="1">
      <alignment horizontal="center" vertical="center"/>
    </xf>
    <xf numFmtId="3" fontId="47" fillId="31" borderId="74" xfId="32" applyNumberFormat="1" applyFont="1" applyFill="1" applyBorder="1" applyAlignment="1">
      <alignment horizontal="center" vertical="center"/>
    </xf>
    <xf numFmtId="3" fontId="47" fillId="31" borderId="76" xfId="32" applyNumberFormat="1" applyFont="1" applyFill="1" applyBorder="1" applyAlignment="1">
      <alignment horizontal="center" vertical="center"/>
    </xf>
    <xf numFmtId="3" fontId="45" fillId="29" borderId="73" xfId="49" applyNumberFormat="1" applyFont="1" applyFill="1" applyBorder="1" applyAlignment="1">
      <alignment horizontal="center" vertical="center"/>
    </xf>
    <xf numFmtId="3" fontId="45" fillId="29" borderId="73" xfId="49" applyNumberFormat="1" applyFont="1" applyFill="1" applyBorder="1" applyAlignment="1">
      <alignment horizontal="right" vertical="center"/>
    </xf>
    <xf numFmtId="3" fontId="45" fillId="29" borderId="76" xfId="49" applyNumberFormat="1" applyFont="1" applyFill="1" applyBorder="1" applyAlignment="1">
      <alignment horizontal="left" vertical="center"/>
    </xf>
    <xf numFmtId="0" fontId="47" fillId="26" borderId="5" xfId="32" applyFont="1" applyFill="1" applyBorder="1" applyAlignment="1">
      <alignment horizontal="center" vertical="center"/>
    </xf>
    <xf numFmtId="0" fontId="47" fillId="26" borderId="5" xfId="32" applyFont="1" applyFill="1" applyBorder="1" applyAlignment="1">
      <alignment horizontal="left" vertical="center"/>
    </xf>
    <xf numFmtId="0" fontId="47" fillId="26" borderId="5" xfId="32" applyFont="1" applyFill="1" applyBorder="1" applyAlignment="1">
      <alignment vertical="center" wrapText="1"/>
    </xf>
    <xf numFmtId="3" fontId="128" fillId="26" borderId="52" xfId="55" applyNumberFormat="1" applyFont="1" applyFill="1" applyBorder="1" applyAlignment="1" applyProtection="1">
      <alignment horizontal="center" vertical="center"/>
    </xf>
    <xf numFmtId="3" fontId="128" fillId="26" borderId="53" xfId="55" applyNumberFormat="1" applyFont="1" applyFill="1" applyBorder="1" applyAlignment="1" applyProtection="1">
      <alignment horizontal="center" vertical="center"/>
    </xf>
    <xf numFmtId="3" fontId="47" fillId="26" borderId="32" xfId="55" applyNumberFormat="1" applyFont="1" applyFill="1" applyBorder="1" applyAlignment="1" applyProtection="1">
      <alignment horizontal="center" vertical="center"/>
    </xf>
    <xf numFmtId="3" fontId="47" fillId="26" borderId="7" xfId="55" applyNumberFormat="1" applyFont="1" applyFill="1" applyBorder="1" applyAlignment="1" applyProtection="1">
      <alignment horizontal="center" vertical="center"/>
    </xf>
    <xf numFmtId="3" fontId="47" fillId="26" borderId="53" xfId="55" applyNumberFormat="1" applyFont="1" applyFill="1" applyBorder="1" applyAlignment="1" applyProtection="1">
      <alignment horizontal="center" vertical="center"/>
    </xf>
    <xf numFmtId="3" fontId="47" fillId="26" borderId="62" xfId="32" applyNumberFormat="1" applyFont="1" applyFill="1" applyBorder="1" applyAlignment="1">
      <alignment horizontal="center" vertical="center"/>
    </xf>
    <xf numFmtId="3" fontId="128" fillId="26" borderId="52" xfId="32" applyNumberFormat="1" applyFont="1" applyFill="1" applyBorder="1" applyAlignment="1">
      <alignment horizontal="center" vertical="center"/>
    </xf>
    <xf numFmtId="3" fontId="128" fillId="26" borderId="53" xfId="32" applyNumberFormat="1" applyFont="1" applyFill="1" applyBorder="1" applyAlignment="1">
      <alignment horizontal="center" vertical="center"/>
    </xf>
    <xf numFmtId="3" fontId="47" fillId="26" borderId="32" xfId="32" applyNumberFormat="1" applyFont="1" applyFill="1" applyBorder="1" applyAlignment="1">
      <alignment horizontal="center" vertical="center"/>
    </xf>
    <xf numFmtId="3" fontId="47" fillId="26" borderId="7" xfId="32" applyNumberFormat="1" applyFont="1" applyFill="1" applyBorder="1" applyAlignment="1">
      <alignment horizontal="center" vertical="center"/>
    </xf>
    <xf numFmtId="3" fontId="47" fillId="26" borderId="53" xfId="32" applyNumberFormat="1" applyFont="1" applyFill="1" applyBorder="1" applyAlignment="1">
      <alignment horizontal="center" vertical="center"/>
    </xf>
    <xf numFmtId="3" fontId="45" fillId="29" borderId="7" xfId="49" applyNumberFormat="1" applyFont="1" applyFill="1" applyBorder="1" applyAlignment="1">
      <alignment horizontal="center" vertical="center"/>
    </xf>
    <xf numFmtId="3" fontId="45" fillId="29" borderId="7" xfId="49" applyNumberFormat="1" applyFont="1" applyFill="1" applyBorder="1" applyAlignment="1">
      <alignment horizontal="right" vertical="center"/>
    </xf>
    <xf numFmtId="3" fontId="45" fillId="29" borderId="53" xfId="49" applyNumberFormat="1" applyFont="1" applyFill="1" applyBorder="1" applyAlignment="1">
      <alignment horizontal="left" vertical="center"/>
    </xf>
    <xf numFmtId="0" fontId="47" fillId="26" borderId="34" xfId="32" applyFont="1" applyFill="1" applyBorder="1" applyAlignment="1">
      <alignment horizontal="center" vertical="center"/>
    </xf>
    <xf numFmtId="0" fontId="47" fillId="26" borderId="34" xfId="32" applyFont="1" applyFill="1" applyBorder="1" applyAlignment="1">
      <alignment horizontal="left" vertical="center"/>
    </xf>
    <xf numFmtId="0" fontId="47" fillId="26" borderId="34" xfId="32" applyFont="1" applyFill="1" applyBorder="1" applyAlignment="1">
      <alignment vertical="center" wrapText="1"/>
    </xf>
    <xf numFmtId="3" fontId="128" fillId="26" borderId="56" xfId="55" applyNumberFormat="1" applyFont="1" applyFill="1" applyBorder="1" applyAlignment="1" applyProtection="1">
      <alignment horizontal="center" vertical="center"/>
    </xf>
    <xf numFmtId="3" fontId="128" fillId="26" borderId="57" xfId="55" applyNumberFormat="1" applyFont="1" applyFill="1" applyBorder="1" applyAlignment="1" applyProtection="1">
      <alignment horizontal="center" vertical="center"/>
    </xf>
    <xf numFmtId="3" fontId="47" fillId="26" borderId="70" xfId="55" applyNumberFormat="1" applyFont="1" applyFill="1" applyBorder="1" applyAlignment="1" applyProtection="1">
      <alignment horizontal="center" vertical="center"/>
    </xf>
    <xf numFmtId="3" fontId="47" fillId="26" borderId="71" xfId="55" applyNumberFormat="1" applyFont="1" applyFill="1" applyBorder="1" applyAlignment="1" applyProtection="1">
      <alignment horizontal="center" vertical="center"/>
    </xf>
    <xf numFmtId="3" fontId="47" fillId="26" borderId="48" xfId="55" applyNumberFormat="1" applyFont="1" applyFill="1" applyBorder="1" applyAlignment="1" applyProtection="1">
      <alignment horizontal="center" vertical="center"/>
    </xf>
    <xf numFmtId="3" fontId="47" fillId="26" borderId="101" xfId="32" applyNumberFormat="1" applyFont="1" applyFill="1" applyBorder="1" applyAlignment="1">
      <alignment horizontal="center" vertical="center"/>
    </xf>
    <xf numFmtId="3" fontId="128" fillId="26" borderId="47" xfId="32" applyNumberFormat="1" applyFont="1" applyFill="1" applyBorder="1" applyAlignment="1">
      <alignment horizontal="center" vertical="center"/>
    </xf>
    <xf numFmtId="3" fontId="128" fillId="26" borderId="48" xfId="32" applyNumberFormat="1" applyFont="1" applyFill="1" applyBorder="1" applyAlignment="1">
      <alignment horizontal="center" vertical="center"/>
    </xf>
    <xf numFmtId="3" fontId="47" fillId="26" borderId="70" xfId="32" applyNumberFormat="1" applyFont="1" applyFill="1" applyBorder="1" applyAlignment="1">
      <alignment horizontal="center" vertical="center"/>
    </xf>
    <xf numFmtId="3" fontId="47" fillId="26" borderId="71" xfId="32" applyNumberFormat="1" applyFont="1" applyFill="1" applyBorder="1" applyAlignment="1">
      <alignment horizontal="center" vertical="center"/>
    </xf>
    <xf numFmtId="3" fontId="47" fillId="26" borderId="48" xfId="32" applyNumberFormat="1" applyFont="1" applyFill="1" applyBorder="1" applyAlignment="1">
      <alignment horizontal="center" vertical="center"/>
    </xf>
    <xf numFmtId="3" fontId="45" fillId="29" borderId="77" xfId="49" applyNumberFormat="1" applyFont="1" applyFill="1" applyBorder="1" applyAlignment="1">
      <alignment horizontal="center" vertical="center"/>
    </xf>
    <xf numFmtId="3" fontId="45" fillId="29" borderId="77" xfId="49" applyNumberFormat="1" applyFont="1" applyFill="1" applyBorder="1" applyAlignment="1">
      <alignment horizontal="right" vertical="center"/>
    </xf>
    <xf numFmtId="3" fontId="45" fillId="29" borderId="57" xfId="49" applyNumberFormat="1" applyFont="1" applyFill="1" applyBorder="1" applyAlignment="1">
      <alignment horizontal="left" vertical="center"/>
    </xf>
    <xf numFmtId="0" fontId="57" fillId="26" borderId="0" xfId="0" applyFont="1" applyFill="1" applyAlignment="1">
      <alignment horizontal="center" vertical="center"/>
    </xf>
    <xf numFmtId="0" fontId="45" fillId="27" borderId="0" xfId="32" applyFont="1" applyFill="1" applyAlignment="1">
      <alignment vertical="center" wrapText="1"/>
    </xf>
    <xf numFmtId="0" fontId="45" fillId="27" borderId="0" xfId="32" applyFont="1" applyFill="1" applyAlignment="1">
      <alignment horizontal="center" vertical="center" wrapText="1"/>
    </xf>
    <xf numFmtId="14" fontId="45" fillId="27" borderId="0" xfId="32" applyNumberFormat="1" applyFont="1" applyFill="1" applyAlignment="1">
      <alignment vertical="center" wrapText="1"/>
    </xf>
    <xf numFmtId="0" fontId="45" fillId="27" borderId="0" xfId="32" applyFont="1" applyFill="1" applyAlignment="1">
      <alignment vertical="center"/>
    </xf>
    <xf numFmtId="3" fontId="126" fillId="27" borderId="0" xfId="32" applyNumberFormat="1" applyFont="1" applyFill="1" applyAlignment="1">
      <alignment horizontal="center" vertical="center"/>
    </xf>
    <xf numFmtId="3" fontId="45" fillId="27" borderId="0" xfId="32" applyNumberFormat="1" applyFont="1" applyFill="1" applyAlignment="1">
      <alignment horizontal="center" vertical="center"/>
    </xf>
    <xf numFmtId="0" fontId="126" fillId="27" borderId="0" xfId="32" applyFont="1" applyFill="1" applyAlignment="1">
      <alignment horizontal="center" vertical="center"/>
    </xf>
    <xf numFmtId="0" fontId="47" fillId="31" borderId="1" xfId="32" applyFont="1" applyFill="1" applyBorder="1" applyAlignment="1">
      <alignment vertical="center" wrapText="1"/>
    </xf>
    <xf numFmtId="9" fontId="128" fillId="31" borderId="38" xfId="70" applyFont="1" applyFill="1" applyBorder="1" applyAlignment="1" applyProtection="1">
      <alignment horizontal="center" vertical="center"/>
    </xf>
    <xf numFmtId="9" fontId="128" fillId="31" borderId="10" xfId="70" applyFont="1" applyFill="1" applyBorder="1" applyAlignment="1" applyProtection="1">
      <alignment horizontal="center" vertical="center"/>
    </xf>
    <xf numFmtId="9" fontId="47" fillId="31" borderId="65" xfId="70" applyFont="1" applyFill="1" applyBorder="1" applyAlignment="1" applyProtection="1">
      <alignment horizontal="center" vertical="center"/>
    </xf>
    <xf numFmtId="9" fontId="47" fillId="31" borderId="9" xfId="70" applyFont="1" applyFill="1" applyBorder="1" applyAlignment="1" applyProtection="1">
      <alignment horizontal="center" vertical="center"/>
    </xf>
    <xf numFmtId="9" fontId="47" fillId="31" borderId="60" xfId="70" applyFont="1" applyFill="1" applyBorder="1" applyAlignment="1" applyProtection="1">
      <alignment horizontal="center" vertical="center"/>
    </xf>
    <xf numFmtId="9" fontId="47" fillId="31" borderId="10" xfId="70" applyFont="1" applyFill="1" applyBorder="1" applyAlignment="1" applyProtection="1">
      <alignment horizontal="center" vertical="center"/>
    </xf>
    <xf numFmtId="0" fontId="47" fillId="31" borderId="2" xfId="32" applyFont="1" applyFill="1" applyBorder="1" applyAlignment="1">
      <alignment horizontal="center" vertical="center" wrapText="1"/>
    </xf>
    <xf numFmtId="0" fontId="47" fillId="31" borderId="29" xfId="32" applyFont="1" applyFill="1" applyBorder="1" applyAlignment="1">
      <alignment horizontal="center" vertical="center" wrapText="1"/>
    </xf>
    <xf numFmtId="3" fontId="47" fillId="31" borderId="75" xfId="32" applyNumberFormat="1" applyFont="1" applyFill="1" applyBorder="1" applyAlignment="1">
      <alignment horizontal="center" vertical="center"/>
    </xf>
    <xf numFmtId="0" fontId="45" fillId="27" borderId="25" xfId="32" applyFont="1" applyFill="1" applyBorder="1" applyAlignment="1">
      <alignment vertical="center" wrapText="1"/>
    </xf>
    <xf numFmtId="9" fontId="57" fillId="0" borderId="49" xfId="70" applyFont="1" applyFill="1" applyBorder="1" applyAlignment="1" applyProtection="1">
      <alignment horizontal="center" vertical="center"/>
    </xf>
    <xf numFmtId="9" fontId="126" fillId="0" borderId="50" xfId="70" applyFont="1" applyFill="1" applyBorder="1" applyAlignment="1" applyProtection="1">
      <alignment horizontal="center" vertical="center"/>
    </xf>
    <xf numFmtId="9" fontId="45" fillId="0" borderId="44" xfId="70" applyFont="1" applyFill="1" applyBorder="1" applyAlignment="1" applyProtection="1">
      <alignment horizontal="center" vertical="center"/>
    </xf>
    <xf numFmtId="9" fontId="45" fillId="0" borderId="31" xfId="70" applyFont="1" applyFill="1" applyBorder="1" applyAlignment="1" applyProtection="1">
      <alignment horizontal="center" vertical="center"/>
    </xf>
    <xf numFmtId="9" fontId="45" fillId="0" borderId="61" xfId="70" applyFont="1" applyFill="1" applyBorder="1" applyAlignment="1" applyProtection="1">
      <alignment horizontal="center" vertical="center"/>
    </xf>
    <xf numFmtId="9" fontId="45" fillId="0" borderId="50" xfId="70" applyFont="1" applyFill="1" applyBorder="1" applyAlignment="1" applyProtection="1">
      <alignment horizontal="center" vertical="center"/>
    </xf>
    <xf numFmtId="9" fontId="45" fillId="0" borderId="33" xfId="70" applyFont="1" applyFill="1" applyBorder="1" applyAlignment="1" applyProtection="1">
      <alignment horizontal="center" vertical="center"/>
    </xf>
    <xf numFmtId="9" fontId="45" fillId="0" borderId="49" xfId="70" applyFont="1" applyFill="1" applyBorder="1" applyAlignment="1" applyProtection="1">
      <alignment horizontal="center" vertical="center"/>
    </xf>
    <xf numFmtId="0" fontId="45" fillId="27" borderId="25" xfId="32" applyFont="1" applyFill="1" applyBorder="1" applyAlignment="1">
      <alignment horizontal="center" vertical="center" wrapText="1"/>
    </xf>
    <xf numFmtId="0" fontId="45" fillId="27" borderId="24" xfId="32" applyFont="1" applyFill="1" applyBorder="1" applyAlignment="1">
      <alignment vertical="center" wrapText="1"/>
    </xf>
    <xf numFmtId="3" fontId="126" fillId="27" borderId="52" xfId="32" applyNumberFormat="1" applyFont="1" applyFill="1" applyBorder="1" applyAlignment="1">
      <alignment horizontal="center" vertical="center"/>
    </xf>
    <xf numFmtId="3" fontId="45" fillId="26" borderId="52" xfId="32" applyNumberFormat="1" applyFont="1" applyFill="1" applyBorder="1" applyAlignment="1">
      <alignment horizontal="center" vertical="center"/>
    </xf>
    <xf numFmtId="3" fontId="45" fillId="26" borderId="32" xfId="32" applyNumberFormat="1" applyFont="1" applyFill="1" applyBorder="1" applyAlignment="1">
      <alignment horizontal="center" vertical="center"/>
    </xf>
    <xf numFmtId="3" fontId="45" fillId="26" borderId="15" xfId="32" applyNumberFormat="1" applyFont="1" applyFill="1" applyBorder="1" applyAlignment="1">
      <alignment horizontal="center" vertical="center"/>
    </xf>
    <xf numFmtId="9" fontId="126" fillId="0" borderId="52" xfId="70" applyFont="1" applyFill="1" applyBorder="1" applyAlignment="1" applyProtection="1">
      <alignment horizontal="center" vertical="center"/>
    </xf>
    <xf numFmtId="9" fontId="126" fillId="0" borderId="53" xfId="70" applyFont="1" applyFill="1" applyBorder="1" applyAlignment="1" applyProtection="1">
      <alignment horizontal="center" vertical="center"/>
    </xf>
    <xf numFmtId="9" fontId="45" fillId="0" borderId="32" xfId="70" applyFont="1" applyFill="1" applyBorder="1" applyAlignment="1" applyProtection="1">
      <alignment horizontal="center" vertical="center"/>
    </xf>
    <xf numFmtId="9" fontId="45" fillId="0" borderId="7" xfId="70" applyFont="1" applyFill="1" applyBorder="1" applyAlignment="1" applyProtection="1">
      <alignment horizontal="center" vertical="center"/>
    </xf>
    <xf numFmtId="9" fontId="45" fillId="0" borderId="62" xfId="70" applyFont="1" applyFill="1" applyBorder="1" applyAlignment="1" applyProtection="1">
      <alignment horizontal="center" vertical="center"/>
    </xf>
    <xf numFmtId="9" fontId="45" fillId="0" borderId="53" xfId="70" applyFont="1" applyFill="1" applyBorder="1" applyAlignment="1" applyProtection="1">
      <alignment horizontal="center" vertical="center"/>
    </xf>
    <xf numFmtId="9" fontId="45" fillId="0" borderId="23" xfId="70" applyFont="1" applyFill="1" applyBorder="1" applyAlignment="1" applyProtection="1">
      <alignment horizontal="center" vertical="center"/>
    </xf>
    <xf numFmtId="9" fontId="45" fillId="0" borderId="52" xfId="70" applyFont="1" applyFill="1" applyBorder="1" applyAlignment="1" applyProtection="1">
      <alignment horizontal="center" vertical="center"/>
    </xf>
    <xf numFmtId="0" fontId="45" fillId="27" borderId="24" xfId="32" applyFont="1" applyFill="1" applyBorder="1" applyAlignment="1">
      <alignment horizontal="center" vertical="center" wrapText="1"/>
    </xf>
    <xf numFmtId="3" fontId="126" fillId="26" borderId="99" xfId="32" applyNumberFormat="1" applyFont="1" applyFill="1" applyBorder="1" applyAlignment="1">
      <alignment horizontal="center" vertical="center"/>
    </xf>
    <xf numFmtId="3" fontId="45" fillId="26" borderId="99" xfId="32" applyNumberFormat="1" applyFont="1" applyFill="1" applyBorder="1" applyAlignment="1">
      <alignment horizontal="center" vertical="center"/>
    </xf>
    <xf numFmtId="3" fontId="45" fillId="26" borderId="7" xfId="32" applyNumberFormat="1" applyFont="1" applyFill="1" applyBorder="1" applyAlignment="1">
      <alignment horizontal="center" vertical="center"/>
    </xf>
    <xf numFmtId="3" fontId="45" fillId="26" borderId="53" xfId="32" applyNumberFormat="1" applyFont="1" applyFill="1" applyBorder="1" applyAlignment="1">
      <alignment horizontal="center" vertical="center"/>
    </xf>
    <xf numFmtId="0" fontId="45" fillId="27" borderId="30" xfId="32" applyFont="1" applyFill="1" applyBorder="1" applyAlignment="1">
      <alignment vertical="center" wrapText="1"/>
    </xf>
    <xf numFmtId="9" fontId="126" fillId="0" borderId="56" xfId="70" applyFont="1" applyFill="1" applyBorder="1" applyAlignment="1" applyProtection="1">
      <alignment horizontal="center" vertical="center"/>
    </xf>
    <xf numFmtId="9" fontId="45" fillId="0" borderId="79" xfId="70" applyFont="1" applyFill="1" applyBorder="1" applyAlignment="1" applyProtection="1">
      <alignment horizontal="center" vertical="center"/>
    </xf>
    <xf numFmtId="9" fontId="45" fillId="0" borderId="77" xfId="70" applyFont="1" applyFill="1" applyBorder="1" applyAlignment="1" applyProtection="1">
      <alignment horizontal="center" vertical="center"/>
    </xf>
    <xf numFmtId="9" fontId="45" fillId="0" borderId="78" xfId="70" applyFont="1" applyFill="1" applyBorder="1" applyAlignment="1" applyProtection="1">
      <alignment horizontal="center" vertical="center"/>
    </xf>
    <xf numFmtId="9" fontId="45" fillId="0" borderId="57" xfId="70" applyFont="1" applyFill="1" applyBorder="1" applyAlignment="1" applyProtection="1">
      <alignment horizontal="center" vertical="center"/>
    </xf>
    <xf numFmtId="9" fontId="45" fillId="0" borderId="28" xfId="70" applyFont="1" applyFill="1" applyBorder="1" applyAlignment="1" applyProtection="1">
      <alignment horizontal="center" vertical="center"/>
    </xf>
    <xf numFmtId="9" fontId="45" fillId="0" borderId="56" xfId="70" applyFont="1" applyFill="1" applyBorder="1" applyAlignment="1" applyProtection="1">
      <alignment horizontal="center" vertical="center"/>
    </xf>
    <xf numFmtId="0" fontId="45" fillId="27" borderId="30" xfId="32" applyFont="1" applyFill="1" applyBorder="1" applyAlignment="1">
      <alignment horizontal="center" vertical="center" wrapText="1"/>
    </xf>
    <xf numFmtId="3" fontId="126" fillId="26" borderId="56" xfId="32" applyNumberFormat="1" applyFont="1" applyFill="1" applyBorder="1" applyAlignment="1">
      <alignment horizontal="center" vertical="center"/>
    </xf>
    <xf numFmtId="3" fontId="45" fillId="26" borderId="56" xfId="32" applyNumberFormat="1" applyFont="1" applyFill="1" applyBorder="1" applyAlignment="1">
      <alignment horizontal="center" vertical="center"/>
    </xf>
    <xf numFmtId="3" fontId="45" fillId="26" borderId="77" xfId="32" applyNumberFormat="1" applyFont="1" applyFill="1" applyBorder="1" applyAlignment="1">
      <alignment horizontal="center" vertical="center"/>
    </xf>
    <xf numFmtId="3" fontId="45" fillId="26" borderId="57" xfId="32" applyNumberFormat="1" applyFont="1" applyFill="1" applyBorder="1" applyAlignment="1">
      <alignment horizontal="center" vertical="center"/>
    </xf>
    <xf numFmtId="0" fontId="47" fillId="31" borderId="29" xfId="32" applyFont="1" applyFill="1" applyBorder="1" applyAlignment="1">
      <alignment vertical="center" wrapText="1"/>
    </xf>
    <xf numFmtId="3" fontId="47" fillId="31" borderId="29" xfId="32" applyNumberFormat="1" applyFont="1" applyFill="1" applyBorder="1" applyAlignment="1">
      <alignment horizontal="center" vertical="center"/>
    </xf>
    <xf numFmtId="3" fontId="126" fillId="27" borderId="49" xfId="32" applyNumberFormat="1" applyFont="1" applyFill="1" applyBorder="1" applyAlignment="1">
      <alignment horizontal="center" vertical="center"/>
    </xf>
    <xf numFmtId="3" fontId="126" fillId="27" borderId="50" xfId="32" applyNumberFormat="1" applyFont="1" applyFill="1" applyBorder="1" applyAlignment="1">
      <alignment horizontal="center" vertical="center"/>
    </xf>
    <xf numFmtId="3" fontId="45" fillId="27" borderId="44" xfId="32" applyNumberFormat="1" applyFont="1" applyFill="1" applyBorder="1" applyAlignment="1">
      <alignment horizontal="center" vertical="center"/>
    </xf>
    <xf numFmtId="3" fontId="45" fillId="27" borderId="31" xfId="32" applyNumberFormat="1" applyFont="1" applyFill="1" applyBorder="1" applyAlignment="1">
      <alignment horizontal="center" vertical="center"/>
    </xf>
    <xf numFmtId="3" fontId="45" fillId="27" borderId="61" xfId="32" applyNumberFormat="1" applyFont="1" applyFill="1" applyBorder="1" applyAlignment="1">
      <alignment horizontal="center" vertical="center"/>
    </xf>
    <xf numFmtId="3" fontId="45" fillId="27" borderId="32" xfId="32" applyNumberFormat="1" applyFont="1" applyFill="1" applyBorder="1" applyAlignment="1">
      <alignment horizontal="center" vertical="center"/>
    </xf>
    <xf numFmtId="3" fontId="45" fillId="27" borderId="7" xfId="32" applyNumberFormat="1" applyFont="1" applyFill="1" applyBorder="1" applyAlignment="1">
      <alignment horizontal="center" vertical="center"/>
    </xf>
    <xf numFmtId="3" fontId="45" fillId="27" borderId="53" xfId="32" applyNumberFormat="1" applyFont="1" applyFill="1" applyBorder="1" applyAlignment="1">
      <alignment horizontal="center" vertical="center"/>
    </xf>
    <xf numFmtId="3" fontId="126" fillId="27" borderId="31" xfId="32" applyNumberFormat="1" applyFont="1" applyFill="1" applyBorder="1" applyAlignment="1">
      <alignment horizontal="center" vertical="center"/>
    </xf>
    <xf numFmtId="3" fontId="126" fillId="27" borderId="53" xfId="32" applyNumberFormat="1" applyFont="1" applyFill="1" applyBorder="1" applyAlignment="1">
      <alignment horizontal="center" vertical="center"/>
    </xf>
    <xf numFmtId="3" fontId="126" fillId="27" borderId="32" xfId="32" applyNumberFormat="1" applyFont="1" applyFill="1" applyBorder="1" applyAlignment="1">
      <alignment horizontal="center" vertical="center"/>
    </xf>
    <xf numFmtId="3" fontId="126" fillId="27" borderId="7" xfId="32" applyNumberFormat="1" applyFont="1" applyFill="1" applyBorder="1" applyAlignment="1">
      <alignment horizontal="center" vertical="center"/>
    </xf>
    <xf numFmtId="0" fontId="65" fillId="26" borderId="0" xfId="0" applyFont="1" applyFill="1" applyAlignment="1">
      <alignment horizontal="center" vertical="center"/>
    </xf>
    <xf numFmtId="0" fontId="65" fillId="26" borderId="0" xfId="0" applyFont="1" applyFill="1" applyAlignment="1">
      <alignment vertical="center"/>
    </xf>
    <xf numFmtId="3" fontId="126" fillId="27" borderId="56" xfId="32" applyNumberFormat="1" applyFont="1" applyFill="1" applyBorder="1" applyAlignment="1">
      <alignment horizontal="center" vertical="center"/>
    </xf>
    <xf numFmtId="3" fontId="126" fillId="27" borderId="48" xfId="32" applyNumberFormat="1" applyFont="1" applyFill="1" applyBorder="1" applyAlignment="1">
      <alignment horizontal="center" vertical="center"/>
    </xf>
    <xf numFmtId="3" fontId="45" fillId="27" borderId="70" xfId="32" applyNumberFormat="1" applyFont="1" applyFill="1" applyBorder="1" applyAlignment="1">
      <alignment horizontal="center" vertical="center"/>
    </xf>
    <xf numFmtId="3" fontId="45" fillId="27" borderId="71" xfId="32" applyNumberFormat="1" applyFont="1" applyFill="1" applyBorder="1" applyAlignment="1">
      <alignment horizontal="center" vertical="center"/>
    </xf>
    <xf numFmtId="3" fontId="45" fillId="27" borderId="101" xfId="32" applyNumberFormat="1" applyFont="1" applyFill="1" applyBorder="1" applyAlignment="1">
      <alignment horizontal="center" vertical="center"/>
    </xf>
    <xf numFmtId="3" fontId="47" fillId="27" borderId="30" xfId="32" applyNumberFormat="1" applyFont="1" applyFill="1" applyBorder="1" applyAlignment="1">
      <alignment horizontal="center" vertical="center"/>
    </xf>
    <xf numFmtId="3" fontId="126" fillId="27" borderId="57" xfId="32" applyNumberFormat="1" applyFont="1" applyFill="1" applyBorder="1" applyAlignment="1">
      <alignment horizontal="center" vertical="center"/>
    </xf>
    <xf numFmtId="3" fontId="126" fillId="27" borderId="79" xfId="32" applyNumberFormat="1" applyFont="1" applyFill="1" applyBorder="1" applyAlignment="1">
      <alignment horizontal="center" vertical="center"/>
    </xf>
    <xf numFmtId="3" fontId="126" fillId="27" borderId="77" xfId="32" applyNumberFormat="1" applyFont="1" applyFill="1" applyBorder="1" applyAlignment="1">
      <alignment horizontal="center" vertical="center"/>
    </xf>
    <xf numFmtId="3" fontId="126" fillId="27" borderId="47" xfId="32" applyNumberFormat="1" applyFont="1" applyFill="1" applyBorder="1" applyAlignment="1">
      <alignment horizontal="center" vertical="center"/>
    </xf>
    <xf numFmtId="3" fontId="126" fillId="27" borderId="71" xfId="32" applyNumberFormat="1" applyFont="1" applyFill="1" applyBorder="1" applyAlignment="1">
      <alignment horizontal="center" vertical="center"/>
    </xf>
    <xf numFmtId="3" fontId="131" fillId="27" borderId="0" xfId="32" applyNumberFormat="1" applyFont="1" applyFill="1" applyAlignment="1">
      <alignment horizontal="center" vertical="center" wrapText="1"/>
    </xf>
    <xf numFmtId="3" fontId="131" fillId="27" borderId="0" xfId="32" applyNumberFormat="1" applyFont="1" applyFill="1" applyAlignment="1">
      <alignment horizontal="right" vertical="center" wrapText="1"/>
    </xf>
    <xf numFmtId="0" fontId="131" fillId="27" borderId="0" xfId="32" applyFont="1" applyFill="1" applyAlignment="1">
      <alignment horizontal="center" vertical="center"/>
    </xf>
    <xf numFmtId="0" fontId="131" fillId="27" borderId="0" xfId="32" applyFont="1" applyFill="1" applyAlignment="1">
      <alignment vertical="center"/>
    </xf>
    <xf numFmtId="0" fontId="65" fillId="27" borderId="0" xfId="32" applyFont="1" applyFill="1" applyAlignment="1">
      <alignment horizontal="left" vertical="center"/>
    </xf>
    <xf numFmtId="3" fontId="45" fillId="27" borderId="33" xfId="32" applyNumberFormat="1" applyFont="1" applyFill="1" applyBorder="1" applyAlignment="1">
      <alignment horizontal="center" vertical="center"/>
    </xf>
    <xf numFmtId="0" fontId="47" fillId="31" borderId="51" xfId="0" applyFont="1" applyFill="1" applyBorder="1" applyAlignment="1">
      <alignment vertical="center" wrapText="1"/>
    </xf>
    <xf numFmtId="3" fontId="47" fillId="31" borderId="72" xfId="0" applyNumberFormat="1" applyFont="1" applyFill="1" applyBorder="1" applyAlignment="1">
      <alignment horizontal="center" vertical="center"/>
    </xf>
    <xf numFmtId="3" fontId="47" fillId="31" borderId="76" xfId="0" applyNumberFormat="1" applyFont="1" applyFill="1" applyBorder="1" applyAlignment="1">
      <alignment horizontal="center" vertical="center"/>
    </xf>
    <xf numFmtId="3" fontId="47" fillId="31" borderId="73" xfId="0" applyNumberFormat="1" applyFont="1" applyFill="1" applyBorder="1" applyAlignment="1">
      <alignment horizontal="center" vertical="center"/>
    </xf>
    <xf numFmtId="3" fontId="47" fillId="31" borderId="75" xfId="0" applyNumberFormat="1" applyFont="1" applyFill="1" applyBorder="1" applyAlignment="1">
      <alignment horizontal="center" vertical="center"/>
    </xf>
    <xf numFmtId="0" fontId="45" fillId="27" borderId="17" xfId="32" applyFont="1" applyFill="1" applyBorder="1" applyAlignment="1">
      <alignment vertical="center" wrapText="1"/>
    </xf>
    <xf numFmtId="3" fontId="45" fillId="27" borderId="52" xfId="32" applyNumberFormat="1" applyFont="1" applyFill="1" applyBorder="1" applyAlignment="1">
      <alignment horizontal="center" vertical="center"/>
    </xf>
    <xf numFmtId="0" fontId="40" fillId="27" borderId="0" xfId="32" applyFont="1" applyFill="1" applyAlignment="1">
      <alignment vertical="center" wrapText="1"/>
    </xf>
    <xf numFmtId="0" fontId="40" fillId="27" borderId="0" xfId="32" applyFont="1" applyFill="1" applyAlignment="1">
      <alignment horizontal="center" vertical="center" wrapText="1"/>
    </xf>
    <xf numFmtId="14" fontId="40" fillId="27" borderId="0" xfId="32" applyNumberFormat="1" applyFont="1" applyFill="1" applyAlignment="1">
      <alignment horizontal="left" vertical="center"/>
    </xf>
    <xf numFmtId="0" fontId="40" fillId="27" borderId="0" xfId="32" applyFont="1" applyFill="1" applyAlignment="1">
      <alignment horizontal="right" vertical="center"/>
    </xf>
    <xf numFmtId="0" fontId="45" fillId="27" borderId="0" xfId="32" applyFont="1" applyFill="1" applyAlignment="1">
      <alignment horizontal="right" vertical="center" wrapText="1"/>
    </xf>
    <xf numFmtId="3" fontId="47" fillId="27" borderId="0" xfId="32" applyNumberFormat="1" applyFont="1" applyFill="1" applyAlignment="1">
      <alignment horizontal="center" vertical="center" wrapText="1"/>
    </xf>
    <xf numFmtId="3" fontId="40" fillId="27" borderId="0" xfId="32" applyNumberFormat="1" applyFont="1" applyFill="1" applyAlignment="1">
      <alignment horizontal="right" vertical="center" wrapText="1"/>
    </xf>
    <xf numFmtId="0" fontId="40" fillId="27" borderId="0" xfId="32" applyFont="1" applyFill="1" applyAlignment="1">
      <alignment horizontal="center" vertical="center"/>
    </xf>
    <xf numFmtId="0" fontId="42" fillId="27" borderId="0" xfId="32" applyFont="1" applyFill="1" applyAlignment="1">
      <alignment horizontal="center" vertical="center"/>
    </xf>
    <xf numFmtId="0" fontId="47" fillId="27" borderId="0" xfId="32" applyFont="1" applyFill="1" applyAlignment="1">
      <alignment horizontal="center" vertical="center"/>
    </xf>
    <xf numFmtId="0" fontId="45" fillId="0" borderId="17" xfId="32" applyFont="1" applyBorder="1" applyAlignment="1">
      <alignment vertical="center" wrapText="1"/>
    </xf>
    <xf numFmtId="3" fontId="45" fillId="0" borderId="44" xfId="32" applyNumberFormat="1" applyFont="1" applyBorder="1" applyAlignment="1">
      <alignment horizontal="center" vertical="center"/>
    </xf>
    <xf numFmtId="3" fontId="45" fillId="0" borderId="50" xfId="32" applyNumberFormat="1" applyFont="1" applyBorder="1" applyAlignment="1">
      <alignment horizontal="center" vertical="center"/>
    </xf>
    <xf numFmtId="3" fontId="45" fillId="0" borderId="31" xfId="32" applyNumberFormat="1" applyFont="1" applyBorder="1" applyAlignment="1">
      <alignment horizontal="center" vertical="center"/>
    </xf>
    <xf numFmtId="3" fontId="47" fillId="0" borderId="24" xfId="32" applyNumberFormat="1" applyFont="1" applyBorder="1" applyAlignment="1">
      <alignment horizontal="center" vertical="center"/>
    </xf>
    <xf numFmtId="3" fontId="45" fillId="0" borderId="49" xfId="32" applyNumberFormat="1" applyFont="1" applyBorder="1" applyAlignment="1">
      <alignment horizontal="center" vertical="center"/>
    </xf>
    <xf numFmtId="0" fontId="45" fillId="0" borderId="21" xfId="32" applyFont="1" applyBorder="1" applyAlignment="1">
      <alignment vertical="center" wrapText="1"/>
    </xf>
    <xf numFmtId="3" fontId="45" fillId="0" borderId="70" xfId="32" applyNumberFormat="1" applyFont="1" applyBorder="1" applyAlignment="1">
      <alignment horizontal="center" vertical="center"/>
    </xf>
    <xf numFmtId="3" fontId="45" fillId="0" borderId="57" xfId="32" applyNumberFormat="1" applyFont="1" applyBorder="1" applyAlignment="1">
      <alignment horizontal="center" vertical="center"/>
    </xf>
    <xf numFmtId="3" fontId="45" fillId="0" borderId="79" xfId="32" applyNumberFormat="1" applyFont="1" applyBorder="1" applyAlignment="1">
      <alignment horizontal="center" vertical="center"/>
    </xf>
    <xf numFmtId="3" fontId="45" fillId="0" borderId="77" xfId="32" applyNumberFormat="1" applyFont="1" applyBorder="1" applyAlignment="1">
      <alignment horizontal="center" vertical="center"/>
    </xf>
    <xf numFmtId="3" fontId="45" fillId="0" borderId="56" xfId="32" applyNumberFormat="1" applyFont="1" applyBorder="1" applyAlignment="1">
      <alignment horizontal="center" vertical="center"/>
    </xf>
    <xf numFmtId="3" fontId="45" fillId="27" borderId="0" xfId="32" applyNumberFormat="1" applyFont="1" applyFill="1" applyAlignment="1">
      <alignment vertical="center" wrapText="1"/>
    </xf>
    <xf numFmtId="0" fontId="47" fillId="31" borderId="29" xfId="0" applyFont="1" applyFill="1" applyBorder="1" applyAlignment="1">
      <alignment vertical="center" wrapText="1"/>
    </xf>
    <xf numFmtId="3" fontId="47" fillId="31" borderId="74" xfId="0" applyNumberFormat="1" applyFont="1" applyFill="1" applyBorder="1" applyAlignment="1">
      <alignment horizontal="center" vertical="center"/>
    </xf>
    <xf numFmtId="3" fontId="57" fillId="27" borderId="52" xfId="32" applyNumberFormat="1" applyFont="1" applyFill="1" applyBorder="1" applyAlignment="1">
      <alignment horizontal="center" vertical="center"/>
    </xf>
    <xf numFmtId="3" fontId="57" fillId="27" borderId="53" xfId="32" applyNumberFormat="1" applyFont="1" applyFill="1" applyBorder="1" applyAlignment="1">
      <alignment horizontal="center" vertical="center"/>
    </xf>
    <xf numFmtId="3" fontId="57" fillId="27" borderId="32" xfId="32" applyNumberFormat="1" applyFont="1" applyFill="1" applyBorder="1" applyAlignment="1">
      <alignment horizontal="center" vertical="center"/>
    </xf>
    <xf numFmtId="3" fontId="57" fillId="27" borderId="7" xfId="32" applyNumberFormat="1" applyFont="1" applyFill="1" applyBorder="1" applyAlignment="1">
      <alignment horizontal="center" vertical="center"/>
    </xf>
    <xf numFmtId="3" fontId="57" fillId="27" borderId="62" xfId="32" applyNumberFormat="1" applyFont="1" applyFill="1" applyBorder="1" applyAlignment="1">
      <alignment horizontal="center" vertical="center"/>
    </xf>
    <xf numFmtId="0" fontId="45" fillId="27" borderId="5" xfId="32" applyFont="1" applyFill="1" applyBorder="1" applyAlignment="1">
      <alignment vertical="center" wrapText="1"/>
    </xf>
    <xf numFmtId="3" fontId="45" fillId="27" borderId="49" xfId="32" applyNumberFormat="1" applyFont="1" applyFill="1" applyBorder="1" applyAlignment="1">
      <alignment horizontal="center" vertical="center"/>
    </xf>
    <xf numFmtId="3" fontId="45" fillId="27" borderId="50" xfId="32" applyNumberFormat="1" applyFont="1" applyFill="1" applyBorder="1" applyAlignment="1">
      <alignment horizontal="center" vertical="center"/>
    </xf>
    <xf numFmtId="0" fontId="45" fillId="27" borderId="21" xfId="32" applyFont="1" applyFill="1" applyBorder="1" applyAlignment="1">
      <alignment vertical="center" wrapText="1"/>
    </xf>
    <xf numFmtId="3" fontId="57" fillId="27" borderId="56" xfId="32" applyNumberFormat="1" applyFont="1" applyFill="1" applyBorder="1" applyAlignment="1">
      <alignment horizontal="center" vertical="center"/>
    </xf>
    <xf numFmtId="3" fontId="57" fillId="27" borderId="57" xfId="32" applyNumberFormat="1" applyFont="1" applyFill="1" applyBorder="1" applyAlignment="1">
      <alignment horizontal="center" vertical="center"/>
    </xf>
    <xf numFmtId="3" fontId="57" fillId="27" borderId="79" xfId="32" applyNumberFormat="1" applyFont="1" applyFill="1" applyBorder="1" applyAlignment="1">
      <alignment horizontal="center" vertical="center"/>
    </xf>
    <xf numFmtId="3" fontId="57" fillId="27" borderId="77" xfId="32" applyNumberFormat="1" applyFont="1" applyFill="1" applyBorder="1" applyAlignment="1">
      <alignment horizontal="center" vertical="center"/>
    </xf>
    <xf numFmtId="3" fontId="45" fillId="27" borderId="56" xfId="32" applyNumberFormat="1" applyFont="1" applyFill="1" applyBorder="1" applyAlignment="1">
      <alignment horizontal="center" vertical="center"/>
    </xf>
    <xf numFmtId="3" fontId="45" fillId="27" borderId="57" xfId="32" applyNumberFormat="1" applyFont="1" applyFill="1" applyBorder="1" applyAlignment="1">
      <alignment horizontal="center" vertical="center"/>
    </xf>
    <xf numFmtId="3" fontId="45" fillId="27" borderId="79" xfId="32" applyNumberFormat="1" applyFont="1" applyFill="1" applyBorder="1" applyAlignment="1">
      <alignment horizontal="center" vertical="center"/>
    </xf>
    <xf numFmtId="3" fontId="45" fillId="27" borderId="77" xfId="32" applyNumberFormat="1" applyFont="1" applyFill="1" applyBorder="1" applyAlignment="1">
      <alignment horizontal="center" vertical="center"/>
    </xf>
    <xf numFmtId="0" fontId="84" fillId="26" borderId="0" xfId="0" applyFont="1" applyFill="1" applyAlignment="1">
      <alignment vertical="center"/>
    </xf>
    <xf numFmtId="0" fontId="45" fillId="26" borderId="0" xfId="0" applyFont="1" applyFill="1" applyAlignment="1">
      <alignment vertical="center"/>
    </xf>
    <xf numFmtId="0" fontId="84" fillId="26" borderId="0" xfId="0" applyFont="1" applyFill="1" applyAlignment="1">
      <alignment horizontal="center" vertical="center"/>
    </xf>
    <xf numFmtId="14" fontId="21" fillId="26" borderId="0" xfId="0" applyNumberFormat="1" applyFont="1" applyFill="1" applyAlignment="1">
      <alignment horizontal="left" vertical="center"/>
    </xf>
    <xf numFmtId="0" fontId="47" fillId="26" borderId="0" xfId="0" applyFont="1" applyFill="1" applyAlignment="1">
      <alignment horizontal="right" vertical="center"/>
    </xf>
    <xf numFmtId="0" fontId="45" fillId="26" borderId="0" xfId="0" applyFont="1" applyFill="1" applyAlignment="1">
      <alignment horizontal="center" vertical="center"/>
    </xf>
    <xf numFmtId="14" fontId="47" fillId="0" borderId="0" xfId="0" applyNumberFormat="1" applyFont="1" applyAlignment="1">
      <alignment vertical="center"/>
    </xf>
    <xf numFmtId="14" fontId="57" fillId="26" borderId="0" xfId="0" applyNumberFormat="1" applyFont="1" applyFill="1" applyAlignment="1">
      <alignment horizontal="center" vertical="center"/>
    </xf>
    <xf numFmtId="0" fontId="126" fillId="26" borderId="0" xfId="0" applyFont="1" applyFill="1" applyAlignment="1">
      <alignment vertical="center"/>
    </xf>
    <xf numFmtId="0" fontId="45" fillId="26" borderId="0" xfId="0" applyFont="1" applyFill="1" applyAlignment="1">
      <alignment vertical="center" wrapText="1"/>
    </xf>
    <xf numFmtId="0" fontId="47" fillId="27" borderId="0" xfId="0" applyFont="1" applyFill="1" applyAlignment="1">
      <alignment horizontal="left" vertical="center"/>
    </xf>
    <xf numFmtId="0" fontId="65" fillId="27" borderId="0" xfId="0" applyFont="1" applyFill="1" applyAlignment="1">
      <alignment horizontal="left" vertical="center"/>
    </xf>
    <xf numFmtId="0" fontId="84" fillId="27" borderId="0" xfId="0" applyFont="1" applyFill="1" applyAlignment="1">
      <alignment vertical="center"/>
    </xf>
    <xf numFmtId="49" fontId="65" fillId="26" borderId="0" xfId="0" applyNumberFormat="1" applyFont="1" applyFill="1" applyAlignment="1">
      <alignment horizontal="right" vertical="center"/>
    </xf>
    <xf numFmtId="0" fontId="126" fillId="26" borderId="0" xfId="0" applyFont="1" applyFill="1" applyAlignment="1">
      <alignment horizontal="left" vertical="center"/>
    </xf>
    <xf numFmtId="0" fontId="84" fillId="27" borderId="0" xfId="0" applyFont="1" applyFill="1" applyAlignment="1">
      <alignment vertical="center" wrapText="1"/>
    </xf>
    <xf numFmtId="0" fontId="45" fillId="26" borderId="0" xfId="0" applyFont="1" applyFill="1" applyAlignment="1">
      <alignment horizontal="left" vertical="center"/>
    </xf>
    <xf numFmtId="0" fontId="57" fillId="26" borderId="0" xfId="0" applyFont="1" applyFill="1" applyAlignment="1">
      <alignment horizontal="left" vertical="center"/>
    </xf>
    <xf numFmtId="49" fontId="45" fillId="26" borderId="0" xfId="0" applyNumberFormat="1" applyFont="1" applyFill="1" applyAlignment="1">
      <alignment horizontal="left" vertical="center"/>
    </xf>
    <xf numFmtId="0" fontId="20" fillId="0" borderId="0" xfId="31" applyFont="1" applyAlignment="1">
      <alignment vertical="center"/>
    </xf>
    <xf numFmtId="0" fontId="49" fillId="0" borderId="0" xfId="31" applyFont="1" applyAlignment="1">
      <alignment vertical="center"/>
    </xf>
    <xf numFmtId="0" fontId="40" fillId="37" borderId="56" xfId="31" applyFont="1" applyFill="1" applyBorder="1" applyAlignment="1">
      <alignment horizontal="center" vertical="center"/>
    </xf>
    <xf numFmtId="0" fontId="40" fillId="37" borderId="77" xfId="31" applyFont="1" applyFill="1" applyBorder="1" applyAlignment="1">
      <alignment horizontal="center" vertical="center"/>
    </xf>
    <xf numFmtId="0" fontId="40" fillId="37" borderId="57" xfId="31" applyFont="1" applyFill="1" applyBorder="1" applyAlignment="1">
      <alignment horizontal="center" vertical="center"/>
    </xf>
    <xf numFmtId="0" fontId="40" fillId="37" borderId="79" xfId="31" applyFont="1" applyFill="1" applyBorder="1" applyAlignment="1">
      <alignment horizontal="center" vertical="center"/>
    </xf>
    <xf numFmtId="49" fontId="40" fillId="0" borderId="75" xfId="31" applyNumberFormat="1" applyFont="1" applyBorder="1" applyAlignment="1">
      <alignment horizontal="center" vertical="center"/>
    </xf>
    <xf numFmtId="0" fontId="40" fillId="24" borderId="74" xfId="31" applyFont="1" applyFill="1" applyBorder="1" applyAlignment="1">
      <alignment horizontal="center" vertical="center"/>
    </xf>
    <xf numFmtId="49" fontId="41" fillId="0" borderId="52" xfId="31" applyNumberFormat="1" applyFont="1" applyBorder="1" applyAlignment="1">
      <alignment horizontal="center" vertical="center"/>
    </xf>
    <xf numFmtId="0" fontId="42" fillId="0" borderId="62" xfId="31" applyFont="1" applyBorder="1" applyAlignment="1">
      <alignment horizontal="right" vertical="center"/>
    </xf>
    <xf numFmtId="49" fontId="41" fillId="0" borderId="56" xfId="31" applyNumberFormat="1" applyFont="1" applyBorder="1" applyAlignment="1">
      <alignment horizontal="center" vertical="center"/>
    </xf>
    <xf numFmtId="0" fontId="42" fillId="0" borderId="78" xfId="31" applyFont="1" applyBorder="1" applyAlignment="1">
      <alignment horizontal="right" vertical="center"/>
    </xf>
    <xf numFmtId="0" fontId="41" fillId="0" borderId="0" xfId="31" applyFont="1" applyAlignment="1">
      <alignment vertical="center"/>
    </xf>
    <xf numFmtId="3" fontId="40" fillId="0" borderId="0" xfId="31" applyNumberFormat="1" applyFont="1" applyAlignment="1">
      <alignment vertical="center"/>
    </xf>
    <xf numFmtId="3" fontId="40" fillId="24" borderId="73" xfId="31" applyNumberFormat="1" applyFont="1" applyFill="1" applyBorder="1" applyAlignment="1">
      <alignment horizontal="center" vertical="center"/>
    </xf>
    <xf numFmtId="3" fontId="40" fillId="24" borderId="76" xfId="31" applyNumberFormat="1" applyFont="1" applyFill="1" applyBorder="1" applyAlignment="1">
      <alignment horizontal="center" vertical="center"/>
    </xf>
    <xf numFmtId="3" fontId="40" fillId="24" borderId="74" xfId="31" applyNumberFormat="1" applyFont="1" applyFill="1" applyBorder="1" applyAlignment="1">
      <alignment horizontal="center" vertical="center"/>
    </xf>
    <xf numFmtId="49" fontId="21" fillId="0" borderId="52" xfId="31" applyNumberFormat="1" applyFont="1" applyBorder="1" applyAlignment="1">
      <alignment horizontal="center" vertical="center"/>
    </xf>
    <xf numFmtId="0" fontId="40" fillId="26" borderId="62" xfId="31" applyFont="1" applyFill="1" applyBorder="1" applyAlignment="1">
      <alignment horizontal="center" vertical="center"/>
    </xf>
    <xf numFmtId="49" fontId="43" fillId="0" borderId="52" xfId="31" applyNumberFormat="1" applyFont="1" applyBorder="1" applyAlignment="1">
      <alignment horizontal="center" vertical="center"/>
    </xf>
    <xf numFmtId="49" fontId="43" fillId="43" borderId="52" xfId="31" applyNumberFormat="1" applyFont="1" applyFill="1" applyBorder="1" applyAlignment="1">
      <alignment horizontal="center" vertical="center"/>
    </xf>
    <xf numFmtId="0" fontId="42" fillId="43" borderId="62" xfId="31" applyFont="1" applyFill="1" applyBorder="1" applyAlignment="1">
      <alignment horizontal="right" vertical="center"/>
    </xf>
    <xf numFmtId="49" fontId="79" fillId="0" borderId="38" xfId="0" applyNumberFormat="1" applyFont="1" applyBorder="1" applyAlignment="1">
      <alignment horizontal="center" vertical="center"/>
    </xf>
    <xf numFmtId="0" fontId="95" fillId="26" borderId="60" xfId="31" applyFont="1" applyFill="1" applyBorder="1" applyAlignment="1">
      <alignment vertical="center" wrapText="1"/>
    </xf>
    <xf numFmtId="0" fontId="95" fillId="0" borderId="0" xfId="31" applyFont="1" applyAlignment="1">
      <alignment vertical="center" wrapText="1"/>
    </xf>
    <xf numFmtId="49" fontId="12" fillId="26" borderId="38" xfId="0" applyNumberFormat="1" applyFont="1" applyFill="1" applyBorder="1" applyAlignment="1">
      <alignment horizontal="center" vertical="center"/>
    </xf>
    <xf numFmtId="3" fontId="41" fillId="0" borderId="9" xfId="21" applyNumberFormat="1" applyFont="1" applyFill="1" applyBorder="1">
      <alignment horizontal="center" vertical="center" wrapText="1"/>
    </xf>
    <xf numFmtId="3" fontId="41" fillId="0" borderId="60" xfId="21" applyNumberFormat="1" applyFont="1" applyFill="1" applyBorder="1">
      <alignment horizontal="center" vertical="center" wrapText="1"/>
    </xf>
    <xf numFmtId="3" fontId="41" fillId="0" borderId="10" xfId="21" applyNumberFormat="1" applyFont="1" applyFill="1" applyBorder="1">
      <alignment horizontal="center" vertical="center" wrapText="1"/>
    </xf>
    <xf numFmtId="0" fontId="40" fillId="0" borderId="0" xfId="0" applyFont="1" applyAlignment="1">
      <alignment vertical="center"/>
    </xf>
    <xf numFmtId="49" fontId="12" fillId="0" borderId="75" xfId="0" applyNumberFormat="1" applyFont="1" applyBorder="1" applyAlignment="1">
      <alignment horizontal="center" vertical="center"/>
    </xf>
    <xf numFmtId="49" fontId="12" fillId="0" borderId="52" xfId="0" applyNumberFormat="1" applyFont="1" applyBorder="1" applyAlignment="1">
      <alignment horizontal="center" vertical="center"/>
    </xf>
    <xf numFmtId="3" fontId="41" fillId="0" borderId="7" xfId="21" applyNumberFormat="1" applyFont="1" applyFill="1" applyBorder="1">
      <alignment horizontal="center" vertical="center" wrapText="1"/>
    </xf>
    <xf numFmtId="3" fontId="41" fillId="0" borderId="53" xfId="21" applyNumberFormat="1" applyFont="1" applyFill="1" applyBorder="1">
      <alignment horizontal="center" vertical="center" wrapText="1"/>
    </xf>
    <xf numFmtId="3" fontId="41" fillId="0" borderId="62" xfId="21" applyNumberFormat="1" applyFont="1" applyFill="1" applyBorder="1">
      <alignment horizontal="center" vertical="center" wrapText="1"/>
    </xf>
    <xf numFmtId="49" fontId="12" fillId="0" borderId="38" xfId="0" applyNumberFormat="1" applyFont="1" applyBorder="1" applyAlignment="1">
      <alignment horizontal="center" vertical="center"/>
    </xf>
    <xf numFmtId="49" fontId="12" fillId="0" borderId="66" xfId="0" applyNumberFormat="1" applyFont="1" applyBorder="1" applyAlignment="1">
      <alignment horizontal="center" vertical="center"/>
    </xf>
    <xf numFmtId="49" fontId="41" fillId="29" borderId="1" xfId="49" applyNumberFormat="1" applyFont="1" applyFill="1" applyBorder="1" applyAlignment="1">
      <alignment horizontal="right" vertical="center"/>
    </xf>
    <xf numFmtId="174" fontId="40" fillId="37" borderId="56" xfId="31" applyNumberFormat="1" applyFont="1" applyFill="1" applyBorder="1" applyAlignment="1">
      <alignment horizontal="center" vertical="center"/>
    </xf>
    <xf numFmtId="174" fontId="40" fillId="37" borderId="77" xfId="31" applyNumberFormat="1" applyFont="1" applyFill="1" applyBorder="1" applyAlignment="1">
      <alignment horizontal="center" vertical="center"/>
    </xf>
    <xf numFmtId="174" fontId="40" fillId="37" borderId="57" xfId="31" applyNumberFormat="1" applyFont="1" applyFill="1" applyBorder="1" applyAlignment="1">
      <alignment horizontal="center" vertical="center"/>
    </xf>
    <xf numFmtId="174" fontId="40" fillId="37" borderId="79" xfId="31" applyNumberFormat="1" applyFont="1" applyFill="1" applyBorder="1" applyAlignment="1">
      <alignment horizontal="center" vertical="center"/>
    </xf>
    <xf numFmtId="49" fontId="41" fillId="0" borderId="33" xfId="27" applyFont="1" applyFill="1" applyBorder="1" applyAlignment="1">
      <alignment vertical="center" wrapText="1"/>
    </xf>
    <xf numFmtId="3" fontId="12" fillId="26" borderId="52" xfId="32" applyNumberFormat="1" applyFont="1" applyFill="1" applyBorder="1" applyAlignment="1">
      <alignment horizontal="center" vertical="center"/>
    </xf>
    <xf numFmtId="49" fontId="41" fillId="0" borderId="23" xfId="27" applyFont="1" applyFill="1" applyBorder="1" applyAlignment="1">
      <alignment vertical="center" wrapText="1"/>
    </xf>
    <xf numFmtId="3" fontId="12" fillId="26" borderId="7" xfId="32" applyNumberFormat="1" applyFont="1" applyFill="1" applyBorder="1" applyAlignment="1">
      <alignment horizontal="center" vertical="center"/>
    </xf>
    <xf numFmtId="3" fontId="12" fillId="26" borderId="53" xfId="32" applyNumberFormat="1" applyFont="1" applyFill="1" applyBorder="1" applyAlignment="1">
      <alignment horizontal="center" vertical="center"/>
    </xf>
    <xf numFmtId="10" fontId="41" fillId="26" borderId="15" xfId="70" applyNumberFormat="1" applyFont="1" applyFill="1" applyBorder="1" applyAlignment="1" applyProtection="1">
      <alignment horizontal="right" vertical="center" wrapText="1"/>
    </xf>
    <xf numFmtId="10" fontId="41" fillId="0" borderId="52" xfId="70" applyNumberFormat="1" applyFont="1" applyFill="1" applyBorder="1" applyAlignment="1" applyProtection="1">
      <alignment horizontal="right" vertical="center" wrapText="1"/>
    </xf>
    <xf numFmtId="10" fontId="41" fillId="0" borderId="7" xfId="70" applyNumberFormat="1" applyFont="1" applyFill="1" applyBorder="1" applyAlignment="1" applyProtection="1">
      <alignment horizontal="right" vertical="center" wrapText="1"/>
    </xf>
    <xf numFmtId="10" fontId="41" fillId="0" borderId="53" xfId="70" applyNumberFormat="1" applyFont="1" applyFill="1" applyBorder="1" applyAlignment="1" applyProtection="1">
      <alignment horizontal="right" vertical="center" wrapText="1"/>
    </xf>
    <xf numFmtId="38" fontId="41" fillId="0" borderId="52" xfId="28" applyFont="1" applyFill="1" applyBorder="1">
      <alignment horizontal="right" vertical="center" wrapText="1"/>
    </xf>
    <xf numFmtId="38" fontId="41" fillId="0" borderId="7" xfId="28" applyFont="1" applyFill="1" applyBorder="1">
      <alignment horizontal="right" vertical="center" wrapText="1"/>
    </xf>
    <xf numFmtId="38" fontId="41" fillId="0" borderId="53" xfId="28" applyFont="1" applyFill="1" applyBorder="1">
      <alignment horizontal="right" vertical="center" wrapText="1"/>
    </xf>
    <xf numFmtId="174" fontId="40" fillId="37" borderId="69" xfId="31" applyNumberFormat="1" applyFont="1" applyFill="1" applyBorder="1" applyAlignment="1">
      <alignment horizontal="center" vertical="center"/>
    </xf>
    <xf numFmtId="174" fontId="40" fillId="37" borderId="63" xfId="31" applyNumberFormat="1" applyFont="1" applyFill="1" applyBorder="1" applyAlignment="1">
      <alignment horizontal="center" vertical="center"/>
    </xf>
    <xf numFmtId="174" fontId="40" fillId="37" borderId="55" xfId="31" applyNumberFormat="1" applyFont="1" applyFill="1" applyBorder="1" applyAlignment="1">
      <alignment horizontal="center" vertical="center"/>
    </xf>
    <xf numFmtId="10" fontId="41" fillId="0" borderId="32" xfId="70" applyNumberFormat="1" applyFont="1" applyFill="1" applyBorder="1" applyAlignment="1" applyProtection="1">
      <alignment horizontal="right" vertical="center" wrapText="1"/>
    </xf>
    <xf numFmtId="38" fontId="41" fillId="0" borderId="32" xfId="28" applyFont="1" applyFill="1" applyBorder="1">
      <alignment horizontal="right" vertical="center" wrapText="1"/>
    </xf>
    <xf numFmtId="38" fontId="41" fillId="0" borderId="54" xfId="28" applyFont="1" applyFill="1" applyBorder="1">
      <alignment horizontal="right" vertical="center" wrapText="1"/>
    </xf>
    <xf numFmtId="38" fontId="41" fillId="0" borderId="63" xfId="28" applyFont="1" applyFill="1" applyBorder="1">
      <alignment horizontal="right" vertical="center" wrapText="1"/>
    </xf>
    <xf numFmtId="38" fontId="41" fillId="0" borderId="55" xfId="28" applyFont="1" applyFill="1" applyBorder="1">
      <alignment horizontal="right" vertical="center" wrapText="1"/>
    </xf>
    <xf numFmtId="38" fontId="41" fillId="0" borderId="69" xfId="28" applyFont="1" applyFill="1" applyBorder="1">
      <alignment horizontal="right" vertical="center" wrapText="1"/>
    </xf>
    <xf numFmtId="49" fontId="41" fillId="0" borderId="28" xfId="27" applyFont="1" applyFill="1" applyBorder="1" applyAlignment="1">
      <alignment vertical="center" wrapText="1"/>
    </xf>
    <xf numFmtId="38" fontId="41" fillId="0" borderId="56" xfId="28" applyFont="1" applyFill="1" applyBorder="1">
      <alignment horizontal="right" vertical="center" wrapText="1"/>
    </xf>
    <xf numFmtId="38" fontId="41" fillId="0" borderId="77" xfId="28" applyFont="1" applyFill="1" applyBorder="1">
      <alignment horizontal="right" vertical="center" wrapText="1"/>
    </xf>
    <xf numFmtId="38" fontId="41" fillId="0" borderId="57" xfId="28" applyFont="1" applyFill="1" applyBorder="1">
      <alignment horizontal="right" vertical="center" wrapText="1"/>
    </xf>
    <xf numFmtId="174" fontId="40" fillId="37" borderId="56" xfId="31" applyNumberFormat="1" applyFont="1" applyFill="1" applyBorder="1" applyAlignment="1">
      <alignment vertical="center"/>
    </xf>
    <xf numFmtId="174" fontId="40" fillId="37" borderId="77" xfId="31" applyNumberFormat="1" applyFont="1" applyFill="1" applyBorder="1" applyAlignment="1">
      <alignment vertical="center"/>
    </xf>
    <xf numFmtId="174" fontId="40" fillId="37" borderId="57" xfId="31" applyNumberFormat="1" applyFont="1" applyFill="1" applyBorder="1" applyAlignment="1">
      <alignment vertical="center"/>
    </xf>
    <xf numFmtId="9" fontId="12" fillId="26" borderId="7" xfId="70" applyFont="1" applyFill="1" applyBorder="1" applyAlignment="1" applyProtection="1">
      <alignment horizontal="center" vertical="center"/>
    </xf>
    <xf numFmtId="9" fontId="12" fillId="26" borderId="53" xfId="70" applyFont="1" applyFill="1" applyBorder="1" applyAlignment="1" applyProtection="1">
      <alignment horizontal="center" vertical="center"/>
    </xf>
    <xf numFmtId="9" fontId="12" fillId="26" borderId="77" xfId="70" applyFont="1" applyFill="1" applyBorder="1" applyAlignment="1" applyProtection="1">
      <alignment horizontal="center" vertical="center"/>
    </xf>
    <xf numFmtId="9" fontId="12" fillId="26" borderId="57" xfId="70" applyFont="1" applyFill="1" applyBorder="1" applyAlignment="1" applyProtection="1">
      <alignment horizontal="center" vertical="center"/>
    </xf>
    <xf numFmtId="9" fontId="12" fillId="26" borderId="31" xfId="70" applyFont="1" applyFill="1" applyBorder="1" applyAlignment="1" applyProtection="1">
      <alignment horizontal="center" vertical="center"/>
    </xf>
    <xf numFmtId="9" fontId="12" fillId="26" borderId="50" xfId="70" applyFont="1" applyFill="1" applyBorder="1" applyAlignment="1" applyProtection="1">
      <alignment horizontal="center" vertical="center"/>
    </xf>
    <xf numFmtId="0" fontId="40" fillId="0" borderId="0" xfId="31" applyFont="1" applyAlignment="1">
      <alignment horizontal="right" vertical="center"/>
    </xf>
    <xf numFmtId="14" fontId="21" fillId="0" borderId="0" xfId="31" applyNumberFormat="1" applyFont="1" applyAlignment="1">
      <alignment vertical="center"/>
    </xf>
    <xf numFmtId="0" fontId="21" fillId="26" borderId="0" xfId="0" applyFont="1" applyFill="1" applyAlignment="1">
      <alignment horizontal="left" vertical="center"/>
    </xf>
    <xf numFmtId="49" fontId="12" fillId="0" borderId="0" xfId="0" applyNumberFormat="1" applyFont="1" applyAlignment="1">
      <alignment horizontal="right" vertical="center"/>
    </xf>
    <xf numFmtId="0" fontId="36" fillId="0" borderId="0" xfId="0" applyFont="1" applyAlignment="1">
      <alignment horizontal="center" vertical="center"/>
    </xf>
    <xf numFmtId="49" fontId="21" fillId="0" borderId="0" xfId="0" applyNumberFormat="1" applyFont="1" applyAlignment="1">
      <alignment horizontal="right" vertical="center"/>
    </xf>
    <xf numFmtId="168" fontId="12" fillId="27" borderId="0" xfId="49" applyNumberFormat="1" applyFont="1" applyFill="1" applyAlignment="1">
      <alignment vertical="center" wrapText="1"/>
    </xf>
    <xf numFmtId="0" fontId="16" fillId="27" borderId="0" xfId="49" applyFont="1" applyFill="1" applyAlignment="1">
      <alignment vertical="center" wrapText="1"/>
    </xf>
    <xf numFmtId="0" fontId="52" fillId="27" borderId="0" xfId="49" applyFont="1" applyFill="1" applyAlignment="1">
      <alignment vertical="center" wrapText="1"/>
    </xf>
    <xf numFmtId="0" fontId="21" fillId="27" borderId="0" xfId="49" applyFont="1" applyFill="1" applyAlignment="1">
      <alignment vertical="center" wrapText="1"/>
    </xf>
    <xf numFmtId="1" fontId="40" fillId="38" borderId="1" xfId="21" applyFont="1" applyFill="1" applyBorder="1">
      <alignment horizontal="center" vertical="center" wrapText="1"/>
    </xf>
    <xf numFmtId="1" fontId="40" fillId="38" borderId="38" xfId="21" applyFont="1" applyFill="1" applyBorder="1">
      <alignment horizontal="center" vertical="center" wrapText="1"/>
    </xf>
    <xf numFmtId="1" fontId="40" fillId="38" borderId="9" xfId="21" applyFont="1" applyFill="1" applyBorder="1">
      <alignment horizontal="center" vertical="center" wrapText="1"/>
    </xf>
    <xf numFmtId="1" fontId="40" fillId="38" borderId="10" xfId="21" applyFont="1" applyFill="1" applyBorder="1">
      <alignment horizontal="center" vertical="center" wrapText="1"/>
    </xf>
    <xf numFmtId="1" fontId="40" fillId="38" borderId="65" xfId="21" applyFont="1" applyFill="1" applyBorder="1">
      <alignment horizontal="center" vertical="center" wrapText="1"/>
    </xf>
    <xf numFmtId="1" fontId="40" fillId="38" borderId="2" xfId="21" applyFont="1" applyFill="1" applyBorder="1">
      <alignment horizontal="center" vertical="center" wrapText="1"/>
    </xf>
    <xf numFmtId="0" fontId="40" fillId="32" borderId="42" xfId="49" applyFont="1" applyFill="1" applyBorder="1" applyAlignment="1">
      <alignment horizontal="center" vertical="center" wrapText="1"/>
    </xf>
    <xf numFmtId="0" fontId="40" fillId="32" borderId="34" xfId="49" applyFont="1" applyFill="1" applyBorder="1" applyAlignment="1">
      <alignment horizontal="left" vertical="center" wrapText="1"/>
    </xf>
    <xf numFmtId="0" fontId="40" fillId="32" borderId="2" xfId="49" applyFont="1" applyFill="1" applyBorder="1" applyAlignment="1">
      <alignment horizontal="center" vertical="center" wrapText="1"/>
    </xf>
    <xf numFmtId="0" fontId="40" fillId="32" borderId="65" xfId="49" applyFont="1" applyFill="1" applyBorder="1" applyAlignment="1">
      <alignment horizontal="left" vertical="center" wrapText="1"/>
    </xf>
    <xf numFmtId="0" fontId="40" fillId="32" borderId="9" xfId="49" applyFont="1" applyFill="1" applyBorder="1" applyAlignment="1">
      <alignment horizontal="left" vertical="center" wrapText="1"/>
    </xf>
    <xf numFmtId="3" fontId="40" fillId="32" borderId="9" xfId="49" applyNumberFormat="1" applyFont="1" applyFill="1" applyBorder="1" applyAlignment="1">
      <alignment horizontal="left" vertical="center" wrapText="1"/>
    </xf>
    <xf numFmtId="0" fontId="40" fillId="32" borderId="10" xfId="49" applyFont="1" applyFill="1" applyBorder="1" applyAlignment="1">
      <alignment horizontal="left" vertical="center" wrapText="1"/>
    </xf>
    <xf numFmtId="0" fontId="40" fillId="32" borderId="34" xfId="49" applyFont="1" applyFill="1" applyBorder="1" applyAlignment="1">
      <alignment horizontal="center" vertical="center" wrapText="1"/>
    </xf>
    <xf numFmtId="0" fontId="40" fillId="32" borderId="38" xfId="49" applyFont="1" applyFill="1" applyBorder="1" applyAlignment="1">
      <alignment horizontal="left" vertical="center" wrapText="1"/>
    </xf>
    <xf numFmtId="0" fontId="73" fillId="27" borderId="0" xfId="49" applyFont="1" applyFill="1" applyAlignment="1">
      <alignment vertical="center" wrapText="1"/>
    </xf>
    <xf numFmtId="168" fontId="94" fillId="27" borderId="88" xfId="49" applyNumberFormat="1" applyFont="1" applyFill="1" applyBorder="1" applyAlignment="1">
      <alignment horizontal="center" vertical="center" wrapText="1"/>
    </xf>
    <xf numFmtId="49" fontId="40" fillId="24" borderId="1" xfId="49" applyNumberFormat="1" applyFont="1" applyFill="1" applyBorder="1" applyAlignment="1">
      <alignment horizontal="center" vertical="center" wrapText="1"/>
    </xf>
    <xf numFmtId="49" fontId="40" fillId="24" borderId="1" xfId="49" applyNumberFormat="1" applyFont="1" applyFill="1" applyBorder="1" applyAlignment="1">
      <alignment vertical="center" wrapText="1"/>
    </xf>
    <xf numFmtId="3" fontId="40" fillId="31" borderId="35" xfId="49" applyNumberFormat="1" applyFont="1" applyFill="1" applyBorder="1" applyAlignment="1">
      <alignment horizontal="center" vertical="center" wrapText="1"/>
    </xf>
    <xf numFmtId="3" fontId="40" fillId="31" borderId="65" xfId="49" applyNumberFormat="1" applyFont="1" applyFill="1" applyBorder="1" applyAlignment="1">
      <alignment horizontal="center" vertical="center" wrapText="1"/>
    </xf>
    <xf numFmtId="3" fontId="40" fillId="31" borderId="9" xfId="49" applyNumberFormat="1" applyFont="1" applyFill="1" applyBorder="1" applyAlignment="1">
      <alignment horizontal="center" vertical="center" wrapText="1"/>
    </xf>
    <xf numFmtId="3" fontId="40" fillId="31" borderId="10" xfId="49" applyNumberFormat="1" applyFont="1" applyFill="1" applyBorder="1" applyAlignment="1">
      <alignment horizontal="center" vertical="center" wrapText="1"/>
    </xf>
    <xf numFmtId="3" fontId="40" fillId="31" borderId="2" xfId="49" applyNumberFormat="1" applyFont="1" applyFill="1" applyBorder="1" applyAlignment="1">
      <alignment horizontal="center" vertical="center" wrapText="1"/>
    </xf>
    <xf numFmtId="3" fontId="21" fillId="27" borderId="0" xfId="0" applyNumberFormat="1" applyFont="1" applyFill="1" applyAlignment="1">
      <alignment vertical="center" wrapText="1"/>
    </xf>
    <xf numFmtId="0" fontId="41" fillId="27" borderId="5" xfId="49" applyFont="1" applyFill="1" applyBorder="1" applyAlignment="1">
      <alignment horizontal="center" vertical="center" wrapText="1"/>
    </xf>
    <xf numFmtId="0" fontId="41" fillId="26" borderId="5" xfId="49" applyFont="1" applyFill="1" applyBorder="1" applyAlignment="1">
      <alignment horizontal="center" vertical="center" wrapText="1"/>
    </xf>
    <xf numFmtId="9" fontId="41" fillId="26" borderId="5" xfId="49" applyNumberFormat="1" applyFont="1" applyFill="1" applyBorder="1" applyAlignment="1">
      <alignment horizontal="center" vertical="center" wrapText="1"/>
    </xf>
    <xf numFmtId="0" fontId="41" fillId="26" borderId="25" xfId="49" applyFont="1" applyFill="1" applyBorder="1" applyAlignment="1">
      <alignment vertical="center" wrapText="1"/>
    </xf>
    <xf numFmtId="0" fontId="0" fillId="27" borderId="0" xfId="0" applyFill="1" applyAlignment="1">
      <alignment vertical="center" wrapText="1"/>
    </xf>
    <xf numFmtId="3" fontId="27" fillId="27" borderId="88" xfId="0" applyNumberFormat="1" applyFont="1" applyFill="1" applyBorder="1" applyAlignment="1">
      <alignment vertical="center" wrapText="1"/>
    </xf>
    <xf numFmtId="0" fontId="41" fillId="27" borderId="17" xfId="49" applyFont="1" applyFill="1" applyBorder="1" applyAlignment="1">
      <alignment horizontal="center" vertical="center" wrapText="1"/>
    </xf>
    <xf numFmtId="0" fontId="41" fillId="26" borderId="17" xfId="49" applyFont="1" applyFill="1" applyBorder="1" applyAlignment="1">
      <alignment horizontal="center" vertical="center" wrapText="1"/>
    </xf>
    <xf numFmtId="9" fontId="41" fillId="26" borderId="17" xfId="49" applyNumberFormat="1" applyFont="1" applyFill="1" applyBorder="1" applyAlignment="1">
      <alignment horizontal="center" vertical="center" wrapText="1"/>
    </xf>
    <xf numFmtId="0" fontId="41" fillId="26" borderId="24" xfId="49" applyFont="1" applyFill="1" applyBorder="1" applyAlignment="1">
      <alignment vertical="center" wrapText="1"/>
    </xf>
    <xf numFmtId="3" fontId="74" fillId="27" borderId="88" xfId="0" applyNumberFormat="1" applyFont="1" applyFill="1" applyBorder="1" applyAlignment="1">
      <alignment vertical="center" wrapText="1"/>
    </xf>
    <xf numFmtId="49" fontId="41" fillId="26" borderId="24" xfId="49" applyNumberFormat="1" applyFont="1" applyFill="1" applyBorder="1" applyAlignment="1">
      <alignment vertical="center" wrapText="1"/>
    </xf>
    <xf numFmtId="0" fontId="14" fillId="27" borderId="88" xfId="0" applyFont="1" applyFill="1" applyBorder="1" applyAlignment="1">
      <alignment vertical="center" wrapText="1"/>
    </xf>
    <xf numFmtId="9" fontId="41" fillId="26" borderId="24" xfId="49" applyNumberFormat="1" applyFont="1" applyFill="1" applyBorder="1" applyAlignment="1">
      <alignment horizontal="center" vertical="center" wrapText="1"/>
    </xf>
    <xf numFmtId="49" fontId="41" fillId="26" borderId="24" xfId="49" applyNumberFormat="1" applyFont="1" applyFill="1" applyBorder="1" applyAlignment="1">
      <alignment horizontal="right" vertical="center" wrapText="1"/>
    </xf>
    <xf numFmtId="0" fontId="27" fillId="27" borderId="0" xfId="0" applyFont="1" applyFill="1" applyAlignment="1">
      <alignment vertical="center" wrapText="1"/>
    </xf>
    <xf numFmtId="49" fontId="41" fillId="0" borderId="24" xfId="49" applyNumberFormat="1" applyFont="1" applyBorder="1" applyAlignment="1">
      <alignment horizontal="left" vertical="center" wrapText="1"/>
    </xf>
    <xf numFmtId="0" fontId="41" fillId="27" borderId="24" xfId="49" applyFont="1" applyFill="1" applyBorder="1" applyAlignment="1">
      <alignment horizontal="center" vertical="center" wrapText="1"/>
    </xf>
    <xf numFmtId="0" fontId="41" fillId="26" borderId="24" xfId="49" applyFont="1" applyFill="1" applyBorder="1" applyAlignment="1">
      <alignment horizontal="center" vertical="center" wrapText="1"/>
    </xf>
    <xf numFmtId="0" fontId="41" fillId="26" borderId="24" xfId="49" applyFont="1" applyFill="1" applyBorder="1" applyAlignment="1">
      <alignment horizontal="right" vertical="center" wrapText="1"/>
    </xf>
    <xf numFmtId="49" fontId="41" fillId="26" borderId="24" xfId="49" applyNumberFormat="1" applyFont="1" applyFill="1" applyBorder="1" applyAlignment="1">
      <alignment horizontal="left" vertical="center" wrapText="1"/>
    </xf>
    <xf numFmtId="0" fontId="41" fillId="26" borderId="24" xfId="0" applyFont="1" applyFill="1" applyBorder="1" applyAlignment="1">
      <alignment horizontal="center" vertical="center" wrapText="1"/>
    </xf>
    <xf numFmtId="0" fontId="41" fillId="0" borderId="24" xfId="49" applyFont="1" applyBorder="1" applyAlignment="1">
      <alignment horizontal="center" vertical="center" wrapText="1"/>
    </xf>
    <xf numFmtId="0" fontId="41" fillId="26" borderId="24" xfId="49" applyFont="1" applyFill="1" applyBorder="1" applyAlignment="1">
      <alignment horizontal="left" vertical="center" wrapText="1"/>
    </xf>
    <xf numFmtId="9" fontId="41" fillId="27" borderId="24" xfId="49" applyNumberFormat="1" applyFont="1" applyFill="1" applyBorder="1" applyAlignment="1">
      <alignment horizontal="center" vertical="center" wrapText="1"/>
    </xf>
    <xf numFmtId="0" fontId="41" fillId="26" borderId="25" xfId="0" applyFont="1" applyFill="1" applyBorder="1" applyAlignment="1">
      <alignment vertical="center" wrapText="1"/>
    </xf>
    <xf numFmtId="49" fontId="41" fillId="27" borderId="24" xfId="49" applyNumberFormat="1" applyFont="1" applyFill="1" applyBorder="1" applyAlignment="1">
      <alignment vertical="center" wrapText="1"/>
    </xf>
    <xf numFmtId="0" fontId="41" fillId="27" borderId="36" xfId="49" applyFont="1" applyFill="1" applyBorder="1" applyAlignment="1">
      <alignment horizontal="center" vertical="center" wrapText="1"/>
    </xf>
    <xf numFmtId="9" fontId="41" fillId="27" borderId="36" xfId="49" applyNumberFormat="1" applyFont="1" applyFill="1" applyBorder="1" applyAlignment="1">
      <alignment horizontal="center" vertical="center" wrapText="1"/>
    </xf>
    <xf numFmtId="49" fontId="41" fillId="27" borderId="36" xfId="49" applyNumberFormat="1" applyFont="1" applyFill="1" applyBorder="1" applyAlignment="1">
      <alignment vertical="center" wrapText="1"/>
    </xf>
    <xf numFmtId="0" fontId="40" fillId="24" borderId="1" xfId="49" applyFont="1" applyFill="1" applyBorder="1" applyAlignment="1">
      <alignment horizontal="left" vertical="center" wrapText="1"/>
    </xf>
    <xf numFmtId="1" fontId="74" fillId="27" borderId="86" xfId="0" applyNumberFormat="1" applyFont="1" applyFill="1" applyBorder="1" applyAlignment="1">
      <alignment horizontal="center" vertical="center" wrapText="1"/>
    </xf>
    <xf numFmtId="0" fontId="41" fillId="26" borderId="5" xfId="0" applyFont="1" applyFill="1" applyBorder="1" applyAlignment="1">
      <alignment horizontal="center" vertical="center" wrapText="1"/>
    </xf>
    <xf numFmtId="0" fontId="41" fillId="26" borderId="5" xfId="49" applyFont="1" applyFill="1" applyBorder="1" applyAlignment="1">
      <alignment vertical="center" wrapText="1"/>
    </xf>
    <xf numFmtId="1" fontId="0" fillId="27" borderId="0" xfId="0" applyNumberFormat="1" applyFill="1" applyAlignment="1">
      <alignment vertical="center" wrapText="1"/>
    </xf>
    <xf numFmtId="1" fontId="74" fillId="0" borderId="87" xfId="0" applyNumberFormat="1" applyFont="1" applyBorder="1" applyAlignment="1">
      <alignment horizontal="center" vertical="center" wrapText="1"/>
    </xf>
    <xf numFmtId="0" fontId="41" fillId="26" borderId="17" xfId="0" applyFont="1" applyFill="1" applyBorder="1" applyAlignment="1">
      <alignment horizontal="center" vertical="center" wrapText="1"/>
    </xf>
    <xf numFmtId="0" fontId="41" fillId="26" borderId="17" xfId="49" applyFont="1" applyFill="1" applyBorder="1" applyAlignment="1">
      <alignment vertical="center" wrapText="1"/>
    </xf>
    <xf numFmtId="49" fontId="41" fillId="26" borderId="17" xfId="49" applyNumberFormat="1" applyFont="1" applyFill="1" applyBorder="1" applyAlignment="1">
      <alignment vertical="center" wrapText="1"/>
    </xf>
    <xf numFmtId="3" fontId="40" fillId="27" borderId="0" xfId="0" applyNumberFormat="1" applyFont="1" applyFill="1" applyAlignment="1">
      <alignment horizontal="center" vertical="center" wrapText="1"/>
    </xf>
    <xf numFmtId="0" fontId="27" fillId="27" borderId="88" xfId="0" applyFont="1" applyFill="1" applyBorder="1" applyAlignment="1">
      <alignment vertical="center" wrapText="1"/>
    </xf>
    <xf numFmtId="49" fontId="41" fillId="26" borderId="17" xfId="49" applyNumberFormat="1" applyFont="1" applyFill="1" applyBorder="1" applyAlignment="1">
      <alignment horizontal="right" vertical="center" wrapText="1"/>
    </xf>
    <xf numFmtId="0" fontId="12" fillId="27" borderId="88" xfId="0" applyFont="1" applyFill="1" applyBorder="1" applyAlignment="1">
      <alignment vertical="center" wrapText="1"/>
    </xf>
    <xf numFmtId="49" fontId="41" fillId="26" borderId="17" xfId="49" applyNumberFormat="1" applyFont="1" applyFill="1" applyBorder="1" applyAlignment="1">
      <alignment horizontal="left" vertical="center" wrapText="1"/>
    </xf>
    <xf numFmtId="0" fontId="41" fillId="26" borderId="17" xfId="49" applyFont="1" applyFill="1" applyBorder="1" applyAlignment="1">
      <alignment horizontal="right" vertical="center" wrapText="1"/>
    </xf>
    <xf numFmtId="0" fontId="41" fillId="26" borderId="17" xfId="49" applyFont="1" applyFill="1" applyBorder="1" applyAlignment="1">
      <alignment horizontal="left" vertical="center" wrapText="1"/>
    </xf>
    <xf numFmtId="49" fontId="41" fillId="27" borderId="17" xfId="49" applyNumberFormat="1" applyFont="1" applyFill="1" applyBorder="1" applyAlignment="1">
      <alignment vertical="center" wrapText="1"/>
    </xf>
    <xf numFmtId="0" fontId="41" fillId="27" borderId="5" xfId="0" applyFont="1" applyFill="1" applyBorder="1" applyAlignment="1">
      <alignment vertical="center" wrapText="1"/>
    </xf>
    <xf numFmtId="0" fontId="41" fillId="27" borderId="24" xfId="0" applyFont="1" applyFill="1" applyBorder="1" applyAlignment="1">
      <alignment horizontal="center" vertical="center" wrapText="1"/>
    </xf>
    <xf numFmtId="9" fontId="41" fillId="27" borderId="5" xfId="49" applyNumberFormat="1" applyFont="1" applyFill="1" applyBorder="1" applyAlignment="1">
      <alignment horizontal="center" vertical="center" wrapText="1"/>
    </xf>
    <xf numFmtId="0" fontId="41" fillId="27" borderId="36" xfId="0" applyFont="1" applyFill="1" applyBorder="1" applyAlignment="1">
      <alignment horizontal="center" vertical="center" wrapText="1"/>
    </xf>
    <xf numFmtId="49" fontId="41" fillId="27" borderId="39" xfId="49" applyNumberFormat="1" applyFont="1" applyFill="1" applyBorder="1" applyAlignment="1">
      <alignment vertical="center" wrapText="1"/>
    </xf>
    <xf numFmtId="0" fontId="41" fillId="27" borderId="5" xfId="49" applyFont="1" applyFill="1" applyBorder="1" applyAlignment="1">
      <alignment vertical="center" wrapText="1"/>
    </xf>
    <xf numFmtId="9" fontId="41" fillId="27" borderId="17" xfId="49" applyNumberFormat="1" applyFont="1" applyFill="1" applyBorder="1" applyAlignment="1">
      <alignment horizontal="center" vertical="center" wrapText="1"/>
    </xf>
    <xf numFmtId="0" fontId="41" fillId="27" borderId="17" xfId="49" applyFont="1" applyFill="1" applyBorder="1" applyAlignment="1">
      <alignment vertical="center" wrapText="1"/>
    </xf>
    <xf numFmtId="9" fontId="41" fillId="27" borderId="36" xfId="70" applyFont="1" applyFill="1" applyBorder="1" applyAlignment="1" applyProtection="1">
      <alignment horizontal="center" vertical="center" wrapText="1"/>
    </xf>
    <xf numFmtId="3" fontId="74" fillId="27" borderId="86" xfId="0" applyNumberFormat="1" applyFont="1" applyFill="1" applyBorder="1" applyAlignment="1">
      <alignment horizontal="center" vertical="center" wrapText="1"/>
    </xf>
    <xf numFmtId="3" fontId="79" fillId="27" borderId="88" xfId="0" applyNumberFormat="1" applyFont="1" applyFill="1" applyBorder="1" applyAlignment="1">
      <alignment vertical="center" wrapText="1"/>
    </xf>
    <xf numFmtId="0" fontId="51" fillId="27" borderId="0" xfId="0" applyFont="1" applyFill="1" applyAlignment="1">
      <alignment vertical="center" wrapText="1"/>
    </xf>
    <xf numFmtId="0" fontId="40" fillId="32" borderId="1" xfId="49" applyFont="1" applyFill="1" applyBorder="1" applyAlignment="1">
      <alignment horizontal="center" vertical="center" wrapText="1"/>
    </xf>
    <xf numFmtId="0" fontId="40" fillId="32" borderId="2" xfId="49" applyFont="1" applyFill="1" applyBorder="1" applyAlignment="1">
      <alignment horizontal="left" vertical="center" wrapText="1"/>
    </xf>
    <xf numFmtId="0" fontId="73" fillId="27" borderId="0" xfId="0" applyFont="1" applyFill="1" applyAlignment="1">
      <alignment vertical="center" wrapText="1"/>
    </xf>
    <xf numFmtId="9" fontId="41" fillId="26" borderId="17" xfId="49" applyNumberFormat="1" applyFont="1" applyFill="1" applyBorder="1" applyAlignment="1">
      <alignment horizontal="left" vertical="center" wrapText="1"/>
    </xf>
    <xf numFmtId="9" fontId="41" fillId="26" borderId="17" xfId="70" applyFont="1" applyFill="1" applyBorder="1" applyAlignment="1" applyProtection="1">
      <alignment horizontal="center" vertical="center" wrapText="1"/>
    </xf>
    <xf numFmtId="0" fontId="41" fillId="0" borderId="17" xfId="49" applyFont="1" applyBorder="1" applyAlignment="1">
      <alignment horizontal="center" vertical="center" wrapText="1"/>
    </xf>
    <xf numFmtId="0" fontId="12" fillId="26" borderId="17" xfId="49" applyFont="1" applyFill="1" applyBorder="1" applyAlignment="1">
      <alignment horizontal="center" vertical="center"/>
    </xf>
    <xf numFmtId="49" fontId="40" fillId="24" borderId="1" xfId="49" applyNumberFormat="1" applyFont="1" applyFill="1" applyBorder="1" applyAlignment="1">
      <alignment vertical="center"/>
    </xf>
    <xf numFmtId="0" fontId="41" fillId="0" borderId="5" xfId="49" applyFont="1" applyBorder="1" applyAlignment="1">
      <alignment horizontal="center" vertical="center" wrapText="1"/>
    </xf>
    <xf numFmtId="0" fontId="41" fillId="0" borderId="17" xfId="49" applyFont="1" applyBorder="1" applyAlignment="1">
      <alignment vertical="center" wrapText="1"/>
    </xf>
    <xf numFmtId="0" fontId="40" fillId="36" borderId="1" xfId="49" applyFont="1" applyFill="1" applyBorder="1" applyAlignment="1">
      <alignment horizontal="center" vertical="center" wrapText="1"/>
    </xf>
    <xf numFmtId="0" fontId="40" fillId="36" borderId="1" xfId="49" applyFont="1" applyFill="1" applyBorder="1" applyAlignment="1">
      <alignment horizontal="left" vertical="center" wrapText="1"/>
    </xf>
    <xf numFmtId="0" fontId="27" fillId="27" borderId="89" xfId="0" applyFont="1" applyFill="1" applyBorder="1" applyAlignment="1">
      <alignment vertical="center" wrapText="1"/>
    </xf>
    <xf numFmtId="49" fontId="12" fillId="27" borderId="0" xfId="49" applyNumberFormat="1" applyFont="1" applyFill="1" applyAlignment="1">
      <alignment vertical="center" wrapText="1"/>
    </xf>
    <xf numFmtId="14" fontId="21" fillId="27" borderId="0" xfId="49" applyNumberFormat="1" applyFont="1" applyFill="1" applyAlignment="1">
      <alignment vertical="center"/>
    </xf>
    <xf numFmtId="3" fontId="12" fillId="27" borderId="0" xfId="49" applyNumberFormat="1" applyFont="1" applyFill="1" applyAlignment="1">
      <alignment vertical="center" wrapText="1"/>
    </xf>
    <xf numFmtId="0" fontId="12" fillId="27" borderId="0" xfId="0" applyFont="1" applyFill="1" applyAlignment="1">
      <alignment horizontal="center" vertical="center" wrapText="1"/>
    </xf>
    <xf numFmtId="14" fontId="21" fillId="27" borderId="0" xfId="49" applyNumberFormat="1" applyFont="1" applyFill="1" applyAlignment="1">
      <alignment horizontal="center" vertical="center"/>
    </xf>
    <xf numFmtId="168" fontId="21" fillId="27" borderId="0" xfId="49" applyNumberFormat="1" applyFont="1" applyFill="1" applyAlignment="1">
      <alignment vertical="center"/>
    </xf>
    <xf numFmtId="14" fontId="84" fillId="27" borderId="0" xfId="0" applyNumberFormat="1" applyFont="1" applyFill="1" applyAlignment="1">
      <alignment horizontal="left" vertical="center"/>
    </xf>
    <xf numFmtId="0" fontId="12" fillId="27" borderId="0" xfId="0" applyFont="1" applyFill="1" applyAlignment="1">
      <alignment vertical="center" wrapText="1"/>
    </xf>
    <xf numFmtId="0" fontId="21" fillId="27" borderId="0" xfId="49" applyFont="1" applyFill="1" applyAlignment="1">
      <alignment horizontal="right" vertical="center"/>
    </xf>
    <xf numFmtId="49" fontId="12" fillId="27" borderId="0" xfId="0" applyNumberFormat="1" applyFont="1" applyFill="1" applyAlignment="1">
      <alignment horizontal="right" vertical="center" wrapText="1"/>
    </xf>
    <xf numFmtId="0" fontId="36" fillId="27" borderId="0" xfId="0" applyFont="1" applyFill="1" applyAlignment="1">
      <alignment horizontal="center" vertical="center" wrapText="1"/>
    </xf>
    <xf numFmtId="0" fontId="43" fillId="27" borderId="0" xfId="49" applyFont="1" applyFill="1" applyAlignment="1">
      <alignment vertical="center"/>
    </xf>
    <xf numFmtId="49" fontId="12" fillId="27" borderId="0" xfId="0" applyNumberFormat="1" applyFont="1" applyFill="1" applyAlignment="1">
      <alignment horizontal="left" vertical="center" wrapText="1"/>
    </xf>
    <xf numFmtId="0" fontId="12" fillId="27" borderId="0" xfId="49" applyFont="1" applyFill="1" applyAlignment="1">
      <alignment horizontal="right" vertical="center"/>
    </xf>
    <xf numFmtId="0" fontId="12" fillId="27" borderId="0" xfId="49" applyFont="1" applyFill="1" applyAlignment="1">
      <alignment horizontal="left" vertical="center"/>
    </xf>
    <xf numFmtId="0" fontId="12" fillId="27" borderId="0" xfId="31" applyFont="1" applyFill="1" applyAlignment="1">
      <alignment horizontal="center" vertical="center" wrapText="1"/>
    </xf>
    <xf numFmtId="14" fontId="21" fillId="27" borderId="0" xfId="0" applyNumberFormat="1" applyFont="1" applyFill="1" applyAlignment="1">
      <alignment horizontal="right" vertical="center"/>
    </xf>
    <xf numFmtId="0" fontId="43" fillId="27" borderId="0" xfId="31" applyFont="1" applyFill="1" applyAlignment="1">
      <alignment horizontal="left" vertical="center" wrapText="1"/>
    </xf>
    <xf numFmtId="0" fontId="12" fillId="27" borderId="0" xfId="49" applyFont="1" applyFill="1" applyAlignment="1">
      <alignment horizontal="left" vertical="center" wrapText="1"/>
    </xf>
    <xf numFmtId="0" fontId="41" fillId="28" borderId="17" xfId="0" applyFont="1" applyFill="1" applyBorder="1" applyAlignment="1" applyProtection="1">
      <alignment horizontal="center" vertical="center" wrapText="1"/>
      <protection locked="0"/>
    </xf>
    <xf numFmtId="3" fontId="12" fillId="3" borderId="51" xfId="32" applyNumberFormat="1" applyFont="1" applyFill="1" applyBorder="1" applyAlignment="1" applyProtection="1">
      <alignment horizontal="center" vertical="center"/>
      <protection locked="0"/>
    </xf>
    <xf numFmtId="3" fontId="41" fillId="27" borderId="72" xfId="49" applyNumberFormat="1" applyFont="1" applyFill="1" applyBorder="1" applyAlignment="1">
      <alignment horizontal="center" vertical="center" wrapText="1"/>
    </xf>
    <xf numFmtId="3" fontId="41" fillId="27" borderId="73" xfId="49" applyNumberFormat="1" applyFont="1" applyFill="1" applyBorder="1" applyAlignment="1">
      <alignment horizontal="center" vertical="center" wrapText="1"/>
    </xf>
    <xf numFmtId="3" fontId="41" fillId="27" borderId="76" xfId="49" applyNumberFormat="1" applyFont="1" applyFill="1" applyBorder="1" applyAlignment="1">
      <alignment horizontal="center" vertical="center" wrapText="1"/>
    </xf>
    <xf numFmtId="3" fontId="41" fillId="27" borderId="75" xfId="49" applyNumberFormat="1" applyFont="1" applyFill="1" applyBorder="1" applyAlignment="1">
      <alignment horizontal="center" vertical="center" wrapText="1"/>
    </xf>
    <xf numFmtId="3" fontId="40" fillId="27" borderId="5" xfId="49" applyNumberFormat="1" applyFont="1" applyFill="1" applyBorder="1" applyAlignment="1">
      <alignment horizontal="center" vertical="center" wrapText="1"/>
    </xf>
    <xf numFmtId="3" fontId="40" fillId="27" borderId="32" xfId="49" applyNumberFormat="1" applyFont="1" applyFill="1" applyBorder="1" applyAlignment="1">
      <alignment horizontal="center" vertical="center" wrapText="1"/>
    </xf>
    <xf numFmtId="3" fontId="40" fillId="27" borderId="7" xfId="49" applyNumberFormat="1" applyFont="1" applyFill="1" applyBorder="1" applyAlignment="1">
      <alignment horizontal="center" vertical="center" wrapText="1"/>
    </xf>
    <xf numFmtId="3" fontId="40" fillId="27" borderId="53" xfId="49" applyNumberFormat="1" applyFont="1" applyFill="1" applyBorder="1" applyAlignment="1">
      <alignment horizontal="center" vertical="center" wrapText="1"/>
    </xf>
    <xf numFmtId="3" fontId="40" fillId="20" borderId="17" xfId="49" applyNumberFormat="1" applyFont="1" applyFill="1" applyBorder="1" applyAlignment="1">
      <alignment horizontal="center" vertical="center" wrapText="1"/>
    </xf>
    <xf numFmtId="3" fontId="40" fillId="20" borderId="32" xfId="49" applyNumberFormat="1" applyFont="1" applyFill="1" applyBorder="1" applyAlignment="1">
      <alignment horizontal="center" vertical="center" wrapText="1"/>
    </xf>
    <xf numFmtId="3" fontId="40" fillId="20" borderId="7" xfId="49" applyNumberFormat="1" applyFont="1" applyFill="1" applyBorder="1" applyAlignment="1">
      <alignment horizontal="center" vertical="center" wrapText="1"/>
    </xf>
    <xf numFmtId="3" fontId="40" fillId="20" borderId="53" xfId="49" applyNumberFormat="1" applyFont="1" applyFill="1" applyBorder="1" applyAlignment="1">
      <alignment horizontal="center" vertical="center" wrapText="1"/>
    </xf>
    <xf numFmtId="3" fontId="41" fillId="0" borderId="75" xfId="49" applyNumberFormat="1" applyFont="1" applyBorder="1" applyAlignment="1">
      <alignment horizontal="center" vertical="center" wrapText="1"/>
    </xf>
    <xf numFmtId="3" fontId="41" fillId="0" borderId="76" xfId="49" applyNumberFormat="1" applyFont="1" applyBorder="1" applyAlignment="1">
      <alignment horizontal="center" vertical="center" wrapText="1"/>
    </xf>
    <xf numFmtId="3" fontId="41" fillId="3" borderId="17" xfId="49" applyNumberFormat="1" applyFont="1" applyFill="1" applyBorder="1" applyAlignment="1" applyProtection="1">
      <alignment horizontal="center" vertical="center" wrapText="1"/>
      <protection locked="0"/>
    </xf>
    <xf numFmtId="3" fontId="41" fillId="0" borderId="52" xfId="49" applyNumberFormat="1" applyFont="1" applyBorder="1" applyAlignment="1">
      <alignment horizontal="center" vertical="center" wrapText="1"/>
    </xf>
    <xf numFmtId="3" fontId="41" fillId="0" borderId="53" xfId="49" applyNumberFormat="1" applyFont="1" applyBorder="1" applyAlignment="1">
      <alignment horizontal="center" vertical="center" wrapText="1"/>
    </xf>
    <xf numFmtId="3" fontId="40" fillId="27" borderId="17" xfId="49" applyNumberFormat="1" applyFont="1" applyFill="1" applyBorder="1" applyAlignment="1">
      <alignment horizontal="center" vertical="center" wrapText="1"/>
    </xf>
    <xf numFmtId="3" fontId="40" fillId="27" borderId="52" xfId="49" applyNumberFormat="1" applyFont="1" applyFill="1" applyBorder="1" applyAlignment="1">
      <alignment horizontal="center" vertical="center" wrapText="1"/>
    </xf>
    <xf numFmtId="3" fontId="41" fillId="27" borderId="51" xfId="49" applyNumberFormat="1" applyFont="1" applyFill="1" applyBorder="1" applyAlignment="1">
      <alignment horizontal="center" vertical="center" wrapText="1"/>
    </xf>
    <xf numFmtId="3" fontId="41" fillId="27" borderId="74" xfId="49" applyNumberFormat="1" applyFont="1" applyFill="1" applyBorder="1" applyAlignment="1">
      <alignment horizontal="center" vertical="center" wrapText="1"/>
    </xf>
    <xf numFmtId="3" fontId="41" fillId="27" borderId="62" xfId="49" applyNumberFormat="1" applyFont="1" applyFill="1" applyBorder="1" applyAlignment="1">
      <alignment horizontal="center" vertical="center" wrapText="1"/>
    </xf>
    <xf numFmtId="3" fontId="40" fillId="27" borderId="44" xfId="49" applyNumberFormat="1" applyFont="1" applyFill="1" applyBorder="1" applyAlignment="1">
      <alignment horizontal="center" vertical="center" wrapText="1"/>
    </xf>
    <xf numFmtId="3" fontId="40" fillId="27" borderId="31" xfId="49" applyNumberFormat="1" applyFont="1" applyFill="1" applyBorder="1" applyAlignment="1">
      <alignment horizontal="center" vertical="center" wrapText="1"/>
    </xf>
    <xf numFmtId="3" fontId="40" fillId="27" borderId="61" xfId="49" applyNumberFormat="1" applyFont="1" applyFill="1" applyBorder="1" applyAlignment="1">
      <alignment horizontal="center" vertical="center" wrapText="1"/>
    </xf>
    <xf numFmtId="3" fontId="40" fillId="27" borderId="62" xfId="49" applyNumberFormat="1" applyFont="1" applyFill="1" applyBorder="1" applyAlignment="1">
      <alignment horizontal="center" vertical="center" wrapText="1"/>
    </xf>
    <xf numFmtId="3" fontId="41" fillId="27" borderId="21" xfId="49" applyNumberFormat="1" applyFont="1" applyFill="1" applyBorder="1" applyAlignment="1">
      <alignment horizontal="center" vertical="center" wrapText="1"/>
    </xf>
    <xf numFmtId="3" fontId="40" fillId="32" borderId="2" xfId="49" applyNumberFormat="1" applyFont="1" applyFill="1" applyBorder="1" applyAlignment="1">
      <alignment horizontal="center" vertical="center" wrapText="1"/>
    </xf>
    <xf numFmtId="3" fontId="40" fillId="32" borderId="38" xfId="49" applyNumberFormat="1" applyFont="1" applyFill="1" applyBorder="1" applyAlignment="1">
      <alignment horizontal="left" vertical="center" wrapText="1"/>
    </xf>
    <xf numFmtId="3" fontId="40" fillId="32" borderId="10" xfId="49" applyNumberFormat="1" applyFont="1" applyFill="1" applyBorder="1" applyAlignment="1">
      <alignment horizontal="left" vertical="center" wrapText="1"/>
    </xf>
    <xf numFmtId="3" fontId="40" fillId="24" borderId="38" xfId="49" applyNumberFormat="1" applyFont="1" applyFill="1" applyBorder="1" applyAlignment="1">
      <alignment horizontal="center" vertical="center" wrapText="1"/>
    </xf>
    <xf numFmtId="3" fontId="40" fillId="24" borderId="10" xfId="49" applyNumberFormat="1" applyFont="1" applyFill="1" applyBorder="1" applyAlignment="1">
      <alignment horizontal="center" vertical="center" wrapText="1"/>
    </xf>
    <xf numFmtId="3" fontId="41" fillId="0" borderId="56" xfId="49" applyNumberFormat="1" applyFont="1" applyBorder="1" applyAlignment="1">
      <alignment horizontal="center" vertical="center" wrapText="1"/>
    </xf>
    <xf numFmtId="3" fontId="41" fillId="0" borderId="57" xfId="49" applyNumberFormat="1" applyFont="1" applyBorder="1" applyAlignment="1">
      <alignment horizontal="center" vertical="center" wrapText="1"/>
    </xf>
    <xf numFmtId="3" fontId="41" fillId="27" borderId="47" xfId="49" applyNumberFormat="1" applyFont="1" applyFill="1" applyBorder="1" applyAlignment="1">
      <alignment horizontal="center" vertical="center" wrapText="1"/>
    </xf>
    <xf numFmtId="3" fontId="41" fillId="27" borderId="71" xfId="49" applyNumberFormat="1" applyFont="1" applyFill="1" applyBorder="1" applyAlignment="1">
      <alignment horizontal="center" vertical="center" wrapText="1"/>
    </xf>
    <xf numFmtId="3" fontId="41" fillId="27" borderId="48" xfId="49" applyNumberFormat="1" applyFont="1" applyFill="1" applyBorder="1" applyAlignment="1">
      <alignment horizontal="center" vertical="center" wrapText="1"/>
    </xf>
    <xf numFmtId="3" fontId="41" fillId="26" borderId="51" xfId="49" applyNumberFormat="1" applyFont="1" applyFill="1" applyBorder="1" applyAlignment="1">
      <alignment horizontal="center" vertical="center" wrapText="1"/>
    </xf>
    <xf numFmtId="3" fontId="41" fillId="26" borderId="25" xfId="49" applyNumberFormat="1" applyFont="1" applyFill="1" applyBorder="1" applyAlignment="1">
      <alignment horizontal="center" vertical="center" wrapText="1"/>
    </xf>
    <xf numFmtId="3" fontId="41" fillId="26" borderId="17" xfId="49" applyNumberFormat="1" applyFont="1" applyFill="1" applyBorder="1" applyAlignment="1">
      <alignment horizontal="center" vertical="center" wrapText="1"/>
    </xf>
    <xf numFmtId="3" fontId="40" fillId="36" borderId="2" xfId="49" applyNumberFormat="1" applyFont="1" applyFill="1" applyBorder="1" applyAlignment="1">
      <alignment horizontal="center" vertical="center" wrapText="1"/>
    </xf>
    <xf numFmtId="3" fontId="40" fillId="36" borderId="65" xfId="49" applyNumberFormat="1" applyFont="1" applyFill="1" applyBorder="1" applyAlignment="1">
      <alignment horizontal="center" vertical="center" wrapText="1"/>
    </xf>
    <xf numFmtId="3" fontId="40" fillId="36" borderId="9" xfId="49" applyNumberFormat="1" applyFont="1" applyFill="1" applyBorder="1" applyAlignment="1">
      <alignment horizontal="center" vertical="center" wrapText="1"/>
    </xf>
    <xf numFmtId="3" fontId="40" fillId="36" borderId="60" xfId="49" applyNumberFormat="1" applyFont="1" applyFill="1" applyBorder="1" applyAlignment="1">
      <alignment horizontal="center" vertical="center" wrapText="1"/>
    </xf>
    <xf numFmtId="3" fontId="40" fillId="36" borderId="10" xfId="49" applyNumberFormat="1" applyFont="1" applyFill="1" applyBorder="1" applyAlignment="1">
      <alignment horizontal="center" vertical="center" wrapText="1"/>
    </xf>
    <xf numFmtId="3" fontId="12" fillId="27" borderId="0" xfId="49" applyNumberFormat="1" applyFont="1" applyFill="1" applyAlignment="1">
      <alignment horizontal="center"/>
    </xf>
    <xf numFmtId="3" fontId="13" fillId="27" borderId="0" xfId="49" applyNumberFormat="1" applyFont="1" applyFill="1" applyAlignment="1">
      <alignment horizontal="right" vertical="center"/>
    </xf>
    <xf numFmtId="3" fontId="13" fillId="27" borderId="0" xfId="49" applyNumberFormat="1" applyFont="1" applyFill="1" applyAlignment="1">
      <alignment vertical="center"/>
    </xf>
    <xf numFmtId="3" fontId="12" fillId="27" borderId="0" xfId="49" applyNumberFormat="1" applyFont="1" applyFill="1"/>
    <xf numFmtId="3" fontId="27" fillId="27" borderId="0" xfId="49" applyNumberFormat="1" applyFont="1" applyFill="1"/>
    <xf numFmtId="3" fontId="78" fillId="27" borderId="0" xfId="49" applyNumberFormat="1" applyFill="1"/>
    <xf numFmtId="3" fontId="15" fillId="27" borderId="0" xfId="49" applyNumberFormat="1" applyFont="1" applyFill="1" applyAlignment="1">
      <alignment vertical="center" wrapText="1"/>
    </xf>
    <xf numFmtId="3" fontId="78" fillId="27" borderId="0" xfId="49" applyNumberFormat="1" applyFill="1" applyAlignment="1">
      <alignment vertical="center"/>
    </xf>
    <xf numFmtId="3" fontId="15" fillId="27" borderId="0" xfId="49" applyNumberFormat="1" applyFont="1" applyFill="1" applyAlignment="1">
      <alignment wrapText="1"/>
    </xf>
    <xf numFmtId="3" fontId="20" fillId="27" borderId="0" xfId="49" applyNumberFormat="1" applyFont="1" applyFill="1" applyAlignment="1">
      <alignment vertical="center"/>
    </xf>
    <xf numFmtId="3" fontId="20" fillId="27" borderId="0" xfId="49" applyNumberFormat="1" applyFont="1" applyFill="1" applyAlignment="1">
      <alignment horizontal="center" vertical="center"/>
    </xf>
    <xf numFmtId="3" fontId="27" fillId="0" borderId="1" xfId="0" applyNumberFormat="1" applyFont="1" applyBorder="1"/>
    <xf numFmtId="3" fontId="12" fillId="0" borderId="2" xfId="32" applyNumberFormat="1" applyFont="1" applyBorder="1" applyAlignment="1">
      <alignment horizontal="right"/>
    </xf>
    <xf numFmtId="3" fontId="21" fillId="0" borderId="2" xfId="32" applyNumberFormat="1" applyFont="1" applyBorder="1" applyAlignment="1">
      <alignment horizontal="center"/>
    </xf>
    <xf numFmtId="3" fontId="21" fillId="0" borderId="0" xfId="49" applyNumberFormat="1" applyFont="1" applyAlignment="1">
      <alignment horizontal="center" vertical="center"/>
    </xf>
    <xf numFmtId="3" fontId="91" fillId="27" borderId="0" xfId="49" applyNumberFormat="1" applyFont="1" applyFill="1" applyAlignment="1">
      <alignment vertical="center"/>
    </xf>
    <xf numFmtId="3" fontId="27" fillId="0" borderId="1" xfId="0" applyNumberFormat="1" applyFont="1" applyBorder="1" applyAlignment="1">
      <alignment horizontal="right"/>
    </xf>
    <xf numFmtId="3" fontId="90" fillId="27" borderId="0" xfId="49" applyNumberFormat="1" applyFont="1" applyFill="1"/>
    <xf numFmtId="3" fontId="40" fillId="38" borderId="1" xfId="21" applyNumberFormat="1" applyFont="1" applyFill="1" applyBorder="1">
      <alignment horizontal="center" vertical="center" wrapText="1"/>
    </xf>
    <xf numFmtId="3" fontId="40" fillId="38" borderId="38" xfId="21" applyNumberFormat="1" applyFont="1" applyFill="1" applyBorder="1">
      <alignment horizontal="center" vertical="center" wrapText="1"/>
    </xf>
    <xf numFmtId="3" fontId="40" fillId="38" borderId="9" xfId="21" applyNumberFormat="1" applyFont="1" applyFill="1" applyBorder="1">
      <alignment horizontal="center" vertical="center" wrapText="1"/>
    </xf>
    <xf numFmtId="3" fontId="40" fillId="38" borderId="10" xfId="21" applyNumberFormat="1" applyFont="1" applyFill="1" applyBorder="1">
      <alignment horizontal="center" vertical="center" wrapText="1"/>
    </xf>
    <xf numFmtId="3" fontId="40" fillId="38" borderId="2" xfId="21" applyNumberFormat="1" applyFont="1" applyFill="1" applyBorder="1">
      <alignment horizontal="center" vertical="center" wrapText="1"/>
    </xf>
    <xf numFmtId="3" fontId="40" fillId="38" borderId="65" xfId="21" applyNumberFormat="1" applyFont="1" applyFill="1" applyBorder="1">
      <alignment horizontal="center" vertical="center" wrapText="1"/>
    </xf>
    <xf numFmtId="3" fontId="40" fillId="24" borderId="1" xfId="49" applyNumberFormat="1" applyFont="1" applyFill="1" applyBorder="1" applyAlignment="1">
      <alignment horizontal="center" vertical="center"/>
    </xf>
    <xf numFmtId="3" fontId="40" fillId="24" borderId="1" xfId="49" applyNumberFormat="1" applyFont="1" applyFill="1" applyBorder="1" applyAlignment="1">
      <alignment vertical="center"/>
    </xf>
    <xf numFmtId="3" fontId="40" fillId="31" borderId="1" xfId="49" applyNumberFormat="1" applyFont="1" applyFill="1" applyBorder="1" applyAlignment="1">
      <alignment horizontal="center" wrapText="1"/>
    </xf>
    <xf numFmtId="3" fontId="40" fillId="31" borderId="38" xfId="49" applyNumberFormat="1" applyFont="1" applyFill="1" applyBorder="1" applyAlignment="1">
      <alignment horizontal="center" wrapText="1"/>
    </xf>
    <xf numFmtId="3" fontId="40" fillId="31" borderId="9" xfId="49" applyNumberFormat="1" applyFont="1" applyFill="1" applyBorder="1" applyAlignment="1">
      <alignment horizontal="center" wrapText="1"/>
    </xf>
    <xf numFmtId="3" fontId="40" fillId="31" borderId="10" xfId="49" applyNumberFormat="1" applyFont="1" applyFill="1" applyBorder="1" applyAlignment="1">
      <alignment horizontal="center" wrapText="1"/>
    </xf>
    <xf numFmtId="3" fontId="40" fillId="31" borderId="2" xfId="49" applyNumberFormat="1" applyFont="1" applyFill="1" applyBorder="1" applyAlignment="1">
      <alignment horizontal="center" wrapText="1"/>
    </xf>
    <xf numFmtId="3" fontId="40" fillId="31" borderId="65" xfId="49" applyNumberFormat="1" applyFont="1" applyFill="1" applyBorder="1" applyAlignment="1">
      <alignment horizontal="center" wrapText="1"/>
    </xf>
    <xf numFmtId="3" fontId="40" fillId="27" borderId="51" xfId="49" applyNumberFormat="1" applyFont="1" applyFill="1" applyBorder="1" applyAlignment="1">
      <alignment horizontal="center" vertical="center"/>
    </xf>
    <xf numFmtId="3" fontId="40" fillId="27" borderId="51" xfId="49" applyNumberFormat="1" applyFont="1" applyFill="1" applyBorder="1" applyAlignment="1">
      <alignment wrapText="1"/>
    </xf>
    <xf numFmtId="3" fontId="40" fillId="0" borderId="29" xfId="49" applyNumberFormat="1" applyFont="1" applyBorder="1" applyAlignment="1">
      <alignment horizontal="center" vertical="center" wrapText="1"/>
    </xf>
    <xf numFmtId="3" fontId="40" fillId="27" borderId="75" xfId="49" applyNumberFormat="1" applyFont="1" applyFill="1" applyBorder="1" applyAlignment="1">
      <alignment horizontal="center" vertical="center" wrapText="1"/>
    </xf>
    <xf numFmtId="3" fontId="40" fillId="27" borderId="73" xfId="49" applyNumberFormat="1" applyFont="1" applyFill="1" applyBorder="1" applyAlignment="1">
      <alignment horizontal="center" vertical="center" wrapText="1"/>
    </xf>
    <xf numFmtId="3" fontId="40" fillId="27" borderId="76" xfId="49" applyNumberFormat="1" applyFont="1" applyFill="1" applyBorder="1" applyAlignment="1">
      <alignment horizontal="center" vertical="center" wrapText="1"/>
    </xf>
    <xf numFmtId="3" fontId="40" fillId="0" borderId="51" xfId="49" applyNumberFormat="1" applyFont="1" applyBorder="1" applyAlignment="1">
      <alignment horizontal="center" vertical="center" wrapText="1"/>
    </xf>
    <xf numFmtId="3" fontId="40" fillId="27" borderId="72" xfId="49" applyNumberFormat="1" applyFont="1" applyFill="1" applyBorder="1" applyAlignment="1">
      <alignment horizontal="center" vertical="center" wrapText="1"/>
    </xf>
    <xf numFmtId="3" fontId="41" fillId="27" borderId="5" xfId="49" applyNumberFormat="1" applyFont="1" applyFill="1" applyBorder="1" applyAlignment="1">
      <alignment horizontal="center" vertical="center"/>
    </xf>
    <xf numFmtId="3" fontId="41" fillId="27" borderId="5" xfId="49" applyNumberFormat="1" applyFont="1" applyFill="1" applyBorder="1" applyAlignment="1">
      <alignment wrapText="1"/>
    </xf>
    <xf numFmtId="3" fontId="41" fillId="0" borderId="25" xfId="49" applyNumberFormat="1" applyFont="1" applyBorder="1" applyAlignment="1">
      <alignment horizontal="center" vertical="center" wrapText="1"/>
    </xf>
    <xf numFmtId="3" fontId="41" fillId="27" borderId="6" xfId="49" applyNumberFormat="1" applyFont="1" applyFill="1" applyBorder="1" applyAlignment="1">
      <alignment horizontal="center" vertical="center" wrapText="1"/>
    </xf>
    <xf numFmtId="3" fontId="41" fillId="26" borderId="44" xfId="49" applyNumberFormat="1" applyFont="1" applyFill="1" applyBorder="1" applyAlignment="1">
      <alignment horizontal="center" vertical="center" wrapText="1"/>
    </xf>
    <xf numFmtId="3" fontId="41" fillId="27" borderId="15" xfId="49" applyNumberFormat="1" applyFont="1" applyFill="1" applyBorder="1" applyAlignment="1">
      <alignment horizontal="center" vertical="center" wrapText="1"/>
    </xf>
    <xf numFmtId="3" fontId="41" fillId="26" borderId="17" xfId="49" applyNumberFormat="1" applyFont="1" applyFill="1" applyBorder="1" applyAlignment="1">
      <alignment vertical="center" wrapText="1"/>
    </xf>
    <xf numFmtId="3" fontId="40" fillId="27" borderId="17" xfId="49" applyNumberFormat="1" applyFont="1" applyFill="1" applyBorder="1" applyAlignment="1">
      <alignment horizontal="center" vertical="center"/>
    </xf>
    <xf numFmtId="3" fontId="40" fillId="26" borderId="17" xfId="49" applyNumberFormat="1" applyFont="1" applyFill="1" applyBorder="1" applyAlignment="1">
      <alignment wrapText="1"/>
    </xf>
    <xf numFmtId="3" fontId="40" fillId="27" borderId="24" xfId="49" applyNumberFormat="1" applyFont="1" applyFill="1" applyBorder="1" applyAlignment="1">
      <alignment horizontal="center" vertical="center"/>
    </xf>
    <xf numFmtId="3" fontId="40" fillId="27" borderId="52" xfId="49" applyNumberFormat="1" applyFont="1" applyFill="1" applyBorder="1" applyAlignment="1">
      <alignment horizontal="center" vertical="center"/>
    </xf>
    <xf numFmtId="3" fontId="40" fillId="27" borderId="7" xfId="49" applyNumberFormat="1" applyFont="1" applyFill="1" applyBorder="1" applyAlignment="1">
      <alignment horizontal="center" vertical="center"/>
    </xf>
    <xf numFmtId="3" fontId="40" fillId="27" borderId="53" xfId="49" applyNumberFormat="1" applyFont="1" applyFill="1" applyBorder="1" applyAlignment="1">
      <alignment horizontal="center" vertical="center"/>
    </xf>
    <xf numFmtId="3" fontId="40" fillId="27" borderId="32" xfId="49" applyNumberFormat="1" applyFont="1" applyFill="1" applyBorder="1" applyAlignment="1">
      <alignment horizontal="center" vertical="center"/>
    </xf>
    <xf numFmtId="3" fontId="41" fillId="27" borderId="17" xfId="49" applyNumberFormat="1" applyFont="1" applyFill="1" applyBorder="1" applyAlignment="1">
      <alignment horizontal="center" vertical="center"/>
    </xf>
    <xf numFmtId="3" fontId="41" fillId="26" borderId="17" xfId="49" applyNumberFormat="1" applyFont="1" applyFill="1" applyBorder="1" applyAlignment="1">
      <alignment horizontal="left" vertical="center"/>
    </xf>
    <xf numFmtId="3" fontId="40" fillId="27" borderId="17" xfId="49" applyNumberFormat="1" applyFont="1" applyFill="1" applyBorder="1" applyAlignment="1">
      <alignment horizontal="center"/>
    </xf>
    <xf numFmtId="3" fontId="41" fillId="26" borderId="17" xfId="49" applyNumberFormat="1" applyFont="1" applyFill="1" applyBorder="1" applyAlignment="1">
      <alignment horizontal="left" wrapText="1"/>
    </xf>
    <xf numFmtId="3" fontId="41" fillId="33" borderId="24" xfId="49" applyNumberFormat="1" applyFont="1" applyFill="1" applyBorder="1" applyAlignment="1">
      <alignment horizontal="center" vertical="center"/>
    </xf>
    <xf numFmtId="3" fontId="41" fillId="33" borderId="52" xfId="49" applyNumberFormat="1" applyFont="1" applyFill="1" applyBorder="1" applyAlignment="1">
      <alignment horizontal="center" vertical="center"/>
    </xf>
    <xf numFmtId="3" fontId="41" fillId="33" borderId="7" xfId="49" applyNumberFormat="1" applyFont="1" applyFill="1" applyBorder="1" applyAlignment="1">
      <alignment horizontal="center" vertical="center"/>
    </xf>
    <xf numFmtId="3" fontId="41" fillId="33" borderId="53" xfId="49" applyNumberFormat="1" applyFont="1" applyFill="1" applyBorder="1" applyAlignment="1">
      <alignment horizontal="center" vertical="center"/>
    </xf>
    <xf numFmtId="3" fontId="41" fillId="33" borderId="17" xfId="49" applyNumberFormat="1" applyFont="1" applyFill="1" applyBorder="1" applyAlignment="1">
      <alignment horizontal="center" vertical="center"/>
    </xf>
    <xf numFmtId="3" fontId="41" fillId="33" borderId="32" xfId="49" applyNumberFormat="1" applyFont="1" applyFill="1" applyBorder="1" applyAlignment="1">
      <alignment horizontal="center" vertical="center"/>
    </xf>
    <xf numFmtId="3" fontId="42" fillId="26" borderId="17" xfId="49" applyNumberFormat="1" applyFont="1" applyFill="1" applyBorder="1" applyAlignment="1">
      <alignment horizontal="right" wrapText="1"/>
    </xf>
    <xf numFmtId="3" fontId="40" fillId="26" borderId="17" xfId="49" applyNumberFormat="1" applyFont="1" applyFill="1" applyBorder="1" applyAlignment="1">
      <alignment horizontal="left" wrapText="1"/>
    </xf>
    <xf numFmtId="3" fontId="42" fillId="26" borderId="17" xfId="49" applyNumberFormat="1" applyFont="1" applyFill="1" applyBorder="1" applyAlignment="1">
      <alignment horizontal="right" vertical="center" wrapText="1"/>
    </xf>
    <xf numFmtId="3" fontId="12" fillId="26" borderId="17" xfId="49" applyNumberFormat="1" applyFont="1" applyFill="1" applyBorder="1" applyAlignment="1">
      <alignment horizontal="left" wrapText="1"/>
    </xf>
    <xf numFmtId="3" fontId="40" fillId="20" borderId="24" xfId="49" applyNumberFormat="1" applyFont="1" applyFill="1" applyBorder="1" applyAlignment="1">
      <alignment horizontal="center" vertical="center"/>
    </xf>
    <xf numFmtId="3" fontId="40" fillId="20" borderId="52" xfId="49" applyNumberFormat="1" applyFont="1" applyFill="1" applyBorder="1" applyAlignment="1">
      <alignment horizontal="center" vertical="center"/>
    </xf>
    <xf numFmtId="3" fontId="40" fillId="20" borderId="7" xfId="49" applyNumberFormat="1" applyFont="1" applyFill="1" applyBorder="1" applyAlignment="1">
      <alignment horizontal="center" vertical="center"/>
    </xf>
    <xf numFmtId="3" fontId="40" fillId="20" borderId="53" xfId="49" applyNumberFormat="1" applyFont="1" applyFill="1" applyBorder="1" applyAlignment="1">
      <alignment horizontal="center" vertical="center"/>
    </xf>
    <xf numFmtId="3" fontId="40" fillId="20" borderId="17" xfId="49" applyNumberFormat="1" applyFont="1" applyFill="1" applyBorder="1" applyAlignment="1">
      <alignment horizontal="center" vertical="center"/>
    </xf>
    <xf numFmtId="3" fontId="40" fillId="20" borderId="32" xfId="49" applyNumberFormat="1" applyFont="1" applyFill="1" applyBorder="1" applyAlignment="1">
      <alignment horizontal="center" vertical="center"/>
    </xf>
    <xf numFmtId="3" fontId="41" fillId="27" borderId="24" xfId="49" applyNumberFormat="1" applyFont="1" applyFill="1" applyBorder="1" applyAlignment="1">
      <alignment horizontal="center" vertical="center"/>
    </xf>
    <xf numFmtId="3" fontId="41" fillId="26" borderId="17" xfId="49" applyNumberFormat="1" applyFont="1" applyFill="1" applyBorder="1" applyAlignment="1">
      <alignment horizontal="left" vertical="center" wrapText="1"/>
    </xf>
    <xf numFmtId="3" fontId="40" fillId="26" borderId="17" xfId="49" applyNumberFormat="1" applyFont="1" applyFill="1" applyBorder="1" applyAlignment="1">
      <alignment horizontal="left" vertical="center" wrapText="1"/>
    </xf>
    <xf numFmtId="3" fontId="40" fillId="27" borderId="30" xfId="49" applyNumberFormat="1" applyFont="1" applyFill="1" applyBorder="1" applyAlignment="1">
      <alignment horizontal="center" vertical="center"/>
    </xf>
    <xf numFmtId="3" fontId="40" fillId="27" borderId="21" xfId="49" applyNumberFormat="1" applyFont="1" applyFill="1" applyBorder="1" applyAlignment="1">
      <alignment wrapText="1"/>
    </xf>
    <xf numFmtId="3" fontId="41" fillId="0" borderId="42" xfId="49" applyNumberFormat="1" applyFont="1" applyBorder="1" applyAlignment="1">
      <alignment horizontal="center" vertical="center" wrapText="1"/>
    </xf>
    <xf numFmtId="3" fontId="40" fillId="27" borderId="56" xfId="49" applyNumberFormat="1" applyFont="1" applyFill="1" applyBorder="1" applyAlignment="1">
      <alignment horizontal="center" vertical="center" wrapText="1"/>
    </xf>
    <xf numFmtId="3" fontId="40" fillId="27" borderId="77" xfId="49" applyNumberFormat="1" applyFont="1" applyFill="1" applyBorder="1" applyAlignment="1">
      <alignment horizontal="center" vertical="center" wrapText="1"/>
    </xf>
    <xf numFmtId="3" fontId="40" fillId="27" borderId="78" xfId="49" applyNumberFormat="1" applyFont="1" applyFill="1" applyBorder="1" applyAlignment="1">
      <alignment horizontal="center" vertical="center" wrapText="1"/>
    </xf>
    <xf numFmtId="3" fontId="41" fillId="0" borderId="34" xfId="49" applyNumberFormat="1" applyFont="1" applyBorder="1" applyAlignment="1">
      <alignment horizontal="center" vertical="center" wrapText="1"/>
    </xf>
    <xf numFmtId="3" fontId="40" fillId="27" borderId="57" xfId="49" applyNumberFormat="1" applyFont="1" applyFill="1" applyBorder="1" applyAlignment="1">
      <alignment horizontal="center" vertical="center" wrapText="1"/>
    </xf>
    <xf numFmtId="3" fontId="40" fillId="27" borderId="79" xfId="49" applyNumberFormat="1" applyFont="1" applyFill="1" applyBorder="1" applyAlignment="1">
      <alignment horizontal="center" vertical="center" wrapText="1"/>
    </xf>
    <xf numFmtId="3" fontId="40" fillId="31" borderId="60" xfId="49" applyNumberFormat="1" applyFont="1" applyFill="1" applyBorder="1" applyAlignment="1">
      <alignment horizontal="center" wrapText="1"/>
    </xf>
    <xf numFmtId="3" fontId="40" fillId="27" borderId="5" xfId="49" applyNumberFormat="1" applyFont="1" applyFill="1" applyBorder="1" applyAlignment="1">
      <alignment horizontal="center" vertical="center"/>
    </xf>
    <xf numFmtId="3" fontId="40" fillId="27" borderId="5" xfId="49" applyNumberFormat="1" applyFont="1" applyFill="1" applyBorder="1" applyAlignment="1">
      <alignment wrapText="1"/>
    </xf>
    <xf numFmtId="3" fontId="40" fillId="0" borderId="25" xfId="49" applyNumberFormat="1" applyFont="1" applyBorder="1" applyAlignment="1">
      <alignment horizontal="center" vertical="center" wrapText="1"/>
    </xf>
    <xf numFmtId="3" fontId="40" fillId="0" borderId="75" xfId="49" applyNumberFormat="1" applyFont="1" applyBorder="1" applyAlignment="1">
      <alignment horizontal="center" vertical="center" wrapText="1"/>
    </xf>
    <xf numFmtId="3" fontId="40" fillId="0" borderId="73" xfId="49" applyNumberFormat="1" applyFont="1" applyBorder="1" applyAlignment="1">
      <alignment horizontal="center" vertical="center" wrapText="1"/>
    </xf>
    <xf numFmtId="3" fontId="40" fillId="0" borderId="74" xfId="49" applyNumberFormat="1" applyFont="1" applyBorder="1" applyAlignment="1">
      <alignment horizontal="center" vertical="center" wrapText="1"/>
    </xf>
    <xf numFmtId="3" fontId="40" fillId="0" borderId="76" xfId="49" applyNumberFormat="1" applyFont="1" applyBorder="1" applyAlignment="1">
      <alignment horizontal="center" vertical="center" wrapText="1"/>
    </xf>
    <xf numFmtId="3" fontId="40" fillId="0" borderId="72" xfId="49" applyNumberFormat="1" applyFont="1" applyBorder="1" applyAlignment="1">
      <alignment horizontal="center" vertical="center" wrapText="1"/>
    </xf>
    <xf numFmtId="3" fontId="41" fillId="0" borderId="62" xfId="49" applyNumberFormat="1" applyFont="1" applyBorder="1" applyAlignment="1">
      <alignment horizontal="center" vertical="center" wrapText="1"/>
    </xf>
    <xf numFmtId="3" fontId="41" fillId="27" borderId="17" xfId="49" applyNumberFormat="1" applyFont="1" applyFill="1" applyBorder="1" applyAlignment="1">
      <alignment vertical="center" wrapText="1"/>
    </xf>
    <xf numFmtId="3" fontId="40" fillId="27" borderId="17" xfId="49" applyNumberFormat="1" applyFont="1" applyFill="1" applyBorder="1" applyAlignment="1">
      <alignment wrapText="1"/>
    </xf>
    <xf numFmtId="3" fontId="40" fillId="0" borderId="24" xfId="49" applyNumberFormat="1" applyFont="1" applyBorder="1" applyAlignment="1">
      <alignment horizontal="center" vertical="center"/>
    </xf>
    <xf numFmtId="3" fontId="40" fillId="0" borderId="52" xfId="49" applyNumberFormat="1" applyFont="1" applyBorder="1" applyAlignment="1">
      <alignment horizontal="center" vertical="center"/>
    </xf>
    <xf numFmtId="3" fontId="40" fillId="0" borderId="7" xfId="49" applyNumberFormat="1" applyFont="1" applyBorder="1" applyAlignment="1">
      <alignment horizontal="center" vertical="center"/>
    </xf>
    <xf numFmtId="3" fontId="40" fillId="0" borderId="62" xfId="49" applyNumberFormat="1" applyFont="1" applyBorder="1" applyAlignment="1">
      <alignment horizontal="center" vertical="center"/>
    </xf>
    <xf numFmtId="3" fontId="40" fillId="0" borderId="17" xfId="49" applyNumberFormat="1" applyFont="1" applyBorder="1" applyAlignment="1">
      <alignment horizontal="center" vertical="center"/>
    </xf>
    <xf numFmtId="3" fontId="40" fillId="0" borderId="53" xfId="49" applyNumberFormat="1" applyFont="1" applyBorder="1" applyAlignment="1">
      <alignment horizontal="center" vertical="center"/>
    </xf>
    <xf numFmtId="3" fontId="40" fillId="0" borderId="32" xfId="49" applyNumberFormat="1" applyFont="1" applyBorder="1" applyAlignment="1">
      <alignment horizontal="center" vertical="center"/>
    </xf>
    <xf numFmtId="3" fontId="41" fillId="27" borderId="17" xfId="49" applyNumberFormat="1" applyFont="1" applyFill="1" applyBorder="1" applyAlignment="1">
      <alignment horizontal="left" vertical="center"/>
    </xf>
    <xf numFmtId="3" fontId="41" fillId="27" borderId="17" xfId="49" applyNumberFormat="1" applyFont="1" applyFill="1" applyBorder="1" applyAlignment="1">
      <alignment horizontal="left" wrapText="1"/>
    </xf>
    <xf numFmtId="3" fontId="41" fillId="33" borderId="62" xfId="49" applyNumberFormat="1" applyFont="1" applyFill="1" applyBorder="1" applyAlignment="1">
      <alignment horizontal="center" vertical="center"/>
    </xf>
    <xf numFmtId="3" fontId="42" fillId="27" borderId="17" xfId="49" applyNumberFormat="1" applyFont="1" applyFill="1" applyBorder="1" applyAlignment="1">
      <alignment horizontal="center" vertical="center"/>
    </xf>
    <xf numFmtId="3" fontId="42" fillId="27" borderId="17" xfId="49" applyNumberFormat="1" applyFont="1" applyFill="1" applyBorder="1" applyAlignment="1">
      <alignment horizontal="right" wrapText="1"/>
    </xf>
    <xf numFmtId="3" fontId="42" fillId="0" borderId="52" xfId="49" applyNumberFormat="1" applyFont="1" applyBorder="1" applyAlignment="1">
      <alignment horizontal="center" vertical="center" wrapText="1"/>
    </xf>
    <xf numFmtId="3" fontId="42" fillId="27" borderId="7" xfId="49" applyNumberFormat="1" applyFont="1" applyFill="1" applyBorder="1" applyAlignment="1">
      <alignment horizontal="center" vertical="center" wrapText="1"/>
    </xf>
    <xf numFmtId="3" fontId="42" fillId="27" borderId="62" xfId="49" applyNumberFormat="1" applyFont="1" applyFill="1" applyBorder="1" applyAlignment="1">
      <alignment horizontal="center" vertical="center" wrapText="1"/>
    </xf>
    <xf numFmtId="3" fontId="42" fillId="27" borderId="52" xfId="49" applyNumberFormat="1" applyFont="1" applyFill="1" applyBorder="1" applyAlignment="1">
      <alignment horizontal="center" vertical="center" wrapText="1"/>
    </xf>
    <xf numFmtId="3" fontId="42" fillId="27" borderId="53" xfId="49" applyNumberFormat="1" applyFont="1" applyFill="1" applyBorder="1" applyAlignment="1">
      <alignment horizontal="center" vertical="center" wrapText="1"/>
    </xf>
    <xf numFmtId="3" fontId="42" fillId="27" borderId="32" xfId="49" applyNumberFormat="1" applyFont="1" applyFill="1" applyBorder="1" applyAlignment="1">
      <alignment horizontal="center" vertical="center" wrapText="1"/>
    </xf>
    <xf numFmtId="3" fontId="40" fillId="0" borderId="52" xfId="49" applyNumberFormat="1" applyFont="1" applyBorder="1" applyAlignment="1">
      <alignment horizontal="center" vertical="center" wrapText="1"/>
    </xf>
    <xf numFmtId="3" fontId="40" fillId="0" borderId="62" xfId="49" applyNumberFormat="1" applyFont="1" applyBorder="1" applyAlignment="1">
      <alignment horizontal="center" vertical="center" wrapText="1"/>
    </xf>
    <xf numFmtId="3" fontId="40" fillId="0" borderId="53" xfId="49" applyNumberFormat="1" applyFont="1" applyBorder="1" applyAlignment="1">
      <alignment horizontal="center" vertical="center" wrapText="1"/>
    </xf>
    <xf numFmtId="3" fontId="40" fillId="0" borderId="5" xfId="49" applyNumberFormat="1" applyFont="1" applyBorder="1" applyAlignment="1">
      <alignment horizontal="center" vertical="center" wrapText="1"/>
    </xf>
    <xf numFmtId="3" fontId="40" fillId="27" borderId="36" xfId="49" applyNumberFormat="1" applyFont="1" applyFill="1" applyBorder="1" applyAlignment="1">
      <alignment horizontal="center" vertical="center"/>
    </xf>
    <xf numFmtId="3" fontId="40" fillId="26" borderId="21" xfId="49" applyNumberFormat="1" applyFont="1" applyFill="1" applyBorder="1" applyAlignment="1">
      <alignment wrapText="1"/>
    </xf>
    <xf numFmtId="3" fontId="40" fillId="0" borderId="21" xfId="49" applyNumberFormat="1" applyFont="1" applyBorder="1" applyAlignment="1">
      <alignment horizontal="center" vertical="center" wrapText="1"/>
    </xf>
    <xf numFmtId="3" fontId="40" fillId="0" borderId="56" xfId="49" applyNumberFormat="1" applyFont="1" applyBorder="1" applyAlignment="1">
      <alignment horizontal="center" vertical="center" wrapText="1"/>
    </xf>
    <xf numFmtId="3" fontId="40" fillId="0" borderId="77" xfId="49" applyNumberFormat="1" applyFont="1" applyBorder="1" applyAlignment="1">
      <alignment horizontal="center" vertical="center" wrapText="1"/>
    </xf>
    <xf numFmtId="3" fontId="40" fillId="0" borderId="78" xfId="49" applyNumberFormat="1" applyFont="1" applyBorder="1" applyAlignment="1">
      <alignment horizontal="center" vertical="center" wrapText="1"/>
    </xf>
    <xf numFmtId="3" fontId="40" fillId="0" borderId="57" xfId="49" applyNumberFormat="1" applyFont="1" applyBorder="1" applyAlignment="1">
      <alignment horizontal="center" vertical="center" wrapText="1"/>
    </xf>
    <xf numFmtId="3" fontId="40" fillId="0" borderId="79" xfId="49" applyNumberFormat="1" applyFont="1" applyBorder="1" applyAlignment="1">
      <alignment horizontal="center" vertical="center" wrapText="1"/>
    </xf>
    <xf numFmtId="3" fontId="21" fillId="27" borderId="0" xfId="49" applyNumberFormat="1" applyFont="1" applyFill="1" applyAlignment="1">
      <alignment horizontal="center" vertical="center"/>
    </xf>
    <xf numFmtId="3" fontId="21" fillId="27" borderId="0" xfId="49" applyNumberFormat="1" applyFont="1" applyFill="1" applyAlignment="1">
      <alignment vertical="center"/>
    </xf>
    <xf numFmtId="3" fontId="21" fillId="27" borderId="0" xfId="49" applyNumberFormat="1" applyFont="1" applyFill="1" applyAlignment="1">
      <alignment horizontal="right" vertical="center"/>
    </xf>
    <xf numFmtId="3" fontId="12" fillId="31" borderId="29" xfId="32" applyNumberFormat="1" applyFont="1" applyFill="1" applyBorder="1"/>
    <xf numFmtId="3" fontId="43" fillId="31" borderId="51" xfId="32" applyNumberFormat="1" applyFont="1" applyFill="1" applyBorder="1" applyAlignment="1">
      <alignment horizontal="left" vertical="center" wrapText="1"/>
    </xf>
    <xf numFmtId="3" fontId="12" fillId="31" borderId="75" xfId="70" applyNumberFormat="1" applyFont="1" applyFill="1" applyBorder="1" applyAlignment="1" applyProtection="1">
      <alignment horizontal="center"/>
    </xf>
    <xf numFmtId="3" fontId="12" fillId="31" borderId="73" xfId="70" applyNumberFormat="1" applyFont="1" applyFill="1" applyBorder="1" applyAlignment="1" applyProtection="1">
      <alignment horizontal="center"/>
    </xf>
    <xf numFmtId="3" fontId="12" fillId="31" borderId="76" xfId="70" applyNumberFormat="1" applyFont="1" applyFill="1" applyBorder="1" applyAlignment="1" applyProtection="1">
      <alignment horizontal="center"/>
    </xf>
    <xf numFmtId="3" fontId="89" fillId="27" borderId="27" xfId="70" applyNumberFormat="1" applyFont="1" applyFill="1" applyBorder="1" applyAlignment="1" applyProtection="1">
      <alignment horizontal="center"/>
    </xf>
    <xf numFmtId="3" fontId="12" fillId="31" borderId="36" xfId="32" applyNumberFormat="1" applyFont="1" applyFill="1" applyBorder="1"/>
    <xf numFmtId="3" fontId="43" fillId="31" borderId="39" xfId="32" applyNumberFormat="1" applyFont="1" applyFill="1" applyBorder="1" applyAlignment="1">
      <alignment horizontal="left" vertical="center" wrapText="1"/>
    </xf>
    <xf numFmtId="3" fontId="12" fillId="31" borderId="52" xfId="70" applyNumberFormat="1" applyFont="1" applyFill="1" applyBorder="1" applyAlignment="1" applyProtection="1">
      <alignment horizontal="center"/>
    </xf>
    <xf numFmtId="3" fontId="12" fillId="31" borderId="7" xfId="70" applyNumberFormat="1" applyFont="1" applyFill="1" applyBorder="1" applyAlignment="1" applyProtection="1">
      <alignment horizontal="center"/>
    </xf>
    <xf numFmtId="3" fontId="12" fillId="31" borderId="53" xfId="70" applyNumberFormat="1" applyFont="1" applyFill="1" applyBorder="1" applyAlignment="1" applyProtection="1">
      <alignment horizontal="center"/>
    </xf>
    <xf numFmtId="3" fontId="12" fillId="31" borderId="30" xfId="32" applyNumberFormat="1" applyFont="1" applyFill="1" applyBorder="1"/>
    <xf numFmtId="3" fontId="43" fillId="31" borderId="21" xfId="32" applyNumberFormat="1" applyFont="1" applyFill="1" applyBorder="1" applyAlignment="1">
      <alignment horizontal="left" vertical="center" wrapText="1"/>
    </xf>
    <xf numFmtId="3" fontId="12" fillId="31" borderId="56" xfId="70" applyNumberFormat="1" applyFont="1" applyFill="1" applyBorder="1" applyAlignment="1" applyProtection="1">
      <alignment horizontal="center"/>
    </xf>
    <xf numFmtId="3" fontId="12" fillId="31" borderId="77" xfId="70" applyNumberFormat="1" applyFont="1" applyFill="1" applyBorder="1" applyAlignment="1" applyProtection="1">
      <alignment horizontal="center"/>
    </xf>
    <xf numFmtId="3" fontId="12" fillId="31" borderId="57" xfId="70" applyNumberFormat="1" applyFont="1" applyFill="1" applyBorder="1" applyAlignment="1" applyProtection="1">
      <alignment horizontal="center"/>
    </xf>
    <xf numFmtId="3" fontId="21" fillId="31" borderId="38" xfId="70" applyNumberFormat="1" applyFont="1" applyFill="1" applyBorder="1" applyAlignment="1" applyProtection="1">
      <alignment horizontal="center" vertical="center"/>
    </xf>
    <xf numFmtId="3" fontId="21" fillId="31" borderId="9" xfId="70" applyNumberFormat="1" applyFont="1" applyFill="1" applyBorder="1" applyAlignment="1" applyProtection="1">
      <alignment horizontal="center" vertical="center"/>
    </xf>
    <xf numFmtId="3" fontId="21" fillId="31" borderId="10" xfId="70" applyNumberFormat="1" applyFont="1" applyFill="1" applyBorder="1" applyAlignment="1" applyProtection="1">
      <alignment horizontal="center" vertical="center"/>
    </xf>
    <xf numFmtId="3" fontId="21" fillId="27" borderId="0" xfId="0" applyNumberFormat="1" applyFont="1" applyFill="1" applyAlignment="1">
      <alignment horizontal="right"/>
    </xf>
    <xf numFmtId="3" fontId="12" fillId="27" borderId="0" xfId="0" applyNumberFormat="1" applyFont="1" applyFill="1"/>
    <xf numFmtId="3" fontId="65" fillId="27" borderId="0" xfId="0" applyNumberFormat="1" applyFont="1" applyFill="1" applyAlignment="1">
      <alignment vertical="center"/>
    </xf>
    <xf numFmtId="3" fontId="65" fillId="27" borderId="0" xfId="0" applyNumberFormat="1" applyFont="1" applyFill="1" applyAlignment="1">
      <alignment horizontal="right" vertical="center"/>
    </xf>
    <xf numFmtId="3" fontId="65" fillId="27" borderId="0" xfId="0" applyNumberFormat="1" applyFont="1" applyFill="1" applyAlignment="1">
      <alignment horizontal="left" vertical="center"/>
    </xf>
    <xf numFmtId="3" fontId="12" fillId="27" borderId="0" xfId="0" applyNumberFormat="1" applyFont="1" applyFill="1" applyAlignment="1">
      <alignment horizontal="right"/>
    </xf>
    <xf numFmtId="3" fontId="12" fillId="27" borderId="0" xfId="31" applyNumberFormat="1" applyFont="1" applyFill="1"/>
    <xf numFmtId="3" fontId="36" fillId="27" borderId="0" xfId="0" applyNumberFormat="1" applyFont="1" applyFill="1" applyAlignment="1">
      <alignment horizontal="center"/>
    </xf>
    <xf numFmtId="3" fontId="12" fillId="27" borderId="0" xfId="0" applyNumberFormat="1" applyFont="1" applyFill="1" applyAlignment="1">
      <alignment vertical="center"/>
    </xf>
    <xf numFmtId="3" fontId="84" fillId="27" borderId="0" xfId="0" applyNumberFormat="1" applyFont="1" applyFill="1" applyAlignment="1">
      <alignment horizontal="left" vertical="center"/>
    </xf>
    <xf numFmtId="3" fontId="65" fillId="27" borderId="0" xfId="49" applyNumberFormat="1" applyFont="1" applyFill="1"/>
    <xf numFmtId="3" fontId="21" fillId="27" borderId="0" xfId="0" applyNumberFormat="1" applyFont="1" applyFill="1"/>
    <xf numFmtId="3" fontId="43" fillId="27" borderId="0" xfId="49" applyNumberFormat="1" applyFont="1" applyFill="1" applyAlignment="1">
      <alignment horizontal="left"/>
    </xf>
    <xf numFmtId="3" fontId="21" fillId="27" borderId="0" xfId="49" applyNumberFormat="1" applyFont="1" applyFill="1" applyAlignment="1">
      <alignment horizontal="left" indent="1"/>
    </xf>
    <xf numFmtId="3" fontId="43" fillId="27" borderId="0" xfId="31" applyNumberFormat="1" applyFont="1" applyFill="1"/>
    <xf numFmtId="3" fontId="43" fillId="27" borderId="0" xfId="49" applyNumberFormat="1" applyFont="1" applyFill="1" applyAlignment="1">
      <alignment horizontal="left" indent="1"/>
    </xf>
    <xf numFmtId="0" fontId="13" fillId="27" borderId="0" xfId="49" applyFont="1" applyFill="1" applyAlignment="1">
      <alignment vertical="center"/>
    </xf>
    <xf numFmtId="0" fontId="13" fillId="27" borderId="0" xfId="49" applyFont="1" applyFill="1" applyAlignment="1">
      <alignment horizontal="right" vertical="center"/>
    </xf>
    <xf numFmtId="1" fontId="21" fillId="38" borderId="1" xfId="21" applyFont="1" applyFill="1" applyBorder="1">
      <alignment horizontal="center" vertical="center" wrapText="1"/>
    </xf>
    <xf numFmtId="1" fontId="21" fillId="38" borderId="38" xfId="21" applyFont="1" applyFill="1" applyBorder="1">
      <alignment horizontal="center" vertical="center" wrapText="1"/>
    </xf>
    <xf numFmtId="1" fontId="21" fillId="38" borderId="9" xfId="21" applyFont="1" applyFill="1" applyBorder="1">
      <alignment horizontal="center" vertical="center" wrapText="1"/>
    </xf>
    <xf numFmtId="1" fontId="21" fillId="38" borderId="60" xfId="21" applyFont="1" applyFill="1" applyBorder="1">
      <alignment horizontal="center" vertical="center" wrapText="1"/>
    </xf>
    <xf numFmtId="1" fontId="21" fillId="38" borderId="2" xfId="21" applyFont="1" applyFill="1" applyBorder="1">
      <alignment horizontal="center" vertical="center" wrapText="1"/>
    </xf>
    <xf numFmtId="1" fontId="21" fillId="38" borderId="65" xfId="21" applyFont="1" applyFill="1" applyBorder="1">
      <alignment horizontal="center" vertical="center" wrapText="1"/>
    </xf>
    <xf numFmtId="1" fontId="21" fillId="38" borderId="10" xfId="21" applyFont="1" applyFill="1" applyBorder="1">
      <alignment horizontal="center" vertical="center" wrapText="1"/>
    </xf>
    <xf numFmtId="0" fontId="21" fillId="32" borderId="1" xfId="49" applyFont="1" applyFill="1" applyBorder="1" applyAlignment="1">
      <alignment horizontal="center" vertical="center"/>
    </xf>
    <xf numFmtId="0" fontId="21" fillId="32" borderId="2" xfId="49" applyFont="1" applyFill="1" applyBorder="1" applyAlignment="1">
      <alignment vertical="center" wrapText="1"/>
    </xf>
    <xf numFmtId="0" fontId="21" fillId="32" borderId="2" xfId="49" applyFont="1" applyFill="1" applyBorder="1" applyAlignment="1">
      <alignment horizontal="center" vertical="center" wrapText="1"/>
    </xf>
    <xf numFmtId="49" fontId="21" fillId="24" borderId="1" xfId="49" applyNumberFormat="1" applyFont="1" applyFill="1" applyBorder="1" applyAlignment="1">
      <alignment horizontal="center" vertical="center"/>
    </xf>
    <xf numFmtId="49" fontId="21" fillId="24" borderId="1" xfId="49" applyNumberFormat="1" applyFont="1" applyFill="1" applyBorder="1" applyAlignment="1">
      <alignment vertical="center"/>
    </xf>
    <xf numFmtId="3" fontId="21" fillId="31" borderId="65" xfId="49" applyNumberFormat="1" applyFont="1" applyFill="1" applyBorder="1" applyAlignment="1">
      <alignment horizontal="center" vertical="center" wrapText="1"/>
    </xf>
    <xf numFmtId="3" fontId="21" fillId="31" borderId="9" xfId="49" applyNumberFormat="1" applyFont="1" applyFill="1" applyBorder="1" applyAlignment="1">
      <alignment horizontal="center" vertical="center" wrapText="1"/>
    </xf>
    <xf numFmtId="3" fontId="21" fillId="31" borderId="60" xfId="49" applyNumberFormat="1" applyFont="1" applyFill="1" applyBorder="1" applyAlignment="1">
      <alignment horizontal="center" vertical="center" wrapText="1"/>
    </xf>
    <xf numFmtId="3" fontId="21" fillId="31" borderId="2" xfId="49" applyNumberFormat="1" applyFont="1" applyFill="1" applyBorder="1" applyAlignment="1">
      <alignment horizontal="center" vertical="center" wrapText="1"/>
    </xf>
    <xf numFmtId="3" fontId="21" fillId="31" borderId="10" xfId="49" applyNumberFormat="1" applyFont="1" applyFill="1" applyBorder="1" applyAlignment="1">
      <alignment horizontal="center" vertical="center" wrapText="1"/>
    </xf>
    <xf numFmtId="0" fontId="21" fillId="27" borderId="5" xfId="49" applyFont="1" applyFill="1" applyBorder="1" applyAlignment="1">
      <alignment horizontal="center" vertical="center"/>
    </xf>
    <xf numFmtId="9" fontId="21" fillId="27" borderId="5" xfId="49" applyNumberFormat="1" applyFont="1" applyFill="1" applyBorder="1" applyAlignment="1">
      <alignment horizontal="center" vertical="center"/>
    </xf>
    <xf numFmtId="0" fontId="21" fillId="27" borderId="25" xfId="49" applyFont="1" applyFill="1" applyBorder="1" applyAlignment="1">
      <alignment vertical="center" wrapText="1"/>
    </xf>
    <xf numFmtId="3" fontId="21" fillId="27" borderId="26" xfId="49" applyNumberFormat="1" applyFont="1" applyFill="1" applyBorder="1" applyAlignment="1">
      <alignment horizontal="center" vertical="center" wrapText="1"/>
    </xf>
    <xf numFmtId="3" fontId="21" fillId="27" borderId="80" xfId="49" applyNumberFormat="1" applyFont="1" applyFill="1" applyBorder="1" applyAlignment="1">
      <alignment horizontal="center" vertical="center" wrapText="1"/>
    </xf>
    <xf numFmtId="3" fontId="21" fillId="27" borderId="58" xfId="49" applyNumberFormat="1" applyFont="1" applyFill="1" applyBorder="1" applyAlignment="1">
      <alignment horizontal="center" vertical="center" wrapText="1"/>
    </xf>
    <xf numFmtId="3" fontId="21" fillId="27" borderId="59" xfId="49" applyNumberFormat="1" applyFont="1" applyFill="1" applyBorder="1" applyAlignment="1">
      <alignment horizontal="center" vertical="center" wrapText="1"/>
    </xf>
    <xf numFmtId="3" fontId="21" fillId="27" borderId="46" xfId="49" applyNumberFormat="1" applyFont="1" applyFill="1" applyBorder="1" applyAlignment="1">
      <alignment horizontal="center" vertical="center" wrapText="1"/>
    </xf>
    <xf numFmtId="0" fontId="12" fillId="27" borderId="5" xfId="49" applyFont="1" applyFill="1" applyBorder="1" applyAlignment="1">
      <alignment horizontal="center" vertical="center"/>
    </xf>
    <xf numFmtId="0" fontId="12" fillId="26" borderId="5" xfId="49" applyFont="1" applyFill="1" applyBorder="1" applyAlignment="1">
      <alignment horizontal="center" vertical="center"/>
    </xf>
    <xf numFmtId="9" fontId="12" fillId="26" borderId="5" xfId="49" applyNumberFormat="1" applyFont="1" applyFill="1" applyBorder="1" applyAlignment="1">
      <alignment horizontal="center" vertical="center"/>
    </xf>
    <xf numFmtId="0" fontId="12" fillId="26" borderId="25" xfId="49" applyFont="1" applyFill="1" applyBorder="1" applyAlignment="1">
      <alignment vertical="center" wrapText="1"/>
    </xf>
    <xf numFmtId="0" fontId="12" fillId="26" borderId="24" xfId="49" applyFont="1" applyFill="1" applyBorder="1" applyAlignment="1">
      <alignment vertical="center" wrapText="1"/>
    </xf>
    <xf numFmtId="0" fontId="21" fillId="27" borderId="17" xfId="49" applyFont="1" applyFill="1" applyBorder="1" applyAlignment="1">
      <alignment horizontal="center" vertical="center"/>
    </xf>
    <xf numFmtId="0" fontId="21" fillId="26" borderId="17" xfId="49" applyFont="1" applyFill="1" applyBorder="1" applyAlignment="1">
      <alignment horizontal="center" vertical="center"/>
    </xf>
    <xf numFmtId="9" fontId="21" fillId="26" borderId="17" xfId="49" applyNumberFormat="1" applyFont="1" applyFill="1" applyBorder="1" applyAlignment="1">
      <alignment horizontal="center" vertical="center"/>
    </xf>
    <xf numFmtId="0" fontId="21" fillId="26" borderId="24" xfId="49" applyFont="1" applyFill="1" applyBorder="1" applyAlignment="1">
      <alignment vertical="center" wrapText="1"/>
    </xf>
    <xf numFmtId="3" fontId="21" fillId="27" borderId="17" xfId="49" applyNumberFormat="1" applyFont="1" applyFill="1" applyBorder="1" applyAlignment="1">
      <alignment horizontal="center" vertical="center"/>
    </xf>
    <xf numFmtId="3" fontId="21" fillId="27" borderId="32" xfId="49" applyNumberFormat="1" applyFont="1" applyFill="1" applyBorder="1" applyAlignment="1">
      <alignment horizontal="center" vertical="center"/>
    </xf>
    <xf numFmtId="3" fontId="21" fillId="27" borderId="7" xfId="49" applyNumberFormat="1" applyFont="1" applyFill="1" applyBorder="1" applyAlignment="1">
      <alignment horizontal="center" vertical="center"/>
    </xf>
    <xf numFmtId="3" fontId="21" fillId="27" borderId="62" xfId="49" applyNumberFormat="1" applyFont="1" applyFill="1" applyBorder="1" applyAlignment="1">
      <alignment horizontal="center" vertical="center"/>
    </xf>
    <xf numFmtId="3" fontId="21" fillId="27" borderId="53" xfId="49" applyNumberFormat="1" applyFont="1" applyFill="1" applyBorder="1" applyAlignment="1">
      <alignment horizontal="center" vertical="center"/>
    </xf>
    <xf numFmtId="0" fontId="12" fillId="27" borderId="17" xfId="49" applyFont="1" applyFill="1" applyBorder="1" applyAlignment="1">
      <alignment horizontal="center" vertical="center"/>
    </xf>
    <xf numFmtId="9" fontId="12" fillId="26" borderId="17" xfId="49" applyNumberFormat="1" applyFont="1" applyFill="1" applyBorder="1" applyAlignment="1">
      <alignment horizontal="center" vertical="center"/>
    </xf>
    <xf numFmtId="9" fontId="12" fillId="26" borderId="24" xfId="49" applyNumberFormat="1" applyFont="1" applyFill="1" applyBorder="1" applyAlignment="1">
      <alignment horizontal="left" vertical="center"/>
    </xf>
    <xf numFmtId="49" fontId="21" fillId="26" borderId="24" xfId="49" applyNumberFormat="1" applyFont="1" applyFill="1" applyBorder="1" applyAlignment="1">
      <alignment vertical="center" wrapText="1"/>
    </xf>
    <xf numFmtId="49" fontId="12" fillId="26" borderId="24" xfId="49" applyNumberFormat="1" applyFont="1" applyFill="1" applyBorder="1" applyAlignment="1">
      <alignment horizontal="left" vertical="center" wrapText="1"/>
    </xf>
    <xf numFmtId="3" fontId="12" fillId="33" borderId="17" xfId="49" applyNumberFormat="1" applyFont="1" applyFill="1" applyBorder="1" applyAlignment="1">
      <alignment horizontal="center" vertical="center"/>
    </xf>
    <xf numFmtId="3" fontId="12" fillId="33" borderId="32" xfId="49" applyNumberFormat="1" applyFont="1" applyFill="1" applyBorder="1" applyAlignment="1">
      <alignment horizontal="center" vertical="center"/>
    </xf>
    <xf numFmtId="3" fontId="12" fillId="33" borderId="7" xfId="49" applyNumberFormat="1" applyFont="1" applyFill="1" applyBorder="1" applyAlignment="1">
      <alignment horizontal="center" vertical="center"/>
    </xf>
    <xf numFmtId="3" fontId="12" fillId="33" borderId="62" xfId="49" applyNumberFormat="1" applyFont="1" applyFill="1" applyBorder="1" applyAlignment="1">
      <alignment horizontal="center" vertical="center"/>
    </xf>
    <xf numFmtId="3" fontId="12" fillId="33" borderId="53" xfId="49" applyNumberFormat="1" applyFont="1" applyFill="1" applyBorder="1" applyAlignment="1">
      <alignment horizontal="center" vertical="center"/>
    </xf>
    <xf numFmtId="0" fontId="43" fillId="26" borderId="17" xfId="49" applyFont="1" applyFill="1" applyBorder="1" applyAlignment="1">
      <alignment horizontal="center" vertical="center"/>
    </xf>
    <xf numFmtId="9" fontId="43" fillId="26" borderId="17" xfId="70" applyFont="1" applyFill="1" applyBorder="1" applyAlignment="1" applyProtection="1">
      <alignment horizontal="center" vertical="center"/>
    </xf>
    <xf numFmtId="49" fontId="43" fillId="26" borderId="24" xfId="49" applyNumberFormat="1" applyFont="1" applyFill="1" applyBorder="1" applyAlignment="1">
      <alignment horizontal="right" vertical="center" wrapText="1"/>
    </xf>
    <xf numFmtId="9" fontId="12" fillId="26" borderId="17" xfId="70" applyFont="1" applyFill="1" applyBorder="1" applyAlignment="1" applyProtection="1">
      <alignment horizontal="center" vertical="center"/>
    </xf>
    <xf numFmtId="9" fontId="43" fillId="26" borderId="17" xfId="49" applyNumberFormat="1" applyFont="1" applyFill="1" applyBorder="1" applyAlignment="1">
      <alignment horizontal="center" vertical="center"/>
    </xf>
    <xf numFmtId="49" fontId="21" fillId="26" borderId="24" xfId="49" applyNumberFormat="1" applyFont="1" applyFill="1" applyBorder="1" applyAlignment="1">
      <alignment horizontal="left" vertical="center" wrapText="1"/>
    </xf>
    <xf numFmtId="0" fontId="43" fillId="26" borderId="24" xfId="49" applyFont="1" applyFill="1" applyBorder="1" applyAlignment="1">
      <alignment horizontal="right" vertical="center" wrapText="1"/>
    </xf>
    <xf numFmtId="49" fontId="12" fillId="26" borderId="17" xfId="49" applyNumberFormat="1" applyFont="1" applyFill="1" applyBorder="1" applyAlignment="1">
      <alignment horizontal="left" vertical="center" wrapText="1"/>
    </xf>
    <xf numFmtId="3" fontId="21" fillId="20" borderId="17" xfId="49" applyNumberFormat="1" applyFont="1" applyFill="1" applyBorder="1" applyAlignment="1">
      <alignment horizontal="center" vertical="center"/>
    </xf>
    <xf numFmtId="3" fontId="21" fillId="20" borderId="32" xfId="49" applyNumberFormat="1" applyFont="1" applyFill="1" applyBorder="1" applyAlignment="1">
      <alignment horizontal="center" vertical="center"/>
    </xf>
    <xf numFmtId="3" fontId="21" fillId="20" borderId="7" xfId="49" applyNumberFormat="1" applyFont="1" applyFill="1" applyBorder="1" applyAlignment="1">
      <alignment horizontal="center" vertical="center"/>
    </xf>
    <xf numFmtId="3" fontId="21" fillId="20" borderId="62" xfId="49" applyNumberFormat="1" applyFont="1" applyFill="1" applyBorder="1" applyAlignment="1">
      <alignment horizontal="center" vertical="center"/>
    </xf>
    <xf numFmtId="3" fontId="21" fillId="20" borderId="53" xfId="49" applyNumberFormat="1" applyFont="1" applyFill="1" applyBorder="1" applyAlignment="1">
      <alignment horizontal="center" vertical="center"/>
    </xf>
    <xf numFmtId="0" fontId="12" fillId="27" borderId="24" xfId="49" applyFont="1" applyFill="1" applyBorder="1" applyAlignment="1">
      <alignment horizontal="center" vertical="center"/>
    </xf>
    <xf numFmtId="0" fontId="12" fillId="26" borderId="24" xfId="49" applyFont="1" applyFill="1" applyBorder="1" applyAlignment="1">
      <alignment horizontal="center" vertical="center"/>
    </xf>
    <xf numFmtId="9" fontId="12" fillId="26" borderId="24" xfId="49" applyNumberFormat="1" applyFont="1" applyFill="1" applyBorder="1" applyAlignment="1">
      <alignment horizontal="center" vertical="center"/>
    </xf>
    <xf numFmtId="0" fontId="12" fillId="26" borderId="24" xfId="49" applyFont="1" applyFill="1" applyBorder="1" applyAlignment="1">
      <alignment horizontal="left" vertical="center" wrapText="1"/>
    </xf>
    <xf numFmtId="0" fontId="21" fillId="27" borderId="24" xfId="49" applyFont="1" applyFill="1" applyBorder="1" applyAlignment="1">
      <alignment horizontal="center" vertical="center"/>
    </xf>
    <xf numFmtId="0" fontId="21" fillId="26" borderId="24" xfId="49" applyFont="1" applyFill="1" applyBorder="1" applyAlignment="1">
      <alignment horizontal="center" vertical="center"/>
    </xf>
    <xf numFmtId="9" fontId="21" fillId="26" borderId="24" xfId="49" applyNumberFormat="1" applyFont="1" applyFill="1" applyBorder="1" applyAlignment="1">
      <alignment horizontal="center" vertical="center"/>
    </xf>
    <xf numFmtId="0" fontId="21" fillId="26" borderId="24" xfId="49" applyFont="1" applyFill="1" applyBorder="1" applyAlignment="1">
      <alignment horizontal="left" vertical="center" wrapText="1"/>
    </xf>
    <xf numFmtId="0" fontId="21" fillId="27" borderId="30" xfId="49" applyFont="1" applyFill="1" applyBorder="1" applyAlignment="1">
      <alignment horizontal="center" vertical="center"/>
    </xf>
    <xf numFmtId="9" fontId="21" fillId="27" borderId="30" xfId="49" applyNumberFormat="1" applyFont="1" applyFill="1" applyBorder="1" applyAlignment="1">
      <alignment horizontal="center" vertical="center"/>
    </xf>
    <xf numFmtId="49" fontId="21" fillId="27" borderId="30" xfId="49" applyNumberFormat="1" applyFont="1" applyFill="1" applyBorder="1" applyAlignment="1">
      <alignment vertical="center" wrapText="1"/>
    </xf>
    <xf numFmtId="0" fontId="19" fillId="24" borderId="1" xfId="49" applyFont="1" applyFill="1" applyBorder="1" applyAlignment="1">
      <alignment horizontal="center" vertical="center"/>
    </xf>
    <xf numFmtId="0" fontId="19" fillId="24" borderId="1" xfId="49" applyFont="1" applyFill="1" applyBorder="1" applyAlignment="1">
      <alignment horizontal="left" vertical="center"/>
    </xf>
    <xf numFmtId="49" fontId="19" fillId="24" borderId="1" xfId="49" applyNumberFormat="1" applyFont="1" applyFill="1" applyBorder="1" applyAlignment="1">
      <alignment vertical="center"/>
    </xf>
    <xf numFmtId="3" fontId="21" fillId="31" borderId="1" xfId="49" applyNumberFormat="1" applyFont="1" applyFill="1" applyBorder="1" applyAlignment="1">
      <alignment horizontal="center" vertical="center" wrapText="1"/>
    </xf>
    <xf numFmtId="3" fontId="21" fillId="31" borderId="38" xfId="49" applyNumberFormat="1" applyFont="1" applyFill="1" applyBorder="1" applyAlignment="1">
      <alignment horizontal="center" vertical="center" wrapText="1"/>
    </xf>
    <xf numFmtId="0" fontId="21" fillId="27" borderId="5" xfId="49" applyFont="1" applyFill="1" applyBorder="1" applyAlignment="1">
      <alignment vertical="center" wrapText="1"/>
    </xf>
    <xf numFmtId="3" fontId="21" fillId="27" borderId="29" xfId="49" applyNumberFormat="1" applyFont="1" applyFill="1" applyBorder="1" applyAlignment="1">
      <alignment horizontal="center" vertical="center" wrapText="1"/>
    </xf>
    <xf numFmtId="3" fontId="21" fillId="27" borderId="73" xfId="49" applyNumberFormat="1" applyFont="1" applyFill="1" applyBorder="1" applyAlignment="1">
      <alignment horizontal="center" vertical="center" wrapText="1"/>
    </xf>
    <xf numFmtId="3" fontId="21" fillId="27" borderId="74" xfId="49" applyNumberFormat="1" applyFont="1" applyFill="1" applyBorder="1" applyAlignment="1">
      <alignment horizontal="center" vertical="center" wrapText="1"/>
    </xf>
    <xf numFmtId="3" fontId="21" fillId="27" borderId="75" xfId="49" applyNumberFormat="1" applyFont="1" applyFill="1" applyBorder="1" applyAlignment="1">
      <alignment horizontal="center" vertical="center" wrapText="1"/>
    </xf>
    <xf numFmtId="3" fontId="21" fillId="27" borderId="76" xfId="49" applyNumberFormat="1" applyFont="1" applyFill="1" applyBorder="1" applyAlignment="1">
      <alignment horizontal="center" vertical="center" wrapText="1"/>
    </xf>
    <xf numFmtId="9" fontId="12" fillId="27" borderId="5" xfId="49" applyNumberFormat="1" applyFont="1" applyFill="1" applyBorder="1" applyAlignment="1">
      <alignment horizontal="center" vertical="center"/>
    </xf>
    <xf numFmtId="0" fontId="12" fillId="27" borderId="5" xfId="49" applyFont="1" applyFill="1" applyBorder="1" applyAlignment="1">
      <alignment vertical="center" wrapText="1"/>
    </xf>
    <xf numFmtId="3" fontId="12" fillId="0" borderId="24" xfId="49" applyNumberFormat="1" applyFont="1" applyBorder="1" applyAlignment="1">
      <alignment horizontal="center" vertical="center" wrapText="1"/>
    </xf>
    <xf numFmtId="3" fontId="12" fillId="0" borderId="7" xfId="49" applyNumberFormat="1" applyFont="1" applyBorder="1" applyAlignment="1">
      <alignment horizontal="center" vertical="center" wrapText="1"/>
    </xf>
    <xf numFmtId="3" fontId="12" fillId="27" borderId="7" xfId="49" applyNumberFormat="1" applyFont="1" applyFill="1" applyBorder="1" applyAlignment="1">
      <alignment horizontal="center" vertical="center" wrapText="1"/>
    </xf>
    <xf numFmtId="3" fontId="12" fillId="27" borderId="62" xfId="49" applyNumberFormat="1" applyFont="1" applyFill="1" applyBorder="1" applyAlignment="1">
      <alignment horizontal="center" vertical="center" wrapText="1"/>
    </xf>
    <xf numFmtId="3" fontId="12" fillId="27" borderId="24" xfId="49" applyNumberFormat="1" applyFont="1" applyFill="1" applyBorder="1" applyAlignment="1">
      <alignment horizontal="center" vertical="center" wrapText="1"/>
    </xf>
    <xf numFmtId="3" fontId="12" fillId="27" borderId="53" xfId="49" applyNumberFormat="1" applyFont="1" applyFill="1" applyBorder="1" applyAlignment="1">
      <alignment horizontal="center" vertical="center" wrapText="1"/>
    </xf>
    <xf numFmtId="0" fontId="12" fillId="27" borderId="17" xfId="49" applyFont="1" applyFill="1" applyBorder="1" applyAlignment="1">
      <alignment vertical="center" wrapText="1"/>
    </xf>
    <xf numFmtId="9" fontId="21" fillId="27" borderId="17" xfId="49" applyNumberFormat="1" applyFont="1" applyFill="1" applyBorder="1" applyAlignment="1">
      <alignment horizontal="center" vertical="center"/>
    </xf>
    <xf numFmtId="0" fontId="21" fillId="27" borderId="17" xfId="49" applyFont="1" applyFill="1" applyBorder="1" applyAlignment="1">
      <alignment vertical="center" wrapText="1"/>
    </xf>
    <xf numFmtId="3" fontId="21" fillId="27" borderId="24" xfId="49" applyNumberFormat="1" applyFont="1" applyFill="1" applyBorder="1" applyAlignment="1">
      <alignment horizontal="center" vertical="center"/>
    </xf>
    <xf numFmtId="3" fontId="21" fillId="27" borderId="52" xfId="49" applyNumberFormat="1" applyFont="1" applyFill="1" applyBorder="1" applyAlignment="1">
      <alignment horizontal="center" vertical="center"/>
    </xf>
    <xf numFmtId="9" fontId="12" fillId="27" borderId="17" xfId="49" applyNumberFormat="1" applyFont="1" applyFill="1" applyBorder="1" applyAlignment="1">
      <alignment horizontal="center" vertical="center"/>
    </xf>
    <xf numFmtId="9" fontId="12" fillId="27" borderId="17" xfId="49" applyNumberFormat="1" applyFont="1" applyFill="1" applyBorder="1" applyAlignment="1">
      <alignment horizontal="left" vertical="center"/>
    </xf>
    <xf numFmtId="49" fontId="21" fillId="27" borderId="17" xfId="49" applyNumberFormat="1" applyFont="1" applyFill="1" applyBorder="1" applyAlignment="1">
      <alignment vertical="center" wrapText="1"/>
    </xf>
    <xf numFmtId="49" fontId="12" fillId="27" borderId="17" xfId="49" applyNumberFormat="1" applyFont="1" applyFill="1" applyBorder="1" applyAlignment="1">
      <alignment horizontal="left" vertical="center" wrapText="1"/>
    </xf>
    <xf numFmtId="9" fontId="12" fillId="27" borderId="17" xfId="70" applyFont="1" applyFill="1" applyBorder="1" applyAlignment="1" applyProtection="1">
      <alignment horizontal="center" vertical="center"/>
    </xf>
    <xf numFmtId="3" fontId="12" fillId="33" borderId="24" xfId="49" applyNumberFormat="1" applyFont="1" applyFill="1" applyBorder="1" applyAlignment="1">
      <alignment horizontal="center" vertical="center"/>
    </xf>
    <xf numFmtId="3" fontId="12" fillId="33" borderId="52" xfId="49" applyNumberFormat="1" applyFont="1" applyFill="1" applyBorder="1" applyAlignment="1">
      <alignment horizontal="center" vertical="center"/>
    </xf>
    <xf numFmtId="0" fontId="43" fillId="27" borderId="17" xfId="49" applyFont="1" applyFill="1" applyBorder="1" applyAlignment="1">
      <alignment horizontal="center" vertical="center"/>
    </xf>
    <xf numFmtId="9" fontId="43" fillId="27" borderId="17" xfId="70" applyFont="1" applyFill="1" applyBorder="1" applyAlignment="1" applyProtection="1">
      <alignment horizontal="center" vertical="center"/>
    </xf>
    <xf numFmtId="49" fontId="43" fillId="27" borderId="17" xfId="49" applyNumberFormat="1" applyFont="1" applyFill="1" applyBorder="1" applyAlignment="1">
      <alignment horizontal="right" vertical="center" wrapText="1"/>
    </xf>
    <xf numFmtId="9" fontId="43" fillId="27" borderId="17" xfId="49" applyNumberFormat="1" applyFont="1" applyFill="1" applyBorder="1" applyAlignment="1">
      <alignment horizontal="center" vertical="center"/>
    </xf>
    <xf numFmtId="49" fontId="43" fillId="26" borderId="17" xfId="49" applyNumberFormat="1" applyFont="1" applyFill="1" applyBorder="1" applyAlignment="1">
      <alignment horizontal="right" vertical="center" wrapText="1"/>
    </xf>
    <xf numFmtId="49" fontId="21" fillId="26" borderId="17" xfId="49" applyNumberFormat="1" applyFont="1" applyFill="1" applyBorder="1" applyAlignment="1">
      <alignment horizontal="left" vertical="center" wrapText="1"/>
    </xf>
    <xf numFmtId="0" fontId="12" fillId="26" borderId="17" xfId="49" applyFont="1" applyFill="1" applyBorder="1" applyAlignment="1">
      <alignment vertical="center" wrapText="1"/>
    </xf>
    <xf numFmtId="0" fontId="43" fillId="26" borderId="17" xfId="49" applyFont="1" applyFill="1" applyBorder="1" applyAlignment="1">
      <alignment horizontal="right" vertical="center" wrapText="1"/>
    </xf>
    <xf numFmtId="49" fontId="21" fillId="26" borderId="17" xfId="49" applyNumberFormat="1" applyFont="1" applyFill="1" applyBorder="1" applyAlignment="1">
      <alignment vertical="center" wrapText="1"/>
    </xf>
    <xf numFmtId="3" fontId="21" fillId="33" borderId="24" xfId="49" applyNumberFormat="1" applyFont="1" applyFill="1" applyBorder="1" applyAlignment="1">
      <alignment horizontal="center" vertical="center"/>
    </xf>
    <xf numFmtId="3" fontId="21" fillId="33" borderId="7" xfId="49" applyNumberFormat="1" applyFont="1" applyFill="1" applyBorder="1" applyAlignment="1">
      <alignment horizontal="center" vertical="center"/>
    </xf>
    <xf numFmtId="3" fontId="21" fillId="33" borderId="62" xfId="49" applyNumberFormat="1" applyFont="1" applyFill="1" applyBorder="1" applyAlignment="1">
      <alignment horizontal="center" vertical="center"/>
    </xf>
    <xf numFmtId="3" fontId="21" fillId="33" borderId="52" xfId="49" applyNumberFormat="1" applyFont="1" applyFill="1" applyBorder="1" applyAlignment="1">
      <alignment horizontal="center" vertical="center"/>
    </xf>
    <xf numFmtId="3" fontId="21" fillId="33" borderId="53" xfId="49" applyNumberFormat="1" applyFont="1" applyFill="1" applyBorder="1" applyAlignment="1">
      <alignment horizontal="center" vertical="center"/>
    </xf>
    <xf numFmtId="3" fontId="21" fillId="33" borderId="32" xfId="49" applyNumberFormat="1" applyFont="1" applyFill="1" applyBorder="1" applyAlignment="1">
      <alignment horizontal="center" vertical="center"/>
    </xf>
    <xf numFmtId="0" fontId="12" fillId="26" borderId="17" xfId="49" applyFont="1" applyFill="1" applyBorder="1" applyAlignment="1">
      <alignment horizontal="left" vertical="center" wrapText="1"/>
    </xf>
    <xf numFmtId="3" fontId="12" fillId="27" borderId="52" xfId="49" applyNumberFormat="1" applyFont="1" applyFill="1" applyBorder="1" applyAlignment="1">
      <alignment horizontal="center" vertical="center" wrapText="1"/>
    </xf>
    <xf numFmtId="3" fontId="21" fillId="27" borderId="24" xfId="49" applyNumberFormat="1" applyFont="1" applyFill="1" applyBorder="1" applyAlignment="1">
      <alignment horizontal="center" vertical="center" wrapText="1"/>
    </xf>
    <xf numFmtId="3" fontId="21" fillId="27" borderId="7" xfId="49" applyNumberFormat="1" applyFont="1" applyFill="1" applyBorder="1" applyAlignment="1">
      <alignment horizontal="center" vertical="center" wrapText="1"/>
    </xf>
    <xf numFmtId="3" fontId="21" fillId="27" borderId="62" xfId="49" applyNumberFormat="1" applyFont="1" applyFill="1" applyBorder="1" applyAlignment="1">
      <alignment horizontal="center" vertical="center" wrapText="1"/>
    </xf>
    <xf numFmtId="3" fontId="21" fillId="27" borderId="52" xfId="49" applyNumberFormat="1" applyFont="1" applyFill="1" applyBorder="1" applyAlignment="1">
      <alignment horizontal="center" vertical="center" wrapText="1"/>
    </xf>
    <xf numFmtId="3" fontId="21" fillId="27" borderId="53" xfId="49" applyNumberFormat="1" applyFont="1" applyFill="1" applyBorder="1" applyAlignment="1">
      <alignment horizontal="center" vertical="center" wrapText="1"/>
    </xf>
    <xf numFmtId="3" fontId="21" fillId="27" borderId="32" xfId="49" applyNumberFormat="1" applyFont="1" applyFill="1" applyBorder="1" applyAlignment="1">
      <alignment horizontal="center" vertical="center" wrapText="1"/>
    </xf>
    <xf numFmtId="0" fontId="21" fillId="26" borderId="17" xfId="49" applyFont="1" applyFill="1" applyBorder="1" applyAlignment="1">
      <alignment horizontal="left" vertical="center" wrapText="1"/>
    </xf>
    <xf numFmtId="0" fontId="21" fillId="27" borderId="36" xfId="49" applyFont="1" applyFill="1" applyBorder="1" applyAlignment="1">
      <alignment horizontal="center" vertical="center"/>
    </xf>
    <xf numFmtId="49" fontId="21" fillId="27" borderId="21" xfId="49" applyNumberFormat="1" applyFont="1" applyFill="1" applyBorder="1" applyAlignment="1">
      <alignment vertical="center" wrapText="1"/>
    </xf>
    <xf numFmtId="3" fontId="21" fillId="27" borderId="30" xfId="49" applyNumberFormat="1" applyFont="1" applyFill="1" applyBorder="1" applyAlignment="1">
      <alignment horizontal="center" vertical="center" wrapText="1"/>
    </xf>
    <xf numFmtId="3" fontId="21" fillId="27" borderId="77" xfId="49" applyNumberFormat="1" applyFont="1" applyFill="1" applyBorder="1" applyAlignment="1">
      <alignment horizontal="center" vertical="center" wrapText="1"/>
    </xf>
    <xf numFmtId="3" fontId="21" fillId="27" borderId="78" xfId="49" applyNumberFormat="1" applyFont="1" applyFill="1" applyBorder="1" applyAlignment="1">
      <alignment horizontal="center" vertical="center" wrapText="1"/>
    </xf>
    <xf numFmtId="3" fontId="21" fillId="27" borderId="56" xfId="49" applyNumberFormat="1" applyFont="1" applyFill="1" applyBorder="1" applyAlignment="1">
      <alignment horizontal="center" vertical="center" wrapText="1"/>
    </xf>
    <xf numFmtId="3" fontId="21" fillId="27" borderId="57" xfId="49" applyNumberFormat="1" applyFont="1" applyFill="1" applyBorder="1" applyAlignment="1">
      <alignment horizontal="center" vertical="center" wrapText="1"/>
    </xf>
    <xf numFmtId="3" fontId="21" fillId="27" borderId="79" xfId="49" applyNumberFormat="1" applyFont="1" applyFill="1" applyBorder="1" applyAlignment="1">
      <alignment horizontal="center" vertical="center" wrapText="1"/>
    </xf>
    <xf numFmtId="0" fontId="21" fillId="32" borderId="1" xfId="49" applyFont="1" applyFill="1" applyBorder="1" applyAlignment="1">
      <alignment vertical="center" wrapText="1"/>
    </xf>
    <xf numFmtId="0" fontId="41" fillId="27" borderId="17" xfId="49" applyFont="1" applyFill="1" applyBorder="1" applyAlignment="1">
      <alignment horizontal="center" vertical="center"/>
    </xf>
    <xf numFmtId="0" fontId="41" fillId="26" borderId="5" xfId="49" applyFont="1" applyFill="1" applyBorder="1" applyAlignment="1">
      <alignment horizontal="center" vertical="center"/>
    </xf>
    <xf numFmtId="9" fontId="41" fillId="26" borderId="24" xfId="49" applyNumberFormat="1" applyFont="1" applyFill="1" applyBorder="1" applyAlignment="1">
      <alignment horizontal="center" vertical="center"/>
    </xf>
    <xf numFmtId="0" fontId="41" fillId="26" borderId="17" xfId="49" applyFont="1" applyFill="1" applyBorder="1" applyAlignment="1">
      <alignment horizontal="center" vertical="center"/>
    </xf>
    <xf numFmtId="9" fontId="41" fillId="26" borderId="17" xfId="49" applyNumberFormat="1" applyFont="1" applyFill="1" applyBorder="1" applyAlignment="1">
      <alignment horizontal="left" vertical="center"/>
    </xf>
    <xf numFmtId="9" fontId="41" fillId="26" borderId="17" xfId="49" applyNumberFormat="1" applyFont="1" applyFill="1" applyBorder="1" applyAlignment="1">
      <alignment horizontal="center" vertical="center"/>
    </xf>
    <xf numFmtId="0" fontId="41" fillId="0" borderId="17" xfId="49" applyFont="1" applyBorder="1" applyAlignment="1">
      <alignment horizontal="center" vertical="center"/>
    </xf>
    <xf numFmtId="9" fontId="41" fillId="26" borderId="17" xfId="70" applyFont="1" applyFill="1" applyBorder="1" applyAlignment="1" applyProtection="1">
      <alignment horizontal="center" vertical="center"/>
    </xf>
    <xf numFmtId="49" fontId="21" fillId="24" borderId="1" xfId="49" applyNumberFormat="1" applyFont="1" applyFill="1" applyBorder="1" applyAlignment="1">
      <alignment vertical="center" wrapText="1"/>
    </xf>
    <xf numFmtId="0" fontId="21" fillId="24" borderId="1" xfId="49" applyFont="1" applyFill="1" applyBorder="1" applyAlignment="1">
      <alignment horizontal="center" vertical="center"/>
    </xf>
    <xf numFmtId="0" fontId="21" fillId="24" borderId="1" xfId="49" applyFont="1" applyFill="1" applyBorder="1" applyAlignment="1">
      <alignment horizontal="left" vertical="center"/>
    </xf>
    <xf numFmtId="3" fontId="12" fillId="0" borderId="75" xfId="49" applyNumberFormat="1" applyFont="1" applyBorder="1" applyAlignment="1">
      <alignment horizontal="center" vertical="center" wrapText="1"/>
    </xf>
    <xf numFmtId="3" fontId="12" fillId="0" borderId="73" xfId="49" applyNumberFormat="1" applyFont="1" applyBorder="1" applyAlignment="1">
      <alignment horizontal="center" vertical="center" wrapText="1"/>
    </xf>
    <xf numFmtId="3" fontId="12" fillId="0" borderId="76" xfId="49" applyNumberFormat="1" applyFont="1" applyBorder="1" applyAlignment="1">
      <alignment horizontal="center" vertical="center" wrapText="1"/>
    </xf>
    <xf numFmtId="3" fontId="12" fillId="0" borderId="52" xfId="49" applyNumberFormat="1" applyFont="1" applyBorder="1" applyAlignment="1">
      <alignment horizontal="center" vertical="center" wrapText="1"/>
    </xf>
    <xf numFmtId="3" fontId="12" fillId="0" borderId="53" xfId="49" applyNumberFormat="1" applyFont="1" applyBorder="1" applyAlignment="1">
      <alignment horizontal="center" vertical="center" wrapText="1"/>
    </xf>
    <xf numFmtId="0" fontId="41" fillId="0" borderId="21" xfId="49" applyFont="1" applyBorder="1" applyAlignment="1">
      <alignment horizontal="center" vertical="center"/>
    </xf>
    <xf numFmtId="0" fontId="41" fillId="26" borderId="21" xfId="49" applyFont="1" applyFill="1" applyBorder="1" applyAlignment="1">
      <alignment horizontal="center" vertical="center"/>
    </xf>
    <xf numFmtId="9" fontId="21" fillId="26" borderId="30" xfId="49" applyNumberFormat="1" applyFont="1" applyFill="1" applyBorder="1" applyAlignment="1">
      <alignment horizontal="center" vertical="center"/>
    </xf>
    <xf numFmtId="49" fontId="41" fillId="26" borderId="21" xfId="49" applyNumberFormat="1" applyFont="1" applyFill="1" applyBorder="1" applyAlignment="1">
      <alignment horizontal="left" vertical="center" wrapText="1"/>
    </xf>
    <xf numFmtId="3" fontId="12" fillId="0" borderId="56" xfId="49" applyNumberFormat="1" applyFont="1" applyBorder="1" applyAlignment="1">
      <alignment horizontal="center" vertical="center" wrapText="1"/>
    </xf>
    <xf numFmtId="3" fontId="12" fillId="0" borderId="77" xfId="49" applyNumberFormat="1" applyFont="1" applyBorder="1" applyAlignment="1">
      <alignment horizontal="center" vertical="center" wrapText="1"/>
    </xf>
    <xf numFmtId="3" fontId="12" fillId="0" borderId="57" xfId="49" applyNumberFormat="1" applyFont="1" applyBorder="1" applyAlignment="1">
      <alignment horizontal="center" vertical="center" wrapText="1"/>
    </xf>
    <xf numFmtId="49" fontId="21" fillId="27" borderId="0" xfId="49" applyNumberFormat="1" applyFont="1" applyFill="1" applyAlignment="1">
      <alignment horizontal="center" vertical="center"/>
    </xf>
    <xf numFmtId="49" fontId="21" fillId="27" borderId="0" xfId="49" applyNumberFormat="1" applyFont="1" applyFill="1" applyAlignment="1">
      <alignment vertical="center"/>
    </xf>
    <xf numFmtId="14" fontId="65" fillId="27" borderId="0" xfId="49" applyNumberFormat="1" applyFont="1" applyFill="1" applyAlignment="1">
      <alignment vertical="center"/>
    </xf>
    <xf numFmtId="0" fontId="21" fillId="27" borderId="0" xfId="0" applyFont="1" applyFill="1" applyAlignment="1">
      <alignment horizontal="center" vertical="center"/>
    </xf>
    <xf numFmtId="14" fontId="65" fillId="27" borderId="0" xfId="49" applyNumberFormat="1" applyFont="1" applyFill="1" applyAlignment="1">
      <alignment horizontal="right" vertical="center"/>
    </xf>
    <xf numFmtId="14" fontId="65" fillId="27" borderId="0" xfId="49" applyNumberFormat="1" applyFont="1" applyFill="1" applyAlignment="1">
      <alignment horizontal="left" vertical="center"/>
    </xf>
    <xf numFmtId="0" fontId="36" fillId="27" borderId="0" xfId="49" applyFont="1" applyFill="1" applyAlignment="1">
      <alignment horizontal="right" vertical="center"/>
    </xf>
    <xf numFmtId="14" fontId="84" fillId="27" borderId="0" xfId="49" applyNumberFormat="1" applyFont="1" applyFill="1" applyAlignment="1">
      <alignment horizontal="left" vertical="center"/>
    </xf>
    <xf numFmtId="0" fontId="43" fillId="27" borderId="0" xfId="0" applyFont="1" applyFill="1" applyAlignment="1">
      <alignment vertical="center"/>
    </xf>
    <xf numFmtId="0" fontId="36" fillId="27" borderId="0" xfId="0" applyFont="1" applyFill="1" applyAlignment="1">
      <alignment horizontal="right" vertical="center"/>
    </xf>
    <xf numFmtId="3" fontId="42" fillId="26" borderId="90" xfId="49" applyNumberFormat="1" applyFont="1" applyFill="1" applyBorder="1" applyAlignment="1">
      <alignment horizontal="center" vertical="center" wrapText="1"/>
    </xf>
    <xf numFmtId="3" fontId="42" fillId="26" borderId="112" xfId="49" applyNumberFormat="1" applyFont="1" applyFill="1" applyBorder="1" applyAlignment="1">
      <alignment horizontal="center" vertical="center" wrapText="1"/>
    </xf>
    <xf numFmtId="3" fontId="42" fillId="26" borderId="91" xfId="49" applyNumberFormat="1" applyFont="1" applyFill="1" applyBorder="1" applyAlignment="1">
      <alignment horizontal="center" vertical="center" wrapText="1"/>
    </xf>
    <xf numFmtId="3" fontId="42" fillId="26" borderId="99" xfId="49" applyNumberFormat="1" applyFont="1" applyFill="1" applyBorder="1" applyAlignment="1">
      <alignment horizontal="center" vertical="center" wrapText="1"/>
    </xf>
    <xf numFmtId="3" fontId="42" fillId="26" borderId="113" xfId="49" applyNumberFormat="1" applyFont="1" applyFill="1" applyBorder="1" applyAlignment="1">
      <alignment horizontal="center" vertical="center" wrapText="1"/>
    </xf>
    <xf numFmtId="3" fontId="42" fillId="26" borderId="95" xfId="49" applyNumberFormat="1" applyFont="1" applyFill="1" applyBorder="1" applyAlignment="1">
      <alignment horizontal="center" vertical="center" wrapText="1"/>
    </xf>
    <xf numFmtId="3" fontId="42" fillId="26" borderId="93" xfId="49" applyNumberFormat="1" applyFont="1" applyFill="1" applyBorder="1" applyAlignment="1">
      <alignment horizontal="center" vertical="center" wrapText="1"/>
    </xf>
    <xf numFmtId="3" fontId="42" fillId="26" borderId="114" xfId="49" applyNumberFormat="1" applyFont="1" applyFill="1" applyBorder="1" applyAlignment="1">
      <alignment horizontal="center" vertical="center" wrapText="1"/>
    </xf>
    <xf numFmtId="3" fontId="42" fillId="26" borderId="94" xfId="49" applyNumberFormat="1" applyFont="1" applyFill="1" applyBorder="1" applyAlignment="1">
      <alignment horizontal="center" vertical="center" wrapText="1"/>
    </xf>
    <xf numFmtId="3" fontId="21" fillId="32" borderId="1" xfId="49" applyNumberFormat="1" applyFont="1" applyFill="1" applyBorder="1" applyAlignment="1">
      <alignment vertical="center" wrapText="1"/>
    </xf>
    <xf numFmtId="3" fontId="21" fillId="32" borderId="8" xfId="49" applyNumberFormat="1" applyFont="1" applyFill="1" applyBorder="1" applyAlignment="1">
      <alignment vertical="center" wrapText="1"/>
    </xf>
    <xf numFmtId="3" fontId="21" fillId="32" borderId="3" xfId="49" applyNumberFormat="1" applyFont="1" applyFill="1" applyBorder="1" applyAlignment="1">
      <alignment vertical="center" wrapText="1"/>
    </xf>
    <xf numFmtId="3" fontId="42" fillId="26" borderId="96" xfId="49" applyNumberFormat="1" applyFont="1" applyFill="1" applyBorder="1" applyAlignment="1">
      <alignment horizontal="center" vertical="center" wrapText="1"/>
    </xf>
    <xf numFmtId="3" fontId="42" fillId="26" borderId="110" xfId="49" applyNumberFormat="1" applyFont="1" applyFill="1" applyBorder="1" applyAlignment="1">
      <alignment horizontal="center" vertical="center" wrapText="1"/>
    </xf>
    <xf numFmtId="3" fontId="42" fillId="26" borderId="107" xfId="49" applyNumberFormat="1" applyFont="1" applyFill="1" applyBorder="1" applyAlignment="1">
      <alignment horizontal="center" vertical="center" wrapText="1"/>
    </xf>
    <xf numFmtId="3" fontId="42" fillId="26" borderId="102" xfId="49" applyNumberFormat="1" applyFont="1" applyFill="1" applyBorder="1" applyAlignment="1">
      <alignment horizontal="center" vertical="center" wrapText="1"/>
    </xf>
    <xf numFmtId="3" fontId="42" fillId="26" borderId="103" xfId="49" applyNumberFormat="1" applyFont="1" applyFill="1" applyBorder="1" applyAlignment="1">
      <alignment horizontal="center" vertical="center" wrapText="1"/>
    </xf>
    <xf numFmtId="3" fontId="42" fillId="26" borderId="108" xfId="49" applyNumberFormat="1" applyFont="1" applyFill="1" applyBorder="1" applyAlignment="1">
      <alignment horizontal="center" vertical="center" wrapText="1"/>
    </xf>
    <xf numFmtId="3" fontId="42" fillId="26" borderId="104" xfId="49" applyNumberFormat="1" applyFont="1" applyFill="1" applyBorder="1" applyAlignment="1">
      <alignment horizontal="center" vertical="center" wrapText="1"/>
    </xf>
    <xf numFmtId="3" fontId="42" fillId="26" borderId="97" xfId="49" applyNumberFormat="1" applyFont="1" applyFill="1" applyBorder="1" applyAlignment="1">
      <alignment horizontal="center" vertical="center" wrapText="1"/>
    </xf>
    <xf numFmtId="3" fontId="42" fillId="26" borderId="111" xfId="49" applyNumberFormat="1" applyFont="1" applyFill="1" applyBorder="1" applyAlignment="1">
      <alignment horizontal="center" vertical="center" wrapText="1"/>
    </xf>
    <xf numFmtId="3" fontId="42" fillId="26" borderId="109" xfId="49" applyNumberFormat="1" applyFont="1" applyFill="1" applyBorder="1" applyAlignment="1">
      <alignment horizontal="center" vertical="center" wrapText="1"/>
    </xf>
    <xf numFmtId="3" fontId="42" fillId="26" borderId="105" xfId="49" applyNumberFormat="1" applyFont="1" applyFill="1" applyBorder="1" applyAlignment="1">
      <alignment horizontal="center" vertical="center" wrapText="1"/>
    </xf>
    <xf numFmtId="3" fontId="42" fillId="26" borderId="106" xfId="49" applyNumberFormat="1" applyFont="1" applyFill="1" applyBorder="1" applyAlignment="1">
      <alignment horizontal="center" vertical="center" wrapText="1"/>
    </xf>
    <xf numFmtId="0" fontId="53" fillId="27" borderId="0" xfId="49" applyFont="1" applyFill="1" applyAlignment="1">
      <alignment vertical="center"/>
    </xf>
    <xf numFmtId="0" fontId="53" fillId="27" borderId="0" xfId="49" applyFont="1" applyFill="1" applyAlignment="1">
      <alignment horizontal="right" vertical="center"/>
    </xf>
    <xf numFmtId="0" fontId="20" fillId="27" borderId="0" xfId="49" applyFont="1" applyFill="1" applyAlignment="1">
      <alignment vertical="center"/>
    </xf>
    <xf numFmtId="168" fontId="20" fillId="27" borderId="0" xfId="49" applyNumberFormat="1" applyFont="1" applyFill="1" applyAlignment="1">
      <alignment vertical="center"/>
    </xf>
    <xf numFmtId="1" fontId="34" fillId="27" borderId="0" xfId="49" applyNumberFormat="1" applyFont="1" applyFill="1" applyAlignment="1">
      <alignment vertical="center"/>
    </xf>
    <xf numFmtId="168" fontId="20" fillId="27" borderId="0" xfId="49" applyNumberFormat="1" applyFont="1" applyFill="1" applyAlignment="1">
      <alignment horizontal="center" vertical="center"/>
    </xf>
    <xf numFmtId="1" fontId="34" fillId="27" borderId="0" xfId="49" applyNumberFormat="1" applyFont="1" applyFill="1" applyAlignment="1">
      <alignment horizontal="center" vertical="center"/>
    </xf>
    <xf numFmtId="1" fontId="52" fillId="27" borderId="0" xfId="49" applyNumberFormat="1" applyFont="1" applyFill="1" applyAlignment="1">
      <alignment horizontal="center" vertical="center"/>
    </xf>
    <xf numFmtId="0" fontId="43" fillId="0" borderId="20" xfId="31" applyFont="1" applyBorder="1" applyAlignment="1">
      <alignment horizontal="right" vertical="center"/>
    </xf>
    <xf numFmtId="1" fontId="41" fillId="27" borderId="0" xfId="49" applyNumberFormat="1" applyFont="1" applyFill="1" applyAlignment="1">
      <alignment horizontal="center" vertical="center"/>
    </xf>
    <xf numFmtId="3" fontId="42" fillId="0" borderId="53" xfId="32" applyNumberFormat="1" applyFont="1" applyBorder="1" applyAlignment="1">
      <alignment horizontal="left" vertical="center"/>
    </xf>
    <xf numFmtId="168" fontId="41" fillId="26" borderId="129" xfId="32" applyNumberFormat="1" applyFont="1" applyFill="1" applyBorder="1" applyAlignment="1">
      <alignment horizontal="center" vertical="center"/>
    </xf>
    <xf numFmtId="3" fontId="41" fillId="26" borderId="128" xfId="32" applyNumberFormat="1" applyFont="1" applyFill="1" applyBorder="1" applyAlignment="1">
      <alignment horizontal="center" vertical="center"/>
    </xf>
    <xf numFmtId="9" fontId="41" fillId="26" borderId="95" xfId="1" applyFont="1" applyFill="1" applyBorder="1" applyAlignment="1" applyProtection="1">
      <alignment horizontal="center" vertical="center"/>
    </xf>
    <xf numFmtId="9" fontId="41" fillId="26" borderId="113" xfId="1" applyFont="1" applyFill="1" applyBorder="1" applyAlignment="1" applyProtection="1">
      <alignment horizontal="center" vertical="center"/>
    </xf>
    <xf numFmtId="3" fontId="41" fillId="0" borderId="98" xfId="32" applyNumberFormat="1" applyFont="1" applyBorder="1" applyAlignment="1">
      <alignment horizontal="center" vertical="center"/>
    </xf>
    <xf numFmtId="9" fontId="41" fillId="0" borderId="113" xfId="1" applyFont="1" applyFill="1" applyBorder="1" applyAlignment="1" applyProtection="1">
      <alignment horizontal="center" vertical="center"/>
    </xf>
    <xf numFmtId="3" fontId="41" fillId="26" borderId="98" xfId="32" applyNumberFormat="1" applyFont="1" applyFill="1" applyBorder="1" applyAlignment="1">
      <alignment horizontal="center" vertical="center"/>
    </xf>
    <xf numFmtId="9" fontId="41" fillId="0" borderId="95" xfId="1" applyFont="1" applyFill="1" applyBorder="1" applyAlignment="1" applyProtection="1">
      <alignment horizontal="center" vertical="center"/>
    </xf>
    <xf numFmtId="3" fontId="52" fillId="27" borderId="0" xfId="49" applyNumberFormat="1" applyFont="1" applyFill="1" applyAlignment="1">
      <alignment horizontal="center" vertical="center"/>
    </xf>
    <xf numFmtId="14" fontId="19" fillId="27" borderId="0" xfId="49" applyNumberFormat="1" applyFont="1" applyFill="1" applyAlignment="1">
      <alignment horizontal="left" vertical="center"/>
    </xf>
    <xf numFmtId="0" fontId="19" fillId="27" borderId="0" xfId="49" applyFont="1" applyFill="1" applyAlignment="1">
      <alignment horizontal="right" vertical="center"/>
    </xf>
    <xf numFmtId="0" fontId="133" fillId="27" borderId="0" xfId="49" applyFont="1" applyFill="1" applyAlignment="1">
      <alignment horizontal="left" vertical="center"/>
    </xf>
    <xf numFmtId="3" fontId="41" fillId="28" borderId="17" xfId="49" applyNumberFormat="1" applyFont="1" applyFill="1" applyBorder="1" applyAlignment="1" applyProtection="1">
      <alignment horizontal="center" vertical="center" wrapText="1"/>
      <protection locked="0"/>
    </xf>
    <xf numFmtId="3" fontId="42" fillId="28" borderId="32" xfId="49" applyNumberFormat="1" applyFont="1" applyFill="1" applyBorder="1" applyAlignment="1" applyProtection="1">
      <alignment horizontal="center" vertical="center" wrapText="1"/>
      <protection locked="0"/>
    </xf>
    <xf numFmtId="3" fontId="42" fillId="28" borderId="23" xfId="49" applyNumberFormat="1" applyFont="1" applyFill="1" applyBorder="1" applyAlignment="1" applyProtection="1">
      <alignment horizontal="center" vertical="center" wrapText="1"/>
      <protection locked="0"/>
    </xf>
    <xf numFmtId="3" fontId="42" fillId="26" borderId="17" xfId="49" applyNumberFormat="1" applyFont="1" applyFill="1" applyBorder="1" applyAlignment="1">
      <alignment horizontal="center" vertical="center" wrapText="1"/>
    </xf>
    <xf numFmtId="3" fontId="42" fillId="26" borderId="7" xfId="49" applyNumberFormat="1" applyFont="1" applyFill="1" applyBorder="1" applyAlignment="1">
      <alignment horizontal="center" vertical="center" wrapText="1"/>
    </xf>
    <xf numFmtId="3" fontId="41" fillId="28" borderId="51" xfId="49" applyNumberFormat="1" applyFont="1" applyFill="1" applyBorder="1" applyAlignment="1" applyProtection="1">
      <alignment horizontal="center" vertical="center" wrapText="1"/>
      <protection locked="0"/>
    </xf>
    <xf numFmtId="3" fontId="42" fillId="28" borderId="72" xfId="49" applyNumberFormat="1" applyFont="1" applyFill="1" applyBorder="1" applyAlignment="1" applyProtection="1">
      <alignment horizontal="center" vertical="center" wrapText="1"/>
      <protection locked="0"/>
    </xf>
    <xf numFmtId="3" fontId="42" fillId="28" borderId="22" xfId="49" applyNumberFormat="1" applyFont="1" applyFill="1" applyBorder="1" applyAlignment="1" applyProtection="1">
      <alignment horizontal="center" vertical="center" wrapText="1"/>
      <protection locked="0"/>
    </xf>
    <xf numFmtId="3" fontId="41" fillId="26" borderId="81" xfId="32" applyNumberFormat="1" applyFont="1" applyFill="1" applyBorder="1" applyAlignment="1">
      <alignment horizontal="center" vertical="center"/>
    </xf>
    <xf numFmtId="3" fontId="41" fillId="26" borderId="123" xfId="32" applyNumberFormat="1" applyFont="1" applyFill="1" applyBorder="1" applyAlignment="1">
      <alignment horizontal="center" vertical="center"/>
    </xf>
    <xf numFmtId="3" fontId="42" fillId="0" borderId="32" xfId="49" applyNumberFormat="1" applyFont="1" applyBorder="1" applyAlignment="1">
      <alignment horizontal="center" vertical="center" wrapText="1"/>
    </xf>
    <xf numFmtId="3" fontId="42" fillId="0" borderId="23" xfId="49" applyNumberFormat="1" applyFont="1" applyBorder="1" applyAlignment="1">
      <alignment horizontal="center" vertical="center" wrapText="1"/>
    </xf>
    <xf numFmtId="3" fontId="42" fillId="28" borderId="17" xfId="49" applyNumberFormat="1" applyFont="1" applyFill="1" applyBorder="1" applyAlignment="1" applyProtection="1">
      <alignment horizontal="center" vertical="center" wrapText="1"/>
      <protection locked="0"/>
    </xf>
    <xf numFmtId="3" fontId="40" fillId="0" borderId="65" xfId="31" applyNumberFormat="1" applyFont="1" applyBorder="1" applyAlignment="1">
      <alignment horizontal="center" vertical="center" wrapText="1"/>
    </xf>
    <xf numFmtId="3" fontId="40" fillId="0" borderId="60" xfId="31" applyNumberFormat="1" applyFont="1" applyBorder="1" applyAlignment="1">
      <alignment horizontal="center" vertical="center" wrapText="1"/>
    </xf>
    <xf numFmtId="3" fontId="40" fillId="0" borderId="2" xfId="49" applyNumberFormat="1" applyFont="1" applyBorder="1" applyAlignment="1">
      <alignment horizontal="center" vertical="center" wrapText="1"/>
    </xf>
    <xf numFmtId="3" fontId="40" fillId="0" borderId="65" xfId="49" applyNumberFormat="1" applyFont="1" applyBorder="1" applyAlignment="1">
      <alignment horizontal="center" vertical="center" wrapText="1"/>
    </xf>
    <xf numFmtId="3" fontId="40" fillId="0" borderId="60" xfId="49" applyNumberFormat="1" applyFont="1" applyBorder="1" applyAlignment="1">
      <alignment horizontal="center" vertical="center" wrapText="1"/>
    </xf>
    <xf numFmtId="3" fontId="41" fillId="26" borderId="129" xfId="32" applyNumberFormat="1" applyFont="1" applyFill="1" applyBorder="1" applyAlignment="1">
      <alignment horizontal="center" vertical="center"/>
    </xf>
    <xf numFmtId="3" fontId="42" fillId="0" borderId="15" xfId="49" applyNumberFormat="1" applyFont="1" applyBorder="1" applyAlignment="1">
      <alignment horizontal="center" vertical="center" wrapText="1"/>
    </xf>
    <xf numFmtId="3" fontId="42" fillId="28" borderId="15" xfId="49" applyNumberFormat="1" applyFont="1" applyFill="1" applyBorder="1" applyAlignment="1" applyProtection="1">
      <alignment horizontal="center" vertical="center" wrapText="1"/>
      <protection locked="0"/>
    </xf>
    <xf numFmtId="3" fontId="41" fillId="26" borderId="82" xfId="32" applyNumberFormat="1" applyFont="1" applyFill="1" applyBorder="1" applyAlignment="1">
      <alignment horizontal="center" vertical="center"/>
    </xf>
    <xf numFmtId="3" fontId="40" fillId="24" borderId="3" xfId="49" applyNumberFormat="1" applyFont="1" applyFill="1" applyBorder="1" applyAlignment="1">
      <alignment horizontal="center" vertical="center" wrapText="1"/>
    </xf>
    <xf numFmtId="3" fontId="41" fillId="0" borderId="15" xfId="49" applyNumberFormat="1" applyFont="1" applyBorder="1" applyAlignment="1">
      <alignment horizontal="center" vertical="center" wrapText="1"/>
    </xf>
    <xf numFmtId="3" fontId="40" fillId="0" borderId="10" xfId="31" applyNumberFormat="1" applyFont="1" applyBorder="1" applyAlignment="1">
      <alignment horizontal="center" vertical="center" wrapText="1"/>
    </xf>
    <xf numFmtId="3" fontId="40" fillId="0" borderId="10" xfId="49" applyNumberFormat="1" applyFont="1" applyBorder="1" applyAlignment="1">
      <alignment horizontal="center" vertical="center" wrapText="1"/>
    </xf>
    <xf numFmtId="3" fontId="41" fillId="33" borderId="6" xfId="49" applyNumberFormat="1" applyFont="1" applyFill="1" applyBorder="1" applyAlignment="1">
      <alignment horizontal="center" vertical="center" wrapText="1"/>
    </xf>
    <xf numFmtId="3" fontId="12" fillId="0" borderId="17" xfId="32" applyNumberFormat="1" applyFont="1" applyBorder="1" applyAlignment="1">
      <alignment horizontal="center" vertical="center"/>
    </xf>
    <xf numFmtId="3" fontId="12" fillId="0" borderId="32" xfId="32" applyNumberFormat="1" applyFont="1" applyBorder="1" applyAlignment="1">
      <alignment horizontal="center" vertical="center"/>
    </xf>
    <xf numFmtId="3" fontId="12" fillId="0" borderId="7" xfId="32" applyNumberFormat="1" applyFont="1" applyBorder="1" applyAlignment="1">
      <alignment horizontal="center" vertical="center"/>
    </xf>
    <xf numFmtId="3" fontId="12" fillId="0" borderId="62" xfId="32" applyNumberFormat="1" applyFont="1" applyBorder="1" applyAlignment="1">
      <alignment horizontal="center" vertical="center"/>
    </xf>
    <xf numFmtId="3" fontId="12" fillId="0" borderId="53" xfId="32" applyNumberFormat="1" applyFont="1" applyBorder="1" applyAlignment="1">
      <alignment horizontal="center" vertical="center"/>
    </xf>
    <xf numFmtId="3" fontId="41" fillId="26" borderId="15" xfId="49" applyNumberFormat="1" applyFont="1" applyFill="1" applyBorder="1" applyAlignment="1">
      <alignment horizontal="center" vertical="center" wrapText="1"/>
    </xf>
    <xf numFmtId="3" fontId="42" fillId="0" borderId="17" xfId="49" applyNumberFormat="1" applyFont="1" applyBorder="1" applyAlignment="1">
      <alignment horizontal="center" vertical="center" wrapText="1"/>
    </xf>
    <xf numFmtId="3" fontId="42" fillId="0" borderId="7" xfId="49" applyNumberFormat="1" applyFont="1" applyBorder="1" applyAlignment="1">
      <alignment horizontal="center" vertical="center" wrapText="1"/>
    </xf>
    <xf numFmtId="3" fontId="42" fillId="28" borderId="14" xfId="49" applyNumberFormat="1" applyFont="1" applyFill="1" applyBorder="1" applyAlignment="1" applyProtection="1">
      <alignment horizontal="center" vertical="center" wrapText="1"/>
      <protection locked="0"/>
    </xf>
    <xf numFmtId="3" fontId="41" fillId="28" borderId="72" xfId="49" applyNumberFormat="1" applyFont="1" applyFill="1" applyBorder="1" applyAlignment="1" applyProtection="1">
      <alignment horizontal="center" vertical="center" wrapText="1"/>
      <protection locked="0"/>
    </xf>
    <xf numFmtId="3" fontId="41" fillId="28" borderId="73" xfId="49" applyNumberFormat="1" applyFont="1" applyFill="1" applyBorder="1" applyAlignment="1" applyProtection="1">
      <alignment horizontal="center" vertical="center" wrapText="1"/>
      <protection locked="0"/>
    </xf>
    <xf numFmtId="3" fontId="41" fillId="28" borderId="76" xfId="49" applyNumberFormat="1" applyFont="1" applyFill="1" applyBorder="1" applyAlignment="1" applyProtection="1">
      <alignment horizontal="center" vertical="center" wrapText="1"/>
      <protection locked="0"/>
    </xf>
    <xf numFmtId="3" fontId="41" fillId="28" borderId="32" xfId="49" applyNumberFormat="1" applyFont="1" applyFill="1" applyBorder="1" applyAlignment="1" applyProtection="1">
      <alignment horizontal="center" vertical="center" wrapText="1"/>
      <protection locked="0"/>
    </xf>
    <xf numFmtId="3" fontId="41" fillId="28" borderId="7" xfId="49" applyNumberFormat="1" applyFont="1" applyFill="1" applyBorder="1" applyAlignment="1" applyProtection="1">
      <alignment horizontal="center" vertical="center" wrapText="1"/>
      <protection locked="0"/>
    </xf>
    <xf numFmtId="3" fontId="41" fillId="28" borderId="53" xfId="49" applyNumberFormat="1" applyFont="1" applyFill="1" applyBorder="1" applyAlignment="1" applyProtection="1">
      <alignment horizontal="center" vertical="center" wrapText="1"/>
      <protection locked="0"/>
    </xf>
    <xf numFmtId="3" fontId="41" fillId="28" borderId="21" xfId="49" applyNumberFormat="1" applyFont="1" applyFill="1" applyBorder="1" applyAlignment="1" applyProtection="1">
      <alignment horizontal="center" vertical="center" wrapText="1"/>
      <protection locked="0"/>
    </xf>
    <xf numFmtId="3" fontId="41" fillId="28" borderId="79" xfId="49" applyNumberFormat="1" applyFont="1" applyFill="1" applyBorder="1" applyAlignment="1" applyProtection="1">
      <alignment horizontal="center" vertical="center" wrapText="1"/>
      <protection locked="0"/>
    </xf>
    <xf numFmtId="3" fontId="41" fillId="28" borderId="77" xfId="49" applyNumberFormat="1" applyFont="1" applyFill="1" applyBorder="1" applyAlignment="1" applyProtection="1">
      <alignment horizontal="center" vertical="center" wrapText="1"/>
      <protection locked="0"/>
    </xf>
    <xf numFmtId="3" fontId="41" fillId="28" borderId="57" xfId="49" applyNumberFormat="1" applyFont="1" applyFill="1" applyBorder="1" applyAlignment="1" applyProtection="1">
      <alignment horizontal="center" vertical="center" wrapText="1"/>
      <protection locked="0"/>
    </xf>
    <xf numFmtId="3" fontId="41" fillId="0" borderId="51" xfId="49" applyNumberFormat="1" applyFont="1" applyBorder="1" applyAlignment="1">
      <alignment horizontal="center" vertical="center" wrapText="1"/>
    </xf>
    <xf numFmtId="3" fontId="41" fillId="0" borderId="14" xfId="49" applyNumberFormat="1" applyFont="1" applyBorder="1" applyAlignment="1">
      <alignment horizontal="center" vertical="center" wrapText="1"/>
    </xf>
    <xf numFmtId="3" fontId="41" fillId="0" borderId="21" xfId="49" applyNumberFormat="1" applyFont="1" applyBorder="1" applyAlignment="1">
      <alignment horizontal="center" vertical="center" wrapText="1"/>
    </xf>
    <xf numFmtId="168" fontId="53" fillId="27" borderId="0" xfId="49" applyNumberFormat="1" applyFont="1" applyFill="1" applyAlignment="1">
      <alignment horizontal="right" vertical="center"/>
    </xf>
    <xf numFmtId="168" fontId="13" fillId="27" borderId="0" xfId="49" applyNumberFormat="1" applyFont="1" applyFill="1" applyAlignment="1">
      <alignment horizontal="right" vertical="center"/>
    </xf>
    <xf numFmtId="175" fontId="20" fillId="27" borderId="0" xfId="49" applyNumberFormat="1" applyFont="1" applyFill="1" applyAlignment="1">
      <alignment vertical="center"/>
    </xf>
    <xf numFmtId="175" fontId="34" fillId="27" borderId="0" xfId="49" applyNumberFormat="1" applyFont="1" applyFill="1" applyAlignment="1">
      <alignment vertical="center"/>
    </xf>
    <xf numFmtId="175" fontId="20" fillId="27" borderId="0" xfId="49" applyNumberFormat="1" applyFont="1" applyFill="1" applyAlignment="1">
      <alignment horizontal="center" vertical="center"/>
    </xf>
    <xf numFmtId="175" fontId="34" fillId="27" borderId="0" xfId="49" applyNumberFormat="1" applyFont="1" applyFill="1" applyAlignment="1">
      <alignment horizontal="center" vertical="center"/>
    </xf>
    <xf numFmtId="3" fontId="36" fillId="0" borderId="53" xfId="32" applyNumberFormat="1" applyFont="1" applyBorder="1" applyAlignment="1">
      <alignment horizontal="left" vertical="center"/>
    </xf>
    <xf numFmtId="3" fontId="36" fillId="0" borderId="17" xfId="32" applyNumberFormat="1" applyFont="1" applyBorder="1" applyAlignment="1">
      <alignment horizontal="center" vertical="center"/>
    </xf>
    <xf numFmtId="3" fontId="41" fillId="0" borderId="53" xfId="32" applyNumberFormat="1" applyFont="1" applyBorder="1" applyAlignment="1">
      <alignment horizontal="left" vertical="center"/>
    </xf>
    <xf numFmtId="3" fontId="41" fillId="0" borderId="17" xfId="32" applyNumberFormat="1" applyFont="1" applyBorder="1" applyAlignment="1">
      <alignment horizontal="center" vertical="center"/>
    </xf>
    <xf numFmtId="3" fontId="41" fillId="0" borderId="39" xfId="32" applyNumberFormat="1" applyFont="1" applyBorder="1" applyAlignment="1">
      <alignment horizontal="center" vertical="center"/>
    </xf>
    <xf numFmtId="9" fontId="41" fillId="26" borderId="129" xfId="1" applyFont="1" applyFill="1" applyBorder="1" applyAlignment="1" applyProtection="1">
      <alignment horizontal="center" vertical="center"/>
    </xf>
    <xf numFmtId="3" fontId="41" fillId="26" borderId="81" xfId="1" applyNumberFormat="1" applyFont="1" applyFill="1" applyBorder="1" applyAlignment="1" applyProtection="1">
      <alignment horizontal="center" vertical="center"/>
    </xf>
    <xf numFmtId="3" fontId="41" fillId="26" borderId="17" xfId="1" applyNumberFormat="1" applyFont="1" applyFill="1" applyBorder="1" applyAlignment="1" applyProtection="1">
      <alignment horizontal="center" vertical="center"/>
    </xf>
    <xf numFmtId="9" fontId="41" fillId="26" borderId="128" xfId="1" applyFont="1" applyFill="1" applyBorder="1" applyAlignment="1" applyProtection="1">
      <alignment horizontal="center" vertical="center"/>
    </xf>
    <xf numFmtId="9" fontId="41" fillId="26" borderId="82" xfId="1" applyFont="1" applyFill="1" applyBorder="1" applyAlignment="1" applyProtection="1">
      <alignment horizontal="center" vertical="center"/>
    </xf>
    <xf numFmtId="3" fontId="41" fillId="0" borderId="81" xfId="1" applyNumberFormat="1" applyFont="1" applyFill="1" applyBorder="1" applyAlignment="1" applyProtection="1">
      <alignment horizontal="center" vertical="center"/>
    </xf>
    <xf numFmtId="3" fontId="41" fillId="0" borderId="128" xfId="32" applyNumberFormat="1" applyFont="1" applyBorder="1" applyAlignment="1">
      <alignment horizontal="center" vertical="center"/>
    </xf>
    <xf numFmtId="3" fontId="41" fillId="0" borderId="113" xfId="32" applyNumberFormat="1" applyFont="1" applyBorder="1" applyAlignment="1">
      <alignment horizontal="center" vertical="center"/>
    </xf>
    <xf numFmtId="9" fontId="41" fillId="0" borderId="128" xfId="1" applyFont="1" applyFill="1" applyBorder="1" applyAlignment="1" applyProtection="1">
      <alignment horizontal="center" vertical="center"/>
    </xf>
    <xf numFmtId="9" fontId="41" fillId="0" borderId="82" xfId="1" applyFont="1" applyFill="1" applyBorder="1" applyAlignment="1" applyProtection="1">
      <alignment horizontal="center" vertical="center"/>
    </xf>
    <xf numFmtId="3" fontId="41" fillId="0" borderId="17" xfId="1" applyNumberFormat="1" applyFont="1" applyFill="1" applyBorder="1" applyAlignment="1" applyProtection="1">
      <alignment horizontal="center" vertical="center"/>
    </xf>
    <xf numFmtId="175" fontId="19" fillId="27" borderId="0" xfId="49" applyNumberFormat="1" applyFont="1" applyFill="1" applyAlignment="1">
      <alignment horizontal="center" vertical="center"/>
    </xf>
    <xf numFmtId="14" fontId="19" fillId="27" borderId="0" xfId="49" applyNumberFormat="1" applyFont="1" applyFill="1" applyAlignment="1">
      <alignment vertical="center"/>
    </xf>
    <xf numFmtId="175" fontId="21" fillId="27" borderId="0" xfId="49" applyNumberFormat="1" applyFont="1" applyFill="1" applyAlignment="1">
      <alignment horizontal="right" vertical="center"/>
    </xf>
    <xf numFmtId="0" fontId="65" fillId="27" borderId="0" xfId="0" applyFont="1" applyFill="1" applyAlignment="1">
      <alignment horizontal="right" vertical="center"/>
    </xf>
    <xf numFmtId="0" fontId="57" fillId="27" borderId="0" xfId="0" applyFont="1" applyFill="1" applyAlignment="1">
      <alignment horizontal="left" vertical="center"/>
    </xf>
    <xf numFmtId="175" fontId="12" fillId="27" borderId="0" xfId="49" applyNumberFormat="1" applyFont="1" applyFill="1" applyAlignment="1">
      <alignment vertical="center"/>
    </xf>
    <xf numFmtId="0" fontId="84" fillId="27" borderId="0" xfId="0" applyFont="1" applyFill="1" applyAlignment="1">
      <alignment horizontal="left" vertical="center"/>
    </xf>
    <xf numFmtId="0" fontId="19" fillId="27" borderId="0" xfId="49" applyFont="1" applyFill="1" applyAlignment="1">
      <alignment vertical="center"/>
    </xf>
    <xf numFmtId="0" fontId="12" fillId="26" borderId="0" xfId="0" applyFont="1" applyFill="1"/>
    <xf numFmtId="0" fontId="12" fillId="0" borderId="0" xfId="0" applyFont="1"/>
    <xf numFmtId="0" fontId="15" fillId="26" borderId="0" xfId="49" applyFont="1" applyFill="1"/>
    <xf numFmtId="0" fontId="38" fillId="26" borderId="23" xfId="0" applyFont="1" applyFill="1" applyBorder="1" applyAlignment="1">
      <alignment horizontal="left" vertical="center" wrapText="1"/>
    </xf>
    <xf numFmtId="0" fontId="38" fillId="26" borderId="23" xfId="0" applyFont="1" applyFill="1" applyBorder="1" applyAlignment="1">
      <alignment horizontal="left" vertical="center"/>
    </xf>
    <xf numFmtId="0" fontId="38" fillId="26" borderId="56" xfId="0" applyFont="1" applyFill="1" applyBorder="1" applyAlignment="1">
      <alignment horizontal="center" vertical="center" wrapText="1"/>
    </xf>
    <xf numFmtId="0" fontId="38" fillId="26" borderId="28" xfId="0" applyFont="1" applyFill="1" applyBorder="1" applyAlignment="1">
      <alignment horizontal="left" vertical="center" wrapText="1"/>
    </xf>
    <xf numFmtId="3" fontId="12" fillId="28" borderId="75" xfId="0" applyNumberFormat="1" applyFont="1" applyFill="1" applyBorder="1" applyAlignment="1" applyProtection="1">
      <alignment horizontal="center" vertical="center"/>
      <protection locked="0"/>
    </xf>
    <xf numFmtId="3" fontId="12" fillId="28" borderId="73" xfId="0" applyNumberFormat="1" applyFont="1" applyFill="1" applyBorder="1" applyAlignment="1" applyProtection="1">
      <alignment horizontal="center" vertical="center"/>
      <protection locked="0"/>
    </xf>
    <xf numFmtId="3" fontId="12" fillId="28" borderId="52" xfId="0" applyNumberFormat="1" applyFont="1" applyFill="1" applyBorder="1" applyAlignment="1" applyProtection="1">
      <alignment horizontal="center" vertical="center"/>
      <protection locked="0"/>
    </xf>
    <xf numFmtId="3" fontId="12" fillId="28" borderId="7" xfId="0" applyNumberFormat="1" applyFont="1" applyFill="1" applyBorder="1" applyAlignment="1" applyProtection="1">
      <alignment horizontal="center" vertical="center"/>
      <protection locked="0"/>
    </xf>
    <xf numFmtId="3" fontId="12" fillId="28" borderId="54" xfId="0" applyNumberFormat="1" applyFont="1" applyFill="1" applyBorder="1" applyAlignment="1" applyProtection="1">
      <alignment horizontal="center" vertical="center"/>
      <protection locked="0"/>
    </xf>
    <xf numFmtId="3" fontId="12" fillId="28" borderId="63" xfId="0" applyNumberFormat="1" applyFont="1" applyFill="1" applyBorder="1" applyAlignment="1" applyProtection="1">
      <alignment horizontal="center" vertical="center"/>
      <protection locked="0"/>
    </xf>
    <xf numFmtId="3" fontId="12" fillId="28" borderId="56" xfId="0" applyNumberFormat="1" applyFont="1" applyFill="1" applyBorder="1" applyAlignment="1" applyProtection="1">
      <alignment horizontal="center" vertical="center"/>
      <protection locked="0"/>
    </xf>
    <xf numFmtId="3" fontId="12" fillId="28" borderId="77" xfId="0" applyNumberFormat="1" applyFont="1" applyFill="1" applyBorder="1" applyAlignment="1" applyProtection="1">
      <alignment horizontal="center" vertical="center"/>
      <protection locked="0"/>
    </xf>
    <xf numFmtId="3" fontId="21" fillId="0" borderId="49" xfId="0" applyNumberFormat="1" applyFont="1" applyBorder="1" applyAlignment="1">
      <alignment horizontal="center" vertical="center"/>
    </xf>
    <xf numFmtId="3" fontId="21" fillId="0" borderId="31" xfId="0" applyNumberFormat="1" applyFont="1" applyBorder="1" applyAlignment="1">
      <alignment horizontal="center" vertical="center"/>
    </xf>
    <xf numFmtId="3" fontId="21" fillId="40" borderId="8" xfId="83" applyNumberFormat="1" applyFont="1" applyFill="1" applyBorder="1" applyAlignment="1">
      <alignment horizontal="center" vertical="center" wrapText="1"/>
    </xf>
    <xf numFmtId="0" fontId="13" fillId="0" borderId="0" xfId="0" applyFont="1" applyAlignment="1">
      <alignment horizontal="right" vertical="center"/>
    </xf>
    <xf numFmtId="0" fontId="15" fillId="0" borderId="0" xfId="0" applyFont="1" applyAlignment="1">
      <alignment vertical="center" wrapText="1"/>
    </xf>
    <xf numFmtId="0" fontId="20" fillId="0" borderId="0" xfId="0" applyFont="1" applyAlignment="1">
      <alignment vertical="center"/>
    </xf>
    <xf numFmtId="0" fontId="34" fillId="0" borderId="20" xfId="0" applyFont="1" applyBorder="1" applyAlignment="1">
      <alignment vertical="center"/>
    </xf>
    <xf numFmtId="0" fontId="0" fillId="0" borderId="20" xfId="0" applyBorder="1" applyAlignment="1">
      <alignment vertical="center"/>
    </xf>
    <xf numFmtId="0" fontId="40" fillId="0" borderId="0" xfId="0" applyFont="1" applyAlignment="1">
      <alignment horizontal="center" vertical="center"/>
    </xf>
    <xf numFmtId="0" fontId="40" fillId="37" borderId="35" xfId="0" applyFont="1" applyFill="1" applyBorder="1" applyAlignment="1">
      <alignment horizontal="center" vertical="center"/>
    </xf>
    <xf numFmtId="0" fontId="41" fillId="0" borderId="29" xfId="0" applyFont="1" applyBorder="1" applyAlignment="1">
      <alignment vertical="center"/>
    </xf>
    <xf numFmtId="0" fontId="41" fillId="0" borderId="29" xfId="0" applyFont="1" applyBorder="1" applyAlignment="1">
      <alignment horizontal="center" vertical="center"/>
    </xf>
    <xf numFmtId="0" fontId="41" fillId="0" borderId="24" xfId="0" applyFont="1" applyBorder="1" applyAlignment="1">
      <alignment vertical="center"/>
    </xf>
    <xf numFmtId="0" fontId="41" fillId="0" borderId="24" xfId="0" applyFont="1" applyBorder="1" applyAlignment="1">
      <alignment horizontal="center" vertical="center"/>
    </xf>
    <xf numFmtId="0" fontId="40" fillId="0" borderId="25" xfId="0" applyFont="1" applyBorder="1" applyAlignment="1">
      <alignment horizontal="right" vertical="center"/>
    </xf>
    <xf numFmtId="0" fontId="40" fillId="0" borderId="25" xfId="0" applyFont="1" applyBorder="1" applyAlignment="1">
      <alignment horizontal="center" vertical="center"/>
    </xf>
    <xf numFmtId="0" fontId="41" fillId="0" borderId="24" xfId="0" applyFont="1" applyBorder="1" applyAlignment="1">
      <alignment vertical="center" wrapText="1"/>
    </xf>
    <xf numFmtId="0" fontId="41" fillId="0" borderId="36" xfId="0" applyFont="1" applyBorder="1" applyAlignment="1">
      <alignment vertical="center" wrapText="1"/>
    </xf>
    <xf numFmtId="0" fontId="41" fillId="0" borderId="36" xfId="0" applyFont="1" applyBorder="1" applyAlignment="1">
      <alignment horizontal="center" vertical="center"/>
    </xf>
    <xf numFmtId="3" fontId="41" fillId="29" borderId="17" xfId="49" applyNumberFormat="1" applyFont="1" applyFill="1" applyBorder="1" applyAlignment="1">
      <alignment horizontal="center" vertical="center"/>
    </xf>
    <xf numFmtId="0" fontId="41" fillId="0" borderId="30" xfId="0" applyFont="1" applyBorder="1" applyAlignment="1">
      <alignment horizontal="center" vertical="center"/>
    </xf>
    <xf numFmtId="0" fontId="40" fillId="21" borderId="1" xfId="0" applyFont="1" applyFill="1" applyBorder="1" applyAlignment="1">
      <alignment vertical="center" wrapText="1"/>
    </xf>
    <xf numFmtId="0" fontId="40" fillId="24" borderId="30" xfId="0" applyFont="1" applyFill="1" applyBorder="1" applyAlignment="1">
      <alignment horizontal="center" vertical="center"/>
    </xf>
    <xf numFmtId="0" fontId="0" fillId="0" borderId="0" xfId="0" applyAlignment="1">
      <alignment horizontal="center" vertical="center"/>
    </xf>
    <xf numFmtId="0" fontId="40" fillId="24" borderId="1" xfId="0" applyFont="1" applyFill="1" applyBorder="1" applyAlignment="1">
      <alignment horizontal="center" vertical="center"/>
    </xf>
    <xf numFmtId="14" fontId="40" fillId="0" borderId="0" xfId="0" applyNumberFormat="1" applyFont="1" applyAlignment="1">
      <alignment horizontal="left" vertical="center"/>
    </xf>
    <xf numFmtId="0" fontId="43" fillId="0" borderId="0" xfId="31" applyFont="1" applyAlignment="1">
      <alignment vertical="center"/>
    </xf>
    <xf numFmtId="0" fontId="21" fillId="27" borderId="0" xfId="32" applyFont="1" applyFill="1" applyAlignment="1">
      <alignment horizontal="center"/>
    </xf>
    <xf numFmtId="0" fontId="43" fillId="0" borderId="0" xfId="31" applyFont="1" applyAlignment="1">
      <alignment horizontal="right"/>
    </xf>
    <xf numFmtId="0" fontId="40" fillId="37" borderId="1" xfId="32" applyFont="1" applyFill="1" applyBorder="1" applyAlignment="1">
      <alignment vertical="center" wrapText="1"/>
    </xf>
    <xf numFmtId="0" fontId="40" fillId="30" borderId="25" xfId="32" applyFont="1" applyFill="1" applyBorder="1"/>
    <xf numFmtId="3" fontId="40" fillId="30" borderId="5" xfId="32" applyNumberFormat="1" applyFont="1" applyFill="1" applyBorder="1" applyAlignment="1">
      <alignment horizontal="center"/>
    </xf>
    <xf numFmtId="3" fontId="40" fillId="30" borderId="44" xfId="32" applyNumberFormat="1" applyFont="1" applyFill="1" applyBorder="1" applyAlignment="1">
      <alignment horizontal="center"/>
    </xf>
    <xf numFmtId="3" fontId="40" fillId="30" borderId="31" xfId="32" applyNumberFormat="1" applyFont="1" applyFill="1" applyBorder="1" applyAlignment="1">
      <alignment horizontal="center"/>
    </xf>
    <xf numFmtId="3" fontId="40" fillId="30" borderId="50" xfId="32" applyNumberFormat="1" applyFont="1" applyFill="1" applyBorder="1" applyAlignment="1">
      <alignment horizontal="center"/>
    </xf>
    <xf numFmtId="0" fontId="40" fillId="31" borderId="24" xfId="32" applyFont="1" applyFill="1" applyBorder="1"/>
    <xf numFmtId="3" fontId="40" fillId="31" borderId="17" xfId="32" applyNumberFormat="1" applyFont="1" applyFill="1" applyBorder="1" applyAlignment="1">
      <alignment horizontal="center"/>
    </xf>
    <xf numFmtId="3" fontId="40" fillId="31" borderId="32" xfId="32" applyNumberFormat="1" applyFont="1" applyFill="1" applyBorder="1" applyAlignment="1">
      <alignment horizontal="center"/>
    </xf>
    <xf numFmtId="3" fontId="40" fillId="31" borderId="7" xfId="32" applyNumberFormat="1" applyFont="1" applyFill="1" applyBorder="1" applyAlignment="1">
      <alignment horizontal="center"/>
    </xf>
    <xf numFmtId="3" fontId="40" fillId="31" borderId="53" xfId="32" applyNumberFormat="1" applyFont="1" applyFill="1" applyBorder="1" applyAlignment="1">
      <alignment horizontal="center"/>
    </xf>
    <xf numFmtId="0" fontId="41" fillId="27" borderId="24" xfId="47" applyFont="1" applyFill="1" applyBorder="1" applyAlignment="1">
      <alignment horizontal="left" vertical="center" wrapText="1"/>
    </xf>
    <xf numFmtId="3" fontId="41" fillId="27" borderId="32" xfId="32" applyNumberFormat="1" applyFont="1" applyFill="1" applyBorder="1" applyAlignment="1">
      <alignment horizontal="center"/>
    </xf>
    <xf numFmtId="3" fontId="41" fillId="27" borderId="7" xfId="32" applyNumberFormat="1" applyFont="1" applyFill="1" applyBorder="1" applyAlignment="1">
      <alignment horizontal="center"/>
    </xf>
    <xf numFmtId="3" fontId="41" fillId="27" borderId="53" xfId="32" applyNumberFormat="1" applyFont="1" applyFill="1" applyBorder="1" applyAlignment="1">
      <alignment horizontal="center"/>
    </xf>
    <xf numFmtId="0" fontId="41" fillId="20" borderId="24" xfId="47" applyFont="1" applyFill="1" applyBorder="1" applyAlignment="1">
      <alignment horizontal="left" vertical="center" wrapText="1"/>
    </xf>
    <xf numFmtId="0" fontId="107" fillId="27" borderId="24" xfId="47" applyFont="1" applyFill="1" applyBorder="1" applyAlignment="1">
      <alignment horizontal="left" vertical="center" wrapText="1"/>
    </xf>
    <xf numFmtId="3" fontId="41" fillId="26" borderId="32" xfId="32" applyNumberFormat="1" applyFont="1" applyFill="1" applyBorder="1" applyAlignment="1">
      <alignment horizontal="center"/>
    </xf>
    <xf numFmtId="3" fontId="41" fillId="26" borderId="7" xfId="32" applyNumberFormat="1" applyFont="1" applyFill="1" applyBorder="1" applyAlignment="1">
      <alignment horizontal="center"/>
    </xf>
    <xf numFmtId="3" fontId="41" fillId="26" borderId="53" xfId="32" applyNumberFormat="1" applyFont="1" applyFill="1" applyBorder="1" applyAlignment="1">
      <alignment horizontal="center"/>
    </xf>
    <xf numFmtId="0" fontId="41" fillId="26" borderId="24" xfId="47" applyFont="1" applyFill="1" applyBorder="1" applyAlignment="1">
      <alignment horizontal="left" vertical="center" wrapText="1"/>
    </xf>
    <xf numFmtId="0" fontId="40" fillId="31" borderId="24" xfId="47" applyFont="1" applyFill="1" applyBorder="1" applyAlignment="1">
      <alignment horizontal="left" vertical="center" wrapText="1"/>
    </xf>
    <xf numFmtId="0" fontId="40" fillId="30" borderId="24" xfId="32" applyFont="1" applyFill="1" applyBorder="1"/>
    <xf numFmtId="3" fontId="40" fillId="30" borderId="17" xfId="32" applyNumberFormat="1" applyFont="1" applyFill="1" applyBorder="1" applyAlignment="1">
      <alignment horizontal="center"/>
    </xf>
    <xf numFmtId="3" fontId="40" fillId="30" borderId="32" xfId="32" applyNumberFormat="1" applyFont="1" applyFill="1" applyBorder="1" applyAlignment="1">
      <alignment horizontal="center"/>
    </xf>
    <xf numFmtId="3" fontId="40" fillId="30" borderId="7" xfId="32" applyNumberFormat="1" applyFont="1" applyFill="1" applyBorder="1" applyAlignment="1">
      <alignment horizontal="center"/>
    </xf>
    <xf numFmtId="3" fontId="40" fillId="30" borderId="53" xfId="32" applyNumberFormat="1" applyFont="1" applyFill="1" applyBorder="1" applyAlignment="1">
      <alignment horizontal="center"/>
    </xf>
    <xf numFmtId="3" fontId="41" fillId="27" borderId="17" xfId="32" applyNumberFormat="1" applyFont="1" applyFill="1" applyBorder="1" applyAlignment="1">
      <alignment horizontal="center"/>
    </xf>
    <xf numFmtId="0" fontId="41" fillId="26" borderId="24" xfId="32" applyFont="1" applyFill="1" applyBorder="1"/>
    <xf numFmtId="0" fontId="40" fillId="31" borderId="24" xfId="47" applyFont="1" applyFill="1" applyBorder="1" applyAlignment="1">
      <alignment horizontal="left" vertical="top" wrapText="1"/>
    </xf>
    <xf numFmtId="3" fontId="40" fillId="31" borderId="23" xfId="32" applyNumberFormat="1" applyFont="1" applyFill="1" applyBorder="1" applyAlignment="1">
      <alignment horizontal="center"/>
    </xf>
    <xf numFmtId="3" fontId="40" fillId="31" borderId="15" xfId="32" applyNumberFormat="1" applyFont="1" applyFill="1" applyBorder="1" applyAlignment="1">
      <alignment horizontal="center"/>
    </xf>
    <xf numFmtId="3" fontId="41" fillId="26" borderId="17" xfId="32" applyNumberFormat="1" applyFont="1" applyFill="1" applyBorder="1" applyAlignment="1">
      <alignment horizontal="center"/>
    </xf>
    <xf numFmtId="3" fontId="41" fillId="26" borderId="24" xfId="32" applyNumberFormat="1" applyFont="1" applyFill="1" applyBorder="1" applyAlignment="1">
      <alignment horizontal="center"/>
    </xf>
    <xf numFmtId="3" fontId="41" fillId="26" borderId="15" xfId="32" applyNumberFormat="1" applyFont="1" applyFill="1" applyBorder="1" applyAlignment="1">
      <alignment horizontal="center"/>
    </xf>
    <xf numFmtId="0" fontId="41" fillId="27" borderId="24" xfId="32" applyFont="1" applyFill="1" applyBorder="1"/>
    <xf numFmtId="0" fontId="40" fillId="34" borderId="24" xfId="47" applyFont="1" applyFill="1" applyBorder="1" applyAlignment="1">
      <alignment horizontal="left" vertical="center" wrapText="1"/>
    </xf>
    <xf numFmtId="3" fontId="40" fillId="34" borderId="17" xfId="32" applyNumberFormat="1" applyFont="1" applyFill="1" applyBorder="1" applyAlignment="1">
      <alignment horizontal="center"/>
    </xf>
    <xf numFmtId="3" fontId="40" fillId="34" borderId="32" xfId="32" applyNumberFormat="1" applyFont="1" applyFill="1" applyBorder="1" applyAlignment="1">
      <alignment horizontal="center"/>
    </xf>
    <xf numFmtId="3" fontId="40" fillId="34" borderId="7" xfId="32" applyNumberFormat="1" applyFont="1" applyFill="1" applyBorder="1" applyAlignment="1">
      <alignment horizontal="center"/>
    </xf>
    <xf numFmtId="3" fontId="40" fillId="34" borderId="53" xfId="32" applyNumberFormat="1" applyFont="1" applyFill="1" applyBorder="1" applyAlignment="1">
      <alignment horizontal="center"/>
    </xf>
    <xf numFmtId="0" fontId="40" fillId="27" borderId="24" xfId="32" applyFont="1" applyFill="1" applyBorder="1"/>
    <xf numFmtId="0" fontId="40" fillId="27" borderId="24" xfId="47" applyFont="1" applyFill="1" applyBorder="1" applyAlignment="1">
      <alignment horizontal="left" vertical="center" wrapText="1"/>
    </xf>
    <xf numFmtId="0" fontId="40" fillId="34" borderId="30" xfId="47" applyFont="1" applyFill="1" applyBorder="1" applyAlignment="1">
      <alignment horizontal="left" vertical="center" wrapText="1"/>
    </xf>
    <xf numFmtId="3" fontId="40" fillId="34" borderId="21" xfId="32" applyNumberFormat="1" applyFont="1" applyFill="1" applyBorder="1" applyAlignment="1">
      <alignment horizontal="center"/>
    </xf>
    <xf numFmtId="3" fontId="40" fillId="34" borderId="79" xfId="32" applyNumberFormat="1" applyFont="1" applyFill="1" applyBorder="1" applyAlignment="1">
      <alignment horizontal="center"/>
    </xf>
    <xf numFmtId="3" fontId="40" fillId="34" borderId="77" xfId="32" applyNumberFormat="1" applyFont="1" applyFill="1" applyBorder="1" applyAlignment="1">
      <alignment horizontal="center"/>
    </xf>
    <xf numFmtId="3" fontId="40" fillId="34" borderId="57" xfId="32" applyNumberFormat="1" applyFont="1" applyFill="1" applyBorder="1" applyAlignment="1">
      <alignment horizontal="center"/>
    </xf>
    <xf numFmtId="0" fontId="0" fillId="27" borderId="0" xfId="0" applyFill="1"/>
    <xf numFmtId="14" fontId="40" fillId="27" borderId="0" xfId="0" applyNumberFormat="1" applyFont="1" applyFill="1" applyAlignment="1">
      <alignment horizontal="right" vertical="center" indent="1"/>
    </xf>
    <xf numFmtId="14" fontId="45" fillId="27" borderId="0" xfId="0" applyNumberFormat="1" applyFont="1" applyFill="1" applyAlignment="1">
      <alignment horizontal="left" vertical="center" indent="1"/>
    </xf>
    <xf numFmtId="14" fontId="126" fillId="27" borderId="0" xfId="0" applyNumberFormat="1" applyFont="1" applyFill="1" applyAlignment="1">
      <alignment horizontal="left" vertical="center" indent="1"/>
    </xf>
    <xf numFmtId="0" fontId="43" fillId="27" borderId="0" xfId="31" applyFont="1" applyFill="1"/>
    <xf numFmtId="0" fontId="84" fillId="27" borderId="0" xfId="31" applyFont="1" applyFill="1" applyAlignment="1">
      <alignment horizontal="left"/>
    </xf>
    <xf numFmtId="3" fontId="41" fillId="0" borderId="23" xfId="32" applyNumberFormat="1" applyFont="1" applyBorder="1" applyAlignment="1">
      <alignment horizontal="center" vertical="center"/>
    </xf>
    <xf numFmtId="3" fontId="41" fillId="0" borderId="7" xfId="32" applyNumberFormat="1" applyFont="1" applyBorder="1" applyAlignment="1">
      <alignment horizontal="center" vertical="center"/>
    </xf>
    <xf numFmtId="3" fontId="41" fillId="0" borderId="15" xfId="32" applyNumberFormat="1" applyFont="1" applyBorder="1" applyAlignment="1">
      <alignment horizontal="center" vertical="center"/>
    </xf>
    <xf numFmtId="3" fontId="41" fillId="0" borderId="24" xfId="32" applyNumberFormat="1" applyFont="1" applyBorder="1" applyAlignment="1">
      <alignment horizontal="center" vertical="center"/>
    </xf>
    <xf numFmtId="0" fontId="13" fillId="0" borderId="0" xfId="0" applyFont="1" applyAlignment="1">
      <alignment vertical="center"/>
    </xf>
    <xf numFmtId="3" fontId="40" fillId="30" borderId="51" xfId="32" applyNumberFormat="1" applyFont="1" applyFill="1" applyBorder="1" applyAlignment="1">
      <alignment horizontal="center"/>
    </xf>
    <xf numFmtId="3" fontId="40" fillId="31" borderId="52" xfId="32" applyNumberFormat="1" applyFont="1" applyFill="1" applyBorder="1" applyAlignment="1">
      <alignment horizontal="center"/>
    </xf>
    <xf numFmtId="3" fontId="41" fillId="26" borderId="52" xfId="32" applyNumberFormat="1" applyFont="1" applyFill="1" applyBorder="1" applyAlignment="1">
      <alignment horizontal="center"/>
    </xf>
    <xf numFmtId="0" fontId="41" fillId="0" borderId="24" xfId="47" applyFont="1" applyBorder="1" applyAlignment="1">
      <alignment horizontal="left" vertical="center" wrapText="1"/>
    </xf>
    <xf numFmtId="3" fontId="40" fillId="31" borderId="39" xfId="32" applyNumberFormat="1" applyFont="1" applyFill="1" applyBorder="1" applyAlignment="1">
      <alignment horizontal="center"/>
    </xf>
    <xf numFmtId="3" fontId="41" fillId="0" borderId="32" xfId="32" applyNumberFormat="1" applyFont="1" applyBorder="1" applyAlignment="1">
      <alignment horizontal="center"/>
    </xf>
    <xf numFmtId="3" fontId="41" fillId="0" borderId="7" xfId="32" applyNumberFormat="1" applyFont="1" applyBorder="1" applyAlignment="1">
      <alignment horizontal="center"/>
    </xf>
    <xf numFmtId="3" fontId="41" fillId="0" borderId="53" xfId="32" applyNumberFormat="1" applyFont="1" applyBorder="1" applyAlignment="1">
      <alignment horizontal="center"/>
    </xf>
    <xf numFmtId="3" fontId="40" fillId="31" borderId="5" xfId="32" applyNumberFormat="1" applyFont="1" applyFill="1" applyBorder="1" applyAlignment="1">
      <alignment horizontal="center"/>
    </xf>
    <xf numFmtId="3" fontId="41" fillId="0" borderId="17" xfId="32" applyNumberFormat="1" applyFont="1" applyBorder="1" applyAlignment="1">
      <alignment horizontal="center"/>
    </xf>
    <xf numFmtId="0" fontId="41" fillId="0" borderId="24" xfId="32" applyFont="1" applyBorder="1"/>
    <xf numFmtId="0" fontId="40" fillId="30" borderId="24" xfId="47" applyFont="1" applyFill="1" applyBorder="1" applyAlignment="1">
      <alignment horizontal="left" vertical="center" wrapText="1"/>
    </xf>
    <xf numFmtId="0" fontId="40" fillId="35" borderId="24" xfId="47" applyFont="1" applyFill="1" applyBorder="1" applyAlignment="1">
      <alignment horizontal="left" vertical="center" wrapText="1"/>
    </xf>
    <xf numFmtId="3" fontId="40" fillId="35" borderId="7" xfId="32" applyNumberFormat="1" applyFont="1" applyFill="1" applyBorder="1" applyAlignment="1">
      <alignment horizontal="center"/>
    </xf>
    <xf numFmtId="3" fontId="40" fillId="35" borderId="53" xfId="32" applyNumberFormat="1" applyFont="1" applyFill="1" applyBorder="1" applyAlignment="1">
      <alignment horizontal="center"/>
    </xf>
    <xf numFmtId="0" fontId="40" fillId="35" borderId="30" xfId="47" applyFont="1" applyFill="1" applyBorder="1" applyAlignment="1">
      <alignment horizontal="left" vertical="center" wrapText="1"/>
    </xf>
    <xf numFmtId="3" fontId="40" fillId="35" borderId="21" xfId="32" applyNumberFormat="1" applyFont="1" applyFill="1" applyBorder="1" applyAlignment="1">
      <alignment horizontal="center"/>
    </xf>
    <xf numFmtId="3" fontId="40" fillId="35" borderId="79" xfId="32" applyNumberFormat="1" applyFont="1" applyFill="1" applyBorder="1" applyAlignment="1">
      <alignment horizontal="center"/>
    </xf>
    <xf numFmtId="3" fontId="40" fillId="35" borderId="77" xfId="32" applyNumberFormat="1" applyFont="1" applyFill="1" applyBorder="1" applyAlignment="1">
      <alignment horizontal="center"/>
    </xf>
    <xf numFmtId="3" fontId="40" fillId="35" borderId="57" xfId="32" applyNumberFormat="1" applyFont="1" applyFill="1" applyBorder="1" applyAlignment="1">
      <alignment horizontal="center"/>
    </xf>
    <xf numFmtId="0" fontId="12" fillId="27" borderId="0" xfId="56" applyFont="1" applyFill="1"/>
    <xf numFmtId="3" fontId="79" fillId="27" borderId="0" xfId="32" applyNumberFormat="1" applyFont="1" applyFill="1"/>
    <xf numFmtId="14" fontId="40" fillId="27" borderId="0" xfId="0" applyNumberFormat="1" applyFont="1" applyFill="1" applyAlignment="1">
      <alignment horizontal="left" vertical="center"/>
    </xf>
    <xf numFmtId="14" fontId="40" fillId="27" borderId="0" xfId="0" applyNumberFormat="1" applyFont="1" applyFill="1" applyAlignment="1">
      <alignment horizontal="right" vertical="center"/>
    </xf>
    <xf numFmtId="14" fontId="45" fillId="27" borderId="0" xfId="0" applyNumberFormat="1" applyFont="1" applyFill="1" applyAlignment="1">
      <alignment horizontal="left" vertical="center"/>
    </xf>
    <xf numFmtId="14" fontId="126" fillId="27" borderId="0" xfId="0" applyNumberFormat="1" applyFont="1" applyFill="1" applyAlignment="1">
      <alignment horizontal="left" vertical="center"/>
    </xf>
    <xf numFmtId="0" fontId="19" fillId="0" borderId="20" xfId="42" applyFont="1" applyBorder="1" applyAlignment="1">
      <alignment horizontal="center"/>
    </xf>
    <xf numFmtId="0" fontId="19" fillId="0" borderId="0" xfId="42" applyFont="1" applyAlignment="1">
      <alignment horizontal="center"/>
    </xf>
    <xf numFmtId="0" fontId="47" fillId="0" borderId="75" xfId="0" applyFont="1" applyBorder="1" applyAlignment="1">
      <alignment horizontal="center" vertical="center"/>
    </xf>
    <xf numFmtId="0" fontId="47" fillId="0" borderId="76" xfId="0" applyFont="1" applyBorder="1" applyAlignment="1">
      <alignment horizontal="left" vertical="center"/>
    </xf>
    <xf numFmtId="0" fontId="45" fillId="0" borderId="51" xfId="0" applyFont="1" applyBorder="1" applyAlignment="1">
      <alignment horizontal="center"/>
    </xf>
    <xf numFmtId="3" fontId="45" fillId="0" borderId="72" xfId="0" applyNumberFormat="1" applyFont="1" applyBorder="1" applyAlignment="1">
      <alignment horizontal="center" vertical="center"/>
    </xf>
    <xf numFmtId="3" fontId="45" fillId="0" borderId="73" xfId="0" applyNumberFormat="1" applyFont="1" applyBorder="1" applyAlignment="1">
      <alignment horizontal="center" vertical="center"/>
    </xf>
    <xf numFmtId="3" fontId="45" fillId="0" borderId="76" xfId="0" applyNumberFormat="1" applyFont="1" applyBorder="1" applyAlignment="1">
      <alignment horizontal="center" vertical="center"/>
    </xf>
    <xf numFmtId="0" fontId="47" fillId="0" borderId="52" xfId="0" applyFont="1" applyBorder="1" applyAlignment="1">
      <alignment horizontal="center" vertical="center"/>
    </xf>
    <xf numFmtId="0" fontId="47" fillId="0" borderId="53" xfId="0" applyFont="1" applyBorder="1" applyAlignment="1">
      <alignment horizontal="left" vertical="center"/>
    </xf>
    <xf numFmtId="0" fontId="45" fillId="0" borderId="17" xfId="0" applyFont="1" applyBorder="1" applyAlignment="1">
      <alignment horizontal="center"/>
    </xf>
    <xf numFmtId="3" fontId="45" fillId="0" borderId="32" xfId="0" applyNumberFormat="1" applyFont="1" applyBorder="1" applyAlignment="1">
      <alignment horizontal="center" vertical="center"/>
    </xf>
    <xf numFmtId="3" fontId="45" fillId="0" borderId="7" xfId="0" applyNumberFormat="1" applyFont="1" applyBorder="1" applyAlignment="1">
      <alignment horizontal="center" vertical="center"/>
    </xf>
    <xf numFmtId="3" fontId="45" fillId="0" borderId="53" xfId="0" applyNumberFormat="1" applyFont="1" applyBorder="1" applyAlignment="1">
      <alignment horizontal="center" vertical="center"/>
    </xf>
    <xf numFmtId="3" fontId="41" fillId="0" borderId="32" xfId="0" applyNumberFormat="1" applyFont="1" applyBorder="1" applyAlignment="1">
      <alignment horizontal="center" vertical="center"/>
    </xf>
    <xf numFmtId="0" fontId="45" fillId="20" borderId="21" xfId="0" applyFont="1" applyFill="1" applyBorder="1" applyAlignment="1">
      <alignment horizontal="center" vertical="center" wrapText="1"/>
    </xf>
    <xf numFmtId="3" fontId="45" fillId="0" borderId="31"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20" borderId="17" xfId="0" applyFont="1" applyFill="1" applyBorder="1" applyAlignment="1">
      <alignment horizontal="center" vertical="center" wrapText="1"/>
    </xf>
    <xf numFmtId="3" fontId="41" fillId="0" borderId="32" xfId="0" applyNumberFormat="1" applyFont="1" applyBorder="1" applyAlignment="1">
      <alignment horizontal="center"/>
    </xf>
    <xf numFmtId="3" fontId="41" fillId="0" borderId="7" xfId="0" applyNumberFormat="1" applyFont="1" applyBorder="1" applyAlignment="1">
      <alignment horizontal="center"/>
    </xf>
    <xf numFmtId="3" fontId="41" fillId="0" borderId="53" xfId="0" applyNumberFormat="1" applyFont="1" applyBorder="1" applyAlignment="1">
      <alignment horizontal="center"/>
    </xf>
    <xf numFmtId="0" fontId="45" fillId="0" borderId="53" xfId="0" applyFont="1" applyBorder="1" applyAlignment="1">
      <alignment horizontal="left" vertical="center"/>
    </xf>
    <xf numFmtId="0" fontId="45" fillId="0" borderId="53" xfId="0" applyFont="1" applyBorder="1" applyAlignment="1">
      <alignment horizontal="left" vertical="center" wrapText="1"/>
    </xf>
    <xf numFmtId="3" fontId="41" fillId="0" borderId="69" xfId="0" applyNumberFormat="1" applyFont="1" applyBorder="1" applyAlignment="1">
      <alignment horizontal="center" vertical="center"/>
    </xf>
    <xf numFmtId="3" fontId="41" fillId="0" borderId="63" xfId="0" applyNumberFormat="1" applyFont="1" applyBorder="1" applyAlignment="1">
      <alignment horizontal="center" vertical="center"/>
    </xf>
    <xf numFmtId="3" fontId="41" fillId="0" borderId="55" xfId="0" applyNumberFormat="1" applyFont="1" applyBorder="1" applyAlignment="1">
      <alignment horizontal="center" vertical="center"/>
    </xf>
    <xf numFmtId="0" fontId="45" fillId="0" borderId="53" xfId="0" applyFont="1" applyBorder="1" applyAlignment="1">
      <alignment horizontal="right"/>
    </xf>
    <xf numFmtId="3" fontId="42" fillId="0" borderId="7" xfId="0" applyNumberFormat="1" applyFont="1" applyBorder="1" applyAlignment="1">
      <alignment horizontal="center"/>
    </xf>
    <xf numFmtId="3" fontId="42" fillId="0" borderId="53" xfId="0" applyNumberFormat="1" applyFont="1" applyBorder="1" applyAlignment="1">
      <alignment horizontal="center"/>
    </xf>
    <xf numFmtId="0" fontId="45" fillId="0" borderId="57" xfId="0" applyFont="1" applyBorder="1" applyAlignment="1">
      <alignment horizontal="right"/>
    </xf>
    <xf numFmtId="3" fontId="42" fillId="0" borderId="77" xfId="0" applyNumberFormat="1" applyFont="1" applyBorder="1" applyAlignment="1">
      <alignment horizontal="center"/>
    </xf>
    <xf numFmtId="3" fontId="42" fillId="0" borderId="57" xfId="0" applyNumberFormat="1" applyFont="1" applyBorder="1" applyAlignment="1">
      <alignment horizontal="center"/>
    </xf>
    <xf numFmtId="3" fontId="45" fillId="26" borderId="32" xfId="0" applyNumberFormat="1" applyFont="1" applyFill="1" applyBorder="1" applyAlignment="1">
      <alignment horizontal="center" vertical="center"/>
    </xf>
    <xf numFmtId="3" fontId="45" fillId="26" borderId="7" xfId="0" applyNumberFormat="1" applyFont="1" applyFill="1" applyBorder="1" applyAlignment="1">
      <alignment horizontal="center" vertical="center"/>
    </xf>
    <xf numFmtId="3" fontId="45" fillId="26" borderId="53" xfId="0" applyNumberFormat="1" applyFont="1" applyFill="1" applyBorder="1" applyAlignment="1">
      <alignment horizontal="center" vertical="center"/>
    </xf>
    <xf numFmtId="3" fontId="41" fillId="26" borderId="53" xfId="0" applyNumberFormat="1" applyFont="1" applyFill="1" applyBorder="1" applyAlignment="1">
      <alignment horizontal="center" vertical="center"/>
    </xf>
    <xf numFmtId="3" fontId="45" fillId="0" borderId="14" xfId="0" applyNumberFormat="1" applyFont="1" applyBorder="1" applyAlignment="1">
      <alignment horizontal="center" vertical="center"/>
    </xf>
    <xf numFmtId="0" fontId="47" fillId="0" borderId="57" xfId="0" applyFont="1" applyBorder="1" applyAlignment="1">
      <alignment horizontal="left" vertical="center"/>
    </xf>
    <xf numFmtId="3" fontId="41" fillId="26" borderId="77" xfId="0" applyNumberFormat="1" applyFont="1" applyFill="1" applyBorder="1" applyAlignment="1">
      <alignment horizontal="center" vertical="center"/>
    </xf>
    <xf numFmtId="3" fontId="41" fillId="26" borderId="57" xfId="0" applyNumberFormat="1" applyFont="1" applyFill="1" applyBorder="1" applyAlignment="1">
      <alignment horizontal="center" vertical="center"/>
    </xf>
    <xf numFmtId="0" fontId="59" fillId="0" borderId="0" xfId="0" applyFont="1" applyAlignment="1">
      <alignment horizontal="right"/>
    </xf>
    <xf numFmtId="0" fontId="57" fillId="20" borderId="0" xfId="0" applyFont="1" applyFill="1" applyAlignment="1">
      <alignment horizontal="center" vertical="center" wrapText="1"/>
    </xf>
    <xf numFmtId="3" fontId="12" fillId="0" borderId="0" xfId="0" applyNumberFormat="1" applyFont="1" applyAlignment="1">
      <alignment horizontal="center"/>
    </xf>
    <xf numFmtId="0" fontId="56" fillId="0" borderId="0" xfId="0" applyFont="1" applyAlignment="1">
      <alignment horizontal="center"/>
    </xf>
    <xf numFmtId="2" fontId="39" fillId="0" borderId="0" xfId="0" applyNumberFormat="1" applyFont="1" applyAlignment="1">
      <alignment horizontal="center"/>
    </xf>
    <xf numFmtId="1" fontId="39" fillId="0" borderId="0" xfId="0" applyNumberFormat="1" applyFont="1" applyAlignment="1">
      <alignment horizontal="center"/>
    </xf>
    <xf numFmtId="0" fontId="21" fillId="0" borderId="35" xfId="0" applyFont="1" applyBorder="1"/>
    <xf numFmtId="0" fontId="0" fillId="0" borderId="11" xfId="0" applyBorder="1" applyAlignment="1">
      <alignment horizontal="center"/>
    </xf>
    <xf numFmtId="0" fontId="12" fillId="0" borderId="11" xfId="0" applyFont="1" applyBorder="1" applyAlignment="1">
      <alignment horizontal="center"/>
    </xf>
    <xf numFmtId="0" fontId="12" fillId="0" borderId="41" xfId="0" applyFont="1" applyBorder="1" applyAlignment="1">
      <alignment horizontal="center"/>
    </xf>
    <xf numFmtId="0" fontId="12" fillId="0" borderId="74" xfId="0" applyFont="1" applyBorder="1" applyAlignment="1">
      <alignment horizontal="left" indent="1"/>
    </xf>
    <xf numFmtId="0" fontId="12" fillId="0" borderId="62" xfId="0" applyFont="1" applyBorder="1" applyAlignment="1">
      <alignment horizontal="left" indent="1"/>
    </xf>
    <xf numFmtId="0" fontId="12" fillId="0" borderId="78" xfId="0" applyFont="1" applyBorder="1" applyAlignment="1">
      <alignment horizontal="left" indent="1"/>
    </xf>
    <xf numFmtId="0" fontId="27" fillId="0" borderId="0" xfId="0" applyFont="1" applyAlignment="1">
      <alignment horizontal="center"/>
    </xf>
    <xf numFmtId="0" fontId="41" fillId="27" borderId="52" xfId="0" applyFont="1" applyFill="1" applyBorder="1" applyAlignment="1">
      <alignment horizontal="center" vertical="center" wrapText="1"/>
    </xf>
    <xf numFmtId="0" fontId="21" fillId="27" borderId="75" xfId="0" applyFont="1" applyFill="1" applyBorder="1" applyAlignment="1">
      <alignment horizontal="center" vertical="center"/>
    </xf>
    <xf numFmtId="0" fontId="12" fillId="27" borderId="52" xfId="0" applyFont="1" applyFill="1" applyBorder="1" applyAlignment="1">
      <alignment horizontal="center" vertical="center" wrapText="1"/>
    </xf>
    <xf numFmtId="0" fontId="40" fillId="39" borderId="35" xfId="0" applyFont="1" applyFill="1" applyBorder="1" applyAlignment="1">
      <alignment horizontal="center" vertical="center"/>
    </xf>
    <xf numFmtId="0" fontId="40" fillId="39" borderId="11" xfId="0" applyFont="1" applyFill="1" applyBorder="1" applyAlignment="1">
      <alignment vertical="center"/>
    </xf>
    <xf numFmtId="0" fontId="40" fillId="0" borderId="17" xfId="0" applyFont="1" applyBorder="1" applyAlignment="1">
      <alignment horizontal="center" vertical="center"/>
    </xf>
    <xf numFmtId="0" fontId="40" fillId="0" borderId="5" xfId="0" applyFont="1" applyBorder="1" applyAlignment="1">
      <alignment horizontal="center" vertical="center"/>
    </xf>
    <xf numFmtId="14" fontId="40" fillId="0" borderId="17" xfId="0" applyNumberFormat="1" applyFont="1" applyBorder="1" applyAlignment="1">
      <alignment horizontal="center" vertical="center"/>
    </xf>
    <xf numFmtId="177" fontId="40" fillId="2" borderId="7" xfId="0" applyNumberFormat="1" applyFont="1" applyFill="1" applyBorder="1" applyAlignment="1">
      <alignment horizontal="center" vertical="center"/>
    </xf>
    <xf numFmtId="177" fontId="40" fillId="25" borderId="9" xfId="0" applyNumberFormat="1" applyFont="1" applyFill="1" applyBorder="1" applyAlignment="1">
      <alignment horizontal="center" vertical="center"/>
    </xf>
    <xf numFmtId="0" fontId="40" fillId="39" borderId="2" xfId="0" applyFont="1" applyFill="1" applyBorder="1" applyAlignment="1">
      <alignment horizontal="center" vertical="center"/>
    </xf>
    <xf numFmtId="14" fontId="40" fillId="0" borderId="0" xfId="0" applyNumberFormat="1" applyFont="1" applyAlignment="1">
      <alignment horizontal="right" vertical="center"/>
    </xf>
    <xf numFmtId="14" fontId="41" fillId="0" borderId="0" xfId="0" applyNumberFormat="1" applyFont="1" applyAlignment="1">
      <alignment horizontal="left" vertical="center"/>
    </xf>
    <xf numFmtId="14" fontId="42" fillId="0" borderId="0" xfId="0" applyNumberFormat="1" applyFont="1" applyAlignment="1">
      <alignment horizontal="left" vertical="center"/>
    </xf>
    <xf numFmtId="3" fontId="40" fillId="35" borderId="32" xfId="32" applyNumberFormat="1" applyFont="1" applyFill="1" applyBorder="1" applyAlignment="1">
      <alignment horizontal="center"/>
    </xf>
    <xf numFmtId="0" fontId="41" fillId="26" borderId="17" xfId="49" applyFont="1" applyFill="1" applyBorder="1" applyAlignment="1">
      <alignment vertical="center"/>
    </xf>
    <xf numFmtId="0" fontId="41" fillId="26" borderId="21" xfId="49" applyFont="1" applyFill="1" applyBorder="1" applyAlignment="1">
      <alignment vertical="center"/>
    </xf>
    <xf numFmtId="10" fontId="40" fillId="26" borderId="7" xfId="32" applyNumberFormat="1" applyFont="1" applyFill="1" applyBorder="1" applyAlignment="1">
      <alignment horizontal="center" vertical="center"/>
    </xf>
    <xf numFmtId="10" fontId="40" fillId="26" borderId="53" xfId="32" applyNumberFormat="1" applyFont="1" applyFill="1" applyBorder="1" applyAlignment="1">
      <alignment horizontal="center" vertical="center"/>
    </xf>
    <xf numFmtId="3" fontId="41" fillId="0" borderId="7" xfId="31" applyNumberFormat="1" applyFont="1" applyBorder="1" applyAlignment="1">
      <alignment horizontal="center" vertical="center"/>
    </xf>
    <xf numFmtId="3" fontId="41" fillId="0" borderId="53" xfId="31" applyNumberFormat="1" applyFont="1" applyBorder="1" applyAlignment="1">
      <alignment horizontal="center" vertical="center"/>
    </xf>
    <xf numFmtId="3" fontId="41" fillId="0" borderId="77" xfId="31" applyNumberFormat="1" applyFont="1" applyBorder="1" applyAlignment="1">
      <alignment horizontal="center" vertical="center"/>
    </xf>
    <xf numFmtId="3" fontId="41" fillId="0" borderId="78" xfId="31" applyNumberFormat="1" applyFont="1" applyBorder="1" applyAlignment="1">
      <alignment horizontal="center" vertical="center"/>
    </xf>
    <xf numFmtId="3" fontId="41" fillId="0" borderId="57" xfId="31" applyNumberFormat="1" applyFont="1" applyBorder="1" applyAlignment="1">
      <alignment horizontal="center" vertical="center"/>
    </xf>
    <xf numFmtId="3" fontId="40" fillId="31" borderId="73" xfId="37" applyFont="1" applyFill="1" applyBorder="1" applyAlignment="1" applyProtection="1">
      <alignment horizontal="center" vertical="center" wrapText="1"/>
    </xf>
    <xf numFmtId="3" fontId="40" fillId="31" borderId="76" xfId="37" applyFont="1" applyFill="1" applyBorder="1" applyAlignment="1" applyProtection="1">
      <alignment horizontal="center" vertical="center" wrapText="1"/>
    </xf>
    <xf numFmtId="3" fontId="40" fillId="31" borderId="74" xfId="37" applyFont="1" applyFill="1" applyBorder="1" applyAlignment="1" applyProtection="1">
      <alignment horizontal="center" vertical="center" wrapText="1"/>
    </xf>
    <xf numFmtId="3" fontId="42" fillId="0" borderId="7" xfId="37" applyFont="1" applyBorder="1" applyAlignment="1" applyProtection="1">
      <alignment horizontal="center" vertical="center" wrapText="1"/>
    </xf>
    <xf numFmtId="3" fontId="42" fillId="0" borderId="53" xfId="37" applyFont="1" applyBorder="1" applyAlignment="1" applyProtection="1">
      <alignment horizontal="center" vertical="center" wrapText="1"/>
    </xf>
    <xf numFmtId="3" fontId="42" fillId="0" borderId="62" xfId="37" applyFont="1" applyBorder="1" applyAlignment="1" applyProtection="1">
      <alignment horizontal="center" vertical="center" wrapText="1"/>
    </xf>
    <xf numFmtId="3" fontId="42" fillId="0" borderId="77" xfId="37" applyFont="1" applyBorder="1" applyAlignment="1" applyProtection="1">
      <alignment horizontal="center" vertical="center" wrapText="1"/>
    </xf>
    <xf numFmtId="3" fontId="42" fillId="0" borderId="57" xfId="37" applyFont="1" applyBorder="1" applyAlignment="1" applyProtection="1">
      <alignment horizontal="center" vertical="center" wrapText="1"/>
    </xf>
    <xf numFmtId="3" fontId="41" fillId="0" borderId="0" xfId="31" applyNumberFormat="1" applyFont="1" applyAlignment="1">
      <alignment vertical="center"/>
    </xf>
    <xf numFmtId="3" fontId="12" fillId="0" borderId="0" xfId="31" applyNumberFormat="1" applyFont="1" applyAlignment="1">
      <alignment vertical="center"/>
    </xf>
    <xf numFmtId="3" fontId="12" fillId="0" borderId="0" xfId="0" applyNumberFormat="1" applyFont="1" applyAlignment="1">
      <alignment vertical="center"/>
    </xf>
    <xf numFmtId="3" fontId="40" fillId="0" borderId="7" xfId="37" applyFont="1" applyBorder="1" applyAlignment="1" applyProtection="1">
      <alignment horizontal="center" vertical="center" wrapText="1"/>
    </xf>
    <xf numFmtId="3" fontId="40" fillId="0" borderId="53" xfId="37" applyFont="1" applyBorder="1" applyAlignment="1" applyProtection="1">
      <alignment horizontal="center" vertical="center" wrapText="1"/>
    </xf>
    <xf numFmtId="3" fontId="40" fillId="0" borderId="62" xfId="37" applyFont="1" applyBorder="1" applyAlignment="1" applyProtection="1">
      <alignment horizontal="center" vertical="center" wrapText="1"/>
    </xf>
    <xf numFmtId="3" fontId="42" fillId="43" borderId="7" xfId="37" applyFont="1" applyFill="1" applyBorder="1" applyAlignment="1" applyProtection="1">
      <alignment horizontal="center" vertical="center" wrapText="1"/>
    </xf>
    <xf numFmtId="3" fontId="42" fillId="43" borderId="53" xfId="37" applyFont="1" applyFill="1" applyBorder="1" applyAlignment="1" applyProtection="1">
      <alignment horizontal="center" vertical="center" wrapText="1"/>
    </xf>
    <xf numFmtId="3" fontId="42" fillId="43" borderId="62" xfId="37" applyFont="1" applyFill="1" applyBorder="1" applyAlignment="1" applyProtection="1">
      <alignment horizontal="center" vertical="center" wrapText="1"/>
    </xf>
    <xf numFmtId="3" fontId="41" fillId="0" borderId="0" xfId="37" applyFont="1" applyProtection="1">
      <alignment horizontal="right" vertical="center" wrapText="1"/>
    </xf>
    <xf numFmtId="3" fontId="41" fillId="0" borderId="0" xfId="0" applyNumberFormat="1" applyFont="1" applyAlignment="1">
      <alignment vertical="center"/>
    </xf>
    <xf numFmtId="3" fontId="95" fillId="0" borderId="9" xfId="37" applyFont="1" applyBorder="1" applyAlignment="1" applyProtection="1">
      <alignment horizontal="center" vertical="center" wrapText="1"/>
    </xf>
    <xf numFmtId="3" fontId="95" fillId="0" borderId="60" xfId="37" applyFont="1" applyBorder="1" applyAlignment="1" applyProtection="1">
      <alignment horizontal="center" vertical="center" wrapText="1"/>
    </xf>
    <xf numFmtId="3" fontId="95" fillId="0" borderId="10" xfId="37" applyFont="1" applyBorder="1" applyAlignment="1" applyProtection="1">
      <alignment horizontal="center" vertical="center" wrapText="1"/>
    </xf>
    <xf numFmtId="3" fontId="95" fillId="0" borderId="0" xfId="37" applyFont="1" applyAlignment="1" applyProtection="1">
      <alignment horizontal="center" vertical="center" wrapText="1"/>
    </xf>
    <xf numFmtId="3" fontId="41" fillId="0" borderId="0" xfId="21" applyNumberFormat="1" applyFont="1" applyFill="1">
      <alignment horizontal="center" vertical="center" wrapText="1"/>
    </xf>
    <xf numFmtId="3" fontId="40" fillId="0" borderId="73" xfId="21" applyNumberFormat="1" applyFont="1" applyFill="1" applyBorder="1">
      <alignment horizontal="center" vertical="center" wrapText="1"/>
    </xf>
    <xf numFmtId="3" fontId="40" fillId="0" borderId="76" xfId="21" applyNumberFormat="1" applyFont="1" applyFill="1" applyBorder="1">
      <alignment horizontal="center" vertical="center" wrapText="1"/>
    </xf>
    <xf numFmtId="3" fontId="40" fillId="0" borderId="74" xfId="21" applyNumberFormat="1" applyFont="1" applyFill="1" applyBorder="1">
      <alignment horizontal="center" vertical="center" wrapText="1"/>
    </xf>
    <xf numFmtId="3" fontId="40" fillId="0" borderId="7" xfId="21" applyNumberFormat="1" applyFont="1" applyFill="1" applyBorder="1">
      <alignment horizontal="center" vertical="center" wrapText="1"/>
    </xf>
    <xf numFmtId="3" fontId="40" fillId="0" borderId="53" xfId="21" applyNumberFormat="1" applyFont="1" applyFill="1" applyBorder="1">
      <alignment horizontal="center" vertical="center" wrapText="1"/>
    </xf>
    <xf numFmtId="3" fontId="40" fillId="0" borderId="62" xfId="21" applyNumberFormat="1" applyFont="1" applyFill="1" applyBorder="1">
      <alignment horizontal="center" vertical="center" wrapText="1"/>
    </xf>
    <xf numFmtId="0" fontId="21" fillId="26" borderId="0" xfId="32" applyFont="1" applyFill="1" applyAlignment="1">
      <alignment vertical="center"/>
    </xf>
    <xf numFmtId="0" fontId="12" fillId="26" borderId="0" xfId="32" applyFont="1" applyFill="1" applyAlignment="1">
      <alignment vertical="center"/>
    </xf>
    <xf numFmtId="3" fontId="41" fillId="0" borderId="26" xfId="49" applyNumberFormat="1" applyFont="1" applyBorder="1" applyAlignment="1">
      <alignment horizontal="center" vertical="center" wrapText="1"/>
    </xf>
    <xf numFmtId="3" fontId="42" fillId="0" borderId="13" xfId="49" applyNumberFormat="1" applyFont="1" applyBorder="1" applyAlignment="1">
      <alignment horizontal="center" vertical="center" wrapText="1"/>
    </xf>
    <xf numFmtId="3" fontId="42" fillId="0" borderId="16" xfId="49" applyNumberFormat="1" applyFont="1" applyBorder="1" applyAlignment="1">
      <alignment horizontal="center" vertical="center" wrapText="1"/>
    </xf>
    <xf numFmtId="0" fontId="40" fillId="0" borderId="6" xfId="31" applyFont="1" applyBorder="1" applyAlignment="1">
      <alignment horizontal="center" vertical="center" wrapText="1"/>
    </xf>
    <xf numFmtId="0" fontId="40" fillId="0" borderId="24" xfId="31" applyFont="1" applyBorder="1" applyAlignment="1">
      <alignment horizontal="center" vertical="center" wrapText="1"/>
    </xf>
    <xf numFmtId="3" fontId="40" fillId="0" borderId="17" xfId="31" applyNumberFormat="1" applyFont="1" applyBorder="1" applyAlignment="1">
      <alignment horizontal="center" vertical="center" wrapText="1"/>
    </xf>
    <xf numFmtId="0" fontId="40" fillId="0" borderId="15" xfId="31" applyFont="1" applyBorder="1" applyAlignment="1">
      <alignment horizontal="center" vertical="center" wrapText="1"/>
    </xf>
    <xf numFmtId="177" fontId="12" fillId="0" borderId="62" xfId="0" applyNumberFormat="1" applyFont="1" applyBorder="1" applyAlignment="1">
      <alignment horizontal="center" vertical="center"/>
    </xf>
    <xf numFmtId="0" fontId="12" fillId="26" borderId="72" xfId="0" applyFont="1" applyFill="1" applyBorder="1" applyAlignment="1">
      <alignment vertical="center" wrapText="1"/>
    </xf>
    <xf numFmtId="0" fontId="12" fillId="26" borderId="32" xfId="0" applyFont="1" applyFill="1" applyBorder="1" applyAlignment="1">
      <alignment vertical="center" wrapText="1"/>
    </xf>
    <xf numFmtId="0" fontId="12" fillId="26" borderId="79" xfId="0" applyFont="1" applyFill="1" applyBorder="1" applyAlignment="1">
      <alignment vertical="center" wrapText="1"/>
    </xf>
    <xf numFmtId="0" fontId="12" fillId="26" borderId="52" xfId="0" applyFont="1" applyFill="1" applyBorder="1" applyAlignment="1">
      <alignment vertical="center" wrapText="1"/>
    </xf>
    <xf numFmtId="0" fontId="12" fillId="26" borderId="44" xfId="0" applyFont="1" applyFill="1" applyBorder="1" applyAlignment="1">
      <alignment vertical="center" wrapText="1"/>
    </xf>
    <xf numFmtId="0" fontId="55" fillId="0" borderId="32" xfId="2" applyFont="1" applyBorder="1" applyAlignment="1" applyProtection="1">
      <alignment horizontal="center" vertical="center"/>
    </xf>
    <xf numFmtId="0" fontId="55" fillId="0" borderId="32" xfId="2" applyFont="1" applyFill="1" applyBorder="1" applyAlignment="1" applyProtection="1">
      <alignment horizontal="center" vertical="center"/>
    </xf>
    <xf numFmtId="0" fontId="144" fillId="0" borderId="32" xfId="2" applyFont="1" applyFill="1" applyBorder="1" applyAlignment="1" applyProtection="1">
      <alignment horizontal="center" vertical="center"/>
    </xf>
    <xf numFmtId="0" fontId="144" fillId="0" borderId="32" xfId="2" applyFont="1" applyBorder="1" applyAlignment="1" applyProtection="1">
      <alignment horizontal="center" vertical="center"/>
    </xf>
    <xf numFmtId="0" fontId="55" fillId="0" borderId="62" xfId="2" applyFont="1" applyBorder="1" applyAlignment="1" applyProtection="1">
      <alignment horizontal="center" vertical="center"/>
    </xf>
    <xf numFmtId="0" fontId="55" fillId="0" borderId="62" xfId="2" applyFont="1" applyFill="1" applyBorder="1" applyAlignment="1" applyProtection="1">
      <alignment horizontal="center" vertical="center"/>
    </xf>
    <xf numFmtId="0" fontId="55" fillId="20" borderId="7" xfId="52" applyFont="1" applyFill="1" applyBorder="1" applyAlignment="1">
      <alignment horizontal="center" vertical="center" wrapText="1"/>
    </xf>
    <xf numFmtId="3" fontId="144" fillId="27" borderId="7" xfId="52" applyNumberFormat="1" applyFont="1" applyFill="1" applyBorder="1" applyAlignment="1">
      <alignment horizontal="center" vertical="center"/>
    </xf>
    <xf numFmtId="173" fontId="144" fillId="27" borderId="7" xfId="52" applyNumberFormat="1" applyFont="1" applyFill="1" applyBorder="1" applyAlignment="1">
      <alignment horizontal="center" vertical="center"/>
    </xf>
    <xf numFmtId="0" fontId="55" fillId="27" borderId="7" xfId="52" applyFont="1" applyFill="1" applyBorder="1" applyAlignment="1">
      <alignment horizontal="left" vertical="center" wrapText="1" indent="1"/>
    </xf>
    <xf numFmtId="3" fontId="55" fillId="27" borderId="7" xfId="52" applyNumberFormat="1" applyFont="1" applyFill="1" applyBorder="1" applyAlignment="1">
      <alignment horizontal="center" vertical="center"/>
    </xf>
    <xf numFmtId="0" fontId="55" fillId="27" borderId="7" xfId="52" applyFont="1" applyFill="1" applyBorder="1" applyAlignment="1">
      <alignment horizontal="right"/>
    </xf>
    <xf numFmtId="3" fontId="55" fillId="26" borderId="7" xfId="52" applyNumberFormat="1" applyFont="1" applyFill="1" applyBorder="1" applyAlignment="1">
      <alignment horizontal="center" vertical="center"/>
    </xf>
    <xf numFmtId="173" fontId="55" fillId="26" borderId="7" xfId="1" applyNumberFormat="1" applyFont="1" applyFill="1" applyBorder="1" applyAlignment="1" applyProtection="1">
      <alignment horizontal="center" vertical="center"/>
    </xf>
    <xf numFmtId="173" fontId="55" fillId="27" borderId="7" xfId="1" applyNumberFormat="1" applyFont="1" applyFill="1" applyBorder="1" applyAlignment="1" applyProtection="1">
      <alignment horizontal="center" vertical="center"/>
    </xf>
    <xf numFmtId="49" fontId="144" fillId="27" borderId="7" xfId="0" applyNumberFormat="1" applyFont="1" applyFill="1" applyBorder="1" applyAlignment="1">
      <alignment vertical="center" wrapText="1"/>
    </xf>
    <xf numFmtId="0" fontId="144" fillId="27" borderId="7" xfId="32" applyFont="1" applyFill="1" applyBorder="1" applyAlignment="1">
      <alignment horizontal="left" vertical="center" wrapText="1"/>
    </xf>
    <xf numFmtId="0" fontId="147" fillId="0" borderId="0" xfId="0" applyFont="1" applyAlignment="1">
      <alignment wrapText="1"/>
    </xf>
    <xf numFmtId="0" fontId="55" fillId="26" borderId="7" xfId="32" applyFont="1" applyFill="1" applyBorder="1" applyAlignment="1">
      <alignment vertical="center" wrapText="1"/>
    </xf>
    <xf numFmtId="49" fontId="55" fillId="27" borderId="7" xfId="32" applyNumberFormat="1" applyFont="1" applyFill="1" applyBorder="1" applyAlignment="1">
      <alignment horizontal="left" vertical="center" wrapText="1"/>
    </xf>
    <xf numFmtId="0" fontId="36" fillId="27" borderId="7" xfId="32" applyFont="1" applyFill="1" applyBorder="1" applyAlignment="1">
      <alignment horizontal="right" vertical="center" wrapText="1"/>
    </xf>
    <xf numFmtId="49" fontId="36" fillId="27" borderId="7" xfId="0" applyNumberFormat="1" applyFont="1" applyFill="1" applyBorder="1" applyAlignment="1">
      <alignment horizontal="right" vertical="center" wrapText="1"/>
    </xf>
    <xf numFmtId="0" fontId="55" fillId="0" borderId="7" xfId="0" applyFont="1" applyBorder="1" applyAlignment="1">
      <alignment horizontal="center" vertical="center" wrapText="1"/>
    </xf>
    <xf numFmtId="0" fontId="144" fillId="46" borderId="7" xfId="0" applyFont="1" applyFill="1" applyBorder="1" applyAlignment="1">
      <alignment horizontal="center" vertical="center"/>
    </xf>
    <xf numFmtId="10" fontId="144" fillId="46" borderId="7" xfId="0" applyNumberFormat="1" applyFont="1" applyFill="1" applyBorder="1" applyAlignment="1">
      <alignment horizontal="center" vertical="center" wrapText="1"/>
    </xf>
    <xf numFmtId="0" fontId="55" fillId="20" borderId="7" xfId="32" applyFont="1" applyFill="1" applyBorder="1" applyAlignment="1">
      <alignment horizontal="center" vertical="center" wrapText="1"/>
    </xf>
    <xf numFmtId="0" fontId="144" fillId="37" borderId="63" xfId="52" applyFont="1" applyFill="1" applyBorder="1" applyAlignment="1">
      <alignment horizontal="center" vertical="center"/>
    </xf>
    <xf numFmtId="0" fontId="144" fillId="37" borderId="63" xfId="52" applyFont="1" applyFill="1" applyBorder="1" applyAlignment="1">
      <alignment horizontal="center" vertical="center" wrapText="1"/>
    </xf>
    <xf numFmtId="0" fontId="55" fillId="0" borderId="7" xfId="0" applyFont="1" applyBorder="1" applyAlignment="1">
      <alignment vertical="center" wrapText="1"/>
    </xf>
    <xf numFmtId="0" fontId="141" fillId="0" borderId="0" xfId="0" applyFont="1" applyAlignment="1">
      <alignment horizontal="right"/>
    </xf>
    <xf numFmtId="0" fontId="144" fillId="0" borderId="7" xfId="0" applyFont="1" applyBorder="1" applyAlignment="1">
      <alignment vertical="center" wrapText="1"/>
    </xf>
    <xf numFmtId="3" fontId="144" fillId="46" borderId="7" xfId="0" applyNumberFormat="1" applyFont="1" applyFill="1" applyBorder="1" applyAlignment="1">
      <alignment horizontal="center" vertical="center"/>
    </xf>
    <xf numFmtId="0" fontId="55" fillId="46" borderId="7" xfId="0" applyFont="1" applyFill="1" applyBorder="1" applyAlignment="1">
      <alignment horizontal="center" vertical="center"/>
    </xf>
    <xf numFmtId="3" fontId="55" fillId="46" borderId="7" xfId="0" applyNumberFormat="1" applyFont="1" applyFill="1" applyBorder="1" applyAlignment="1">
      <alignment horizontal="center" vertical="center"/>
    </xf>
    <xf numFmtId="3" fontId="55" fillId="0" borderId="7" xfId="0" applyNumberFormat="1" applyFont="1" applyBorder="1" applyAlignment="1">
      <alignment horizontal="center" vertical="center" wrapText="1"/>
    </xf>
    <xf numFmtId="0" fontId="144" fillId="47" borderId="63" xfId="0" applyFont="1" applyFill="1" applyBorder="1" applyAlignment="1">
      <alignment horizontal="center" vertical="center" wrapText="1"/>
    </xf>
    <xf numFmtId="0" fontId="144" fillId="22" borderId="7" xfId="0" applyFont="1" applyFill="1" applyBorder="1" applyAlignment="1">
      <alignment vertical="center" wrapText="1"/>
    </xf>
    <xf numFmtId="0" fontId="21" fillId="0" borderId="0" xfId="0" applyFont="1" applyAlignment="1">
      <alignment horizontal="center"/>
    </xf>
    <xf numFmtId="0" fontId="144" fillId="26" borderId="7" xfId="47" applyFont="1" applyFill="1" applyBorder="1" applyAlignment="1" applyProtection="1">
      <alignment vertical="center" wrapText="1"/>
      <protection hidden="1"/>
    </xf>
    <xf numFmtId="0" fontId="144" fillId="26" borderId="7" xfId="47" applyFont="1" applyFill="1" applyBorder="1" applyAlignment="1" applyProtection="1">
      <alignment vertical="top" wrapText="1"/>
      <protection hidden="1"/>
    </xf>
    <xf numFmtId="0" fontId="144" fillId="26" borderId="0" xfId="47" applyFont="1" applyFill="1" applyAlignment="1" applyProtection="1">
      <alignment vertical="center" wrapText="1"/>
      <protection hidden="1"/>
    </xf>
    <xf numFmtId="0" fontId="144" fillId="26" borderId="0" xfId="47" applyFont="1" applyFill="1" applyAlignment="1" applyProtection="1">
      <alignment horizontal="center" vertical="center" wrapText="1"/>
      <protection hidden="1"/>
    </xf>
    <xf numFmtId="3" fontId="144" fillId="26" borderId="7" xfId="47" applyNumberFormat="1" applyFont="1" applyFill="1" applyBorder="1" applyAlignment="1" applyProtection="1">
      <alignment horizontal="center" vertical="center" wrapText="1"/>
      <protection hidden="1"/>
    </xf>
    <xf numFmtId="0" fontId="100" fillId="0" borderId="7" xfId="32" applyFont="1" applyBorder="1" applyAlignment="1">
      <alignment vertical="center" wrapText="1"/>
    </xf>
    <xf numFmtId="0" fontId="159" fillId="22" borderId="7" xfId="32" applyFont="1" applyFill="1" applyBorder="1" applyAlignment="1">
      <alignment vertical="center" wrapText="1"/>
    </xf>
    <xf numFmtId="168" fontId="159" fillId="22" borderId="7" xfId="48" applyNumberFormat="1" applyFont="1" applyFill="1" applyBorder="1" applyAlignment="1" applyProtection="1">
      <alignment horizontal="center" vertical="center"/>
    </xf>
    <xf numFmtId="0" fontId="12" fillId="0" borderId="0" xfId="0" applyFont="1" applyAlignment="1">
      <alignment horizontal="left" indent="1"/>
    </xf>
    <xf numFmtId="4" fontId="12" fillId="26" borderId="73" xfId="32" applyNumberFormat="1" applyFont="1" applyFill="1" applyBorder="1" applyAlignment="1">
      <alignment horizontal="center" vertical="center"/>
    </xf>
    <xf numFmtId="4" fontId="12" fillId="26" borderId="7" xfId="32" applyNumberFormat="1" applyFont="1" applyFill="1" applyBorder="1" applyAlignment="1">
      <alignment horizontal="center" vertical="center"/>
    </xf>
    <xf numFmtId="4" fontId="12" fillId="26" borderId="77" xfId="32" applyNumberFormat="1" applyFont="1" applyFill="1" applyBorder="1" applyAlignment="1">
      <alignment horizontal="center" vertical="center"/>
    </xf>
    <xf numFmtId="0" fontId="20" fillId="0" borderId="8" xfId="0" applyFont="1" applyBorder="1"/>
    <xf numFmtId="0" fontId="21" fillId="0" borderId="8" xfId="0" applyFont="1" applyBorder="1"/>
    <xf numFmtId="0" fontId="144" fillId="22" borderId="7" xfId="52" applyFont="1" applyFill="1" applyBorder="1" applyAlignment="1">
      <alignment horizontal="left" vertical="center" wrapText="1"/>
    </xf>
    <xf numFmtId="0" fontId="55" fillId="22" borderId="7" xfId="52" applyFont="1" applyFill="1" applyBorder="1" applyAlignment="1">
      <alignment horizontal="center" vertical="center" wrapText="1"/>
    </xf>
    <xf numFmtId="3" fontId="144" fillId="22" borderId="7" xfId="52" applyNumberFormat="1" applyFont="1" applyFill="1" applyBorder="1" applyAlignment="1">
      <alignment horizontal="center" vertical="center"/>
    </xf>
    <xf numFmtId="3" fontId="55" fillId="22" borderId="7" xfId="52" applyNumberFormat="1" applyFont="1" applyFill="1" applyBorder="1" applyAlignment="1">
      <alignment horizontal="center" vertical="center"/>
    </xf>
    <xf numFmtId="173" fontId="55" fillId="22" borderId="7" xfId="52" applyNumberFormat="1" applyFont="1" applyFill="1" applyBorder="1" applyAlignment="1">
      <alignment horizontal="center" vertical="center"/>
    </xf>
    <xf numFmtId="173" fontId="55" fillId="22" borderId="7" xfId="1" applyNumberFormat="1" applyFont="1" applyFill="1" applyBorder="1" applyAlignment="1" applyProtection="1">
      <alignment horizontal="center" vertical="center"/>
    </xf>
    <xf numFmtId="176" fontId="55" fillId="22" borderId="7" xfId="52" applyNumberFormat="1" applyFont="1" applyFill="1" applyBorder="1" applyAlignment="1">
      <alignment horizontal="center" vertical="center"/>
    </xf>
    <xf numFmtId="10" fontId="144" fillId="22" borderId="7" xfId="1" applyNumberFormat="1" applyFont="1" applyFill="1" applyBorder="1" applyAlignment="1" applyProtection="1">
      <alignment horizontal="center" vertical="center"/>
    </xf>
    <xf numFmtId="4" fontId="144" fillId="22" borderId="7" xfId="52" applyNumberFormat="1" applyFont="1" applyFill="1" applyBorder="1" applyAlignment="1">
      <alignment horizontal="center" vertical="center"/>
    </xf>
    <xf numFmtId="173" fontId="144" fillId="22" borderId="7" xfId="52" applyNumberFormat="1" applyFont="1" applyFill="1" applyBorder="1" applyAlignment="1">
      <alignment horizontal="center" vertical="center"/>
    </xf>
    <xf numFmtId="3" fontId="144" fillId="22" borderId="7" xfId="52" applyNumberFormat="1" applyFont="1" applyFill="1" applyBorder="1" applyAlignment="1">
      <alignment horizontal="center" vertical="center" wrapText="1"/>
    </xf>
    <xf numFmtId="173" fontId="144" fillId="22" borderId="7" xfId="52" applyNumberFormat="1" applyFont="1" applyFill="1" applyBorder="1" applyAlignment="1">
      <alignment horizontal="center" vertical="center" wrapText="1"/>
    </xf>
    <xf numFmtId="14" fontId="65" fillId="0" borderId="0" xfId="0" applyNumberFormat="1" applyFont="1" applyAlignment="1">
      <alignment horizontal="left" vertical="center"/>
    </xf>
    <xf numFmtId="14" fontId="12" fillId="0" borderId="0" xfId="0" applyNumberFormat="1" applyFont="1" applyAlignment="1">
      <alignment vertical="center"/>
    </xf>
    <xf numFmtId="0" fontId="143" fillId="0" borderId="0" xfId="0" applyFont="1"/>
    <xf numFmtId="0" fontId="144" fillId="47" borderId="7" xfId="0" applyFont="1" applyFill="1" applyBorder="1" applyAlignment="1">
      <alignment horizontal="center" vertical="center"/>
    </xf>
    <xf numFmtId="0" fontId="148" fillId="47" borderId="7" xfId="0" applyFont="1" applyFill="1" applyBorder="1" applyAlignment="1">
      <alignment horizontal="center" vertical="center" wrapText="1"/>
    </xf>
    <xf numFmtId="0" fontId="144" fillId="47" borderId="7" xfId="0" applyFont="1" applyFill="1" applyBorder="1" applyAlignment="1">
      <alignment horizontal="center" vertical="center" wrapText="1"/>
    </xf>
    <xf numFmtId="0" fontId="145" fillId="0" borderId="7" xfId="56" applyFont="1" applyBorder="1" applyAlignment="1">
      <alignment vertical="center" wrapText="1"/>
    </xf>
    <xf numFmtId="3" fontId="55" fillId="26" borderId="7" xfId="56" applyNumberFormat="1" applyFont="1" applyFill="1" applyBorder="1" applyAlignment="1">
      <alignment horizontal="center" vertical="center"/>
    </xf>
    <xf numFmtId="0" fontId="144" fillId="46" borderId="7" xfId="0" applyFont="1" applyFill="1" applyBorder="1" applyAlignment="1">
      <alignment vertical="center"/>
    </xf>
    <xf numFmtId="0" fontId="55" fillId="46" borderId="7" xfId="0" applyFont="1" applyFill="1" applyBorder="1" applyAlignment="1">
      <alignment vertical="center" wrapText="1"/>
    </xf>
    <xf numFmtId="0" fontId="149" fillId="46" borderId="7" xfId="0" applyFont="1" applyFill="1" applyBorder="1" applyAlignment="1">
      <alignment horizontal="center" vertical="center" wrapText="1"/>
    </xf>
    <xf numFmtId="10" fontId="55" fillId="46" borderId="7" xfId="0" applyNumberFormat="1" applyFont="1" applyFill="1" applyBorder="1" applyAlignment="1">
      <alignment horizontal="center" vertical="center"/>
    </xf>
    <xf numFmtId="9" fontId="144" fillId="46" borderId="7" xfId="0" applyNumberFormat="1" applyFont="1" applyFill="1" applyBorder="1" applyAlignment="1">
      <alignment horizontal="center" vertical="center"/>
    </xf>
    <xf numFmtId="0" fontId="151" fillId="0" borderId="7" xfId="0" applyFont="1" applyBorder="1" applyAlignment="1">
      <alignment horizontal="center" vertical="center" wrapText="1"/>
    </xf>
    <xf numFmtId="3" fontId="151" fillId="0" borderId="7" xfId="0" applyNumberFormat="1" applyFont="1" applyBorder="1" applyAlignment="1">
      <alignment horizontal="center" vertical="center"/>
    </xf>
    <xf numFmtId="0" fontId="152" fillId="0" borderId="7" xfId="0" applyFont="1" applyBorder="1" applyAlignment="1">
      <alignment horizontal="right" vertical="center"/>
    </xf>
    <xf numFmtId="3" fontId="152" fillId="0" borderId="7" xfId="0" applyNumberFormat="1" applyFont="1" applyBorder="1" applyAlignment="1">
      <alignment horizontal="center" vertical="center"/>
    </xf>
    <xf numFmtId="0" fontId="40" fillId="48" borderId="7" xfId="0" applyFont="1" applyFill="1" applyBorder="1" applyAlignment="1">
      <alignment horizontal="center" vertical="center"/>
    </xf>
    <xf numFmtId="3" fontId="152" fillId="0" borderId="7" xfId="0" applyNumberFormat="1" applyFont="1" applyBorder="1" applyAlignment="1">
      <alignment horizontal="right" vertical="center"/>
    </xf>
    <xf numFmtId="0" fontId="146" fillId="0" borderId="7" xfId="56" applyFont="1" applyBorder="1" applyAlignment="1">
      <alignment vertical="center" wrapText="1"/>
    </xf>
    <xf numFmtId="3" fontId="144" fillId="26" borderId="7" xfId="56" applyNumberFormat="1" applyFont="1" applyFill="1" applyBorder="1" applyAlignment="1">
      <alignment horizontal="center" vertical="center"/>
    </xf>
    <xf numFmtId="0" fontId="153" fillId="0" borderId="7" xfId="0" applyFont="1" applyBorder="1" applyAlignment="1">
      <alignment horizontal="center" vertical="center" wrapText="1"/>
    </xf>
    <xf numFmtId="0" fontId="153" fillId="0" borderId="7" xfId="0" applyFont="1" applyBorder="1" applyAlignment="1">
      <alignment horizontal="center" vertical="center"/>
    </xf>
    <xf numFmtId="177" fontId="153" fillId="0" borderId="7" xfId="0" applyNumberFormat="1" applyFont="1" applyBorder="1" applyAlignment="1">
      <alignment horizontal="center" vertical="center"/>
    </xf>
    <xf numFmtId="0" fontId="151" fillId="0" borderId="7" xfId="0" applyFont="1" applyBorder="1" applyAlignment="1">
      <alignment horizontal="center" vertical="center"/>
    </xf>
    <xf numFmtId="177" fontId="55" fillId="46" borderId="7" xfId="0" applyNumberFormat="1" applyFont="1" applyFill="1" applyBorder="1" applyAlignment="1">
      <alignment horizontal="center" vertical="center"/>
    </xf>
    <xf numFmtId="177" fontId="144" fillId="46" borderId="7" xfId="0" applyNumberFormat="1" applyFont="1" applyFill="1" applyBorder="1" applyAlignment="1">
      <alignment horizontal="center" vertical="center" wrapText="1"/>
    </xf>
    <xf numFmtId="2" fontId="55" fillId="46" borderId="7" xfId="0" applyNumberFormat="1" applyFont="1" applyFill="1" applyBorder="1" applyAlignment="1">
      <alignment horizontal="center" vertical="center"/>
    </xf>
    <xf numFmtId="2" fontId="144" fillId="46" borderId="7" xfId="0" applyNumberFormat="1" applyFont="1" applyFill="1" applyBorder="1" applyAlignment="1">
      <alignment horizontal="center" vertical="center" wrapText="1"/>
    </xf>
    <xf numFmtId="177" fontId="154" fillId="46" borderId="7" xfId="0" applyNumberFormat="1" applyFont="1" applyFill="1" applyBorder="1" applyAlignment="1">
      <alignment horizontal="center" vertical="center"/>
    </xf>
    <xf numFmtId="0" fontId="144" fillId="0" borderId="7" xfId="0" applyFont="1" applyBorder="1" applyAlignment="1">
      <alignment horizontal="center" vertical="center" wrapText="1"/>
    </xf>
    <xf numFmtId="0" fontId="55" fillId="0" borderId="7" xfId="56" applyFont="1" applyBorder="1" applyAlignment="1">
      <alignment vertical="center" wrapText="1"/>
    </xf>
    <xf numFmtId="0" fontId="152" fillId="0" borderId="7" xfId="0" applyFont="1" applyBorder="1" applyAlignment="1">
      <alignment horizontal="center" vertical="center" wrapText="1"/>
    </xf>
    <xf numFmtId="0" fontId="55" fillId="0" borderId="7" xfId="56" applyFont="1" applyBorder="1" applyAlignment="1">
      <alignment horizontal="justify" vertical="center"/>
    </xf>
    <xf numFmtId="3" fontId="55" fillId="26" borderId="7" xfId="56" applyNumberFormat="1" applyFont="1" applyFill="1" applyBorder="1" applyAlignment="1">
      <alignment horizontal="center" vertical="center" wrapText="1"/>
    </xf>
    <xf numFmtId="0" fontId="156" fillId="0" borderId="7" xfId="0" applyFont="1" applyBorder="1" applyAlignment="1">
      <alignment horizontal="right" vertical="center" wrapText="1"/>
    </xf>
    <xf numFmtId="173" fontId="156" fillId="0" borderId="7" xfId="1" applyNumberFormat="1" applyFont="1" applyBorder="1" applyAlignment="1" applyProtection="1">
      <alignment horizontal="right" vertical="center"/>
    </xf>
    <xf numFmtId="0" fontId="40" fillId="48" borderId="7" xfId="0" applyFont="1" applyFill="1" applyBorder="1" applyAlignment="1">
      <alignment horizontal="right" vertical="center"/>
    </xf>
    <xf numFmtId="173" fontId="156" fillId="0" borderId="7" xfId="0" applyNumberFormat="1" applyFont="1" applyBorder="1" applyAlignment="1">
      <alignment horizontal="right" vertical="center"/>
    </xf>
    <xf numFmtId="173" fontId="40" fillId="48" borderId="7" xfId="0" applyNumberFormat="1" applyFont="1" applyFill="1" applyBorder="1" applyAlignment="1">
      <alignment horizontal="right" vertical="center"/>
    </xf>
    <xf numFmtId="10" fontId="144" fillId="46" borderId="7" xfId="0" applyNumberFormat="1" applyFont="1" applyFill="1" applyBorder="1" applyAlignment="1">
      <alignment horizontal="center" vertical="center"/>
    </xf>
    <xf numFmtId="0" fontId="41" fillId="0" borderId="7" xfId="0" applyFont="1" applyBorder="1" applyAlignment="1">
      <alignment horizontal="center" vertical="center" wrapText="1"/>
    </xf>
    <xf numFmtId="0" fontId="144" fillId="46" borderId="62" xfId="0" applyFont="1" applyFill="1" applyBorder="1" applyAlignment="1">
      <alignment vertical="center"/>
    </xf>
    <xf numFmtId="0" fontId="55" fillId="46" borderId="23" xfId="0" applyFont="1" applyFill="1" applyBorder="1" applyAlignment="1">
      <alignment vertical="center" wrapText="1"/>
    </xf>
    <xf numFmtId="0" fontId="149" fillId="46" borderId="23" xfId="0" applyFont="1" applyFill="1" applyBorder="1" applyAlignment="1">
      <alignment horizontal="center" vertical="center"/>
    </xf>
    <xf numFmtId="2" fontId="55" fillId="46" borderId="23" xfId="0" applyNumberFormat="1" applyFont="1" applyFill="1" applyBorder="1" applyAlignment="1">
      <alignment horizontal="center" vertical="center"/>
    </xf>
    <xf numFmtId="2" fontId="144" fillId="46" borderId="23" xfId="0" applyNumberFormat="1" applyFont="1" applyFill="1" applyBorder="1" applyAlignment="1">
      <alignment horizontal="center" vertical="center" wrapText="1"/>
    </xf>
    <xf numFmtId="0" fontId="144" fillId="46" borderId="32" xfId="0" applyFont="1" applyFill="1" applyBorder="1" applyAlignment="1">
      <alignment horizontal="center" vertical="center"/>
    </xf>
    <xf numFmtId="0" fontId="55" fillId="37" borderId="7" xfId="0" applyFont="1" applyFill="1" applyBorder="1" applyAlignment="1">
      <alignment horizontal="center" vertical="center"/>
    </xf>
    <xf numFmtId="0" fontId="55" fillId="37" borderId="7" xfId="0" applyFont="1" applyFill="1" applyBorder="1" applyAlignment="1">
      <alignment horizontal="center" vertical="center" wrapText="1"/>
    </xf>
    <xf numFmtId="10" fontId="55" fillId="46" borderId="7" xfId="1" applyNumberFormat="1" applyFont="1" applyFill="1" applyBorder="1" applyAlignment="1" applyProtection="1">
      <alignment horizontal="center" vertical="center"/>
    </xf>
    <xf numFmtId="0" fontId="145" fillId="0" borderId="7" xfId="0" applyFont="1" applyBorder="1" applyAlignment="1">
      <alignment horizontal="center" vertical="center"/>
    </xf>
    <xf numFmtId="0" fontId="145" fillId="0" borderId="7" xfId="0" applyFont="1" applyBorder="1" applyAlignment="1">
      <alignment horizontal="center" vertical="center" wrapText="1"/>
    </xf>
    <xf numFmtId="0" fontId="146" fillId="0" borderId="7" xfId="0" applyFont="1" applyBorder="1" applyAlignment="1">
      <alignment horizontal="center" vertical="center"/>
    </xf>
    <xf numFmtId="0" fontId="144" fillId="20" borderId="7" xfId="32" applyFont="1" applyFill="1" applyBorder="1" applyAlignment="1">
      <alignment horizontal="center" vertical="center" wrapText="1"/>
    </xf>
    <xf numFmtId="0" fontId="157" fillId="0" borderId="7" xfId="0" applyFont="1" applyBorder="1" applyAlignment="1">
      <alignment horizontal="center" vertical="center" wrapText="1"/>
    </xf>
    <xf numFmtId="0" fontId="145" fillId="0" borderId="0" xfId="0" applyFont="1"/>
    <xf numFmtId="0" fontId="143" fillId="0" borderId="0" xfId="0" applyFont="1" applyAlignment="1">
      <alignment vertical="center"/>
    </xf>
    <xf numFmtId="3" fontId="149" fillId="26" borderId="7" xfId="0" applyNumberFormat="1" applyFont="1" applyFill="1" applyBorder="1" applyAlignment="1">
      <alignment horizontal="center" vertical="center" wrapText="1"/>
    </xf>
    <xf numFmtId="3" fontId="55" fillId="26" borderId="7" xfId="0" applyNumberFormat="1" applyFont="1" applyFill="1" applyBorder="1" applyAlignment="1">
      <alignment horizontal="center" vertical="center"/>
    </xf>
    <xf numFmtId="0" fontId="47" fillId="0" borderId="7" xfId="0" applyFont="1" applyBorder="1" applyAlignment="1">
      <alignment vertical="center"/>
    </xf>
    <xf numFmtId="3" fontId="47" fillId="0" borderId="7" xfId="0" applyNumberFormat="1" applyFont="1" applyBorder="1" applyAlignment="1">
      <alignment horizontal="center" vertical="center"/>
    </xf>
    <xf numFmtId="3" fontId="148" fillId="26" borderId="7" xfId="0" applyNumberFormat="1" applyFont="1" applyFill="1" applyBorder="1" applyAlignment="1">
      <alignment horizontal="center" vertical="center" wrapText="1"/>
    </xf>
    <xf numFmtId="3" fontId="144" fillId="26" borderId="7" xfId="0" applyNumberFormat="1" applyFont="1" applyFill="1" applyBorder="1" applyAlignment="1">
      <alignment horizontal="center" vertical="center"/>
    </xf>
    <xf numFmtId="172" fontId="21" fillId="26" borderId="7" xfId="0" applyNumberFormat="1" applyFont="1" applyFill="1" applyBorder="1" applyAlignment="1">
      <alignment horizontal="center" vertical="center"/>
    </xf>
    <xf numFmtId="3" fontId="150" fillId="26" borderId="7" xfId="0" applyNumberFormat="1" applyFont="1" applyFill="1" applyBorder="1" applyAlignment="1">
      <alignment horizontal="center" vertical="center" wrapText="1"/>
    </xf>
    <xf numFmtId="3" fontId="36" fillId="26" borderId="113" xfId="0" applyNumberFormat="1" applyFont="1" applyFill="1" applyBorder="1" applyAlignment="1">
      <alignment horizontal="center" vertical="center"/>
    </xf>
    <xf numFmtId="173" fontId="36" fillId="26" borderId="7" xfId="0" applyNumberFormat="1" applyFont="1" applyFill="1" applyBorder="1" applyAlignment="1">
      <alignment horizontal="center" vertical="center"/>
    </xf>
    <xf numFmtId="173" fontId="36" fillId="26" borderId="7" xfId="0" applyNumberFormat="1" applyFont="1" applyFill="1" applyBorder="1" applyAlignment="1">
      <alignment horizontal="center" vertical="center" wrapText="1"/>
    </xf>
    <xf numFmtId="4" fontId="148" fillId="26" borderId="7" xfId="0" applyNumberFormat="1" applyFont="1" applyFill="1" applyBorder="1" applyAlignment="1">
      <alignment horizontal="center" vertical="center" wrapText="1"/>
    </xf>
    <xf numFmtId="4" fontId="144" fillId="26" borderId="7" xfId="0" applyNumberFormat="1" applyFont="1" applyFill="1" applyBorder="1" applyAlignment="1">
      <alignment horizontal="center" vertical="center"/>
    </xf>
    <xf numFmtId="0" fontId="45" fillId="0" borderId="7" xfId="0" applyFont="1" applyBorder="1" applyAlignment="1">
      <alignment horizontal="left" vertical="center"/>
    </xf>
    <xf numFmtId="2" fontId="12" fillId="26" borderId="7" xfId="0" applyNumberFormat="1" applyFont="1" applyFill="1" applyBorder="1" applyAlignment="1">
      <alignment horizontal="center" vertical="center"/>
    </xf>
    <xf numFmtId="4" fontId="149" fillId="26" borderId="7" xfId="0" applyNumberFormat="1" applyFont="1" applyFill="1" applyBorder="1" applyAlignment="1">
      <alignment horizontal="center" vertical="center" wrapText="1"/>
    </xf>
    <xf numFmtId="0" fontId="41" fillId="0" borderId="7" xfId="0" applyFont="1" applyBorder="1" applyAlignment="1">
      <alignment horizontal="right" vertical="center"/>
    </xf>
    <xf numFmtId="177" fontId="12" fillId="26" borderId="7" xfId="0" applyNumberFormat="1" applyFont="1" applyFill="1" applyBorder="1" applyAlignment="1">
      <alignment horizontal="center" vertical="center"/>
    </xf>
    <xf numFmtId="0" fontId="45" fillId="0" borderId="7" xfId="0" applyFont="1" applyBorder="1" applyAlignment="1">
      <alignment horizontal="right" vertical="center"/>
    </xf>
    <xf numFmtId="173" fontId="144" fillId="0" borderId="7" xfId="1" applyNumberFormat="1" applyFont="1" applyBorder="1" applyAlignment="1" applyProtection="1">
      <alignment horizontal="center" vertical="center"/>
    </xf>
    <xf numFmtId="173" fontId="36" fillId="26" borderId="7" xfId="1" applyNumberFormat="1" applyFont="1" applyFill="1" applyBorder="1" applyAlignment="1" applyProtection="1">
      <alignment horizontal="center" vertical="center"/>
    </xf>
    <xf numFmtId="3" fontId="12" fillId="26" borderId="0" xfId="32" applyNumberFormat="1" applyFont="1" applyFill="1" applyAlignment="1">
      <alignment horizontal="center" vertical="center"/>
    </xf>
    <xf numFmtId="0" fontId="12" fillId="0" borderId="7" xfId="0" applyFont="1" applyBorder="1" applyAlignment="1">
      <alignment horizontal="left" vertical="center"/>
    </xf>
    <xf numFmtId="0" fontId="21" fillId="0" borderId="0" xfId="0" applyFont="1" applyAlignment="1">
      <alignment horizontal="left" vertical="center"/>
    </xf>
    <xf numFmtId="0" fontId="143" fillId="0" borderId="0" xfId="0" applyFont="1" applyAlignment="1">
      <alignment horizontal="center" vertical="center"/>
    </xf>
    <xf numFmtId="0" fontId="144" fillId="37" borderId="7" xfId="32" applyFont="1" applyFill="1" applyBorder="1" applyAlignment="1">
      <alignment vertical="center" wrapText="1"/>
    </xf>
    <xf numFmtId="0" fontId="144" fillId="26" borderId="7" xfId="32" applyFont="1" applyFill="1" applyBorder="1"/>
    <xf numFmtId="3" fontId="144" fillId="26" borderId="7" xfId="32" applyNumberFormat="1" applyFont="1" applyFill="1" applyBorder="1" applyAlignment="1">
      <alignment horizontal="center" vertical="center"/>
    </xf>
    <xf numFmtId="168" fontId="100" fillId="20" borderId="7" xfId="32" applyNumberFormat="1" applyFont="1" applyFill="1" applyBorder="1" applyAlignment="1">
      <alignment horizontal="center" vertical="center"/>
    </xf>
    <xf numFmtId="0" fontId="41" fillId="0" borderId="7" xfId="0" applyFont="1" applyBorder="1" applyAlignment="1">
      <alignment vertical="center"/>
    </xf>
    <xf numFmtId="0" fontId="144" fillId="22" borderId="7" xfId="32" applyFont="1" applyFill="1" applyBorder="1"/>
    <xf numFmtId="3" fontId="144" fillId="22" borderId="7" xfId="32" applyNumberFormat="1" applyFont="1" applyFill="1" applyBorder="1" applyAlignment="1">
      <alignment horizontal="center" vertical="center"/>
    </xf>
    <xf numFmtId="168" fontId="100" fillId="0" borderId="7" xfId="32" applyNumberFormat="1" applyFont="1" applyBorder="1" applyAlignment="1">
      <alignment horizontal="center" vertical="center"/>
    </xf>
    <xf numFmtId="0" fontId="40" fillId="27" borderId="7" xfId="32" applyFont="1" applyFill="1" applyBorder="1" applyAlignment="1">
      <alignment vertical="center" wrapText="1"/>
    </xf>
    <xf numFmtId="3" fontId="144" fillId="26" borderId="0" xfId="32" applyNumberFormat="1" applyFont="1" applyFill="1" applyAlignment="1">
      <alignment horizontal="center"/>
    </xf>
    <xf numFmtId="3" fontId="100" fillId="0" borderId="7" xfId="32" applyNumberFormat="1" applyFont="1" applyBorder="1" applyAlignment="1">
      <alignment horizontal="center" vertical="center" wrapText="1"/>
    </xf>
    <xf numFmtId="0" fontId="40" fillId="22" borderId="7" xfId="32" applyFont="1" applyFill="1" applyBorder="1" applyAlignment="1">
      <alignment vertical="center" wrapText="1"/>
    </xf>
    <xf numFmtId="10" fontId="144" fillId="0" borderId="7" xfId="0" applyNumberFormat="1" applyFont="1" applyBorder="1" applyAlignment="1">
      <alignment horizontal="center" vertical="center"/>
    </xf>
    <xf numFmtId="0" fontId="144" fillId="22" borderId="7" xfId="0" applyFont="1" applyFill="1" applyBorder="1" applyAlignment="1">
      <alignment horizontal="center" vertical="center" wrapText="1"/>
    </xf>
    <xf numFmtId="10" fontId="144" fillId="22" borderId="7" xfId="0" applyNumberFormat="1" applyFont="1" applyFill="1" applyBorder="1" applyAlignment="1">
      <alignment horizontal="center" vertical="center"/>
    </xf>
    <xf numFmtId="3" fontId="55" fillId="0" borderId="7" xfId="0" applyNumberFormat="1" applyFont="1" applyBorder="1" applyAlignment="1">
      <alignment horizontal="center" vertical="center"/>
    </xf>
    <xf numFmtId="0" fontId="43" fillId="27" borderId="7" xfId="0" applyFont="1" applyFill="1" applyBorder="1" applyAlignment="1">
      <alignment horizontal="center" vertical="center"/>
    </xf>
    <xf numFmtId="2" fontId="43" fillId="27" borderId="7" xfId="0" applyNumberFormat="1" applyFont="1" applyFill="1" applyBorder="1" applyAlignment="1">
      <alignment horizontal="center" vertical="center"/>
    </xf>
    <xf numFmtId="0" fontId="43" fillId="27" borderId="62" xfId="0" applyFont="1" applyFill="1" applyBorder="1" applyAlignment="1">
      <alignment horizontal="right"/>
    </xf>
    <xf numFmtId="0" fontId="42" fillId="27" borderId="7" xfId="0" applyFont="1" applyFill="1" applyBorder="1" applyAlignment="1">
      <alignment horizontal="center" vertical="center" wrapText="1"/>
    </xf>
    <xf numFmtId="0" fontId="42" fillId="27" borderId="7" xfId="0" applyFont="1" applyFill="1" applyBorder="1" applyAlignment="1">
      <alignment horizontal="left" vertical="center" wrapText="1" indent="1"/>
    </xf>
    <xf numFmtId="3" fontId="12" fillId="3" borderId="73" xfId="32" applyNumberFormat="1" applyFont="1" applyFill="1" applyBorder="1" applyAlignment="1" applyProtection="1">
      <alignment horizontal="center" vertical="center"/>
      <protection locked="0"/>
    </xf>
    <xf numFmtId="3" fontId="12" fillId="3" borderId="77" xfId="32" applyNumberFormat="1" applyFont="1" applyFill="1" applyBorder="1" applyAlignment="1" applyProtection="1">
      <alignment horizontal="center" vertical="center"/>
      <protection locked="0"/>
    </xf>
    <xf numFmtId="4" fontId="12" fillId="26" borderId="72" xfId="32" applyNumberFormat="1" applyFont="1" applyFill="1" applyBorder="1" applyAlignment="1">
      <alignment horizontal="center" vertical="center"/>
    </xf>
    <xf numFmtId="4" fontId="12" fillId="26" borderId="32" xfId="32" applyNumberFormat="1" applyFont="1" applyFill="1" applyBorder="1" applyAlignment="1">
      <alignment horizontal="center" vertical="center"/>
    </xf>
    <xf numFmtId="4" fontId="12" fillId="26" borderId="79" xfId="32" applyNumberFormat="1" applyFont="1" applyFill="1" applyBorder="1" applyAlignment="1">
      <alignment horizontal="center" vertical="center"/>
    </xf>
    <xf numFmtId="0" fontId="41" fillId="0" borderId="51" xfId="0" applyFont="1" applyBorder="1" applyAlignment="1">
      <alignment horizontal="center"/>
    </xf>
    <xf numFmtId="0" fontId="41" fillId="0" borderId="17" xfId="0" applyFont="1" applyBorder="1" applyAlignment="1">
      <alignment horizontal="center"/>
    </xf>
    <xf numFmtId="0" fontId="41" fillId="0" borderId="21" xfId="0" applyFont="1" applyBorder="1" applyAlignment="1">
      <alignment horizontal="center"/>
    </xf>
    <xf numFmtId="3" fontId="12" fillId="3" borderId="72" xfId="32" applyNumberFormat="1" applyFont="1" applyFill="1" applyBorder="1" applyAlignment="1" applyProtection="1">
      <alignment horizontal="center" vertical="center"/>
      <protection locked="0"/>
    </xf>
    <xf numFmtId="0" fontId="47" fillId="0" borderId="56" xfId="0" applyFont="1" applyBorder="1" applyAlignment="1">
      <alignment horizontal="center" vertical="center" wrapText="1"/>
    </xf>
    <xf numFmtId="9" fontId="40" fillId="27" borderId="51" xfId="1" applyFont="1" applyFill="1" applyBorder="1" applyAlignment="1" applyProtection="1">
      <alignment horizontal="center" vertical="center"/>
    </xf>
    <xf numFmtId="9" fontId="41" fillId="27" borderId="5" xfId="1" applyFont="1" applyFill="1" applyBorder="1" applyAlignment="1" applyProtection="1">
      <alignment horizontal="center" vertical="center"/>
    </xf>
    <xf numFmtId="9" fontId="41" fillId="26" borderId="5" xfId="1" applyFont="1" applyFill="1" applyBorder="1" applyAlignment="1" applyProtection="1">
      <alignment horizontal="center" vertical="center"/>
    </xf>
    <xf numFmtId="9" fontId="40" fillId="26" borderId="17" xfId="1" applyFont="1" applyFill="1" applyBorder="1" applyAlignment="1" applyProtection="1">
      <alignment horizontal="center" vertical="center"/>
    </xf>
    <xf numFmtId="9" fontId="41" fillId="26" borderId="17" xfId="1" applyFont="1" applyFill="1" applyBorder="1" applyAlignment="1" applyProtection="1">
      <alignment horizontal="center" vertical="center"/>
    </xf>
    <xf numFmtId="9" fontId="42" fillId="26" borderId="17" xfId="1" applyFont="1" applyFill="1" applyBorder="1" applyAlignment="1" applyProtection="1">
      <alignment horizontal="center" vertical="center"/>
    </xf>
    <xf numFmtId="9" fontId="12" fillId="26" borderId="17" xfId="1" applyFont="1" applyFill="1" applyBorder="1" applyAlignment="1" applyProtection="1">
      <alignment horizontal="center" vertical="center"/>
    </xf>
    <xf numFmtId="9" fontId="41" fillId="26" borderId="24" xfId="1" applyFont="1" applyFill="1" applyBorder="1" applyAlignment="1" applyProtection="1">
      <alignment horizontal="center" vertical="center"/>
    </xf>
    <xf numFmtId="9" fontId="40" fillId="26" borderId="24" xfId="1" applyFont="1" applyFill="1" applyBorder="1" applyAlignment="1" applyProtection="1">
      <alignment horizontal="center" vertical="center"/>
    </xf>
    <xf numFmtId="9" fontId="12" fillId="26" borderId="24" xfId="1" applyFont="1" applyFill="1" applyBorder="1" applyAlignment="1" applyProtection="1">
      <alignment horizontal="center" vertical="center"/>
    </xf>
    <xf numFmtId="9" fontId="40" fillId="27" borderId="30" xfId="1" applyFont="1" applyFill="1" applyBorder="1" applyAlignment="1" applyProtection="1">
      <alignment horizontal="center" vertical="center"/>
    </xf>
    <xf numFmtId="9" fontId="40" fillId="24" borderId="1" xfId="1" applyFont="1" applyFill="1" applyBorder="1" applyAlignment="1" applyProtection="1">
      <alignment horizontal="left" vertical="center"/>
    </xf>
    <xf numFmtId="9" fontId="40" fillId="27" borderId="5" xfId="1" applyFont="1" applyFill="1" applyBorder="1" applyAlignment="1" applyProtection="1">
      <alignment horizontal="center" vertical="center"/>
    </xf>
    <xf numFmtId="9" fontId="40" fillId="27" borderId="17" xfId="1" applyFont="1" applyFill="1" applyBorder="1" applyAlignment="1" applyProtection="1">
      <alignment horizontal="center" vertical="center"/>
    </xf>
    <xf numFmtId="9" fontId="41" fillId="27" borderId="17" xfId="1" applyFont="1" applyFill="1" applyBorder="1" applyAlignment="1" applyProtection="1">
      <alignment horizontal="center" vertical="center"/>
    </xf>
    <xf numFmtId="9" fontId="42" fillId="27" borderId="17" xfId="1" applyFont="1" applyFill="1" applyBorder="1" applyAlignment="1" applyProtection="1">
      <alignment horizontal="center" vertical="center"/>
    </xf>
    <xf numFmtId="9" fontId="40" fillId="26" borderId="30" xfId="1" applyFont="1" applyFill="1" applyBorder="1" applyAlignment="1" applyProtection="1">
      <alignment horizontal="center" vertical="center"/>
    </xf>
    <xf numFmtId="1" fontId="40" fillId="27" borderId="51" xfId="49" applyNumberFormat="1" applyFont="1" applyFill="1" applyBorder="1" applyAlignment="1">
      <alignment horizontal="center" vertical="center"/>
    </xf>
    <xf numFmtId="1" fontId="41" fillId="27" borderId="5" xfId="49" applyNumberFormat="1" applyFont="1" applyFill="1" applyBorder="1" applyAlignment="1">
      <alignment horizontal="center" vertical="center"/>
    </xf>
    <xf numFmtId="1" fontId="41" fillId="26" borderId="5" xfId="49" applyNumberFormat="1" applyFont="1" applyFill="1" applyBorder="1" applyAlignment="1">
      <alignment horizontal="center" vertical="center"/>
    </xf>
    <xf numFmtId="1" fontId="40" fillId="26" borderId="17" xfId="49" applyNumberFormat="1" applyFont="1" applyFill="1" applyBorder="1" applyAlignment="1">
      <alignment horizontal="center" vertical="center"/>
    </xf>
    <xf numFmtId="1" fontId="41" fillId="26" borderId="17" xfId="49" applyNumberFormat="1" applyFont="1" applyFill="1" applyBorder="1" applyAlignment="1">
      <alignment horizontal="center" vertical="center"/>
    </xf>
    <xf numFmtId="1" fontId="42" fillId="26" borderId="17" xfId="49" applyNumberFormat="1" applyFont="1" applyFill="1" applyBorder="1" applyAlignment="1">
      <alignment horizontal="center" vertical="center"/>
    </xf>
    <xf numFmtId="1" fontId="12" fillId="26" borderId="17" xfId="49" applyNumberFormat="1" applyFont="1" applyFill="1" applyBorder="1" applyAlignment="1">
      <alignment horizontal="center" vertical="center"/>
    </xf>
    <xf numFmtId="1" fontId="41" fillId="26" borderId="24" xfId="49" applyNumberFormat="1" applyFont="1" applyFill="1" applyBorder="1" applyAlignment="1">
      <alignment horizontal="center" vertical="center"/>
    </xf>
    <xf numFmtId="1" fontId="40" fillId="26" borderId="24" xfId="49" applyNumberFormat="1" applyFont="1" applyFill="1" applyBorder="1" applyAlignment="1">
      <alignment horizontal="center" vertical="center"/>
    </xf>
    <xf numFmtId="1" fontId="12" fillId="26" borderId="24" xfId="49" applyNumberFormat="1" applyFont="1" applyFill="1" applyBorder="1" applyAlignment="1">
      <alignment horizontal="center" vertical="center"/>
    </xf>
    <xf numFmtId="1" fontId="40" fillId="27" borderId="30" xfId="49" applyNumberFormat="1" applyFont="1" applyFill="1" applyBorder="1" applyAlignment="1">
      <alignment horizontal="center" vertical="center"/>
    </xf>
    <xf numFmtId="1" fontId="40" fillId="24" borderId="1" xfId="49" applyNumberFormat="1" applyFont="1" applyFill="1" applyBorder="1" applyAlignment="1">
      <alignment horizontal="left" vertical="center"/>
    </xf>
    <xf numFmtId="1" fontId="40" fillId="27" borderId="5" xfId="49" applyNumberFormat="1" applyFont="1" applyFill="1" applyBorder="1" applyAlignment="1">
      <alignment horizontal="center" vertical="center"/>
    </xf>
    <xf numFmtId="1" fontId="40" fillId="27" borderId="17" xfId="49" applyNumberFormat="1" applyFont="1" applyFill="1" applyBorder="1" applyAlignment="1">
      <alignment horizontal="center" vertical="center"/>
    </xf>
    <xf numFmtId="1" fontId="41" fillId="27" borderId="17" xfId="49" applyNumberFormat="1" applyFont="1" applyFill="1" applyBorder="1" applyAlignment="1">
      <alignment horizontal="center" vertical="center"/>
    </xf>
    <xf numFmtId="1" fontId="42" fillId="27" borderId="17" xfId="49" applyNumberFormat="1" applyFont="1" applyFill="1" applyBorder="1" applyAlignment="1">
      <alignment horizontal="center" vertical="center"/>
    </xf>
    <xf numFmtId="1" fontId="41" fillId="27" borderId="24" xfId="49" applyNumberFormat="1" applyFont="1" applyFill="1" applyBorder="1" applyAlignment="1">
      <alignment horizontal="center" vertical="center"/>
    </xf>
    <xf numFmtId="1" fontId="40" fillId="27" borderId="24" xfId="49" applyNumberFormat="1" applyFont="1" applyFill="1" applyBorder="1" applyAlignment="1">
      <alignment horizontal="center" vertical="center"/>
    </xf>
    <xf numFmtId="1" fontId="40" fillId="0" borderId="24" xfId="49" applyNumberFormat="1" applyFont="1" applyBorder="1" applyAlignment="1">
      <alignment horizontal="center" vertical="center"/>
    </xf>
    <xf numFmtId="3" fontId="42" fillId="0" borderId="17" xfId="49" applyNumberFormat="1" applyFont="1" applyBorder="1" applyAlignment="1">
      <alignment horizontal="center" vertical="center"/>
    </xf>
    <xf numFmtId="1" fontId="42" fillId="0" borderId="17" xfId="49" applyNumberFormat="1" applyFont="1" applyBorder="1" applyAlignment="1">
      <alignment horizontal="center" vertical="center"/>
    </xf>
    <xf numFmtId="9" fontId="42" fillId="0" borderId="17" xfId="1" applyFont="1" applyFill="1" applyBorder="1" applyAlignment="1" applyProtection="1">
      <alignment horizontal="center" vertical="center"/>
    </xf>
    <xf numFmtId="3" fontId="42" fillId="0" borderId="17" xfId="49" applyNumberFormat="1" applyFont="1" applyBorder="1" applyAlignment="1">
      <alignment horizontal="right" wrapText="1"/>
    </xf>
    <xf numFmtId="3" fontId="42" fillId="0" borderId="62" xfId="49" applyNumberFormat="1" applyFont="1" applyBorder="1" applyAlignment="1">
      <alignment horizontal="center" vertical="center" wrapText="1"/>
    </xf>
    <xf numFmtId="3" fontId="42" fillId="0" borderId="53" xfId="49" applyNumberFormat="1" applyFont="1" applyBorder="1" applyAlignment="1">
      <alignment horizontal="center" vertical="center" wrapText="1"/>
    </xf>
    <xf numFmtId="0" fontId="99" fillId="0" borderId="0" xfId="49" applyFont="1"/>
    <xf numFmtId="0" fontId="40" fillId="39" borderId="60" xfId="32" applyFont="1" applyFill="1" applyBorder="1" applyAlignment="1">
      <alignment vertical="center" wrapText="1"/>
    </xf>
    <xf numFmtId="3" fontId="41" fillId="28" borderId="73" xfId="32" applyNumberFormat="1" applyFont="1" applyFill="1" applyBorder="1" applyAlignment="1" applyProtection="1">
      <alignment horizontal="center" vertical="center"/>
      <protection locked="0"/>
    </xf>
    <xf numFmtId="3" fontId="41" fillId="28" borderId="76" xfId="32" applyNumberFormat="1" applyFont="1" applyFill="1" applyBorder="1" applyAlignment="1" applyProtection="1">
      <alignment horizontal="center" vertical="center"/>
      <protection locked="0"/>
    </xf>
    <xf numFmtId="3" fontId="41" fillId="3" borderId="72" xfId="32" applyNumberFormat="1" applyFont="1" applyFill="1" applyBorder="1" applyAlignment="1" applyProtection="1">
      <alignment horizontal="center" vertical="center"/>
      <protection locked="0"/>
    </xf>
    <xf numFmtId="0" fontId="41" fillId="31" borderId="45" xfId="32" applyFont="1" applyFill="1" applyBorder="1" applyAlignment="1">
      <alignment horizontal="center" vertical="center"/>
    </xf>
    <xf numFmtId="3" fontId="40" fillId="31" borderId="59" xfId="32" applyNumberFormat="1" applyFont="1" applyFill="1" applyBorder="1" applyAlignment="1">
      <alignment horizontal="left" vertical="center" wrapText="1"/>
    </xf>
    <xf numFmtId="3" fontId="40" fillId="31" borderId="40" xfId="32" applyNumberFormat="1" applyFont="1" applyFill="1" applyBorder="1" applyAlignment="1">
      <alignment horizontal="center" vertical="center"/>
    </xf>
    <xf numFmtId="3" fontId="40" fillId="31" borderId="41" xfId="32" applyNumberFormat="1" applyFont="1" applyFill="1" applyBorder="1" applyAlignment="1">
      <alignment horizontal="center" vertical="center"/>
    </xf>
    <xf numFmtId="3" fontId="41" fillId="31" borderId="134" xfId="32" applyNumberFormat="1" applyFont="1" applyFill="1" applyBorder="1" applyAlignment="1">
      <alignment horizontal="center" vertical="center"/>
    </xf>
    <xf numFmtId="3" fontId="41" fillId="31" borderId="138" xfId="32" applyNumberFormat="1" applyFont="1" applyFill="1" applyBorder="1" applyAlignment="1">
      <alignment horizontal="center" vertical="center"/>
    </xf>
    <xf numFmtId="3" fontId="41" fillId="31" borderId="139" xfId="32" applyNumberFormat="1" applyFont="1" applyFill="1" applyBorder="1" applyAlignment="1">
      <alignment horizontal="center" vertical="center"/>
    </xf>
    <xf numFmtId="0" fontId="41" fillId="26" borderId="1" xfId="32" applyFont="1" applyFill="1" applyBorder="1" applyAlignment="1">
      <alignment horizontal="center" vertical="center"/>
    </xf>
    <xf numFmtId="0" fontId="96" fillId="20" borderId="10" xfId="88" applyFont="1" applyFill="1" applyBorder="1" applyAlignment="1">
      <alignment horizontal="right" vertical="center" wrapText="1"/>
    </xf>
    <xf numFmtId="3" fontId="40" fillId="26" borderId="38" xfId="32" applyNumberFormat="1" applyFont="1" applyFill="1" applyBorder="1" applyAlignment="1">
      <alignment horizontal="center" vertical="center"/>
    </xf>
    <xf numFmtId="10" fontId="96" fillId="26" borderId="9" xfId="70" applyNumberFormat="1" applyFont="1" applyFill="1" applyBorder="1" applyAlignment="1" applyProtection="1">
      <alignment horizontal="center" vertical="center" wrapText="1"/>
    </xf>
    <xf numFmtId="10" fontId="96" fillId="26" borderId="10" xfId="70" applyNumberFormat="1" applyFont="1" applyFill="1" applyBorder="1" applyAlignment="1" applyProtection="1">
      <alignment horizontal="center" vertical="center" wrapText="1"/>
    </xf>
    <xf numFmtId="3" fontId="40" fillId="26" borderId="8" xfId="32" applyNumberFormat="1" applyFont="1" applyFill="1" applyBorder="1" applyAlignment="1">
      <alignment horizontal="center" vertical="center"/>
    </xf>
    <xf numFmtId="3" fontId="41" fillId="26" borderId="144" xfId="32" applyNumberFormat="1" applyFont="1" applyFill="1" applyBorder="1" applyAlignment="1">
      <alignment horizontal="center" vertical="center"/>
    </xf>
    <xf numFmtId="3" fontId="41" fillId="26" borderId="145" xfId="32" applyNumberFormat="1" applyFont="1" applyFill="1" applyBorder="1" applyAlignment="1">
      <alignment horizontal="center" vertical="center"/>
    </xf>
    <xf numFmtId="3" fontId="41" fillId="26" borderId="143" xfId="32" applyNumberFormat="1" applyFont="1" applyFill="1" applyBorder="1" applyAlignment="1">
      <alignment horizontal="center" vertical="center"/>
    </xf>
    <xf numFmtId="3" fontId="40" fillId="31" borderId="42" xfId="32" applyNumberFormat="1" applyFont="1" applyFill="1" applyBorder="1" applyAlignment="1">
      <alignment vertical="center"/>
    </xf>
    <xf numFmtId="3" fontId="40" fillId="31" borderId="0" xfId="32" applyNumberFormat="1" applyFont="1" applyFill="1" applyAlignment="1">
      <alignment vertical="center"/>
    </xf>
    <xf numFmtId="3" fontId="40" fillId="31" borderId="16" xfId="32" applyNumberFormat="1" applyFont="1" applyFill="1" applyBorder="1" applyAlignment="1">
      <alignment vertical="center"/>
    </xf>
    <xf numFmtId="3" fontId="41" fillId="26" borderId="146" xfId="32" applyNumberFormat="1" applyFont="1" applyFill="1" applyBorder="1" applyAlignment="1">
      <alignment horizontal="center" vertical="center"/>
    </xf>
    <xf numFmtId="0" fontId="96" fillId="20" borderId="67" xfId="88" applyFont="1" applyFill="1" applyBorder="1" applyAlignment="1">
      <alignment horizontal="right" vertical="center" wrapText="1"/>
    </xf>
    <xf numFmtId="10" fontId="96" fillId="26" borderId="7" xfId="70" applyNumberFormat="1" applyFont="1" applyFill="1" applyBorder="1" applyAlignment="1" applyProtection="1">
      <alignment horizontal="center" vertical="center" wrapText="1"/>
    </xf>
    <xf numFmtId="10" fontId="96" fillId="26" borderId="53" xfId="70" applyNumberFormat="1" applyFont="1" applyFill="1" applyBorder="1" applyAlignment="1" applyProtection="1">
      <alignment horizontal="center" vertical="center" wrapText="1"/>
    </xf>
    <xf numFmtId="3" fontId="42" fillId="26" borderId="18" xfId="32" applyNumberFormat="1" applyFont="1" applyFill="1" applyBorder="1" applyAlignment="1">
      <alignment horizontal="center" vertical="center"/>
    </xf>
    <xf numFmtId="0" fontId="96" fillId="20" borderId="62" xfId="88" applyFont="1" applyFill="1" applyBorder="1" applyAlignment="1">
      <alignment horizontal="right" vertical="center" wrapText="1"/>
    </xf>
    <xf numFmtId="3" fontId="42" fillId="26" borderId="52" xfId="32" applyNumberFormat="1" applyFont="1" applyFill="1" applyBorder="1" applyAlignment="1">
      <alignment horizontal="center" vertical="center"/>
    </xf>
    <xf numFmtId="3" fontId="41" fillId="26" borderId="147" xfId="32" applyNumberFormat="1" applyFont="1" applyFill="1" applyBorder="1" applyAlignment="1">
      <alignment horizontal="center" vertical="center"/>
    </xf>
    <xf numFmtId="3" fontId="41" fillId="3" borderId="46" xfId="32" applyNumberFormat="1" applyFont="1" applyFill="1" applyBorder="1" applyAlignment="1" applyProtection="1">
      <alignment horizontal="center" vertical="center"/>
      <protection locked="0"/>
    </xf>
    <xf numFmtId="3" fontId="41" fillId="31" borderId="93" xfId="32" applyNumberFormat="1" applyFont="1" applyFill="1" applyBorder="1" applyAlignment="1">
      <alignment horizontal="center" vertical="center"/>
    </xf>
    <xf numFmtId="3" fontId="41" fillId="31" borderId="114" xfId="32" applyNumberFormat="1" applyFont="1" applyFill="1" applyBorder="1" applyAlignment="1">
      <alignment horizontal="center" vertical="center"/>
    </xf>
    <xf numFmtId="3" fontId="41" fillId="31" borderId="94" xfId="32" applyNumberFormat="1" applyFont="1" applyFill="1" applyBorder="1" applyAlignment="1">
      <alignment horizontal="center" vertical="center"/>
    </xf>
    <xf numFmtId="3" fontId="40" fillId="31" borderId="1" xfId="32" applyNumberFormat="1" applyFont="1" applyFill="1" applyBorder="1" applyAlignment="1">
      <alignment vertical="center"/>
    </xf>
    <xf numFmtId="3" fontId="40" fillId="31" borderId="11" xfId="32" applyNumberFormat="1" applyFont="1" applyFill="1" applyBorder="1" applyAlignment="1">
      <alignment vertical="center"/>
    </xf>
    <xf numFmtId="3" fontId="40" fillId="31" borderId="41" xfId="32" applyNumberFormat="1" applyFont="1" applyFill="1" applyBorder="1" applyAlignment="1">
      <alignment vertical="center"/>
    </xf>
    <xf numFmtId="3" fontId="41" fillId="26" borderId="148" xfId="32" applyNumberFormat="1" applyFont="1" applyFill="1" applyBorder="1" applyAlignment="1">
      <alignment horizontal="center" vertical="center"/>
    </xf>
    <xf numFmtId="3" fontId="40" fillId="39" borderId="60" xfId="32" applyNumberFormat="1" applyFont="1" applyFill="1" applyBorder="1" applyAlignment="1">
      <alignment vertical="center" wrapText="1"/>
    </xf>
    <xf numFmtId="3" fontId="41" fillId="3" borderId="68" xfId="32" applyNumberFormat="1" applyFont="1" applyFill="1" applyBorder="1" applyAlignment="1" applyProtection="1">
      <alignment horizontal="center" vertical="center"/>
      <protection locked="0"/>
    </xf>
    <xf numFmtId="3" fontId="42" fillId="26" borderId="7" xfId="32" applyNumberFormat="1" applyFont="1" applyFill="1" applyBorder="1" applyAlignment="1">
      <alignment horizontal="center" vertical="center"/>
    </xf>
    <xf numFmtId="3" fontId="41" fillId="26" borderId="149" xfId="32" applyNumberFormat="1" applyFont="1" applyFill="1" applyBorder="1" applyAlignment="1">
      <alignment horizontal="center" vertical="center"/>
    </xf>
    <xf numFmtId="3" fontId="41" fillId="26" borderId="150" xfId="32" applyNumberFormat="1" applyFont="1" applyFill="1" applyBorder="1" applyAlignment="1">
      <alignment horizontal="center" vertical="center"/>
    </xf>
    <xf numFmtId="3" fontId="40" fillId="39" borderId="101" xfId="32" applyNumberFormat="1" applyFont="1" applyFill="1" applyBorder="1" applyAlignment="1">
      <alignment vertical="center" wrapText="1"/>
    </xf>
    <xf numFmtId="0" fontId="42" fillId="27" borderId="66" xfId="32" applyFont="1" applyFill="1" applyBorder="1" applyAlignment="1">
      <alignment horizontal="center" vertical="center"/>
    </xf>
    <xf numFmtId="3" fontId="42" fillId="0" borderId="33" xfId="32" applyNumberFormat="1" applyFont="1" applyBorder="1" applyAlignment="1">
      <alignment horizontal="left" vertical="center" wrapText="1"/>
    </xf>
    <xf numFmtId="3" fontId="42" fillId="0" borderId="23" xfId="32" applyNumberFormat="1" applyFont="1" applyBorder="1" applyAlignment="1">
      <alignment horizontal="left" vertical="center" wrapText="1"/>
    </xf>
    <xf numFmtId="0" fontId="42" fillId="27" borderId="25" xfId="32" applyFont="1" applyFill="1" applyBorder="1" applyAlignment="1">
      <alignment horizontal="center" vertical="center"/>
    </xf>
    <xf numFmtId="3" fontId="42" fillId="26" borderId="32" xfId="49" applyNumberFormat="1" applyFont="1" applyFill="1" applyBorder="1" applyAlignment="1">
      <alignment horizontal="center" vertical="center" wrapText="1"/>
    </xf>
    <xf numFmtId="3" fontId="42" fillId="26" borderId="15" xfId="49" applyNumberFormat="1" applyFont="1" applyFill="1" applyBorder="1" applyAlignment="1">
      <alignment horizontal="center" vertical="center" wrapText="1"/>
    </xf>
    <xf numFmtId="3" fontId="41" fillId="0" borderId="63" xfId="49" applyNumberFormat="1" applyFont="1" applyBorder="1" applyAlignment="1">
      <alignment horizontal="center" vertical="center" wrapText="1"/>
    </xf>
    <xf numFmtId="0" fontId="96" fillId="20" borderId="26" xfId="88" applyFont="1" applyFill="1" applyBorder="1" applyAlignment="1">
      <alignment horizontal="center" vertical="center" wrapText="1"/>
    </xf>
    <xf numFmtId="0" fontId="96" fillId="20" borderId="16" xfId="88" applyFont="1" applyFill="1" applyBorder="1" applyAlignment="1">
      <alignment horizontal="center" vertical="center" wrapText="1"/>
    </xf>
    <xf numFmtId="3" fontId="42" fillId="26" borderId="15" xfId="32" applyNumberFormat="1" applyFont="1" applyFill="1" applyBorder="1" applyAlignment="1">
      <alignment horizontal="center" vertical="center"/>
    </xf>
    <xf numFmtId="0" fontId="96" fillId="20" borderId="68" xfId="88" applyFont="1" applyFill="1" applyBorder="1" applyAlignment="1">
      <alignment horizontal="right" vertical="center" wrapText="1"/>
    </xf>
    <xf numFmtId="0" fontId="96" fillId="20" borderId="17" xfId="88" applyFont="1" applyFill="1" applyBorder="1" applyAlignment="1">
      <alignment horizontal="center" vertical="center" wrapText="1"/>
    </xf>
    <xf numFmtId="0" fontId="96" fillId="20" borderId="2" xfId="88" applyFont="1" applyFill="1" applyBorder="1" applyAlignment="1">
      <alignment horizontal="center" vertical="center" wrapText="1"/>
    </xf>
    <xf numFmtId="3" fontId="40" fillId="48" borderId="7" xfId="0" applyNumberFormat="1" applyFont="1" applyFill="1" applyBorder="1" applyAlignment="1">
      <alignment horizontal="center" vertical="center"/>
    </xf>
    <xf numFmtId="3" fontId="144" fillId="0" borderId="7" xfId="0" applyNumberFormat="1" applyFont="1" applyBorder="1" applyAlignment="1">
      <alignment horizontal="center" vertical="center"/>
    </xf>
    <xf numFmtId="9" fontId="41" fillId="26" borderId="99" xfId="1" applyFont="1" applyFill="1" applyBorder="1" applyAlignment="1" applyProtection="1">
      <alignment horizontal="center" vertical="center"/>
    </xf>
    <xf numFmtId="3" fontId="41" fillId="31" borderId="144" xfId="32" applyNumberFormat="1" applyFont="1" applyFill="1" applyBorder="1" applyAlignment="1">
      <alignment horizontal="center" vertical="center"/>
    </xf>
    <xf numFmtId="3" fontId="41" fillId="31" borderId="145" xfId="32" applyNumberFormat="1" applyFont="1" applyFill="1" applyBorder="1" applyAlignment="1">
      <alignment horizontal="center" vertical="center"/>
    </xf>
    <xf numFmtId="3" fontId="41" fillId="31" borderId="143" xfId="32" applyNumberFormat="1" applyFont="1" applyFill="1" applyBorder="1" applyAlignment="1">
      <alignment horizontal="center" vertical="center"/>
    </xf>
    <xf numFmtId="3" fontId="42" fillId="26" borderId="36" xfId="32" applyNumberFormat="1" applyFont="1" applyFill="1" applyBorder="1" applyAlignment="1">
      <alignment horizontal="center" vertical="center"/>
    </xf>
    <xf numFmtId="3" fontId="42" fillId="26" borderId="24" xfId="32" applyNumberFormat="1" applyFont="1" applyFill="1" applyBorder="1" applyAlignment="1">
      <alignment horizontal="center" vertical="center"/>
    </xf>
    <xf numFmtId="3" fontId="42" fillId="26" borderId="22" xfId="32" applyNumberFormat="1" applyFont="1" applyFill="1" applyBorder="1" applyAlignment="1">
      <alignment horizontal="center" vertical="center"/>
    </xf>
    <xf numFmtId="0" fontId="96" fillId="20" borderId="0" xfId="88" applyFont="1" applyFill="1" applyAlignment="1">
      <alignment horizontal="center" vertical="center" wrapText="1"/>
    </xf>
    <xf numFmtId="3" fontId="42" fillId="26" borderId="23" xfId="32" applyNumberFormat="1" applyFont="1" applyFill="1" applyBorder="1" applyAlignment="1">
      <alignment horizontal="center" vertical="center"/>
    </xf>
    <xf numFmtId="3" fontId="42" fillId="26" borderId="37" xfId="32" applyNumberFormat="1" applyFont="1" applyFill="1" applyBorder="1" applyAlignment="1">
      <alignment horizontal="center" vertical="center"/>
    </xf>
    <xf numFmtId="3" fontId="41" fillId="0" borderId="52" xfId="0" applyNumberFormat="1" applyFont="1" applyBorder="1" applyAlignment="1">
      <alignment horizontal="center" vertical="center"/>
    </xf>
    <xf numFmtId="49" fontId="34" fillId="0" borderId="39" xfId="31" applyNumberFormat="1" applyFont="1" applyBorder="1" applyAlignment="1">
      <alignment horizontal="center" vertical="center"/>
    </xf>
    <xf numFmtId="0" fontId="12" fillId="27" borderId="39" xfId="31" applyFont="1" applyFill="1" applyBorder="1" applyAlignment="1">
      <alignment horizontal="right" vertical="center"/>
    </xf>
    <xf numFmtId="0" fontId="86" fillId="0" borderId="15" xfId="2" applyNumberFormat="1" applyFont="1" applyFill="1" applyBorder="1" applyAlignment="1" applyProtection="1">
      <alignment horizontal="left" vertical="center" wrapText="1"/>
    </xf>
    <xf numFmtId="49" fontId="69" fillId="20" borderId="39" xfId="32" applyNumberFormat="1" applyFont="1" applyFill="1" applyBorder="1" applyAlignment="1">
      <alignment horizontal="center" vertical="center"/>
    </xf>
    <xf numFmtId="0" fontId="70" fillId="20" borderId="39" xfId="32" applyFont="1" applyFill="1" applyBorder="1" applyAlignment="1">
      <alignment horizontal="right" vertical="center"/>
    </xf>
    <xf numFmtId="0" fontId="70" fillId="20" borderId="26" xfId="32" applyFont="1" applyFill="1" applyBorder="1" applyAlignment="1">
      <alignment horizontal="right" vertical="center"/>
    </xf>
    <xf numFmtId="49" fontId="69" fillId="20" borderId="26" xfId="32" applyNumberFormat="1" applyFont="1" applyFill="1" applyBorder="1" applyAlignment="1">
      <alignment horizontal="left" vertical="center"/>
    </xf>
    <xf numFmtId="49" fontId="69" fillId="20" borderId="35" xfId="32" applyNumberFormat="1" applyFont="1" applyFill="1" applyBorder="1" applyAlignment="1">
      <alignment horizontal="left" vertical="center"/>
    </xf>
    <xf numFmtId="0" fontId="12" fillId="0" borderId="21" xfId="0" applyFont="1" applyBorder="1" applyAlignment="1">
      <alignment horizontal="center" vertical="center" wrapText="1"/>
    </xf>
    <xf numFmtId="0" fontId="20" fillId="0" borderId="0" xfId="0" applyFont="1" applyAlignment="1">
      <alignment horizontal="center" vertical="center" wrapText="1"/>
    </xf>
    <xf numFmtId="0" fontId="12" fillId="0" borderId="35" xfId="31" applyFont="1" applyBorder="1" applyAlignment="1">
      <alignment horizontal="center" vertical="center" wrapText="1"/>
    </xf>
    <xf numFmtId="0" fontId="21" fillId="37" borderId="40" xfId="0" applyFont="1" applyFill="1" applyBorder="1" applyAlignment="1">
      <alignment horizontal="center" vertical="center" wrapText="1"/>
    </xf>
    <xf numFmtId="0" fontId="20" fillId="27" borderId="0" xfId="32" applyFont="1" applyFill="1" applyAlignment="1">
      <alignment horizontal="center" vertical="center" wrapText="1"/>
    </xf>
    <xf numFmtId="0" fontId="43" fillId="26" borderId="0" xfId="0" applyFont="1" applyFill="1" applyAlignment="1">
      <alignment vertical="center"/>
    </xf>
    <xf numFmtId="0" fontId="43" fillId="27" borderId="0" xfId="0" applyFont="1" applyFill="1"/>
    <xf numFmtId="0" fontId="84" fillId="26" borderId="0" xfId="0" applyFont="1" applyFill="1" applyAlignment="1">
      <alignment horizontal="left" vertical="center" wrapText="1"/>
    </xf>
    <xf numFmtId="0" fontId="15" fillId="27" borderId="0" xfId="32" applyFont="1" applyFill="1" applyAlignment="1">
      <alignment horizontal="center" vertical="center" wrapText="1"/>
    </xf>
    <xf numFmtId="0" fontId="43" fillId="27" borderId="0" xfId="32" applyFont="1" applyFill="1" applyAlignment="1">
      <alignment vertical="center" wrapText="1"/>
    </xf>
    <xf numFmtId="0" fontId="43" fillId="27" borderId="0" xfId="32" applyFont="1" applyFill="1" applyAlignment="1">
      <alignment vertical="center"/>
    </xf>
    <xf numFmtId="0" fontId="77" fillId="27" borderId="0" xfId="32" applyFont="1" applyFill="1" applyAlignment="1">
      <alignment horizontal="center" vertical="center" wrapText="1"/>
    </xf>
    <xf numFmtId="0" fontId="81" fillId="27" borderId="0" xfId="32" applyFont="1" applyFill="1" applyAlignment="1">
      <alignment horizontal="center" vertical="center"/>
    </xf>
    <xf numFmtId="0" fontId="69" fillId="27" borderId="0" xfId="32" applyFont="1" applyFill="1" applyAlignment="1">
      <alignment horizontal="center" vertical="center"/>
    </xf>
    <xf numFmtId="0" fontId="13" fillId="27" borderId="0" xfId="32" applyFont="1" applyFill="1" applyAlignment="1">
      <alignment horizontal="right" vertical="center"/>
    </xf>
    <xf numFmtId="0" fontId="15" fillId="0" borderId="0" xfId="31" applyFont="1" applyAlignment="1">
      <alignment horizontal="center" vertical="center" wrapText="1"/>
    </xf>
    <xf numFmtId="0" fontId="20" fillId="0" borderId="0" xfId="0" applyFont="1" applyAlignment="1">
      <alignment horizontal="center" vertical="center"/>
    </xf>
    <xf numFmtId="49" fontId="12" fillId="0" borderId="75" xfId="31" applyNumberFormat="1" applyFont="1" applyBorder="1" applyAlignment="1">
      <alignment horizontal="center" vertical="center"/>
    </xf>
    <xf numFmtId="0" fontId="43" fillId="0" borderId="0" xfId="0" applyFont="1" applyAlignment="1">
      <alignment vertical="center" wrapText="1"/>
    </xf>
    <xf numFmtId="0" fontId="20" fillId="27" borderId="0" xfId="49" applyFont="1" applyFill="1" applyAlignment="1">
      <alignment horizontal="center" vertical="center" wrapText="1"/>
    </xf>
    <xf numFmtId="0" fontId="15" fillId="27" borderId="0" xfId="49" applyFont="1" applyFill="1" applyAlignment="1">
      <alignment horizontal="center" vertical="center" wrapText="1"/>
    </xf>
    <xf numFmtId="0" fontId="40" fillId="24" borderId="1" xfId="49" applyFont="1" applyFill="1" applyBorder="1" applyAlignment="1">
      <alignment horizontal="center" vertical="center" wrapText="1"/>
    </xf>
    <xf numFmtId="0" fontId="43" fillId="27" borderId="0" xfId="49" applyFont="1" applyFill="1" applyAlignment="1">
      <alignment vertical="center" wrapText="1"/>
    </xf>
    <xf numFmtId="49" fontId="69" fillId="0" borderId="0" xfId="32" applyNumberFormat="1" applyFont="1" applyAlignment="1">
      <alignment vertical="center"/>
    </xf>
    <xf numFmtId="0" fontId="69" fillId="0" borderId="0" xfId="32" applyFont="1" applyAlignment="1">
      <alignment vertical="center"/>
    </xf>
    <xf numFmtId="0" fontId="72" fillId="0" borderId="0" xfId="32" applyFont="1"/>
    <xf numFmtId="0" fontId="42" fillId="0" borderId="0" xfId="0" applyFont="1"/>
    <xf numFmtId="3" fontId="40" fillId="0" borderId="0" xfId="0" applyNumberFormat="1" applyFont="1"/>
    <xf numFmtId="49" fontId="70" fillId="27" borderId="25" xfId="0" applyNumberFormat="1" applyFont="1" applyFill="1" applyBorder="1" applyAlignment="1">
      <alignment horizontal="left" vertical="center"/>
    </xf>
    <xf numFmtId="0" fontId="32" fillId="27" borderId="27" xfId="31" applyFont="1" applyFill="1" applyBorder="1" applyAlignment="1">
      <alignment horizontal="center" vertical="center"/>
    </xf>
    <xf numFmtId="0" fontId="12" fillId="27" borderId="16" xfId="31" applyFont="1" applyFill="1" applyBorder="1"/>
    <xf numFmtId="0" fontId="12" fillId="27" borderId="0" xfId="0" applyFont="1" applyFill="1" applyAlignment="1">
      <alignment horizontal="left"/>
    </xf>
    <xf numFmtId="0" fontId="19" fillId="0" borderId="0" xfId="0" applyFont="1" applyAlignment="1">
      <alignment vertical="center"/>
    </xf>
    <xf numFmtId="3" fontId="12" fillId="0" borderId="51" xfId="70" applyNumberFormat="1" applyFont="1" applyFill="1" applyBorder="1" applyAlignment="1" applyProtection="1">
      <alignment horizontal="center" vertical="center" wrapText="1"/>
    </xf>
    <xf numFmtId="3" fontId="12" fillId="0" borderId="73" xfId="70" applyNumberFormat="1" applyFont="1" applyFill="1" applyBorder="1" applyAlignment="1" applyProtection="1">
      <alignment horizontal="center" vertical="center" wrapText="1"/>
    </xf>
    <xf numFmtId="3" fontId="12" fillId="0" borderId="76" xfId="70" applyNumberFormat="1" applyFont="1" applyFill="1" applyBorder="1" applyAlignment="1" applyProtection="1">
      <alignment horizontal="center" vertical="center" wrapText="1"/>
    </xf>
    <xf numFmtId="3" fontId="12" fillId="0" borderId="17" xfId="70" applyNumberFormat="1" applyFont="1" applyFill="1" applyBorder="1" applyAlignment="1" applyProtection="1">
      <alignment horizontal="center" vertical="center" wrapText="1"/>
    </xf>
    <xf numFmtId="3" fontId="12" fillId="0" borderId="7" xfId="70" applyNumberFormat="1" applyFont="1" applyFill="1" applyBorder="1" applyAlignment="1" applyProtection="1">
      <alignment horizontal="center" vertical="center" wrapText="1"/>
    </xf>
    <xf numFmtId="3" fontId="12" fillId="0" borderId="53" xfId="70" applyNumberFormat="1" applyFont="1" applyFill="1" applyBorder="1" applyAlignment="1" applyProtection="1">
      <alignment horizontal="center" vertical="center" wrapText="1"/>
    </xf>
    <xf numFmtId="0" fontId="34" fillId="0" borderId="0" xfId="31" applyFont="1" applyAlignment="1">
      <alignment vertical="center"/>
    </xf>
    <xf numFmtId="0" fontId="70" fillId="27" borderId="0" xfId="32" applyFont="1" applyFill="1" applyAlignment="1">
      <alignment vertical="center"/>
    </xf>
    <xf numFmtId="0" fontId="34" fillId="27" borderId="0" xfId="32" applyFont="1" applyFill="1" applyAlignment="1">
      <alignment horizontal="center" vertical="center"/>
    </xf>
    <xf numFmtId="0" fontId="70" fillId="27" borderId="0" xfId="32" applyFont="1" applyFill="1" applyAlignment="1">
      <alignment horizontal="center" vertical="center"/>
    </xf>
    <xf numFmtId="49" fontId="70" fillId="27" borderId="0" xfId="32" applyNumberFormat="1" applyFont="1" applyFill="1" applyAlignment="1">
      <alignment horizontal="center" vertical="center"/>
    </xf>
    <xf numFmtId="0" fontId="72" fillId="27" borderId="0" xfId="32" applyFont="1" applyFill="1" applyAlignment="1">
      <alignment horizontal="center" vertical="center"/>
    </xf>
    <xf numFmtId="0" fontId="48" fillId="27" borderId="0" xfId="0" applyFont="1" applyFill="1" applyAlignment="1">
      <alignment vertical="center"/>
    </xf>
    <xf numFmtId="0" fontId="48" fillId="27" borderId="0" xfId="0" applyFont="1" applyFill="1" applyAlignment="1">
      <alignment horizontal="center" vertical="center"/>
    </xf>
    <xf numFmtId="10" fontId="12" fillId="21" borderId="16" xfId="70" applyNumberFormat="1" applyFont="1" applyFill="1" applyBorder="1" applyAlignment="1" applyProtection="1">
      <alignment horizontal="center" vertical="center"/>
    </xf>
    <xf numFmtId="10" fontId="12" fillId="21" borderId="12" xfId="70" applyNumberFormat="1" applyFont="1" applyFill="1" applyBorder="1" applyAlignment="1" applyProtection="1">
      <alignment horizontal="center" vertical="center"/>
    </xf>
    <xf numFmtId="10" fontId="12" fillId="0" borderId="0" xfId="0" applyNumberFormat="1" applyFont="1" applyAlignment="1">
      <alignment vertical="center"/>
    </xf>
    <xf numFmtId="177" fontId="12" fillId="21" borderId="83" xfId="70" applyNumberFormat="1" applyFont="1" applyFill="1" applyBorder="1" applyAlignment="1" applyProtection="1">
      <alignment horizontal="center" vertical="center"/>
    </xf>
    <xf numFmtId="2" fontId="12" fillId="26" borderId="15" xfId="70" applyNumberFormat="1" applyFont="1" applyFill="1" applyBorder="1" applyAlignment="1" applyProtection="1">
      <alignment horizontal="center" vertical="center"/>
    </xf>
    <xf numFmtId="10" fontId="12" fillId="21" borderId="100" xfId="70" applyNumberFormat="1" applyFont="1" applyFill="1" applyBorder="1" applyAlignment="1" applyProtection="1">
      <alignment horizontal="center" vertical="center"/>
    </xf>
    <xf numFmtId="4" fontId="12" fillId="21" borderId="83" xfId="70" applyNumberFormat="1" applyFont="1" applyFill="1" applyBorder="1" applyAlignment="1" applyProtection="1">
      <alignment horizontal="center" vertical="center"/>
    </xf>
    <xf numFmtId="172" fontId="12" fillId="21" borderId="83" xfId="70" applyNumberFormat="1" applyFont="1" applyFill="1" applyBorder="1" applyAlignment="1" applyProtection="1">
      <alignment horizontal="center" vertical="center"/>
    </xf>
    <xf numFmtId="172" fontId="12" fillId="21" borderId="12" xfId="70" applyNumberFormat="1" applyFont="1" applyFill="1" applyBorder="1" applyAlignment="1" applyProtection="1">
      <alignment horizontal="center" vertical="center"/>
    </xf>
    <xf numFmtId="177" fontId="12" fillId="21" borderId="12" xfId="70" applyNumberFormat="1" applyFont="1" applyFill="1" applyBorder="1" applyAlignment="1" applyProtection="1">
      <alignment horizontal="center" vertical="center"/>
    </xf>
    <xf numFmtId="2" fontId="12" fillId="21" borderId="12" xfId="70" applyNumberFormat="1" applyFont="1" applyFill="1" applyBorder="1" applyAlignment="1" applyProtection="1">
      <alignment horizontal="center" vertical="center"/>
    </xf>
    <xf numFmtId="2" fontId="12" fillId="21" borderId="84" xfId="70" applyNumberFormat="1" applyFont="1" applyFill="1" applyBorder="1" applyAlignment="1" applyProtection="1">
      <alignment horizontal="center" vertical="center"/>
    </xf>
    <xf numFmtId="0" fontId="65" fillId="27" borderId="0" xfId="32" applyFont="1" applyFill="1" applyAlignment="1">
      <alignment horizontal="center" vertical="center"/>
    </xf>
    <xf numFmtId="0" fontId="57" fillId="20" borderId="0" xfId="52" applyFont="1" applyFill="1" applyAlignment="1">
      <alignment vertical="center"/>
    </xf>
    <xf numFmtId="3" fontId="57" fillId="0" borderId="15" xfId="52" applyNumberFormat="1" applyFont="1" applyBorder="1" applyAlignment="1">
      <alignment horizontal="center" vertical="center"/>
    </xf>
    <xf numFmtId="3" fontId="57" fillId="26" borderId="0" xfId="52" applyNumberFormat="1" applyFont="1" applyFill="1" applyAlignment="1">
      <alignment vertical="center"/>
    </xf>
    <xf numFmtId="0" fontId="57" fillId="26" borderId="0" xfId="52" applyFont="1" applyFill="1" applyAlignment="1">
      <alignment vertical="center"/>
    </xf>
    <xf numFmtId="3" fontId="57" fillId="27" borderId="0" xfId="52" applyNumberFormat="1" applyFont="1" applyFill="1" applyAlignment="1">
      <alignment vertical="center"/>
    </xf>
    <xf numFmtId="10" fontId="57" fillId="27" borderId="0" xfId="52" applyNumberFormat="1" applyFont="1" applyFill="1" applyAlignment="1">
      <alignment vertical="center"/>
    </xf>
    <xf numFmtId="0" fontId="84" fillId="27" borderId="17" xfId="52" applyFont="1" applyFill="1" applyBorder="1" applyAlignment="1">
      <alignment horizontal="left" vertical="center" wrapText="1"/>
    </xf>
    <xf numFmtId="0" fontId="41" fillId="27" borderId="0" xfId="57" applyFont="1" applyFill="1" applyAlignment="1">
      <alignment vertical="center"/>
    </xf>
    <xf numFmtId="0" fontId="57" fillId="27" borderId="0" xfId="57" applyFont="1" applyFill="1" applyAlignment="1">
      <alignment vertical="center"/>
    </xf>
    <xf numFmtId="0" fontId="57" fillId="27" borderId="21" xfId="52" applyFont="1" applyFill="1" applyBorder="1" applyAlignment="1">
      <alignment horizontal="left" vertical="center" wrapText="1"/>
    </xf>
    <xf numFmtId="0" fontId="41" fillId="26" borderId="0" xfId="57" applyFont="1" applyFill="1" applyAlignment="1">
      <alignment vertical="center"/>
    </xf>
    <xf numFmtId="4" fontId="65" fillId="31" borderId="15" xfId="57" applyNumberFormat="1" applyFont="1" applyFill="1" applyBorder="1" applyAlignment="1">
      <alignment horizontal="center" vertical="center"/>
    </xf>
    <xf numFmtId="0" fontId="65" fillId="23" borderId="9" xfId="57" applyFont="1" applyFill="1" applyBorder="1" applyAlignment="1">
      <alignment horizontal="left" vertical="center"/>
    </xf>
    <xf numFmtId="0" fontId="12" fillId="27" borderId="0" xfId="57" applyFont="1" applyFill="1" applyAlignment="1">
      <alignment vertical="center"/>
    </xf>
    <xf numFmtId="3" fontId="65" fillId="27" borderId="52" xfId="57" applyNumberFormat="1" applyFont="1" applyFill="1" applyBorder="1" applyAlignment="1">
      <alignment horizontal="center" vertical="center"/>
    </xf>
    <xf numFmtId="3" fontId="65" fillId="27" borderId="7" xfId="57" applyNumberFormat="1" applyFont="1" applyFill="1" applyBorder="1" applyAlignment="1">
      <alignment horizontal="center" vertical="center"/>
    </xf>
    <xf numFmtId="3" fontId="65" fillId="27" borderId="53" xfId="57" applyNumberFormat="1" applyFont="1" applyFill="1" applyBorder="1" applyAlignment="1">
      <alignment horizontal="center" vertical="center"/>
    </xf>
    <xf numFmtId="0" fontId="117" fillId="20" borderId="20" xfId="88" applyFont="1" applyFill="1" applyBorder="1" applyAlignment="1">
      <alignment vertical="center"/>
    </xf>
    <xf numFmtId="0" fontId="117" fillId="20" borderId="0" xfId="88" applyFont="1" applyFill="1" applyAlignment="1">
      <alignment vertical="center"/>
    </xf>
    <xf numFmtId="0" fontId="16" fillId="27" borderId="0" xfId="32" applyFont="1" applyFill="1" applyAlignment="1">
      <alignment vertical="center"/>
    </xf>
    <xf numFmtId="0" fontId="12" fillId="27" borderId="0" xfId="32" applyFont="1" applyFill="1" applyAlignment="1">
      <alignment vertical="center"/>
    </xf>
    <xf numFmtId="0" fontId="16" fillId="27" borderId="0" xfId="52" applyFont="1" applyFill="1" applyAlignment="1">
      <alignment vertical="center"/>
    </xf>
    <xf numFmtId="0" fontId="57" fillId="27" borderId="0" xfId="80" applyFont="1" applyFill="1" applyAlignment="1">
      <alignment vertical="center"/>
    </xf>
    <xf numFmtId="0" fontId="57" fillId="20" borderId="18" xfId="52" applyFont="1" applyFill="1" applyBorder="1" applyAlignment="1">
      <alignment horizontal="left" vertical="center" wrapText="1"/>
    </xf>
    <xf numFmtId="10" fontId="65" fillId="31" borderId="52" xfId="70" applyNumberFormat="1" applyFont="1" applyFill="1" applyBorder="1" applyAlignment="1" applyProtection="1">
      <alignment horizontal="center" vertical="center"/>
    </xf>
    <xf numFmtId="10" fontId="65" fillId="31" borderId="7" xfId="70" applyNumberFormat="1" applyFont="1" applyFill="1" applyBorder="1" applyAlignment="1" applyProtection="1">
      <alignment horizontal="center" vertical="center"/>
    </xf>
    <xf numFmtId="10" fontId="65" fillId="31" borderId="53" xfId="70" applyNumberFormat="1" applyFont="1" applyFill="1" applyBorder="1" applyAlignment="1" applyProtection="1">
      <alignment horizontal="center" vertical="center"/>
    </xf>
    <xf numFmtId="0" fontId="21" fillId="28" borderId="1" xfId="49" applyFont="1" applyFill="1" applyBorder="1" applyAlignment="1" applyProtection="1">
      <alignment horizontal="left" vertical="center"/>
      <protection locked="0"/>
    </xf>
    <xf numFmtId="0" fontId="40" fillId="28" borderId="8" xfId="49" applyFont="1" applyFill="1" applyBorder="1" applyAlignment="1" applyProtection="1">
      <alignment horizontal="center" vertical="center" wrapText="1"/>
      <protection locked="0"/>
    </xf>
    <xf numFmtId="0" fontId="40" fillId="28" borderId="3" xfId="49" applyFont="1" applyFill="1" applyBorder="1" applyAlignment="1" applyProtection="1">
      <alignment horizontal="center" vertical="center" wrapText="1"/>
      <protection locked="0"/>
    </xf>
    <xf numFmtId="3" fontId="43" fillId="27" borderId="0" xfId="49" applyNumberFormat="1" applyFont="1" applyFill="1" applyAlignment="1">
      <alignment vertical="center" wrapText="1"/>
    </xf>
    <xf numFmtId="171" fontId="40" fillId="37" borderId="70" xfId="49" applyNumberFormat="1" applyFont="1" applyFill="1" applyBorder="1" applyAlignment="1">
      <alignment horizontal="center" vertical="center" wrapText="1"/>
    </xf>
    <xf numFmtId="0" fontId="38" fillId="26" borderId="52" xfId="0" applyFont="1" applyFill="1" applyBorder="1" applyAlignment="1">
      <alignment horizontal="center" vertical="center" wrapText="1"/>
    </xf>
    <xf numFmtId="0" fontId="21" fillId="27" borderId="0" xfId="32" applyFont="1" applyFill="1" applyAlignment="1">
      <alignment vertical="center"/>
    </xf>
    <xf numFmtId="3" fontId="41" fillId="26" borderId="31" xfId="0" applyNumberFormat="1" applyFont="1" applyFill="1" applyBorder="1" applyAlignment="1">
      <alignment horizontal="center" vertical="center"/>
    </xf>
    <xf numFmtId="3" fontId="40" fillId="24" borderId="52" xfId="0" applyNumberFormat="1" applyFont="1" applyFill="1" applyBorder="1" applyAlignment="1">
      <alignment horizontal="center" vertical="center"/>
    </xf>
    <xf numFmtId="0" fontId="14" fillId="26" borderId="52" xfId="0" applyFont="1" applyFill="1" applyBorder="1" applyAlignment="1">
      <alignment horizontal="center" vertical="center"/>
    </xf>
    <xf numFmtId="3" fontId="41" fillId="29" borderId="53" xfId="49" applyNumberFormat="1" applyFont="1" applyFill="1" applyBorder="1" applyAlignment="1">
      <alignment horizontal="right" vertical="center"/>
    </xf>
    <xf numFmtId="0" fontId="41" fillId="26" borderId="52" xfId="0" applyFont="1" applyFill="1" applyBorder="1" applyAlignment="1">
      <alignment horizontal="center" vertical="center"/>
    </xf>
    <xf numFmtId="0" fontId="41" fillId="26" borderId="56" xfId="0" applyFont="1" applyFill="1" applyBorder="1" applyAlignment="1">
      <alignment horizontal="center" vertical="center"/>
    </xf>
    <xf numFmtId="0" fontId="103" fillId="0" borderId="77" xfId="0" applyFont="1" applyBorder="1" applyAlignment="1">
      <alignment horizontal="left" vertical="center" wrapText="1"/>
    </xf>
    <xf numFmtId="172" fontId="104" fillId="26" borderId="77" xfId="49" applyNumberFormat="1" applyFont="1" applyFill="1" applyBorder="1" applyAlignment="1">
      <alignment horizontal="center" vertical="center"/>
    </xf>
    <xf numFmtId="0" fontId="14" fillId="26" borderId="56" xfId="0" applyFont="1" applyFill="1" applyBorder="1" applyAlignment="1">
      <alignment horizontal="center" vertical="center"/>
    </xf>
    <xf numFmtId="0" fontId="41" fillId="26" borderId="52" xfId="0" applyFont="1" applyFill="1" applyBorder="1" applyAlignment="1">
      <alignment horizontal="center" vertical="center" wrapText="1"/>
    </xf>
    <xf numFmtId="3" fontId="40" fillId="24" borderId="56" xfId="0" applyNumberFormat="1" applyFont="1" applyFill="1" applyBorder="1" applyAlignment="1">
      <alignment horizontal="center" vertical="center"/>
    </xf>
    <xf numFmtId="3" fontId="40" fillId="24" borderId="77" xfId="0" applyNumberFormat="1" applyFont="1" applyFill="1" applyBorder="1" applyAlignment="1">
      <alignment horizontal="left" vertical="center" wrapText="1"/>
    </xf>
    <xf numFmtId="168" fontId="40" fillId="24" borderId="77" xfId="0" applyNumberFormat="1" applyFont="1" applyFill="1" applyBorder="1" applyAlignment="1">
      <alignment horizontal="center" vertical="center"/>
    </xf>
    <xf numFmtId="172" fontId="40" fillId="24" borderId="77" xfId="0" applyNumberFormat="1" applyFont="1" applyFill="1" applyBorder="1" applyAlignment="1">
      <alignment horizontal="center" vertical="center"/>
    </xf>
    <xf numFmtId="0" fontId="41" fillId="27" borderId="49" xfId="0" applyFont="1" applyFill="1" applyBorder="1" applyAlignment="1">
      <alignment horizontal="center" vertical="center" wrapText="1"/>
    </xf>
    <xf numFmtId="0" fontId="41" fillId="27" borderId="31" xfId="0" applyFont="1" applyFill="1" applyBorder="1" applyAlignment="1">
      <alignment horizontal="left" vertical="center" wrapText="1"/>
    </xf>
    <xf numFmtId="168" fontId="41" fillId="27" borderId="31" xfId="0" applyNumberFormat="1" applyFont="1" applyFill="1" applyBorder="1" applyAlignment="1">
      <alignment horizontal="center" vertical="center"/>
    </xf>
    <xf numFmtId="172" fontId="41" fillId="27" borderId="31" xfId="0" applyNumberFormat="1" applyFont="1" applyFill="1" applyBorder="1" applyAlignment="1">
      <alignment horizontal="center" vertical="center"/>
    </xf>
    <xf numFmtId="172" fontId="41" fillId="27" borderId="61" xfId="0" applyNumberFormat="1" applyFont="1" applyFill="1" applyBorder="1" applyAlignment="1">
      <alignment horizontal="center" vertical="center"/>
    </xf>
    <xf numFmtId="168" fontId="41" fillId="3" borderId="31" xfId="0" applyNumberFormat="1" applyFont="1" applyFill="1" applyBorder="1" applyAlignment="1" applyProtection="1">
      <alignment horizontal="center" vertical="center"/>
      <protection locked="0"/>
    </xf>
    <xf numFmtId="168" fontId="41" fillId="3" borderId="31" xfId="0" applyNumberFormat="1" applyFont="1" applyFill="1" applyBorder="1" applyAlignment="1" applyProtection="1">
      <alignment horizontal="center" vertical="center" wrapText="1"/>
      <protection locked="0"/>
    </xf>
    <xf numFmtId="168" fontId="41" fillId="26" borderId="31" xfId="0" applyNumberFormat="1" applyFont="1" applyFill="1" applyBorder="1" applyAlignment="1">
      <alignment horizontal="center" vertical="center" wrapText="1"/>
    </xf>
    <xf numFmtId="0" fontId="41" fillId="0" borderId="31" xfId="0" applyFont="1" applyBorder="1" applyAlignment="1">
      <alignment horizontal="left" vertical="center" wrapText="1"/>
    </xf>
    <xf numFmtId="3" fontId="41" fillId="29" borderId="31" xfId="49" applyNumberFormat="1" applyFont="1" applyFill="1" applyBorder="1" applyAlignment="1">
      <alignment horizontal="right" vertical="center"/>
    </xf>
    <xf numFmtId="3" fontId="41" fillId="29" borderId="50" xfId="49" applyNumberFormat="1" applyFont="1" applyFill="1" applyBorder="1" applyAlignment="1">
      <alignment horizontal="right" vertical="center"/>
    </xf>
    <xf numFmtId="0" fontId="16" fillId="0" borderId="0" xfId="32" applyFont="1" applyAlignment="1">
      <alignment vertical="center"/>
    </xf>
    <xf numFmtId="167" fontId="41" fillId="20" borderId="0" xfId="32" applyNumberFormat="1" applyFont="1" applyFill="1" applyAlignment="1">
      <alignment vertical="center"/>
    </xf>
    <xf numFmtId="0" fontId="41" fillId="20" borderId="0" xfId="32" applyFont="1" applyFill="1" applyAlignment="1">
      <alignment vertical="center"/>
    </xf>
    <xf numFmtId="0" fontId="41" fillId="0" borderId="0" xfId="78" applyFont="1" applyAlignment="1">
      <alignment vertical="center"/>
    </xf>
    <xf numFmtId="167" fontId="41" fillId="0" borderId="0" xfId="32" applyNumberFormat="1" applyFont="1" applyAlignment="1">
      <alignment vertical="center"/>
    </xf>
    <xf numFmtId="3" fontId="40" fillId="0" borderId="0" xfId="32" applyNumberFormat="1" applyFont="1" applyAlignment="1">
      <alignment vertical="center"/>
    </xf>
    <xf numFmtId="0" fontId="12" fillId="0" borderId="0" xfId="32" applyFont="1" applyAlignment="1">
      <alignment horizontal="center" vertical="center"/>
    </xf>
    <xf numFmtId="3" fontId="41" fillId="27" borderId="75" xfId="32" applyNumberFormat="1" applyFont="1" applyFill="1" applyBorder="1" applyAlignment="1">
      <alignment horizontal="center" vertical="center"/>
    </xf>
    <xf numFmtId="0" fontId="41" fillId="27" borderId="73" xfId="32" applyFont="1" applyFill="1" applyBorder="1" applyAlignment="1">
      <alignment horizontal="center" vertical="center"/>
    </xf>
    <xf numFmtId="0" fontId="41" fillId="27" borderId="76" xfId="32" applyFont="1" applyFill="1" applyBorder="1" applyAlignment="1">
      <alignment horizontal="center" vertical="center"/>
    </xf>
    <xf numFmtId="0" fontId="41" fillId="27" borderId="7" xfId="32" applyFont="1" applyFill="1" applyBorder="1" applyAlignment="1">
      <alignment horizontal="center" vertical="center"/>
    </xf>
    <xf numFmtId="0" fontId="41" fillId="27" borderId="53" xfId="32" applyFont="1" applyFill="1" applyBorder="1" applyAlignment="1">
      <alignment horizontal="center" vertical="center"/>
    </xf>
    <xf numFmtId="3" fontId="41" fillId="27" borderId="49" xfId="32" applyNumberFormat="1" applyFont="1" applyFill="1" applyBorder="1" applyAlignment="1">
      <alignment horizontal="center" vertical="center"/>
    </xf>
    <xf numFmtId="0" fontId="41" fillId="27" borderId="31" xfId="32" applyFont="1" applyFill="1" applyBorder="1" applyAlignment="1">
      <alignment horizontal="center" vertical="center"/>
    </xf>
    <xf numFmtId="0" fontId="41" fillId="27" borderId="50" xfId="32" applyFont="1" applyFill="1" applyBorder="1" applyAlignment="1">
      <alignment horizontal="center" vertical="center"/>
    </xf>
    <xf numFmtId="0" fontId="47" fillId="22" borderId="21" xfId="32" applyFont="1" applyFill="1" applyBorder="1" applyAlignment="1">
      <alignment horizontal="center" vertical="center"/>
    </xf>
    <xf numFmtId="0" fontId="45" fillId="0" borderId="21" xfId="0" applyFont="1" applyBorder="1" applyAlignment="1">
      <alignment horizontal="center" vertical="center"/>
    </xf>
    <xf numFmtId="9" fontId="45" fillId="27" borderId="21" xfId="70" applyFont="1" applyFill="1" applyBorder="1" applyAlignment="1" applyProtection="1">
      <alignment horizontal="center" vertical="center"/>
    </xf>
    <xf numFmtId="3" fontId="45" fillId="27" borderId="30" xfId="32" applyNumberFormat="1" applyFont="1" applyFill="1" applyBorder="1" applyAlignment="1">
      <alignment horizontal="left" vertical="center" wrapText="1"/>
    </xf>
    <xf numFmtId="3" fontId="57" fillId="0" borderId="57" xfId="55" applyNumberFormat="1" applyFont="1" applyFill="1" applyBorder="1" applyAlignment="1" applyProtection="1">
      <alignment horizontal="center" vertical="center"/>
    </xf>
    <xf numFmtId="3" fontId="57" fillId="0" borderId="56" xfId="55" applyNumberFormat="1" applyFont="1" applyFill="1" applyBorder="1" applyAlignment="1" applyProtection="1">
      <alignment horizontal="center" vertical="center"/>
    </xf>
    <xf numFmtId="3" fontId="57" fillId="0" borderId="77" xfId="55" applyNumberFormat="1" applyFont="1" applyFill="1" applyBorder="1" applyAlignment="1" applyProtection="1">
      <alignment horizontal="center" vertical="center"/>
    </xf>
    <xf numFmtId="3" fontId="57" fillId="0" borderId="78" xfId="55" applyNumberFormat="1" applyFont="1" applyFill="1" applyBorder="1" applyAlignment="1" applyProtection="1">
      <alignment horizontal="center" vertical="center"/>
    </xf>
    <xf numFmtId="3" fontId="57" fillId="3" borderId="77" xfId="32" applyNumberFormat="1" applyFont="1" applyFill="1" applyBorder="1" applyAlignment="1" applyProtection="1">
      <alignment horizontal="center" vertical="center"/>
      <protection locked="0"/>
    </xf>
    <xf numFmtId="3" fontId="57" fillId="3" borderId="78" xfId="32" applyNumberFormat="1" applyFont="1" applyFill="1" applyBorder="1" applyAlignment="1" applyProtection="1">
      <alignment horizontal="center" vertical="center"/>
      <protection locked="0"/>
    </xf>
    <xf numFmtId="3" fontId="57" fillId="3" borderId="21" xfId="32" applyNumberFormat="1" applyFont="1" applyFill="1" applyBorder="1" applyAlignment="1" applyProtection="1">
      <alignment horizontal="center" vertical="center" wrapText="1"/>
      <protection locked="0"/>
    </xf>
    <xf numFmtId="3" fontId="126" fillId="0" borderId="21" xfId="32" applyNumberFormat="1" applyFont="1" applyBorder="1" applyAlignment="1">
      <alignment horizontal="left" vertical="center" wrapText="1"/>
    </xf>
    <xf numFmtId="0" fontId="45" fillId="22" borderId="21" xfId="32" applyFont="1" applyFill="1" applyBorder="1" applyAlignment="1">
      <alignment horizontal="center" vertical="center"/>
    </xf>
    <xf numFmtId="0" fontId="45" fillId="0" borderId="21" xfId="32" applyFont="1" applyBorder="1" applyAlignment="1">
      <alignment horizontal="center" vertical="center"/>
    </xf>
    <xf numFmtId="3" fontId="45" fillId="27" borderId="21" xfId="32" applyNumberFormat="1" applyFont="1" applyFill="1" applyBorder="1" applyAlignment="1">
      <alignment horizontal="left" vertical="center" wrapText="1"/>
    </xf>
    <xf numFmtId="3" fontId="42" fillId="43" borderId="77" xfId="37" applyFont="1" applyFill="1" applyBorder="1" applyAlignment="1" applyProtection="1">
      <alignment horizontal="center" vertical="center" wrapText="1"/>
    </xf>
    <xf numFmtId="3" fontId="42" fillId="43" borderId="57" xfId="37" applyFont="1" applyFill="1" applyBorder="1" applyAlignment="1" applyProtection="1">
      <alignment horizontal="center" vertical="center" wrapText="1"/>
    </xf>
    <xf numFmtId="0" fontId="40" fillId="0" borderId="76" xfId="49" applyFont="1" applyBorder="1" applyAlignment="1">
      <alignment horizontal="left" vertical="center" wrapText="1"/>
    </xf>
    <xf numFmtId="0" fontId="40" fillId="0" borderId="53" xfId="49" applyFont="1" applyBorder="1" applyAlignment="1">
      <alignment horizontal="left" vertical="center" wrapText="1"/>
    </xf>
    <xf numFmtId="3" fontId="12" fillId="3" borderId="49" xfId="32" applyNumberFormat="1" applyFont="1" applyFill="1" applyBorder="1" applyAlignment="1" applyProtection="1">
      <alignment horizontal="center" vertical="center"/>
      <protection locked="0"/>
    </xf>
    <xf numFmtId="174" fontId="41" fillId="0" borderId="4" xfId="37" applyNumberFormat="1" applyFont="1" applyBorder="1" applyProtection="1">
      <alignment horizontal="right" vertical="center" wrapText="1"/>
    </xf>
    <xf numFmtId="174" fontId="41" fillId="0" borderId="31" xfId="28" applyNumberFormat="1" applyFont="1" applyFill="1" applyBorder="1">
      <alignment horizontal="right" vertical="center" wrapText="1"/>
    </xf>
    <xf numFmtId="174" fontId="41" fillId="0" borderId="50" xfId="28" applyNumberFormat="1" applyFont="1" applyFill="1" applyBorder="1">
      <alignment horizontal="right" vertical="center" wrapText="1"/>
    </xf>
    <xf numFmtId="174" fontId="41" fillId="0" borderId="31" xfId="37" applyNumberFormat="1" applyFont="1" applyBorder="1" applyProtection="1">
      <alignment horizontal="right" vertical="center" wrapText="1"/>
    </xf>
    <xf numFmtId="3" fontId="12" fillId="26" borderId="49" xfId="32" applyNumberFormat="1" applyFont="1" applyFill="1" applyBorder="1" applyAlignment="1">
      <alignment horizontal="center" vertical="center"/>
    </xf>
    <xf numFmtId="174" fontId="41" fillId="26" borderId="31" xfId="37" applyNumberFormat="1" applyFont="1" applyFill="1" applyBorder="1" applyProtection="1">
      <alignment horizontal="right" vertical="center" wrapText="1"/>
    </xf>
    <xf numFmtId="174" fontId="41" fillId="26" borderId="31" xfId="28" applyNumberFormat="1" applyFont="1" applyFill="1" applyBorder="1">
      <alignment horizontal="right" vertical="center" wrapText="1"/>
    </xf>
    <xf numFmtId="174" fontId="41" fillId="26" borderId="50" xfId="28" applyNumberFormat="1" applyFont="1" applyFill="1" applyBorder="1">
      <alignment horizontal="right" vertical="center" wrapText="1"/>
    </xf>
    <xf numFmtId="49" fontId="12" fillId="0" borderId="17"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21" xfId="0" applyNumberFormat="1" applyFont="1" applyBorder="1" applyAlignment="1">
      <alignment horizontal="center" vertical="center"/>
    </xf>
    <xf numFmtId="49" fontId="41" fillId="0" borderId="37" xfId="27" applyFont="1" applyFill="1" applyBorder="1" applyAlignment="1">
      <alignment vertical="center" wrapText="1"/>
    </xf>
    <xf numFmtId="49" fontId="12" fillId="0" borderId="39" xfId="0" applyNumberFormat="1" applyFont="1" applyBorder="1" applyAlignment="1">
      <alignment horizontal="center" vertical="center"/>
    </xf>
    <xf numFmtId="49" fontId="41" fillId="0" borderId="6" xfId="27" applyFont="1" applyFill="1" applyBorder="1" applyAlignment="1">
      <alignment vertical="center" wrapText="1"/>
    </xf>
    <xf numFmtId="49" fontId="41" fillId="0" borderId="15" xfId="27" applyFont="1" applyFill="1" applyBorder="1" applyAlignment="1">
      <alignment vertical="center" wrapText="1"/>
    </xf>
    <xf numFmtId="49" fontId="41" fillId="0" borderId="18" xfId="27" applyFont="1" applyFill="1" applyBorder="1" applyAlignment="1">
      <alignment vertical="center" wrapText="1"/>
    </xf>
    <xf numFmtId="0" fontId="50" fillId="27" borderId="0" xfId="49" applyFont="1" applyFill="1" applyAlignment="1">
      <alignment vertical="center" wrapText="1"/>
    </xf>
    <xf numFmtId="0" fontId="50" fillId="27" borderId="0" xfId="49" applyFont="1" applyFill="1" applyAlignment="1">
      <alignment vertical="center"/>
    </xf>
    <xf numFmtId="3" fontId="50" fillId="27" borderId="0" xfId="49" applyNumberFormat="1" applyFont="1" applyFill="1" applyAlignment="1">
      <alignment vertical="center" wrapText="1"/>
    </xf>
    <xf numFmtId="3" fontId="50" fillId="27" borderId="0" xfId="49" applyNumberFormat="1" applyFont="1" applyFill="1" applyAlignment="1">
      <alignment vertical="center"/>
    </xf>
    <xf numFmtId="3" fontId="43" fillId="27" borderId="0" xfId="49" applyNumberFormat="1" applyFont="1" applyFill="1" applyAlignment="1">
      <alignment vertical="center"/>
    </xf>
    <xf numFmtId="0" fontId="41" fillId="27" borderId="5" xfId="49" applyFont="1" applyFill="1" applyBorder="1" applyAlignment="1">
      <alignment horizontal="center" vertical="center"/>
    </xf>
    <xf numFmtId="9" fontId="41" fillId="26" borderId="5" xfId="49" applyNumberFormat="1" applyFont="1" applyFill="1" applyBorder="1" applyAlignment="1">
      <alignment horizontal="center" vertical="center"/>
    </xf>
    <xf numFmtId="49" fontId="41" fillId="26" borderId="5" xfId="49" applyNumberFormat="1" applyFont="1" applyFill="1" applyBorder="1" applyAlignment="1">
      <alignment horizontal="left" vertical="center" wrapText="1"/>
    </xf>
    <xf numFmtId="3" fontId="12" fillId="0" borderId="49" xfId="49" applyNumberFormat="1" applyFont="1" applyBorder="1" applyAlignment="1">
      <alignment horizontal="center" vertical="center" wrapText="1"/>
    </xf>
    <xf numFmtId="3" fontId="12" fillId="0" borderId="31" xfId="49" applyNumberFormat="1" applyFont="1" applyBorder="1" applyAlignment="1">
      <alignment horizontal="center" vertical="center" wrapText="1"/>
    </xf>
    <xf numFmtId="3" fontId="12" fillId="0" borderId="50" xfId="49" applyNumberFormat="1" applyFont="1" applyBorder="1" applyAlignment="1">
      <alignment horizontal="center" vertical="center" wrapText="1"/>
    </xf>
    <xf numFmtId="3" fontId="42" fillId="26" borderId="130" xfId="49" applyNumberFormat="1" applyFont="1" applyFill="1" applyBorder="1" applyAlignment="1">
      <alignment horizontal="center" vertical="center" wrapText="1"/>
    </xf>
    <xf numFmtId="3" fontId="42" fillId="26" borderId="151" xfId="49" applyNumberFormat="1" applyFont="1" applyFill="1" applyBorder="1" applyAlignment="1">
      <alignment horizontal="center" vertical="center" wrapText="1"/>
    </xf>
    <xf numFmtId="3" fontId="42" fillId="26" borderId="117" xfId="49" applyNumberFormat="1" applyFont="1" applyFill="1" applyBorder="1" applyAlignment="1">
      <alignment horizontal="center" vertical="center" wrapText="1"/>
    </xf>
    <xf numFmtId="3" fontId="42" fillId="26" borderId="137" xfId="49" applyNumberFormat="1" applyFont="1" applyFill="1" applyBorder="1" applyAlignment="1">
      <alignment horizontal="center" vertical="center" wrapText="1"/>
    </xf>
    <xf numFmtId="9" fontId="41" fillId="26" borderId="5" xfId="49" applyNumberFormat="1" applyFont="1" applyFill="1" applyBorder="1" applyAlignment="1">
      <alignment horizontal="left" vertical="center"/>
    </xf>
    <xf numFmtId="0" fontId="42" fillId="27" borderId="50" xfId="49" applyFont="1" applyFill="1" applyBorder="1" applyAlignment="1">
      <alignment horizontal="left" vertical="center" wrapText="1"/>
    </xf>
    <xf numFmtId="0" fontId="42" fillId="0" borderId="50" xfId="49" applyFont="1" applyBorder="1" applyAlignment="1">
      <alignment horizontal="left" vertical="center" wrapText="1"/>
    </xf>
    <xf numFmtId="0" fontId="42" fillId="0" borderId="53" xfId="49" applyFont="1" applyBorder="1" applyAlignment="1">
      <alignment horizontal="left" vertical="center" wrapText="1"/>
    </xf>
    <xf numFmtId="3" fontId="12" fillId="0" borderId="53" xfId="32" applyNumberFormat="1" applyFont="1" applyBorder="1" applyAlignment="1">
      <alignment horizontal="left" vertical="center"/>
    </xf>
    <xf numFmtId="49" fontId="42" fillId="27" borderId="30" xfId="49" applyNumberFormat="1" applyFont="1" applyFill="1" applyBorder="1" applyAlignment="1">
      <alignment horizontal="left" vertical="center" wrapText="1"/>
    </xf>
    <xf numFmtId="3" fontId="12" fillId="3" borderId="57" xfId="32" applyNumberFormat="1" applyFont="1" applyFill="1" applyBorder="1" applyAlignment="1" applyProtection="1">
      <alignment horizontal="center" vertical="center"/>
      <protection locked="0"/>
    </xf>
    <xf numFmtId="3" fontId="42" fillId="28" borderId="79" xfId="49" applyNumberFormat="1" applyFont="1" applyFill="1" applyBorder="1" applyAlignment="1" applyProtection="1">
      <alignment horizontal="center" vertical="center" wrapText="1"/>
      <protection locked="0"/>
    </xf>
    <xf numFmtId="3" fontId="42" fillId="28" borderId="28" xfId="49" applyNumberFormat="1" applyFont="1" applyFill="1" applyBorder="1" applyAlignment="1" applyProtection="1">
      <alignment horizontal="center" vertical="center" wrapText="1"/>
      <protection locked="0"/>
    </xf>
    <xf numFmtId="3" fontId="42" fillId="0" borderId="30" xfId="49" applyNumberFormat="1" applyFont="1" applyBorder="1" applyAlignment="1">
      <alignment horizontal="center" vertical="center" wrapText="1"/>
    </xf>
    <xf numFmtId="3" fontId="42" fillId="28" borderId="19" xfId="49" applyNumberFormat="1" applyFont="1" applyFill="1" applyBorder="1" applyAlignment="1" applyProtection="1">
      <alignment horizontal="center" vertical="center" wrapText="1"/>
      <protection locked="0"/>
    </xf>
    <xf numFmtId="3" fontId="42" fillId="0" borderId="79" xfId="49" applyNumberFormat="1" applyFont="1" applyBorder="1" applyAlignment="1">
      <alignment horizontal="center" vertical="center" wrapText="1"/>
    </xf>
    <xf numFmtId="3" fontId="42" fillId="0" borderId="28" xfId="49" applyNumberFormat="1" applyFont="1" applyBorder="1" applyAlignment="1">
      <alignment horizontal="center" vertical="center" wrapText="1"/>
    </xf>
    <xf numFmtId="3" fontId="12" fillId="0" borderId="21" xfId="32" applyNumberFormat="1" applyFont="1" applyBorder="1" applyAlignment="1">
      <alignment horizontal="center" vertical="center"/>
    </xf>
    <xf numFmtId="3" fontId="12" fillId="0" borderId="79" xfId="32" applyNumberFormat="1" applyFont="1" applyBorder="1" applyAlignment="1">
      <alignment horizontal="center" vertical="center"/>
    </xf>
    <xf numFmtId="3" fontId="12" fillId="0" borderId="77" xfId="32" applyNumberFormat="1" applyFont="1" applyBorder="1" applyAlignment="1">
      <alignment horizontal="center" vertical="center"/>
    </xf>
    <xf numFmtId="3" fontId="12" fillId="0" borderId="57" xfId="32" applyNumberFormat="1" applyFont="1" applyBorder="1" applyAlignment="1">
      <alignment horizontal="center" vertical="center"/>
    </xf>
    <xf numFmtId="0" fontId="81" fillId="0" borderId="0" xfId="32" applyFont="1" applyAlignment="1">
      <alignment horizontal="right" vertical="center"/>
    </xf>
    <xf numFmtId="3" fontId="45" fillId="0" borderId="52" xfId="32" applyNumberFormat="1" applyFont="1" applyBorder="1" applyAlignment="1">
      <alignment horizontal="center" vertical="center" wrapText="1"/>
    </xf>
    <xf numFmtId="3" fontId="45" fillId="0" borderId="7" xfId="32" applyNumberFormat="1" applyFont="1" applyBorder="1" applyAlignment="1">
      <alignment horizontal="center" vertical="center" wrapText="1"/>
    </xf>
    <xf numFmtId="3" fontId="45" fillId="0" borderId="15" xfId="32" applyNumberFormat="1" applyFont="1" applyBorder="1" applyAlignment="1">
      <alignment horizontal="center" vertical="center" wrapText="1"/>
    </xf>
    <xf numFmtId="3" fontId="40" fillId="0" borderId="52" xfId="32" applyNumberFormat="1" applyFont="1" applyBorder="1" applyAlignment="1">
      <alignment horizontal="center" vertical="center" wrapText="1"/>
    </xf>
    <xf numFmtId="3" fontId="40" fillId="0" borderId="7" xfId="32" applyNumberFormat="1" applyFont="1" applyBorder="1" applyAlignment="1">
      <alignment horizontal="center" vertical="center" wrapText="1"/>
    </xf>
    <xf numFmtId="3" fontId="40" fillId="0" borderId="53" xfId="32" applyNumberFormat="1" applyFont="1" applyBorder="1" applyAlignment="1">
      <alignment horizontal="center" vertical="center" wrapText="1"/>
    </xf>
    <xf numFmtId="3" fontId="45" fillId="26" borderId="52" xfId="32" applyNumberFormat="1" applyFont="1" applyFill="1" applyBorder="1" applyAlignment="1">
      <alignment horizontal="center" vertical="center" wrapText="1"/>
    </xf>
    <xf numFmtId="3" fontId="45" fillId="26" borderId="32" xfId="32" applyNumberFormat="1" applyFont="1" applyFill="1" applyBorder="1" applyAlignment="1">
      <alignment horizontal="center" vertical="center" wrapText="1"/>
    </xf>
    <xf numFmtId="3" fontId="45" fillId="26" borderId="15" xfId="32" applyNumberFormat="1" applyFont="1" applyFill="1" applyBorder="1" applyAlignment="1">
      <alignment horizontal="center" vertical="center" wrapText="1"/>
    </xf>
    <xf numFmtId="3" fontId="45" fillId="26" borderId="7" xfId="32" applyNumberFormat="1" applyFont="1" applyFill="1" applyBorder="1" applyAlignment="1">
      <alignment horizontal="center" vertical="center" wrapText="1"/>
    </xf>
    <xf numFmtId="3" fontId="41" fillId="26" borderId="52" xfId="0" applyNumberFormat="1" applyFont="1" applyFill="1" applyBorder="1" applyAlignment="1">
      <alignment horizontal="center" vertical="center"/>
    </xf>
    <xf numFmtId="0" fontId="14" fillId="26" borderId="54" xfId="0" applyFont="1" applyFill="1" applyBorder="1" applyAlignment="1">
      <alignment horizontal="center" vertical="center"/>
    </xf>
    <xf numFmtId="168" fontId="41" fillId="29" borderId="63" xfId="49" applyNumberFormat="1" applyFont="1" applyFill="1" applyBorder="1" applyAlignment="1">
      <alignment horizontal="right" vertical="center"/>
    </xf>
    <xf numFmtId="3" fontId="41" fillId="29" borderId="63" xfId="49" applyNumberFormat="1" applyFont="1" applyFill="1" applyBorder="1" applyAlignment="1">
      <alignment horizontal="right" vertical="center"/>
    </xf>
    <xf numFmtId="172" fontId="104" fillId="26" borderId="71" xfId="49" applyNumberFormat="1" applyFont="1" applyFill="1" applyBorder="1" applyAlignment="1">
      <alignment horizontal="center" vertical="center"/>
    </xf>
    <xf numFmtId="3" fontId="41" fillId="26" borderId="49" xfId="0" applyNumberFormat="1" applyFont="1" applyFill="1" applyBorder="1" applyAlignment="1">
      <alignment horizontal="center" vertical="center"/>
    </xf>
    <xf numFmtId="3" fontId="41" fillId="26" borderId="50" xfId="0" applyNumberFormat="1" applyFont="1" applyFill="1" applyBorder="1" applyAlignment="1">
      <alignment horizontal="center" vertical="center"/>
    </xf>
    <xf numFmtId="49" fontId="41" fillId="26" borderId="66" xfId="49" applyNumberFormat="1" applyFont="1" applyFill="1" applyBorder="1" applyAlignment="1">
      <alignment horizontal="left" vertical="center" wrapText="1"/>
    </xf>
    <xf numFmtId="3" fontId="41" fillId="0" borderId="16" xfId="49" applyNumberFormat="1" applyFont="1" applyBorder="1" applyAlignment="1">
      <alignment horizontal="center" vertical="center" wrapText="1"/>
    </xf>
    <xf numFmtId="0" fontId="41" fillId="0" borderId="68" xfId="49" applyFont="1" applyBorder="1" applyAlignment="1">
      <alignment horizontal="left" vertical="center" wrapText="1"/>
    </xf>
    <xf numFmtId="49" fontId="41" fillId="26" borderId="52" xfId="49" applyNumberFormat="1" applyFont="1" applyFill="1" applyBorder="1" applyAlignment="1">
      <alignment horizontal="left" vertical="center" wrapText="1"/>
    </xf>
    <xf numFmtId="0" fontId="41" fillId="0" borderId="53" xfId="31" applyFont="1" applyBorder="1" applyAlignment="1">
      <alignment horizontal="left" vertical="center" wrapText="1"/>
    </xf>
    <xf numFmtId="3" fontId="41" fillId="0" borderId="13" xfId="49" applyNumberFormat="1" applyFont="1" applyBorder="1" applyAlignment="1">
      <alignment horizontal="center" vertical="center" wrapText="1"/>
    </xf>
    <xf numFmtId="3" fontId="41" fillId="0" borderId="0" xfId="49" applyNumberFormat="1" applyFont="1" applyAlignment="1">
      <alignment horizontal="center" vertical="center" wrapText="1"/>
    </xf>
    <xf numFmtId="168" fontId="41" fillId="26" borderId="95" xfId="32" applyNumberFormat="1" applyFont="1" applyFill="1" applyBorder="1" applyAlignment="1">
      <alignment horizontal="center" vertical="center"/>
    </xf>
    <xf numFmtId="3" fontId="41" fillId="26" borderId="62" xfId="49" applyNumberFormat="1" applyFont="1" applyFill="1" applyBorder="1" applyAlignment="1">
      <alignment horizontal="center" vertical="center" wrapText="1"/>
    </xf>
    <xf numFmtId="3" fontId="41" fillId="26" borderId="53" xfId="49" applyNumberFormat="1" applyFont="1" applyFill="1" applyBorder="1" applyAlignment="1">
      <alignment horizontal="center" vertical="center" wrapText="1"/>
    </xf>
    <xf numFmtId="49" fontId="41" fillId="27" borderId="66" xfId="49" applyNumberFormat="1" applyFont="1" applyFill="1" applyBorder="1" applyAlignment="1">
      <alignment horizontal="left" vertical="center" wrapText="1"/>
    </xf>
    <xf numFmtId="3" fontId="41" fillId="0" borderId="37" xfId="49" applyNumberFormat="1" applyFont="1" applyBorder="1" applyAlignment="1">
      <alignment horizontal="center" vertical="center" wrapText="1"/>
    </xf>
    <xf numFmtId="9" fontId="41" fillId="0" borderId="63" xfId="1" applyFont="1" applyFill="1" applyBorder="1" applyAlignment="1" applyProtection="1">
      <alignment horizontal="center" vertical="center" wrapText="1"/>
    </xf>
    <xf numFmtId="3" fontId="41" fillId="0" borderId="69" xfId="49" applyNumberFormat="1" applyFont="1" applyBorder="1" applyAlignment="1">
      <alignment horizontal="center" vertical="center" wrapText="1"/>
    </xf>
    <xf numFmtId="9" fontId="41" fillId="0" borderId="69" xfId="1" applyFont="1" applyFill="1" applyBorder="1" applyAlignment="1" applyProtection="1">
      <alignment horizontal="center" vertical="center" wrapText="1"/>
    </xf>
    <xf numFmtId="9" fontId="41" fillId="0" borderId="37" xfId="1" applyFont="1" applyFill="1" applyBorder="1" applyAlignment="1" applyProtection="1">
      <alignment horizontal="center" vertical="center" wrapText="1"/>
    </xf>
    <xf numFmtId="9" fontId="41" fillId="0" borderId="18" xfId="1" applyFont="1" applyFill="1" applyBorder="1" applyAlignment="1" applyProtection="1">
      <alignment horizontal="center" vertical="center" wrapText="1"/>
    </xf>
    <xf numFmtId="3" fontId="41" fillId="28" borderId="7" xfId="32" applyNumberFormat="1" applyFont="1" applyFill="1" applyBorder="1" applyAlignment="1" applyProtection="1">
      <alignment horizontal="center" vertical="center"/>
      <protection locked="0"/>
    </xf>
    <xf numFmtId="3" fontId="41" fillId="28" borderId="77" xfId="32" applyNumberFormat="1" applyFont="1" applyFill="1" applyBorder="1" applyAlignment="1" applyProtection="1">
      <alignment horizontal="center" vertical="center"/>
      <protection locked="0"/>
    </xf>
    <xf numFmtId="3" fontId="41" fillId="28" borderId="31" xfId="32" applyNumberFormat="1" applyFont="1" applyFill="1" applyBorder="1" applyAlignment="1" applyProtection="1">
      <alignment horizontal="center" vertical="center"/>
      <protection locked="0"/>
    </xf>
    <xf numFmtId="3" fontId="41" fillId="28" borderId="71" xfId="32" applyNumberFormat="1" applyFont="1" applyFill="1" applyBorder="1" applyAlignment="1" applyProtection="1">
      <alignment horizontal="center" vertical="center"/>
      <protection locked="0"/>
    </xf>
    <xf numFmtId="3" fontId="41" fillId="28" borderId="61" xfId="32" applyNumberFormat="1" applyFont="1" applyFill="1" applyBorder="1" applyAlignment="1" applyProtection="1">
      <alignment horizontal="center" vertical="center"/>
      <protection locked="0"/>
    </xf>
    <xf numFmtId="3" fontId="42" fillId="26" borderId="49" xfId="32" applyNumberFormat="1" applyFont="1" applyFill="1" applyBorder="1" applyAlignment="1">
      <alignment horizontal="center" vertical="center"/>
    </xf>
    <xf numFmtId="3" fontId="42" fillId="26" borderId="54" xfId="32" applyNumberFormat="1" applyFont="1" applyFill="1" applyBorder="1" applyAlignment="1">
      <alignment horizontal="center" vertical="center"/>
    </xf>
    <xf numFmtId="10" fontId="41" fillId="28" borderId="7" xfId="70" applyNumberFormat="1" applyFont="1" applyFill="1" applyBorder="1" applyAlignment="1" applyProtection="1">
      <alignment horizontal="center" vertical="center"/>
      <protection locked="0"/>
    </xf>
    <xf numFmtId="10" fontId="41" fillId="28" borderId="53" xfId="70" applyNumberFormat="1" applyFont="1" applyFill="1" applyBorder="1" applyAlignment="1" applyProtection="1">
      <alignment horizontal="center" vertical="center"/>
      <protection locked="0"/>
    </xf>
    <xf numFmtId="10" fontId="41" fillId="28" borderId="77" xfId="70" applyNumberFormat="1" applyFont="1" applyFill="1" applyBorder="1" applyAlignment="1" applyProtection="1">
      <alignment horizontal="center" vertical="center"/>
      <protection locked="0"/>
    </xf>
    <xf numFmtId="10" fontId="41" fillId="28" borderId="57" xfId="70" applyNumberFormat="1" applyFont="1" applyFill="1" applyBorder="1" applyAlignment="1" applyProtection="1">
      <alignment horizontal="center" vertical="center"/>
      <protection locked="0"/>
    </xf>
    <xf numFmtId="0" fontId="65" fillId="20" borderId="17" xfId="52" applyFont="1" applyFill="1" applyBorder="1" applyAlignment="1">
      <alignment horizontal="left" vertical="center" wrapText="1"/>
    </xf>
    <xf numFmtId="49" fontId="65" fillId="27" borderId="17" xfId="52" applyNumberFormat="1" applyFont="1" applyFill="1" applyBorder="1" applyAlignment="1">
      <alignment horizontal="center" vertical="center" wrapText="1"/>
    </xf>
    <xf numFmtId="49" fontId="65" fillId="31" borderId="17" xfId="52" applyNumberFormat="1" applyFont="1" applyFill="1" applyBorder="1" applyAlignment="1">
      <alignment horizontal="center" vertical="center" wrapText="1"/>
    </xf>
    <xf numFmtId="3" fontId="65" fillId="28" borderId="50" xfId="57" applyNumberFormat="1" applyFont="1" applyFill="1" applyBorder="1" applyAlignment="1" applyProtection="1">
      <alignment horizontal="center" vertical="center"/>
      <protection locked="0"/>
    </xf>
    <xf numFmtId="168" fontId="40" fillId="20" borderId="49" xfId="32" applyNumberFormat="1" applyFont="1" applyFill="1" applyBorder="1" applyAlignment="1">
      <alignment horizontal="center" vertical="center"/>
    </xf>
    <xf numFmtId="168" fontId="40" fillId="20" borderId="31" xfId="32" applyNumberFormat="1" applyFont="1" applyFill="1" applyBorder="1" applyAlignment="1">
      <alignment horizontal="center" vertical="center"/>
    </xf>
    <xf numFmtId="168" fontId="40" fillId="20" borderId="50" xfId="32" applyNumberFormat="1" applyFont="1" applyFill="1" applyBorder="1" applyAlignment="1">
      <alignment horizontal="center" vertical="center"/>
    </xf>
    <xf numFmtId="168" fontId="45" fillId="0" borderId="52" xfId="32" applyNumberFormat="1" applyFont="1" applyBorder="1" applyAlignment="1">
      <alignment horizontal="center" vertical="center"/>
    </xf>
    <xf numFmtId="168" fontId="45" fillId="0" borderId="7" xfId="32" applyNumberFormat="1" applyFont="1" applyBorder="1" applyAlignment="1">
      <alignment horizontal="center" vertical="center"/>
    </xf>
    <xf numFmtId="168" fontId="45" fillId="0" borderId="53" xfId="32" applyNumberFormat="1" applyFont="1" applyBorder="1" applyAlignment="1">
      <alignment horizontal="center" vertical="center"/>
    </xf>
    <xf numFmtId="168" fontId="40" fillId="0" borderId="52" xfId="32" applyNumberFormat="1" applyFont="1" applyBorder="1" applyAlignment="1">
      <alignment horizontal="center" vertical="center"/>
    </xf>
    <xf numFmtId="168" fontId="40" fillId="0" borderId="7" xfId="32" applyNumberFormat="1" applyFont="1" applyBorder="1" applyAlignment="1">
      <alignment horizontal="center" vertical="center"/>
    </xf>
    <xf numFmtId="168" fontId="40" fillId="0" borderId="53" xfId="32" applyNumberFormat="1" applyFont="1" applyBorder="1" applyAlignment="1">
      <alignment horizontal="center" vertical="center"/>
    </xf>
    <xf numFmtId="168" fontId="45" fillId="20" borderId="52" xfId="32" applyNumberFormat="1" applyFont="1" applyFill="1" applyBorder="1" applyAlignment="1">
      <alignment horizontal="center" vertical="center"/>
    </xf>
    <xf numFmtId="168" fontId="45" fillId="20" borderId="7" xfId="32" applyNumberFormat="1" applyFont="1" applyFill="1" applyBorder="1" applyAlignment="1">
      <alignment horizontal="center" vertical="center"/>
    </xf>
    <xf numFmtId="168" fontId="45" fillId="20" borderId="53" xfId="32" applyNumberFormat="1" applyFont="1" applyFill="1" applyBorder="1" applyAlignment="1">
      <alignment horizontal="center" vertical="center"/>
    </xf>
    <xf numFmtId="168" fontId="40" fillId="20" borderId="52" xfId="32" applyNumberFormat="1" applyFont="1" applyFill="1" applyBorder="1" applyAlignment="1">
      <alignment horizontal="center" vertical="center"/>
    </xf>
    <xf numFmtId="168" fontId="40" fillId="20" borderId="7" xfId="32" applyNumberFormat="1" applyFont="1" applyFill="1" applyBorder="1" applyAlignment="1">
      <alignment horizontal="center" vertical="center"/>
    </xf>
    <xf numFmtId="168" fontId="40" fillId="20" borderId="53" xfId="32" applyNumberFormat="1" applyFont="1" applyFill="1" applyBorder="1" applyAlignment="1">
      <alignment horizontal="center" vertical="center"/>
    </xf>
    <xf numFmtId="168" fontId="40" fillId="20" borderId="54" xfId="32" applyNumberFormat="1" applyFont="1" applyFill="1" applyBorder="1" applyAlignment="1">
      <alignment horizontal="center" vertical="center"/>
    </xf>
    <xf numFmtId="168" fontId="40" fillId="20" borderId="63" xfId="32" applyNumberFormat="1" applyFont="1" applyFill="1" applyBorder="1" applyAlignment="1">
      <alignment horizontal="center" vertical="center"/>
    </xf>
    <xf numFmtId="168" fontId="40" fillId="20" borderId="55" xfId="32" applyNumberFormat="1" applyFont="1" applyFill="1" applyBorder="1" applyAlignment="1">
      <alignment horizontal="center" vertical="center"/>
    </xf>
    <xf numFmtId="168" fontId="47" fillId="26" borderId="49" xfId="32" applyNumberFormat="1" applyFont="1" applyFill="1" applyBorder="1" applyAlignment="1">
      <alignment horizontal="center" vertical="center"/>
    </xf>
    <xf numFmtId="168" fontId="47" fillId="26" borderId="31" xfId="32" applyNumberFormat="1" applyFont="1" applyFill="1" applyBorder="1" applyAlignment="1">
      <alignment horizontal="center" vertical="center"/>
    </xf>
    <xf numFmtId="168" fontId="47" fillId="26" borderId="50" xfId="32" applyNumberFormat="1" applyFont="1" applyFill="1" applyBorder="1" applyAlignment="1">
      <alignment horizontal="center" vertical="center"/>
    </xf>
    <xf numFmtId="168" fontId="45" fillId="26" borderId="52" xfId="32" applyNumberFormat="1" applyFont="1" applyFill="1" applyBorder="1" applyAlignment="1">
      <alignment horizontal="center" vertical="center"/>
    </xf>
    <xf numFmtId="168" fontId="45" fillId="26" borderId="7" xfId="32" applyNumberFormat="1" applyFont="1" applyFill="1" applyBorder="1" applyAlignment="1">
      <alignment horizontal="center" vertical="center"/>
    </xf>
    <xf numFmtId="168" fontId="45" fillId="26" borderId="53" xfId="32" applyNumberFormat="1" applyFont="1" applyFill="1" applyBorder="1" applyAlignment="1">
      <alignment horizontal="center" vertical="center"/>
    </xf>
    <xf numFmtId="168" fontId="45" fillId="26" borderId="15" xfId="32" applyNumberFormat="1" applyFont="1" applyFill="1" applyBorder="1" applyAlignment="1">
      <alignment horizontal="center" vertical="center"/>
    </xf>
    <xf numFmtId="168" fontId="47" fillId="26" borderId="52" xfId="32" applyNumberFormat="1" applyFont="1" applyFill="1" applyBorder="1" applyAlignment="1">
      <alignment horizontal="center" vertical="center"/>
    </xf>
    <xf numFmtId="168" fontId="47" fillId="26" borderId="7" xfId="32" applyNumberFormat="1" applyFont="1" applyFill="1" applyBorder="1" applyAlignment="1">
      <alignment horizontal="center" vertical="center"/>
    </xf>
    <xf numFmtId="168" fontId="47" fillId="26" borderId="53" xfId="32" applyNumberFormat="1" applyFont="1" applyFill="1" applyBorder="1" applyAlignment="1">
      <alignment horizontal="center" vertical="center"/>
    </xf>
    <xf numFmtId="168" fontId="47" fillId="26" borderId="54" xfId="32" applyNumberFormat="1" applyFont="1" applyFill="1" applyBorder="1" applyAlignment="1">
      <alignment horizontal="center" vertical="center"/>
    </xf>
    <xf numFmtId="168" fontId="47" fillId="26" borderId="63" xfId="32" applyNumberFormat="1" applyFont="1" applyFill="1" applyBorder="1" applyAlignment="1">
      <alignment horizontal="center" vertical="center"/>
    </xf>
    <xf numFmtId="168" fontId="47" fillId="26" borderId="55" xfId="32" applyNumberFormat="1" applyFont="1" applyFill="1" applyBorder="1" applyAlignment="1">
      <alignment horizontal="center" vertical="center"/>
    </xf>
    <xf numFmtId="3" fontId="45" fillId="0" borderId="55" xfId="59" applyNumberFormat="1" applyFont="1" applyFill="1" applyBorder="1" applyAlignment="1" applyProtection="1">
      <alignment horizontal="center" vertical="center"/>
    </xf>
    <xf numFmtId="3" fontId="47" fillId="0" borderId="57" xfId="0" applyNumberFormat="1" applyFont="1" applyBorder="1" applyAlignment="1">
      <alignment horizontal="center" vertical="center"/>
    </xf>
    <xf numFmtId="169" fontId="42" fillId="26" borderId="133" xfId="49" applyNumberFormat="1" applyFont="1" applyFill="1" applyBorder="1" applyAlignment="1">
      <alignment horizontal="center" vertical="center" wrapText="1"/>
    </xf>
    <xf numFmtId="9" fontId="42" fillId="26" borderId="133" xfId="49" applyNumberFormat="1" applyFont="1" applyFill="1" applyBorder="1" applyAlignment="1">
      <alignment horizontal="center" vertical="center" wrapText="1"/>
    </xf>
    <xf numFmtId="169" fontId="42" fillId="26" borderId="93" xfId="49" applyNumberFormat="1" applyFont="1" applyFill="1" applyBorder="1" applyAlignment="1">
      <alignment horizontal="center" vertical="center" wrapText="1"/>
    </xf>
    <xf numFmtId="9" fontId="42" fillId="26" borderId="93" xfId="49" applyNumberFormat="1" applyFont="1" applyFill="1" applyBorder="1" applyAlignment="1">
      <alignment horizontal="center" vertical="center" wrapText="1"/>
    </xf>
    <xf numFmtId="3" fontId="12" fillId="26" borderId="0" xfId="31" applyNumberFormat="1" applyFont="1" applyFill="1" applyAlignment="1">
      <alignment vertical="center"/>
    </xf>
    <xf numFmtId="0" fontId="12" fillId="26" borderId="0" xfId="31" applyFont="1" applyFill="1" applyAlignment="1">
      <alignment vertical="center"/>
    </xf>
    <xf numFmtId="3" fontId="79" fillId="26" borderId="0" xfId="31" applyNumberFormat="1" applyFont="1" applyFill="1" applyAlignment="1">
      <alignment vertical="center"/>
    </xf>
    <xf numFmtId="3" fontId="12" fillId="26" borderId="6" xfId="88" applyNumberFormat="1" applyFont="1" applyFill="1" applyBorder="1" applyAlignment="1">
      <alignment horizontal="center" vertical="center" wrapText="1"/>
    </xf>
    <xf numFmtId="0" fontId="117" fillId="41" borderId="35" xfId="88" applyFont="1" applyFill="1" applyBorder="1" applyAlignment="1">
      <alignment horizontal="center" vertical="center" wrapText="1"/>
    </xf>
    <xf numFmtId="0" fontId="84" fillId="27" borderId="0" xfId="54" applyFont="1" applyFill="1"/>
    <xf numFmtId="3" fontId="12" fillId="3" borderId="54" xfId="88" applyNumberFormat="1" applyFont="1" applyFill="1" applyBorder="1" applyAlignment="1" applyProtection="1">
      <alignment horizontal="center" vertical="center" wrapText="1"/>
      <protection locked="0"/>
    </xf>
    <xf numFmtId="3" fontId="12" fillId="3" borderId="69" xfId="88" applyNumberFormat="1" applyFont="1" applyFill="1" applyBorder="1" applyAlignment="1" applyProtection="1">
      <alignment horizontal="center" vertical="center" wrapText="1"/>
      <protection locked="0"/>
    </xf>
    <xf numFmtId="3" fontId="12" fillId="3" borderId="18" xfId="88" applyNumberFormat="1" applyFont="1" applyFill="1" applyBorder="1" applyAlignment="1" applyProtection="1">
      <alignment horizontal="center" vertical="center" wrapText="1"/>
      <protection locked="0"/>
    </xf>
    <xf numFmtId="3" fontId="12" fillId="3" borderId="63" xfId="88" applyNumberFormat="1" applyFont="1" applyFill="1" applyBorder="1" applyAlignment="1" applyProtection="1">
      <alignment horizontal="center" vertical="center" wrapText="1"/>
      <protection locked="0"/>
    </xf>
    <xf numFmtId="0" fontId="116" fillId="20" borderId="17" xfId="88" applyFont="1" applyFill="1" applyBorder="1" applyAlignment="1">
      <alignment horizontal="center" vertical="center" wrapText="1"/>
    </xf>
    <xf numFmtId="3" fontId="12" fillId="26" borderId="139" xfId="88" applyNumberFormat="1" applyFont="1" applyFill="1" applyBorder="1" applyAlignment="1">
      <alignment horizontal="center" vertical="center" wrapText="1"/>
    </xf>
    <xf numFmtId="3" fontId="12" fillId="26" borderId="93" xfId="88" applyNumberFormat="1" applyFont="1" applyFill="1" applyBorder="1" applyAlignment="1">
      <alignment horizontal="center" vertical="center" wrapText="1"/>
    </xf>
    <xf numFmtId="3" fontId="12" fillId="26" borderId="114" xfId="88" applyNumberFormat="1" applyFont="1" applyFill="1" applyBorder="1" applyAlignment="1">
      <alignment horizontal="center" vertical="center" wrapText="1"/>
    </xf>
    <xf numFmtId="3" fontId="12" fillId="26" borderId="92" xfId="88" applyNumberFormat="1" applyFont="1" applyFill="1" applyBorder="1" applyAlignment="1">
      <alignment horizontal="center" vertical="center" wrapText="1"/>
    </xf>
    <xf numFmtId="0" fontId="12" fillId="3" borderId="26" xfId="88" applyFont="1" applyFill="1" applyBorder="1" applyAlignment="1" applyProtection="1">
      <alignment horizontal="center" vertical="center" wrapText="1"/>
      <protection locked="0"/>
    </xf>
    <xf numFmtId="3" fontId="12" fillId="26" borderId="94" xfId="88" applyNumberFormat="1" applyFont="1" applyFill="1" applyBorder="1" applyAlignment="1">
      <alignment horizontal="center" vertical="center" wrapText="1"/>
    </xf>
    <xf numFmtId="3" fontId="12" fillId="3" borderId="62" xfId="88" applyNumberFormat="1" applyFont="1" applyFill="1" applyBorder="1" applyAlignment="1" applyProtection="1">
      <alignment horizontal="center" vertical="center" wrapText="1"/>
      <protection locked="0"/>
    </xf>
    <xf numFmtId="3" fontId="117" fillId="0" borderId="79" xfId="88" applyNumberFormat="1" applyFont="1" applyBorder="1" applyAlignment="1">
      <alignment horizontal="center" vertical="center" wrapText="1"/>
    </xf>
    <xf numFmtId="3" fontId="117" fillId="0" borderId="32" xfId="88" applyNumberFormat="1" applyFont="1" applyBorder="1" applyAlignment="1">
      <alignment horizontal="center" vertical="center" wrapText="1"/>
    </xf>
    <xf numFmtId="3" fontId="116" fillId="0" borderId="32" xfId="88" applyNumberFormat="1" applyFont="1" applyBorder="1" applyAlignment="1">
      <alignment horizontal="center" vertical="center" wrapText="1"/>
    </xf>
    <xf numFmtId="3" fontId="116" fillId="0" borderId="7" xfId="88" applyNumberFormat="1" applyFont="1" applyBorder="1" applyAlignment="1">
      <alignment horizontal="center" vertical="center" wrapText="1"/>
    </xf>
    <xf numFmtId="3" fontId="116" fillId="0" borderId="62" xfId="88" applyNumberFormat="1" applyFont="1" applyBorder="1" applyAlignment="1">
      <alignment horizontal="center" vertical="center" wrapText="1"/>
    </xf>
    <xf numFmtId="3" fontId="117" fillId="0" borderId="69" xfId="88" applyNumberFormat="1" applyFont="1" applyBorder="1" applyAlignment="1">
      <alignment horizontal="center" vertical="center" wrapText="1"/>
    </xf>
    <xf numFmtId="3" fontId="12" fillId="0" borderId="13" xfId="88" applyNumberFormat="1" applyFont="1" applyBorder="1" applyAlignment="1">
      <alignment horizontal="center" vertical="center" wrapText="1"/>
    </xf>
    <xf numFmtId="3" fontId="12" fillId="0" borderId="4" xfId="88" applyNumberFormat="1" applyFont="1" applyBorder="1" applyAlignment="1">
      <alignment horizontal="center" vertical="center" wrapText="1"/>
    </xf>
    <xf numFmtId="3" fontId="119" fillId="0" borderId="30" xfId="88" applyNumberFormat="1" applyFont="1" applyBorder="1" applyAlignment="1">
      <alignment horizontal="center" vertical="center" wrapText="1"/>
    </xf>
    <xf numFmtId="3" fontId="119" fillId="0" borderId="77" xfId="88" applyNumberFormat="1" applyFont="1" applyBorder="1" applyAlignment="1">
      <alignment horizontal="center" vertical="center" wrapText="1"/>
    </xf>
    <xf numFmtId="3" fontId="119" fillId="0" borderId="28" xfId="88" applyNumberFormat="1" applyFont="1" applyBorder="1" applyAlignment="1">
      <alignment horizontal="center" vertical="center" wrapText="1"/>
    </xf>
    <xf numFmtId="3" fontId="119" fillId="0" borderId="78" xfId="88" applyNumberFormat="1" applyFont="1" applyBorder="1" applyAlignment="1">
      <alignment horizontal="center" vertical="center" wrapText="1"/>
    </xf>
    <xf numFmtId="3" fontId="119" fillId="0" borderId="57" xfId="88" applyNumberFormat="1" applyFont="1" applyBorder="1" applyAlignment="1">
      <alignment horizontal="center" vertical="center" wrapText="1"/>
    </xf>
    <xf numFmtId="3" fontId="119" fillId="0" borderId="56" xfId="88" applyNumberFormat="1" applyFont="1" applyBorder="1" applyAlignment="1">
      <alignment horizontal="center" vertical="center" wrapText="1"/>
    </xf>
    <xf numFmtId="0" fontId="116" fillId="26" borderId="55" xfId="88" applyFont="1" applyFill="1" applyBorder="1" applyAlignment="1">
      <alignment horizontal="left" vertical="center" wrapText="1"/>
    </xf>
    <xf numFmtId="0" fontId="119" fillId="26" borderId="48" xfId="0" applyFont="1" applyFill="1" applyBorder="1" applyAlignment="1">
      <alignment horizontal="right" vertical="center" wrapText="1"/>
    </xf>
    <xf numFmtId="0" fontId="116" fillId="26" borderId="76" xfId="88" applyFont="1" applyFill="1" applyBorder="1" applyAlignment="1">
      <alignment horizontal="left" vertical="center" wrapText="1"/>
    </xf>
    <xf numFmtId="0" fontId="119" fillId="26" borderId="50" xfId="88" applyFont="1" applyFill="1" applyBorder="1" applyAlignment="1">
      <alignment horizontal="right" vertical="center" wrapText="1"/>
    </xf>
    <xf numFmtId="0" fontId="116" fillId="26" borderId="53" xfId="88" applyFont="1" applyFill="1" applyBorder="1" applyAlignment="1">
      <alignment horizontal="left" vertical="center" wrapText="1"/>
    </xf>
    <xf numFmtId="0" fontId="117" fillId="26" borderId="57" xfId="88" applyFont="1" applyFill="1" applyBorder="1" applyAlignment="1">
      <alignment horizontal="center" vertical="center" wrapText="1"/>
    </xf>
    <xf numFmtId="0" fontId="117" fillId="26" borderId="53" xfId="88" applyFont="1" applyFill="1" applyBorder="1" applyAlignment="1">
      <alignment horizontal="center" vertical="center" wrapText="1"/>
    </xf>
    <xf numFmtId="0" fontId="116" fillId="26" borderId="53" xfId="88" applyFont="1" applyFill="1" applyBorder="1" applyAlignment="1">
      <alignment horizontal="right" vertical="center" wrapText="1"/>
    </xf>
    <xf numFmtId="0" fontId="116" fillId="26" borderId="50" xfId="88" applyFont="1" applyFill="1" applyBorder="1" applyAlignment="1">
      <alignment horizontal="left" vertical="center" wrapText="1"/>
    </xf>
    <xf numFmtId="0" fontId="117" fillId="26" borderId="55" xfId="88" applyFont="1" applyFill="1" applyBorder="1" applyAlignment="1">
      <alignment horizontal="center" vertical="center" wrapText="1"/>
    </xf>
    <xf numFmtId="0" fontId="116" fillId="26" borderId="0" xfId="88" applyFont="1" applyFill="1" applyAlignment="1">
      <alignment horizontal="center" vertical="center" wrapText="1"/>
    </xf>
    <xf numFmtId="0" fontId="116" fillId="26" borderId="55" xfId="88" applyFont="1" applyFill="1" applyBorder="1" applyAlignment="1">
      <alignment horizontal="right" vertical="center" wrapText="1"/>
    </xf>
    <xf numFmtId="0" fontId="119" fillId="26" borderId="57" xfId="0" applyFont="1" applyFill="1" applyBorder="1" applyAlignment="1">
      <alignment horizontal="right" vertical="center" wrapText="1"/>
    </xf>
    <xf numFmtId="3" fontId="45" fillId="42" borderId="17" xfId="49" applyNumberFormat="1" applyFont="1" applyFill="1" applyBorder="1" applyAlignment="1" applyProtection="1">
      <alignment horizontal="center"/>
      <protection locked="0"/>
    </xf>
    <xf numFmtId="3" fontId="12" fillId="26" borderId="50" xfId="88" applyNumberFormat="1" applyFont="1" applyFill="1" applyBorder="1" applyAlignment="1">
      <alignment horizontal="center" vertical="center" wrapText="1"/>
    </xf>
    <xf numFmtId="3" fontId="45" fillId="42" borderId="5" xfId="49" applyNumberFormat="1" applyFont="1" applyFill="1" applyBorder="1" applyAlignment="1" applyProtection="1">
      <alignment horizontal="center"/>
      <protection locked="0"/>
    </xf>
    <xf numFmtId="3" fontId="12" fillId="28" borderId="22" xfId="88" applyNumberFormat="1" applyFont="1" applyFill="1" applyBorder="1" applyAlignment="1" applyProtection="1">
      <alignment horizontal="center" vertical="center" wrapText="1"/>
      <protection locked="0"/>
    </xf>
    <xf numFmtId="3" fontId="116" fillId="20" borderId="106" xfId="88" applyNumberFormat="1" applyFont="1" applyFill="1" applyBorder="1" applyAlignment="1">
      <alignment horizontal="center" vertical="center" wrapText="1"/>
    </xf>
    <xf numFmtId="0" fontId="79" fillId="20" borderId="21" xfId="88" applyFont="1" applyFill="1" applyBorder="1" applyAlignment="1">
      <alignment horizontal="center" vertical="center" wrapText="1"/>
    </xf>
    <xf numFmtId="0" fontId="79" fillId="20" borderId="30" xfId="88" applyFont="1" applyFill="1" applyBorder="1" applyAlignment="1">
      <alignment horizontal="center" vertical="center" wrapText="1"/>
    </xf>
    <xf numFmtId="0" fontId="12" fillId="3" borderId="39" xfId="88" applyFont="1" applyFill="1" applyBorder="1" applyAlignment="1" applyProtection="1">
      <alignment horizontal="center" vertical="center" wrapText="1"/>
      <protection locked="0"/>
    </xf>
    <xf numFmtId="3" fontId="12" fillId="0" borderId="67" xfId="88" applyNumberFormat="1" applyFont="1" applyBorder="1" applyAlignment="1">
      <alignment horizontal="center" vertical="center" wrapText="1"/>
    </xf>
    <xf numFmtId="3" fontId="117" fillId="0" borderId="23" xfId="88" applyNumberFormat="1" applyFont="1" applyBorder="1" applyAlignment="1">
      <alignment horizontal="center" vertical="center" wrapText="1"/>
    </xf>
    <xf numFmtId="3" fontId="12" fillId="26" borderId="17" xfId="88" applyNumberFormat="1" applyFont="1" applyFill="1" applyBorder="1" applyAlignment="1">
      <alignment horizontal="center" vertical="center" wrapText="1"/>
    </xf>
    <xf numFmtId="3" fontId="45" fillId="42" borderId="21" xfId="49" applyNumberFormat="1" applyFont="1" applyFill="1" applyBorder="1" applyAlignment="1" applyProtection="1">
      <alignment horizontal="center"/>
      <protection locked="0"/>
    </xf>
    <xf numFmtId="3" fontId="45" fillId="42" borderId="51" xfId="49" applyNumberFormat="1" applyFont="1" applyFill="1" applyBorder="1" applyAlignment="1" applyProtection="1">
      <alignment horizontal="center"/>
      <protection locked="0"/>
    </xf>
    <xf numFmtId="0" fontId="116" fillId="20" borderId="0" xfId="88" applyFont="1" applyFill="1" applyAlignment="1" applyProtection="1">
      <alignment horizontal="center" vertical="center" wrapText="1"/>
      <protection locked="0"/>
    </xf>
    <xf numFmtId="1" fontId="74" fillId="26" borderId="86" xfId="0" applyNumberFormat="1" applyFont="1" applyFill="1" applyBorder="1" applyAlignment="1">
      <alignment horizontal="center" vertical="center" wrapText="1"/>
    </xf>
    <xf numFmtId="49" fontId="84" fillId="27" borderId="26" xfId="52" applyNumberFormat="1" applyFont="1" applyFill="1" applyBorder="1" applyAlignment="1">
      <alignment horizontal="center" vertical="center" wrapText="1"/>
    </xf>
    <xf numFmtId="0" fontId="84" fillId="20" borderId="26" xfId="52" applyFont="1" applyFill="1" applyBorder="1" applyAlignment="1">
      <alignment horizontal="left" vertical="center"/>
    </xf>
    <xf numFmtId="0" fontId="57" fillId="20" borderId="26" xfId="52" applyFont="1" applyFill="1" applyBorder="1" applyAlignment="1">
      <alignment horizontal="center" vertical="center" wrapText="1"/>
    </xf>
    <xf numFmtId="3" fontId="57" fillId="0" borderId="13" xfId="52" applyNumberFormat="1" applyFont="1" applyBorder="1" applyAlignment="1">
      <alignment horizontal="center" vertical="center"/>
    </xf>
    <xf numFmtId="3" fontId="57" fillId="0" borderId="16" xfId="52" applyNumberFormat="1" applyFont="1" applyBorder="1" applyAlignment="1">
      <alignment horizontal="center" vertical="center"/>
    </xf>
    <xf numFmtId="3" fontId="57" fillId="0" borderId="93" xfId="52" applyNumberFormat="1" applyFont="1" applyBorder="1" applyAlignment="1">
      <alignment horizontal="center" vertical="center"/>
    </xf>
    <xf numFmtId="0" fontId="42" fillId="26" borderId="0" xfId="0" applyFont="1" applyFill="1" applyAlignment="1">
      <alignment horizontal="left" vertical="center" wrapText="1"/>
    </xf>
    <xf numFmtId="0" fontId="13" fillId="26" borderId="0" xfId="0" applyFont="1" applyFill="1" applyAlignment="1">
      <alignment horizontal="right" vertical="center"/>
    </xf>
    <xf numFmtId="0" fontId="65" fillId="37" borderId="35" xfId="52" applyFont="1" applyFill="1" applyBorder="1" applyAlignment="1">
      <alignment horizontal="center" vertical="center" wrapText="1"/>
    </xf>
    <xf numFmtId="49" fontId="65" fillId="0" borderId="7" xfId="80" applyNumberFormat="1" applyFont="1" applyBorder="1" applyAlignment="1">
      <alignment horizontal="center" vertical="center" wrapText="1"/>
    </xf>
    <xf numFmtId="3" fontId="57" fillId="0" borderId="7" xfId="80" applyNumberFormat="1" applyFont="1" applyBorder="1" applyAlignment="1">
      <alignment horizontal="center" vertical="center"/>
    </xf>
    <xf numFmtId="0" fontId="41" fillId="27" borderId="7" xfId="0" applyFont="1" applyFill="1" applyBorder="1" applyAlignment="1">
      <alignment horizontal="center" vertical="center" wrapText="1"/>
    </xf>
    <xf numFmtId="3" fontId="41" fillId="3" borderId="22" xfId="32" applyNumberFormat="1" applyFont="1" applyFill="1" applyBorder="1" applyAlignment="1" applyProtection="1">
      <alignment horizontal="center" vertical="center"/>
      <protection locked="0"/>
    </xf>
    <xf numFmtId="10" fontId="96" fillId="26" borderId="65" xfId="70" applyNumberFormat="1" applyFont="1" applyFill="1" applyBorder="1" applyAlignment="1" applyProtection="1">
      <alignment horizontal="center" vertical="center" wrapText="1"/>
    </xf>
    <xf numFmtId="3" fontId="41" fillId="28" borderId="62" xfId="32" applyNumberFormat="1" applyFont="1" applyFill="1" applyBorder="1" applyAlignment="1" applyProtection="1">
      <alignment horizontal="center" vertical="center"/>
      <protection locked="0"/>
    </xf>
    <xf numFmtId="3" fontId="41" fillId="28" borderId="78" xfId="32" applyNumberFormat="1" applyFont="1" applyFill="1" applyBorder="1" applyAlignment="1" applyProtection="1">
      <alignment horizontal="center" vertical="center"/>
      <protection locked="0"/>
    </xf>
    <xf numFmtId="3" fontId="41" fillId="27" borderId="72" xfId="32" applyNumberFormat="1" applyFont="1" applyFill="1" applyBorder="1" applyAlignment="1">
      <alignment horizontal="center" vertical="center"/>
    </xf>
    <xf numFmtId="3" fontId="41" fillId="27" borderId="32" xfId="32" applyNumberFormat="1" applyFont="1" applyFill="1" applyBorder="1" applyAlignment="1">
      <alignment horizontal="center" vertical="center"/>
    </xf>
    <xf numFmtId="3" fontId="42" fillId="3" borderId="74" xfId="32" applyNumberFormat="1" applyFont="1" applyFill="1" applyBorder="1" applyAlignment="1" applyProtection="1">
      <alignment horizontal="center" vertical="center"/>
      <protection locked="0"/>
    </xf>
    <xf numFmtId="10" fontId="96" fillId="26" borderId="62" xfId="70" applyNumberFormat="1" applyFont="1" applyFill="1" applyBorder="1" applyAlignment="1" applyProtection="1">
      <alignment horizontal="center" vertical="center" wrapText="1"/>
    </xf>
    <xf numFmtId="3" fontId="42" fillId="3" borderId="62" xfId="32" applyNumberFormat="1" applyFont="1" applyFill="1" applyBorder="1" applyAlignment="1" applyProtection="1">
      <alignment horizontal="center" vertical="center"/>
      <protection locked="0"/>
    </xf>
    <xf numFmtId="3" fontId="42" fillId="3" borderId="64" xfId="32" applyNumberFormat="1" applyFont="1" applyFill="1" applyBorder="1" applyAlignment="1" applyProtection="1">
      <alignment horizontal="center" vertical="center"/>
      <protection locked="0"/>
    </xf>
    <xf numFmtId="3" fontId="41" fillId="28" borderId="74" xfId="32" applyNumberFormat="1" applyFont="1" applyFill="1" applyBorder="1" applyAlignment="1" applyProtection="1">
      <alignment horizontal="center" vertical="center"/>
      <protection locked="0"/>
    </xf>
    <xf numFmtId="3" fontId="41" fillId="28" borderId="101" xfId="32" applyNumberFormat="1" applyFont="1" applyFill="1" applyBorder="1" applyAlignment="1" applyProtection="1">
      <alignment horizontal="center" vertical="center"/>
      <protection locked="0"/>
    </xf>
    <xf numFmtId="173" fontId="163" fillId="26" borderId="17" xfId="70" applyNumberFormat="1" applyFont="1" applyFill="1" applyBorder="1" applyAlignment="1" applyProtection="1">
      <alignment horizontal="center" vertical="center" wrapText="1"/>
    </xf>
    <xf numFmtId="3" fontId="40" fillId="31" borderId="8" xfId="32" applyNumberFormat="1" applyFont="1" applyFill="1" applyBorder="1" applyAlignment="1">
      <alignment horizontal="center" vertical="center"/>
    </xf>
    <xf numFmtId="0" fontId="164" fillId="0" borderId="7" xfId="0" applyFont="1" applyBorder="1" applyAlignment="1">
      <alignment horizontal="right" vertical="center" wrapText="1"/>
    </xf>
    <xf numFmtId="0" fontId="21" fillId="0" borderId="0" xfId="32" applyFont="1" applyAlignment="1">
      <alignment horizontal="left" vertical="center"/>
    </xf>
    <xf numFmtId="0" fontId="43" fillId="0" borderId="0" xfId="32" applyFont="1" applyAlignment="1">
      <alignment vertical="center"/>
    </xf>
    <xf numFmtId="3" fontId="41" fillId="29" borderId="24" xfId="32" applyNumberFormat="1" applyFont="1" applyFill="1" applyBorder="1" applyAlignment="1">
      <alignment horizontal="center" vertical="center"/>
    </xf>
    <xf numFmtId="3" fontId="41" fillId="26" borderId="15" xfId="32" applyNumberFormat="1" applyFont="1" applyFill="1" applyBorder="1" applyAlignment="1">
      <alignment horizontal="center" vertical="center"/>
    </xf>
    <xf numFmtId="3" fontId="40" fillId="24" borderId="24" xfId="32" applyNumberFormat="1" applyFont="1" applyFill="1" applyBorder="1" applyAlignment="1">
      <alignment horizontal="center" vertical="center"/>
    </xf>
    <xf numFmtId="3" fontId="40" fillId="31" borderId="24" xfId="32" applyNumberFormat="1" applyFont="1" applyFill="1" applyBorder="1" applyAlignment="1">
      <alignment horizontal="center" vertical="center"/>
    </xf>
    <xf numFmtId="176" fontId="40" fillId="24" borderId="24" xfId="32" applyNumberFormat="1" applyFont="1" applyFill="1" applyBorder="1" applyAlignment="1">
      <alignment horizontal="center" vertical="center"/>
    </xf>
    <xf numFmtId="3" fontId="40" fillId="24" borderId="15" xfId="32" applyNumberFormat="1" applyFont="1" applyFill="1" applyBorder="1" applyAlignment="1">
      <alignment horizontal="center" vertical="center"/>
    </xf>
    <xf numFmtId="3" fontId="41" fillId="3" borderId="15" xfId="32" applyNumberFormat="1" applyFont="1" applyFill="1" applyBorder="1" applyAlignment="1" applyProtection="1">
      <alignment horizontal="center" vertical="center"/>
      <protection locked="0"/>
    </xf>
    <xf numFmtId="3" fontId="40" fillId="31" borderId="15" xfId="32" applyNumberFormat="1" applyFont="1" applyFill="1" applyBorder="1" applyAlignment="1">
      <alignment horizontal="center" vertical="center"/>
    </xf>
    <xf numFmtId="176" fontId="40" fillId="24" borderId="15" xfId="32" applyNumberFormat="1" applyFont="1" applyFill="1" applyBorder="1" applyAlignment="1">
      <alignment horizontal="center" vertical="center"/>
    </xf>
    <xf numFmtId="3" fontId="40" fillId="24" borderId="51" xfId="32" applyNumberFormat="1" applyFont="1" applyFill="1" applyBorder="1" applyAlignment="1">
      <alignment horizontal="center" vertical="center"/>
    </xf>
    <xf numFmtId="176" fontId="40" fillId="24" borderId="21" xfId="32" applyNumberFormat="1" applyFont="1" applyFill="1" applyBorder="1" applyAlignment="1">
      <alignment horizontal="center" vertical="center"/>
    </xf>
    <xf numFmtId="0" fontId="41" fillId="24" borderId="24" xfId="32" applyFont="1" applyFill="1" applyBorder="1" applyAlignment="1">
      <alignment horizontal="center" vertical="center" wrapText="1"/>
    </xf>
    <xf numFmtId="3" fontId="40" fillId="24" borderId="62" xfId="32" applyNumberFormat="1" applyFont="1" applyFill="1" applyBorder="1" applyAlignment="1">
      <alignment horizontal="center" vertical="center"/>
    </xf>
    <xf numFmtId="3" fontId="20" fillId="27" borderId="0" xfId="49" applyNumberFormat="1" applyFont="1" applyFill="1" applyAlignment="1">
      <alignment vertical="center" wrapText="1"/>
    </xf>
    <xf numFmtId="1" fontId="144" fillId="38" borderId="1" xfId="21" applyFont="1" applyFill="1" applyBorder="1">
      <alignment horizontal="center" vertical="center" wrapText="1"/>
    </xf>
    <xf numFmtId="1" fontId="144" fillId="38" borderId="2" xfId="21" applyFont="1" applyFill="1" applyBorder="1">
      <alignment horizontal="center" vertical="center" wrapText="1"/>
    </xf>
    <xf numFmtId="3" fontId="40" fillId="26" borderId="5" xfId="49" applyNumberFormat="1" applyFont="1" applyFill="1" applyBorder="1" applyAlignment="1">
      <alignment horizontal="center" vertical="center" wrapText="1"/>
    </xf>
    <xf numFmtId="3" fontId="40" fillId="26" borderId="17" xfId="49" applyNumberFormat="1" applyFont="1" applyFill="1" applyBorder="1" applyAlignment="1">
      <alignment horizontal="center" vertical="center" wrapText="1"/>
    </xf>
    <xf numFmtId="0" fontId="42" fillId="26" borderId="24" xfId="49" applyFont="1" applyFill="1" applyBorder="1" applyAlignment="1">
      <alignment horizontal="center" vertical="center" wrapText="1"/>
    </xf>
    <xf numFmtId="49" fontId="42" fillId="26" borderId="24" xfId="49" applyNumberFormat="1" applyFont="1" applyFill="1" applyBorder="1" applyAlignment="1">
      <alignment horizontal="left" vertical="center" wrapText="1"/>
    </xf>
    <xf numFmtId="3" fontId="43" fillId="3" borderId="17" xfId="32" applyNumberFormat="1" applyFont="1" applyFill="1" applyBorder="1" applyAlignment="1" applyProtection="1">
      <alignment horizontal="center" vertical="center"/>
      <protection locked="0"/>
    </xf>
    <xf numFmtId="3" fontId="165" fillId="26" borderId="2" xfId="49" applyNumberFormat="1" applyFont="1" applyFill="1" applyBorder="1" applyAlignment="1">
      <alignment horizontal="center" vertical="center" wrapText="1"/>
    </xf>
    <xf numFmtId="3" fontId="21" fillId="31" borderId="96" xfId="49" applyNumberFormat="1" applyFont="1" applyFill="1" applyBorder="1" applyAlignment="1">
      <alignment horizontal="center" vertical="center" wrapText="1"/>
    </xf>
    <xf numFmtId="3" fontId="21" fillId="27" borderId="85" xfId="49" applyNumberFormat="1" applyFont="1" applyFill="1" applyBorder="1" applyAlignment="1">
      <alignment horizontal="center" vertical="center" wrapText="1"/>
    </xf>
    <xf numFmtId="3" fontId="12" fillId="3" borderId="81" xfId="32" applyNumberFormat="1" applyFont="1" applyFill="1" applyBorder="1" applyAlignment="1" applyProtection="1">
      <alignment horizontal="center" vertical="center"/>
      <protection locked="0"/>
    </xf>
    <xf numFmtId="3" fontId="21" fillId="27" borderId="81" xfId="49" applyNumberFormat="1" applyFont="1" applyFill="1" applyBorder="1" applyAlignment="1">
      <alignment horizontal="center" vertical="center"/>
    </xf>
    <xf numFmtId="3" fontId="12" fillId="33" borderId="81" xfId="49" applyNumberFormat="1" applyFont="1" applyFill="1" applyBorder="1" applyAlignment="1">
      <alignment horizontal="center" vertical="center"/>
    </xf>
    <xf numFmtId="3" fontId="21" fillId="20" borderId="81" xfId="49" applyNumberFormat="1" applyFont="1" applyFill="1" applyBorder="1" applyAlignment="1">
      <alignment horizontal="center" vertical="center"/>
    </xf>
    <xf numFmtId="3" fontId="12" fillId="3" borderId="92" xfId="32" applyNumberFormat="1" applyFont="1" applyFill="1" applyBorder="1" applyAlignment="1" applyProtection="1">
      <alignment horizontal="center" vertical="center"/>
      <protection locked="0"/>
    </xf>
    <xf numFmtId="3" fontId="21" fillId="33" borderId="81" xfId="49" applyNumberFormat="1" applyFont="1" applyFill="1" applyBorder="1" applyAlignment="1">
      <alignment horizontal="center" vertical="center"/>
    </xf>
    <xf numFmtId="3" fontId="128" fillId="31" borderId="65" xfId="55" applyNumberFormat="1" applyFont="1" applyFill="1" applyBorder="1" applyAlignment="1" applyProtection="1">
      <alignment horizontal="center" vertical="center"/>
    </xf>
    <xf numFmtId="3" fontId="57" fillId="0" borderId="11" xfId="55" applyNumberFormat="1" applyFont="1" applyFill="1" applyBorder="1" applyAlignment="1" applyProtection="1">
      <alignment horizontal="center" vertical="center"/>
    </xf>
    <xf numFmtId="3" fontId="57" fillId="0" borderId="23" xfId="55" applyNumberFormat="1" applyFont="1" applyFill="1" applyBorder="1" applyAlignment="1" applyProtection="1">
      <alignment horizontal="center" vertical="center"/>
    </xf>
    <xf numFmtId="3" fontId="57" fillId="0" borderId="28" xfId="55" applyNumberFormat="1" applyFont="1" applyFill="1" applyBorder="1" applyAlignment="1" applyProtection="1">
      <alignment horizontal="center" vertical="center"/>
    </xf>
    <xf numFmtId="3" fontId="57" fillId="0" borderId="45" xfId="55" applyNumberFormat="1" applyFont="1" applyFill="1" applyBorder="1" applyAlignment="1" applyProtection="1">
      <alignment horizontal="center" vertical="center"/>
    </xf>
    <xf numFmtId="1" fontId="128" fillId="31" borderId="65" xfId="55" applyNumberFormat="1" applyFont="1" applyFill="1" applyBorder="1" applyAlignment="1" applyProtection="1">
      <alignment horizontal="center" vertical="center"/>
    </xf>
    <xf numFmtId="3" fontId="128" fillId="31" borderId="72" xfId="55" applyNumberFormat="1" applyFont="1" applyFill="1" applyBorder="1" applyAlignment="1" applyProtection="1">
      <alignment horizontal="center" vertical="center"/>
    </xf>
    <xf numFmtId="3" fontId="128" fillId="26" borderId="32" xfId="55" applyNumberFormat="1" applyFont="1" applyFill="1" applyBorder="1" applyAlignment="1" applyProtection="1">
      <alignment horizontal="center" vertical="center"/>
    </xf>
    <xf numFmtId="3" fontId="128" fillId="26" borderId="79" xfId="55" applyNumberFormat="1" applyFont="1" applyFill="1" applyBorder="1" applyAlignment="1" applyProtection="1">
      <alignment horizontal="center" vertical="center"/>
    </xf>
    <xf numFmtId="9" fontId="128" fillId="31" borderId="65" xfId="70" applyFont="1" applyFill="1" applyBorder="1" applyAlignment="1" applyProtection="1">
      <alignment horizontal="center" vertical="center"/>
    </xf>
    <xf numFmtId="9" fontId="57" fillId="0" borderId="44" xfId="70" applyFont="1" applyFill="1" applyBorder="1" applyAlignment="1" applyProtection="1">
      <alignment horizontal="center" vertical="center"/>
    </xf>
    <xf numFmtId="9" fontId="126" fillId="0" borderId="32" xfId="70" applyFont="1" applyFill="1" applyBorder="1" applyAlignment="1" applyProtection="1">
      <alignment horizontal="center" vertical="center"/>
    </xf>
    <xf numFmtId="9" fontId="126" fillId="0" borderId="79" xfId="70" applyFont="1" applyFill="1" applyBorder="1" applyAlignment="1" applyProtection="1">
      <alignment horizontal="center" vertical="center"/>
    </xf>
    <xf numFmtId="3" fontId="128" fillId="31" borderId="72" xfId="32" applyNumberFormat="1" applyFont="1" applyFill="1" applyBorder="1" applyAlignment="1">
      <alignment horizontal="center" vertical="center"/>
    </xf>
    <xf numFmtId="3" fontId="126" fillId="27" borderId="44" xfId="32" applyNumberFormat="1" applyFont="1" applyFill="1" applyBorder="1" applyAlignment="1">
      <alignment horizontal="center" vertical="center"/>
    </xf>
    <xf numFmtId="3" fontId="45" fillId="0" borderId="47" xfId="32" applyNumberFormat="1" applyFont="1" applyBorder="1" applyAlignment="1">
      <alignment horizontal="center" vertical="center"/>
    </xf>
    <xf numFmtId="3" fontId="128" fillId="31" borderId="65" xfId="32" applyNumberFormat="1" applyFont="1" applyFill="1" applyBorder="1" applyAlignment="1">
      <alignment horizontal="center" vertical="center"/>
    </xf>
    <xf numFmtId="3" fontId="128" fillId="26" borderId="32" xfId="32" applyNumberFormat="1" applyFont="1" applyFill="1" applyBorder="1" applyAlignment="1">
      <alignment horizontal="center" vertical="center"/>
    </xf>
    <xf numFmtId="3" fontId="128" fillId="26" borderId="70" xfId="32" applyNumberFormat="1" applyFont="1" applyFill="1" applyBorder="1" applyAlignment="1">
      <alignment horizontal="center" vertical="center"/>
    </xf>
    <xf numFmtId="3" fontId="129" fillId="0" borderId="152" xfId="32" applyNumberFormat="1" applyFont="1" applyBorder="1" applyAlignment="1">
      <alignment horizontal="center" vertical="center"/>
    </xf>
    <xf numFmtId="3" fontId="129" fillId="0" borderId="130" xfId="32" applyNumberFormat="1" applyFont="1" applyBorder="1" applyAlignment="1">
      <alignment horizontal="center" vertical="center"/>
    </xf>
    <xf numFmtId="3" fontId="129" fillId="0" borderId="81" xfId="32" applyNumberFormat="1" applyFont="1" applyBorder="1" applyAlignment="1">
      <alignment horizontal="center" vertical="center"/>
    </xf>
    <xf numFmtId="3" fontId="129" fillId="0" borderId="92" xfId="32" applyNumberFormat="1" applyFont="1" applyBorder="1" applyAlignment="1">
      <alignment horizontal="center" vertical="center"/>
    </xf>
    <xf numFmtId="3" fontId="46" fillId="31" borderId="75" xfId="0" applyNumberFormat="1" applyFont="1" applyFill="1" applyBorder="1" applyAlignment="1">
      <alignment horizontal="center" vertical="center"/>
    </xf>
    <xf numFmtId="3" fontId="43" fillId="0" borderId="52" xfId="32" applyNumberFormat="1" applyFont="1" applyBorder="1" applyAlignment="1">
      <alignment horizontal="center" vertical="center"/>
    </xf>
    <xf numFmtId="3" fontId="42" fillId="0" borderId="49" xfId="32" applyNumberFormat="1" applyFont="1" applyBorder="1" applyAlignment="1">
      <alignment horizontal="center" vertical="center"/>
    </xf>
    <xf numFmtId="3" fontId="42" fillId="0" borderId="56" xfId="32" applyNumberFormat="1" applyFont="1" applyBorder="1" applyAlignment="1">
      <alignment horizontal="center" vertical="center"/>
    </xf>
    <xf numFmtId="3" fontId="43" fillId="27" borderId="52" xfId="32" applyNumberFormat="1" applyFont="1" applyFill="1" applyBorder="1" applyAlignment="1">
      <alignment horizontal="center" vertical="center"/>
    </xf>
    <xf numFmtId="3" fontId="42" fillId="27" borderId="49" xfId="32" applyNumberFormat="1" applyFont="1" applyFill="1" applyBorder="1" applyAlignment="1">
      <alignment horizontal="center" vertical="center"/>
    </xf>
    <xf numFmtId="3" fontId="42" fillId="27" borderId="56" xfId="32" applyNumberFormat="1" applyFont="1" applyFill="1" applyBorder="1" applyAlignment="1">
      <alignment horizontal="center" vertical="center"/>
    </xf>
    <xf numFmtId="3" fontId="126" fillId="27" borderId="70" xfId="32" applyNumberFormat="1" applyFont="1" applyFill="1" applyBorder="1" applyAlignment="1">
      <alignment horizontal="center" vertical="center"/>
    </xf>
    <xf numFmtId="3" fontId="126" fillId="26" borderId="82" xfId="32" applyNumberFormat="1" applyFont="1" applyFill="1" applyBorder="1" applyAlignment="1">
      <alignment horizontal="center" vertical="center"/>
    </xf>
    <xf numFmtId="3" fontId="126" fillId="26" borderId="126" xfId="32" applyNumberFormat="1" applyFont="1" applyFill="1" applyBorder="1" applyAlignment="1">
      <alignment horizontal="center" vertical="center"/>
    </xf>
    <xf numFmtId="3" fontId="126" fillId="26" borderId="113" xfId="32" applyNumberFormat="1" applyFont="1" applyFill="1" applyBorder="1" applyAlignment="1">
      <alignment horizontal="center" vertical="center"/>
    </xf>
    <xf numFmtId="3" fontId="126" fillId="26" borderId="114" xfId="32" applyNumberFormat="1" applyFont="1" applyFill="1" applyBorder="1" applyAlignment="1">
      <alignment horizontal="center" vertical="center"/>
    </xf>
    <xf numFmtId="1" fontId="47" fillId="37" borderId="65" xfId="32" applyNumberFormat="1" applyFont="1" applyFill="1" applyBorder="1" applyAlignment="1">
      <alignment horizontal="center" vertical="center"/>
    </xf>
    <xf numFmtId="1" fontId="47" fillId="37" borderId="2" xfId="32" applyNumberFormat="1" applyFont="1" applyFill="1" applyBorder="1" applyAlignment="1">
      <alignment horizontal="center" vertical="center"/>
    </xf>
    <xf numFmtId="10" fontId="41" fillId="26" borderId="23" xfId="70" applyNumberFormat="1" applyFont="1" applyFill="1" applyBorder="1" applyAlignment="1" applyProtection="1">
      <alignment horizontal="right" vertical="center" wrapText="1"/>
    </xf>
    <xf numFmtId="3" fontId="12" fillId="26" borderId="32" xfId="32" applyNumberFormat="1" applyFont="1" applyFill="1" applyBorder="1" applyAlignment="1">
      <alignment horizontal="center" vertical="center"/>
    </xf>
    <xf numFmtId="3" fontId="40" fillId="37" borderId="47" xfId="31" applyNumberFormat="1" applyFont="1" applyFill="1" applyBorder="1" applyAlignment="1">
      <alignment horizontal="center" vertical="center"/>
    </xf>
    <xf numFmtId="0" fontId="40" fillId="37" borderId="47" xfId="31" applyFont="1" applyFill="1" applyBorder="1" applyAlignment="1">
      <alignment horizontal="center" vertical="center"/>
    </xf>
    <xf numFmtId="0" fontId="40" fillId="37" borderId="71" xfId="31" applyFont="1" applyFill="1" applyBorder="1" applyAlignment="1">
      <alignment horizontal="center" vertical="center"/>
    </xf>
    <xf numFmtId="0" fontId="40" fillId="37" borderId="48" xfId="31" applyFont="1" applyFill="1" applyBorder="1" applyAlignment="1">
      <alignment horizontal="center" vertical="center"/>
    </xf>
    <xf numFmtId="10" fontId="12" fillId="3" borderId="32" xfId="70" applyNumberFormat="1" applyFont="1" applyFill="1" applyBorder="1" applyAlignment="1" applyProtection="1">
      <alignment horizontal="center" vertical="center"/>
      <protection locked="0"/>
    </xf>
    <xf numFmtId="10" fontId="41" fillId="26" borderId="52" xfId="70" applyNumberFormat="1" applyFont="1" applyFill="1" applyBorder="1" applyAlignment="1" applyProtection="1">
      <alignment horizontal="right" vertical="center" wrapText="1"/>
    </xf>
    <xf numFmtId="174" fontId="40" fillId="37" borderId="38" xfId="31" applyNumberFormat="1" applyFont="1" applyFill="1" applyBorder="1" applyAlignment="1">
      <alignment horizontal="center" vertical="center"/>
    </xf>
    <xf numFmtId="10" fontId="12" fillId="3" borderId="79" xfId="70" applyNumberFormat="1" applyFont="1" applyFill="1" applyBorder="1" applyAlignment="1" applyProtection="1">
      <alignment horizontal="center" vertical="center"/>
      <protection locked="0"/>
    </xf>
    <xf numFmtId="174" fontId="40" fillId="37" borderId="79" xfId="31" applyNumberFormat="1" applyFont="1" applyFill="1" applyBorder="1" applyAlignment="1">
      <alignment vertical="center"/>
    </xf>
    <xf numFmtId="169" fontId="42" fillId="26" borderId="146" xfId="49" applyNumberFormat="1" applyFont="1" applyFill="1" applyBorder="1" applyAlignment="1">
      <alignment horizontal="center" vertical="center" wrapText="1"/>
    </xf>
    <xf numFmtId="169" fontId="42" fillId="26" borderId="123" xfId="49" applyNumberFormat="1" applyFont="1" applyFill="1" applyBorder="1" applyAlignment="1">
      <alignment horizontal="center" vertical="center" wrapText="1"/>
    </xf>
    <xf numFmtId="169" fontId="42" fillId="26" borderId="151" xfId="49" applyNumberFormat="1" applyFont="1" applyFill="1" applyBorder="1" applyAlignment="1">
      <alignment horizontal="center" vertical="center" wrapText="1"/>
    </xf>
    <xf numFmtId="169" fontId="42" fillId="26" borderId="147" xfId="49" applyNumberFormat="1" applyFont="1" applyFill="1" applyBorder="1" applyAlignment="1">
      <alignment horizontal="center" vertical="center" wrapText="1"/>
    </xf>
    <xf numFmtId="0" fontId="40" fillId="37" borderId="70" xfId="31" applyFont="1" applyFill="1" applyBorder="1" applyAlignment="1">
      <alignment horizontal="center" vertical="center"/>
    </xf>
    <xf numFmtId="0" fontId="40" fillId="37" borderId="101" xfId="31" applyFont="1" applyFill="1" applyBorder="1" applyAlignment="1">
      <alignment horizontal="center" vertical="center"/>
    </xf>
    <xf numFmtId="174" fontId="41" fillId="0" borderId="44" xfId="37" applyNumberFormat="1" applyFont="1" applyBorder="1" applyProtection="1">
      <alignment horizontal="right" vertical="center" wrapText="1"/>
    </xf>
    <xf numFmtId="9" fontId="42" fillId="26" borderId="123" xfId="49" applyNumberFormat="1" applyFont="1" applyFill="1" applyBorder="1" applyAlignment="1">
      <alignment horizontal="center" vertical="center" wrapText="1"/>
    </xf>
    <xf numFmtId="9" fontId="42" fillId="26" borderId="151" xfId="49" applyNumberFormat="1" applyFont="1" applyFill="1" applyBorder="1" applyAlignment="1">
      <alignment horizontal="center" vertical="center" wrapText="1"/>
    </xf>
    <xf numFmtId="9" fontId="42" fillId="26" borderId="147" xfId="49" applyNumberFormat="1" applyFont="1" applyFill="1" applyBorder="1" applyAlignment="1">
      <alignment horizontal="center" vertical="center" wrapText="1"/>
    </xf>
    <xf numFmtId="3" fontId="41" fillId="29" borderId="65" xfId="49" applyNumberFormat="1" applyFont="1" applyFill="1" applyBorder="1" applyAlignment="1">
      <alignment horizontal="right" vertical="center"/>
    </xf>
    <xf numFmtId="3" fontId="41" fillId="29" borderId="38" xfId="49" applyNumberFormat="1" applyFont="1" applyFill="1" applyBorder="1" applyAlignment="1">
      <alignment horizontal="right" vertical="center"/>
    </xf>
    <xf numFmtId="174" fontId="40" fillId="37" borderId="54" xfId="31" applyNumberFormat="1" applyFont="1" applyFill="1" applyBorder="1" applyAlignment="1">
      <alignment horizontal="center" vertical="center"/>
    </xf>
    <xf numFmtId="3" fontId="12" fillId="26" borderId="44" xfId="32" applyNumberFormat="1" applyFont="1" applyFill="1" applyBorder="1" applyAlignment="1">
      <alignment horizontal="center" vertical="center"/>
    </xf>
    <xf numFmtId="38" fontId="41" fillId="0" borderId="79" xfId="28" applyFont="1" applyFill="1" applyBorder="1">
      <alignment horizontal="right" vertical="center" wrapText="1"/>
    </xf>
    <xf numFmtId="0" fontId="13" fillId="27" borderId="0" xfId="32" applyFont="1" applyFill="1" applyAlignment="1">
      <alignment vertical="center"/>
    </xf>
    <xf numFmtId="0" fontId="15" fillId="0" borderId="0" xfId="31" applyFont="1" applyAlignment="1">
      <alignment vertical="center" wrapText="1"/>
    </xf>
    <xf numFmtId="14" fontId="57" fillId="27" borderId="0" xfId="32" applyNumberFormat="1" applyFont="1" applyFill="1" applyAlignment="1">
      <alignment horizontal="left" vertical="center"/>
    </xf>
    <xf numFmtId="49" fontId="43" fillId="43" borderId="56" xfId="31" applyNumberFormat="1" applyFont="1" applyFill="1" applyBorder="1" applyAlignment="1">
      <alignment horizontal="center" vertical="center"/>
    </xf>
    <xf numFmtId="0" fontId="42" fillId="43" borderId="78" xfId="31" applyFont="1" applyFill="1" applyBorder="1" applyAlignment="1">
      <alignment horizontal="right" vertical="center"/>
    </xf>
    <xf numFmtId="3" fontId="42" fillId="43" borderId="78" xfId="37" applyFont="1" applyFill="1" applyBorder="1" applyAlignment="1" applyProtection="1">
      <alignment horizontal="center" vertical="center" wrapText="1"/>
    </xf>
    <xf numFmtId="169" fontId="42" fillId="26" borderId="144" xfId="49" applyNumberFormat="1" applyFont="1" applyFill="1" applyBorder="1" applyAlignment="1">
      <alignment horizontal="center" vertical="center" wrapText="1"/>
    </xf>
    <xf numFmtId="49" fontId="12" fillId="0" borderId="47" xfId="0" applyNumberFormat="1" applyFont="1" applyBorder="1" applyAlignment="1">
      <alignment horizontal="center" vertical="center"/>
    </xf>
    <xf numFmtId="0" fontId="41" fillId="0" borderId="48" xfId="49" applyFont="1" applyBorder="1" applyAlignment="1">
      <alignment horizontal="left" vertical="center" wrapText="1"/>
    </xf>
    <xf numFmtId="49" fontId="12" fillId="0" borderId="56" xfId="0" applyNumberFormat="1" applyFont="1" applyBorder="1" applyAlignment="1">
      <alignment horizontal="center" vertical="center"/>
    </xf>
    <xf numFmtId="0" fontId="40" fillId="0" borderId="57" xfId="49" applyFont="1" applyBorder="1" applyAlignment="1">
      <alignment horizontal="left" vertical="center" wrapText="1"/>
    </xf>
    <xf numFmtId="3" fontId="40" fillId="0" borderId="77" xfId="21" applyNumberFormat="1" applyFont="1" applyFill="1" applyBorder="1">
      <alignment horizontal="center" vertical="center" wrapText="1"/>
    </xf>
    <xf numFmtId="3" fontId="40" fillId="0" borderId="57" xfId="21" applyNumberFormat="1" applyFont="1" applyFill="1" applyBorder="1">
      <alignment horizontal="center" vertical="center" wrapText="1"/>
    </xf>
    <xf numFmtId="3" fontId="40" fillId="0" borderId="78" xfId="21" applyNumberFormat="1" applyFont="1" applyFill="1" applyBorder="1">
      <alignment horizontal="center" vertical="center" wrapText="1"/>
    </xf>
    <xf numFmtId="169" fontId="42" fillId="26" borderId="153" xfId="49" applyNumberFormat="1" applyFont="1" applyFill="1" applyBorder="1" applyAlignment="1">
      <alignment horizontal="center" vertical="center" wrapText="1"/>
    </xf>
    <xf numFmtId="3" fontId="12" fillId="3" borderId="4" xfId="32" applyNumberFormat="1" applyFont="1" applyFill="1" applyBorder="1" applyAlignment="1" applyProtection="1">
      <alignment horizontal="center" vertical="center"/>
      <protection locked="0"/>
    </xf>
    <xf numFmtId="3" fontId="12" fillId="3" borderId="13" xfId="32" applyNumberFormat="1" applyFont="1" applyFill="1" applyBorder="1" applyAlignment="1" applyProtection="1">
      <alignment horizontal="center" vertical="center"/>
      <protection locked="0"/>
    </xf>
    <xf numFmtId="3" fontId="12" fillId="3" borderId="16" xfId="32" applyNumberFormat="1" applyFont="1" applyFill="1" applyBorder="1" applyAlignment="1" applyProtection="1">
      <alignment horizontal="center" vertical="center"/>
      <protection locked="0"/>
    </xf>
    <xf numFmtId="3" fontId="12" fillId="0" borderId="4" xfId="32" applyNumberFormat="1" applyFont="1" applyBorder="1" applyAlignment="1">
      <alignment horizontal="center" vertical="center"/>
    </xf>
    <xf numFmtId="3" fontId="12" fillId="0" borderId="13" xfId="32" applyNumberFormat="1" applyFont="1" applyBorder="1" applyAlignment="1">
      <alignment horizontal="center" vertical="center"/>
    </xf>
    <xf numFmtId="179" fontId="12" fillId="26" borderId="71" xfId="32" applyNumberFormat="1" applyFont="1" applyFill="1" applyBorder="1" applyAlignment="1">
      <alignment horizontal="center" vertical="center"/>
    </xf>
    <xf numFmtId="179" fontId="12" fillId="26" borderId="48" xfId="32" applyNumberFormat="1" applyFont="1" applyFill="1" applyBorder="1" applyAlignment="1">
      <alignment horizontal="center" vertical="center"/>
    </xf>
    <xf numFmtId="9" fontId="40" fillId="0" borderId="9" xfId="21" applyNumberFormat="1" applyFont="1" applyFill="1" applyBorder="1">
      <alignment horizontal="center" vertical="center" wrapText="1"/>
    </xf>
    <xf numFmtId="9" fontId="40" fillId="0" borderId="60" xfId="21" applyNumberFormat="1" applyFont="1" applyFill="1" applyBorder="1">
      <alignment horizontal="center" vertical="center" wrapText="1"/>
    </xf>
    <xf numFmtId="9" fontId="40" fillId="0" borderId="10" xfId="21" applyNumberFormat="1" applyFont="1" applyFill="1" applyBorder="1">
      <alignment horizontal="center" vertical="center" wrapText="1"/>
    </xf>
    <xf numFmtId="0" fontId="42" fillId="27" borderId="0" xfId="49" applyFont="1" applyFill="1" applyAlignment="1">
      <alignment vertical="center"/>
    </xf>
    <xf numFmtId="0" fontId="41" fillId="27" borderId="0" xfId="49" applyFont="1" applyFill="1" applyAlignment="1">
      <alignment vertical="center" wrapText="1"/>
    </xf>
    <xf numFmtId="3" fontId="41" fillId="27" borderId="0" xfId="49" applyNumberFormat="1" applyFont="1" applyFill="1" applyAlignment="1">
      <alignment vertical="center" wrapText="1"/>
    </xf>
    <xf numFmtId="0" fontId="21" fillId="37" borderId="38" xfId="0" applyFont="1" applyFill="1" applyBorder="1" applyAlignment="1">
      <alignment horizontal="center" vertical="center" wrapText="1"/>
    </xf>
    <xf numFmtId="0" fontId="21" fillId="37" borderId="10" xfId="0" applyFont="1" applyFill="1" applyBorder="1" applyAlignment="1">
      <alignment horizontal="center" vertical="center" wrapText="1"/>
    </xf>
    <xf numFmtId="0" fontId="42" fillId="27" borderId="0" xfId="0" applyFont="1" applyFill="1" applyAlignment="1">
      <alignment vertical="center"/>
    </xf>
    <xf numFmtId="3" fontId="21" fillId="26" borderId="25" xfId="49" applyNumberFormat="1" applyFont="1" applyFill="1" applyBorder="1" applyAlignment="1">
      <alignment horizontal="center" vertical="center" wrapText="1"/>
    </xf>
    <xf numFmtId="3" fontId="21" fillId="26" borderId="24" xfId="49" applyNumberFormat="1" applyFont="1" applyFill="1" applyBorder="1" applyAlignment="1">
      <alignment horizontal="center" vertical="center"/>
    </xf>
    <xf numFmtId="3" fontId="12" fillId="26" borderId="24" xfId="49" applyNumberFormat="1" applyFont="1" applyFill="1" applyBorder="1" applyAlignment="1">
      <alignment horizontal="center" vertical="center"/>
    </xf>
    <xf numFmtId="3" fontId="21" fillId="27" borderId="72" xfId="49" applyNumberFormat="1" applyFont="1" applyFill="1" applyBorder="1" applyAlignment="1">
      <alignment horizontal="center" vertical="center" wrapText="1"/>
    </xf>
    <xf numFmtId="3" fontId="12" fillId="27" borderId="23" xfId="49" applyNumberFormat="1" applyFont="1" applyFill="1" applyBorder="1" applyAlignment="1">
      <alignment horizontal="center" vertical="center" wrapText="1"/>
    </xf>
    <xf numFmtId="3" fontId="12" fillId="27" borderId="32" xfId="49" applyNumberFormat="1" applyFont="1" applyFill="1" applyBorder="1" applyAlignment="1">
      <alignment horizontal="center" vertical="center" wrapText="1"/>
    </xf>
    <xf numFmtId="3" fontId="21" fillId="26" borderId="17" xfId="49" applyNumberFormat="1" applyFont="1" applyFill="1" applyBorder="1" applyAlignment="1">
      <alignment horizontal="center" vertical="center"/>
    </xf>
    <xf numFmtId="3" fontId="12" fillId="26" borderId="17" xfId="49" applyNumberFormat="1" applyFont="1" applyFill="1" applyBorder="1" applyAlignment="1">
      <alignment horizontal="center" vertical="center"/>
    </xf>
    <xf numFmtId="3" fontId="21" fillId="26" borderId="5" xfId="49" applyNumberFormat="1" applyFont="1" applyFill="1" applyBorder="1" applyAlignment="1">
      <alignment horizontal="center" vertical="center" wrapText="1"/>
    </xf>
    <xf numFmtId="0" fontId="21" fillId="37" borderId="26" xfId="0" applyFont="1" applyFill="1" applyBorder="1" applyAlignment="1">
      <alignment horizontal="center" vertical="center" wrapText="1"/>
    </xf>
    <xf numFmtId="0" fontId="21" fillId="37" borderId="4" xfId="0" applyFont="1" applyFill="1" applyBorder="1" applyAlignment="1">
      <alignment horizontal="center" vertical="center" wrapText="1"/>
    </xf>
    <xf numFmtId="0" fontId="21" fillId="37" borderId="68" xfId="0" applyFont="1" applyFill="1" applyBorder="1" applyAlignment="1">
      <alignment horizontal="center" vertical="center" wrapText="1"/>
    </xf>
    <xf numFmtId="0" fontId="21" fillId="37" borderId="67"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40" fillId="37" borderId="3" xfId="0" applyFont="1" applyFill="1" applyBorder="1" applyAlignment="1">
      <alignment horizontal="center" vertical="center" wrapText="1"/>
    </xf>
    <xf numFmtId="0" fontId="65" fillId="37" borderId="9" xfId="54" applyFont="1" applyFill="1" applyBorder="1" applyAlignment="1">
      <alignment horizontal="center" vertical="center" wrapText="1"/>
    </xf>
    <xf numFmtId="0" fontId="65" fillId="37" borderId="10" xfId="54" applyFont="1" applyFill="1" applyBorder="1" applyAlignment="1">
      <alignment horizontal="center" vertical="center" wrapText="1"/>
    </xf>
    <xf numFmtId="0" fontId="21" fillId="41" borderId="40" xfId="88" applyFont="1" applyFill="1" applyBorder="1" applyAlignment="1">
      <alignment horizontal="center" vertical="center" wrapText="1"/>
    </xf>
    <xf numFmtId="0" fontId="21" fillId="41" borderId="73" xfId="88" applyFont="1" applyFill="1" applyBorder="1" applyAlignment="1">
      <alignment horizontal="center" vertical="center" wrapText="1"/>
    </xf>
    <xf numFmtId="0" fontId="21" fillId="41" borderId="41" xfId="88" applyFont="1" applyFill="1" applyBorder="1" applyAlignment="1">
      <alignment horizontal="center" vertical="center" wrapText="1"/>
    </xf>
    <xf numFmtId="0" fontId="21" fillId="41" borderId="75" xfId="88" applyFont="1" applyFill="1" applyBorder="1" applyAlignment="1">
      <alignment horizontal="center" vertical="center" wrapText="1"/>
    </xf>
    <xf numFmtId="0" fontId="21" fillId="41" borderId="80" xfId="88" applyFont="1" applyFill="1" applyBorder="1" applyAlignment="1">
      <alignment horizontal="center" vertical="center" wrapText="1"/>
    </xf>
    <xf numFmtId="0" fontId="57" fillId="20" borderId="7" xfId="80" applyFont="1" applyFill="1" applyBorder="1" applyAlignment="1">
      <alignment horizontal="center" vertical="center" wrapText="1"/>
    </xf>
    <xf numFmtId="0" fontId="45" fillId="26" borderId="7" xfId="0" applyFont="1" applyFill="1" applyBorder="1" applyAlignment="1">
      <alignment horizontal="left" vertical="center" wrapText="1"/>
    </xf>
    <xf numFmtId="171" fontId="40" fillId="37" borderId="34" xfId="32" applyNumberFormat="1" applyFont="1" applyFill="1" applyBorder="1" applyAlignment="1">
      <alignment horizontal="center" vertical="center" wrapText="1"/>
    </xf>
    <xf numFmtId="0" fontId="42" fillId="0" borderId="68" xfId="32" applyFont="1" applyBorder="1" applyAlignment="1">
      <alignment horizontal="right" vertical="center" wrapText="1"/>
    </xf>
    <xf numFmtId="0" fontId="41" fillId="26" borderId="53" xfId="78" applyFont="1" applyFill="1" applyBorder="1" applyAlignment="1">
      <alignment horizontal="left" vertical="center" wrapText="1"/>
    </xf>
    <xf numFmtId="0" fontId="40" fillId="37" borderId="56" xfId="32" applyFont="1" applyFill="1" applyBorder="1" applyAlignment="1">
      <alignment horizontal="center" vertical="center" wrapText="1"/>
    </xf>
    <xf numFmtId="0" fontId="40" fillId="37" borderId="21" xfId="32" applyFont="1" applyFill="1" applyBorder="1" applyAlignment="1">
      <alignment horizontal="center" vertical="center" wrapText="1"/>
    </xf>
    <xf numFmtId="0" fontId="40" fillId="37" borderId="69" xfId="32" applyFont="1" applyFill="1" applyBorder="1" applyAlignment="1">
      <alignment horizontal="center" vertical="center"/>
    </xf>
    <xf numFmtId="0" fontId="40" fillId="37" borderId="63" xfId="32" applyFont="1" applyFill="1" applyBorder="1" applyAlignment="1">
      <alignment horizontal="center" vertical="center"/>
    </xf>
    <xf numFmtId="0" fontId="40" fillId="37" borderId="55" xfId="32" applyFont="1" applyFill="1" applyBorder="1" applyAlignment="1">
      <alignment horizontal="center" vertical="center"/>
    </xf>
    <xf numFmtId="9" fontId="40" fillId="31" borderId="34" xfId="70" applyFont="1" applyFill="1" applyBorder="1" applyAlignment="1" applyProtection="1">
      <alignment horizontal="center" vertical="center"/>
    </xf>
    <xf numFmtId="173" fontId="40" fillId="31" borderId="2" xfId="70" applyNumberFormat="1" applyFont="1" applyFill="1" applyBorder="1" applyAlignment="1" applyProtection="1">
      <alignment horizontal="center" vertical="center"/>
    </xf>
    <xf numFmtId="173" fontId="42" fillId="26" borderId="17" xfId="70" applyNumberFormat="1" applyFont="1" applyFill="1" applyBorder="1" applyAlignment="1" applyProtection="1">
      <alignment horizontal="center" vertical="center" wrapText="1"/>
    </xf>
    <xf numFmtId="173" fontId="42" fillId="26" borderId="39" xfId="70" applyNumberFormat="1" applyFont="1" applyFill="1" applyBorder="1" applyAlignment="1" applyProtection="1">
      <alignment horizontal="center" vertical="center"/>
    </xf>
    <xf numFmtId="168" fontId="40" fillId="37" borderId="42" xfId="49" applyNumberFormat="1" applyFont="1" applyFill="1" applyBorder="1" applyAlignment="1">
      <alignment horizontal="center" vertical="center" wrapText="1"/>
    </xf>
    <xf numFmtId="171" fontId="40" fillId="37" borderId="10" xfId="49" applyNumberFormat="1" applyFont="1" applyFill="1" applyBorder="1" applyAlignment="1">
      <alignment horizontal="center" vertical="center" wrapText="1"/>
    </xf>
    <xf numFmtId="168" fontId="41" fillId="37" borderId="33" xfId="49" applyNumberFormat="1" applyFont="1" applyFill="1" applyBorder="1" applyAlignment="1">
      <alignment horizontal="center" vertical="center" wrapText="1"/>
    </xf>
    <xf numFmtId="168" fontId="41" fillId="37" borderId="31" xfId="49" applyNumberFormat="1" applyFont="1" applyFill="1" applyBorder="1" applyAlignment="1">
      <alignment horizontal="center" vertical="center" wrapText="1"/>
    </xf>
    <xf numFmtId="168" fontId="41" fillId="37" borderId="6" xfId="49" applyNumberFormat="1" applyFont="1" applyFill="1" applyBorder="1" applyAlignment="1">
      <alignment horizontal="center" vertical="center" wrapText="1"/>
    </xf>
    <xf numFmtId="175" fontId="41" fillId="37" borderId="33" xfId="49" applyNumberFormat="1" applyFont="1" applyFill="1" applyBorder="1" applyAlignment="1">
      <alignment horizontal="center" vertical="center" wrapText="1"/>
    </xf>
    <xf numFmtId="175" fontId="41" fillId="37" borderId="31" xfId="49" applyNumberFormat="1" applyFont="1" applyFill="1" applyBorder="1" applyAlignment="1">
      <alignment horizontal="center" vertical="center" wrapText="1"/>
    </xf>
    <xf numFmtId="0" fontId="12" fillId="37" borderId="38" xfId="83" applyFont="1" applyFill="1" applyBorder="1" applyAlignment="1">
      <alignment horizontal="center" vertical="center" wrapText="1"/>
    </xf>
    <xf numFmtId="0" fontId="12" fillId="37" borderId="9" xfId="83" applyFont="1" applyFill="1" applyBorder="1" applyAlignment="1">
      <alignment horizontal="center" vertical="center" wrapText="1"/>
    </xf>
    <xf numFmtId="171" fontId="47" fillId="37" borderId="79" xfId="0" applyNumberFormat="1" applyFont="1" applyFill="1" applyBorder="1" applyAlignment="1">
      <alignment horizontal="center" vertical="center" wrapText="1"/>
    </xf>
    <xf numFmtId="171" fontId="47" fillId="37" borderId="77" xfId="0" applyNumberFormat="1" applyFont="1" applyFill="1" applyBorder="1" applyAlignment="1">
      <alignment horizontal="center" vertical="center" wrapText="1"/>
    </xf>
    <xf numFmtId="171" fontId="47" fillId="37" borderId="57" xfId="0" applyNumberFormat="1" applyFont="1" applyFill="1" applyBorder="1" applyAlignment="1">
      <alignment horizontal="center" vertical="center" wrapText="1"/>
    </xf>
    <xf numFmtId="3" fontId="144" fillId="37" borderId="7" xfId="49" applyNumberFormat="1" applyFont="1" applyFill="1" applyBorder="1" applyAlignment="1">
      <alignment horizontal="center" vertical="center" wrapText="1"/>
    </xf>
    <xf numFmtId="173" fontId="55" fillId="26" borderId="0" xfId="1" applyNumberFormat="1" applyFont="1" applyFill="1" applyBorder="1" applyAlignment="1" applyProtection="1">
      <alignment horizontal="center" vertical="center"/>
    </xf>
    <xf numFmtId="0" fontId="27" fillId="0" borderId="0" xfId="0" applyFont="1" applyAlignment="1">
      <alignment horizontal="center" vertical="center"/>
    </xf>
    <xf numFmtId="0" fontId="144" fillId="37" borderId="7" xfId="0" applyFont="1" applyFill="1" applyBorder="1" applyAlignment="1">
      <alignment horizontal="left" vertical="center" wrapText="1"/>
    </xf>
    <xf numFmtId="0" fontId="144" fillId="37" borderId="7" xfId="0" applyFont="1" applyFill="1" applyBorder="1" applyAlignment="1">
      <alignment horizontal="center" vertical="center" wrapText="1"/>
    </xf>
    <xf numFmtId="0" fontId="144" fillId="37" borderId="7" xfId="0" applyFont="1" applyFill="1" applyBorder="1" applyAlignment="1">
      <alignment horizontal="center" vertical="center"/>
    </xf>
    <xf numFmtId="0" fontId="144" fillId="37" borderId="7" xfId="32" applyFont="1" applyFill="1" applyBorder="1" applyAlignment="1">
      <alignment horizontal="center" vertical="center" wrapText="1"/>
    </xf>
    <xf numFmtId="171" fontId="144" fillId="37" borderId="7" xfId="32" applyNumberFormat="1" applyFont="1" applyFill="1" applyBorder="1" applyAlignment="1">
      <alignment horizontal="center" wrapText="1"/>
    </xf>
    <xf numFmtId="0" fontId="55" fillId="46" borderId="7" xfId="0" applyFont="1" applyFill="1" applyBorder="1" applyAlignment="1">
      <alignment horizontal="left" vertical="center" wrapText="1"/>
    </xf>
    <xf numFmtId="3" fontId="55" fillId="46" borderId="7" xfId="0" applyNumberFormat="1" applyFont="1" applyFill="1" applyBorder="1" applyAlignment="1">
      <alignment horizontal="center" vertical="center" wrapText="1"/>
    </xf>
    <xf numFmtId="171" fontId="144" fillId="37" borderId="7" xfId="32" applyNumberFormat="1" applyFont="1" applyFill="1" applyBorder="1" applyAlignment="1">
      <alignment horizontal="center" vertical="center" wrapText="1"/>
    </xf>
    <xf numFmtId="3" fontId="55" fillId="0" borderId="31" xfId="0" applyNumberFormat="1" applyFont="1" applyBorder="1" applyAlignment="1">
      <alignment horizontal="left" vertical="center"/>
    </xf>
    <xf numFmtId="3" fontId="55" fillId="0" borderId="31" xfId="0" applyNumberFormat="1" applyFont="1" applyBorder="1" applyAlignment="1">
      <alignment horizontal="center" vertical="center"/>
    </xf>
    <xf numFmtId="173" fontId="144" fillId="0" borderId="7" xfId="0" applyNumberFormat="1" applyFont="1" applyBorder="1" applyAlignment="1">
      <alignment horizontal="center" vertical="center"/>
    </xf>
    <xf numFmtId="0" fontId="144" fillId="0" borderId="7" xfId="0" applyFont="1" applyBorder="1" applyAlignment="1">
      <alignment vertical="center"/>
    </xf>
    <xf numFmtId="3" fontId="55" fillId="0" borderId="7" xfId="0" applyNumberFormat="1" applyFont="1" applyBorder="1" applyAlignment="1">
      <alignment horizontal="left" vertical="center"/>
    </xf>
    <xf numFmtId="0" fontId="36" fillId="0" borderId="7" xfId="0" applyFont="1" applyBorder="1" applyAlignment="1">
      <alignment vertical="center"/>
    </xf>
    <xf numFmtId="3" fontId="36" fillId="0" borderId="7" xfId="0" applyNumberFormat="1" applyFont="1" applyBorder="1" applyAlignment="1">
      <alignment horizontal="center" vertical="center"/>
    </xf>
    <xf numFmtId="0" fontId="144" fillId="46" borderId="7" xfId="0" applyFont="1" applyFill="1" applyBorder="1" applyAlignment="1">
      <alignment horizontal="left" vertical="center" wrapText="1"/>
    </xf>
    <xf numFmtId="3" fontId="144" fillId="46" borderId="7" xfId="0" applyNumberFormat="1" applyFont="1" applyFill="1" applyBorder="1" applyAlignment="1">
      <alignment horizontal="center" vertical="center" wrapText="1"/>
    </xf>
    <xf numFmtId="0" fontId="55" fillId="0" borderId="7" xfId="0" applyFont="1" applyBorder="1" applyAlignment="1">
      <alignment vertical="center"/>
    </xf>
    <xf numFmtId="3" fontId="36" fillId="0" borderId="7" xfId="0" applyNumberFormat="1" applyFont="1" applyBorder="1" applyAlignment="1">
      <alignment horizontal="right" vertical="center" wrapText="1"/>
    </xf>
    <xf numFmtId="0" fontId="144" fillId="0" borderId="7" xfId="0" applyFont="1" applyBorder="1"/>
    <xf numFmtId="3" fontId="144" fillId="22" borderId="7" xfId="0" applyNumberFormat="1" applyFont="1" applyFill="1" applyBorder="1" applyAlignment="1">
      <alignment horizontal="left" vertical="center"/>
    </xf>
    <xf numFmtId="3" fontId="144" fillId="22" borderId="7" xfId="0" applyNumberFormat="1" applyFont="1" applyFill="1" applyBorder="1" applyAlignment="1">
      <alignment horizontal="center" vertical="center"/>
    </xf>
    <xf numFmtId="173" fontId="144" fillId="22" borderId="7" xfId="0" applyNumberFormat="1" applyFont="1" applyFill="1" applyBorder="1" applyAlignment="1">
      <alignment horizontal="center" vertical="center"/>
    </xf>
    <xf numFmtId="0" fontId="144" fillId="0" borderId="0" xfId="0" applyFont="1" applyAlignment="1">
      <alignment horizontal="center"/>
    </xf>
    <xf numFmtId="10" fontId="144" fillId="0" borderId="0" xfId="0" applyNumberFormat="1" applyFont="1"/>
    <xf numFmtId="0" fontId="36" fillId="0" borderId="0" xfId="0" applyFont="1" applyAlignment="1">
      <alignment horizontal="right" vertical="center"/>
    </xf>
    <xf numFmtId="3" fontId="36" fillId="0" borderId="0" xfId="0" applyNumberFormat="1" applyFont="1" applyAlignment="1">
      <alignment vertical="center"/>
    </xf>
    <xf numFmtId="3" fontId="55" fillId="0" borderId="0" xfId="0" applyNumberFormat="1" applyFont="1" applyAlignment="1">
      <alignment vertical="center"/>
    </xf>
    <xf numFmtId="3" fontId="55" fillId="0" borderId="7" xfId="0" applyNumberFormat="1" applyFont="1" applyBorder="1" applyAlignment="1">
      <alignment horizontal="right" vertical="center"/>
    </xf>
    <xf numFmtId="3" fontId="55" fillId="0" borderId="113" xfId="0" applyNumberFormat="1" applyFont="1" applyBorder="1" applyAlignment="1">
      <alignment horizontal="center" vertical="center"/>
    </xf>
    <xf numFmtId="0" fontId="55" fillId="26" borderId="7" xfId="0" applyFont="1" applyFill="1" applyBorder="1" applyAlignment="1">
      <alignment vertical="center"/>
    </xf>
    <xf numFmtId="3" fontId="36" fillId="0" borderId="7" xfId="0" applyNumberFormat="1" applyFont="1" applyBorder="1" applyAlignment="1">
      <alignment horizontal="right" vertical="center"/>
    </xf>
    <xf numFmtId="0" fontId="55" fillId="0" borderId="0" xfId="0" applyFont="1" applyAlignment="1">
      <alignment horizontal="center" vertical="center"/>
    </xf>
    <xf numFmtId="0" fontId="144" fillId="37" borderId="63" xfId="0" applyFont="1" applyFill="1" applyBorder="1" applyAlignment="1">
      <alignment horizontal="center" vertical="center" wrapText="1"/>
    </xf>
    <xf numFmtId="173" fontId="144" fillId="0" borderId="0" xfId="1" applyNumberFormat="1" applyFont="1" applyBorder="1" applyAlignment="1" applyProtection="1">
      <alignment horizontal="center" vertical="center"/>
    </xf>
    <xf numFmtId="0" fontId="36" fillId="0" borderId="7" xfId="0" applyFont="1" applyBorder="1" applyAlignment="1">
      <alignment horizontal="right" vertical="center"/>
    </xf>
    <xf numFmtId="173" fontId="36" fillId="0" borderId="7" xfId="1" applyNumberFormat="1" applyFont="1" applyBorder="1" applyAlignment="1" applyProtection="1">
      <alignment horizontal="center" vertical="center"/>
    </xf>
    <xf numFmtId="173" fontId="36" fillId="0" borderId="0" xfId="1" applyNumberFormat="1" applyFont="1" applyBorder="1" applyAlignment="1" applyProtection="1">
      <alignment horizontal="center" vertical="center"/>
    </xf>
    <xf numFmtId="3" fontId="167" fillId="46" borderId="7" xfId="0" applyNumberFormat="1" applyFont="1" applyFill="1" applyBorder="1" applyAlignment="1">
      <alignment horizontal="right" vertical="center" wrapText="1"/>
    </xf>
    <xf numFmtId="173" fontId="167" fillId="0" borderId="7" xfId="1" applyNumberFormat="1" applyFont="1" applyBorder="1" applyAlignment="1" applyProtection="1">
      <alignment horizontal="center" vertical="center"/>
    </xf>
    <xf numFmtId="173" fontId="167" fillId="0" borderId="0" xfId="1" applyNumberFormat="1" applyFont="1" applyBorder="1" applyAlignment="1" applyProtection="1">
      <alignment horizontal="center" vertical="center"/>
    </xf>
    <xf numFmtId="0" fontId="55" fillId="0" borderId="0" xfId="0" applyFont="1" applyAlignment="1">
      <alignment vertical="center" wrapText="1"/>
    </xf>
    <xf numFmtId="173" fontId="55" fillId="0" borderId="7" xfId="0" applyNumberFormat="1" applyFont="1" applyBorder="1" applyAlignment="1">
      <alignment horizontal="center" vertical="center"/>
    </xf>
    <xf numFmtId="173" fontId="55" fillId="0" borderId="0" xfId="0" applyNumberFormat="1" applyFont="1" applyAlignment="1">
      <alignment horizontal="center" vertical="center"/>
    </xf>
    <xf numFmtId="173" fontId="36" fillId="0" borderId="7" xfId="0" applyNumberFormat="1" applyFont="1" applyBorder="1" applyAlignment="1">
      <alignment horizontal="center" vertical="center"/>
    </xf>
    <xf numFmtId="173" fontId="36" fillId="0" borderId="0" xfId="0" applyNumberFormat="1" applyFont="1" applyAlignment="1">
      <alignment horizontal="center" vertical="center"/>
    </xf>
    <xf numFmtId="3" fontId="167" fillId="0" borderId="7" xfId="0" applyNumberFormat="1" applyFont="1" applyBorder="1" applyAlignment="1">
      <alignment horizontal="center" vertical="center"/>
    </xf>
    <xf numFmtId="3" fontId="144" fillId="0" borderId="7" xfId="0" applyNumberFormat="1" applyFont="1" applyBorder="1" applyAlignment="1">
      <alignment horizontal="center"/>
    </xf>
    <xf numFmtId="0" fontId="144" fillId="22" borderId="7" xfId="0" applyFont="1" applyFill="1" applyBorder="1" applyAlignment="1">
      <alignment vertical="center"/>
    </xf>
    <xf numFmtId="0" fontId="55" fillId="26" borderId="7" xfId="0" applyFont="1" applyFill="1" applyBorder="1" applyAlignment="1">
      <alignment vertical="center" wrapText="1"/>
    </xf>
    <xf numFmtId="173" fontId="144" fillId="26" borderId="7" xfId="0" applyNumberFormat="1" applyFont="1" applyFill="1" applyBorder="1" applyAlignment="1">
      <alignment horizontal="center" vertical="center"/>
    </xf>
    <xf numFmtId="3" fontId="144" fillId="38" borderId="7" xfId="21" applyNumberFormat="1" applyFont="1" applyFill="1" applyBorder="1">
      <alignment horizontal="center" vertical="center" wrapText="1"/>
    </xf>
    <xf numFmtId="0" fontId="144" fillId="22" borderId="7" xfId="0" applyFont="1" applyFill="1" applyBorder="1" applyAlignment="1">
      <alignment horizontal="center" vertical="center"/>
    </xf>
    <xf numFmtId="0" fontId="144" fillId="37" borderId="7" xfId="0" applyFont="1" applyFill="1" applyBorder="1" applyAlignment="1">
      <alignment vertical="center"/>
    </xf>
    <xf numFmtId="3" fontId="144" fillId="37" borderId="7" xfId="0" applyNumberFormat="1" applyFont="1" applyFill="1" applyBorder="1" applyAlignment="1">
      <alignment horizontal="center" vertical="center"/>
    </xf>
    <xf numFmtId="173" fontId="144" fillId="37" borderId="7" xfId="0" applyNumberFormat="1" applyFont="1" applyFill="1" applyBorder="1" applyAlignment="1">
      <alignment horizontal="center" vertical="center"/>
    </xf>
    <xf numFmtId="178" fontId="55" fillId="0" borderId="7" xfId="0" applyNumberFormat="1" applyFont="1" applyBorder="1" applyAlignment="1">
      <alignment horizontal="center" vertical="center"/>
    </xf>
    <xf numFmtId="3" fontId="55" fillId="0" borderId="0" xfId="0" applyNumberFormat="1" applyFont="1" applyAlignment="1">
      <alignment horizontal="left" vertical="center"/>
    </xf>
    <xf numFmtId="3" fontId="55" fillId="0" borderId="0" xfId="0" applyNumberFormat="1" applyFont="1" applyAlignment="1">
      <alignment horizontal="center" vertical="center"/>
    </xf>
    <xf numFmtId="173" fontId="144" fillId="0" borderId="0" xfId="0" applyNumberFormat="1" applyFont="1" applyAlignment="1">
      <alignment horizontal="center" vertical="center"/>
    </xf>
    <xf numFmtId="0" fontId="36" fillId="26" borderId="7" xfId="0" applyFont="1" applyFill="1" applyBorder="1" applyAlignment="1">
      <alignment vertical="center"/>
    </xf>
    <xf numFmtId="3" fontId="36" fillId="26" borderId="7" xfId="0" applyNumberFormat="1" applyFont="1" applyFill="1" applyBorder="1" applyAlignment="1">
      <alignment horizontal="center" vertical="center"/>
    </xf>
    <xf numFmtId="0" fontId="36" fillId="26" borderId="0" xfId="0" applyFont="1" applyFill="1" applyAlignment="1">
      <alignment vertical="center"/>
    </xf>
    <xf numFmtId="3" fontId="36" fillId="26" borderId="0" xfId="0" applyNumberFormat="1" applyFont="1" applyFill="1" applyAlignment="1">
      <alignment horizontal="center" vertical="center"/>
    </xf>
    <xf numFmtId="0" fontId="55" fillId="0" borderId="0" xfId="0" applyFont="1"/>
    <xf numFmtId="0" fontId="36" fillId="0" borderId="0" xfId="0" applyFont="1" applyAlignment="1">
      <alignment vertical="center"/>
    </xf>
    <xf numFmtId="3" fontId="167" fillId="0" borderId="0" xfId="0" applyNumberFormat="1" applyFont="1" applyAlignment="1">
      <alignment vertical="center"/>
    </xf>
    <xf numFmtId="3" fontId="55" fillId="0" borderId="7" xfId="0" applyNumberFormat="1" applyFont="1" applyBorder="1" applyAlignment="1">
      <alignment horizontal="left" vertical="center" wrapText="1"/>
    </xf>
    <xf numFmtId="0" fontId="36" fillId="0" borderId="7" xfId="0" applyFont="1" applyBorder="1" applyAlignment="1">
      <alignment vertical="center" wrapText="1"/>
    </xf>
    <xf numFmtId="0" fontId="27" fillId="0" borderId="0" xfId="0" applyFont="1" applyAlignment="1">
      <alignment vertical="center" wrapText="1"/>
    </xf>
    <xf numFmtId="0" fontId="148" fillId="37" borderId="7" xfId="54" applyFont="1" applyFill="1" applyBorder="1" applyAlignment="1">
      <alignment horizontal="center" vertical="center" wrapText="1"/>
    </xf>
    <xf numFmtId="173" fontId="144" fillId="0" borderId="62" xfId="0" applyNumberFormat="1" applyFont="1" applyBorder="1" applyAlignment="1">
      <alignment horizontal="center" vertical="center"/>
    </xf>
    <xf numFmtId="0" fontId="55" fillId="22" borderId="7" xfId="0" applyFont="1" applyFill="1" applyBorder="1" applyAlignment="1">
      <alignment vertical="center" wrapText="1"/>
    </xf>
    <xf numFmtId="0" fontId="55" fillId="22" borderId="7" xfId="32" applyFont="1" applyFill="1" applyBorder="1" applyAlignment="1">
      <alignment horizontal="center" vertical="center" wrapText="1"/>
    </xf>
    <xf numFmtId="3" fontId="55" fillId="0" borderId="7" xfId="0" applyNumberFormat="1" applyFont="1" applyBorder="1" applyAlignment="1">
      <alignment vertical="center"/>
    </xf>
    <xf numFmtId="173" fontId="55" fillId="0" borderId="7" xfId="1" applyNumberFormat="1" applyFont="1" applyBorder="1" applyAlignment="1" applyProtection="1">
      <alignment horizontal="center" vertical="center"/>
    </xf>
    <xf numFmtId="3" fontId="55" fillId="0" borderId="7" xfId="0" applyNumberFormat="1" applyFont="1" applyBorder="1" applyAlignment="1">
      <alignment vertical="center" wrapText="1"/>
    </xf>
    <xf numFmtId="3" fontId="144" fillId="47" borderId="7" xfId="0" applyNumberFormat="1" applyFont="1" applyFill="1" applyBorder="1" applyAlignment="1">
      <alignment horizontal="center" vertical="center" wrapText="1"/>
    </xf>
    <xf numFmtId="4" fontId="55" fillId="0" borderId="7" xfId="0" applyNumberFormat="1" applyFont="1" applyBorder="1" applyAlignment="1">
      <alignment horizontal="center" vertical="center"/>
    </xf>
    <xf numFmtId="0" fontId="55" fillId="0" borderId="7" xfId="0" applyFont="1" applyBorder="1" applyAlignment="1">
      <alignment horizontal="center" vertical="center"/>
    </xf>
    <xf numFmtId="3" fontId="55" fillId="49" borderId="7" xfId="0" applyNumberFormat="1" applyFont="1" applyFill="1" applyBorder="1" applyAlignment="1">
      <alignment horizontal="center" vertical="center"/>
    </xf>
    <xf numFmtId="10" fontId="55" fillId="0" borderId="7" xfId="0" applyNumberFormat="1" applyFont="1" applyBorder="1" applyAlignment="1">
      <alignment horizontal="center" vertical="center"/>
    </xf>
    <xf numFmtId="4" fontId="144" fillId="0" borderId="7" xfId="0" applyNumberFormat="1" applyFont="1" applyBorder="1" applyAlignment="1">
      <alignment horizontal="center" vertical="center"/>
    </xf>
    <xf numFmtId="0" fontId="144" fillId="0" borderId="7" xfId="0" applyFont="1" applyBorder="1" applyAlignment="1">
      <alignment horizontal="center" vertical="center"/>
    </xf>
    <xf numFmtId="177" fontId="144" fillId="0" borderId="7" xfId="0" applyNumberFormat="1" applyFont="1" applyBorder="1" applyAlignment="1">
      <alignment horizontal="center" vertical="center" wrapText="1"/>
    </xf>
    <xf numFmtId="0" fontId="144" fillId="0" borderId="7" xfId="0" applyFont="1" applyBorder="1" applyAlignment="1">
      <alignment horizontal="right" vertical="center"/>
    </xf>
    <xf numFmtId="0" fontId="144" fillId="37" borderId="63" xfId="56" applyFont="1" applyFill="1" applyBorder="1" applyAlignment="1">
      <alignment horizontal="center" vertical="center" wrapText="1"/>
    </xf>
    <xf numFmtId="0" fontId="144" fillId="37" borderId="7" xfId="54" applyFont="1" applyFill="1" applyBorder="1" applyAlignment="1">
      <alignment horizontal="center" vertical="center" wrapText="1"/>
    </xf>
    <xf numFmtId="176" fontId="36" fillId="0" borderId="7" xfId="0" applyNumberFormat="1" applyFont="1" applyBorder="1" applyAlignment="1">
      <alignment horizontal="center" vertical="center"/>
    </xf>
    <xf numFmtId="0" fontId="43" fillId="0" borderId="0" xfId="0" applyFont="1" applyAlignment="1">
      <alignment vertical="top" wrapText="1"/>
    </xf>
    <xf numFmtId="10" fontId="41" fillId="0" borderId="36" xfId="1" applyNumberFormat="1" applyFont="1" applyFill="1" applyBorder="1" applyAlignment="1" applyProtection="1">
      <alignment horizontal="center" vertical="center"/>
    </xf>
    <xf numFmtId="10" fontId="41" fillId="0" borderId="7" xfId="1" applyNumberFormat="1" applyFont="1" applyFill="1" applyBorder="1" applyAlignment="1" applyProtection="1">
      <alignment horizontal="center" vertical="center"/>
    </xf>
    <xf numFmtId="4" fontId="41" fillId="0" borderId="24" xfId="0" applyNumberFormat="1" applyFont="1" applyBorder="1" applyAlignment="1">
      <alignment horizontal="center" vertical="center"/>
    </xf>
    <xf numFmtId="4" fontId="41" fillId="20" borderId="24" xfId="0" applyNumberFormat="1" applyFont="1" applyFill="1" applyBorder="1" applyAlignment="1">
      <alignment horizontal="center" vertical="center"/>
    </xf>
    <xf numFmtId="3" fontId="41" fillId="0" borderId="24" xfId="0" applyNumberFormat="1" applyFont="1" applyBorder="1" applyAlignment="1">
      <alignment horizontal="center" vertical="center"/>
    </xf>
    <xf numFmtId="4" fontId="41" fillId="20" borderId="36" xfId="0" applyNumberFormat="1" applyFont="1" applyFill="1" applyBorder="1" applyAlignment="1">
      <alignment horizontal="center" vertical="center"/>
    </xf>
    <xf numFmtId="10" fontId="41" fillId="0" borderId="52" xfId="1" applyNumberFormat="1" applyFont="1" applyFill="1" applyBorder="1" applyAlignment="1" applyProtection="1">
      <alignment horizontal="center" vertical="center"/>
    </xf>
    <xf numFmtId="10" fontId="41" fillId="0" borderId="53" xfId="1" applyNumberFormat="1" applyFont="1" applyFill="1" applyBorder="1" applyAlignment="1" applyProtection="1">
      <alignment horizontal="center" vertical="center"/>
    </xf>
    <xf numFmtId="177" fontId="40" fillId="39" borderId="7" xfId="0" applyNumberFormat="1" applyFont="1" applyFill="1" applyBorder="1" applyAlignment="1">
      <alignment horizontal="center" vertical="center"/>
    </xf>
    <xf numFmtId="0" fontId="40" fillId="0" borderId="2" xfId="0" applyFont="1" applyBorder="1" applyAlignment="1">
      <alignment horizontal="center" vertical="center"/>
    </xf>
    <xf numFmtId="172" fontId="40" fillId="51" borderId="38" xfId="0" applyNumberFormat="1" applyFont="1" applyFill="1" applyBorder="1" applyAlignment="1">
      <alignment horizontal="center" vertical="center"/>
    </xf>
    <xf numFmtId="172" fontId="40" fillId="25" borderId="9" xfId="0" applyNumberFormat="1" applyFont="1" applyFill="1" applyBorder="1" applyAlignment="1">
      <alignment horizontal="center" vertical="center"/>
    </xf>
    <xf numFmtId="2" fontId="41" fillId="37" borderId="1" xfId="0" applyNumberFormat="1" applyFont="1" applyFill="1" applyBorder="1" applyAlignment="1">
      <alignment horizontal="center" vertical="center"/>
    </xf>
    <xf numFmtId="177" fontId="40" fillId="51" borderId="9" xfId="0" applyNumberFormat="1" applyFont="1" applyFill="1" applyBorder="1" applyAlignment="1">
      <alignment horizontal="center" vertical="center"/>
    </xf>
    <xf numFmtId="177" fontId="40" fillId="51" borderId="10" xfId="0" applyNumberFormat="1" applyFont="1" applyFill="1" applyBorder="1" applyAlignment="1">
      <alignment horizontal="center" vertical="center"/>
    </xf>
    <xf numFmtId="0" fontId="40" fillId="39" borderId="0" xfId="0" applyFont="1" applyFill="1" applyAlignment="1">
      <alignment vertical="center"/>
    </xf>
    <xf numFmtId="172" fontId="40" fillId="25" borderId="38" xfId="0" applyNumberFormat="1" applyFont="1" applyFill="1" applyBorder="1" applyAlignment="1">
      <alignment horizontal="center" vertical="center"/>
    </xf>
    <xf numFmtId="2" fontId="41" fillId="2" borderId="0" xfId="0" applyNumberFormat="1" applyFont="1" applyFill="1" applyAlignment="1">
      <alignment vertical="center"/>
    </xf>
    <xf numFmtId="2" fontId="41" fillId="2" borderId="25" xfId="0" applyNumberFormat="1" applyFont="1" applyFill="1" applyBorder="1" applyAlignment="1">
      <alignment vertical="center"/>
    </xf>
    <xf numFmtId="2" fontId="41" fillId="37" borderId="7" xfId="0" applyNumberFormat="1" applyFont="1" applyFill="1" applyBorder="1" applyAlignment="1">
      <alignment horizontal="center" vertical="center"/>
    </xf>
    <xf numFmtId="2" fontId="41" fillId="2" borderId="16" xfId="0" applyNumberFormat="1" applyFont="1" applyFill="1" applyBorder="1" applyAlignment="1">
      <alignment vertical="center"/>
    </xf>
    <xf numFmtId="177" fontId="40" fillId="39" borderId="53" xfId="0" applyNumberFormat="1" applyFont="1" applyFill="1" applyBorder="1" applyAlignment="1">
      <alignment horizontal="center" vertical="center"/>
    </xf>
    <xf numFmtId="2" fontId="41" fillId="37" borderId="63" xfId="0" applyNumberFormat="1" applyFont="1" applyFill="1" applyBorder="1" applyAlignment="1">
      <alignment horizontal="center" vertical="center"/>
    </xf>
    <xf numFmtId="177" fontId="40" fillId="2" borderId="63" xfId="0" applyNumberFormat="1" applyFont="1" applyFill="1" applyBorder="1" applyAlignment="1">
      <alignment horizontal="center" vertical="center"/>
    </xf>
    <xf numFmtId="177" fontId="40" fillId="39" borderId="63" xfId="0" applyNumberFormat="1" applyFont="1" applyFill="1" applyBorder="1" applyAlignment="1">
      <alignment horizontal="center" vertical="center"/>
    </xf>
    <xf numFmtId="177" fontId="40" fillId="39" borderId="55" xfId="0" applyNumberFormat="1" applyFont="1" applyFill="1" applyBorder="1" applyAlignment="1">
      <alignment horizontal="center" vertical="center"/>
    </xf>
    <xf numFmtId="2" fontId="41" fillId="37" borderId="9" xfId="0" applyNumberFormat="1" applyFont="1" applyFill="1" applyBorder="1" applyAlignment="1">
      <alignment horizontal="center" vertical="center"/>
    </xf>
    <xf numFmtId="0" fontId="40" fillId="37" borderId="41" xfId="0" applyFont="1" applyFill="1" applyBorder="1" applyAlignment="1">
      <alignment horizontal="center" vertical="center"/>
    </xf>
    <xf numFmtId="0" fontId="40" fillId="0" borderId="3" xfId="0" applyFont="1" applyBorder="1" applyAlignment="1">
      <alignment horizontal="left" vertical="center" wrapText="1"/>
    </xf>
    <xf numFmtId="0" fontId="40" fillId="0" borderId="65" xfId="0" applyFont="1" applyBorder="1" applyAlignment="1">
      <alignment horizontal="left" vertical="center" wrapText="1"/>
    </xf>
    <xf numFmtId="0" fontId="40" fillId="0" borderId="6" xfId="0" applyFont="1" applyBorder="1" applyAlignment="1">
      <alignment horizontal="left" vertical="center" wrapText="1"/>
    </xf>
    <xf numFmtId="0" fontId="41" fillId="0" borderId="32" xfId="0" applyFont="1" applyBorder="1" applyAlignment="1">
      <alignment horizontal="right" vertical="center"/>
    </xf>
    <xf numFmtId="0" fontId="40" fillId="39" borderId="3" xfId="0" applyFont="1" applyFill="1" applyBorder="1" applyAlignment="1">
      <alignment horizontal="left" vertical="center" wrapText="1"/>
    </xf>
    <xf numFmtId="0" fontId="40" fillId="0" borderId="39" xfId="0" applyFont="1" applyBorder="1" applyAlignment="1">
      <alignment horizontal="center" vertical="center"/>
    </xf>
    <xf numFmtId="0" fontId="41" fillId="0" borderId="69" xfId="0" applyFont="1" applyBorder="1" applyAlignment="1">
      <alignment horizontal="right" vertical="center"/>
    </xf>
    <xf numFmtId="0" fontId="81" fillId="26" borderId="0" xfId="0" applyFont="1" applyFill="1" applyAlignment="1">
      <alignment vertical="center"/>
    </xf>
    <xf numFmtId="2" fontId="40" fillId="26" borderId="0" xfId="83" applyNumberFormat="1" applyFont="1" applyFill="1" applyAlignment="1">
      <alignment horizontal="center" vertical="center" textRotation="90" wrapText="1"/>
    </xf>
    <xf numFmtId="2" fontId="41" fillId="26" borderId="0" xfId="83" applyNumberFormat="1" applyFont="1" applyFill="1" applyAlignment="1">
      <alignment horizontal="left" vertical="center" wrapText="1"/>
    </xf>
    <xf numFmtId="2" fontId="41" fillId="26" borderId="0" xfId="83" applyNumberFormat="1" applyFont="1" applyFill="1" applyAlignment="1">
      <alignment horizontal="center" vertical="center" wrapText="1"/>
    </xf>
    <xf numFmtId="3" fontId="41" fillId="26" borderId="0" xfId="49" applyNumberFormat="1" applyFont="1" applyFill="1" applyAlignment="1">
      <alignment horizontal="center" vertical="center" wrapText="1"/>
    </xf>
    <xf numFmtId="0" fontId="12" fillId="26" borderId="0" xfId="49" applyFont="1" applyFill="1" applyAlignment="1">
      <alignment vertical="center"/>
    </xf>
    <xf numFmtId="175" fontId="41" fillId="26" borderId="0" xfId="49" applyNumberFormat="1" applyFont="1" applyFill="1" applyAlignment="1">
      <alignment horizontal="center" vertical="center" wrapText="1"/>
    </xf>
    <xf numFmtId="0" fontId="41" fillId="26" borderId="0" xfId="49" applyFont="1" applyFill="1" applyAlignment="1">
      <alignment horizontal="center" vertical="center" wrapText="1"/>
    </xf>
    <xf numFmtId="0" fontId="52" fillId="26" borderId="0" xfId="49" applyFont="1" applyFill="1" applyAlignment="1">
      <alignment horizontal="center" vertical="center"/>
    </xf>
    <xf numFmtId="0" fontId="65" fillId="26" borderId="0" xfId="0" applyFont="1" applyFill="1" applyAlignment="1">
      <alignment horizontal="right" vertical="center"/>
    </xf>
    <xf numFmtId="0" fontId="36" fillId="26" borderId="0" xfId="0" applyFont="1" applyFill="1" applyAlignment="1">
      <alignment horizontal="center" vertical="center"/>
    </xf>
    <xf numFmtId="0" fontId="52" fillId="26" borderId="0" xfId="49" applyFont="1" applyFill="1" applyAlignment="1">
      <alignment horizontal="left" vertical="center" wrapText="1"/>
    </xf>
    <xf numFmtId="0" fontId="21" fillId="26" borderId="0" xfId="49" applyFont="1" applyFill="1" applyAlignment="1">
      <alignment vertical="center"/>
    </xf>
    <xf numFmtId="168" fontId="52" fillId="26" borderId="0" xfId="49" applyNumberFormat="1" applyFont="1" applyFill="1" applyAlignment="1">
      <alignment horizontal="center" vertical="center" wrapText="1"/>
    </xf>
    <xf numFmtId="0" fontId="52" fillId="26" borderId="0" xfId="49" applyFont="1" applyFill="1" applyAlignment="1">
      <alignment horizontal="center" vertical="center" wrapText="1"/>
    </xf>
    <xf numFmtId="175" fontId="52" fillId="26" borderId="0" xfId="49" applyNumberFormat="1" applyFont="1" applyFill="1" applyAlignment="1">
      <alignment horizontal="center" vertical="center" wrapText="1"/>
    </xf>
    <xf numFmtId="0" fontId="84" fillId="26" borderId="0" xfId="0" applyFont="1" applyFill="1" applyAlignment="1">
      <alignment horizontal="left" vertical="center"/>
    </xf>
    <xf numFmtId="0" fontId="12" fillId="26" borderId="0" xfId="0" applyFont="1" applyFill="1" applyAlignment="1">
      <alignment vertical="center"/>
    </xf>
    <xf numFmtId="0" fontId="19" fillId="26" borderId="0" xfId="49" applyFont="1" applyFill="1" applyAlignment="1">
      <alignment horizontal="center" vertical="center"/>
    </xf>
    <xf numFmtId="175" fontId="19" fillId="26" borderId="0" xfId="49" applyNumberFormat="1" applyFont="1" applyFill="1" applyAlignment="1">
      <alignment horizontal="center" vertical="center"/>
    </xf>
    <xf numFmtId="0" fontId="65" fillId="0" borderId="0" xfId="0" applyFont="1"/>
    <xf numFmtId="0" fontId="65" fillId="0" borderId="0" xfId="0" applyFont="1" applyAlignment="1">
      <alignment horizontal="center"/>
    </xf>
    <xf numFmtId="0" fontId="57" fillId="0" borderId="0" xfId="0" applyFont="1" applyAlignment="1">
      <alignment vertical="center"/>
    </xf>
    <xf numFmtId="0" fontId="65" fillId="0" borderId="0" xfId="0" applyFont="1" applyAlignment="1">
      <alignment vertical="center"/>
    </xf>
    <xf numFmtId="0" fontId="47" fillId="0" borderId="0" xfId="0" applyFont="1" applyAlignment="1">
      <alignment vertical="center"/>
    </xf>
    <xf numFmtId="0" fontId="47" fillId="0" borderId="0" xfId="32" applyFont="1" applyAlignment="1">
      <alignment horizontal="center" vertical="center"/>
    </xf>
    <xf numFmtId="0" fontId="47" fillId="0" borderId="0" xfId="32" applyFont="1" applyAlignment="1">
      <alignment vertical="center"/>
    </xf>
    <xf numFmtId="0" fontId="84" fillId="0" borderId="0" xfId="0" applyFont="1" applyAlignment="1">
      <alignment vertical="center"/>
    </xf>
    <xf numFmtId="0" fontId="126" fillId="0" borderId="0" xfId="0" applyFont="1" applyAlignment="1">
      <alignment vertical="center"/>
    </xf>
    <xf numFmtId="0" fontId="126" fillId="0" borderId="0" xfId="32" applyFont="1" applyAlignment="1">
      <alignment horizontal="center" vertical="center"/>
    </xf>
    <xf numFmtId="0" fontId="126" fillId="0" borderId="0" xfId="32" applyFont="1" applyAlignment="1">
      <alignment vertical="center"/>
    </xf>
    <xf numFmtId="168" fontId="41" fillId="26" borderId="31" xfId="0" applyNumberFormat="1" applyFont="1" applyFill="1" applyBorder="1" applyAlignment="1">
      <alignment horizontal="center" vertical="center"/>
    </xf>
    <xf numFmtId="9" fontId="41" fillId="26" borderId="51" xfId="70" applyFont="1" applyFill="1" applyBorder="1" applyAlignment="1" applyProtection="1">
      <alignment horizontal="center" vertical="center"/>
    </xf>
    <xf numFmtId="9" fontId="41" fillId="26" borderId="21" xfId="70" applyFont="1" applyFill="1" applyBorder="1" applyAlignment="1" applyProtection="1">
      <alignment horizontal="center" vertical="center"/>
    </xf>
    <xf numFmtId="9" fontId="42" fillId="26" borderId="51" xfId="70" applyFont="1" applyFill="1" applyBorder="1" applyAlignment="1" applyProtection="1">
      <alignment horizontal="center" vertical="center"/>
    </xf>
    <xf numFmtId="9" fontId="42" fillId="26" borderId="17" xfId="70" applyFont="1" applyFill="1" applyBorder="1" applyAlignment="1" applyProtection="1">
      <alignment horizontal="center" vertical="center"/>
    </xf>
    <xf numFmtId="173" fontId="41" fillId="26" borderId="51" xfId="70" applyNumberFormat="1" applyFont="1" applyFill="1" applyBorder="1" applyAlignment="1" applyProtection="1">
      <alignment horizontal="center" vertical="center"/>
    </xf>
    <xf numFmtId="173" fontId="41" fillId="26" borderId="17" xfId="70" applyNumberFormat="1" applyFont="1" applyFill="1" applyBorder="1" applyAlignment="1" applyProtection="1">
      <alignment horizontal="center" vertical="center"/>
    </xf>
    <xf numFmtId="173" fontId="41" fillId="26" borderId="21" xfId="70" applyNumberFormat="1" applyFont="1" applyFill="1" applyBorder="1" applyAlignment="1" applyProtection="1">
      <alignment horizontal="center" vertical="center"/>
    </xf>
    <xf numFmtId="173" fontId="42" fillId="26" borderId="51" xfId="70" applyNumberFormat="1" applyFont="1" applyFill="1" applyBorder="1" applyAlignment="1" applyProtection="1">
      <alignment horizontal="center" vertical="center"/>
    </xf>
    <xf numFmtId="173" fontId="42" fillId="26" borderId="17" xfId="70" applyNumberFormat="1" applyFont="1" applyFill="1" applyBorder="1" applyAlignment="1" applyProtection="1">
      <alignment horizontal="center" vertical="center"/>
    </xf>
    <xf numFmtId="173" fontId="41" fillId="26" borderId="39" xfId="70" applyNumberFormat="1" applyFont="1" applyFill="1" applyBorder="1" applyAlignment="1" applyProtection="1">
      <alignment horizontal="center" vertical="center"/>
    </xf>
    <xf numFmtId="49" fontId="12" fillId="26" borderId="0" xfId="31" applyNumberFormat="1" applyFont="1" applyFill="1" applyAlignment="1">
      <alignment horizontal="center" vertical="center"/>
    </xf>
    <xf numFmtId="0" fontId="79" fillId="26" borderId="0" xfId="31" applyFont="1" applyFill="1" applyAlignment="1">
      <alignment vertical="center"/>
    </xf>
    <xf numFmtId="3" fontId="12" fillId="26" borderId="51" xfId="32" applyNumberFormat="1" applyFont="1" applyFill="1" applyBorder="1" applyAlignment="1">
      <alignment horizontal="center" vertical="center"/>
    </xf>
    <xf numFmtId="3" fontId="12" fillId="26" borderId="17" xfId="32" applyNumberFormat="1" applyFont="1" applyFill="1" applyBorder="1" applyAlignment="1">
      <alignment horizontal="center" vertical="center"/>
    </xf>
    <xf numFmtId="3" fontId="12" fillId="26" borderId="21" xfId="32" applyNumberFormat="1" applyFont="1" applyFill="1" applyBorder="1" applyAlignment="1">
      <alignment horizontal="center" vertical="center"/>
    </xf>
    <xf numFmtId="0" fontId="41" fillId="28" borderId="17" xfId="0" applyFont="1" applyFill="1" applyBorder="1" applyAlignment="1">
      <alignment horizontal="center" vertical="center" wrapText="1"/>
    </xf>
    <xf numFmtId="172" fontId="41" fillId="28" borderId="31" xfId="0" applyNumberFormat="1" applyFont="1" applyFill="1" applyBorder="1" applyAlignment="1" applyProtection="1">
      <alignment horizontal="center" vertical="center"/>
      <protection locked="0"/>
    </xf>
    <xf numFmtId="172" fontId="41" fillId="28" borderId="7" xfId="0" applyNumberFormat="1" applyFont="1" applyFill="1" applyBorder="1" applyAlignment="1" applyProtection="1">
      <alignment horizontal="center" vertical="center"/>
      <protection locked="0"/>
    </xf>
    <xf numFmtId="0" fontId="41" fillId="28" borderId="7" xfId="0" applyFont="1" applyFill="1" applyBorder="1" applyAlignment="1" applyProtection="1">
      <alignment horizontal="left" vertical="center" wrapText="1"/>
      <protection locked="0"/>
    </xf>
    <xf numFmtId="3" fontId="65" fillId="26" borderId="32" xfId="52" applyNumberFormat="1" applyFont="1" applyFill="1" applyBorder="1" applyAlignment="1">
      <alignment horizontal="center" vertical="center"/>
    </xf>
    <xf numFmtId="0" fontId="96" fillId="20" borderId="64" xfId="88" applyFont="1" applyFill="1" applyBorder="1" applyAlignment="1">
      <alignment horizontal="right" vertical="center" wrapText="1"/>
    </xf>
    <xf numFmtId="0" fontId="96" fillId="20" borderId="37" xfId="88" applyFont="1" applyFill="1" applyBorder="1" applyAlignment="1">
      <alignment horizontal="center" vertical="center" wrapText="1"/>
    </xf>
    <xf numFmtId="10" fontId="96" fillId="26" borderId="63" xfId="70" applyNumberFormat="1" applyFont="1" applyFill="1" applyBorder="1" applyAlignment="1" applyProtection="1">
      <alignment horizontal="center" vertical="center" wrapText="1"/>
    </xf>
    <xf numFmtId="10" fontId="96" fillId="26" borderId="64" xfId="70" applyNumberFormat="1" applyFont="1" applyFill="1" applyBorder="1" applyAlignment="1" applyProtection="1">
      <alignment horizontal="center" vertical="center" wrapText="1"/>
    </xf>
    <xf numFmtId="10" fontId="96" fillId="26" borderId="39" xfId="70" applyNumberFormat="1" applyFont="1" applyFill="1" applyBorder="1" applyAlignment="1" applyProtection="1">
      <alignment horizontal="center" vertical="center" wrapText="1"/>
    </xf>
    <xf numFmtId="0" fontId="42" fillId="27" borderId="36" xfId="32" applyFont="1" applyFill="1" applyBorder="1" applyAlignment="1">
      <alignment horizontal="center" vertical="center"/>
    </xf>
    <xf numFmtId="0" fontId="96" fillId="20" borderId="55" xfId="88" applyFont="1" applyFill="1" applyBorder="1" applyAlignment="1">
      <alignment horizontal="right" vertical="center" wrapText="1"/>
    </xf>
    <xf numFmtId="10" fontId="96" fillId="26" borderId="55" xfId="70" applyNumberFormat="1" applyFont="1" applyFill="1" applyBorder="1" applyAlignment="1" applyProtection="1">
      <alignment horizontal="center" vertical="center" wrapText="1"/>
    </xf>
    <xf numFmtId="173" fontId="163" fillId="26" borderId="39" xfId="70" applyNumberFormat="1" applyFont="1" applyFill="1" applyBorder="1" applyAlignment="1" applyProtection="1">
      <alignment horizontal="center" vertical="center" wrapText="1"/>
    </xf>
    <xf numFmtId="0" fontId="96" fillId="20" borderId="39" xfId="88" applyFont="1" applyFill="1" applyBorder="1" applyAlignment="1">
      <alignment horizontal="center" vertical="center" wrapText="1"/>
    </xf>
    <xf numFmtId="10" fontId="96" fillId="26" borderId="18" xfId="70" applyNumberFormat="1" applyFont="1" applyFill="1" applyBorder="1" applyAlignment="1" applyProtection="1">
      <alignment horizontal="center" vertical="center" wrapText="1"/>
    </xf>
    <xf numFmtId="3" fontId="57" fillId="26" borderId="52" xfId="57" applyNumberFormat="1" applyFont="1" applyFill="1" applyBorder="1" applyAlignment="1">
      <alignment horizontal="center" vertical="center"/>
    </xf>
    <xf numFmtId="3" fontId="57" fillId="26" borderId="7" xfId="57" applyNumberFormat="1" applyFont="1" applyFill="1" applyBorder="1" applyAlignment="1">
      <alignment horizontal="center" vertical="center"/>
    </xf>
    <xf numFmtId="3" fontId="57" fillId="26" borderId="53" xfId="57" applyNumberFormat="1" applyFont="1" applyFill="1" applyBorder="1" applyAlignment="1">
      <alignment horizontal="center" vertical="center"/>
    </xf>
    <xf numFmtId="0" fontId="40" fillId="0" borderId="31" xfId="0" applyFont="1" applyBorder="1" applyAlignment="1">
      <alignment vertical="center" wrapText="1"/>
    </xf>
    <xf numFmtId="0" fontId="41" fillId="0" borderId="61" xfId="0" applyFont="1" applyBorder="1" applyAlignment="1">
      <alignment horizontal="center" vertical="center"/>
    </xf>
    <xf numFmtId="1" fontId="40" fillId="26" borderId="31" xfId="59" applyNumberFormat="1" applyFont="1" applyFill="1" applyBorder="1" applyAlignment="1" applyProtection="1">
      <alignment horizontal="center" vertical="center"/>
    </xf>
    <xf numFmtId="3" fontId="40" fillId="26" borderId="31" xfId="32" applyNumberFormat="1" applyFont="1" applyFill="1" applyBorder="1" applyAlignment="1">
      <alignment horizontal="center" vertical="center"/>
    </xf>
    <xf numFmtId="3" fontId="40" fillId="26" borderId="50" xfId="32" applyNumberFormat="1" applyFont="1" applyFill="1" applyBorder="1" applyAlignment="1">
      <alignment horizontal="center" vertical="center"/>
    </xf>
    <xf numFmtId="0" fontId="40" fillId="37" borderId="38" xfId="0" applyFont="1" applyFill="1" applyBorder="1" applyAlignment="1">
      <alignment horizontal="center" vertical="center" wrapText="1"/>
    </xf>
    <xf numFmtId="0" fontId="40" fillId="37" borderId="9" xfId="0" applyFont="1" applyFill="1" applyBorder="1" applyAlignment="1">
      <alignment horizontal="center" vertical="center" wrapText="1"/>
    </xf>
    <xf numFmtId="171" fontId="40" fillId="37" borderId="3" xfId="0" applyNumberFormat="1" applyFont="1" applyFill="1" applyBorder="1" applyAlignment="1">
      <alignment horizontal="center" vertical="center" wrapText="1"/>
    </xf>
    <xf numFmtId="0" fontId="13" fillId="27" borderId="0" xfId="52" applyFont="1" applyFill="1" applyAlignment="1">
      <alignment horizontal="right" vertical="center"/>
    </xf>
    <xf numFmtId="0" fontId="12" fillId="27" borderId="0" xfId="0" applyFont="1" applyFill="1" applyAlignment="1">
      <alignment wrapText="1"/>
    </xf>
    <xf numFmtId="49" fontId="20" fillId="27" borderId="35" xfId="31" applyNumberFormat="1" applyFont="1" applyFill="1" applyBorder="1" applyAlignment="1">
      <alignment horizontal="center" vertical="center"/>
    </xf>
    <xf numFmtId="0" fontId="21" fillId="27" borderId="35" xfId="31" applyFont="1" applyFill="1" applyBorder="1" applyAlignment="1">
      <alignment horizontal="left" vertical="center"/>
    </xf>
    <xf numFmtId="0" fontId="21" fillId="27" borderId="34" xfId="0" applyFont="1" applyFill="1" applyBorder="1" applyAlignment="1">
      <alignment wrapText="1"/>
    </xf>
    <xf numFmtId="0" fontId="12" fillId="27" borderId="34" xfId="0" applyFont="1" applyFill="1" applyBorder="1"/>
    <xf numFmtId="0" fontId="12" fillId="22" borderId="0" xfId="0" applyFont="1" applyFill="1" applyAlignment="1">
      <alignment vertical="center"/>
    </xf>
    <xf numFmtId="0" fontId="34" fillId="22" borderId="0" xfId="31" applyFont="1" applyFill="1" applyAlignment="1">
      <alignment vertical="center"/>
    </xf>
    <xf numFmtId="0" fontId="21" fillId="22" borderId="154" xfId="0" applyFont="1" applyFill="1" applyBorder="1" applyAlignment="1">
      <alignment horizontal="center" vertical="center" wrapText="1"/>
    </xf>
    <xf numFmtId="0" fontId="12" fillId="0" borderId="154" xfId="0" applyFont="1" applyBorder="1" applyAlignment="1">
      <alignment horizontal="center" vertical="center"/>
    </xf>
    <xf numFmtId="0" fontId="12" fillId="0" borderId="154" xfId="0" applyFont="1" applyBorder="1" applyAlignment="1">
      <alignment horizontal="center" vertical="center" wrapText="1"/>
    </xf>
    <xf numFmtId="3" fontId="12" fillId="0" borderId="154" xfId="0" applyNumberFormat="1" applyFont="1" applyBorder="1" applyAlignment="1">
      <alignment vertical="center"/>
    </xf>
    <xf numFmtId="0" fontId="13" fillId="27" borderId="0" xfId="52" applyFont="1" applyFill="1" applyAlignment="1">
      <alignment vertical="center"/>
    </xf>
    <xf numFmtId="0" fontId="57" fillId="27" borderId="155" xfId="80" applyFont="1" applyFill="1" applyBorder="1" applyAlignment="1">
      <alignment horizontal="center" vertical="center"/>
    </xf>
    <xf numFmtId="2" fontId="57" fillId="27" borderId="155" xfId="80" applyNumberFormat="1" applyFont="1" applyFill="1" applyBorder="1" applyAlignment="1">
      <alignment vertical="center"/>
    </xf>
    <xf numFmtId="1" fontId="57" fillId="27" borderId="155" xfId="80" applyNumberFormat="1" applyFont="1" applyFill="1" applyBorder="1" applyAlignment="1">
      <alignment vertical="center"/>
    </xf>
    <xf numFmtId="0" fontId="40" fillId="26" borderId="50" xfId="32" applyFont="1" applyFill="1" applyBorder="1" applyAlignment="1">
      <alignment vertical="center" wrapText="1"/>
    </xf>
    <xf numFmtId="171" fontId="40" fillId="22" borderId="154" xfId="0" applyNumberFormat="1" applyFont="1" applyFill="1" applyBorder="1" applyAlignment="1">
      <alignment horizontal="center" vertical="center" wrapText="1"/>
    </xf>
    <xf numFmtId="171" fontId="40" fillId="22" borderId="154" xfId="32" applyNumberFormat="1" applyFont="1" applyFill="1" applyBorder="1" applyAlignment="1">
      <alignment horizontal="center" vertical="center" wrapText="1"/>
    </xf>
    <xf numFmtId="1" fontId="57" fillId="27" borderId="0" xfId="80" applyNumberFormat="1" applyFont="1" applyFill="1" applyAlignment="1">
      <alignment vertical="center"/>
    </xf>
    <xf numFmtId="171" fontId="40" fillId="22" borderId="155" xfId="0" applyNumberFormat="1" applyFont="1" applyFill="1" applyBorder="1" applyAlignment="1">
      <alignment horizontal="center" vertical="center" wrapText="1"/>
    </xf>
    <xf numFmtId="172" fontId="57" fillId="27" borderId="155" xfId="80" applyNumberFormat="1" applyFont="1" applyFill="1" applyBorder="1" applyAlignment="1">
      <alignment vertical="center"/>
    </xf>
    <xf numFmtId="3" fontId="57" fillId="27" borderId="155" xfId="80" applyNumberFormat="1" applyFont="1" applyFill="1" applyBorder="1" applyAlignment="1">
      <alignment vertical="center"/>
    </xf>
    <xf numFmtId="167" fontId="41" fillId="20" borderId="155" xfId="32" applyNumberFormat="1" applyFont="1" applyFill="1" applyBorder="1" applyAlignment="1">
      <alignment horizontal="center" vertical="center"/>
    </xf>
    <xf numFmtId="176" fontId="57" fillId="27" borderId="155" xfId="80" applyNumberFormat="1" applyFont="1" applyFill="1" applyBorder="1" applyAlignment="1">
      <alignment vertical="center"/>
    </xf>
    <xf numFmtId="0" fontId="40" fillId="22" borderId="154" xfId="32" applyFont="1" applyFill="1" applyBorder="1" applyAlignment="1">
      <alignment horizontal="center" vertical="center"/>
    </xf>
    <xf numFmtId="180" fontId="170" fillId="27" borderId="154" xfId="31" applyNumberFormat="1" applyFont="1" applyFill="1" applyBorder="1" applyAlignment="1">
      <alignment vertical="center"/>
    </xf>
    <xf numFmtId="0" fontId="21" fillId="22" borderId="154" xfId="0" applyFont="1" applyFill="1" applyBorder="1" applyAlignment="1">
      <alignment horizontal="center" vertical="center"/>
    </xf>
    <xf numFmtId="3" fontId="171" fillId="27" borderId="155" xfId="80" applyNumberFormat="1" applyFont="1" applyFill="1" applyBorder="1" applyAlignment="1">
      <alignment vertical="center"/>
    </xf>
    <xf numFmtId="0" fontId="21" fillId="22" borderId="154" xfId="0" applyFont="1" applyFill="1" applyBorder="1" applyAlignment="1">
      <alignment vertical="center"/>
    </xf>
    <xf numFmtId="3" fontId="57" fillId="27" borderId="165" xfId="80" applyNumberFormat="1" applyFont="1" applyFill="1" applyBorder="1" applyAlignment="1">
      <alignment vertical="center"/>
    </xf>
    <xf numFmtId="3" fontId="57" fillId="27" borderId="166" xfId="80" applyNumberFormat="1" applyFont="1" applyFill="1" applyBorder="1" applyAlignment="1">
      <alignment vertical="center"/>
    </xf>
    <xf numFmtId="3" fontId="57" fillId="27" borderId="167" xfId="80" applyNumberFormat="1" applyFont="1" applyFill="1" applyBorder="1" applyAlignment="1">
      <alignment vertical="center"/>
    </xf>
    <xf numFmtId="3" fontId="57" fillId="27" borderId="168" xfId="80" applyNumberFormat="1" applyFont="1" applyFill="1" applyBorder="1" applyAlignment="1">
      <alignment vertical="center"/>
    </xf>
    <xf numFmtId="3" fontId="57" fillId="27" borderId="169" xfId="80" applyNumberFormat="1" applyFont="1" applyFill="1" applyBorder="1" applyAlignment="1">
      <alignment vertical="center"/>
    </xf>
    <xf numFmtId="3" fontId="57" fillId="27" borderId="170" xfId="80" applyNumberFormat="1" applyFont="1" applyFill="1" applyBorder="1" applyAlignment="1">
      <alignment vertical="center"/>
    </xf>
    <xf numFmtId="3" fontId="57" fillId="27" borderId="172" xfId="80" applyNumberFormat="1" applyFont="1" applyFill="1" applyBorder="1" applyAlignment="1">
      <alignment vertical="center"/>
    </xf>
    <xf numFmtId="3" fontId="57" fillId="27" borderId="171" xfId="80" applyNumberFormat="1" applyFont="1" applyFill="1" applyBorder="1" applyAlignment="1">
      <alignment vertical="center"/>
    </xf>
    <xf numFmtId="3" fontId="57" fillId="27" borderId="173" xfId="80" applyNumberFormat="1" applyFont="1" applyFill="1" applyBorder="1" applyAlignment="1">
      <alignment vertical="center"/>
    </xf>
    <xf numFmtId="0" fontId="144" fillId="22" borderId="154" xfId="0" applyFont="1" applyFill="1" applyBorder="1" applyAlignment="1">
      <alignment horizontal="center" vertical="center" wrapText="1"/>
    </xf>
    <xf numFmtId="171" fontId="40" fillId="22" borderId="154" xfId="49" applyNumberFormat="1" applyFont="1" applyFill="1" applyBorder="1" applyAlignment="1">
      <alignment horizontal="center" vertical="center" wrapText="1"/>
    </xf>
    <xf numFmtId="168" fontId="40" fillId="22" borderId="154" xfId="49" applyNumberFormat="1" applyFont="1" applyFill="1" applyBorder="1" applyAlignment="1">
      <alignment horizontal="center" vertical="center" wrapText="1"/>
    </xf>
    <xf numFmtId="3" fontId="57" fillId="27" borderId="0" xfId="80" applyNumberFormat="1" applyFont="1" applyFill="1" applyAlignment="1">
      <alignment vertical="center"/>
    </xf>
    <xf numFmtId="4" fontId="57" fillId="27" borderId="155" xfId="80" applyNumberFormat="1" applyFont="1" applyFill="1" applyBorder="1" applyAlignment="1">
      <alignment vertical="center"/>
    </xf>
    <xf numFmtId="4" fontId="57" fillId="27" borderId="171" xfId="80" applyNumberFormat="1" applyFont="1" applyFill="1" applyBorder="1" applyAlignment="1">
      <alignment vertical="center"/>
    </xf>
    <xf numFmtId="4" fontId="57" fillId="27" borderId="172" xfId="80" applyNumberFormat="1" applyFont="1" applyFill="1" applyBorder="1" applyAlignment="1">
      <alignment vertical="center"/>
    </xf>
    <xf numFmtId="0" fontId="40" fillId="22" borderId="154" xfId="49" applyFont="1" applyFill="1" applyBorder="1" applyAlignment="1">
      <alignment horizontal="center" vertical="center"/>
    </xf>
    <xf numFmtId="0" fontId="41" fillId="22" borderId="154" xfId="49" applyFont="1" applyFill="1" applyBorder="1" applyAlignment="1">
      <alignment horizontal="center" vertical="center" wrapText="1"/>
    </xf>
    <xf numFmtId="168" fontId="41" fillId="22" borderId="154" xfId="49" applyNumberFormat="1" applyFont="1" applyFill="1" applyBorder="1" applyAlignment="1">
      <alignment horizontal="center" vertical="center" wrapText="1"/>
    </xf>
    <xf numFmtId="175" fontId="41" fillId="22" borderId="154" xfId="49" applyNumberFormat="1" applyFont="1" applyFill="1" applyBorder="1" applyAlignment="1">
      <alignment horizontal="center" vertical="center" wrapText="1"/>
    </xf>
    <xf numFmtId="169" fontId="40" fillId="22" borderId="154" xfId="49" applyNumberFormat="1" applyFont="1" applyFill="1" applyBorder="1" applyAlignment="1">
      <alignment horizontal="center" vertical="center" wrapText="1"/>
    </xf>
    <xf numFmtId="171" fontId="41" fillId="22" borderId="154" xfId="49" applyNumberFormat="1" applyFont="1" applyFill="1" applyBorder="1" applyAlignment="1">
      <alignment horizontal="center" vertical="center" wrapText="1"/>
    </xf>
    <xf numFmtId="180" fontId="170" fillId="27" borderId="0" xfId="31" applyNumberFormat="1" applyFont="1" applyFill="1" applyAlignment="1">
      <alignment vertical="center"/>
    </xf>
    <xf numFmtId="0" fontId="12" fillId="22" borderId="154" xfId="83" applyFont="1" applyFill="1" applyBorder="1" applyAlignment="1">
      <alignment horizontal="center" vertical="center" wrapText="1"/>
    </xf>
    <xf numFmtId="3" fontId="21" fillId="27" borderId="155" xfId="80" applyNumberFormat="1" applyFont="1" applyFill="1" applyBorder="1" applyAlignment="1">
      <alignment vertical="center"/>
    </xf>
    <xf numFmtId="3" fontId="21" fillId="0" borderId="154" xfId="0" applyNumberFormat="1" applyFont="1" applyBorder="1" applyAlignment="1">
      <alignment vertical="center"/>
    </xf>
    <xf numFmtId="3" fontId="12" fillId="0" borderId="174"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175" xfId="0" applyNumberFormat="1" applyFont="1" applyBorder="1" applyAlignment="1">
      <alignment horizontal="center" vertical="center"/>
    </xf>
    <xf numFmtId="0" fontId="40" fillId="22" borderId="154" xfId="0" applyFont="1" applyFill="1" applyBorder="1" applyAlignment="1">
      <alignment horizontal="center" vertical="center"/>
    </xf>
    <xf numFmtId="1" fontId="21" fillId="53" borderId="154" xfId="21" applyFont="1" applyFill="1" applyBorder="1">
      <alignment horizontal="center" vertical="center" wrapText="1"/>
    </xf>
    <xf numFmtId="0" fontId="41" fillId="0" borderId="154" xfId="0" applyFont="1" applyBorder="1" applyAlignment="1">
      <alignment horizontal="center" vertical="center"/>
    </xf>
    <xf numFmtId="0" fontId="40" fillId="0" borderId="154" xfId="0" applyFont="1" applyBorder="1" applyAlignment="1">
      <alignment horizontal="center" vertical="center"/>
    </xf>
    <xf numFmtId="0" fontId="41" fillId="0" borderId="163" xfId="0" applyFont="1" applyBorder="1" applyAlignment="1">
      <alignment horizontal="center" vertical="center"/>
    </xf>
    <xf numFmtId="0" fontId="169" fillId="0" borderId="162" xfId="0" applyFont="1" applyBorder="1" applyAlignment="1">
      <alignment vertical="center" wrapText="1"/>
    </xf>
    <xf numFmtId="0" fontId="169" fillId="0" borderId="0" xfId="0" applyFont="1" applyAlignment="1">
      <alignment vertical="center" wrapText="1"/>
    </xf>
    <xf numFmtId="0" fontId="169" fillId="0" borderId="154" xfId="0" applyFont="1" applyBorder="1" applyAlignment="1">
      <alignment vertical="center" wrapText="1"/>
    </xf>
    <xf numFmtId="4" fontId="12" fillId="0" borderId="154" xfId="0" applyNumberFormat="1" applyFont="1" applyBorder="1" applyAlignment="1">
      <alignment vertical="center"/>
    </xf>
    <xf numFmtId="171" fontId="40" fillId="22" borderId="154" xfId="32" applyNumberFormat="1" applyFont="1" applyFill="1" applyBorder="1" applyAlignment="1">
      <alignment horizontal="center" wrapText="1"/>
    </xf>
    <xf numFmtId="3" fontId="79" fillId="0" borderId="0" xfId="0" applyNumberFormat="1" applyFont="1" applyAlignment="1">
      <alignment vertical="center"/>
    </xf>
    <xf numFmtId="0" fontId="45" fillId="0" borderId="154" xfId="0" applyFont="1" applyBorder="1" applyAlignment="1">
      <alignment horizontal="center"/>
    </xf>
    <xf numFmtId="171" fontId="47" fillId="22" borderId="154" xfId="0" applyNumberFormat="1" applyFont="1" applyFill="1" applyBorder="1" applyAlignment="1">
      <alignment horizontal="center" wrapText="1"/>
    </xf>
    <xf numFmtId="0" fontId="45" fillId="20" borderId="163" xfId="0" applyFont="1" applyFill="1" applyBorder="1" applyAlignment="1">
      <alignment horizontal="center" vertical="center" wrapText="1"/>
    </xf>
    <xf numFmtId="3" fontId="41" fillId="0" borderId="163" xfId="0" applyNumberFormat="1" applyFont="1" applyBorder="1" applyAlignment="1">
      <alignment horizontal="center" vertical="center"/>
    </xf>
    <xf numFmtId="0" fontId="45" fillId="20" borderId="174" xfId="0" applyFont="1" applyFill="1" applyBorder="1" applyAlignment="1">
      <alignment horizontal="center" vertical="center" wrapText="1"/>
    </xf>
    <xf numFmtId="3" fontId="41" fillId="0" borderId="174" xfId="0" applyNumberFormat="1" applyFont="1" applyBorder="1" applyAlignment="1">
      <alignment horizontal="center" vertical="center"/>
    </xf>
    <xf numFmtId="0" fontId="45" fillId="20" borderId="0" xfId="0" applyFont="1" applyFill="1" applyAlignment="1">
      <alignment horizontal="center" vertical="center" wrapText="1"/>
    </xf>
    <xf numFmtId="3" fontId="41" fillId="0" borderId="0" xfId="0" applyNumberFormat="1" applyFont="1" applyAlignment="1">
      <alignment horizontal="center" vertical="center"/>
    </xf>
    <xf numFmtId="0" fontId="45" fillId="20" borderId="175" xfId="0" applyFont="1" applyFill="1" applyBorder="1" applyAlignment="1">
      <alignment horizontal="center" vertical="center" wrapText="1"/>
    </xf>
    <xf numFmtId="3" fontId="41" fillId="0" borderId="175" xfId="0" applyNumberFormat="1" applyFont="1" applyBorder="1" applyAlignment="1">
      <alignment horizontal="center" vertical="center"/>
    </xf>
    <xf numFmtId="171" fontId="47" fillId="37" borderId="154" xfId="32" applyNumberFormat="1" applyFont="1" applyFill="1" applyBorder="1" applyAlignment="1">
      <alignment horizontal="center" vertical="center" wrapText="1"/>
    </xf>
    <xf numFmtId="0" fontId="40" fillId="37" borderId="154" xfId="0" applyFont="1" applyFill="1" applyBorder="1" applyAlignment="1">
      <alignment horizontal="center" vertical="center" wrapText="1"/>
    </xf>
    <xf numFmtId="171" fontId="40" fillId="37" borderId="154" xfId="0" applyNumberFormat="1" applyFont="1" applyFill="1" applyBorder="1" applyAlignment="1">
      <alignment horizontal="center" vertical="center" wrapText="1"/>
    </xf>
    <xf numFmtId="0" fontId="41" fillId="0" borderId="174" xfId="0" applyFont="1" applyBorder="1" applyAlignment="1">
      <alignment horizontal="center" vertical="center"/>
    </xf>
    <xf numFmtId="1" fontId="40" fillId="26" borderId="174" xfId="59" applyNumberFormat="1" applyFont="1" applyFill="1" applyBorder="1" applyAlignment="1" applyProtection="1">
      <alignment horizontal="center" vertical="center"/>
    </xf>
    <xf numFmtId="3" fontId="40" fillId="26" borderId="174" xfId="32" applyNumberFormat="1" applyFont="1" applyFill="1" applyBorder="1" applyAlignment="1">
      <alignment horizontal="center" vertical="center"/>
    </xf>
    <xf numFmtId="0" fontId="41" fillId="0" borderId="175" xfId="0" applyFont="1" applyBorder="1" applyAlignment="1">
      <alignment horizontal="center" vertical="center"/>
    </xf>
    <xf numFmtId="3" fontId="40" fillId="0" borderId="175" xfId="0" applyNumberFormat="1" applyFont="1" applyBorder="1" applyAlignment="1">
      <alignment horizontal="center" vertical="center"/>
    </xf>
    <xf numFmtId="0" fontId="47" fillId="22" borderId="154" xfId="40" applyFont="1" applyFill="1" applyBorder="1" applyAlignment="1">
      <alignment horizontal="center" vertical="center"/>
    </xf>
    <xf numFmtId="171" fontId="47" fillId="22" borderId="154" xfId="0" applyNumberFormat="1" applyFont="1" applyFill="1" applyBorder="1" applyAlignment="1">
      <alignment horizontal="center" vertical="center" wrapText="1"/>
    </xf>
    <xf numFmtId="3" fontId="57" fillId="27" borderId="177" xfId="80" applyNumberFormat="1" applyFont="1" applyFill="1" applyBorder="1" applyAlignment="1">
      <alignment vertical="center"/>
    </xf>
    <xf numFmtId="3" fontId="57" fillId="27" borderId="176" xfId="80" applyNumberFormat="1" applyFont="1" applyFill="1" applyBorder="1" applyAlignment="1">
      <alignment vertical="center"/>
    </xf>
    <xf numFmtId="3" fontId="57" fillId="54" borderId="155" xfId="80" applyNumberFormat="1" applyFont="1" applyFill="1" applyBorder="1" applyAlignment="1">
      <alignment vertical="center"/>
    </xf>
    <xf numFmtId="172" fontId="12" fillId="0" borderId="154" xfId="0" applyNumberFormat="1" applyFont="1" applyBorder="1" applyAlignment="1">
      <alignment vertical="center"/>
    </xf>
    <xf numFmtId="172" fontId="40" fillId="20" borderId="17" xfId="0" applyNumberFormat="1" applyFont="1" applyFill="1" applyBorder="1" applyAlignment="1">
      <alignment horizontal="center" vertical="center"/>
    </xf>
    <xf numFmtId="172" fontId="40" fillId="20" borderId="24" xfId="0" applyNumberFormat="1" applyFont="1" applyFill="1" applyBorder="1" applyAlignment="1">
      <alignment horizontal="center" vertical="center"/>
    </xf>
    <xf numFmtId="172" fontId="40" fillId="20" borderId="52" xfId="0" applyNumberFormat="1" applyFont="1" applyFill="1" applyBorder="1" applyAlignment="1">
      <alignment horizontal="center" vertical="center"/>
    </xf>
    <xf numFmtId="172" fontId="40" fillId="20" borderId="32" xfId="0" applyNumberFormat="1" applyFont="1" applyFill="1" applyBorder="1" applyAlignment="1">
      <alignment horizontal="center" vertical="center"/>
    </xf>
    <xf numFmtId="172" fontId="40" fillId="20" borderId="15" xfId="0" applyNumberFormat="1" applyFont="1" applyFill="1" applyBorder="1" applyAlignment="1">
      <alignment horizontal="center" vertical="center"/>
    </xf>
    <xf numFmtId="172" fontId="21" fillId="0" borderId="154" xfId="0" applyNumberFormat="1" applyFont="1" applyBorder="1" applyAlignment="1">
      <alignment vertical="center"/>
    </xf>
    <xf numFmtId="172" fontId="40" fillId="21" borderId="2" xfId="0" applyNumberFormat="1" applyFont="1" applyFill="1" applyBorder="1" applyAlignment="1">
      <alignment horizontal="center" vertical="center"/>
    </xf>
    <xf numFmtId="172" fontId="40" fillId="21" borderId="1" xfId="0" applyNumberFormat="1" applyFont="1" applyFill="1" applyBorder="1" applyAlignment="1">
      <alignment horizontal="center" vertical="center"/>
    </xf>
    <xf numFmtId="172" fontId="40" fillId="21" borderId="38" xfId="0" applyNumberFormat="1" applyFont="1" applyFill="1" applyBorder="1" applyAlignment="1">
      <alignment horizontal="center" vertical="center"/>
    </xf>
    <xf numFmtId="172" fontId="40" fillId="21" borderId="9" xfId="0" applyNumberFormat="1" applyFont="1" applyFill="1" applyBorder="1" applyAlignment="1">
      <alignment horizontal="center" vertical="center"/>
    </xf>
    <xf numFmtId="172" fontId="40" fillId="21" borderId="65" xfId="0" applyNumberFormat="1" applyFont="1" applyFill="1" applyBorder="1" applyAlignment="1">
      <alignment horizontal="center" vertical="center"/>
    </xf>
    <xf numFmtId="172" fontId="40" fillId="21" borderId="10" xfId="0" applyNumberFormat="1" applyFont="1" applyFill="1" applyBorder="1" applyAlignment="1">
      <alignment horizontal="center" vertical="center"/>
    </xf>
    <xf numFmtId="172" fontId="21" fillId="22" borderId="154" xfId="0" applyNumberFormat="1" applyFont="1" applyFill="1" applyBorder="1" applyAlignment="1">
      <alignment vertical="center"/>
    </xf>
    <xf numFmtId="172" fontId="144" fillId="0" borderId="7" xfId="0" applyNumberFormat="1" applyFont="1" applyBorder="1" applyAlignment="1">
      <alignment horizontal="center" vertical="center"/>
    </xf>
    <xf numFmtId="0" fontId="47" fillId="22" borderId="23" xfId="0" applyFont="1" applyFill="1" applyBorder="1" applyAlignment="1">
      <alignment vertical="center"/>
    </xf>
    <xf numFmtId="0" fontId="47" fillId="22" borderId="32" xfId="0" applyFont="1" applyFill="1" applyBorder="1" applyAlignment="1">
      <alignment vertical="center"/>
    </xf>
    <xf numFmtId="0" fontId="12" fillId="0" borderId="0" xfId="0" applyFont="1" applyAlignment="1">
      <alignment horizontal="right" vertical="center"/>
    </xf>
    <xf numFmtId="1" fontId="12" fillId="0" borderId="7" xfId="0" applyNumberFormat="1" applyFont="1" applyBorder="1" applyAlignment="1">
      <alignment horizontal="center"/>
    </xf>
    <xf numFmtId="172" fontId="12" fillId="0" borderId="0" xfId="0" applyNumberFormat="1" applyFont="1"/>
    <xf numFmtId="0" fontId="12" fillId="0" borderId="7" xfId="0" applyFont="1" applyBorder="1" applyAlignment="1">
      <alignment vertical="center"/>
    </xf>
    <xf numFmtId="172" fontId="12" fillId="0" borderId="7" xfId="0" applyNumberFormat="1" applyFont="1" applyBorder="1"/>
    <xf numFmtId="177" fontId="55" fillId="0" borderId="7" xfId="0" applyNumberFormat="1" applyFont="1" applyBorder="1" applyAlignment="1">
      <alignment horizontal="center" vertical="center" wrapText="1"/>
    </xf>
    <xf numFmtId="177" fontId="144" fillId="0" borderId="7" xfId="0" applyNumberFormat="1" applyFont="1" applyBorder="1" applyAlignment="1">
      <alignment horizontal="center" vertical="center"/>
    </xf>
    <xf numFmtId="177" fontId="55" fillId="0" borderId="7" xfId="0" applyNumberFormat="1" applyFont="1" applyBorder="1" applyAlignment="1">
      <alignment horizontal="center" vertical="center"/>
    </xf>
    <xf numFmtId="3" fontId="57" fillId="0" borderId="52" xfId="52" applyNumberFormat="1" applyFont="1" applyBorder="1" applyAlignment="1">
      <alignment horizontal="center" vertical="center"/>
    </xf>
    <xf numFmtId="3" fontId="57" fillId="26" borderId="52" xfId="52" applyNumberFormat="1" applyFont="1" applyFill="1" applyBorder="1" applyAlignment="1">
      <alignment horizontal="center" vertical="center"/>
    </xf>
    <xf numFmtId="3" fontId="57" fillId="3" borderId="57" xfId="52" applyNumberFormat="1" applyFont="1" applyFill="1" applyBorder="1" applyAlignment="1" applyProtection="1">
      <alignment horizontal="center" vertical="center"/>
      <protection locked="0"/>
    </xf>
    <xf numFmtId="10" fontId="12" fillId="3" borderId="51" xfId="0" applyNumberFormat="1" applyFont="1" applyFill="1" applyBorder="1" applyAlignment="1" applyProtection="1">
      <alignment horizontal="center" vertical="center" wrapText="1"/>
      <protection locked="0"/>
    </xf>
    <xf numFmtId="10" fontId="12" fillId="3" borderId="21" xfId="0" applyNumberFormat="1" applyFont="1" applyFill="1" applyBorder="1" applyAlignment="1" applyProtection="1">
      <alignment horizontal="center" vertical="center" wrapText="1"/>
      <protection locked="0"/>
    </xf>
    <xf numFmtId="178" fontId="12" fillId="3" borderId="17" xfId="1" applyNumberFormat="1" applyFont="1" applyFill="1" applyBorder="1" applyAlignment="1" applyProtection="1">
      <alignment horizontal="center" vertical="center" wrapText="1"/>
      <protection locked="0"/>
    </xf>
    <xf numFmtId="2" fontId="12" fillId="3" borderId="17" xfId="1" applyNumberFormat="1" applyFont="1" applyFill="1" applyBorder="1" applyAlignment="1" applyProtection="1">
      <alignment horizontal="center" vertical="center" wrapText="1"/>
      <protection locked="0"/>
    </xf>
    <xf numFmtId="170" fontId="12" fillId="3" borderId="17" xfId="1" applyNumberFormat="1" applyFont="1" applyFill="1" applyBorder="1" applyAlignment="1" applyProtection="1">
      <alignment horizontal="center" vertical="center" wrapText="1"/>
      <protection locked="0"/>
    </xf>
    <xf numFmtId="3" fontId="21" fillId="28" borderId="19" xfId="88" applyNumberFormat="1" applyFont="1" applyFill="1" applyBorder="1" applyAlignment="1" applyProtection="1">
      <alignment horizontal="center" vertical="center" wrapText="1"/>
      <protection locked="0"/>
    </xf>
    <xf numFmtId="0" fontId="41" fillId="26" borderId="53" xfId="0" applyFont="1" applyFill="1" applyBorder="1" applyAlignment="1">
      <alignment horizontal="center" vertical="center" wrapText="1"/>
    </xf>
    <xf numFmtId="3" fontId="41" fillId="0" borderId="99" xfId="0" applyNumberFormat="1" applyFont="1" applyBorder="1" applyAlignment="1">
      <alignment horizontal="center" vertical="center"/>
    </xf>
    <xf numFmtId="3" fontId="41" fillId="0" borderId="113" xfId="0" applyNumberFormat="1" applyFont="1" applyBorder="1" applyAlignment="1">
      <alignment horizontal="center" vertical="center"/>
    </xf>
    <xf numFmtId="3" fontId="41" fillId="0" borderId="95" xfId="0" applyNumberFormat="1" applyFont="1" applyBorder="1" applyAlignment="1">
      <alignment horizontal="center" vertical="center"/>
    </xf>
    <xf numFmtId="0" fontId="12" fillId="22" borderId="0" xfId="0" applyFont="1" applyFill="1" applyAlignment="1">
      <alignment horizontal="center" vertical="center"/>
    </xf>
    <xf numFmtId="3" fontId="173" fillId="3" borderId="17" xfId="0" applyNumberFormat="1" applyFont="1" applyFill="1" applyBorder="1" applyAlignment="1" applyProtection="1">
      <alignment horizontal="center" vertical="center" wrapText="1"/>
      <protection locked="0"/>
    </xf>
    <xf numFmtId="3" fontId="173" fillId="3" borderId="7" xfId="0" applyNumberFormat="1" applyFont="1" applyFill="1" applyBorder="1" applyAlignment="1" applyProtection="1">
      <alignment horizontal="center" vertical="center" wrapText="1"/>
      <protection locked="0"/>
    </xf>
    <xf numFmtId="3" fontId="173" fillId="3" borderId="53" xfId="0" applyNumberFormat="1" applyFont="1" applyFill="1" applyBorder="1" applyAlignment="1" applyProtection="1">
      <alignment horizontal="center" vertical="center" wrapText="1"/>
      <protection locked="0"/>
    </xf>
    <xf numFmtId="3" fontId="173" fillId="3" borderId="5" xfId="0" applyNumberFormat="1" applyFont="1" applyFill="1" applyBorder="1" applyAlignment="1" applyProtection="1">
      <alignment horizontal="center" vertical="center" wrapText="1"/>
      <protection locked="0"/>
    </xf>
    <xf numFmtId="3" fontId="173" fillId="3" borderId="31" xfId="0" applyNumberFormat="1" applyFont="1" applyFill="1" applyBorder="1" applyAlignment="1" applyProtection="1">
      <alignment horizontal="center" vertical="center" wrapText="1"/>
      <protection locked="0"/>
    </xf>
    <xf numFmtId="3" fontId="173" fillId="3" borderId="50" xfId="0" applyNumberFormat="1" applyFont="1" applyFill="1" applyBorder="1" applyAlignment="1" applyProtection="1">
      <alignment horizontal="center" vertical="center" wrapText="1"/>
      <protection locked="0"/>
    </xf>
    <xf numFmtId="3" fontId="173" fillId="3" borderId="21" xfId="0" applyNumberFormat="1" applyFont="1" applyFill="1" applyBorder="1" applyAlignment="1" applyProtection="1">
      <alignment horizontal="center" vertical="center" wrapText="1"/>
      <protection locked="0"/>
    </xf>
    <xf numFmtId="3" fontId="173" fillId="3" borderId="77" xfId="0" applyNumberFormat="1" applyFont="1" applyFill="1" applyBorder="1" applyAlignment="1" applyProtection="1">
      <alignment horizontal="center" vertical="center" wrapText="1"/>
      <protection locked="0"/>
    </xf>
    <xf numFmtId="3" fontId="173" fillId="3" borderId="57" xfId="0" applyNumberFormat="1" applyFont="1" applyFill="1" applyBorder="1" applyAlignment="1" applyProtection="1">
      <alignment horizontal="center" vertical="center" wrapText="1"/>
      <protection locked="0"/>
    </xf>
    <xf numFmtId="0" fontId="173" fillId="3" borderId="17" xfId="0" applyFont="1" applyFill="1" applyBorder="1" applyAlignment="1" applyProtection="1">
      <alignment horizontal="center" vertical="center" wrapText="1"/>
      <protection locked="0"/>
    </xf>
    <xf numFmtId="0" fontId="173" fillId="3" borderId="7" xfId="0" applyFont="1" applyFill="1" applyBorder="1" applyAlignment="1" applyProtection="1">
      <alignment horizontal="center" vertical="center" wrapText="1"/>
      <protection locked="0"/>
    </xf>
    <xf numFmtId="0" fontId="173" fillId="3" borderId="53" xfId="0" applyFont="1" applyFill="1" applyBorder="1" applyAlignment="1" applyProtection="1">
      <alignment horizontal="center" vertical="center" wrapText="1"/>
      <protection locked="0"/>
    </xf>
    <xf numFmtId="0" fontId="173" fillId="3" borderId="14" xfId="0" applyFont="1" applyFill="1" applyBorder="1" applyAlignment="1" applyProtection="1">
      <alignment horizontal="center" vertical="center" wrapText="1"/>
      <protection locked="0"/>
    </xf>
    <xf numFmtId="0" fontId="173" fillId="3" borderId="73" xfId="0" applyFont="1" applyFill="1" applyBorder="1" applyAlignment="1" applyProtection="1">
      <alignment horizontal="center" vertical="center" wrapText="1"/>
      <protection locked="0"/>
    </xf>
    <xf numFmtId="0" fontId="173" fillId="3" borderId="76" xfId="0" applyFont="1" applyFill="1" applyBorder="1" applyAlignment="1" applyProtection="1">
      <alignment horizontal="center" vertical="center" wrapText="1"/>
      <protection locked="0"/>
    </xf>
    <xf numFmtId="0" fontId="173" fillId="3" borderId="15" xfId="0" applyFont="1" applyFill="1" applyBorder="1" applyAlignment="1" applyProtection="1">
      <alignment horizontal="center" vertical="center" wrapText="1"/>
      <protection locked="0"/>
    </xf>
    <xf numFmtId="0" fontId="173" fillId="3" borderId="18" xfId="0" applyFont="1" applyFill="1" applyBorder="1" applyAlignment="1" applyProtection="1">
      <alignment horizontal="center" vertical="center" wrapText="1"/>
      <protection locked="0"/>
    </xf>
    <xf numFmtId="0" fontId="173" fillId="3" borderId="78" xfId="0" applyFont="1" applyFill="1" applyBorder="1" applyAlignment="1" applyProtection="1">
      <alignment horizontal="center" vertical="center" wrapText="1"/>
      <protection locked="0"/>
    </xf>
    <xf numFmtId="0" fontId="173" fillId="3" borderId="57" xfId="0" applyFont="1" applyFill="1" applyBorder="1" applyAlignment="1" applyProtection="1">
      <alignment horizontal="center" vertical="center" wrapText="1"/>
      <protection locked="0"/>
    </xf>
    <xf numFmtId="0" fontId="173" fillId="3" borderId="51" xfId="0" applyFont="1" applyFill="1" applyBorder="1" applyAlignment="1" applyProtection="1">
      <alignment horizontal="center" vertical="center" wrapText="1"/>
      <protection locked="0"/>
    </xf>
    <xf numFmtId="0" fontId="173" fillId="3" borderId="74" xfId="0" applyFont="1" applyFill="1" applyBorder="1" applyAlignment="1" applyProtection="1">
      <alignment horizontal="center" vertical="center" wrapText="1"/>
      <protection locked="0"/>
    </xf>
    <xf numFmtId="0" fontId="173" fillId="3" borderId="62" xfId="0" applyFont="1" applyFill="1" applyBorder="1" applyAlignment="1" applyProtection="1">
      <alignment horizontal="center" vertical="center" wrapText="1"/>
      <protection locked="0"/>
    </xf>
    <xf numFmtId="0" fontId="173" fillId="3" borderId="5" xfId="0" applyFont="1" applyFill="1" applyBorder="1" applyAlignment="1" applyProtection="1">
      <alignment horizontal="center" vertical="center" wrapText="1"/>
      <protection locked="0"/>
    </xf>
    <xf numFmtId="0" fontId="173" fillId="3" borderId="31" xfId="0" applyFont="1" applyFill="1" applyBorder="1" applyAlignment="1" applyProtection="1">
      <alignment horizontal="center" vertical="center" wrapText="1"/>
      <protection locked="0"/>
    </xf>
    <xf numFmtId="0" fontId="173" fillId="3" borderId="21" xfId="0" applyFont="1" applyFill="1" applyBorder="1" applyAlignment="1" applyProtection="1">
      <alignment horizontal="center" vertical="center" wrapText="1"/>
      <protection locked="0"/>
    </xf>
    <xf numFmtId="0" fontId="173" fillId="3" borderId="77" xfId="0" applyFont="1" applyFill="1" applyBorder="1" applyAlignment="1" applyProtection="1">
      <alignment horizontal="center" vertical="center" wrapText="1"/>
      <protection locked="0"/>
    </xf>
    <xf numFmtId="0" fontId="12" fillId="3" borderId="19" xfId="0" applyFont="1" applyFill="1" applyBorder="1" applyAlignment="1" applyProtection="1">
      <alignment horizontal="center" vertical="center" wrapText="1"/>
      <protection locked="0"/>
    </xf>
    <xf numFmtId="3" fontId="175" fillId="3" borderId="32" xfId="52" applyNumberFormat="1" applyFont="1" applyFill="1" applyBorder="1" applyAlignment="1" applyProtection="1">
      <alignment horizontal="center" vertical="center"/>
      <protection locked="0"/>
    </xf>
    <xf numFmtId="3" fontId="175" fillId="3" borderId="79" xfId="52" applyNumberFormat="1" applyFont="1" applyFill="1" applyBorder="1" applyAlignment="1" applyProtection="1">
      <alignment horizontal="center" vertical="center"/>
      <protection locked="0"/>
    </xf>
    <xf numFmtId="3" fontId="117" fillId="43" borderId="79" xfId="88" applyNumberFormat="1" applyFont="1" applyFill="1" applyBorder="1" applyAlignment="1" applyProtection="1">
      <alignment horizontal="center" vertical="center" wrapText="1"/>
      <protection locked="0"/>
    </xf>
    <xf numFmtId="3" fontId="117" fillId="43" borderId="69" xfId="88" applyNumberFormat="1" applyFont="1" applyFill="1" applyBorder="1" applyAlignment="1" applyProtection="1">
      <alignment horizontal="center" vertical="center" wrapText="1"/>
      <protection locked="0"/>
    </xf>
    <xf numFmtId="3" fontId="57" fillId="43" borderId="32" xfId="52" applyNumberFormat="1" applyFont="1" applyFill="1" applyBorder="1" applyAlignment="1" applyProtection="1">
      <alignment horizontal="center" vertical="center"/>
      <protection locked="0"/>
    </xf>
    <xf numFmtId="172" fontId="41" fillId="43" borderId="31" xfId="0" applyNumberFormat="1" applyFont="1" applyFill="1" applyBorder="1" applyAlignment="1" applyProtection="1">
      <alignment horizontal="center" vertical="center"/>
      <protection locked="0"/>
    </xf>
    <xf numFmtId="172" fontId="41" fillId="43" borderId="7" xfId="0" applyNumberFormat="1" applyFont="1" applyFill="1" applyBorder="1" applyAlignment="1" applyProtection="1">
      <alignment horizontal="center" vertical="center"/>
      <protection locked="0"/>
    </xf>
    <xf numFmtId="168" fontId="41" fillId="43" borderId="7" xfId="0" applyNumberFormat="1" applyFont="1" applyFill="1" applyBorder="1" applyAlignment="1" applyProtection="1">
      <alignment horizontal="center" vertical="center"/>
      <protection locked="0"/>
    </xf>
    <xf numFmtId="3" fontId="12" fillId="43" borderId="53" xfId="32" applyNumberFormat="1" applyFont="1" applyFill="1" applyBorder="1" applyAlignment="1" applyProtection="1">
      <alignment horizontal="center" vertical="center"/>
      <protection locked="0"/>
    </xf>
    <xf numFmtId="3" fontId="12" fillId="43" borderId="62" xfId="32" applyNumberFormat="1" applyFont="1" applyFill="1" applyBorder="1" applyAlignment="1" applyProtection="1">
      <alignment horizontal="center" vertical="center"/>
      <protection locked="0"/>
    </xf>
    <xf numFmtId="3" fontId="12" fillId="43" borderId="64" xfId="32" applyNumberFormat="1" applyFont="1" applyFill="1" applyBorder="1" applyAlignment="1" applyProtection="1">
      <alignment horizontal="center" vertical="center"/>
      <protection locked="0"/>
    </xf>
    <xf numFmtId="3" fontId="42" fillId="43" borderId="76" xfId="32" applyNumberFormat="1" applyFont="1" applyFill="1" applyBorder="1" applyAlignment="1" applyProtection="1">
      <alignment horizontal="center" vertical="center"/>
      <protection locked="0"/>
    </xf>
    <xf numFmtId="3" fontId="42" fillId="43" borderId="53" xfId="32" applyNumberFormat="1" applyFont="1" applyFill="1" applyBorder="1" applyAlignment="1" applyProtection="1">
      <alignment horizontal="center" vertical="center"/>
      <protection locked="0"/>
    </xf>
    <xf numFmtId="3" fontId="42" fillId="43" borderId="55" xfId="32" applyNumberFormat="1" applyFont="1" applyFill="1" applyBorder="1" applyAlignment="1" applyProtection="1">
      <alignment horizontal="center" vertical="center"/>
      <protection locked="0"/>
    </xf>
    <xf numFmtId="3" fontId="41" fillId="43" borderId="45" xfId="32" applyNumberFormat="1" applyFont="1" applyFill="1" applyBorder="1" applyAlignment="1" applyProtection="1">
      <alignment horizontal="center" vertical="center"/>
      <protection locked="0"/>
    </xf>
    <xf numFmtId="3" fontId="41" fillId="43" borderId="52" xfId="32" applyNumberFormat="1" applyFont="1" applyFill="1" applyBorder="1" applyAlignment="1" applyProtection="1">
      <alignment horizontal="center" vertical="center"/>
      <protection locked="0"/>
    </xf>
    <xf numFmtId="3" fontId="41" fillId="43" borderId="56" xfId="32" applyNumberFormat="1" applyFont="1" applyFill="1" applyBorder="1" applyAlignment="1" applyProtection="1">
      <alignment horizontal="center" vertical="center"/>
      <protection locked="0"/>
    </xf>
    <xf numFmtId="3" fontId="41" fillId="43" borderId="66" xfId="32" applyNumberFormat="1" applyFont="1" applyFill="1" applyBorder="1" applyAlignment="1" applyProtection="1">
      <alignment horizontal="center" vertical="center"/>
      <protection locked="0"/>
    </xf>
    <xf numFmtId="3" fontId="12" fillId="43" borderId="17" xfId="78" applyNumberFormat="1" applyFont="1" applyFill="1" applyBorder="1" applyAlignment="1" applyProtection="1">
      <alignment horizontal="center" vertical="center"/>
      <protection locked="0"/>
    </xf>
    <xf numFmtId="3" fontId="41" fillId="43" borderId="24" xfId="32" applyNumberFormat="1" applyFont="1" applyFill="1" applyBorder="1" applyAlignment="1" applyProtection="1">
      <alignment horizontal="center" vertical="center"/>
      <protection locked="0"/>
    </xf>
    <xf numFmtId="9" fontId="12" fillId="43" borderId="17" xfId="50" applyFont="1" applyFill="1" applyBorder="1" applyAlignment="1" applyProtection="1">
      <alignment horizontal="center" vertical="center"/>
      <protection locked="0"/>
    </xf>
    <xf numFmtId="9" fontId="41" fillId="43" borderId="24" xfId="32" applyNumberFormat="1" applyFont="1" applyFill="1" applyBorder="1" applyAlignment="1" applyProtection="1">
      <alignment horizontal="center" vertical="center"/>
      <protection locked="0"/>
    </xf>
    <xf numFmtId="3" fontId="41" fillId="43" borderId="52" xfId="0" applyNumberFormat="1" applyFont="1" applyFill="1" applyBorder="1" applyAlignment="1" applyProtection="1">
      <alignment horizontal="center" vertical="center"/>
      <protection locked="0"/>
    </xf>
    <xf numFmtId="3" fontId="41" fillId="43" borderId="49" xfId="0" applyNumberFormat="1" applyFont="1" applyFill="1" applyBorder="1" applyAlignment="1" applyProtection="1">
      <alignment horizontal="center" vertical="center"/>
      <protection locked="0"/>
    </xf>
    <xf numFmtId="3" fontId="41" fillId="43" borderId="50" xfId="0" applyNumberFormat="1" applyFont="1" applyFill="1" applyBorder="1" applyAlignment="1" applyProtection="1">
      <alignment horizontal="center" vertical="center"/>
      <protection locked="0"/>
    </xf>
    <xf numFmtId="3" fontId="12" fillId="43" borderId="17" xfId="32" applyNumberFormat="1" applyFont="1" applyFill="1" applyBorder="1" applyAlignment="1" applyProtection="1">
      <alignment horizontal="center" vertical="center"/>
      <protection locked="0"/>
    </xf>
    <xf numFmtId="3" fontId="41" fillId="43" borderId="17" xfId="49" applyNumberFormat="1" applyFont="1" applyFill="1" applyBorder="1" applyAlignment="1" applyProtection="1">
      <alignment horizontal="center" vertical="center" wrapText="1"/>
      <protection locked="0"/>
    </xf>
    <xf numFmtId="0" fontId="41" fillId="26" borderId="53" xfId="49" applyFont="1" applyFill="1" applyBorder="1" applyAlignment="1">
      <alignment horizontal="left" vertical="center" wrapText="1"/>
    </xf>
    <xf numFmtId="3" fontId="57" fillId="26" borderId="155" xfId="80" applyNumberFormat="1" applyFont="1" applyFill="1" applyBorder="1" applyAlignment="1">
      <alignment vertical="center"/>
    </xf>
    <xf numFmtId="3" fontId="41" fillId="43" borderId="51" xfId="49" applyNumberFormat="1" applyFont="1" applyFill="1" applyBorder="1" applyAlignment="1" applyProtection="1">
      <alignment horizontal="center" vertical="center" wrapText="1"/>
      <protection locked="0"/>
    </xf>
    <xf numFmtId="3" fontId="41" fillId="26" borderId="31" xfId="49" applyNumberFormat="1" applyFont="1" applyFill="1" applyBorder="1" applyAlignment="1">
      <alignment horizontal="center" vertical="center" wrapText="1"/>
    </xf>
    <xf numFmtId="3" fontId="41" fillId="26" borderId="61" xfId="49" applyNumberFormat="1" applyFont="1" applyFill="1" applyBorder="1" applyAlignment="1">
      <alignment horizontal="center" vertical="center" wrapText="1"/>
    </xf>
    <xf numFmtId="9" fontId="41" fillId="26" borderId="50" xfId="1" applyFont="1" applyFill="1" applyBorder="1" applyAlignment="1" applyProtection="1">
      <alignment horizontal="center" vertical="center" wrapText="1"/>
    </xf>
    <xf numFmtId="9" fontId="41" fillId="26" borderId="31" xfId="1" applyFont="1" applyFill="1" applyBorder="1" applyAlignment="1" applyProtection="1">
      <alignment horizontal="center" vertical="center" wrapText="1"/>
    </xf>
    <xf numFmtId="3" fontId="41" fillId="26" borderId="50" xfId="49" applyNumberFormat="1" applyFont="1" applyFill="1" applyBorder="1" applyAlignment="1">
      <alignment horizontal="center" vertical="center" wrapText="1"/>
    </xf>
    <xf numFmtId="3" fontId="41" fillId="26" borderId="72" xfId="49" applyNumberFormat="1" applyFont="1" applyFill="1" applyBorder="1" applyAlignment="1">
      <alignment horizontal="center" vertical="center" wrapText="1"/>
    </xf>
    <xf numFmtId="3" fontId="41" fillId="26" borderId="74" xfId="49" applyNumberFormat="1" applyFont="1" applyFill="1" applyBorder="1" applyAlignment="1">
      <alignment horizontal="center" vertical="center" wrapText="1"/>
    </xf>
    <xf numFmtId="3" fontId="41" fillId="26" borderId="29" xfId="49" applyNumberFormat="1" applyFont="1" applyFill="1" applyBorder="1" applyAlignment="1">
      <alignment horizontal="center" vertical="center" wrapText="1"/>
    </xf>
    <xf numFmtId="3" fontId="41" fillId="26" borderId="76" xfId="49" applyNumberFormat="1" applyFont="1" applyFill="1" applyBorder="1" applyAlignment="1">
      <alignment horizontal="center" vertical="center" wrapText="1"/>
    </xf>
    <xf numFmtId="3" fontId="41" fillId="26" borderId="79" xfId="49" applyNumberFormat="1" applyFont="1" applyFill="1" applyBorder="1" applyAlignment="1">
      <alignment horizontal="center" vertical="center" wrapText="1"/>
    </xf>
    <xf numFmtId="3" fontId="41" fillId="26" borderId="78" xfId="49" applyNumberFormat="1" applyFont="1" applyFill="1" applyBorder="1" applyAlignment="1">
      <alignment horizontal="center" vertical="center" wrapText="1"/>
    </xf>
    <xf numFmtId="3" fontId="41" fillId="26" borderId="30" xfId="49" applyNumberFormat="1" applyFont="1" applyFill="1" applyBorder="1" applyAlignment="1">
      <alignment horizontal="center" vertical="center" wrapText="1"/>
    </xf>
    <xf numFmtId="3" fontId="41" fillId="26" borderId="57" xfId="49" applyNumberFormat="1" applyFont="1" applyFill="1" applyBorder="1" applyAlignment="1">
      <alignment horizontal="center" vertical="center" wrapText="1"/>
    </xf>
    <xf numFmtId="3" fontId="41" fillId="43" borderId="21" xfId="49" applyNumberFormat="1" applyFont="1" applyFill="1" applyBorder="1" applyAlignment="1" applyProtection="1">
      <alignment horizontal="center" vertical="center" wrapText="1"/>
      <protection locked="0"/>
    </xf>
    <xf numFmtId="168" fontId="41" fillId="43" borderId="7" xfId="83" applyNumberFormat="1" applyFont="1" applyFill="1" applyBorder="1" applyAlignment="1" applyProtection="1">
      <alignment horizontal="center" vertical="center" wrapText="1"/>
      <protection locked="0"/>
    </xf>
    <xf numFmtId="4" fontId="12" fillId="43" borderId="62" xfId="32" applyNumberFormat="1" applyFont="1" applyFill="1" applyBorder="1" applyAlignment="1" applyProtection="1">
      <alignment horizontal="center" vertical="center"/>
      <protection locked="0"/>
    </xf>
    <xf numFmtId="3" fontId="79" fillId="43" borderId="17" xfId="32" applyNumberFormat="1" applyFont="1" applyFill="1" applyBorder="1" applyAlignment="1" applyProtection="1">
      <alignment horizontal="center" vertical="center"/>
      <protection locked="0"/>
    </xf>
    <xf numFmtId="3" fontId="95" fillId="27" borderId="17" xfId="32" applyNumberFormat="1" applyFont="1" applyFill="1" applyBorder="1" applyAlignment="1">
      <alignment horizontal="center"/>
    </xf>
    <xf numFmtId="3" fontId="41" fillId="43" borderId="17" xfId="32" applyNumberFormat="1" applyFont="1" applyFill="1" applyBorder="1" applyAlignment="1" applyProtection="1">
      <alignment horizontal="center" vertical="center"/>
      <protection locked="0"/>
    </xf>
    <xf numFmtId="3" fontId="41" fillId="43" borderId="17" xfId="32" applyNumberFormat="1" applyFont="1" applyFill="1" applyBorder="1" applyAlignment="1" applyProtection="1">
      <alignment horizontal="center"/>
      <protection locked="0"/>
    </xf>
    <xf numFmtId="3" fontId="21" fillId="43" borderId="18" xfId="88" applyNumberFormat="1" applyFont="1" applyFill="1" applyBorder="1" applyAlignment="1" applyProtection="1">
      <alignment horizontal="center" vertical="center" wrapText="1"/>
      <protection locked="0"/>
    </xf>
    <xf numFmtId="3" fontId="21" fillId="43" borderId="19" xfId="88" applyNumberFormat="1" applyFont="1" applyFill="1" applyBorder="1" applyAlignment="1" applyProtection="1">
      <alignment horizontal="center" vertical="center" wrapText="1"/>
      <protection locked="0"/>
    </xf>
    <xf numFmtId="3" fontId="117" fillId="43" borderId="19" xfId="88" applyNumberFormat="1" applyFont="1" applyFill="1" applyBorder="1" applyAlignment="1" applyProtection="1">
      <alignment horizontal="center" vertical="center" wrapText="1"/>
      <protection locked="0"/>
    </xf>
    <xf numFmtId="9" fontId="41" fillId="43" borderId="17" xfId="32" applyNumberFormat="1" applyFont="1" applyFill="1" applyBorder="1" applyAlignment="1" applyProtection="1">
      <alignment horizontal="center" vertical="center"/>
      <protection locked="0"/>
    </xf>
    <xf numFmtId="3" fontId="57" fillId="43" borderId="44" xfId="32" applyNumberFormat="1" applyFont="1" applyFill="1" applyBorder="1" applyAlignment="1" applyProtection="1">
      <alignment horizontal="center" vertical="center"/>
      <protection locked="0"/>
    </xf>
    <xf numFmtId="3" fontId="57" fillId="43" borderId="32" xfId="32" applyNumberFormat="1" applyFont="1" applyFill="1" applyBorder="1" applyAlignment="1" applyProtection="1">
      <alignment horizontal="center" vertical="center"/>
      <protection locked="0"/>
    </xf>
    <xf numFmtId="3" fontId="57" fillId="43" borderId="79" xfId="32" applyNumberFormat="1" applyFont="1" applyFill="1" applyBorder="1" applyAlignment="1" applyProtection="1">
      <alignment horizontal="center" vertical="center"/>
      <protection locked="0"/>
    </xf>
    <xf numFmtId="3" fontId="57" fillId="43" borderId="69" xfId="32" applyNumberFormat="1" applyFont="1" applyFill="1" applyBorder="1" applyAlignment="1" applyProtection="1">
      <alignment horizontal="center" vertical="center"/>
      <protection locked="0"/>
    </xf>
    <xf numFmtId="3" fontId="41" fillId="3" borderId="23" xfId="0" applyNumberFormat="1" applyFont="1" applyFill="1" applyBorder="1" applyAlignment="1" applyProtection="1">
      <alignment horizontal="center" vertical="center"/>
      <protection locked="0"/>
    </xf>
    <xf numFmtId="3" fontId="41" fillId="3" borderId="31" xfId="0" applyNumberFormat="1" applyFont="1" applyFill="1" applyBorder="1" applyAlignment="1" applyProtection="1">
      <alignment horizontal="center" vertical="center" wrapText="1"/>
      <protection locked="0"/>
    </xf>
    <xf numFmtId="3" fontId="41" fillId="3" borderId="23" xfId="0" applyNumberFormat="1" applyFont="1" applyFill="1" applyBorder="1" applyAlignment="1" applyProtection="1">
      <alignment horizontal="center" vertical="center" wrapText="1"/>
      <protection locked="0"/>
    </xf>
    <xf numFmtId="3" fontId="41" fillId="3" borderId="7" xfId="0" applyNumberFormat="1" applyFont="1" applyFill="1" applyBorder="1" applyAlignment="1" applyProtection="1">
      <alignment horizontal="center" vertical="center" wrapText="1"/>
      <protection locked="0"/>
    </xf>
    <xf numFmtId="3" fontId="41" fillId="3" borderId="33" xfId="0" applyNumberFormat="1" applyFont="1" applyFill="1" applyBorder="1" applyAlignment="1" applyProtection="1">
      <alignment horizontal="center" vertical="center"/>
      <protection locked="0"/>
    </xf>
    <xf numFmtId="3" fontId="41" fillId="3" borderId="28" xfId="0" applyNumberFormat="1" applyFont="1" applyFill="1" applyBorder="1" applyAlignment="1" applyProtection="1">
      <alignment horizontal="center" vertical="center"/>
      <protection locked="0"/>
    </xf>
    <xf numFmtId="10" fontId="12" fillId="43" borderId="17" xfId="0" applyNumberFormat="1" applyFont="1" applyFill="1" applyBorder="1" applyAlignment="1" applyProtection="1">
      <alignment horizontal="center" vertical="center" wrapText="1"/>
      <protection locked="0"/>
    </xf>
    <xf numFmtId="3" fontId="41" fillId="43" borderId="31" xfId="0" applyNumberFormat="1" applyFont="1" applyFill="1" applyBorder="1" applyAlignment="1" applyProtection="1">
      <alignment horizontal="center" vertical="center"/>
      <protection locked="0"/>
    </xf>
    <xf numFmtId="3" fontId="41" fillId="43" borderId="7" xfId="0" applyNumberFormat="1" applyFont="1" applyFill="1" applyBorder="1" applyAlignment="1" applyProtection="1">
      <alignment horizontal="center" vertical="center"/>
      <protection locked="0"/>
    </xf>
    <xf numFmtId="3" fontId="41" fillId="43" borderId="77" xfId="0" applyNumberFormat="1" applyFont="1" applyFill="1" applyBorder="1" applyAlignment="1" applyProtection="1">
      <alignment horizontal="center" vertical="center"/>
      <protection locked="0"/>
    </xf>
    <xf numFmtId="4" fontId="12" fillId="43" borderId="17" xfId="32" applyNumberFormat="1" applyFont="1" applyFill="1" applyBorder="1" applyAlignment="1" applyProtection="1">
      <alignment horizontal="center" vertical="center"/>
      <protection locked="0"/>
    </xf>
    <xf numFmtId="3" fontId="41" fillId="3" borderId="75" xfId="0" applyNumberFormat="1" applyFont="1" applyFill="1" applyBorder="1" applyAlignment="1" applyProtection="1">
      <alignment horizontal="center" vertical="center" wrapText="1"/>
      <protection locked="0"/>
    </xf>
    <xf numFmtId="3" fontId="41" fillId="3" borderId="52" xfId="0" applyNumberFormat="1" applyFont="1" applyFill="1" applyBorder="1" applyAlignment="1" applyProtection="1">
      <alignment horizontal="center" vertical="center" wrapText="1"/>
      <protection locked="0"/>
    </xf>
    <xf numFmtId="3" fontId="42" fillId="3" borderId="52" xfId="0" applyNumberFormat="1" applyFont="1" applyFill="1" applyBorder="1" applyAlignment="1" applyProtection="1">
      <alignment horizontal="center" vertical="center"/>
      <protection locked="0"/>
    </xf>
    <xf numFmtId="3" fontId="41" fillId="3" borderId="52" xfId="0" applyNumberFormat="1" applyFont="1" applyFill="1" applyBorder="1" applyAlignment="1" applyProtection="1">
      <alignment horizontal="center" vertical="center"/>
      <protection locked="0"/>
    </xf>
    <xf numFmtId="3" fontId="41" fillId="3" borderId="54" xfId="0" applyNumberFormat="1" applyFont="1" applyFill="1" applyBorder="1" applyAlignment="1" applyProtection="1">
      <alignment horizontal="center" vertical="center"/>
      <protection locked="0"/>
    </xf>
    <xf numFmtId="3" fontId="41" fillId="3" borderId="56" xfId="0" applyNumberFormat="1" applyFont="1" applyFill="1" applyBorder="1" applyAlignment="1" applyProtection="1">
      <alignment horizontal="center" vertical="center"/>
      <protection locked="0"/>
    </xf>
    <xf numFmtId="3" fontId="41" fillId="3" borderId="49" xfId="0" applyNumberFormat="1" applyFont="1" applyFill="1" applyBorder="1" applyAlignment="1" applyProtection="1">
      <alignment horizontal="center" vertical="center"/>
      <protection locked="0"/>
    </xf>
    <xf numFmtId="3" fontId="12" fillId="43" borderId="72" xfId="88" applyNumberFormat="1" applyFont="1" applyFill="1" applyBorder="1" applyAlignment="1" applyProtection="1">
      <alignment horizontal="center" vertical="center" wrapText="1"/>
      <protection locked="0"/>
    </xf>
    <xf numFmtId="3" fontId="12" fillId="43" borderId="73" xfId="88" applyNumberFormat="1" applyFont="1" applyFill="1" applyBorder="1" applyAlignment="1" applyProtection="1">
      <alignment horizontal="center" vertical="center" wrapText="1"/>
      <protection locked="0"/>
    </xf>
    <xf numFmtId="3" fontId="12" fillId="43" borderId="76" xfId="88" applyNumberFormat="1" applyFont="1" applyFill="1" applyBorder="1" applyAlignment="1" applyProtection="1">
      <alignment horizontal="center" vertical="center" wrapText="1"/>
      <protection locked="0"/>
    </xf>
    <xf numFmtId="3" fontId="103" fillId="28" borderId="31" xfId="0" applyNumberFormat="1" applyFont="1" applyFill="1" applyBorder="1" applyAlignment="1" applyProtection="1">
      <alignment horizontal="center" vertical="center"/>
      <protection locked="0"/>
    </xf>
    <xf numFmtId="3" fontId="21" fillId="26" borderId="15" xfId="88" applyNumberFormat="1" applyFont="1" applyFill="1" applyBorder="1" applyAlignment="1">
      <alignment horizontal="center" vertical="center" wrapText="1"/>
    </xf>
    <xf numFmtId="3" fontId="177" fillId="28" borderId="54" xfId="88" applyNumberFormat="1" applyFont="1" applyFill="1" applyBorder="1" applyAlignment="1" applyProtection="1">
      <alignment horizontal="center" vertical="center" wrapText="1"/>
      <protection locked="0"/>
    </xf>
    <xf numFmtId="3" fontId="177" fillId="28" borderId="69" xfId="88" applyNumberFormat="1" applyFont="1" applyFill="1" applyBorder="1" applyAlignment="1" applyProtection="1">
      <alignment horizontal="center" vertical="center" wrapText="1"/>
      <protection locked="0"/>
    </xf>
    <xf numFmtId="3" fontId="177" fillId="28" borderId="18" xfId="88" applyNumberFormat="1" applyFont="1" applyFill="1" applyBorder="1" applyAlignment="1" applyProtection="1">
      <alignment horizontal="center" vertical="center" wrapText="1"/>
      <protection locked="0"/>
    </xf>
    <xf numFmtId="3" fontId="177" fillId="28" borderId="56" xfId="88" applyNumberFormat="1" applyFont="1" applyFill="1" applyBorder="1" applyAlignment="1" applyProtection="1">
      <alignment horizontal="center" vertical="center" wrapText="1"/>
      <protection locked="0"/>
    </xf>
    <xf numFmtId="3" fontId="177" fillId="28" borderId="79" xfId="88" applyNumberFormat="1" applyFont="1" applyFill="1" applyBorder="1" applyAlignment="1" applyProtection="1">
      <alignment horizontal="center" vertical="center" wrapText="1"/>
      <protection locked="0"/>
    </xf>
    <xf numFmtId="3" fontId="177" fillId="28" borderId="19" xfId="88" applyNumberFormat="1" applyFont="1" applyFill="1" applyBorder="1" applyAlignment="1" applyProtection="1">
      <alignment horizontal="center" vertical="center" wrapText="1"/>
      <protection locked="0"/>
    </xf>
    <xf numFmtId="3" fontId="177" fillId="28" borderId="63" xfId="88" applyNumberFormat="1" applyFont="1" applyFill="1" applyBorder="1" applyAlignment="1" applyProtection="1">
      <alignment horizontal="center" vertical="center" wrapText="1"/>
      <protection locked="0"/>
    </xf>
    <xf numFmtId="3" fontId="12" fillId="26" borderId="72" xfId="88" applyNumberFormat="1" applyFont="1" applyFill="1" applyBorder="1" applyAlignment="1" applyProtection="1">
      <alignment horizontal="center" vertical="center" wrapText="1"/>
      <protection locked="0"/>
    </xf>
    <xf numFmtId="3" fontId="12" fillId="3" borderId="31" xfId="0" applyNumberFormat="1" applyFont="1" applyFill="1" applyBorder="1" applyAlignment="1" applyProtection="1">
      <alignment horizontal="center" vertical="center" wrapText="1"/>
      <protection locked="0"/>
    </xf>
    <xf numFmtId="3" fontId="12" fillId="3" borderId="50" xfId="0" applyNumberFormat="1" applyFont="1" applyFill="1" applyBorder="1" applyAlignment="1" applyProtection="1">
      <alignment horizontal="center" vertical="center" wrapText="1"/>
      <protection locked="0"/>
    </xf>
    <xf numFmtId="3" fontId="12" fillId="0" borderId="75" xfId="0" applyNumberFormat="1" applyFont="1" applyBorder="1" applyAlignment="1">
      <alignment horizontal="center" vertical="center" wrapText="1"/>
    </xf>
    <xf numFmtId="3" fontId="12" fillId="0" borderId="52" xfId="0" applyNumberFormat="1" applyFont="1" applyBorder="1" applyAlignment="1">
      <alignment horizontal="center" vertical="center" wrapText="1"/>
    </xf>
    <xf numFmtId="3" fontId="12" fillId="3" borderId="56" xfId="0" applyNumberFormat="1" applyFont="1" applyFill="1" applyBorder="1" applyAlignment="1" applyProtection="1">
      <alignment horizontal="center" vertical="center" wrapText="1"/>
      <protection locked="0"/>
    </xf>
    <xf numFmtId="3" fontId="79" fillId="0" borderId="51" xfId="0" applyNumberFormat="1" applyFont="1" applyBorder="1" applyAlignment="1" applyProtection="1">
      <alignment horizontal="center" vertical="center" wrapText="1"/>
      <protection locked="0"/>
    </xf>
    <xf numFmtId="3" fontId="79" fillId="0" borderId="73" xfId="0" applyNumberFormat="1" applyFont="1" applyBorder="1" applyAlignment="1">
      <alignment horizontal="center" vertical="center" wrapText="1"/>
    </xf>
    <xf numFmtId="3" fontId="79" fillId="0" borderId="76" xfId="0" applyNumberFormat="1" applyFont="1" applyBorder="1" applyAlignment="1">
      <alignment horizontal="center" vertical="center" wrapText="1"/>
    </xf>
    <xf numFmtId="3" fontId="79" fillId="0" borderId="21" xfId="0" applyNumberFormat="1" applyFont="1" applyBorder="1" applyAlignment="1" applyProtection="1">
      <alignment horizontal="center" vertical="center" wrapText="1"/>
      <protection locked="0"/>
    </xf>
    <xf numFmtId="3" fontId="79" fillId="0" borderId="77" xfId="0" applyNumberFormat="1" applyFont="1" applyBorder="1" applyAlignment="1">
      <alignment horizontal="center" vertical="center" wrapText="1"/>
    </xf>
    <xf numFmtId="3" fontId="79" fillId="0" borderId="57" xfId="0" applyNumberFormat="1" applyFont="1" applyBorder="1" applyAlignment="1">
      <alignment horizontal="center" vertical="center" wrapText="1"/>
    </xf>
    <xf numFmtId="49" fontId="34" fillId="28" borderId="24" xfId="31" applyNumberFormat="1" applyFont="1" applyFill="1" applyBorder="1" applyAlignment="1" applyProtection="1">
      <alignment horizontal="center" vertical="center"/>
      <protection locked="0"/>
    </xf>
    <xf numFmtId="49" fontId="34" fillId="28" borderId="15" xfId="31" applyNumberFormat="1" applyFont="1" applyFill="1" applyBorder="1" applyAlignment="1" applyProtection="1">
      <alignment horizontal="center" vertical="center"/>
      <protection locked="0"/>
    </xf>
    <xf numFmtId="3" fontId="171" fillId="3" borderId="32" xfId="32" applyNumberFormat="1" applyFont="1" applyFill="1" applyBorder="1" applyAlignment="1" applyProtection="1">
      <alignment horizontal="center" vertical="center"/>
      <protection locked="0"/>
    </xf>
    <xf numFmtId="3" fontId="171" fillId="3" borderId="7" xfId="32" applyNumberFormat="1" applyFont="1" applyFill="1" applyBorder="1" applyAlignment="1" applyProtection="1">
      <alignment horizontal="center" vertical="center"/>
      <protection locked="0"/>
    </xf>
    <xf numFmtId="3" fontId="171" fillId="3" borderId="53" xfId="32" applyNumberFormat="1" applyFont="1" applyFill="1" applyBorder="1" applyAlignment="1" applyProtection="1">
      <alignment horizontal="center" vertical="center"/>
      <protection locked="0"/>
    </xf>
    <xf numFmtId="3" fontId="47" fillId="0" borderId="17" xfId="32" applyNumberFormat="1" applyFont="1" applyBorder="1" applyAlignment="1">
      <alignment horizontal="center" vertical="center"/>
    </xf>
    <xf numFmtId="3" fontId="47" fillId="0" borderId="21" xfId="32" applyNumberFormat="1" applyFont="1" applyBorder="1" applyAlignment="1">
      <alignment horizontal="center" vertical="center"/>
    </xf>
    <xf numFmtId="3" fontId="79" fillId="3" borderId="7" xfId="32" applyNumberFormat="1" applyFont="1" applyFill="1" applyBorder="1" applyAlignment="1" applyProtection="1">
      <alignment horizontal="center" vertical="center"/>
      <protection locked="0"/>
    </xf>
    <xf numFmtId="3" fontId="79" fillId="3" borderId="62" xfId="32" applyNumberFormat="1" applyFont="1" applyFill="1" applyBorder="1" applyAlignment="1" applyProtection="1">
      <alignment horizontal="center" vertical="center"/>
      <protection locked="0"/>
    </xf>
    <xf numFmtId="0" fontId="41" fillId="28" borderId="24" xfId="83" applyFont="1" applyFill="1" applyBorder="1" applyAlignment="1" applyProtection="1">
      <alignment vertical="center" wrapText="1"/>
      <protection locked="0"/>
    </xf>
    <xf numFmtId="0" fontId="41" fillId="28" borderId="23" xfId="83" applyFont="1" applyFill="1" applyBorder="1" applyAlignment="1" applyProtection="1">
      <alignment vertical="center" wrapText="1"/>
      <protection locked="0"/>
    </xf>
    <xf numFmtId="0" fontId="41" fillId="28" borderId="15" xfId="83" applyFont="1" applyFill="1" applyBorder="1" applyAlignment="1" applyProtection="1">
      <alignment vertical="center" wrapText="1"/>
      <protection locked="0"/>
    </xf>
    <xf numFmtId="0" fontId="12" fillId="3" borderId="74" xfId="0" applyFont="1" applyFill="1" applyBorder="1" applyAlignment="1" applyProtection="1">
      <alignment horizontal="center" vertical="center" wrapText="1"/>
      <protection locked="0"/>
    </xf>
    <xf numFmtId="0" fontId="12" fillId="3" borderId="78" xfId="0" applyFont="1" applyFill="1" applyBorder="1" applyAlignment="1" applyProtection="1">
      <alignment horizontal="center" vertical="center" wrapText="1"/>
      <protection locked="0"/>
    </xf>
    <xf numFmtId="0" fontId="12" fillId="3" borderId="62" xfId="0" applyFont="1" applyFill="1" applyBorder="1" applyAlignment="1" applyProtection="1">
      <alignment horizontal="center" vertical="center" wrapText="1"/>
      <protection locked="0"/>
    </xf>
    <xf numFmtId="0" fontId="12" fillId="3" borderId="23" xfId="0" applyFont="1" applyFill="1" applyBorder="1" applyAlignment="1" applyProtection="1">
      <alignment horizontal="center" vertical="center" wrapText="1"/>
      <protection locked="0"/>
    </xf>
    <xf numFmtId="0" fontId="12" fillId="3" borderId="67" xfId="0" applyFont="1" applyFill="1" applyBorder="1" applyAlignment="1" applyProtection="1">
      <alignment horizontal="center" vertical="center" wrapText="1"/>
      <protection locked="0"/>
    </xf>
    <xf numFmtId="3" fontId="41" fillId="0" borderId="73" xfId="37" applyFont="1" applyBorder="1" applyAlignment="1" applyProtection="1">
      <alignment horizontal="center" vertical="center" wrapText="1"/>
    </xf>
    <xf numFmtId="38" fontId="41" fillId="0" borderId="73" xfId="28" applyFont="1" applyFill="1" applyBorder="1" applyAlignment="1">
      <alignment horizontal="center" vertical="center" wrapText="1"/>
    </xf>
    <xf numFmtId="38" fontId="41" fillId="0" borderId="76" xfId="28" applyFont="1" applyFill="1" applyBorder="1" applyAlignment="1">
      <alignment horizontal="center" vertical="center" wrapText="1"/>
    </xf>
    <xf numFmtId="10" fontId="41" fillId="26" borderId="7" xfId="70" applyNumberFormat="1" applyFont="1" applyFill="1" applyBorder="1" applyAlignment="1" applyProtection="1">
      <alignment horizontal="center" vertical="center" wrapText="1"/>
    </xf>
    <xf numFmtId="38" fontId="41" fillId="0" borderId="7" xfId="28" applyFont="1" applyFill="1" applyBorder="1" applyAlignment="1">
      <alignment horizontal="center" vertical="center" wrapText="1"/>
    </xf>
    <xf numFmtId="38" fontId="41" fillId="0" borderId="53" xfId="28" applyFont="1" applyFill="1" applyBorder="1" applyAlignment="1">
      <alignment horizontal="center" vertical="center" wrapText="1"/>
    </xf>
    <xf numFmtId="38" fontId="41" fillId="0" borderId="63" xfId="28" applyFont="1" applyFill="1" applyBorder="1" applyAlignment="1">
      <alignment horizontal="center" vertical="center" wrapText="1"/>
    </xf>
    <xf numFmtId="38" fontId="41" fillId="0" borderId="55" xfId="28" applyFont="1" applyFill="1" applyBorder="1" applyAlignment="1">
      <alignment horizontal="center" vertical="center" wrapText="1"/>
    </xf>
    <xf numFmtId="10" fontId="41" fillId="26" borderId="53" xfId="70" applyNumberFormat="1" applyFont="1" applyFill="1" applyBorder="1" applyAlignment="1" applyProtection="1">
      <alignment horizontal="center" vertical="center" wrapText="1"/>
    </xf>
    <xf numFmtId="169" fontId="12" fillId="3" borderId="73" xfId="0" applyNumberFormat="1" applyFont="1" applyFill="1" applyBorder="1" applyAlignment="1" applyProtection="1">
      <alignment horizontal="center" vertical="center" wrapText="1"/>
      <protection locked="0"/>
    </xf>
    <xf numFmtId="3" fontId="12" fillId="55" borderId="72" xfId="88" applyNumberFormat="1" applyFont="1" applyFill="1" applyBorder="1" applyAlignment="1" applyProtection="1">
      <alignment horizontal="center" vertical="center" wrapText="1"/>
      <protection locked="0"/>
    </xf>
    <xf numFmtId="0" fontId="20" fillId="0" borderId="0" xfId="32" applyFont="1" applyAlignment="1">
      <alignment horizontal="left" wrapText="1"/>
    </xf>
    <xf numFmtId="0" fontId="86" fillId="0" borderId="24" xfId="2" applyNumberFormat="1" applyFont="1" applyFill="1" applyBorder="1" applyAlignment="1" applyProtection="1">
      <alignment horizontal="left" vertical="center" wrapText="1"/>
    </xf>
    <xf numFmtId="0" fontId="86" fillId="0" borderId="15" xfId="2" applyNumberFormat="1" applyFont="1" applyFill="1" applyBorder="1" applyAlignment="1" applyProtection="1">
      <alignment horizontal="left" vertical="center" wrapText="1"/>
    </xf>
    <xf numFmtId="0" fontId="69" fillId="0" borderId="23" xfId="32" applyFont="1" applyBorder="1" applyAlignment="1">
      <alignment horizontal="left" vertical="center" wrapText="1"/>
    </xf>
    <xf numFmtId="0" fontId="69" fillId="0" borderId="15" xfId="32" applyFont="1" applyBorder="1" applyAlignment="1">
      <alignment horizontal="left" vertical="center" wrapText="1"/>
    </xf>
    <xf numFmtId="49" fontId="70" fillId="0" borderId="23" xfId="32" applyNumberFormat="1" applyFont="1" applyBorder="1" applyAlignment="1">
      <alignment horizontal="left" vertical="center" wrapText="1"/>
    </xf>
    <xf numFmtId="49" fontId="70" fillId="0" borderId="15" xfId="32" applyNumberFormat="1" applyFont="1" applyBorder="1" applyAlignment="1">
      <alignment horizontal="left" vertical="center" wrapText="1"/>
    </xf>
    <xf numFmtId="0" fontId="109" fillId="0" borderId="24" xfId="2" applyFont="1" applyBorder="1" applyAlignment="1" applyProtection="1">
      <alignment horizontal="left" vertical="center" wrapText="1"/>
    </xf>
    <xf numFmtId="0" fontId="109" fillId="0" borderId="15" xfId="2" applyFont="1" applyBorder="1" applyAlignment="1" applyProtection="1">
      <alignment horizontal="left" vertical="center" wrapText="1"/>
    </xf>
    <xf numFmtId="0" fontId="70" fillId="20" borderId="39" xfId="32" applyFont="1" applyFill="1" applyBorder="1" applyAlignment="1">
      <alignment horizontal="right" vertical="center"/>
    </xf>
    <xf numFmtId="0" fontId="70" fillId="20" borderId="26" xfId="32" applyFont="1" applyFill="1" applyBorder="1" applyAlignment="1">
      <alignment horizontal="right" vertical="center"/>
    </xf>
    <xf numFmtId="49" fontId="69" fillId="20" borderId="39" xfId="32" applyNumberFormat="1" applyFont="1" applyFill="1" applyBorder="1" applyAlignment="1">
      <alignment horizontal="center" vertical="center"/>
    </xf>
    <xf numFmtId="49" fontId="69" fillId="20" borderId="5" xfId="32" applyNumberFormat="1" applyFont="1" applyFill="1" applyBorder="1" applyAlignment="1">
      <alignment horizontal="center" vertical="center"/>
    </xf>
    <xf numFmtId="0" fontId="109" fillId="0" borderId="24" xfId="2" applyNumberFormat="1" applyFont="1" applyFill="1" applyBorder="1" applyAlignment="1" applyProtection="1">
      <alignment horizontal="left" vertical="center" wrapText="1"/>
    </xf>
    <xf numFmtId="0" fontId="109" fillId="0" borderId="15" xfId="2" applyNumberFormat="1" applyFont="1" applyFill="1" applyBorder="1" applyAlignment="1" applyProtection="1">
      <alignment horizontal="left" vertical="center" wrapText="1"/>
    </xf>
    <xf numFmtId="49" fontId="33" fillId="3" borderId="24" xfId="0" applyNumberFormat="1" applyFont="1" applyFill="1" applyBorder="1" applyAlignment="1" applyProtection="1">
      <alignment horizontal="left" vertical="center"/>
      <protection locked="0"/>
    </xf>
    <xf numFmtId="49" fontId="33" fillId="3" borderId="15" xfId="0" applyNumberFormat="1" applyFont="1" applyFill="1" applyBorder="1" applyAlignment="1" applyProtection="1">
      <alignment horizontal="left" vertical="center"/>
      <protection locked="0"/>
    </xf>
    <xf numFmtId="49" fontId="69" fillId="20" borderId="26" xfId="32" applyNumberFormat="1" applyFont="1" applyFill="1" applyBorder="1" applyAlignment="1">
      <alignment horizontal="center" vertical="center"/>
    </xf>
    <xf numFmtId="0" fontId="70" fillId="20" borderId="5" xfId="32" applyFont="1" applyFill="1" applyBorder="1" applyAlignment="1">
      <alignment horizontal="right" vertical="center"/>
    </xf>
    <xf numFmtId="49" fontId="69" fillId="20" borderId="39" xfId="32" applyNumberFormat="1" applyFont="1" applyFill="1" applyBorder="1" applyAlignment="1">
      <alignment horizontal="left" vertical="center"/>
    </xf>
    <xf numFmtId="49" fontId="69" fillId="20" borderId="26" xfId="32" applyNumberFormat="1" applyFont="1" applyFill="1" applyBorder="1" applyAlignment="1">
      <alignment horizontal="left" vertical="center"/>
    </xf>
    <xf numFmtId="0" fontId="109" fillId="0" borderId="24" xfId="2" applyFont="1" applyBorder="1" applyAlignment="1" applyProtection="1">
      <alignment horizontal="left" wrapText="1"/>
    </xf>
    <xf numFmtId="0" fontId="109" fillId="0" borderId="15" xfId="2" applyFont="1" applyBorder="1" applyAlignment="1" applyProtection="1">
      <alignment horizontal="left" wrapText="1"/>
    </xf>
    <xf numFmtId="49" fontId="34" fillId="3" borderId="29" xfId="0" applyNumberFormat="1" applyFont="1" applyFill="1" applyBorder="1" applyAlignment="1" applyProtection="1">
      <alignment horizontal="left" vertical="center"/>
      <protection locked="0"/>
    </xf>
    <xf numFmtId="49" fontId="34" fillId="3" borderId="14" xfId="0" applyNumberFormat="1" applyFont="1" applyFill="1" applyBorder="1" applyAlignment="1" applyProtection="1">
      <alignment horizontal="left" vertical="center"/>
      <protection locked="0"/>
    </xf>
    <xf numFmtId="49" fontId="17" fillId="3" borderId="24" xfId="2" applyNumberFormat="1" applyFill="1" applyBorder="1" applyAlignment="1" applyProtection="1">
      <alignment horizontal="left" vertical="center"/>
      <protection locked="0"/>
    </xf>
    <xf numFmtId="49" fontId="17" fillId="3" borderId="15" xfId="2" applyNumberFormat="1" applyFill="1" applyBorder="1" applyAlignment="1" applyProtection="1">
      <alignment horizontal="left" vertical="center"/>
      <protection locked="0"/>
    </xf>
    <xf numFmtId="49" fontId="70" fillId="0" borderId="36" xfId="32" applyNumberFormat="1" applyFont="1" applyBorder="1" applyAlignment="1">
      <alignment horizontal="left" vertical="center"/>
    </xf>
    <xf numFmtId="49" fontId="70" fillId="0" borderId="18" xfId="32" applyNumberFormat="1" applyFont="1" applyBorder="1" applyAlignment="1">
      <alignment horizontal="left" vertical="center"/>
    </xf>
    <xf numFmtId="0" fontId="172" fillId="26" borderId="1" xfId="32" applyFont="1" applyFill="1" applyBorder="1" applyAlignment="1">
      <alignment horizontal="center" vertical="center"/>
    </xf>
    <xf numFmtId="0" fontId="172" fillId="26" borderId="3" xfId="32" applyFont="1" applyFill="1" applyBorder="1" applyAlignment="1">
      <alignment horizontal="center" vertical="center"/>
    </xf>
    <xf numFmtId="0" fontId="72" fillId="26" borderId="24" xfId="32" applyFont="1" applyFill="1" applyBorder="1" applyAlignment="1">
      <alignment horizontal="center" vertical="center"/>
    </xf>
    <xf numFmtId="0" fontId="72" fillId="26" borderId="15" xfId="32" applyFont="1" applyFill="1" applyBorder="1" applyAlignment="1">
      <alignment horizontal="center" vertical="center"/>
    </xf>
    <xf numFmtId="0" fontId="72" fillId="26" borderId="30" xfId="32" applyFont="1" applyFill="1" applyBorder="1" applyAlignment="1">
      <alignment horizontal="center" vertical="center"/>
    </xf>
    <xf numFmtId="0" fontId="72" fillId="26" borderId="19" xfId="32" applyFont="1" applyFill="1" applyBorder="1" applyAlignment="1">
      <alignment horizontal="center" vertical="center"/>
    </xf>
    <xf numFmtId="49" fontId="72" fillId="3" borderId="29" xfId="32" applyNumberFormat="1" applyFont="1" applyFill="1" applyBorder="1" applyAlignment="1" applyProtection="1">
      <alignment horizontal="center" vertical="center"/>
      <protection locked="0"/>
    </xf>
    <xf numFmtId="49" fontId="72" fillId="3" borderId="14" xfId="32" applyNumberFormat="1" applyFont="1" applyFill="1" applyBorder="1" applyAlignment="1" applyProtection="1">
      <alignment horizontal="center" vertical="center"/>
      <protection locked="0"/>
    </xf>
    <xf numFmtId="49" fontId="69" fillId="20" borderId="35" xfId="32" applyNumberFormat="1" applyFont="1" applyFill="1" applyBorder="1" applyAlignment="1">
      <alignment horizontal="left" vertical="center"/>
    </xf>
    <xf numFmtId="49" fontId="69" fillId="20" borderId="34" xfId="32" applyNumberFormat="1" applyFont="1" applyFill="1" applyBorder="1" applyAlignment="1">
      <alignment horizontal="left" vertical="center"/>
    </xf>
    <xf numFmtId="0" fontId="69" fillId="20" borderId="40" xfId="32" applyFont="1" applyFill="1" applyBorder="1" applyAlignment="1">
      <alignment horizontal="right" vertical="center"/>
    </xf>
    <xf numFmtId="0" fontId="69" fillId="20" borderId="27" xfId="32" applyFont="1" applyFill="1" applyBorder="1" applyAlignment="1">
      <alignment horizontal="right" vertical="center"/>
    </xf>
    <xf numFmtId="0" fontId="69" fillId="20" borderId="42" xfId="32" applyFont="1" applyFill="1" applyBorder="1" applyAlignment="1">
      <alignment horizontal="right" vertical="center"/>
    </xf>
    <xf numFmtId="0" fontId="72" fillId="26" borderId="29" xfId="32" applyFont="1" applyFill="1" applyBorder="1" applyAlignment="1">
      <alignment horizontal="center" vertical="center"/>
    </xf>
    <xf numFmtId="0" fontId="72" fillId="26" borderId="14" xfId="32" applyFont="1" applyFill="1" applyBorder="1" applyAlignment="1">
      <alignment horizontal="center" vertical="center"/>
    </xf>
    <xf numFmtId="0" fontId="34" fillId="28" borderId="178" xfId="0" applyFont="1" applyFill="1" applyBorder="1" applyAlignment="1" applyProtection="1">
      <alignment horizontal="left" vertical="center" wrapText="1"/>
      <protection locked="0"/>
    </xf>
    <xf numFmtId="0" fontId="34" fillId="28" borderId="179" xfId="0" applyFont="1" applyFill="1" applyBorder="1" applyAlignment="1" applyProtection="1">
      <alignment horizontal="left" vertical="center" wrapText="1"/>
      <protection locked="0"/>
    </xf>
    <xf numFmtId="49" fontId="77" fillId="0" borderId="0" xfId="32" applyNumberFormat="1" applyFont="1" applyAlignment="1">
      <alignment horizontal="center" vertical="center"/>
    </xf>
    <xf numFmtId="0" fontId="69" fillId="0" borderId="0" xfId="32" applyFont="1" applyAlignment="1">
      <alignment horizontal="center" vertical="center"/>
    </xf>
    <xf numFmtId="49" fontId="69" fillId="37" borderId="35" xfId="32" applyNumberFormat="1" applyFont="1" applyFill="1" applyBorder="1" applyAlignment="1">
      <alignment horizontal="center" vertical="center"/>
    </xf>
    <xf numFmtId="49" fontId="69" fillId="37" borderId="34" xfId="32" applyNumberFormat="1" applyFont="1" applyFill="1" applyBorder="1" applyAlignment="1">
      <alignment horizontal="center" vertical="center"/>
    </xf>
    <xf numFmtId="0" fontId="69" fillId="37" borderId="29" xfId="32" applyFont="1" applyFill="1" applyBorder="1" applyAlignment="1">
      <alignment horizontal="center" vertical="center"/>
    </xf>
    <xf numFmtId="0" fontId="69" fillId="37" borderId="22" xfId="32" applyFont="1" applyFill="1" applyBorder="1" applyAlignment="1">
      <alignment horizontal="center" vertical="center"/>
    </xf>
    <xf numFmtId="0" fontId="69" fillId="37" borderId="14" xfId="32" applyFont="1" applyFill="1" applyBorder="1" applyAlignment="1">
      <alignment horizontal="center" vertical="center"/>
    </xf>
    <xf numFmtId="0" fontId="71" fillId="37" borderId="30" xfId="32" applyFont="1" applyFill="1" applyBorder="1" applyAlignment="1">
      <alignment horizontal="center" vertical="center"/>
    </xf>
    <xf numFmtId="0" fontId="71" fillId="37" borderId="19" xfId="32" applyFont="1" applyFill="1" applyBorder="1" applyAlignment="1">
      <alignment horizontal="center" vertical="center"/>
    </xf>
    <xf numFmtId="0" fontId="34" fillId="28" borderId="180" xfId="0" applyFont="1" applyFill="1" applyBorder="1" applyAlignment="1" applyProtection="1">
      <alignment vertical="center" wrapText="1"/>
      <protection locked="0"/>
    </xf>
    <xf numFmtId="0" fontId="34" fillId="28" borderId="181" xfId="0" applyFont="1" applyFill="1" applyBorder="1" applyAlignment="1" applyProtection="1">
      <alignment vertical="center" wrapText="1"/>
      <protection locked="0"/>
    </xf>
    <xf numFmtId="0" fontId="34" fillId="28" borderId="178" xfId="0" applyFont="1" applyFill="1" applyBorder="1" applyAlignment="1" applyProtection="1">
      <alignment vertical="center" wrapText="1"/>
      <protection locked="0"/>
    </xf>
    <xf numFmtId="0" fontId="34" fillId="28" borderId="179" xfId="0" applyFont="1" applyFill="1" applyBorder="1" applyAlignment="1" applyProtection="1">
      <alignment vertical="center" wrapText="1"/>
      <protection locked="0"/>
    </xf>
    <xf numFmtId="0" fontId="42" fillId="27" borderId="0" xfId="0" applyFont="1" applyFill="1" applyAlignment="1">
      <alignment vertical="top" wrapText="1"/>
    </xf>
    <xf numFmtId="1" fontId="34" fillId="26" borderId="24" xfId="31" applyNumberFormat="1" applyFont="1" applyFill="1" applyBorder="1" applyAlignment="1">
      <alignment horizontal="left" vertical="center"/>
    </xf>
    <xf numFmtId="1" fontId="34" fillId="26" borderId="15" xfId="31" applyNumberFormat="1" applyFont="1" applyFill="1" applyBorder="1" applyAlignment="1">
      <alignment horizontal="left" vertical="center"/>
    </xf>
    <xf numFmtId="180" fontId="32" fillId="27" borderId="40" xfId="31" applyNumberFormat="1" applyFont="1" applyFill="1" applyBorder="1" applyAlignment="1">
      <alignment horizontal="center" vertical="center"/>
    </xf>
    <xf numFmtId="180" fontId="32" fillId="27" borderId="41" xfId="31" applyNumberFormat="1" applyFont="1" applyFill="1" applyBorder="1" applyAlignment="1">
      <alignment horizontal="center" vertical="center"/>
    </xf>
    <xf numFmtId="0" fontId="21" fillId="27" borderId="42" xfId="0" applyFont="1" applyFill="1" applyBorder="1" applyAlignment="1">
      <alignment horizontal="center"/>
    </xf>
    <xf numFmtId="0" fontId="21" fillId="27" borderId="43" xfId="0" applyFont="1" applyFill="1" applyBorder="1" applyAlignment="1">
      <alignment horizontal="center"/>
    </xf>
    <xf numFmtId="49" fontId="34" fillId="3" borderId="30" xfId="0" applyNumberFormat="1" applyFont="1" applyFill="1" applyBorder="1" applyAlignment="1" applyProtection="1">
      <alignment horizontal="left" vertical="center" wrapText="1"/>
      <protection locked="0"/>
    </xf>
    <xf numFmtId="49" fontId="34" fillId="3" borderId="19" xfId="0" applyNumberFormat="1" applyFont="1" applyFill="1" applyBorder="1" applyAlignment="1" applyProtection="1">
      <alignment horizontal="left" vertical="center"/>
      <protection locked="0"/>
    </xf>
    <xf numFmtId="49" fontId="15" fillId="27" borderId="0" xfId="0" applyNumberFormat="1" applyFont="1" applyFill="1" applyAlignment="1">
      <alignment horizontal="center" vertical="center" wrapText="1"/>
    </xf>
    <xf numFmtId="49" fontId="15" fillId="27" borderId="0" xfId="0" applyNumberFormat="1" applyFont="1" applyFill="1" applyAlignment="1">
      <alignment horizontal="center" vertical="center"/>
    </xf>
    <xf numFmtId="0" fontId="20" fillId="27" borderId="0" xfId="0" applyFont="1" applyFill="1" applyAlignment="1">
      <alignment horizontal="center" vertical="center"/>
    </xf>
    <xf numFmtId="49" fontId="20" fillId="37" borderId="35" xfId="0" applyNumberFormat="1" applyFont="1" applyFill="1" applyBorder="1" applyAlignment="1">
      <alignment horizontal="center" vertical="center"/>
    </xf>
    <xf numFmtId="49" fontId="20" fillId="37" borderId="34" xfId="0" applyNumberFormat="1" applyFont="1" applyFill="1" applyBorder="1" applyAlignment="1">
      <alignment horizontal="center" vertical="center"/>
    </xf>
    <xf numFmtId="0" fontId="20" fillId="37" borderId="29" xfId="0" applyFont="1" applyFill="1" applyBorder="1" applyAlignment="1">
      <alignment horizontal="center" vertical="center"/>
    </xf>
    <xf numFmtId="0" fontId="20" fillId="37" borderId="11" xfId="0" applyFont="1" applyFill="1" applyBorder="1" applyAlignment="1">
      <alignment horizontal="center" vertical="center"/>
    </xf>
    <xf numFmtId="0" fontId="20" fillId="37" borderId="41" xfId="0" applyFont="1" applyFill="1" applyBorder="1" applyAlignment="1">
      <alignment horizontal="center" vertical="center"/>
    </xf>
    <xf numFmtId="0" fontId="32" fillId="37" borderId="1" xfId="0" applyFont="1" applyFill="1" applyBorder="1" applyAlignment="1">
      <alignment horizontal="center" vertical="center"/>
    </xf>
    <xf numFmtId="0" fontId="32" fillId="37" borderId="3" xfId="0" applyFont="1" applyFill="1" applyBorder="1" applyAlignment="1">
      <alignment horizontal="center" vertical="center"/>
    </xf>
    <xf numFmtId="49" fontId="34" fillId="3" borderId="24" xfId="78" applyNumberFormat="1" applyFont="1" applyFill="1" applyBorder="1" applyAlignment="1" applyProtection="1">
      <alignment horizontal="left" vertical="center" wrapText="1"/>
      <protection locked="0"/>
    </xf>
    <xf numFmtId="49" fontId="34" fillId="3" borderId="15" xfId="78" applyNumberFormat="1" applyFont="1" applyFill="1" applyBorder="1" applyAlignment="1" applyProtection="1">
      <alignment horizontal="left" vertical="center" wrapText="1"/>
      <protection locked="0"/>
    </xf>
    <xf numFmtId="0" fontId="32" fillId="27" borderId="1" xfId="0" applyFont="1" applyFill="1" applyBorder="1" applyAlignment="1">
      <alignment horizontal="center" vertical="center"/>
    </xf>
    <xf numFmtId="0" fontId="32" fillId="27" borderId="3" xfId="0" applyFont="1" applyFill="1" applyBorder="1" applyAlignment="1">
      <alignment horizontal="center" vertical="center"/>
    </xf>
    <xf numFmtId="0" fontId="32" fillId="27" borderId="1" xfId="31" applyFont="1" applyFill="1" applyBorder="1" applyAlignment="1">
      <alignment horizontal="left" vertical="center"/>
    </xf>
    <xf numFmtId="0" fontId="32" fillId="27" borderId="3" xfId="31" applyFont="1" applyFill="1" applyBorder="1" applyAlignment="1">
      <alignment horizontal="left" vertical="center"/>
    </xf>
    <xf numFmtId="49" fontId="34" fillId="26" borderId="29" xfId="31" applyNumberFormat="1" applyFont="1" applyFill="1" applyBorder="1" applyAlignment="1">
      <alignment horizontal="left" vertical="center"/>
    </xf>
    <xf numFmtId="49" fontId="34" fillId="26" borderId="14" xfId="31" applyNumberFormat="1" applyFont="1" applyFill="1" applyBorder="1" applyAlignment="1">
      <alignment horizontal="left" vertical="center"/>
    </xf>
    <xf numFmtId="49" fontId="34" fillId="3" borderId="24" xfId="0" applyNumberFormat="1" applyFont="1" applyFill="1" applyBorder="1" applyAlignment="1" applyProtection="1">
      <alignment horizontal="left" vertical="center"/>
      <protection locked="0"/>
    </xf>
    <xf numFmtId="49" fontId="34" fillId="3" borderId="15" xfId="0" applyNumberFormat="1" applyFont="1" applyFill="1" applyBorder="1" applyAlignment="1" applyProtection="1">
      <alignment horizontal="left" vertical="center"/>
      <protection locked="0"/>
    </xf>
    <xf numFmtId="0" fontId="21" fillId="22" borderId="154" xfId="0" applyFont="1" applyFill="1" applyBorder="1" applyAlignment="1">
      <alignment horizontal="center" vertical="center" wrapText="1"/>
    </xf>
    <xf numFmtId="0" fontId="169" fillId="0" borderId="154" xfId="0" applyFont="1" applyBorder="1" applyAlignment="1">
      <alignment horizontal="left" vertical="center" wrapText="1"/>
    </xf>
    <xf numFmtId="180" fontId="170" fillId="27" borderId="154" xfId="31" applyNumberFormat="1" applyFont="1" applyFill="1" applyBorder="1" applyAlignment="1">
      <alignment horizontal="center" vertical="center"/>
    </xf>
    <xf numFmtId="0" fontId="12" fillId="0" borderId="35"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20" fillId="39" borderId="1" xfId="31" applyFont="1" applyFill="1" applyBorder="1" applyAlignment="1">
      <alignment horizontal="center" vertical="center" wrapText="1"/>
    </xf>
    <xf numFmtId="0" fontId="20" fillId="39" borderId="8" xfId="31" applyFont="1" applyFill="1" applyBorder="1" applyAlignment="1">
      <alignment horizontal="center" vertical="center" wrapText="1"/>
    </xf>
    <xf numFmtId="0" fontId="20" fillId="39" borderId="3" xfId="31" applyFont="1" applyFill="1" applyBorder="1" applyAlignment="1">
      <alignment horizontal="center" vertical="center" wrapText="1"/>
    </xf>
    <xf numFmtId="0" fontId="15" fillId="0" borderId="0" xfId="0" applyFont="1" applyAlignment="1">
      <alignment horizontal="center" vertical="center" wrapText="1"/>
    </xf>
    <xf numFmtId="0" fontId="20" fillId="0" borderId="0" xfId="0" applyFont="1" applyAlignment="1">
      <alignment horizontal="center" vertical="center" wrapText="1"/>
    </xf>
    <xf numFmtId="0" fontId="12" fillId="0" borderId="35" xfId="31" applyFont="1" applyBorder="1" applyAlignment="1">
      <alignment horizontal="center" vertical="center" wrapText="1"/>
    </xf>
    <xf numFmtId="0" fontId="12" fillId="0" borderId="34" xfId="31" applyFont="1" applyBorder="1" applyAlignment="1">
      <alignment horizontal="center" vertical="center" wrapText="1"/>
    </xf>
    <xf numFmtId="0" fontId="21" fillId="37" borderId="40" xfId="0" applyFont="1" applyFill="1" applyBorder="1" applyAlignment="1">
      <alignment horizontal="center" vertical="center" wrapText="1"/>
    </xf>
    <xf numFmtId="0" fontId="21" fillId="37" borderId="41" xfId="0" applyFont="1" applyFill="1" applyBorder="1" applyAlignment="1">
      <alignment horizontal="center" vertical="center" wrapText="1"/>
    </xf>
    <xf numFmtId="0" fontId="21" fillId="37" borderId="38" xfId="0" applyFont="1" applyFill="1" applyBorder="1" applyAlignment="1">
      <alignment horizontal="center" vertical="center" wrapText="1"/>
    </xf>
    <xf numFmtId="0" fontId="21" fillId="37" borderId="9" xfId="0" applyFont="1" applyFill="1" applyBorder="1" applyAlignment="1">
      <alignment horizontal="center" vertical="center" wrapText="1"/>
    </xf>
    <xf numFmtId="0" fontId="21" fillId="37" borderId="10" xfId="0" applyFont="1" applyFill="1" applyBorder="1" applyAlignment="1">
      <alignment horizontal="center" vertical="center" wrapText="1"/>
    </xf>
    <xf numFmtId="0" fontId="12" fillId="0" borderId="26" xfId="31" applyFont="1" applyBorder="1" applyAlignment="1">
      <alignment horizontal="center" vertical="center" wrapText="1"/>
    </xf>
    <xf numFmtId="0" fontId="21" fillId="37" borderId="35" xfId="0" applyFont="1" applyFill="1" applyBorder="1" applyAlignment="1">
      <alignment horizontal="center" vertical="center" wrapText="1"/>
    </xf>
    <xf numFmtId="0" fontId="21" fillId="37" borderId="34" xfId="0" applyFont="1" applyFill="1" applyBorder="1" applyAlignment="1">
      <alignment horizontal="center" vertical="center" wrapText="1"/>
    </xf>
    <xf numFmtId="0" fontId="65" fillId="0" borderId="0" xfId="0" applyFont="1" applyAlignment="1">
      <alignment horizontal="right" vertical="center"/>
    </xf>
    <xf numFmtId="0" fontId="21" fillId="37" borderId="51" xfId="0" applyFont="1" applyFill="1" applyBorder="1" applyAlignment="1">
      <alignment horizontal="center" vertical="center" wrapText="1"/>
    </xf>
    <xf numFmtId="0" fontId="21" fillId="37" borderId="39" xfId="0" applyFont="1" applyFill="1" applyBorder="1" applyAlignment="1">
      <alignment horizontal="center" vertical="center" wrapText="1"/>
    </xf>
    <xf numFmtId="0" fontId="21" fillId="37" borderId="76" xfId="0" applyFont="1" applyFill="1" applyBorder="1" applyAlignment="1">
      <alignment horizontal="center" vertical="center" wrapText="1"/>
    </xf>
    <xf numFmtId="0" fontId="21" fillId="37" borderId="55" xfId="0" applyFont="1" applyFill="1" applyBorder="1" applyAlignment="1">
      <alignment horizontal="center" vertical="center" wrapText="1"/>
    </xf>
    <xf numFmtId="0" fontId="21" fillId="37" borderId="72" xfId="0" applyFont="1" applyFill="1" applyBorder="1" applyAlignment="1">
      <alignment horizontal="center" vertical="center" wrapText="1"/>
    </xf>
    <xf numFmtId="0" fontId="21" fillId="37" borderId="69" xfId="0" applyFont="1" applyFill="1" applyBorder="1" applyAlignment="1">
      <alignment horizontal="center" vertical="center" wrapText="1"/>
    </xf>
    <xf numFmtId="0" fontId="13" fillId="0" borderId="0" xfId="0" applyFont="1" applyAlignment="1">
      <alignment horizontal="right" vertical="center"/>
    </xf>
    <xf numFmtId="0" fontId="65" fillId="0" borderId="0" xfId="0" applyFont="1" applyAlignment="1">
      <alignment horizontal="center" vertical="center"/>
    </xf>
    <xf numFmtId="49" fontId="21" fillId="39" borderId="1" xfId="0" applyNumberFormat="1" applyFont="1" applyFill="1" applyBorder="1" applyAlignment="1">
      <alignment horizontal="center" vertical="center"/>
    </xf>
    <xf numFmtId="49" fontId="21" fillId="39" borderId="8" xfId="0" applyNumberFormat="1" applyFont="1" applyFill="1" applyBorder="1" applyAlignment="1">
      <alignment horizontal="center" vertical="center"/>
    </xf>
    <xf numFmtId="49" fontId="21" fillId="39" borderId="3" xfId="0" applyNumberFormat="1" applyFont="1" applyFill="1" applyBorder="1" applyAlignment="1">
      <alignment horizontal="center" vertical="center"/>
    </xf>
    <xf numFmtId="0" fontId="21" fillId="0" borderId="0" xfId="0" applyFont="1" applyAlignment="1">
      <alignment horizontal="center" vertical="center"/>
    </xf>
    <xf numFmtId="0" fontId="84" fillId="27" borderId="0" xfId="52" applyFont="1" applyFill="1" applyAlignment="1">
      <alignment horizontal="left" vertical="center" wrapText="1"/>
    </xf>
    <xf numFmtId="0" fontId="15" fillId="27" borderId="0" xfId="32" applyFont="1" applyFill="1" applyAlignment="1">
      <alignment horizontal="center" vertical="center" wrapText="1"/>
    </xf>
    <xf numFmtId="49" fontId="65" fillId="26" borderId="26" xfId="57" applyNumberFormat="1" applyFont="1" applyFill="1" applyBorder="1" applyAlignment="1">
      <alignment horizontal="center" vertical="center" wrapText="1"/>
    </xf>
    <xf numFmtId="49" fontId="65" fillId="26" borderId="5" xfId="57" applyNumberFormat="1" applyFont="1" applyFill="1" applyBorder="1" applyAlignment="1">
      <alignment horizontal="center" vertical="center" wrapText="1"/>
    </xf>
    <xf numFmtId="0" fontId="65" fillId="26" borderId="16" xfId="57" applyFont="1" applyFill="1" applyBorder="1" applyAlignment="1">
      <alignment horizontal="left" vertical="center" wrapText="1"/>
    </xf>
    <xf numFmtId="0" fontId="65" fillId="26" borderId="6" xfId="57" applyFont="1" applyFill="1" applyBorder="1" applyAlignment="1">
      <alignment horizontal="left" vertical="center" wrapText="1"/>
    </xf>
    <xf numFmtId="49" fontId="65" fillId="31" borderId="35" xfId="57" applyNumberFormat="1" applyFont="1" applyFill="1" applyBorder="1" applyAlignment="1">
      <alignment horizontal="center" vertical="center" wrapText="1"/>
    </xf>
    <xf numFmtId="49" fontId="65" fillId="31" borderId="26" xfId="57" applyNumberFormat="1" applyFont="1" applyFill="1" applyBorder="1" applyAlignment="1">
      <alignment horizontal="center" vertical="center" wrapText="1"/>
    </xf>
    <xf numFmtId="49" fontId="65" fillId="31" borderId="34" xfId="57" applyNumberFormat="1" applyFont="1" applyFill="1" applyBorder="1" applyAlignment="1">
      <alignment horizontal="center" vertical="center" wrapText="1"/>
    </xf>
    <xf numFmtId="0" fontId="65" fillId="31" borderId="11" xfId="57" applyFont="1" applyFill="1" applyBorder="1" applyAlignment="1">
      <alignment vertical="center" wrapText="1"/>
    </xf>
    <xf numFmtId="0" fontId="65" fillId="31" borderId="0" xfId="57" applyFont="1" applyFill="1" applyAlignment="1">
      <alignment vertical="center" wrapText="1"/>
    </xf>
    <xf numFmtId="0" fontId="65" fillId="31" borderId="20" xfId="57" applyFont="1" applyFill="1" applyBorder="1" applyAlignment="1">
      <alignment vertical="center" wrapText="1"/>
    </xf>
    <xf numFmtId="49" fontId="65" fillId="27" borderId="39" xfId="57" applyNumberFormat="1" applyFont="1" applyFill="1" applyBorder="1" applyAlignment="1">
      <alignment horizontal="center" vertical="center" wrapText="1"/>
    </xf>
    <xf numFmtId="49" fontId="65" fillId="27" borderId="34" xfId="57" applyNumberFormat="1" applyFont="1" applyFill="1" applyBorder="1" applyAlignment="1">
      <alignment horizontal="center" vertical="center" wrapText="1"/>
    </xf>
    <xf numFmtId="0" fontId="65" fillId="20" borderId="15" xfId="58" applyFont="1" applyFill="1" applyBorder="1" applyAlignment="1">
      <alignment horizontal="left" vertical="center" wrapText="1"/>
    </xf>
    <xf numFmtId="0" fontId="65" fillId="20" borderId="19" xfId="58" applyFont="1" applyFill="1" applyBorder="1" applyAlignment="1">
      <alignment horizontal="left" vertical="center" wrapText="1"/>
    </xf>
    <xf numFmtId="0" fontId="65" fillId="31" borderId="35" xfId="57" applyFont="1" applyFill="1" applyBorder="1" applyAlignment="1">
      <alignment horizontal="left" vertical="center"/>
    </xf>
    <xf numFmtId="0" fontId="65" fillId="31" borderId="34" xfId="57" applyFont="1" applyFill="1" applyBorder="1" applyAlignment="1">
      <alignment horizontal="left" vertical="center"/>
    </xf>
    <xf numFmtId="49" fontId="65" fillId="26" borderId="35" xfId="57" applyNumberFormat="1" applyFont="1" applyFill="1" applyBorder="1" applyAlignment="1">
      <alignment horizontal="center" vertical="center" wrapText="1"/>
    </xf>
    <xf numFmtId="0" fontId="65" fillId="26" borderId="16" xfId="57" applyFont="1" applyFill="1" applyBorder="1" applyAlignment="1">
      <alignment horizontal="left" vertical="center"/>
    </xf>
    <xf numFmtId="0" fontId="65" fillId="26" borderId="6" xfId="57" applyFont="1" applyFill="1" applyBorder="1" applyAlignment="1">
      <alignment horizontal="left" vertical="center"/>
    </xf>
    <xf numFmtId="49" fontId="65" fillId="27" borderId="26" xfId="57" applyNumberFormat="1" applyFont="1" applyFill="1" applyBorder="1" applyAlignment="1">
      <alignment horizontal="center" vertical="center" wrapText="1"/>
    </xf>
    <xf numFmtId="49" fontId="65" fillId="27" borderId="5" xfId="57" applyNumberFormat="1" applyFont="1" applyFill="1" applyBorder="1" applyAlignment="1">
      <alignment horizontal="center" vertical="center" wrapText="1"/>
    </xf>
    <xf numFmtId="0" fontId="65" fillId="20" borderId="6" xfId="58" applyFont="1" applyFill="1" applyBorder="1" applyAlignment="1">
      <alignment horizontal="left" vertical="center" wrapText="1"/>
    </xf>
    <xf numFmtId="49" fontId="65" fillId="31" borderId="5" xfId="57" applyNumberFormat="1" applyFont="1" applyFill="1" applyBorder="1" applyAlignment="1">
      <alignment horizontal="center" vertical="center" wrapText="1"/>
    </xf>
    <xf numFmtId="0" fontId="65" fillId="31" borderId="41" xfId="57" applyFont="1" applyFill="1" applyBorder="1" applyAlignment="1">
      <alignment horizontal="left" vertical="center"/>
    </xf>
    <xf numFmtId="0" fontId="65" fillId="31" borderId="16" xfId="57" applyFont="1" applyFill="1" applyBorder="1" applyAlignment="1">
      <alignment horizontal="left" vertical="center"/>
    </xf>
    <xf numFmtId="49" fontId="65" fillId="26" borderId="51" xfId="57" applyNumberFormat="1" applyFont="1" applyFill="1" applyBorder="1" applyAlignment="1">
      <alignment horizontal="center" vertical="center" wrapText="1"/>
    </xf>
    <xf numFmtId="49" fontId="65" fillId="26" borderId="17" xfId="57" applyNumberFormat="1" applyFont="1" applyFill="1" applyBorder="1" applyAlignment="1">
      <alignment horizontal="center" vertical="center" wrapText="1"/>
    </xf>
    <xf numFmtId="0" fontId="65" fillId="20" borderId="22" xfId="57" applyFont="1" applyFill="1" applyBorder="1" applyAlignment="1">
      <alignment horizontal="left" vertical="center" wrapText="1"/>
    </xf>
    <xf numFmtId="0" fontId="65" fillId="20" borderId="23" xfId="57" applyFont="1" applyFill="1" applyBorder="1" applyAlignment="1">
      <alignment horizontal="left" vertical="center" wrapText="1"/>
    </xf>
    <xf numFmtId="0" fontId="65" fillId="31" borderId="6" xfId="57" applyFont="1" applyFill="1" applyBorder="1" applyAlignment="1">
      <alignment horizontal="left" vertical="center"/>
    </xf>
    <xf numFmtId="0" fontId="65" fillId="24" borderId="5" xfId="40" quotePrefix="1" applyFont="1" applyFill="1" applyBorder="1" applyAlignment="1">
      <alignment horizontal="center" vertical="center" wrapText="1"/>
    </xf>
    <xf numFmtId="0" fontId="65" fillId="24" borderId="39" xfId="40" quotePrefix="1" applyFont="1" applyFill="1" applyBorder="1" applyAlignment="1">
      <alignment horizontal="center" vertical="center" wrapText="1"/>
    </xf>
    <xf numFmtId="0" fontId="65" fillId="24" borderId="5" xfId="52" applyFont="1" applyFill="1" applyBorder="1" applyAlignment="1">
      <alignment horizontal="center" vertical="center" wrapText="1"/>
    </xf>
    <xf numFmtId="0" fontId="65" fillId="24" borderId="39" xfId="52" applyFont="1" applyFill="1" applyBorder="1" applyAlignment="1">
      <alignment horizontal="center" vertical="center" wrapText="1"/>
    </xf>
    <xf numFmtId="0" fontId="65" fillId="20" borderId="33" xfId="57" applyFont="1" applyFill="1" applyBorder="1" applyAlignment="1">
      <alignment horizontal="left" vertical="center" wrapText="1"/>
    </xf>
    <xf numFmtId="49" fontId="65" fillId="31" borderId="5" xfId="52" applyNumberFormat="1" applyFont="1" applyFill="1" applyBorder="1" applyAlignment="1">
      <alignment horizontal="center" vertical="center" wrapText="1"/>
    </xf>
    <xf numFmtId="49" fontId="65" fillId="31" borderId="17" xfId="52" applyNumberFormat="1" applyFont="1" applyFill="1" applyBorder="1" applyAlignment="1">
      <alignment horizontal="center" vertical="center" wrapText="1"/>
    </xf>
    <xf numFmtId="49" fontId="65" fillId="31" borderId="21" xfId="52" applyNumberFormat="1" applyFont="1" applyFill="1" applyBorder="1" applyAlignment="1">
      <alignment horizontal="center" vertical="center" wrapText="1"/>
    </xf>
    <xf numFmtId="0" fontId="65" fillId="31" borderId="5" xfId="52" applyFont="1" applyFill="1" applyBorder="1" applyAlignment="1">
      <alignment horizontal="center" vertical="center"/>
    </xf>
    <xf numFmtId="0" fontId="65" fillId="31" borderId="17" xfId="52" applyFont="1" applyFill="1" applyBorder="1" applyAlignment="1">
      <alignment horizontal="center" vertical="center"/>
    </xf>
    <xf numFmtId="0" fontId="65" fillId="31" borderId="21" xfId="52" applyFont="1" applyFill="1" applyBorder="1" applyAlignment="1">
      <alignment horizontal="center" vertical="center"/>
    </xf>
    <xf numFmtId="0" fontId="65" fillId="26" borderId="51" xfId="52" applyFont="1" applyFill="1" applyBorder="1" applyAlignment="1">
      <alignment horizontal="left" vertical="center" wrapText="1"/>
    </xf>
    <xf numFmtId="0" fontId="65" fillId="26" borderId="17" xfId="52" applyFont="1" applyFill="1" applyBorder="1" applyAlignment="1">
      <alignment horizontal="left" vertical="center" wrapText="1"/>
    </xf>
    <xf numFmtId="0" fontId="57" fillId="27" borderId="0" xfId="52" applyFont="1" applyFill="1" applyAlignment="1">
      <alignment horizontal="center" vertical="center"/>
    </xf>
    <xf numFmtId="0" fontId="84" fillId="26" borderId="0" xfId="0" applyFont="1" applyFill="1" applyAlignment="1">
      <alignment horizontal="left" vertical="center" wrapText="1"/>
    </xf>
    <xf numFmtId="49" fontId="65" fillId="31" borderId="39" xfId="52" applyNumberFormat="1" applyFont="1" applyFill="1" applyBorder="1" applyAlignment="1">
      <alignment horizontal="center" vertical="center" wrapText="1"/>
    </xf>
    <xf numFmtId="0" fontId="65" fillId="31" borderId="51" xfId="52" applyFont="1" applyFill="1" applyBorder="1" applyAlignment="1">
      <alignment horizontal="left" vertical="center"/>
    </xf>
    <xf numFmtId="0" fontId="65" fillId="31" borderId="21" xfId="52" applyFont="1" applyFill="1" applyBorder="1" applyAlignment="1">
      <alignment horizontal="left" vertical="center"/>
    </xf>
    <xf numFmtId="49" fontId="65" fillId="26" borderId="51" xfId="52" applyNumberFormat="1" applyFont="1" applyFill="1" applyBorder="1" applyAlignment="1">
      <alignment horizontal="center" vertical="center" wrapText="1"/>
    </xf>
    <xf numFmtId="49" fontId="65" fillId="26" borderId="17" xfId="52" applyNumberFormat="1" applyFont="1" applyFill="1" applyBorder="1" applyAlignment="1">
      <alignment horizontal="center" vertical="center" wrapText="1"/>
    </xf>
    <xf numFmtId="0" fontId="65" fillId="20" borderId="51" xfId="52" applyFont="1" applyFill="1" applyBorder="1" applyAlignment="1">
      <alignment horizontal="left" vertical="center" wrapText="1"/>
    </xf>
    <xf numFmtId="0" fontId="65" fillId="20" borderId="17" xfId="52" applyFont="1" applyFill="1" applyBorder="1" applyAlignment="1">
      <alignment horizontal="left" vertical="center" wrapText="1"/>
    </xf>
    <xf numFmtId="49" fontId="65" fillId="27" borderId="51" xfId="52" applyNumberFormat="1" applyFont="1" applyFill="1" applyBorder="1" applyAlignment="1">
      <alignment horizontal="center" vertical="center" wrapText="1"/>
    </xf>
    <xf numFmtId="49" fontId="65" fillId="27" borderId="17" xfId="52" applyNumberFormat="1" applyFont="1" applyFill="1" applyBorder="1" applyAlignment="1">
      <alignment horizontal="center" vertical="center" wrapText="1"/>
    </xf>
    <xf numFmtId="49" fontId="65" fillId="31" borderId="51" xfId="52" applyNumberFormat="1" applyFont="1" applyFill="1" applyBorder="1" applyAlignment="1">
      <alignment horizontal="center" vertical="center" wrapText="1"/>
    </xf>
    <xf numFmtId="0" fontId="65" fillId="31" borderId="17" xfId="52" applyFont="1" applyFill="1" applyBorder="1" applyAlignment="1">
      <alignment horizontal="left" vertical="center"/>
    </xf>
    <xf numFmtId="0" fontId="65" fillId="31" borderId="39" xfId="52" applyFont="1" applyFill="1" applyBorder="1" applyAlignment="1">
      <alignment horizontal="left" vertical="center"/>
    </xf>
    <xf numFmtId="0" fontId="65" fillId="26" borderId="51" xfId="52" applyFont="1" applyFill="1" applyBorder="1" applyAlignment="1">
      <alignment horizontal="left" vertical="center"/>
    </xf>
    <xf numFmtId="0" fontId="65" fillId="26" borderId="17" xfId="52" applyFont="1" applyFill="1" applyBorder="1" applyAlignment="1">
      <alignment horizontal="left" vertical="center"/>
    </xf>
    <xf numFmtId="0" fontId="84" fillId="27" borderId="0" xfId="54" applyFont="1" applyFill="1"/>
    <xf numFmtId="0" fontId="12" fillId="20" borderId="45" xfId="88" applyFont="1" applyFill="1" applyBorder="1" applyAlignment="1">
      <alignment horizontal="center" vertical="center" wrapText="1"/>
    </xf>
    <xf numFmtId="0" fontId="12" fillId="20" borderId="66" xfId="88" applyFont="1" applyFill="1" applyBorder="1" applyAlignment="1">
      <alignment horizontal="center" vertical="center" wrapText="1"/>
    </xf>
    <xf numFmtId="0" fontId="12" fillId="20" borderId="47" xfId="88" applyFont="1" applyFill="1" applyBorder="1" applyAlignment="1">
      <alignment horizontal="center" vertical="center" wrapText="1"/>
    </xf>
    <xf numFmtId="0" fontId="12" fillId="0" borderId="45" xfId="88" applyFont="1" applyBorder="1" applyAlignment="1">
      <alignment horizontal="center" vertical="center" wrapText="1"/>
    </xf>
    <xf numFmtId="0" fontId="12" fillId="0" borderId="66" xfId="88" applyFont="1" applyBorder="1" applyAlignment="1">
      <alignment horizontal="center" vertical="center" wrapText="1"/>
    </xf>
    <xf numFmtId="0" fontId="12" fillId="0" borderId="47" xfId="88" applyFont="1" applyBorder="1" applyAlignment="1">
      <alignment horizontal="center" vertical="center" wrapText="1"/>
    </xf>
    <xf numFmtId="0" fontId="12" fillId="26" borderId="75" xfId="88" applyFont="1" applyFill="1" applyBorder="1" applyAlignment="1">
      <alignment horizontal="center" vertical="center" wrapText="1"/>
    </xf>
    <xf numFmtId="0" fontId="12" fillId="26" borderId="52" xfId="88" applyFont="1" applyFill="1" applyBorder="1" applyAlignment="1">
      <alignment horizontal="center" vertical="center" wrapText="1"/>
    </xf>
    <xf numFmtId="0" fontId="12" fillId="26" borderId="56" xfId="88" applyFont="1" applyFill="1" applyBorder="1" applyAlignment="1">
      <alignment horizontal="center" vertical="center" wrapText="1"/>
    </xf>
    <xf numFmtId="3" fontId="118" fillId="20" borderId="140" xfId="88" applyNumberFormat="1" applyFont="1" applyFill="1" applyBorder="1" applyAlignment="1">
      <alignment horizontal="right" vertical="center" wrapText="1"/>
    </xf>
    <xf numFmtId="3" fontId="118" fillId="20" borderId="141" xfId="88" applyNumberFormat="1" applyFont="1" applyFill="1" applyBorder="1" applyAlignment="1">
      <alignment horizontal="right" vertical="center" wrapText="1"/>
    </xf>
    <xf numFmtId="0" fontId="116" fillId="20" borderId="75" xfId="88" applyFont="1" applyFill="1" applyBorder="1" applyAlignment="1">
      <alignment horizontal="center" vertical="center" wrapText="1"/>
    </xf>
    <xf numFmtId="0" fontId="116" fillId="20" borderId="49" xfId="88" applyFont="1" applyFill="1" applyBorder="1" applyAlignment="1">
      <alignment horizontal="center" vertical="center" wrapText="1"/>
    </xf>
    <xf numFmtId="0" fontId="116" fillId="20" borderId="52" xfId="88" applyFont="1" applyFill="1" applyBorder="1" applyAlignment="1">
      <alignment horizontal="center" vertical="center" wrapText="1"/>
    </xf>
    <xf numFmtId="0" fontId="116" fillId="20" borderId="54" xfId="88" applyFont="1" applyFill="1" applyBorder="1" applyAlignment="1">
      <alignment horizontal="center" vertical="center" wrapText="1"/>
    </xf>
    <xf numFmtId="0" fontId="116" fillId="20" borderId="56" xfId="88" applyFont="1" applyFill="1" applyBorder="1" applyAlignment="1">
      <alignment horizontal="center" vertical="center" wrapText="1"/>
    </xf>
    <xf numFmtId="0" fontId="12" fillId="0" borderId="75" xfId="88" applyFont="1" applyBorder="1" applyAlignment="1">
      <alignment horizontal="center" vertical="center" wrapText="1"/>
    </xf>
    <xf numFmtId="0" fontId="12" fillId="0" borderId="49" xfId="88" applyFont="1" applyBorder="1" applyAlignment="1">
      <alignment horizontal="center" vertical="center" wrapText="1"/>
    </xf>
    <xf numFmtId="0" fontId="12" fillId="0" borderId="52" xfId="88" applyFont="1" applyBorder="1" applyAlignment="1">
      <alignment horizontal="center" vertical="center" wrapText="1"/>
    </xf>
    <xf numFmtId="0" fontId="12" fillId="0" borderId="54" xfId="88" applyFont="1" applyBorder="1" applyAlignment="1">
      <alignment horizontal="center" vertical="center" wrapText="1"/>
    </xf>
    <xf numFmtId="0" fontId="117" fillId="41" borderId="35" xfId="88" applyFont="1" applyFill="1" applyBorder="1" applyAlignment="1">
      <alignment horizontal="center" vertical="center" wrapText="1"/>
    </xf>
    <xf numFmtId="0" fontId="117" fillId="41" borderId="34" xfId="88" applyFont="1" applyFill="1" applyBorder="1" applyAlignment="1">
      <alignment horizontal="center" vertical="center" wrapText="1"/>
    </xf>
    <xf numFmtId="0" fontId="65" fillId="27" borderId="0" xfId="54" applyFont="1" applyFill="1" applyAlignment="1">
      <alignment horizontal="left" indent="1"/>
    </xf>
    <xf numFmtId="0" fontId="117" fillId="41" borderId="35" xfId="88" applyFont="1" applyFill="1" applyBorder="1" applyAlignment="1" applyProtection="1">
      <alignment horizontal="center" vertical="center" wrapText="1"/>
      <protection locked="0"/>
    </xf>
    <xf numFmtId="0" fontId="117" fillId="41" borderId="34" xfId="88" applyFont="1" applyFill="1" applyBorder="1" applyAlignment="1" applyProtection="1">
      <alignment horizontal="center" vertical="center" wrapText="1"/>
      <protection locked="0"/>
    </xf>
    <xf numFmtId="0" fontId="21" fillId="41" borderId="35" xfId="88" applyFont="1" applyFill="1" applyBorder="1" applyAlignment="1">
      <alignment horizontal="center" vertical="center" wrapText="1"/>
    </xf>
    <xf numFmtId="0" fontId="21" fillId="41" borderId="34" xfId="88" applyFont="1" applyFill="1" applyBorder="1" applyAlignment="1">
      <alignment horizontal="center" vertical="center" wrapText="1"/>
    </xf>
    <xf numFmtId="0" fontId="117" fillId="26" borderId="46" xfId="88" applyFont="1" applyFill="1" applyBorder="1" applyAlignment="1">
      <alignment horizontal="center" vertical="center" wrapText="1"/>
    </xf>
    <xf numFmtId="0" fontId="117" fillId="26" borderId="48" xfId="88" applyFont="1" applyFill="1" applyBorder="1" applyAlignment="1">
      <alignment horizontal="center" vertical="center" wrapText="1"/>
    </xf>
    <xf numFmtId="0" fontId="117" fillId="41" borderId="45" xfId="88" applyFont="1" applyFill="1" applyBorder="1" applyAlignment="1">
      <alignment horizontal="center" vertical="center" wrapText="1"/>
    </xf>
    <xf numFmtId="0" fontId="117" fillId="41" borderId="47" xfId="88" applyFont="1" applyFill="1" applyBorder="1" applyAlignment="1">
      <alignment horizontal="center" vertical="center" wrapText="1"/>
    </xf>
    <xf numFmtId="3" fontId="117" fillId="41" borderId="30" xfId="88" applyNumberFormat="1" applyFont="1" applyFill="1" applyBorder="1" applyAlignment="1">
      <alignment horizontal="center" vertical="center" wrapText="1"/>
    </xf>
    <xf numFmtId="3" fontId="117" fillId="41" borderId="28" xfId="88" applyNumberFormat="1" applyFont="1" applyFill="1" applyBorder="1" applyAlignment="1">
      <alignment horizontal="center" vertical="center" wrapText="1"/>
    </xf>
    <xf numFmtId="3" fontId="117" fillId="41" borderId="19" xfId="88" applyNumberFormat="1" applyFont="1" applyFill="1" applyBorder="1" applyAlignment="1">
      <alignment horizontal="center" vertical="center" wrapText="1"/>
    </xf>
    <xf numFmtId="3" fontId="12" fillId="26" borderId="35" xfId="88" applyNumberFormat="1" applyFont="1" applyFill="1" applyBorder="1" applyAlignment="1">
      <alignment horizontal="center" vertical="center" wrapText="1"/>
    </xf>
    <xf numFmtId="3" fontId="12" fillId="26" borderId="26" xfId="88" applyNumberFormat="1" applyFont="1" applyFill="1" applyBorder="1" applyAlignment="1">
      <alignment horizontal="center" vertical="center" wrapText="1"/>
    </xf>
    <xf numFmtId="3" fontId="12" fillId="26" borderId="34" xfId="88" applyNumberFormat="1" applyFont="1" applyFill="1" applyBorder="1" applyAlignment="1">
      <alignment horizontal="center" vertical="center" wrapText="1"/>
    </xf>
    <xf numFmtId="0" fontId="12" fillId="0" borderId="56" xfId="88" applyFont="1" applyBorder="1" applyAlignment="1">
      <alignment horizontal="center" vertical="center" wrapText="1"/>
    </xf>
    <xf numFmtId="3" fontId="12" fillId="26" borderId="5" xfId="88" applyNumberFormat="1" applyFont="1" applyFill="1" applyBorder="1" applyAlignment="1">
      <alignment horizontal="center" vertical="center" wrapText="1"/>
    </xf>
    <xf numFmtId="0" fontId="117" fillId="41" borderId="40" xfId="88" applyFont="1" applyFill="1" applyBorder="1" applyAlignment="1">
      <alignment horizontal="center" vertical="center" wrapText="1"/>
    </xf>
    <xf numFmtId="0" fontId="117" fillId="41" borderId="42" xfId="88" applyFont="1" applyFill="1" applyBorder="1" applyAlignment="1">
      <alignment horizontal="center" vertical="center" wrapText="1"/>
    </xf>
    <xf numFmtId="3" fontId="21" fillId="26" borderId="35" xfId="88" applyNumberFormat="1" applyFont="1" applyFill="1" applyBorder="1" applyAlignment="1">
      <alignment horizontal="center" vertical="center" wrapText="1"/>
    </xf>
    <xf numFmtId="3" fontId="21" fillId="26" borderId="26" xfId="88" applyNumberFormat="1" applyFont="1" applyFill="1" applyBorder="1" applyAlignment="1">
      <alignment horizontal="center" vertical="center" wrapText="1"/>
    </xf>
    <xf numFmtId="3" fontId="21" fillId="26" borderId="34" xfId="88" applyNumberFormat="1" applyFont="1" applyFill="1" applyBorder="1" applyAlignment="1">
      <alignment horizontal="center" vertical="center" wrapText="1"/>
    </xf>
    <xf numFmtId="3" fontId="21" fillId="26" borderId="5" xfId="88" applyNumberFormat="1" applyFont="1" applyFill="1" applyBorder="1" applyAlignment="1">
      <alignment horizontal="center" vertical="center" wrapText="1"/>
    </xf>
    <xf numFmtId="0" fontId="12" fillId="20" borderId="75" xfId="88" applyFont="1" applyFill="1" applyBorder="1" applyAlignment="1">
      <alignment horizontal="center" vertical="center" wrapText="1"/>
    </xf>
    <xf numFmtId="0" fontId="12" fillId="20" borderId="49" xfId="88" applyFont="1" applyFill="1" applyBorder="1" applyAlignment="1">
      <alignment horizontal="center" vertical="center" wrapText="1"/>
    </xf>
    <xf numFmtId="0" fontId="12" fillId="20" borderId="52" xfId="88" applyFont="1" applyFill="1" applyBorder="1" applyAlignment="1">
      <alignment horizontal="center" vertical="center" wrapText="1"/>
    </xf>
    <xf numFmtId="0" fontId="12" fillId="20" borderId="54" xfId="88" applyFont="1" applyFill="1" applyBorder="1" applyAlignment="1">
      <alignment horizontal="center" vertical="center" wrapText="1"/>
    </xf>
    <xf numFmtId="0" fontId="12" fillId="20" borderId="56" xfId="88" applyFont="1" applyFill="1" applyBorder="1" applyAlignment="1">
      <alignment horizontal="center" vertical="center" wrapText="1"/>
    </xf>
    <xf numFmtId="0" fontId="20" fillId="27" borderId="0" xfId="90" applyFont="1" applyFill="1" applyAlignment="1">
      <alignment horizontal="center" vertical="center" wrapText="1"/>
    </xf>
    <xf numFmtId="0" fontId="20" fillId="27" borderId="0" xfId="90" applyFont="1" applyFill="1" applyAlignment="1">
      <alignment horizontal="center" vertical="center"/>
    </xf>
    <xf numFmtId="0" fontId="21" fillId="20" borderId="20" xfId="88" applyFont="1" applyFill="1" applyBorder="1" applyAlignment="1">
      <alignment horizontal="left" vertical="center" wrapText="1"/>
    </xf>
    <xf numFmtId="0" fontId="21" fillId="20" borderId="0" xfId="88" applyFont="1" applyFill="1" applyAlignment="1">
      <alignment horizontal="left" vertical="center" wrapText="1"/>
    </xf>
    <xf numFmtId="0" fontId="117" fillId="20" borderId="75" xfId="88" applyFont="1" applyFill="1" applyBorder="1" applyAlignment="1">
      <alignment horizontal="center" vertical="center" wrapText="1"/>
    </xf>
    <xf numFmtId="0" fontId="117" fillId="20" borderId="52" xfId="88" applyFont="1" applyFill="1" applyBorder="1" applyAlignment="1">
      <alignment horizontal="center" vertical="center" wrapText="1"/>
    </xf>
    <xf numFmtId="0" fontId="117" fillId="20" borderId="56" xfId="88" applyFont="1" applyFill="1" applyBorder="1" applyAlignment="1">
      <alignment horizontal="center" vertical="center" wrapText="1"/>
    </xf>
    <xf numFmtId="0" fontId="117" fillId="41" borderId="46" xfId="88" applyFont="1" applyFill="1" applyBorder="1" applyAlignment="1">
      <alignment horizontal="center" vertical="center" wrapText="1"/>
    </xf>
    <xf numFmtId="0" fontId="117" fillId="41" borderId="48" xfId="88" applyFont="1" applyFill="1" applyBorder="1" applyAlignment="1">
      <alignment horizontal="center" vertical="center" wrapText="1"/>
    </xf>
    <xf numFmtId="0" fontId="117" fillId="20" borderId="54" xfId="88" applyFont="1" applyFill="1" applyBorder="1" applyAlignment="1">
      <alignment horizontal="center" vertical="center" wrapText="1"/>
    </xf>
    <xf numFmtId="0" fontId="65" fillId="37" borderId="40" xfId="52" applyFont="1" applyFill="1" applyBorder="1" applyAlignment="1">
      <alignment horizontal="left" vertical="center"/>
    </xf>
    <xf numFmtId="0" fontId="65" fillId="37" borderId="11" xfId="52" applyFont="1" applyFill="1" applyBorder="1" applyAlignment="1">
      <alignment horizontal="left" vertical="center"/>
    </xf>
    <xf numFmtId="0" fontId="65" fillId="37" borderId="41" xfId="52" applyFont="1" applyFill="1" applyBorder="1" applyAlignment="1">
      <alignment horizontal="left" vertical="center"/>
    </xf>
    <xf numFmtId="0" fontId="65" fillId="28" borderId="7" xfId="80" applyFont="1" applyFill="1" applyBorder="1" applyAlignment="1" applyProtection="1">
      <alignment horizontal="left" vertical="center" wrapText="1"/>
      <protection locked="0"/>
    </xf>
    <xf numFmtId="49" fontId="57" fillId="27" borderId="7" xfId="80" applyNumberFormat="1" applyFont="1" applyFill="1" applyBorder="1" applyAlignment="1">
      <alignment horizontal="center" vertical="center" wrapText="1"/>
    </xf>
    <xf numFmtId="0" fontId="45" fillId="26" borderId="7" xfId="0" applyFont="1" applyFill="1" applyBorder="1" applyAlignment="1">
      <alignment horizontal="left" vertical="center" wrapText="1"/>
    </xf>
    <xf numFmtId="0" fontId="84" fillId="27" borderId="0" xfId="54" applyFont="1" applyFill="1" applyAlignment="1">
      <alignment horizontal="left" vertical="center" wrapText="1"/>
    </xf>
    <xf numFmtId="0" fontId="43" fillId="26" borderId="0" xfId="0" applyFont="1" applyFill="1" applyAlignment="1">
      <alignment horizontal="left" vertical="center" wrapText="1"/>
    </xf>
    <xf numFmtId="0" fontId="65" fillId="26" borderId="41" xfId="57" applyFont="1" applyFill="1" applyBorder="1" applyAlignment="1">
      <alignment horizontal="left" vertical="center"/>
    </xf>
    <xf numFmtId="49" fontId="65" fillId="26" borderId="34" xfId="57" applyNumberFormat="1" applyFont="1" applyFill="1" applyBorder="1" applyAlignment="1">
      <alignment horizontal="center" vertical="center" wrapText="1"/>
    </xf>
    <xf numFmtId="0" fontId="65" fillId="26" borderId="43" xfId="57" applyFont="1" applyFill="1" applyBorder="1" applyAlignment="1">
      <alignment horizontal="left" vertical="center" wrapText="1"/>
    </xf>
    <xf numFmtId="0" fontId="65" fillId="28" borderId="29" xfId="80" applyFont="1" applyFill="1" applyBorder="1" applyAlignment="1" applyProtection="1">
      <alignment horizontal="left" vertical="center" wrapText="1"/>
      <protection locked="0"/>
    </xf>
    <xf numFmtId="0" fontId="65" fillId="28" borderId="22" xfId="80" applyFont="1" applyFill="1" applyBorder="1" applyAlignment="1" applyProtection="1">
      <alignment horizontal="left" vertical="center" wrapText="1"/>
      <protection locked="0"/>
    </xf>
    <xf numFmtId="0" fontId="65" fillId="28" borderId="14" xfId="80" applyFont="1" applyFill="1" applyBorder="1" applyAlignment="1" applyProtection="1">
      <alignment horizontal="left" vertical="center" wrapText="1"/>
      <protection locked="0"/>
    </xf>
    <xf numFmtId="49" fontId="57" fillId="27" borderId="39" xfId="80" applyNumberFormat="1" applyFont="1" applyFill="1" applyBorder="1" applyAlignment="1">
      <alignment horizontal="center" vertical="center" wrapText="1"/>
    </xf>
    <xf numFmtId="49" fontId="57" fillId="27" borderId="5" xfId="80" applyNumberFormat="1" applyFont="1" applyFill="1" applyBorder="1" applyAlignment="1">
      <alignment horizontal="center" vertical="center" wrapText="1"/>
    </xf>
    <xf numFmtId="49" fontId="57" fillId="27" borderId="34" xfId="80" applyNumberFormat="1" applyFont="1" applyFill="1" applyBorder="1" applyAlignment="1">
      <alignment horizontal="center" vertical="center" wrapText="1"/>
    </xf>
    <xf numFmtId="0" fontId="65" fillId="27" borderId="0" xfId="54" applyFont="1" applyFill="1" applyAlignment="1">
      <alignment horizontal="left" vertical="center"/>
    </xf>
    <xf numFmtId="0" fontId="84" fillId="27" borderId="0" xfId="54" applyFont="1" applyFill="1" applyAlignment="1">
      <alignment vertical="center"/>
    </xf>
    <xf numFmtId="49" fontId="57" fillId="27" borderId="26" xfId="80" applyNumberFormat="1" applyFont="1" applyFill="1" applyBorder="1" applyAlignment="1">
      <alignment horizontal="center" vertical="center" wrapText="1"/>
    </xf>
    <xf numFmtId="0" fontId="41" fillId="0" borderId="39" xfId="0" applyFont="1" applyBorder="1" applyAlignment="1">
      <alignment horizontal="left" vertical="center" wrapText="1"/>
    </xf>
    <xf numFmtId="0" fontId="41" fillId="0" borderId="5" xfId="0" applyFont="1" applyBorder="1" applyAlignment="1">
      <alignment horizontal="left" vertical="center" wrapText="1"/>
    </xf>
    <xf numFmtId="49" fontId="65" fillId="27" borderId="35" xfId="57" applyNumberFormat="1" applyFont="1" applyFill="1" applyBorder="1" applyAlignment="1">
      <alignment horizontal="center" vertical="center" wrapText="1"/>
    </xf>
    <xf numFmtId="0" fontId="65" fillId="20" borderId="14" xfId="58" applyFont="1" applyFill="1" applyBorder="1" applyAlignment="1">
      <alignment horizontal="left" vertical="center" wrapText="1"/>
    </xf>
    <xf numFmtId="0" fontId="20" fillId="27" borderId="0" xfId="52" applyFont="1" applyFill="1" applyAlignment="1">
      <alignment horizontal="center" vertical="center" wrapText="1"/>
    </xf>
    <xf numFmtId="0" fontId="20" fillId="27" borderId="0" xfId="52" applyFont="1" applyFill="1" applyAlignment="1">
      <alignment horizontal="center" vertical="center"/>
    </xf>
    <xf numFmtId="0" fontId="20" fillId="27" borderId="0" xfId="32" applyFont="1" applyFill="1" applyAlignment="1">
      <alignment horizontal="center" vertical="center" wrapText="1"/>
    </xf>
    <xf numFmtId="0" fontId="65" fillId="37" borderId="1" xfId="52" applyFont="1" applyFill="1" applyBorder="1" applyAlignment="1">
      <alignment horizontal="left" vertical="center"/>
    </xf>
    <xf numFmtId="0" fontId="65" fillId="37" borderId="8" xfId="52" applyFont="1" applyFill="1" applyBorder="1" applyAlignment="1">
      <alignment horizontal="left" vertical="center"/>
    </xf>
    <xf numFmtId="0" fontId="65" fillId="37" borderId="3" xfId="52" applyFont="1" applyFill="1" applyBorder="1" applyAlignment="1">
      <alignment horizontal="left" vertical="center"/>
    </xf>
    <xf numFmtId="49" fontId="65" fillId="31" borderId="35" xfId="52" applyNumberFormat="1" applyFont="1" applyFill="1" applyBorder="1" applyAlignment="1">
      <alignment horizontal="center" vertical="center" wrapText="1"/>
    </xf>
    <xf numFmtId="49" fontId="65" fillId="31" borderId="26" xfId="52" applyNumberFormat="1" applyFont="1" applyFill="1" applyBorder="1" applyAlignment="1">
      <alignment horizontal="center" vertical="center" wrapText="1"/>
    </xf>
    <xf numFmtId="49" fontId="65" fillId="31" borderId="34" xfId="52" applyNumberFormat="1" applyFont="1" applyFill="1" applyBorder="1" applyAlignment="1">
      <alignment horizontal="center" vertical="center" wrapText="1"/>
    </xf>
    <xf numFmtId="0" fontId="65" fillId="31" borderId="11" xfId="52" applyFont="1" applyFill="1" applyBorder="1" applyAlignment="1">
      <alignment horizontal="center" vertical="center"/>
    </xf>
    <xf numFmtId="0" fontId="65" fillId="31" borderId="0" xfId="52" applyFont="1" applyFill="1" applyAlignment="1">
      <alignment horizontal="center" vertical="center"/>
    </xf>
    <xf numFmtId="0" fontId="65" fillId="31" borderId="20" xfId="52" applyFont="1" applyFill="1" applyBorder="1" applyAlignment="1">
      <alignment horizontal="center" vertical="center"/>
    </xf>
    <xf numFmtId="0" fontId="40" fillId="22" borderId="154" xfId="32" applyFont="1" applyFill="1" applyBorder="1" applyAlignment="1">
      <alignment horizontal="center" vertical="center" wrapText="1"/>
    </xf>
    <xf numFmtId="0" fontId="21" fillId="22" borderId="156" xfId="0" applyFont="1" applyFill="1" applyBorder="1" applyAlignment="1">
      <alignment horizontal="center" vertical="center" wrapText="1"/>
    </xf>
    <xf numFmtId="0" fontId="21" fillId="22" borderId="157" xfId="0" applyFont="1" applyFill="1" applyBorder="1" applyAlignment="1">
      <alignment horizontal="center" vertical="center" wrapText="1"/>
    </xf>
    <xf numFmtId="0" fontId="21" fillId="22" borderId="158" xfId="0" applyFont="1" applyFill="1" applyBorder="1" applyAlignment="1">
      <alignment horizontal="center" vertical="center" wrapText="1"/>
    </xf>
    <xf numFmtId="2" fontId="40" fillId="22" borderId="154" xfId="32" applyNumberFormat="1" applyFont="1" applyFill="1" applyBorder="1" applyAlignment="1">
      <alignment horizontal="center" vertical="center" wrapText="1"/>
    </xf>
    <xf numFmtId="0" fontId="40" fillId="37" borderId="75" xfId="32" applyFont="1" applyFill="1" applyBorder="1" applyAlignment="1">
      <alignment horizontal="center" vertical="center" wrapText="1"/>
    </xf>
    <xf numFmtId="0" fontId="41" fillId="37" borderId="52" xfId="32" applyFont="1" applyFill="1" applyBorder="1" applyAlignment="1">
      <alignment horizontal="center" vertical="center"/>
    </xf>
    <xf numFmtId="0" fontId="41" fillId="37" borderId="56" xfId="32" applyFont="1" applyFill="1" applyBorder="1" applyAlignment="1">
      <alignment horizontal="center" vertical="center"/>
    </xf>
    <xf numFmtId="0" fontId="43" fillId="27" borderId="0" xfId="32" applyFont="1" applyFill="1" applyAlignment="1">
      <alignment vertical="center" wrapText="1"/>
    </xf>
    <xf numFmtId="171" fontId="40" fillId="37" borderId="35" xfId="32" applyNumberFormat="1" applyFont="1" applyFill="1" applyBorder="1" applyAlignment="1">
      <alignment horizontal="center" vertical="center" wrapText="1"/>
    </xf>
    <xf numFmtId="171" fontId="40" fillId="37" borderId="5" xfId="32" applyNumberFormat="1" applyFont="1" applyFill="1" applyBorder="1" applyAlignment="1">
      <alignment horizontal="center" vertical="center" wrapText="1"/>
    </xf>
    <xf numFmtId="0" fontId="40" fillId="37" borderId="29" xfId="32" applyFont="1" applyFill="1" applyBorder="1" applyAlignment="1">
      <alignment horizontal="center" vertical="center" wrapText="1"/>
    </xf>
    <xf numFmtId="0" fontId="40" fillId="37" borderId="22" xfId="32" applyFont="1" applyFill="1" applyBorder="1" applyAlignment="1">
      <alignment horizontal="center" vertical="center" wrapText="1"/>
    </xf>
    <xf numFmtId="0" fontId="40" fillId="37" borderId="14" xfId="32" applyFont="1" applyFill="1" applyBorder="1" applyAlignment="1">
      <alignment horizontal="center" vertical="center" wrapText="1"/>
    </xf>
    <xf numFmtId="0" fontId="40" fillId="37" borderId="25" xfId="32" applyFont="1" applyFill="1" applyBorder="1" applyAlignment="1">
      <alignment horizontal="center" vertical="center" wrapText="1"/>
    </xf>
    <xf numFmtId="0" fontId="40" fillId="37" borderId="33" xfId="32" applyFont="1" applyFill="1" applyBorder="1" applyAlignment="1">
      <alignment horizontal="center" vertical="center" wrapText="1"/>
    </xf>
    <xf numFmtId="0" fontId="40" fillId="37" borderId="6" xfId="32" applyFont="1" applyFill="1" applyBorder="1" applyAlignment="1">
      <alignment horizontal="center" vertical="center" wrapText="1"/>
    </xf>
    <xf numFmtId="0" fontId="40" fillId="37" borderId="40" xfId="32" applyFont="1" applyFill="1" applyBorder="1" applyAlignment="1">
      <alignment horizontal="center" vertical="center" wrapText="1"/>
    </xf>
    <xf numFmtId="0" fontId="40" fillId="37" borderId="11" xfId="32" applyFont="1" applyFill="1" applyBorder="1" applyAlignment="1">
      <alignment horizontal="center" vertical="center" wrapText="1"/>
    </xf>
    <xf numFmtId="0" fontId="40" fillId="37" borderId="41" xfId="32" applyFont="1" applyFill="1" applyBorder="1" applyAlignment="1">
      <alignment horizontal="center" vertical="center" wrapText="1"/>
    </xf>
    <xf numFmtId="0" fontId="40" fillId="37" borderId="73" xfId="32" applyFont="1" applyFill="1" applyBorder="1" applyAlignment="1">
      <alignment horizontal="center" vertical="center" wrapText="1"/>
    </xf>
    <xf numFmtId="0" fontId="40" fillId="37" borderId="76" xfId="32" applyFont="1" applyFill="1" applyBorder="1" applyAlignment="1">
      <alignment horizontal="center" vertical="center" wrapText="1"/>
    </xf>
    <xf numFmtId="0" fontId="40" fillId="37" borderId="52" xfId="32" applyFont="1" applyFill="1" applyBorder="1" applyAlignment="1">
      <alignment horizontal="center" vertical="center" wrapText="1"/>
    </xf>
    <xf numFmtId="0" fontId="40" fillId="37" borderId="7" xfId="32" applyFont="1" applyFill="1" applyBorder="1" applyAlignment="1">
      <alignment horizontal="center" vertical="center" wrapText="1"/>
    </xf>
    <xf numFmtId="0" fontId="40" fillId="37" borderId="53" xfId="32" applyFont="1" applyFill="1" applyBorder="1" applyAlignment="1">
      <alignment horizontal="center" vertical="center" wrapText="1"/>
    </xf>
    <xf numFmtId="0" fontId="41" fillId="37" borderId="53" xfId="32" applyFont="1" applyFill="1" applyBorder="1" applyAlignment="1">
      <alignment vertical="center"/>
    </xf>
    <xf numFmtId="0" fontId="41" fillId="37" borderId="57" xfId="32" applyFont="1" applyFill="1" applyBorder="1" applyAlignment="1">
      <alignment vertical="center"/>
    </xf>
    <xf numFmtId="2" fontId="40" fillId="37" borderId="49" xfId="32" applyNumberFormat="1" applyFont="1" applyFill="1" applyBorder="1" applyAlignment="1">
      <alignment horizontal="center" vertical="center" wrapText="1"/>
    </xf>
    <xf numFmtId="2" fontId="40" fillId="37" borderId="31" xfId="32" applyNumberFormat="1" applyFont="1" applyFill="1" applyBorder="1" applyAlignment="1">
      <alignment horizontal="center" vertical="center" wrapText="1"/>
    </xf>
    <xf numFmtId="2" fontId="40" fillId="37" borderId="50" xfId="32" applyNumberFormat="1" applyFont="1" applyFill="1" applyBorder="1" applyAlignment="1">
      <alignment horizontal="center" vertical="center" wrapText="1"/>
    </xf>
    <xf numFmtId="0" fontId="40" fillId="22" borderId="155" xfId="0" applyFont="1" applyFill="1" applyBorder="1" applyAlignment="1">
      <alignment horizontal="center" vertical="center"/>
    </xf>
    <xf numFmtId="2" fontId="40" fillId="22" borderId="155" xfId="0" applyNumberFormat="1" applyFont="1" applyFill="1" applyBorder="1" applyAlignment="1">
      <alignment horizontal="center" vertical="center" wrapText="1"/>
    </xf>
    <xf numFmtId="0" fontId="40" fillId="22" borderId="159" xfId="0" applyFont="1" applyFill="1" applyBorder="1" applyAlignment="1">
      <alignment horizontal="center" vertical="center" wrapText="1"/>
    </xf>
    <xf numFmtId="0" fontId="40" fillId="22" borderId="160" xfId="0" applyFont="1" applyFill="1" applyBorder="1" applyAlignment="1">
      <alignment horizontal="center" vertical="center" wrapText="1"/>
    </xf>
    <xf numFmtId="0" fontId="40" fillId="22" borderId="161" xfId="0" applyFont="1" applyFill="1" applyBorder="1" applyAlignment="1">
      <alignment horizontal="center" vertical="center" wrapText="1"/>
    </xf>
    <xf numFmtId="0" fontId="35" fillId="26" borderId="0" xfId="0" applyFont="1" applyFill="1" applyAlignment="1">
      <alignment horizontal="center" vertical="center" wrapText="1"/>
    </xf>
    <xf numFmtId="0" fontId="40" fillId="37" borderId="75" xfId="0" applyFont="1" applyFill="1" applyBorder="1" applyAlignment="1">
      <alignment horizontal="center" vertical="center" wrapText="1"/>
    </xf>
    <xf numFmtId="0" fontId="41" fillId="37" borderId="52" xfId="0" applyFont="1" applyFill="1" applyBorder="1" applyAlignment="1">
      <alignment vertical="center"/>
    </xf>
    <xf numFmtId="0" fontId="41" fillId="37" borderId="56" xfId="0" applyFont="1" applyFill="1" applyBorder="1" applyAlignment="1">
      <alignment vertical="center"/>
    </xf>
    <xf numFmtId="0" fontId="40" fillId="37" borderId="73" xfId="0" applyFont="1" applyFill="1" applyBorder="1" applyAlignment="1">
      <alignment horizontal="center" vertical="center" wrapText="1"/>
    </xf>
    <xf numFmtId="0" fontId="41" fillId="37" borderId="7" xfId="0" applyFont="1" applyFill="1" applyBorder="1" applyAlignment="1">
      <alignment vertical="center"/>
    </xf>
    <xf numFmtId="0" fontId="41" fillId="37" borderId="77" xfId="0" applyFont="1" applyFill="1" applyBorder="1" applyAlignment="1">
      <alignment vertical="center"/>
    </xf>
    <xf numFmtId="2" fontId="40" fillId="37" borderId="7" xfId="0" applyNumberFormat="1" applyFont="1" applyFill="1" applyBorder="1" applyAlignment="1">
      <alignment horizontal="center" vertical="center" wrapText="1"/>
    </xf>
    <xf numFmtId="0" fontId="15" fillId="27" borderId="0" xfId="0" applyFont="1" applyFill="1" applyAlignment="1">
      <alignment horizontal="center" vertical="center" wrapText="1"/>
    </xf>
    <xf numFmtId="0" fontId="19" fillId="27" borderId="0" xfId="0" applyFont="1" applyFill="1" applyAlignment="1">
      <alignment horizontal="center" vertical="center" wrapText="1"/>
    </xf>
    <xf numFmtId="0" fontId="41" fillId="50" borderId="24" xfId="0" applyFont="1" applyFill="1" applyBorder="1" applyAlignment="1">
      <alignment horizontal="center" vertical="center" wrapText="1"/>
    </xf>
    <xf numFmtId="0" fontId="41" fillId="50" borderId="23" xfId="0" applyFont="1" applyFill="1" applyBorder="1" applyAlignment="1">
      <alignment horizontal="center" vertical="center" wrapText="1"/>
    </xf>
    <xf numFmtId="0" fontId="41" fillId="50" borderId="32" xfId="0" applyFont="1" applyFill="1" applyBorder="1" applyAlignment="1">
      <alignment horizontal="center" vertical="center" wrapText="1"/>
    </xf>
    <xf numFmtId="0" fontId="41" fillId="28" borderId="31" xfId="0" applyFont="1" applyFill="1" applyBorder="1" applyAlignment="1">
      <alignment horizontal="center" vertical="center" wrapText="1"/>
    </xf>
    <xf numFmtId="4" fontId="41" fillId="3" borderId="31" xfId="0" applyNumberFormat="1" applyFont="1" applyFill="1" applyBorder="1" applyAlignment="1" applyProtection="1">
      <alignment horizontal="center" vertical="center"/>
      <protection locked="0"/>
    </xf>
    <xf numFmtId="4" fontId="41" fillId="3" borderId="74" xfId="0" applyNumberFormat="1" applyFont="1" applyFill="1" applyBorder="1" applyAlignment="1" applyProtection="1">
      <alignment horizontal="center" vertical="center"/>
      <protection locked="0"/>
    </xf>
    <xf numFmtId="4" fontId="41" fillId="3" borderId="22" xfId="0" applyNumberFormat="1" applyFont="1" applyFill="1" applyBorder="1" applyAlignment="1" applyProtection="1">
      <alignment horizontal="center" vertical="center"/>
      <protection locked="0"/>
    </xf>
    <xf numFmtId="4" fontId="41" fillId="3" borderId="72" xfId="0" applyNumberFormat="1" applyFont="1" applyFill="1" applyBorder="1" applyAlignment="1" applyProtection="1">
      <alignment horizontal="center" vertical="center"/>
      <protection locked="0"/>
    </xf>
    <xf numFmtId="3" fontId="41" fillId="37" borderId="56" xfId="0" applyNumberFormat="1" applyFont="1" applyFill="1" applyBorder="1" applyAlignment="1">
      <alignment horizontal="center" vertical="center" wrapText="1"/>
    </xf>
    <xf numFmtId="3" fontId="41" fillId="37" borderId="77" xfId="0" applyNumberFormat="1" applyFont="1" applyFill="1" applyBorder="1" applyAlignment="1">
      <alignment horizontal="center" vertical="center" wrapText="1"/>
    </xf>
    <xf numFmtId="3" fontId="41" fillId="37" borderId="57" xfId="0" applyNumberFormat="1" applyFont="1" applyFill="1" applyBorder="1" applyAlignment="1">
      <alignment horizontal="center" vertical="center" wrapText="1"/>
    </xf>
    <xf numFmtId="0" fontId="41" fillId="27" borderId="27" xfId="0" applyFont="1" applyFill="1" applyBorder="1" applyAlignment="1">
      <alignment horizontal="center" vertical="center" wrapText="1"/>
    </xf>
    <xf numFmtId="0" fontId="41" fillId="27" borderId="0" xfId="0" applyFont="1" applyFill="1" applyAlignment="1">
      <alignment horizontal="center" vertical="center" wrapText="1"/>
    </xf>
    <xf numFmtId="0" fontId="40" fillId="37" borderId="76" xfId="0" applyFont="1" applyFill="1" applyBorder="1" applyAlignment="1">
      <alignment horizontal="center" vertical="center" wrapText="1"/>
    </xf>
    <xf numFmtId="2" fontId="40" fillId="37" borderId="62" xfId="0" applyNumberFormat="1" applyFont="1" applyFill="1" applyBorder="1" applyAlignment="1">
      <alignment horizontal="center" vertical="center" wrapText="1"/>
    </xf>
    <xf numFmtId="2" fontId="40" fillId="37" borderId="23" xfId="0" applyNumberFormat="1" applyFont="1" applyFill="1" applyBorder="1" applyAlignment="1">
      <alignment horizontal="center" vertical="center" wrapText="1"/>
    </xf>
    <xf numFmtId="2" fontId="40" fillId="37" borderId="53" xfId="0" applyNumberFormat="1" applyFont="1" applyFill="1" applyBorder="1" applyAlignment="1">
      <alignment horizontal="center" vertical="center" wrapText="1"/>
    </xf>
    <xf numFmtId="0" fontId="21" fillId="27" borderId="0" xfId="0" applyFont="1" applyFill="1" applyAlignment="1">
      <alignment horizontal="left" vertical="center"/>
    </xf>
    <xf numFmtId="0" fontId="43" fillId="27" borderId="0" xfId="0" applyFont="1" applyFill="1" applyAlignment="1">
      <alignment horizontal="left" vertical="center"/>
    </xf>
    <xf numFmtId="0" fontId="40" fillId="26" borderId="0" xfId="0" applyFont="1" applyFill="1" applyAlignment="1">
      <alignment horizontal="center" vertical="center"/>
    </xf>
    <xf numFmtId="0" fontId="40" fillId="22" borderId="156" xfId="32" applyFont="1" applyFill="1" applyBorder="1" applyAlignment="1">
      <alignment horizontal="center" vertical="center" wrapText="1"/>
    </xf>
    <xf numFmtId="0" fontId="40" fillId="22" borderId="158" xfId="32" applyFont="1" applyFill="1" applyBorder="1" applyAlignment="1">
      <alignment horizontal="center" vertical="center" wrapText="1"/>
    </xf>
    <xf numFmtId="0" fontId="40" fillId="22" borderId="156" xfId="32" applyFont="1" applyFill="1" applyBorder="1" applyAlignment="1">
      <alignment horizontal="center" vertical="center"/>
    </xf>
    <xf numFmtId="0" fontId="40" fillId="22" borderId="158" xfId="32" applyFont="1" applyFill="1" applyBorder="1" applyAlignment="1">
      <alignment horizontal="center" vertical="center"/>
    </xf>
    <xf numFmtId="0" fontId="15" fillId="0" borderId="0" xfId="32" applyFont="1" applyAlignment="1">
      <alignment horizontal="center" vertical="center" wrapText="1"/>
    </xf>
    <xf numFmtId="0" fontId="40" fillId="37" borderId="35" xfId="32" applyFont="1" applyFill="1" applyBorder="1" applyAlignment="1">
      <alignment horizontal="center" vertical="center" wrapText="1"/>
    </xf>
    <xf numFmtId="0" fontId="40" fillId="37" borderId="34" xfId="32" applyFont="1" applyFill="1" applyBorder="1" applyAlignment="1">
      <alignment horizontal="center" vertical="center" wrapText="1"/>
    </xf>
    <xf numFmtId="0" fontId="43" fillId="26" borderId="0" xfId="32" applyFont="1" applyFill="1" applyAlignment="1">
      <alignment horizontal="left" vertical="center" wrapText="1"/>
    </xf>
    <xf numFmtId="0" fontId="21" fillId="0" borderId="0" xfId="32" applyFont="1" applyAlignment="1">
      <alignment horizontal="left" vertical="center"/>
    </xf>
    <xf numFmtId="0" fontId="43" fillId="0" borderId="0" xfId="32" applyFont="1" applyAlignment="1">
      <alignment vertical="center"/>
    </xf>
    <xf numFmtId="0" fontId="20" fillId="0" borderId="0" xfId="32" applyFont="1" applyAlignment="1">
      <alignment horizontal="center" vertical="center"/>
    </xf>
    <xf numFmtId="0" fontId="40" fillId="37" borderId="45" xfId="32" applyFont="1" applyFill="1" applyBorder="1" applyAlignment="1">
      <alignment horizontal="center" vertical="center" wrapText="1"/>
    </xf>
    <xf numFmtId="0" fontId="40" fillId="37" borderId="47" xfId="32" applyFont="1" applyFill="1" applyBorder="1" applyAlignment="1">
      <alignment horizontal="center" vertical="center" wrapText="1"/>
    </xf>
    <xf numFmtId="0" fontId="40" fillId="37" borderId="46" xfId="32" applyFont="1" applyFill="1" applyBorder="1" applyAlignment="1">
      <alignment horizontal="center" vertical="center"/>
    </xf>
    <xf numFmtId="0" fontId="40" fillId="37" borderId="48" xfId="32" applyFont="1" applyFill="1" applyBorder="1" applyAlignment="1">
      <alignment horizontal="center" vertical="center"/>
    </xf>
    <xf numFmtId="0" fontId="40" fillId="37" borderId="35" xfId="32" applyFont="1" applyFill="1" applyBorder="1" applyAlignment="1">
      <alignment horizontal="center" vertical="center"/>
    </xf>
    <xf numFmtId="0" fontId="40" fillId="37" borderId="34" xfId="32" applyFont="1" applyFill="1" applyBorder="1" applyAlignment="1">
      <alignment horizontal="center" vertical="center"/>
    </xf>
    <xf numFmtId="0" fontId="40" fillId="27" borderId="0" xfId="32" applyFont="1" applyFill="1" applyAlignment="1">
      <alignment horizontal="center" vertical="center"/>
    </xf>
    <xf numFmtId="0" fontId="40" fillId="39" borderId="8" xfId="32" applyFont="1" applyFill="1" applyBorder="1" applyAlignment="1">
      <alignment horizontal="center" vertical="center" wrapText="1"/>
    </xf>
    <xf numFmtId="0" fontId="40" fillId="39" borderId="20" xfId="32" applyFont="1" applyFill="1" applyBorder="1" applyAlignment="1">
      <alignment horizontal="center" vertical="center" wrapText="1"/>
    </xf>
    <xf numFmtId="0" fontId="40" fillId="39" borderId="3" xfId="32" applyFont="1" applyFill="1" applyBorder="1" applyAlignment="1">
      <alignment horizontal="center" vertical="center" wrapText="1"/>
    </xf>
    <xf numFmtId="0" fontId="40" fillId="37" borderId="29" xfId="32" applyFont="1" applyFill="1" applyBorder="1" applyAlignment="1">
      <alignment horizontal="center" vertical="center"/>
    </xf>
    <xf numFmtId="0" fontId="40" fillId="37" borderId="22" xfId="32" applyFont="1" applyFill="1" applyBorder="1" applyAlignment="1">
      <alignment horizontal="center" vertical="center"/>
    </xf>
    <xf numFmtId="0" fontId="40" fillId="37" borderId="14" xfId="32" applyFont="1" applyFill="1" applyBorder="1" applyAlignment="1">
      <alignment horizontal="center" vertical="center"/>
    </xf>
    <xf numFmtId="0" fontId="40" fillId="37" borderId="54" xfId="32" applyFont="1" applyFill="1" applyBorder="1" applyAlignment="1">
      <alignment horizontal="center" vertical="center" wrapText="1"/>
    </xf>
    <xf numFmtId="0" fontId="40" fillId="37" borderId="58" xfId="32" applyFont="1" applyFill="1" applyBorder="1" applyAlignment="1">
      <alignment horizontal="center" vertical="center" wrapText="1"/>
    </xf>
    <xf numFmtId="0" fontId="40" fillId="37" borderId="4" xfId="32" applyFont="1" applyFill="1" applyBorder="1" applyAlignment="1">
      <alignment horizontal="center" vertical="center" wrapText="1"/>
    </xf>
    <xf numFmtId="0" fontId="75" fillId="37" borderId="74" xfId="32" applyFont="1" applyFill="1" applyBorder="1" applyAlignment="1">
      <alignment horizontal="center" vertical="center" wrapText="1"/>
    </xf>
    <xf numFmtId="0" fontId="75" fillId="37" borderId="64" xfId="32" applyFont="1" applyFill="1" applyBorder="1" applyAlignment="1">
      <alignment horizontal="center" vertical="center" wrapText="1"/>
    </xf>
    <xf numFmtId="0" fontId="42" fillId="27" borderId="1" xfId="32" applyFont="1" applyFill="1" applyBorder="1" applyAlignment="1">
      <alignment horizontal="center" vertical="center"/>
    </xf>
    <xf numFmtId="0" fontId="42" fillId="27" borderId="8" xfId="32" applyFont="1" applyFill="1" applyBorder="1" applyAlignment="1">
      <alignment horizontal="center" vertical="center"/>
    </xf>
    <xf numFmtId="0" fontId="42" fillId="27" borderId="3" xfId="32" applyFont="1" applyFill="1" applyBorder="1" applyAlignment="1">
      <alignment horizontal="center" vertical="center"/>
    </xf>
    <xf numFmtId="0" fontId="42" fillId="27" borderId="30" xfId="32" applyFont="1" applyFill="1" applyBorder="1" applyAlignment="1">
      <alignment horizontal="center" vertical="center"/>
    </xf>
    <xf numFmtId="0" fontId="42" fillId="27" borderId="28" xfId="32" applyFont="1" applyFill="1" applyBorder="1" applyAlignment="1">
      <alignment horizontal="center" vertical="center"/>
    </xf>
    <xf numFmtId="0" fontId="42" fillId="27" borderId="19" xfId="32" applyFont="1" applyFill="1" applyBorder="1" applyAlignment="1">
      <alignment horizontal="center" vertical="center"/>
    </xf>
    <xf numFmtId="0" fontId="13" fillId="26" borderId="0" xfId="0" applyFont="1" applyFill="1" applyAlignment="1">
      <alignment horizontal="right" vertical="center"/>
    </xf>
    <xf numFmtId="0" fontId="40" fillId="27" borderId="0" xfId="0" applyFont="1" applyFill="1" applyAlignment="1">
      <alignment horizontal="left" vertical="center"/>
    </xf>
    <xf numFmtId="0" fontId="42" fillId="27" borderId="0" xfId="0" applyFont="1" applyFill="1" applyAlignment="1">
      <alignment vertical="center"/>
    </xf>
    <xf numFmtId="0" fontId="42" fillId="26" borderId="0" xfId="0" applyFont="1" applyFill="1" applyAlignment="1">
      <alignment horizontal="left" vertical="center" wrapText="1"/>
    </xf>
    <xf numFmtId="0" fontId="15" fillId="0" borderId="0" xfId="32" applyFont="1" applyAlignment="1">
      <alignment horizontal="center" vertical="center"/>
    </xf>
    <xf numFmtId="0" fontId="40" fillId="37" borderId="72" xfId="32" applyFont="1" applyFill="1" applyBorder="1" applyAlignment="1">
      <alignment horizontal="center" vertical="center" wrapText="1"/>
    </xf>
    <xf numFmtId="0" fontId="40" fillId="39" borderId="11" xfId="32" applyFont="1" applyFill="1" applyBorder="1" applyAlignment="1">
      <alignment horizontal="center" vertical="center" wrapText="1"/>
    </xf>
    <xf numFmtId="0" fontId="40" fillId="39" borderId="0" xfId="32" applyFont="1" applyFill="1" applyAlignment="1">
      <alignment horizontal="center" vertical="center" wrapText="1"/>
    </xf>
    <xf numFmtId="0" fontId="40" fillId="39" borderId="43" xfId="32" applyFont="1" applyFill="1" applyBorder="1" applyAlignment="1">
      <alignment horizontal="center" vertical="center" wrapText="1"/>
    </xf>
    <xf numFmtId="0" fontId="84" fillId="27" borderId="0" xfId="0" applyFont="1" applyFill="1" applyAlignment="1">
      <alignment horizontal="left" vertical="center" wrapText="1"/>
    </xf>
    <xf numFmtId="0" fontId="65" fillId="37" borderId="35" xfId="32" applyFont="1" applyFill="1" applyBorder="1" applyAlignment="1">
      <alignment horizontal="center" vertical="center" wrapText="1"/>
    </xf>
    <xf numFmtId="0" fontId="65" fillId="37" borderId="34" xfId="32" applyFont="1" applyFill="1" applyBorder="1" applyAlignment="1">
      <alignment horizontal="center" vertical="center" wrapText="1"/>
    </xf>
    <xf numFmtId="0" fontId="47" fillId="37" borderId="35" xfId="32" applyFont="1" applyFill="1" applyBorder="1" applyAlignment="1">
      <alignment horizontal="center" vertical="center" wrapText="1"/>
    </xf>
    <xf numFmtId="0" fontId="47" fillId="37" borderId="34" xfId="32" applyFont="1" applyFill="1" applyBorder="1" applyAlignment="1">
      <alignment horizontal="center" vertical="center" wrapText="1"/>
    </xf>
    <xf numFmtId="0" fontId="84" fillId="27" borderId="0" xfId="0" applyFont="1" applyFill="1" applyAlignment="1">
      <alignment horizontal="left" vertical="center"/>
    </xf>
    <xf numFmtId="0" fontId="159" fillId="37" borderId="35" xfId="32" applyFont="1" applyFill="1" applyBorder="1" applyAlignment="1">
      <alignment horizontal="center" vertical="center" wrapText="1"/>
    </xf>
    <xf numFmtId="0" fontId="159" fillId="37" borderId="34" xfId="32" applyFont="1" applyFill="1" applyBorder="1" applyAlignment="1">
      <alignment horizontal="center" vertical="center" wrapText="1"/>
    </xf>
    <xf numFmtId="0" fontId="47" fillId="37" borderId="1" xfId="32" applyFont="1" applyFill="1" applyBorder="1" applyAlignment="1">
      <alignment horizontal="center" vertical="center" wrapText="1"/>
    </xf>
    <xf numFmtId="0" fontId="47" fillId="37" borderId="8" xfId="32" applyFont="1" applyFill="1" applyBorder="1" applyAlignment="1">
      <alignment horizontal="center" vertical="center" wrapText="1"/>
    </xf>
    <xf numFmtId="0" fontId="47" fillId="37" borderId="3" xfId="32" applyFont="1" applyFill="1" applyBorder="1" applyAlignment="1">
      <alignment horizontal="center" vertical="center" wrapText="1"/>
    </xf>
    <xf numFmtId="3" fontId="47" fillId="37" borderId="1" xfId="32" applyNumberFormat="1" applyFont="1" applyFill="1" applyBorder="1" applyAlignment="1">
      <alignment horizontal="center" vertical="center" wrapText="1"/>
    </xf>
    <xf numFmtId="3" fontId="47" fillId="37" borderId="8" xfId="32" applyNumberFormat="1" applyFont="1" applyFill="1" applyBorder="1" applyAlignment="1">
      <alignment horizontal="center" vertical="center" wrapText="1"/>
    </xf>
    <xf numFmtId="3" fontId="47" fillId="37" borderId="3" xfId="32" applyNumberFormat="1" applyFont="1" applyFill="1" applyBorder="1" applyAlignment="1">
      <alignment horizontal="center" vertical="center" wrapText="1"/>
    </xf>
    <xf numFmtId="0" fontId="77" fillId="27" borderId="0" xfId="32" applyFont="1" applyFill="1" applyAlignment="1">
      <alignment horizontal="center" vertical="center" wrapText="1"/>
    </xf>
    <xf numFmtId="0" fontId="69" fillId="39" borderId="1" xfId="32" applyFont="1" applyFill="1" applyBorder="1" applyAlignment="1">
      <alignment horizontal="left" vertical="center"/>
    </xf>
    <xf numFmtId="0" fontId="69" fillId="39" borderId="8" xfId="32" applyFont="1" applyFill="1" applyBorder="1" applyAlignment="1">
      <alignment horizontal="left" vertical="center"/>
    </xf>
    <xf numFmtId="0" fontId="69" fillId="39" borderId="3" xfId="32" applyFont="1" applyFill="1" applyBorder="1" applyAlignment="1">
      <alignment horizontal="left" vertical="center"/>
    </xf>
    <xf numFmtId="0" fontId="47" fillId="37" borderId="35" xfId="32" applyFont="1" applyFill="1" applyBorder="1" applyAlignment="1">
      <alignment horizontal="center" vertical="center"/>
    </xf>
    <xf numFmtId="0" fontId="47" fillId="37" borderId="34" xfId="32" applyFont="1" applyFill="1" applyBorder="1" applyAlignment="1">
      <alignment horizontal="center" vertical="center"/>
    </xf>
    <xf numFmtId="0" fontId="65" fillId="37" borderId="1" xfId="32" applyFont="1" applyFill="1" applyBorder="1" applyAlignment="1">
      <alignment horizontal="center" vertical="center" wrapText="1"/>
    </xf>
    <xf numFmtId="0" fontId="65" fillId="37" borderId="8" xfId="32" applyFont="1" applyFill="1" applyBorder="1" applyAlignment="1">
      <alignment horizontal="center" vertical="center" wrapText="1"/>
    </xf>
    <xf numFmtId="0" fontId="65" fillId="37" borderId="3" xfId="32" applyFont="1" applyFill="1" applyBorder="1" applyAlignment="1">
      <alignment horizontal="center" vertical="center" wrapText="1"/>
    </xf>
    <xf numFmtId="0" fontId="81" fillId="27" borderId="0" xfId="32" applyFont="1" applyFill="1" applyAlignment="1">
      <alignment horizontal="center" vertical="center"/>
    </xf>
    <xf numFmtId="0" fontId="69" fillId="27" borderId="0" xfId="32" applyFont="1" applyFill="1" applyAlignment="1">
      <alignment horizontal="center" vertical="center"/>
    </xf>
    <xf numFmtId="0" fontId="40" fillId="22" borderId="154" xfId="32" applyFont="1" applyFill="1" applyBorder="1" applyAlignment="1">
      <alignment horizontal="center" vertical="center"/>
    </xf>
    <xf numFmtId="0" fontId="169" fillId="0" borderId="162" xfId="0" applyFont="1" applyBorder="1" applyAlignment="1">
      <alignment horizontal="left" vertical="center" wrapText="1"/>
    </xf>
    <xf numFmtId="0" fontId="169" fillId="0" borderId="163" xfId="0" applyFont="1" applyBorder="1" applyAlignment="1">
      <alignment horizontal="left" vertical="center" wrapText="1"/>
    </xf>
    <xf numFmtId="0" fontId="169" fillId="0" borderId="164" xfId="0" applyFont="1" applyBorder="1" applyAlignment="1">
      <alignment horizontal="left" vertical="center" wrapText="1"/>
    </xf>
    <xf numFmtId="0" fontId="43" fillId="0" borderId="0" xfId="0" applyFont="1" applyAlignment="1">
      <alignment horizontal="left" vertical="top" wrapText="1"/>
    </xf>
    <xf numFmtId="0" fontId="40" fillId="37" borderId="1" xfId="49" applyFont="1" applyFill="1" applyBorder="1" applyAlignment="1">
      <alignment horizontal="center" vertical="center"/>
    </xf>
    <xf numFmtId="0" fontId="40" fillId="37" borderId="8" xfId="49" applyFont="1" applyFill="1" applyBorder="1" applyAlignment="1">
      <alignment horizontal="center" vertical="center"/>
    </xf>
    <xf numFmtId="0" fontId="40" fillId="37" borderId="3" xfId="49" applyFont="1" applyFill="1" applyBorder="1" applyAlignment="1">
      <alignment horizontal="center" vertical="center"/>
    </xf>
    <xf numFmtId="0" fontId="40" fillId="37" borderId="29" xfId="49" applyFont="1" applyFill="1" applyBorder="1" applyAlignment="1">
      <alignment horizontal="center" vertical="center"/>
    </xf>
    <xf numFmtId="0" fontId="40" fillId="37" borderId="22" xfId="49" applyFont="1" applyFill="1" applyBorder="1" applyAlignment="1">
      <alignment horizontal="center" vertical="center"/>
    </xf>
    <xf numFmtId="0" fontId="40" fillId="37" borderId="14" xfId="49" applyFont="1" applyFill="1" applyBorder="1" applyAlignment="1">
      <alignment horizontal="center" vertical="center"/>
    </xf>
    <xf numFmtId="49" fontId="12" fillId="0" borderId="51" xfId="31" applyNumberFormat="1" applyFont="1" applyBorder="1" applyAlignment="1">
      <alignment horizontal="center" vertical="center"/>
    </xf>
    <xf numFmtId="49" fontId="12" fillId="0" borderId="17" xfId="31" applyNumberFormat="1" applyFont="1" applyBorder="1" applyAlignment="1">
      <alignment horizontal="center" vertical="center"/>
    </xf>
    <xf numFmtId="0" fontId="40" fillId="37" borderId="0" xfId="31" applyFont="1" applyFill="1" applyAlignment="1">
      <alignment horizontal="center" vertical="center" wrapText="1"/>
    </xf>
    <xf numFmtId="0" fontId="40" fillId="37" borderId="20" xfId="31" applyFont="1" applyFill="1" applyBorder="1" applyAlignment="1">
      <alignment horizontal="center" vertical="center" wrapText="1"/>
    </xf>
    <xf numFmtId="49" fontId="12" fillId="0" borderId="21" xfId="31" applyNumberFormat="1" applyFont="1" applyBorder="1" applyAlignment="1">
      <alignment horizontal="center" vertical="center"/>
    </xf>
    <xf numFmtId="0" fontId="40" fillId="37" borderId="35" xfId="31" applyFont="1" applyFill="1" applyBorder="1" applyAlignment="1">
      <alignment horizontal="center" vertical="center" wrapText="1"/>
    </xf>
    <xf numFmtId="0" fontId="40" fillId="37" borderId="34" xfId="31" applyFont="1" applyFill="1" applyBorder="1" applyAlignment="1">
      <alignment horizontal="center" vertical="center" wrapText="1"/>
    </xf>
    <xf numFmtId="0" fontId="40" fillId="37" borderId="37" xfId="31" applyFont="1" applyFill="1" applyBorder="1" applyAlignment="1">
      <alignment horizontal="center" vertical="center" wrapText="1"/>
    </xf>
    <xf numFmtId="0" fontId="40" fillId="37" borderId="29" xfId="49" applyFont="1" applyFill="1" applyBorder="1" applyAlignment="1">
      <alignment horizontal="center" vertical="center" wrapText="1"/>
    </xf>
    <xf numFmtId="0" fontId="40" fillId="37" borderId="22" xfId="49" applyFont="1" applyFill="1" applyBorder="1" applyAlignment="1">
      <alignment horizontal="center" vertical="center" wrapText="1"/>
    </xf>
    <xf numFmtId="0" fontId="40" fillId="37" borderId="14" xfId="49" applyFont="1" applyFill="1" applyBorder="1" applyAlignment="1">
      <alignment horizontal="center" vertical="center" wrapText="1"/>
    </xf>
    <xf numFmtId="49" fontId="40" fillId="37" borderId="75" xfId="31" applyNumberFormat="1" applyFont="1" applyFill="1" applyBorder="1" applyAlignment="1">
      <alignment horizontal="center" vertical="center"/>
    </xf>
    <xf numFmtId="49" fontId="40" fillId="37" borderId="56" xfId="31" applyNumberFormat="1" applyFont="1" applyFill="1" applyBorder="1" applyAlignment="1">
      <alignment horizontal="center" vertical="center"/>
    </xf>
    <xf numFmtId="0" fontId="40" fillId="37" borderId="74" xfId="31" applyFont="1" applyFill="1" applyBorder="1" applyAlignment="1">
      <alignment horizontal="center" vertical="center"/>
    </xf>
    <xf numFmtId="0" fontId="40" fillId="37" borderId="78" xfId="31" applyFont="1" applyFill="1" applyBorder="1" applyAlignment="1">
      <alignment horizontal="center" vertical="center"/>
    </xf>
    <xf numFmtId="0" fontId="40" fillId="37" borderId="11" xfId="31" applyFont="1" applyFill="1" applyBorder="1" applyAlignment="1">
      <alignment horizontal="center" vertical="center" wrapText="1"/>
    </xf>
    <xf numFmtId="0" fontId="15" fillId="0" borderId="0" xfId="31" applyFont="1" applyAlignment="1">
      <alignment horizontal="center" vertical="center"/>
    </xf>
    <xf numFmtId="0" fontId="20" fillId="0" borderId="0" xfId="0" applyFont="1" applyAlignment="1">
      <alignment horizontal="center" vertical="center"/>
    </xf>
    <xf numFmtId="0" fontId="119" fillId="27" borderId="0" xfId="49" applyFont="1" applyFill="1" applyAlignment="1">
      <alignment vertical="center" wrapText="1"/>
    </xf>
    <xf numFmtId="0" fontId="21" fillId="22" borderId="154" xfId="0" applyFont="1" applyFill="1" applyBorder="1" applyAlignment="1">
      <alignment horizontal="center" vertical="center"/>
    </xf>
    <xf numFmtId="0" fontId="43" fillId="27" borderId="0" xfId="49" applyFont="1" applyFill="1" applyAlignment="1">
      <alignment vertical="center" wrapText="1"/>
    </xf>
    <xf numFmtId="0" fontId="40" fillId="37" borderId="40" xfId="49" applyFont="1" applyFill="1" applyBorder="1" applyAlignment="1">
      <alignment horizontal="center" vertical="center" wrapText="1"/>
    </xf>
    <xf numFmtId="0" fontId="40" fillId="37" borderId="11" xfId="49" applyFont="1" applyFill="1" applyBorder="1" applyAlignment="1">
      <alignment horizontal="center" vertical="center" wrapText="1"/>
    </xf>
    <xf numFmtId="0" fontId="40" fillId="37" borderId="41" xfId="49" applyFont="1" applyFill="1" applyBorder="1" applyAlignment="1">
      <alignment horizontal="center" vertical="center" wrapText="1"/>
    </xf>
    <xf numFmtId="0" fontId="15" fillId="27" borderId="0" xfId="49" applyFont="1" applyFill="1" applyAlignment="1">
      <alignment horizontal="center" vertical="center" wrapText="1"/>
    </xf>
    <xf numFmtId="0" fontId="40" fillId="37" borderId="42" xfId="49" applyFont="1" applyFill="1" applyBorder="1" applyAlignment="1">
      <alignment horizontal="center" vertical="center" wrapText="1"/>
    </xf>
    <xf numFmtId="0" fontId="40" fillId="37" borderId="35" xfId="49" applyFont="1" applyFill="1" applyBorder="1" applyAlignment="1">
      <alignment horizontal="center" vertical="center" wrapText="1"/>
    </xf>
    <xf numFmtId="0" fontId="40" fillId="37" borderId="34" xfId="49" applyFont="1" applyFill="1" applyBorder="1" applyAlignment="1">
      <alignment horizontal="center" vertical="center" wrapText="1"/>
    </xf>
    <xf numFmtId="0" fontId="113" fillId="27" borderId="87" xfId="49" applyFont="1" applyFill="1" applyBorder="1" applyAlignment="1">
      <alignment horizontal="center" vertical="center" wrapText="1"/>
    </xf>
    <xf numFmtId="0" fontId="114" fillId="0" borderId="88" xfId="0" applyFont="1" applyBorder="1" applyAlignment="1">
      <alignment horizontal="center" vertical="center" wrapText="1"/>
    </xf>
    <xf numFmtId="0" fontId="20" fillId="27" borderId="0" xfId="49" applyFont="1" applyFill="1" applyAlignment="1">
      <alignment horizontal="center" vertical="center" wrapText="1"/>
    </xf>
    <xf numFmtId="3" fontId="40" fillId="37" borderId="40" xfId="49" applyNumberFormat="1" applyFont="1" applyFill="1" applyBorder="1" applyAlignment="1">
      <alignment horizontal="center" vertical="center"/>
    </xf>
    <xf numFmtId="3" fontId="40" fillId="37" borderId="11" xfId="49" applyNumberFormat="1" applyFont="1" applyFill="1" applyBorder="1" applyAlignment="1">
      <alignment horizontal="center" vertical="center"/>
    </xf>
    <xf numFmtId="3" fontId="40" fillId="37" borderId="41" xfId="49" applyNumberFormat="1" applyFont="1" applyFill="1" applyBorder="1" applyAlignment="1">
      <alignment horizontal="center" vertical="center"/>
    </xf>
    <xf numFmtId="3" fontId="40" fillId="37" borderId="35" xfId="49" applyNumberFormat="1" applyFont="1" applyFill="1" applyBorder="1" applyAlignment="1">
      <alignment horizontal="center" vertical="center" wrapText="1"/>
    </xf>
    <xf numFmtId="3" fontId="40" fillId="37" borderId="34" xfId="49" applyNumberFormat="1" applyFont="1" applyFill="1" applyBorder="1" applyAlignment="1">
      <alignment horizontal="center" vertical="center" wrapText="1"/>
    </xf>
    <xf numFmtId="3" fontId="40" fillId="37" borderId="42" xfId="49" applyNumberFormat="1" applyFont="1" applyFill="1" applyBorder="1" applyAlignment="1">
      <alignment horizontal="center" vertical="center"/>
    </xf>
    <xf numFmtId="3" fontId="15" fillId="27" borderId="0" xfId="49" applyNumberFormat="1" applyFont="1" applyFill="1" applyAlignment="1">
      <alignment horizontal="center" vertical="center" wrapText="1"/>
    </xf>
    <xf numFmtId="3" fontId="20" fillId="27" borderId="0" xfId="49" applyNumberFormat="1" applyFont="1" applyFill="1" applyAlignment="1">
      <alignment horizontal="center" vertical="center"/>
    </xf>
    <xf numFmtId="0" fontId="21" fillId="32" borderId="1" xfId="49" applyFont="1" applyFill="1" applyBorder="1" applyAlignment="1">
      <alignment horizontal="center" vertical="center" wrapText="1"/>
    </xf>
    <xf numFmtId="0" fontId="21" fillId="32" borderId="8" xfId="49" applyFont="1" applyFill="1" applyBorder="1" applyAlignment="1">
      <alignment horizontal="center" vertical="center" wrapText="1"/>
    </xf>
    <xf numFmtId="0" fontId="21" fillId="32" borderId="3" xfId="49" applyFont="1" applyFill="1" applyBorder="1" applyAlignment="1">
      <alignment horizontal="center" vertical="center" wrapText="1"/>
    </xf>
    <xf numFmtId="0" fontId="43" fillId="27" borderId="0" xfId="49" applyFont="1" applyFill="1" applyAlignment="1">
      <alignment vertical="top" wrapText="1"/>
    </xf>
    <xf numFmtId="0" fontId="15" fillId="0" borderId="0" xfId="49" applyFont="1" applyAlignment="1">
      <alignment horizontal="center" vertical="center" wrapText="1"/>
    </xf>
    <xf numFmtId="0" fontId="20" fillId="27" borderId="0" xfId="49" applyFont="1" applyFill="1" applyAlignment="1">
      <alignment horizontal="center" vertical="center"/>
    </xf>
    <xf numFmtId="0" fontId="21" fillId="37" borderId="40" xfId="49" applyFont="1" applyFill="1" applyBorder="1" applyAlignment="1">
      <alignment horizontal="center" vertical="center"/>
    </xf>
    <xf numFmtId="0" fontId="21" fillId="37" borderId="42" xfId="49" applyFont="1" applyFill="1" applyBorder="1" applyAlignment="1">
      <alignment horizontal="center" vertical="center"/>
    </xf>
    <xf numFmtId="0" fontId="21" fillId="37" borderId="11" xfId="49" applyFont="1" applyFill="1" applyBorder="1" applyAlignment="1">
      <alignment horizontal="center" vertical="center"/>
    </xf>
    <xf numFmtId="0" fontId="21" fillId="37" borderId="41" xfId="49" applyFont="1" applyFill="1" applyBorder="1" applyAlignment="1">
      <alignment horizontal="center" vertical="center"/>
    </xf>
    <xf numFmtId="0" fontId="21" fillId="37" borderId="1" xfId="49" applyFont="1" applyFill="1" applyBorder="1" applyAlignment="1">
      <alignment horizontal="center" vertical="center"/>
    </xf>
    <xf numFmtId="0" fontId="21" fillId="37" borderId="8" xfId="49" applyFont="1" applyFill="1" applyBorder="1" applyAlignment="1">
      <alignment horizontal="center" vertical="center"/>
    </xf>
    <xf numFmtId="0" fontId="21" fillId="37" borderId="3" xfId="49" applyFont="1" applyFill="1" applyBorder="1" applyAlignment="1">
      <alignment horizontal="center" vertical="center"/>
    </xf>
    <xf numFmtId="3" fontId="43" fillId="37" borderId="39" xfId="32" applyNumberFormat="1" applyFont="1" applyFill="1" applyBorder="1" applyAlignment="1">
      <alignment horizontal="center" vertical="center"/>
    </xf>
    <xf numFmtId="3" fontId="43" fillId="37" borderId="5" xfId="32" applyNumberFormat="1" applyFont="1" applyFill="1" applyBorder="1" applyAlignment="1">
      <alignment horizontal="center" vertical="center"/>
    </xf>
    <xf numFmtId="0" fontId="40" fillId="37" borderId="26" xfId="49" applyFont="1" applyFill="1" applyBorder="1" applyAlignment="1">
      <alignment horizontal="center" vertical="center" wrapText="1"/>
    </xf>
    <xf numFmtId="1" fontId="40" fillId="38" borderId="1" xfId="21" applyFont="1" applyFill="1" applyBorder="1">
      <alignment horizontal="center" vertical="center" wrapText="1"/>
    </xf>
    <xf numFmtId="1" fontId="40" fillId="38" borderId="8" xfId="21" applyFont="1" applyFill="1" applyBorder="1">
      <alignment horizontal="center" vertical="center" wrapText="1"/>
    </xf>
    <xf numFmtId="1" fontId="40" fillId="38" borderId="3" xfId="21" applyFont="1" applyFill="1" applyBorder="1">
      <alignment horizontal="center" vertical="center" wrapText="1"/>
    </xf>
    <xf numFmtId="0" fontId="40" fillId="32" borderId="1" xfId="49" applyFont="1" applyFill="1" applyBorder="1" applyAlignment="1">
      <alignment horizontal="left" vertical="center" wrapText="1"/>
    </xf>
    <xf numFmtId="0" fontId="40" fillId="32" borderId="8" xfId="49" applyFont="1" applyFill="1" applyBorder="1" applyAlignment="1">
      <alignment horizontal="left" vertical="center" wrapText="1"/>
    </xf>
    <xf numFmtId="0" fontId="40" fillId="32" borderId="3" xfId="49" applyFont="1" applyFill="1" applyBorder="1" applyAlignment="1">
      <alignment horizontal="left" vertical="center" wrapText="1"/>
    </xf>
    <xf numFmtId="49" fontId="40" fillId="24" borderId="1" xfId="49" applyNumberFormat="1" applyFont="1" applyFill="1" applyBorder="1" applyAlignment="1">
      <alignment horizontal="left" vertical="center" wrapText="1"/>
    </xf>
    <xf numFmtId="49" fontId="40" fillId="24" borderId="8" xfId="49" applyNumberFormat="1" applyFont="1" applyFill="1" applyBorder="1" applyAlignment="1">
      <alignment horizontal="left" vertical="center" wrapText="1"/>
    </xf>
    <xf numFmtId="49" fontId="40" fillId="24" borderId="3" xfId="49" applyNumberFormat="1" applyFont="1" applyFill="1" applyBorder="1" applyAlignment="1">
      <alignment horizontal="left" vertical="center" wrapText="1"/>
    </xf>
    <xf numFmtId="3" fontId="43" fillId="52" borderId="39" xfId="32" applyNumberFormat="1" applyFont="1" applyFill="1" applyBorder="1" applyAlignment="1">
      <alignment horizontal="center" vertical="center"/>
    </xf>
    <xf numFmtId="3" fontId="43" fillId="52" borderId="5" xfId="32" applyNumberFormat="1" applyFont="1" applyFill="1" applyBorder="1" applyAlignment="1">
      <alignment horizontal="center" vertical="center"/>
    </xf>
    <xf numFmtId="3" fontId="41" fillId="37" borderId="40" xfId="49" applyNumberFormat="1" applyFont="1" applyFill="1" applyBorder="1" applyAlignment="1">
      <alignment horizontal="center" vertical="center" wrapText="1"/>
    </xf>
    <xf numFmtId="3" fontId="41" fillId="37" borderId="41" xfId="49" applyNumberFormat="1" applyFont="1" applyFill="1" applyBorder="1" applyAlignment="1">
      <alignment horizontal="center" vertical="center" wrapText="1"/>
    </xf>
    <xf numFmtId="3" fontId="41" fillId="37" borderId="27" xfId="49" applyNumberFormat="1" applyFont="1" applyFill="1" applyBorder="1" applyAlignment="1">
      <alignment horizontal="center" vertical="center" wrapText="1"/>
    </xf>
    <xf numFmtId="3" fontId="41" fillId="37" borderId="16" xfId="49" applyNumberFormat="1" applyFont="1" applyFill="1" applyBorder="1" applyAlignment="1">
      <alignment horizontal="center" vertical="center" wrapText="1"/>
    </xf>
    <xf numFmtId="3" fontId="41" fillId="37" borderId="42" xfId="49" applyNumberFormat="1" applyFont="1" applyFill="1" applyBorder="1" applyAlignment="1">
      <alignment horizontal="center" vertical="center" wrapText="1"/>
    </xf>
    <xf numFmtId="3" fontId="41" fillId="37" borderId="43" xfId="49" applyNumberFormat="1" applyFont="1" applyFill="1" applyBorder="1" applyAlignment="1">
      <alignment horizontal="center" vertical="center" wrapText="1"/>
    </xf>
    <xf numFmtId="3" fontId="41" fillId="26" borderId="20" xfId="49" applyNumberFormat="1" applyFont="1" applyFill="1" applyBorder="1" applyAlignment="1">
      <alignment horizontal="center" vertical="center" wrapText="1"/>
    </xf>
    <xf numFmtId="3" fontId="41" fillId="26" borderId="43" xfId="49" applyNumberFormat="1" applyFont="1" applyFill="1" applyBorder="1" applyAlignment="1">
      <alignment horizontal="center" vertical="center" wrapText="1"/>
    </xf>
    <xf numFmtId="49" fontId="40" fillId="24" borderId="1" xfId="49" applyNumberFormat="1" applyFont="1" applyFill="1" applyBorder="1" applyAlignment="1">
      <alignment horizontal="left" vertical="center"/>
    </xf>
    <xf numFmtId="49" fontId="40" fillId="24" borderId="8" xfId="49" applyNumberFormat="1" applyFont="1" applyFill="1" applyBorder="1" applyAlignment="1">
      <alignment horizontal="left" vertical="center"/>
    </xf>
    <xf numFmtId="49" fontId="40" fillId="24" borderId="3" xfId="49" applyNumberFormat="1" applyFont="1" applyFill="1" applyBorder="1" applyAlignment="1">
      <alignment horizontal="left" vertical="center"/>
    </xf>
    <xf numFmtId="0" fontId="165" fillId="0" borderId="30" xfId="49" applyFont="1" applyBorder="1" applyAlignment="1">
      <alignment horizontal="left" vertical="center" wrapText="1"/>
    </xf>
    <xf numFmtId="0" fontId="165" fillId="0" borderId="28" xfId="49" applyFont="1" applyBorder="1" applyAlignment="1">
      <alignment horizontal="left" vertical="center" wrapText="1"/>
    </xf>
    <xf numFmtId="0" fontId="165" fillId="0" borderId="19" xfId="49" applyFont="1" applyBorder="1" applyAlignment="1">
      <alignment horizontal="left" vertical="center" wrapText="1"/>
    </xf>
    <xf numFmtId="0" fontId="42" fillId="27" borderId="0" xfId="49" applyFont="1" applyFill="1" applyAlignment="1">
      <alignment vertical="center" wrapText="1"/>
    </xf>
    <xf numFmtId="0" fontId="40" fillId="36" borderId="1" xfId="49" applyFont="1" applyFill="1" applyBorder="1" applyAlignment="1">
      <alignment horizontal="left" vertical="center" wrapText="1"/>
    </xf>
    <xf numFmtId="0" fontId="40" fillId="36" borderId="8" xfId="49" applyFont="1" applyFill="1" applyBorder="1" applyAlignment="1">
      <alignment horizontal="left" vertical="center" wrapText="1"/>
    </xf>
    <xf numFmtId="0" fontId="40" fillId="36" borderId="3" xfId="49" applyFont="1" applyFill="1" applyBorder="1" applyAlignment="1">
      <alignment horizontal="left" vertical="center" wrapText="1"/>
    </xf>
    <xf numFmtId="0" fontId="40" fillId="37" borderId="20" xfId="49" applyFont="1" applyFill="1" applyBorder="1" applyAlignment="1">
      <alignment horizontal="center" vertical="center" wrapText="1"/>
    </xf>
    <xf numFmtId="0" fontId="40" fillId="37" borderId="43" xfId="49" applyFont="1" applyFill="1" applyBorder="1" applyAlignment="1">
      <alignment horizontal="center" vertical="center" wrapText="1"/>
    </xf>
    <xf numFmtId="0" fontId="52" fillId="27" borderId="0" xfId="49" applyFont="1" applyFill="1" applyAlignment="1">
      <alignment horizontal="left" vertical="center" wrapText="1"/>
    </xf>
    <xf numFmtId="0" fontId="40" fillId="24" borderId="1" xfId="49" applyFont="1" applyFill="1" applyBorder="1" applyAlignment="1">
      <alignment horizontal="center" vertical="center" wrapText="1"/>
    </xf>
    <xf numFmtId="0" fontId="40" fillId="24" borderId="3" xfId="49" applyFont="1" applyFill="1" applyBorder="1" applyAlignment="1">
      <alignment horizontal="center" vertical="center" wrapText="1"/>
    </xf>
    <xf numFmtId="2" fontId="40" fillId="37" borderId="75" xfId="49" applyNumberFormat="1" applyFont="1" applyFill="1" applyBorder="1" applyAlignment="1">
      <alignment horizontal="center" vertical="center" wrapText="1"/>
    </xf>
    <xf numFmtId="2" fontId="40" fillId="37" borderId="73" xfId="49" applyNumberFormat="1" applyFont="1" applyFill="1" applyBorder="1" applyAlignment="1">
      <alignment horizontal="center" vertical="center" wrapText="1"/>
    </xf>
    <xf numFmtId="2" fontId="40" fillId="37" borderId="76" xfId="49" applyNumberFormat="1" applyFont="1" applyFill="1" applyBorder="1" applyAlignment="1">
      <alignment horizontal="center" vertical="center" wrapText="1"/>
    </xf>
    <xf numFmtId="0" fontId="40" fillId="37" borderId="72" xfId="49" applyFont="1" applyFill="1" applyBorder="1" applyAlignment="1">
      <alignment horizontal="center" vertical="center" wrapText="1"/>
    </xf>
    <xf numFmtId="0" fontId="40" fillId="37" borderId="73" xfId="49" applyFont="1" applyFill="1" applyBorder="1" applyAlignment="1">
      <alignment horizontal="center" vertical="center" wrapText="1"/>
    </xf>
    <xf numFmtId="0" fontId="40" fillId="37" borderId="76" xfId="49" applyFont="1" applyFill="1" applyBorder="1" applyAlignment="1">
      <alignment horizontal="center" vertical="center" wrapText="1"/>
    </xf>
    <xf numFmtId="0" fontId="40" fillId="37" borderId="75" xfId="49" applyFont="1" applyFill="1" applyBorder="1" applyAlignment="1">
      <alignment horizontal="center" vertical="center" wrapText="1"/>
    </xf>
    <xf numFmtId="0" fontId="40" fillId="37" borderId="35" xfId="49" applyFont="1" applyFill="1" applyBorder="1" applyAlignment="1">
      <alignment horizontal="center" vertical="center"/>
    </xf>
    <xf numFmtId="0" fontId="40" fillId="37" borderId="34" xfId="49" applyFont="1" applyFill="1" applyBorder="1" applyAlignment="1">
      <alignment horizontal="center" vertical="center"/>
    </xf>
    <xf numFmtId="0" fontId="40" fillId="37" borderId="1" xfId="49" applyFont="1" applyFill="1" applyBorder="1" applyAlignment="1">
      <alignment horizontal="center" vertical="center" wrapText="1"/>
    </xf>
    <xf numFmtId="0" fontId="40" fillId="37" borderId="8" xfId="49" applyFont="1" applyFill="1" applyBorder="1" applyAlignment="1">
      <alignment horizontal="center" vertical="center" wrapText="1"/>
    </xf>
    <xf numFmtId="0" fontId="40" fillId="37" borderId="3" xfId="49" applyFont="1" applyFill="1" applyBorder="1" applyAlignment="1">
      <alignment horizontal="center" vertical="center" wrapText="1"/>
    </xf>
    <xf numFmtId="2" fontId="40" fillId="37" borderId="1" xfId="49" applyNumberFormat="1" applyFont="1" applyFill="1" applyBorder="1" applyAlignment="1">
      <alignment horizontal="center" vertical="center" wrapText="1"/>
    </xf>
    <xf numFmtId="2" fontId="40" fillId="37" borderId="8" xfId="49" applyNumberFormat="1" applyFont="1" applyFill="1" applyBorder="1" applyAlignment="1">
      <alignment horizontal="center" vertical="center" wrapText="1"/>
    </xf>
    <xf numFmtId="2" fontId="40" fillId="37" borderId="3" xfId="49" applyNumberFormat="1" applyFont="1" applyFill="1" applyBorder="1" applyAlignment="1">
      <alignment horizontal="center" vertical="center" wrapText="1"/>
    </xf>
    <xf numFmtId="0" fontId="41" fillId="37" borderId="52" xfId="49" applyFont="1" applyFill="1" applyBorder="1" applyAlignment="1">
      <alignment vertical="center"/>
    </xf>
    <xf numFmtId="0" fontId="41" fillId="37" borderId="56" xfId="49" applyFont="1" applyFill="1" applyBorder="1" applyAlignment="1">
      <alignment vertical="center"/>
    </xf>
    <xf numFmtId="180" fontId="170" fillId="27" borderId="162" xfId="31" applyNumberFormat="1" applyFont="1" applyFill="1" applyBorder="1" applyAlignment="1">
      <alignment horizontal="center" vertical="center"/>
    </xf>
    <xf numFmtId="180" fontId="170" fillId="27" borderId="164" xfId="31" applyNumberFormat="1" applyFont="1" applyFill="1" applyBorder="1" applyAlignment="1">
      <alignment horizontal="center" vertical="center"/>
    </xf>
    <xf numFmtId="0" fontId="41" fillId="37" borderId="53" xfId="49" applyFont="1" applyFill="1" applyBorder="1" applyAlignment="1">
      <alignment vertical="center"/>
    </xf>
    <xf numFmtId="0" fontId="41" fillId="37" borderId="57" xfId="49" applyFont="1" applyFill="1" applyBorder="1" applyAlignment="1">
      <alignment vertical="center"/>
    </xf>
    <xf numFmtId="0" fontId="40" fillId="22" borderId="154" xfId="49" applyFont="1" applyFill="1" applyBorder="1" applyAlignment="1">
      <alignment horizontal="center" vertical="center" wrapText="1"/>
    </xf>
    <xf numFmtId="2" fontId="40" fillId="22" borderId="154" xfId="49" applyNumberFormat="1" applyFont="1" applyFill="1" applyBorder="1" applyAlignment="1">
      <alignment horizontal="center" vertical="center" wrapText="1"/>
    </xf>
    <xf numFmtId="0" fontId="43" fillId="27" borderId="0" xfId="40" applyFont="1" applyFill="1" applyAlignment="1">
      <alignment horizontal="left" vertical="center" wrapText="1"/>
    </xf>
    <xf numFmtId="169" fontId="40" fillId="37" borderId="60" xfId="49" applyNumberFormat="1" applyFont="1" applyFill="1" applyBorder="1" applyAlignment="1">
      <alignment horizontal="center" vertical="center" wrapText="1"/>
    </xf>
    <xf numFmtId="171" fontId="40" fillId="37" borderId="65" xfId="49" applyNumberFormat="1" applyFont="1" applyFill="1" applyBorder="1" applyAlignment="1">
      <alignment horizontal="center" vertical="center" wrapText="1"/>
    </xf>
    <xf numFmtId="171" fontId="40" fillId="37" borderId="3" xfId="49" applyNumberFormat="1" applyFont="1" applyFill="1" applyBorder="1" applyAlignment="1">
      <alignment horizontal="center" vertical="center" wrapText="1"/>
    </xf>
    <xf numFmtId="169" fontId="40" fillId="37" borderId="1" xfId="49" applyNumberFormat="1" applyFont="1" applyFill="1" applyBorder="1" applyAlignment="1">
      <alignment horizontal="center" vertical="center" wrapText="1"/>
    </xf>
    <xf numFmtId="171" fontId="105" fillId="37" borderId="75" xfId="49" applyNumberFormat="1" applyFont="1" applyFill="1" applyBorder="1" applyAlignment="1">
      <alignment horizontal="center" vertical="center" wrapText="1"/>
    </xf>
    <xf numFmtId="171" fontId="105" fillId="37" borderId="73" xfId="49" applyNumberFormat="1" applyFont="1" applyFill="1" applyBorder="1" applyAlignment="1">
      <alignment horizontal="center" vertical="center" wrapText="1"/>
    </xf>
    <xf numFmtId="169" fontId="105" fillId="37" borderId="73" xfId="49" applyNumberFormat="1" applyFont="1" applyFill="1" applyBorder="1" applyAlignment="1">
      <alignment horizontal="center" vertical="center" wrapText="1"/>
    </xf>
    <xf numFmtId="169" fontId="105" fillId="37" borderId="76" xfId="49" applyNumberFormat="1" applyFont="1" applyFill="1" applyBorder="1" applyAlignment="1">
      <alignment horizontal="center" vertical="center" wrapText="1"/>
    </xf>
    <xf numFmtId="175" fontId="40" fillId="37" borderId="1" xfId="49" applyNumberFormat="1" applyFont="1" applyFill="1" applyBorder="1" applyAlignment="1">
      <alignment horizontal="center" vertical="center" wrapText="1"/>
    </xf>
    <xf numFmtId="175" fontId="40" fillId="37" borderId="11" xfId="49" applyNumberFormat="1" applyFont="1" applyFill="1" applyBorder="1" applyAlignment="1">
      <alignment horizontal="center" vertical="center" wrapText="1"/>
    </xf>
    <xf numFmtId="175" fontId="40" fillId="37" borderId="41" xfId="49" applyNumberFormat="1" applyFont="1" applyFill="1" applyBorder="1" applyAlignment="1">
      <alignment horizontal="center" vertical="center" wrapText="1"/>
    </xf>
    <xf numFmtId="169" fontId="40" fillId="37" borderId="11" xfId="49" applyNumberFormat="1" applyFont="1" applyFill="1" applyBorder="1" applyAlignment="1">
      <alignment horizontal="center" vertical="center" wrapText="1"/>
    </xf>
    <xf numFmtId="169" fontId="40" fillId="37" borderId="41" xfId="49" applyNumberFormat="1" applyFont="1" applyFill="1" applyBorder="1" applyAlignment="1">
      <alignment horizontal="center" vertical="center" wrapText="1"/>
    </xf>
    <xf numFmtId="171" fontId="40" fillId="37" borderId="1" xfId="49" applyNumberFormat="1" applyFont="1" applyFill="1" applyBorder="1" applyAlignment="1">
      <alignment horizontal="center" vertical="center" wrapText="1"/>
    </xf>
    <xf numFmtId="171" fontId="40" fillId="37" borderId="60" xfId="49" applyNumberFormat="1" applyFont="1" applyFill="1" applyBorder="1" applyAlignment="1">
      <alignment horizontal="center" vertical="center" wrapText="1"/>
    </xf>
    <xf numFmtId="0" fontId="40" fillId="37" borderId="45" xfId="49" applyFont="1" applyFill="1" applyBorder="1" applyAlignment="1">
      <alignment horizontal="center" vertical="center" wrapText="1"/>
    </xf>
    <xf numFmtId="0" fontId="41" fillId="37" borderId="66" xfId="49" applyFont="1" applyFill="1" applyBorder="1" applyAlignment="1">
      <alignment vertical="center"/>
    </xf>
    <xf numFmtId="0" fontId="41" fillId="37" borderId="47" xfId="49" applyFont="1" applyFill="1" applyBorder="1" applyAlignment="1">
      <alignment vertical="center"/>
    </xf>
    <xf numFmtId="0" fontId="40" fillId="37" borderId="46" xfId="49" applyFont="1" applyFill="1" applyBorder="1" applyAlignment="1">
      <alignment horizontal="center" vertical="center" wrapText="1"/>
    </xf>
    <xf numFmtId="0" fontId="41" fillId="37" borderId="68" xfId="49" applyFont="1" applyFill="1" applyBorder="1" applyAlignment="1">
      <alignment vertical="center"/>
    </xf>
    <xf numFmtId="0" fontId="41" fillId="37" borderId="48" xfId="49" applyFont="1" applyFill="1" applyBorder="1" applyAlignment="1">
      <alignment vertical="center"/>
    </xf>
    <xf numFmtId="2" fontId="40" fillId="0" borderId="49" xfId="83" applyNumberFormat="1" applyFont="1" applyBorder="1" applyAlignment="1">
      <alignment horizontal="center" vertical="center" textRotation="90" wrapText="1"/>
    </xf>
    <xf numFmtId="2" fontId="40" fillId="0" borderId="52" xfId="83" applyNumberFormat="1" applyFont="1" applyBorder="1" applyAlignment="1">
      <alignment horizontal="center" vertical="center" textRotation="90" wrapText="1"/>
    </xf>
    <xf numFmtId="2" fontId="40" fillId="0" borderId="56" xfId="83" applyNumberFormat="1" applyFont="1" applyBorder="1" applyAlignment="1">
      <alignment horizontal="center" vertical="center" textRotation="90" wrapText="1"/>
    </xf>
    <xf numFmtId="0" fontId="40" fillId="37" borderId="27" xfId="49" applyFont="1" applyFill="1" applyBorder="1" applyAlignment="1">
      <alignment horizontal="center" vertical="center" wrapText="1"/>
    </xf>
    <xf numFmtId="0" fontId="40" fillId="37" borderId="16" xfId="49" applyFont="1" applyFill="1" applyBorder="1" applyAlignment="1">
      <alignment horizontal="center" vertical="center" wrapText="1"/>
    </xf>
    <xf numFmtId="0" fontId="40" fillId="37" borderId="25" xfId="49" applyFont="1" applyFill="1" applyBorder="1" applyAlignment="1">
      <alignment horizontal="center" vertical="center" wrapText="1"/>
    </xf>
    <xf numFmtId="0" fontId="40" fillId="37" borderId="6" xfId="49" applyFont="1" applyFill="1" applyBorder="1" applyAlignment="1">
      <alignment horizontal="center" vertical="center" wrapText="1"/>
    </xf>
    <xf numFmtId="171" fontId="40" fillId="37" borderId="8" xfId="49" applyNumberFormat="1" applyFont="1" applyFill="1" applyBorder="1" applyAlignment="1">
      <alignment horizontal="center" vertical="center" wrapText="1"/>
    </xf>
    <xf numFmtId="169" fontId="40" fillId="22" borderId="154" xfId="49" applyNumberFormat="1" applyFont="1" applyFill="1" applyBorder="1" applyAlignment="1">
      <alignment horizontal="center" vertical="center" wrapText="1"/>
    </xf>
    <xf numFmtId="0" fontId="40" fillId="22" borderId="162" xfId="49" applyFont="1" applyFill="1" applyBorder="1" applyAlignment="1">
      <alignment horizontal="center" vertical="center" wrapText="1"/>
    </xf>
    <xf numFmtId="0" fontId="40" fillId="22" borderId="163" xfId="49" applyFont="1" applyFill="1" applyBorder="1" applyAlignment="1">
      <alignment horizontal="center" vertical="center" wrapText="1"/>
    </xf>
    <xf numFmtId="169" fontId="40" fillId="37" borderId="8" xfId="49" applyNumberFormat="1" applyFont="1" applyFill="1" applyBorder="1" applyAlignment="1">
      <alignment horizontal="center" vertical="center" wrapText="1"/>
    </xf>
    <xf numFmtId="169" fontId="40" fillId="37" borderId="3" xfId="49" applyNumberFormat="1" applyFont="1" applyFill="1" applyBorder="1" applyAlignment="1">
      <alignment horizontal="center" vertical="center" wrapText="1"/>
    </xf>
    <xf numFmtId="0" fontId="38" fillId="26" borderId="54" xfId="0" applyFont="1" applyFill="1" applyBorder="1" applyAlignment="1">
      <alignment horizontal="center" vertical="center" wrapText="1"/>
    </xf>
    <xf numFmtId="0" fontId="38" fillId="26" borderId="49" xfId="0" applyFont="1" applyFill="1" applyBorder="1" applyAlignment="1">
      <alignment horizontal="center" vertical="center" wrapText="1"/>
    </xf>
    <xf numFmtId="0" fontId="38" fillId="0" borderId="75" xfId="32" applyFont="1" applyBorder="1" applyAlignment="1">
      <alignment horizontal="right" vertical="center" wrapText="1"/>
    </xf>
    <xf numFmtId="0" fontId="38" fillId="0" borderId="73" xfId="32" applyFont="1" applyBorder="1" applyAlignment="1">
      <alignment horizontal="right" vertical="center" wrapText="1"/>
    </xf>
    <xf numFmtId="0" fontId="38" fillId="0" borderId="52" xfId="32" applyFont="1" applyBorder="1" applyAlignment="1">
      <alignment horizontal="right" vertical="center" wrapText="1"/>
    </xf>
    <xf numFmtId="0" fontId="38" fillId="0" borderId="7" xfId="32" applyFont="1" applyBorder="1" applyAlignment="1">
      <alignment horizontal="right" vertical="center" wrapText="1"/>
    </xf>
    <xf numFmtId="0" fontId="101" fillId="0" borderId="52" xfId="0" applyFont="1" applyBorder="1" applyAlignment="1">
      <alignment horizontal="right" vertical="center" wrapText="1"/>
    </xf>
    <xf numFmtId="0" fontId="101" fillId="0" borderId="7" xfId="0" applyFont="1" applyBorder="1" applyAlignment="1">
      <alignment horizontal="right" vertical="center" wrapText="1"/>
    </xf>
    <xf numFmtId="0" fontId="38" fillId="0" borderId="30" xfId="32" applyFont="1" applyBorder="1" applyAlignment="1">
      <alignment horizontal="right" vertical="center" wrapText="1"/>
    </xf>
    <xf numFmtId="0" fontId="38" fillId="0" borderId="79" xfId="32" applyFont="1" applyBorder="1" applyAlignment="1">
      <alignment horizontal="right" vertical="center" wrapText="1"/>
    </xf>
    <xf numFmtId="0" fontId="12" fillId="28" borderId="24" xfId="83" applyFont="1" applyFill="1" applyBorder="1" applyAlignment="1" applyProtection="1">
      <alignment horizontal="center" vertical="center"/>
      <protection locked="0"/>
    </xf>
    <xf numFmtId="0" fontId="12" fillId="28" borderId="23" xfId="83" applyFont="1" applyFill="1" applyBorder="1" applyAlignment="1" applyProtection="1">
      <alignment horizontal="center" vertical="center"/>
      <protection locked="0"/>
    </xf>
    <xf numFmtId="0" fontId="12" fillId="28" borderId="24" xfId="83" applyFont="1" applyFill="1" applyBorder="1" applyAlignment="1" applyProtection="1">
      <alignment horizontal="center" vertical="center" wrapText="1"/>
      <protection locked="0"/>
    </xf>
    <xf numFmtId="0" fontId="12" fillId="0" borderId="52" xfId="49" applyFont="1" applyBorder="1" applyAlignment="1">
      <alignment horizontal="right" vertical="center"/>
    </xf>
    <xf numFmtId="0" fontId="12" fillId="0" borderId="7" xfId="49" applyFont="1" applyBorder="1" applyAlignment="1">
      <alignment horizontal="right" vertical="center"/>
    </xf>
    <xf numFmtId="14" fontId="12" fillId="28" borderId="24" xfId="83" applyNumberFormat="1" applyFont="1" applyFill="1" applyBorder="1" applyAlignment="1" applyProtection="1">
      <alignment horizontal="center" vertical="center"/>
      <protection locked="0"/>
    </xf>
    <xf numFmtId="14" fontId="12" fillId="28" borderId="23" xfId="83" applyNumberFormat="1" applyFont="1" applyFill="1" applyBorder="1" applyAlignment="1" applyProtection="1">
      <alignment horizontal="center" vertical="center"/>
      <protection locked="0"/>
    </xf>
    <xf numFmtId="0" fontId="38" fillId="26" borderId="52" xfId="0" applyFont="1" applyFill="1" applyBorder="1" applyAlignment="1">
      <alignment horizontal="center" vertical="center" wrapText="1"/>
    </xf>
    <xf numFmtId="0" fontId="12" fillId="37" borderId="1" xfId="0" applyFont="1" applyFill="1" applyBorder="1" applyAlignment="1">
      <alignment horizontal="center" vertical="center"/>
    </xf>
    <xf numFmtId="0" fontId="12" fillId="37" borderId="3" xfId="0" applyFont="1" applyFill="1" applyBorder="1" applyAlignment="1">
      <alignment horizontal="center" vertical="center"/>
    </xf>
    <xf numFmtId="0" fontId="12" fillId="37" borderId="29" xfId="0" applyFont="1" applyFill="1" applyBorder="1" applyAlignment="1">
      <alignment horizontal="center" vertical="center"/>
    </xf>
    <xf numFmtId="0" fontId="12" fillId="37" borderId="14" xfId="0" applyFont="1" applyFill="1" applyBorder="1" applyAlignment="1">
      <alignment horizontal="center" vertical="center"/>
    </xf>
    <xf numFmtId="0" fontId="41" fillId="28" borderId="24" xfId="83" applyFont="1" applyFill="1" applyBorder="1" applyAlignment="1" applyProtection="1">
      <alignment horizontal="center" vertical="center" wrapText="1"/>
      <protection locked="0"/>
    </xf>
    <xf numFmtId="0" fontId="41" fillId="28" borderId="23" xfId="83" applyFont="1" applyFill="1" applyBorder="1" applyAlignment="1" applyProtection="1">
      <alignment horizontal="center" vertical="center" wrapText="1"/>
      <protection locked="0"/>
    </xf>
    <xf numFmtId="0" fontId="41" fillId="28" borderId="15" xfId="83" applyFont="1" applyFill="1" applyBorder="1" applyAlignment="1" applyProtection="1">
      <alignment horizontal="center" vertical="center" wrapText="1"/>
      <protection locked="0"/>
    </xf>
    <xf numFmtId="3" fontId="12" fillId="37" borderId="29" xfId="0" applyNumberFormat="1" applyFont="1" applyFill="1" applyBorder="1" applyAlignment="1">
      <alignment horizontal="center" vertical="center"/>
    </xf>
    <xf numFmtId="3" fontId="12" fillId="37" borderId="22" xfId="0" applyNumberFormat="1" applyFont="1" applyFill="1" applyBorder="1" applyAlignment="1">
      <alignment horizontal="center" vertical="center"/>
    </xf>
    <xf numFmtId="0" fontId="12" fillId="28" borderId="30" xfId="83" applyFont="1" applyFill="1" applyBorder="1" applyAlignment="1" applyProtection="1">
      <alignment horizontal="center" vertical="center"/>
      <protection locked="0"/>
    </xf>
    <xf numFmtId="0" fontId="12" fillId="28" borderId="28" xfId="83" applyFont="1" applyFill="1" applyBorder="1" applyAlignment="1" applyProtection="1">
      <alignment horizontal="center" vertical="center"/>
      <protection locked="0"/>
    </xf>
    <xf numFmtId="0" fontId="12" fillId="0" borderId="52" xfId="49" applyFont="1" applyBorder="1" applyAlignment="1">
      <alignment horizontal="right" vertical="center" wrapText="1"/>
    </xf>
    <xf numFmtId="0" fontId="12" fillId="0" borderId="7" xfId="49" applyFont="1" applyBorder="1" applyAlignment="1">
      <alignment horizontal="right" vertical="center" wrapText="1"/>
    </xf>
    <xf numFmtId="0" fontId="12" fillId="0" borderId="56" xfId="49" applyFont="1" applyBorder="1" applyAlignment="1">
      <alignment horizontal="right" vertical="center" wrapText="1"/>
    </xf>
    <xf numFmtId="0" fontId="12" fillId="0" borderId="77" xfId="49" applyFont="1" applyBorder="1" applyAlignment="1">
      <alignment horizontal="right" vertical="center" wrapText="1"/>
    </xf>
    <xf numFmtId="0" fontId="38" fillId="0" borderId="36" xfId="32" applyFont="1" applyBorder="1" applyAlignment="1">
      <alignment horizontal="right" vertical="center" wrapText="1"/>
    </xf>
    <xf numFmtId="0" fontId="38" fillId="0" borderId="69" xfId="32" applyFont="1" applyBorder="1" applyAlignment="1">
      <alignment horizontal="right" vertical="center" wrapText="1"/>
    </xf>
    <xf numFmtId="0" fontId="67" fillId="0" borderId="25" xfId="32" applyFont="1" applyBorder="1" applyAlignment="1">
      <alignment horizontal="right" vertical="center" wrapText="1"/>
    </xf>
    <xf numFmtId="0" fontId="67" fillId="0" borderId="44" xfId="32" applyFont="1" applyBorder="1" applyAlignment="1">
      <alignment horizontal="right" vertical="center" wrapText="1"/>
    </xf>
    <xf numFmtId="0" fontId="38" fillId="0" borderId="52" xfId="0" applyFont="1" applyBorder="1" applyAlignment="1">
      <alignment horizontal="right" vertical="center" wrapText="1"/>
    </xf>
    <xf numFmtId="0" fontId="38" fillId="0" borderId="7" xfId="0" applyFont="1" applyBorder="1" applyAlignment="1">
      <alignment horizontal="right" vertical="center" wrapText="1"/>
    </xf>
    <xf numFmtId="0" fontId="43" fillId="0" borderId="52" xfId="0" applyFont="1" applyBorder="1" applyAlignment="1">
      <alignment horizontal="right"/>
    </xf>
    <xf numFmtId="0" fontId="43" fillId="0" borderId="7" xfId="0" applyFont="1" applyBorder="1" applyAlignment="1">
      <alignment horizontal="right"/>
    </xf>
    <xf numFmtId="14" fontId="12" fillId="28" borderId="24" xfId="83" applyNumberFormat="1" applyFont="1" applyFill="1" applyBorder="1" applyAlignment="1" applyProtection="1">
      <alignment horizontal="center" vertical="center" wrapText="1"/>
      <protection locked="0"/>
    </xf>
    <xf numFmtId="14" fontId="12" fillId="28" borderId="23" xfId="83" applyNumberFormat="1" applyFont="1" applyFill="1" applyBorder="1" applyAlignment="1" applyProtection="1">
      <alignment horizontal="center" vertical="center" wrapText="1"/>
      <protection locked="0"/>
    </xf>
    <xf numFmtId="0" fontId="15" fillId="26" borderId="0" xfId="83" applyFont="1" applyFill="1" applyAlignment="1">
      <alignment horizontal="center" vertical="center" wrapText="1"/>
    </xf>
    <xf numFmtId="0" fontId="15" fillId="26" borderId="0" xfId="49" applyFont="1" applyFill="1" applyAlignment="1">
      <alignment horizontal="center"/>
    </xf>
    <xf numFmtId="0" fontId="12" fillId="37" borderId="22" xfId="0" applyFont="1" applyFill="1" applyBorder="1" applyAlignment="1">
      <alignment horizontal="center" vertical="center"/>
    </xf>
    <xf numFmtId="0" fontId="12" fillId="0" borderId="154" xfId="83" applyFont="1" applyBorder="1" applyAlignment="1">
      <alignment horizontal="center" vertical="center"/>
    </xf>
    <xf numFmtId="49" fontId="21" fillId="22" borderId="162" xfId="83" applyNumberFormat="1" applyFont="1" applyFill="1" applyBorder="1" applyAlignment="1">
      <alignment horizontal="left" vertical="center" wrapText="1"/>
    </xf>
    <xf numFmtId="0" fontId="21" fillId="22" borderId="163" xfId="83" applyFont="1" applyFill="1" applyBorder="1" applyAlignment="1">
      <alignment horizontal="left" vertical="center" wrapText="1"/>
    </xf>
    <xf numFmtId="0" fontId="21" fillId="22" borderId="164" xfId="83" applyFont="1" applyFill="1" applyBorder="1" applyAlignment="1">
      <alignment horizontal="left" vertical="center" wrapText="1"/>
    </xf>
    <xf numFmtId="0" fontId="40" fillId="22" borderId="154" xfId="0" applyFont="1" applyFill="1" applyBorder="1" applyAlignment="1">
      <alignment horizontal="center" vertical="center"/>
    </xf>
    <xf numFmtId="0" fontId="40" fillId="22" borderId="156" xfId="0" applyFont="1" applyFill="1" applyBorder="1" applyAlignment="1">
      <alignment horizontal="center" vertical="center"/>
    </xf>
    <xf numFmtId="0" fontId="40" fillId="37" borderId="35" xfId="0" applyFont="1" applyFill="1" applyBorder="1" applyAlignment="1">
      <alignment horizontal="center" vertical="center"/>
    </xf>
    <xf numFmtId="0" fontId="40" fillId="37" borderId="34" xfId="0" applyFont="1" applyFill="1" applyBorder="1" applyAlignment="1">
      <alignment horizontal="center" vertical="center"/>
    </xf>
    <xf numFmtId="0" fontId="40" fillId="37" borderId="1" xfId="0" applyFont="1" applyFill="1" applyBorder="1" applyAlignment="1">
      <alignment horizontal="center" vertical="center"/>
    </xf>
    <xf numFmtId="0" fontId="40" fillId="37" borderId="8" xfId="0" applyFont="1" applyFill="1" applyBorder="1" applyAlignment="1">
      <alignment horizontal="center" vertical="center"/>
    </xf>
    <xf numFmtId="0" fontId="40" fillId="37" borderId="3" xfId="0" applyFont="1" applyFill="1" applyBorder="1" applyAlignment="1">
      <alignment horizontal="center" vertical="center"/>
    </xf>
    <xf numFmtId="0" fontId="43" fillId="0" borderId="0" xfId="0" applyFont="1" applyAlignment="1">
      <alignment horizontal="left"/>
    </xf>
    <xf numFmtId="0" fontId="21" fillId="27" borderId="0" xfId="0" applyFont="1" applyFill="1" applyAlignment="1">
      <alignment horizontal="left" indent="1"/>
    </xf>
    <xf numFmtId="0" fontId="43" fillId="27" borderId="0" xfId="0" applyFont="1" applyFill="1" applyAlignment="1">
      <alignment horizontal="left"/>
    </xf>
    <xf numFmtId="0" fontId="20" fillId="27" borderId="0" xfId="32" applyFont="1" applyFill="1" applyAlignment="1">
      <alignment horizontal="center"/>
    </xf>
    <xf numFmtId="0" fontId="43" fillId="27" borderId="0" xfId="0" applyFont="1" applyFill="1"/>
    <xf numFmtId="0" fontId="43" fillId="0" borderId="0" xfId="0" applyFont="1"/>
    <xf numFmtId="0" fontId="15" fillId="0" borderId="0" xfId="0" applyFont="1" applyAlignment="1">
      <alignment horizontal="center"/>
    </xf>
    <xf numFmtId="0" fontId="47" fillId="37" borderId="22" xfId="0" applyFont="1" applyFill="1" applyBorder="1" applyAlignment="1">
      <alignment horizontal="center" vertical="center"/>
    </xf>
    <xf numFmtId="0" fontId="47" fillId="37" borderId="14" xfId="0" applyFont="1" applyFill="1" applyBorder="1" applyAlignment="1">
      <alignment horizontal="center" vertical="center"/>
    </xf>
    <xf numFmtId="0" fontId="47" fillId="37" borderId="45" xfId="0" applyFont="1" applyFill="1" applyBorder="1" applyAlignment="1">
      <alignment horizontal="center" vertical="center" wrapText="1"/>
    </xf>
    <xf numFmtId="0" fontId="47" fillId="37" borderId="47" xfId="0" applyFont="1" applyFill="1" applyBorder="1" applyAlignment="1">
      <alignment horizontal="center" vertical="center" wrapText="1"/>
    </xf>
    <xf numFmtId="0" fontId="47" fillId="37" borderId="46" xfId="0" applyFont="1" applyFill="1" applyBorder="1" applyAlignment="1">
      <alignment horizontal="center" vertical="center"/>
    </xf>
    <xf numFmtId="0" fontId="47" fillId="37" borderId="48" xfId="0" applyFont="1" applyFill="1" applyBorder="1" applyAlignment="1">
      <alignment horizontal="center" vertical="center"/>
    </xf>
    <xf numFmtId="0" fontId="47" fillId="37" borderId="35" xfId="0" applyFont="1" applyFill="1" applyBorder="1" applyAlignment="1">
      <alignment horizontal="center" vertical="center" wrapText="1"/>
    </xf>
    <xf numFmtId="0" fontId="47" fillId="37" borderId="34" xfId="0" applyFont="1" applyFill="1" applyBorder="1" applyAlignment="1">
      <alignment horizontal="center" vertical="center" wrapText="1"/>
    </xf>
    <xf numFmtId="0" fontId="19" fillId="0" borderId="0" xfId="0" applyFont="1" applyAlignment="1">
      <alignment horizontal="center"/>
    </xf>
    <xf numFmtId="0" fontId="47" fillId="37" borderId="40" xfId="0" applyFont="1" applyFill="1" applyBorder="1" applyAlignment="1">
      <alignment horizontal="center" vertical="center" wrapText="1"/>
    </xf>
    <xf numFmtId="0" fontId="47" fillId="37" borderId="42" xfId="0" applyFont="1" applyFill="1" applyBorder="1" applyAlignment="1">
      <alignment horizontal="center" vertical="center" wrapText="1"/>
    </xf>
    <xf numFmtId="0" fontId="43" fillId="27" borderId="0" xfId="0" applyFont="1" applyFill="1" applyAlignment="1">
      <alignment horizontal="left" vertical="center" wrapText="1"/>
    </xf>
    <xf numFmtId="0" fontId="20" fillId="0" borderId="0" xfId="0" applyFont="1" applyAlignment="1">
      <alignment horizontal="center"/>
    </xf>
    <xf numFmtId="0" fontId="47" fillId="37" borderId="26" xfId="0" applyFont="1" applyFill="1" applyBorder="1" applyAlignment="1">
      <alignment horizontal="center" vertical="center" wrapText="1"/>
    </xf>
    <xf numFmtId="0" fontId="40" fillId="37" borderId="75" xfId="0" applyFont="1" applyFill="1" applyBorder="1" applyAlignment="1">
      <alignment horizontal="center" vertical="center"/>
    </xf>
    <xf numFmtId="0" fontId="40" fillId="37" borderId="54" xfId="0" applyFont="1" applyFill="1" applyBorder="1" applyAlignment="1">
      <alignment horizontal="center" vertical="center"/>
    </xf>
    <xf numFmtId="0" fontId="40" fillId="37" borderId="73" xfId="0" applyFont="1" applyFill="1" applyBorder="1" applyAlignment="1">
      <alignment horizontal="center" vertical="center"/>
    </xf>
    <xf numFmtId="0" fontId="40" fillId="37" borderId="63" xfId="0" applyFont="1" applyFill="1" applyBorder="1" applyAlignment="1">
      <alignment horizontal="center" vertical="center"/>
    </xf>
    <xf numFmtId="0" fontId="40" fillId="37" borderId="56" xfId="0" applyFont="1" applyFill="1" applyBorder="1" applyAlignment="1">
      <alignment horizontal="center" vertical="center"/>
    </xf>
    <xf numFmtId="0" fontId="40" fillId="37" borderId="74" xfId="0" applyFont="1" applyFill="1" applyBorder="1" applyAlignment="1">
      <alignment horizontal="center" vertical="center"/>
    </xf>
    <xf numFmtId="0" fontId="40" fillId="37" borderId="78" xfId="0" applyFont="1" applyFill="1" applyBorder="1" applyAlignment="1">
      <alignment horizontal="center" vertical="center"/>
    </xf>
    <xf numFmtId="0" fontId="47" fillId="37" borderId="51" xfId="0" applyFont="1" applyFill="1" applyBorder="1" applyAlignment="1">
      <alignment horizontal="center" vertical="center" wrapText="1"/>
    </xf>
    <xf numFmtId="0" fontId="47" fillId="37" borderId="21" xfId="0" applyFont="1" applyFill="1" applyBorder="1" applyAlignment="1">
      <alignment horizontal="center" vertical="center" wrapText="1"/>
    </xf>
    <xf numFmtId="0" fontId="47" fillId="37" borderId="72" xfId="0" applyFont="1" applyFill="1" applyBorder="1" applyAlignment="1">
      <alignment horizontal="center" vertical="center"/>
    </xf>
    <xf numFmtId="0" fontId="47" fillId="37" borderId="73" xfId="0" applyFont="1" applyFill="1" applyBorder="1" applyAlignment="1">
      <alignment horizontal="center" vertical="center"/>
    </xf>
    <xf numFmtId="0" fontId="47" fillId="37" borderId="76" xfId="0" applyFont="1" applyFill="1" applyBorder="1" applyAlignment="1">
      <alignment horizontal="center" vertical="center"/>
    </xf>
    <xf numFmtId="0" fontId="47" fillId="37" borderId="29" xfId="0" applyFont="1" applyFill="1" applyBorder="1" applyAlignment="1">
      <alignment horizontal="center" vertical="center"/>
    </xf>
    <xf numFmtId="0" fontId="47" fillId="22" borderId="154" xfId="0" applyFont="1" applyFill="1" applyBorder="1" applyAlignment="1">
      <alignment horizontal="center" vertical="center" wrapText="1"/>
    </xf>
    <xf numFmtId="0" fontId="47" fillId="22" borderId="154" xfId="0" applyFont="1" applyFill="1" applyBorder="1" applyAlignment="1">
      <alignment horizontal="center" vertical="center"/>
    </xf>
    <xf numFmtId="1" fontId="47" fillId="38" borderId="11" xfId="21" applyFont="1" applyFill="1" applyBorder="1">
      <alignment horizontal="center" vertical="center" wrapText="1"/>
    </xf>
    <xf numFmtId="1" fontId="47" fillId="38" borderId="0" xfId="21" applyFont="1" applyFill="1">
      <alignment horizontal="center" vertical="center" wrapText="1"/>
    </xf>
    <xf numFmtId="1" fontId="47" fillId="38" borderId="20" xfId="21" applyFont="1" applyFill="1" applyBorder="1">
      <alignment horizontal="center" vertical="center" wrapText="1"/>
    </xf>
    <xf numFmtId="0" fontId="47" fillId="37" borderId="29" xfId="32" applyFont="1" applyFill="1" applyBorder="1" applyAlignment="1">
      <alignment horizontal="center" vertical="center"/>
    </xf>
    <xf numFmtId="0" fontId="47" fillId="37" borderId="22" xfId="32" applyFont="1" applyFill="1" applyBorder="1" applyAlignment="1">
      <alignment horizontal="center" vertical="center"/>
    </xf>
    <xf numFmtId="0" fontId="47" fillId="37" borderId="14" xfId="32" applyFont="1" applyFill="1" applyBorder="1" applyAlignment="1">
      <alignment horizontal="center" vertical="center"/>
    </xf>
    <xf numFmtId="1" fontId="47" fillId="38" borderId="45" xfId="21" applyFont="1" applyFill="1" applyBorder="1">
      <alignment horizontal="center" vertical="center" wrapText="1"/>
    </xf>
    <xf numFmtId="1" fontId="47" fillId="38" borderId="47" xfId="21" applyFont="1" applyFill="1" applyBorder="1">
      <alignment horizontal="center" vertical="center" wrapText="1"/>
    </xf>
    <xf numFmtId="1" fontId="47" fillId="38" borderId="59" xfId="21" applyFont="1" applyFill="1" applyBorder="1">
      <alignment horizontal="center" vertical="center" wrapText="1"/>
    </xf>
    <xf numFmtId="1" fontId="47" fillId="38" borderId="101" xfId="21" applyFont="1" applyFill="1" applyBorder="1">
      <alignment horizontal="center" vertical="center" wrapText="1"/>
    </xf>
    <xf numFmtId="0" fontId="47" fillId="37" borderId="154" xfId="32" applyFont="1" applyFill="1" applyBorder="1" applyAlignment="1">
      <alignment horizontal="center" vertical="center"/>
    </xf>
    <xf numFmtId="0" fontId="77" fillId="0" borderId="0" xfId="32" applyFont="1" applyAlignment="1">
      <alignment horizontal="center" vertical="center"/>
    </xf>
    <xf numFmtId="0" fontId="82" fillId="0" borderId="0" xfId="32" applyFont="1" applyAlignment="1">
      <alignment horizontal="center" vertical="center" wrapText="1"/>
    </xf>
    <xf numFmtId="0" fontId="47" fillId="37" borderId="1" xfId="32" applyFont="1" applyFill="1" applyBorder="1" applyAlignment="1">
      <alignment horizontal="center" vertical="center"/>
    </xf>
    <xf numFmtId="0" fontId="47" fillId="37" borderId="8" xfId="32" applyFont="1" applyFill="1" applyBorder="1" applyAlignment="1">
      <alignment horizontal="center" vertical="center"/>
    </xf>
    <xf numFmtId="0" fontId="47" fillId="37" borderId="3" xfId="32" applyFont="1" applyFill="1" applyBorder="1" applyAlignment="1">
      <alignment horizontal="center" vertical="center"/>
    </xf>
    <xf numFmtId="1" fontId="47" fillId="38" borderId="66" xfId="21" applyFont="1" applyFill="1" applyBorder="1">
      <alignment horizontal="center" vertical="center" wrapText="1"/>
    </xf>
    <xf numFmtId="0" fontId="43" fillId="26" borderId="0" xfId="0" applyFont="1" applyFill="1" applyAlignment="1">
      <alignment horizontal="left" wrapText="1"/>
    </xf>
    <xf numFmtId="0" fontId="19" fillId="0" borderId="0" xfId="0" applyFont="1" applyAlignment="1">
      <alignment horizontal="center" vertical="center" wrapText="1"/>
    </xf>
    <xf numFmtId="0" fontId="15" fillId="0" borderId="0" xfId="0" applyFont="1" applyAlignment="1">
      <alignment horizontal="center" vertical="center"/>
    </xf>
    <xf numFmtId="0" fontId="15" fillId="20" borderId="0" xfId="0" applyFont="1" applyFill="1" applyAlignment="1">
      <alignment horizontal="center" vertical="center"/>
    </xf>
    <xf numFmtId="0" fontId="43" fillId="27" borderId="0" xfId="0" applyFont="1" applyFill="1" applyAlignment="1">
      <alignment vertical="center"/>
    </xf>
    <xf numFmtId="0" fontId="15" fillId="0" borderId="0" xfId="40" applyFont="1" applyAlignment="1">
      <alignment horizontal="center" vertical="center"/>
    </xf>
    <xf numFmtId="0" fontId="15" fillId="20" borderId="0" xfId="40" applyFont="1" applyFill="1" applyAlignment="1">
      <alignment horizontal="center" vertical="center"/>
    </xf>
    <xf numFmtId="169" fontId="82" fillId="28" borderId="60" xfId="49" applyNumberFormat="1" applyFont="1" applyFill="1" applyBorder="1" applyAlignment="1" applyProtection="1">
      <alignment horizontal="center" vertical="center" wrapText="1"/>
      <protection locked="0"/>
    </xf>
    <xf numFmtId="169" fontId="82" fillId="28" borderId="8" xfId="49" applyNumberFormat="1" applyFont="1" applyFill="1" applyBorder="1" applyAlignment="1" applyProtection="1">
      <alignment horizontal="center" vertical="center" wrapText="1"/>
      <protection locked="0"/>
    </xf>
    <xf numFmtId="169" fontId="82" fillId="28" borderId="3" xfId="49" applyNumberFormat="1" applyFont="1" applyFill="1" applyBorder="1" applyAlignment="1" applyProtection="1">
      <alignment horizontal="center" vertical="center" wrapText="1"/>
      <protection locked="0"/>
    </xf>
    <xf numFmtId="0" fontId="21" fillId="27" borderId="0" xfId="49" applyFont="1" applyFill="1" applyAlignment="1">
      <alignment horizontal="left" vertical="center" wrapText="1"/>
    </xf>
    <xf numFmtId="0" fontId="19" fillId="0" borderId="0" xfId="0" applyFont="1" applyAlignment="1">
      <alignment horizontal="center" vertical="center"/>
    </xf>
    <xf numFmtId="0" fontId="144" fillId="47" borderId="62" xfId="0" applyFont="1" applyFill="1" applyBorder="1" applyAlignment="1">
      <alignment horizontal="center" vertical="center"/>
    </xf>
    <xf numFmtId="0" fontId="144" fillId="47" borderId="23" xfId="0" applyFont="1" applyFill="1" applyBorder="1" applyAlignment="1">
      <alignment horizontal="center" vertical="center"/>
    </xf>
    <xf numFmtId="0" fontId="144" fillId="47" borderId="32" xfId="0" applyFont="1" applyFill="1" applyBorder="1" applyAlignment="1">
      <alignment horizontal="center" vertical="center"/>
    </xf>
    <xf numFmtId="0" fontId="55" fillId="20" borderId="7" xfId="32" applyFont="1" applyFill="1" applyBorder="1" applyAlignment="1">
      <alignment horizontal="center" vertical="center" wrapText="1"/>
    </xf>
    <xf numFmtId="0" fontId="144" fillId="47" borderId="7" xfId="0" applyFont="1" applyFill="1" applyBorder="1" applyAlignment="1">
      <alignment horizontal="center" vertical="center" wrapText="1"/>
    </xf>
    <xf numFmtId="0" fontId="144" fillId="47" borderId="23" xfId="0" applyFont="1" applyFill="1" applyBorder="1" applyAlignment="1">
      <alignment horizontal="center" vertical="center" wrapText="1"/>
    </xf>
    <xf numFmtId="0" fontId="144" fillId="47" borderId="32" xfId="0" applyFont="1" applyFill="1" applyBorder="1" applyAlignment="1">
      <alignment horizontal="center" vertical="center" wrapText="1"/>
    </xf>
    <xf numFmtId="0" fontId="144" fillId="47" borderId="64" xfId="0" applyFont="1" applyFill="1" applyBorder="1" applyAlignment="1">
      <alignment horizontal="center" vertical="center" wrapText="1"/>
    </xf>
    <xf numFmtId="0" fontId="144" fillId="47" borderId="37" xfId="0" applyFont="1" applyFill="1" applyBorder="1" applyAlignment="1">
      <alignment horizontal="center" vertical="center" wrapText="1"/>
    </xf>
    <xf numFmtId="0" fontId="144" fillId="47" borderId="69" xfId="0" applyFont="1" applyFill="1" applyBorder="1" applyAlignment="1">
      <alignment horizontal="center" vertical="center" wrapText="1"/>
    </xf>
    <xf numFmtId="0" fontId="144" fillId="37" borderId="63" xfId="52" applyFont="1" applyFill="1" applyBorder="1" applyAlignment="1">
      <alignment horizontal="center" vertical="center"/>
    </xf>
    <xf numFmtId="0" fontId="144" fillId="37" borderId="31" xfId="52" applyFont="1" applyFill="1" applyBorder="1" applyAlignment="1">
      <alignment horizontal="center" vertical="center"/>
    </xf>
    <xf numFmtId="0" fontId="144" fillId="37" borderId="63" xfId="52" applyFont="1" applyFill="1" applyBorder="1" applyAlignment="1">
      <alignment horizontal="center" vertical="center" wrapText="1"/>
    </xf>
    <xf numFmtId="0" fontId="144" fillId="37" borderId="7" xfId="56" applyFont="1" applyFill="1" applyBorder="1" applyAlignment="1">
      <alignment horizontal="center" vertical="center"/>
    </xf>
    <xf numFmtId="0" fontId="144" fillId="26" borderId="62" xfId="52" applyFont="1" applyFill="1" applyBorder="1" applyAlignment="1">
      <alignment horizontal="center" vertical="center"/>
    </xf>
    <xf numFmtId="0" fontId="144" fillId="26" borderId="23" xfId="52" applyFont="1" applyFill="1" applyBorder="1" applyAlignment="1">
      <alignment horizontal="center" vertical="center"/>
    </xf>
    <xf numFmtId="0" fontId="144" fillId="26" borderId="32" xfId="52" applyFont="1" applyFill="1" applyBorder="1" applyAlignment="1">
      <alignment horizontal="center" vertical="center"/>
    </xf>
    <xf numFmtId="0" fontId="144" fillId="20" borderId="63" xfId="52" applyFont="1" applyFill="1" applyBorder="1" applyAlignment="1">
      <alignment horizontal="left" vertical="center" wrapText="1"/>
    </xf>
    <xf numFmtId="0" fontId="144" fillId="20" borderId="31" xfId="52" applyFont="1" applyFill="1" applyBorder="1" applyAlignment="1">
      <alignment horizontal="left" vertical="center" wrapText="1"/>
    </xf>
    <xf numFmtId="0" fontId="144" fillId="22" borderId="63" xfId="52" applyFont="1" applyFill="1" applyBorder="1" applyAlignment="1">
      <alignment horizontal="left" vertical="center"/>
    </xf>
    <xf numFmtId="0" fontId="144" fillId="22" borderId="4" xfId="52" applyFont="1" applyFill="1" applyBorder="1" applyAlignment="1">
      <alignment horizontal="left" vertical="center"/>
    </xf>
    <xf numFmtId="0" fontId="144" fillId="22" borderId="31" xfId="52" applyFont="1" applyFill="1" applyBorder="1" applyAlignment="1">
      <alignment horizontal="left" vertical="center"/>
    </xf>
    <xf numFmtId="0" fontId="55" fillId="26" borderId="7" xfId="52" applyFont="1" applyFill="1" applyBorder="1" applyAlignment="1">
      <alignment horizontal="left" vertical="center" wrapText="1"/>
    </xf>
    <xf numFmtId="0" fontId="144" fillId="22" borderId="7" xfId="52" applyFont="1" applyFill="1" applyBorder="1" applyAlignment="1">
      <alignment horizontal="center" vertical="center" wrapText="1"/>
    </xf>
    <xf numFmtId="0" fontId="55" fillId="26" borderId="7" xfId="52" applyFont="1" applyFill="1" applyBorder="1" applyAlignment="1">
      <alignment horizontal="left" vertical="center"/>
    </xf>
    <xf numFmtId="0" fontId="144" fillId="37" borderId="7" xfId="56" applyFont="1" applyFill="1" applyBorder="1" applyAlignment="1">
      <alignment horizontal="center" vertical="center" wrapText="1"/>
    </xf>
    <xf numFmtId="0" fontId="144" fillId="37" borderId="32" xfId="56" applyFont="1" applyFill="1" applyBorder="1" applyAlignment="1">
      <alignment horizontal="center" vertical="center" wrapText="1"/>
    </xf>
    <xf numFmtId="0" fontId="144" fillId="37" borderId="69" xfId="56" applyFont="1" applyFill="1" applyBorder="1" applyAlignment="1">
      <alignment horizontal="center" vertical="center" wrapText="1"/>
    </xf>
    <xf numFmtId="0" fontId="55" fillId="22" borderId="7" xfId="52" applyFont="1" applyFill="1" applyBorder="1" applyAlignment="1">
      <alignment horizontal="left" vertical="center"/>
    </xf>
    <xf numFmtId="0" fontId="55" fillId="20" borderId="7" xfId="52" applyFont="1" applyFill="1" applyBorder="1" applyAlignment="1">
      <alignment horizontal="left" vertical="center" wrapText="1"/>
    </xf>
    <xf numFmtId="0" fontId="144" fillId="37" borderId="7" xfId="0" applyFont="1" applyFill="1" applyBorder="1" applyAlignment="1">
      <alignment horizontal="center" vertical="center" wrapText="1"/>
    </xf>
    <xf numFmtId="0" fontId="47" fillId="37" borderId="7" xfId="0" applyFont="1" applyFill="1" applyBorder="1" applyAlignment="1">
      <alignment horizontal="center" vertical="center"/>
    </xf>
    <xf numFmtId="0" fontId="144" fillId="37" borderId="63" xfId="32" applyFont="1" applyFill="1" applyBorder="1" applyAlignment="1">
      <alignment horizontal="center" vertical="center" wrapText="1"/>
    </xf>
    <xf numFmtId="0" fontId="144" fillId="37" borderId="31" xfId="32" applyFont="1" applyFill="1" applyBorder="1" applyAlignment="1">
      <alignment horizontal="center" vertical="center" wrapText="1"/>
    </xf>
    <xf numFmtId="0" fontId="40" fillId="37" borderId="63" xfId="0" applyFont="1" applyFill="1" applyBorder="1" applyAlignment="1">
      <alignment horizontal="center" vertical="center" wrapText="1"/>
    </xf>
    <xf numFmtId="0" fontId="40" fillId="37" borderId="31" xfId="0" applyFont="1" applyFill="1" applyBorder="1" applyAlignment="1">
      <alignment horizontal="center" vertical="center" wrapText="1"/>
    </xf>
    <xf numFmtId="0" fontId="47" fillId="22" borderId="62" xfId="0" applyFont="1" applyFill="1" applyBorder="1" applyAlignment="1">
      <alignment horizontal="left" vertical="center"/>
    </xf>
    <xf numFmtId="0" fontId="47" fillId="22" borderId="23" xfId="0" applyFont="1" applyFill="1" applyBorder="1" applyAlignment="1">
      <alignment horizontal="left" vertical="center"/>
    </xf>
    <xf numFmtId="0" fontId="47" fillId="22" borderId="32" xfId="0" applyFont="1" applyFill="1" applyBorder="1" applyAlignment="1">
      <alignment horizontal="left" vertical="center"/>
    </xf>
    <xf numFmtId="2" fontId="47" fillId="37" borderId="7" xfId="0" applyNumberFormat="1" applyFont="1" applyFill="1" applyBorder="1" applyAlignment="1">
      <alignment horizontal="center" vertical="center"/>
    </xf>
    <xf numFmtId="2" fontId="144" fillId="37" borderId="63" xfId="32" applyNumberFormat="1" applyFont="1" applyFill="1" applyBorder="1" applyAlignment="1">
      <alignment horizontal="center" vertical="center" wrapText="1"/>
    </xf>
    <xf numFmtId="2" fontId="144" fillId="37" borderId="31" xfId="32" applyNumberFormat="1" applyFont="1" applyFill="1" applyBorder="1" applyAlignment="1">
      <alignment horizontal="center" vertical="center" wrapText="1"/>
    </xf>
    <xf numFmtId="2" fontId="144" fillId="37" borderId="62" xfId="32" applyNumberFormat="1" applyFont="1" applyFill="1" applyBorder="1" applyAlignment="1">
      <alignment horizontal="center" vertical="center" wrapText="1"/>
    </xf>
    <xf numFmtId="2" fontId="144" fillId="37" borderId="23" xfId="32" applyNumberFormat="1" applyFont="1" applyFill="1" applyBorder="1" applyAlignment="1">
      <alignment horizontal="center" vertical="center" wrapText="1"/>
    </xf>
    <xf numFmtId="2" fontId="144" fillId="37" borderId="32" xfId="32" applyNumberFormat="1" applyFont="1" applyFill="1" applyBorder="1" applyAlignment="1">
      <alignment horizontal="center" vertical="center" wrapText="1"/>
    </xf>
    <xf numFmtId="0" fontId="144" fillId="37" borderId="62" xfId="32" applyFont="1" applyFill="1" applyBorder="1" applyAlignment="1">
      <alignment horizontal="center" vertical="center" wrapText="1"/>
    </xf>
    <xf numFmtId="0" fontId="144" fillId="37" borderId="23" xfId="32" applyFont="1" applyFill="1" applyBorder="1" applyAlignment="1">
      <alignment horizontal="center" vertical="center" wrapText="1"/>
    </xf>
    <xf numFmtId="0" fontId="144" fillId="37" borderId="32" xfId="32" applyFont="1" applyFill="1" applyBorder="1" applyAlignment="1">
      <alignment horizontal="center" vertical="center" wrapText="1"/>
    </xf>
    <xf numFmtId="0" fontId="144" fillId="37" borderId="7" xfId="32" applyFont="1" applyFill="1" applyBorder="1" applyAlignment="1">
      <alignment horizontal="center" vertical="center"/>
    </xf>
    <xf numFmtId="1" fontId="159" fillId="38" borderId="7" xfId="21" applyFont="1" applyFill="1" applyBorder="1">
      <alignment horizontal="center" vertical="center" wrapText="1"/>
    </xf>
    <xf numFmtId="3" fontId="159" fillId="37" borderId="7" xfId="32" applyNumberFormat="1" applyFont="1" applyFill="1" applyBorder="1" applyAlignment="1">
      <alignment horizontal="center" vertical="center"/>
    </xf>
    <xf numFmtId="0" fontId="159" fillId="37" borderId="7" xfId="32" applyFont="1" applyFill="1" applyBorder="1" applyAlignment="1">
      <alignment horizontal="center" vertical="center"/>
    </xf>
    <xf numFmtId="0" fontId="47" fillId="37" borderId="63" xfId="0" applyFont="1" applyFill="1" applyBorder="1" applyAlignment="1">
      <alignment horizontal="center" vertical="center"/>
    </xf>
    <xf numFmtId="0" fontId="47" fillId="37" borderId="31" xfId="0" applyFont="1" applyFill="1" applyBorder="1" applyAlignment="1">
      <alignment horizontal="center" vertical="center"/>
    </xf>
    <xf numFmtId="0" fontId="47" fillId="37" borderId="62" xfId="0" applyFont="1" applyFill="1" applyBorder="1" applyAlignment="1">
      <alignment horizontal="center" vertical="center"/>
    </xf>
    <xf numFmtId="0" fontId="47" fillId="37" borderId="23" xfId="0" applyFont="1" applyFill="1" applyBorder="1" applyAlignment="1">
      <alignment horizontal="center" vertical="center"/>
    </xf>
    <xf numFmtId="0" fontId="47" fillId="37" borderId="32" xfId="0" applyFont="1" applyFill="1" applyBorder="1" applyAlignment="1">
      <alignment horizontal="center" vertical="center"/>
    </xf>
    <xf numFmtId="3" fontId="47" fillId="37" borderId="62" xfId="0" applyNumberFormat="1" applyFont="1" applyFill="1" applyBorder="1" applyAlignment="1">
      <alignment horizontal="center" vertical="center"/>
    </xf>
    <xf numFmtId="3" fontId="47" fillId="37" borderId="23" xfId="0" applyNumberFormat="1" applyFont="1" applyFill="1" applyBorder="1" applyAlignment="1">
      <alignment horizontal="center" vertical="center"/>
    </xf>
    <xf numFmtId="3" fontId="47" fillId="37" borderId="32" xfId="0" applyNumberFormat="1" applyFont="1" applyFill="1" applyBorder="1" applyAlignment="1">
      <alignment horizontal="center" vertical="center"/>
    </xf>
    <xf numFmtId="3" fontId="144" fillId="37" borderId="7" xfId="49" applyNumberFormat="1" applyFont="1" applyFill="1" applyBorder="1" applyAlignment="1">
      <alignment horizontal="center" vertical="center" wrapText="1"/>
    </xf>
    <xf numFmtId="3" fontId="144" fillId="37" borderId="63" xfId="49" applyNumberFormat="1" applyFont="1" applyFill="1" applyBorder="1" applyAlignment="1">
      <alignment horizontal="center" vertical="center" wrapText="1"/>
    </xf>
    <xf numFmtId="3" fontId="144" fillId="37" borderId="31" xfId="49" applyNumberFormat="1" applyFont="1" applyFill="1" applyBorder="1" applyAlignment="1">
      <alignment horizontal="center" vertical="center" wrapText="1"/>
    </xf>
    <xf numFmtId="3" fontId="144" fillId="37" borderId="62" xfId="49" applyNumberFormat="1" applyFont="1" applyFill="1" applyBorder="1" applyAlignment="1">
      <alignment horizontal="center" vertical="center" wrapText="1"/>
    </xf>
    <xf numFmtId="3" fontId="144" fillId="37" borderId="23" xfId="49" applyNumberFormat="1" applyFont="1" applyFill="1" applyBorder="1" applyAlignment="1">
      <alignment horizontal="center" vertical="center" wrapText="1"/>
    </xf>
    <xf numFmtId="3" fontId="144" fillId="37" borderId="32" xfId="49" applyNumberFormat="1" applyFont="1" applyFill="1" applyBorder="1" applyAlignment="1">
      <alignment horizontal="center" vertical="center" wrapText="1"/>
    </xf>
    <xf numFmtId="0" fontId="144" fillId="0" borderId="7" xfId="0" applyFont="1" applyBorder="1" applyAlignment="1">
      <alignment horizontal="left" vertical="center"/>
    </xf>
    <xf numFmtId="0" fontId="144" fillId="37" borderId="7" xfId="49" applyFont="1" applyFill="1" applyBorder="1" applyAlignment="1">
      <alignment horizontal="center" vertical="center" wrapText="1"/>
    </xf>
    <xf numFmtId="0" fontId="144" fillId="0" borderId="62" xfId="0" applyFont="1" applyBorder="1" applyAlignment="1">
      <alignment horizontal="left" vertical="center"/>
    </xf>
    <xf numFmtId="0" fontId="144" fillId="0" borderId="23" xfId="0" applyFont="1" applyBorder="1" applyAlignment="1">
      <alignment horizontal="left" vertical="center"/>
    </xf>
    <xf numFmtId="0" fontId="144" fillId="0" borderId="32" xfId="0" applyFont="1" applyBorder="1" applyAlignment="1">
      <alignment horizontal="left" vertical="center"/>
    </xf>
  </cellXfs>
  <cellStyles count="118">
    <cellStyle name="Accent1 - 20%" xfId="3"/>
    <cellStyle name="Accent1 - 40%" xfId="4"/>
    <cellStyle name="Accent1 - 60%" xfId="5"/>
    <cellStyle name="Accent2 - 20%" xfId="6"/>
    <cellStyle name="Accent2 - 40%" xfId="7"/>
    <cellStyle name="Accent2 - 60%" xfId="8"/>
    <cellStyle name="Accent3 - 20%" xfId="9"/>
    <cellStyle name="Accent3 - 40%" xfId="10"/>
    <cellStyle name="Accent3 - 60%" xfId="11"/>
    <cellStyle name="Accent4 - 20%" xfId="12"/>
    <cellStyle name="Accent4 - 40%" xfId="13"/>
    <cellStyle name="Accent4 - 60%" xfId="14"/>
    <cellStyle name="Accent5 - 20%" xfId="15"/>
    <cellStyle name="Accent5 - 40%" xfId="16"/>
    <cellStyle name="Accent5 - 60%" xfId="17"/>
    <cellStyle name="Accent6 - 20%" xfId="18"/>
    <cellStyle name="Accent6 - 40%" xfId="19"/>
    <cellStyle name="Accent6 - 60%" xfId="20"/>
    <cellStyle name="Blue" xfId="21"/>
    <cellStyle name="Choice" xfId="22"/>
    <cellStyle name="Closed" xfId="23"/>
    <cellStyle name="Comma 2" xfId="44"/>
    <cellStyle name="Comma 2 2" xfId="48"/>
    <cellStyle name="Comma 3" xfId="46"/>
    <cellStyle name="Comma 4" xfId="95"/>
    <cellStyle name="Emphasis 1" xfId="24"/>
    <cellStyle name="Emphasis 2" xfId="25"/>
    <cellStyle name="Emphasis 3" xfId="26"/>
    <cellStyle name="Green" xfId="27"/>
    <cellStyle name="Grey" xfId="28"/>
    <cellStyle name="Hyperlink 2" xfId="29"/>
    <cellStyle name="Hyperlink 3" xfId="77"/>
    <cellStyle name="Koloni" xfId="30"/>
    <cellStyle name="Normal 10" xfId="92"/>
    <cellStyle name="Normal 10 2" xfId="117"/>
    <cellStyle name="Normal 2" xfId="31"/>
    <cellStyle name="Normal 2 2" xfId="78"/>
    <cellStyle name="Normal 2 2 2" xfId="87"/>
    <cellStyle name="Normal 2 3" xfId="82"/>
    <cellStyle name="Normal 3" xfId="32"/>
    <cellStyle name="Normal 4" xfId="45"/>
    <cellStyle name="Normal 4 2" xfId="56"/>
    <cellStyle name="Normal 4_2. Променливи" xfId="66"/>
    <cellStyle name="Normal 5" xfId="49"/>
    <cellStyle name="Normal 5 2" xfId="83"/>
    <cellStyle name="Normal 6" xfId="52"/>
    <cellStyle name="Normal 6 2" xfId="54"/>
    <cellStyle name="Normal 6 2 2" xfId="58"/>
    <cellStyle name="Normal 6 2 2 2" xfId="74"/>
    <cellStyle name="Normal 6 2 2 2 2" xfId="104"/>
    <cellStyle name="Normal 6 2 2 3" xfId="97"/>
    <cellStyle name="Normal 6 2 3" xfId="65"/>
    <cellStyle name="Normal 6 2 3 2" xfId="76"/>
    <cellStyle name="Normal 6 2 3 2 2" xfId="106"/>
    <cellStyle name="Normal 6 2 3 3" xfId="100"/>
    <cellStyle name="Normal 6 2 4" xfId="72"/>
    <cellStyle name="Normal 6 2 4 2" xfId="102"/>
    <cellStyle name="Normal 6 2 5" xfId="81"/>
    <cellStyle name="Normal 6 2 5 2" xfId="91"/>
    <cellStyle name="Normal 6 2 5 2 2" xfId="116"/>
    <cellStyle name="Normal 6 2 5 3" xfId="109"/>
    <cellStyle name="Normal 6 2 6" xfId="94"/>
    <cellStyle name="Normal 6 2_2. Променливи" xfId="68"/>
    <cellStyle name="Normal 6 3" xfId="57"/>
    <cellStyle name="Normal 6 3 2" xfId="73"/>
    <cellStyle name="Normal 6 3 2 2" xfId="103"/>
    <cellStyle name="Normal 6 3 3" xfId="90"/>
    <cellStyle name="Normal 6 3 3 2" xfId="115"/>
    <cellStyle name="Normal 6 3 4" xfId="96"/>
    <cellStyle name="Normal 6 4" xfId="64"/>
    <cellStyle name="Normal 6 4 2" xfId="75"/>
    <cellStyle name="Normal 6 4 2 2" xfId="105"/>
    <cellStyle name="Normal 6 4 3" xfId="99"/>
    <cellStyle name="Normal 6 5" xfId="71"/>
    <cellStyle name="Normal 6 5 2" xfId="101"/>
    <cellStyle name="Normal 6 6" xfId="80"/>
    <cellStyle name="Normal 6 6 2" xfId="108"/>
    <cellStyle name="Normal 6 7" xfId="93"/>
    <cellStyle name="Normal 6_2. Променливи" xfId="67"/>
    <cellStyle name="Normal 7" xfId="53"/>
    <cellStyle name="Normal 7 2" xfId="84"/>
    <cellStyle name="Normal 7 2 2" xfId="110"/>
    <cellStyle name="Normal 8" xfId="79"/>
    <cellStyle name="Normal 8 2" xfId="88"/>
    <cellStyle name="Normal 8 2 2" xfId="113"/>
    <cellStyle name="Normal 8 3" xfId="107"/>
    <cellStyle name="Normal 9" xfId="85"/>
    <cellStyle name="Normal 9 2" xfId="111"/>
    <cellStyle name="Normal_Lov_Forms_DKER" xfId="42"/>
    <cellStyle name="Normal_Model_2005_Sofia_DKER_3" xfId="40"/>
    <cellStyle name="Normal_Pazardjik_2_bo_groups" xfId="43"/>
    <cellStyle name="Normal_Sheet1_1" xfId="47"/>
    <cellStyle name="Percent 2" xfId="33"/>
    <cellStyle name="Percent 3" xfId="34"/>
    <cellStyle name="Percent 4" xfId="35"/>
    <cellStyle name="Percent 5" xfId="41"/>
    <cellStyle name="Percent 5 2" xfId="59"/>
    <cellStyle name="Percent 6" xfId="50"/>
    <cellStyle name="Percent 6 2" xfId="60"/>
    <cellStyle name="Percent 6 3" xfId="70"/>
    <cellStyle name="Percent 7" xfId="51"/>
    <cellStyle name="Percent 7 2" xfId="61"/>
    <cellStyle name="Percent 8" xfId="86"/>
    <cellStyle name="Percent 8 2" xfId="89"/>
    <cellStyle name="Percent 8 2 2" xfId="114"/>
    <cellStyle name="Percent 8 3" xfId="112"/>
    <cellStyle name="Sheet Title" xfId="36"/>
    <cellStyle name="White" xfId="37"/>
    <cellStyle name="Zaglavie" xfId="38"/>
    <cellStyle name="Запетая" xfId="55" builtinId="3"/>
    <cellStyle name="Запетая 2" xfId="62"/>
    <cellStyle name="Запетая 2 2" xfId="98"/>
    <cellStyle name="Нормален" xfId="0" builtinId="0"/>
    <cellStyle name="Нормален 3" xfId="39"/>
    <cellStyle name="Процент" xfId="1" builtinId="5"/>
    <cellStyle name="Процент 2" xfId="63"/>
    <cellStyle name="Процент 3" xfId="69"/>
    <cellStyle name="Хипервръзка" xfId="2" builtinId="8"/>
  </cellStyles>
  <dxfs count="2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fgColor auto="1"/>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FF"/>
      <color rgb="FFE8E8E8"/>
      <color rgb="FFFFFFCC"/>
      <color rgb="FFFF99FF"/>
      <color rgb="FFCCFFCC"/>
      <color rgb="FFFF8080"/>
      <color rgb="FFBCF6C6"/>
      <color rgb="FF3399FF"/>
      <color rgb="FFFF33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1085850</xdr:colOff>
      <xdr:row>17</xdr:row>
      <xdr:rowOff>0</xdr:rowOff>
    </xdr:from>
    <xdr:to>
      <xdr:col>4</xdr:col>
      <xdr:colOff>0</xdr:colOff>
      <xdr:row>17</xdr:row>
      <xdr:rowOff>0</xdr:rowOff>
    </xdr:to>
    <xdr:sp macro="" textlink="">
      <xdr:nvSpPr>
        <xdr:cNvPr id="2" name="Line 253">
          <a:extLst>
            <a:ext uri="{FF2B5EF4-FFF2-40B4-BE49-F238E27FC236}">
              <a16:creationId xmlns="" xmlns:a16="http://schemas.microsoft.com/office/drawing/2014/main" id="{00000000-0008-0000-0400-000002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3" name="Line 254">
          <a:extLst>
            <a:ext uri="{FF2B5EF4-FFF2-40B4-BE49-F238E27FC236}">
              <a16:creationId xmlns="" xmlns:a16="http://schemas.microsoft.com/office/drawing/2014/main" id="{00000000-0008-0000-0400-000003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4" name="Line 255">
          <a:extLst>
            <a:ext uri="{FF2B5EF4-FFF2-40B4-BE49-F238E27FC236}">
              <a16:creationId xmlns="" xmlns:a16="http://schemas.microsoft.com/office/drawing/2014/main" id="{00000000-0008-0000-0400-000004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5" name="Line 256">
          <a:extLst>
            <a:ext uri="{FF2B5EF4-FFF2-40B4-BE49-F238E27FC236}">
              <a16:creationId xmlns="" xmlns:a16="http://schemas.microsoft.com/office/drawing/2014/main" id="{00000000-0008-0000-0400-000005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0" name="Line 253">
          <a:extLst>
            <a:ext uri="{FF2B5EF4-FFF2-40B4-BE49-F238E27FC236}">
              <a16:creationId xmlns="" xmlns:a16="http://schemas.microsoft.com/office/drawing/2014/main" id="{00000000-0008-0000-0400-00000A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1" name="Line 254">
          <a:extLst>
            <a:ext uri="{FF2B5EF4-FFF2-40B4-BE49-F238E27FC236}">
              <a16:creationId xmlns="" xmlns:a16="http://schemas.microsoft.com/office/drawing/2014/main" id="{00000000-0008-0000-0400-00000B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2" name="Line 255">
          <a:extLst>
            <a:ext uri="{FF2B5EF4-FFF2-40B4-BE49-F238E27FC236}">
              <a16:creationId xmlns="" xmlns:a16="http://schemas.microsoft.com/office/drawing/2014/main" id="{00000000-0008-0000-0400-00000C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3" name="Line 256">
          <a:extLst>
            <a:ext uri="{FF2B5EF4-FFF2-40B4-BE49-F238E27FC236}">
              <a16:creationId xmlns="" xmlns:a16="http://schemas.microsoft.com/office/drawing/2014/main" id="{00000000-0008-0000-0400-00000D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2" name="Line 253">
          <a:extLst>
            <a:ext uri="{FF2B5EF4-FFF2-40B4-BE49-F238E27FC236}">
              <a16:creationId xmlns="" xmlns:a16="http://schemas.microsoft.com/office/drawing/2014/main" id="{00000000-0008-0000-0400-00002A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3" name="Line 254">
          <a:extLst>
            <a:ext uri="{FF2B5EF4-FFF2-40B4-BE49-F238E27FC236}">
              <a16:creationId xmlns="" xmlns:a16="http://schemas.microsoft.com/office/drawing/2014/main" id="{00000000-0008-0000-0400-00002B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4" name="Line 255">
          <a:extLst>
            <a:ext uri="{FF2B5EF4-FFF2-40B4-BE49-F238E27FC236}">
              <a16:creationId xmlns="" xmlns:a16="http://schemas.microsoft.com/office/drawing/2014/main" id="{00000000-0008-0000-0400-00002C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5" name="Line 256">
          <a:extLst>
            <a:ext uri="{FF2B5EF4-FFF2-40B4-BE49-F238E27FC236}">
              <a16:creationId xmlns="" xmlns:a16="http://schemas.microsoft.com/office/drawing/2014/main" id="{00000000-0008-0000-0400-00002D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1085850</xdr:colOff>
      <xdr:row>14</xdr:row>
      <xdr:rowOff>0</xdr:rowOff>
    </xdr:from>
    <xdr:to>
      <xdr:col>4</xdr:col>
      <xdr:colOff>0</xdr:colOff>
      <xdr:row>14</xdr:row>
      <xdr:rowOff>0</xdr:rowOff>
    </xdr:to>
    <xdr:sp macro="" textlink="">
      <xdr:nvSpPr>
        <xdr:cNvPr id="2" name="Line 253">
          <a:extLst>
            <a:ext uri="{FF2B5EF4-FFF2-40B4-BE49-F238E27FC236}">
              <a16:creationId xmlns="" xmlns:a16="http://schemas.microsoft.com/office/drawing/2014/main" id="{00000000-0008-0000-0600-000002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3" name="Line 254">
          <a:extLst>
            <a:ext uri="{FF2B5EF4-FFF2-40B4-BE49-F238E27FC236}">
              <a16:creationId xmlns="" xmlns:a16="http://schemas.microsoft.com/office/drawing/2014/main" id="{00000000-0008-0000-0600-000003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4" name="Line 255">
          <a:extLst>
            <a:ext uri="{FF2B5EF4-FFF2-40B4-BE49-F238E27FC236}">
              <a16:creationId xmlns="" xmlns:a16="http://schemas.microsoft.com/office/drawing/2014/main" id="{00000000-0008-0000-0600-000004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5" name="Line 256">
          <a:extLst>
            <a:ext uri="{FF2B5EF4-FFF2-40B4-BE49-F238E27FC236}">
              <a16:creationId xmlns="" xmlns:a16="http://schemas.microsoft.com/office/drawing/2014/main" id="{00000000-0008-0000-0600-000005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6" name="Line 253">
          <a:extLst>
            <a:ext uri="{FF2B5EF4-FFF2-40B4-BE49-F238E27FC236}">
              <a16:creationId xmlns="" xmlns:a16="http://schemas.microsoft.com/office/drawing/2014/main" id="{00000000-0008-0000-0600-000006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7" name="Line 254">
          <a:extLst>
            <a:ext uri="{FF2B5EF4-FFF2-40B4-BE49-F238E27FC236}">
              <a16:creationId xmlns="" xmlns:a16="http://schemas.microsoft.com/office/drawing/2014/main" id="{00000000-0008-0000-0600-000007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8" name="Line 255">
          <a:extLst>
            <a:ext uri="{FF2B5EF4-FFF2-40B4-BE49-F238E27FC236}">
              <a16:creationId xmlns="" xmlns:a16="http://schemas.microsoft.com/office/drawing/2014/main" id="{00000000-0008-0000-0600-000008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9" name="Line 256">
          <a:extLst>
            <a:ext uri="{FF2B5EF4-FFF2-40B4-BE49-F238E27FC236}">
              <a16:creationId xmlns="" xmlns:a16="http://schemas.microsoft.com/office/drawing/2014/main" id="{00000000-0008-0000-0600-000009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0" name="Line 253">
          <a:extLst>
            <a:ext uri="{FF2B5EF4-FFF2-40B4-BE49-F238E27FC236}">
              <a16:creationId xmlns="" xmlns:a16="http://schemas.microsoft.com/office/drawing/2014/main" id="{00000000-0008-0000-0600-00000A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1" name="Line 254">
          <a:extLst>
            <a:ext uri="{FF2B5EF4-FFF2-40B4-BE49-F238E27FC236}">
              <a16:creationId xmlns="" xmlns:a16="http://schemas.microsoft.com/office/drawing/2014/main" id="{00000000-0008-0000-0600-00000B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2" name="Line 255">
          <a:extLst>
            <a:ext uri="{FF2B5EF4-FFF2-40B4-BE49-F238E27FC236}">
              <a16:creationId xmlns="" xmlns:a16="http://schemas.microsoft.com/office/drawing/2014/main" id="{00000000-0008-0000-0600-00000C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3" name="Line 256">
          <a:extLst>
            <a:ext uri="{FF2B5EF4-FFF2-40B4-BE49-F238E27FC236}">
              <a16:creationId xmlns="" xmlns:a16="http://schemas.microsoft.com/office/drawing/2014/main" id="{00000000-0008-0000-0600-00000D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1085850</xdr:colOff>
      <xdr:row>18</xdr:row>
      <xdr:rowOff>0</xdr:rowOff>
    </xdr:from>
    <xdr:to>
      <xdr:col>4</xdr:col>
      <xdr:colOff>0</xdr:colOff>
      <xdr:row>18</xdr:row>
      <xdr:rowOff>0</xdr:rowOff>
    </xdr:to>
    <xdr:sp macro="" textlink="">
      <xdr:nvSpPr>
        <xdr:cNvPr id="2" name="Line 253">
          <a:extLst>
            <a:ext uri="{FF2B5EF4-FFF2-40B4-BE49-F238E27FC236}">
              <a16:creationId xmlns="" xmlns:a16="http://schemas.microsoft.com/office/drawing/2014/main" id="{00000000-0008-0000-0900-000002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3" name="Line 254">
          <a:extLst>
            <a:ext uri="{FF2B5EF4-FFF2-40B4-BE49-F238E27FC236}">
              <a16:creationId xmlns="" xmlns:a16="http://schemas.microsoft.com/office/drawing/2014/main" id="{00000000-0008-0000-0900-000003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4" name="Line 255">
          <a:extLst>
            <a:ext uri="{FF2B5EF4-FFF2-40B4-BE49-F238E27FC236}">
              <a16:creationId xmlns="" xmlns:a16="http://schemas.microsoft.com/office/drawing/2014/main" id="{00000000-0008-0000-0900-000004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5" name="Line 256">
          <a:extLst>
            <a:ext uri="{FF2B5EF4-FFF2-40B4-BE49-F238E27FC236}">
              <a16:creationId xmlns="" xmlns:a16="http://schemas.microsoft.com/office/drawing/2014/main" id="{00000000-0008-0000-0900-000005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48</xdr:row>
      <xdr:rowOff>9525</xdr:rowOff>
    </xdr:from>
    <xdr:to>
      <xdr:col>2</xdr:col>
      <xdr:colOff>0</xdr:colOff>
      <xdr:row>50</xdr:row>
      <xdr:rowOff>228600</xdr:rowOff>
    </xdr:to>
    <xdr:sp macro="" textlink="">
      <xdr:nvSpPr>
        <xdr:cNvPr id="4" name="Line 32">
          <a:extLst>
            <a:ext uri="{FF2B5EF4-FFF2-40B4-BE49-F238E27FC236}">
              <a16:creationId xmlns="" xmlns:a16="http://schemas.microsoft.com/office/drawing/2014/main" id="{00000000-0008-0000-1600-000004000000}"/>
            </a:ext>
          </a:extLst>
        </xdr:cNvPr>
        <xdr:cNvSpPr>
          <a:spLocks noChangeShapeType="1"/>
        </xdr:cNvSpPr>
      </xdr:nvSpPr>
      <xdr:spPr bwMode="auto">
        <a:xfrm>
          <a:off x="4067175" y="1781175"/>
          <a:ext cx="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48</xdr:row>
      <xdr:rowOff>0</xdr:rowOff>
    </xdr:from>
    <xdr:to>
      <xdr:col>2</xdr:col>
      <xdr:colOff>0</xdr:colOff>
      <xdr:row>51</xdr:row>
      <xdr:rowOff>0</xdr:rowOff>
    </xdr:to>
    <xdr:sp macro="" textlink="">
      <xdr:nvSpPr>
        <xdr:cNvPr id="5" name="Line 33">
          <a:extLst>
            <a:ext uri="{FF2B5EF4-FFF2-40B4-BE49-F238E27FC236}">
              <a16:creationId xmlns="" xmlns:a16="http://schemas.microsoft.com/office/drawing/2014/main" id="{00000000-0008-0000-1600-000005000000}"/>
            </a:ext>
          </a:extLst>
        </xdr:cNvPr>
        <xdr:cNvSpPr>
          <a:spLocks noChangeShapeType="1"/>
        </xdr:cNvSpPr>
      </xdr:nvSpPr>
      <xdr:spPr bwMode="auto">
        <a:xfrm flipV="1">
          <a:off x="4067175" y="1771650"/>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25</xdr:row>
      <xdr:rowOff>0</xdr:rowOff>
    </xdr:from>
    <xdr:to>
      <xdr:col>3</xdr:col>
      <xdr:colOff>942975</xdr:colOff>
      <xdr:row>25</xdr:row>
      <xdr:rowOff>0</xdr:rowOff>
    </xdr:to>
    <xdr:sp macro="" textlink="">
      <xdr:nvSpPr>
        <xdr:cNvPr id="8" name="Line 8">
          <a:extLst>
            <a:ext uri="{FF2B5EF4-FFF2-40B4-BE49-F238E27FC236}">
              <a16:creationId xmlns="" xmlns:a16="http://schemas.microsoft.com/office/drawing/2014/main" id="{00000000-0008-0000-1600-000008000000}"/>
            </a:ext>
          </a:extLst>
        </xdr:cNvPr>
        <xdr:cNvSpPr>
          <a:spLocks noChangeShapeType="1"/>
        </xdr:cNvSpPr>
      </xdr:nvSpPr>
      <xdr:spPr bwMode="auto">
        <a:xfrm>
          <a:off x="147224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25</xdr:row>
      <xdr:rowOff>0</xdr:rowOff>
    </xdr:from>
    <xdr:to>
      <xdr:col>4</xdr:col>
      <xdr:colOff>0</xdr:colOff>
      <xdr:row>25</xdr:row>
      <xdr:rowOff>0</xdr:rowOff>
    </xdr:to>
    <xdr:sp macro="" textlink="">
      <xdr:nvSpPr>
        <xdr:cNvPr id="9" name="Line 10">
          <a:extLst>
            <a:ext uri="{FF2B5EF4-FFF2-40B4-BE49-F238E27FC236}">
              <a16:creationId xmlns="" xmlns:a16="http://schemas.microsoft.com/office/drawing/2014/main" id="{00000000-0008-0000-1600-000009000000}"/>
            </a:ext>
          </a:extLst>
        </xdr:cNvPr>
        <xdr:cNvSpPr>
          <a:spLocks noChangeShapeType="1"/>
        </xdr:cNvSpPr>
      </xdr:nvSpPr>
      <xdr:spPr bwMode="auto">
        <a:xfrm flipV="1">
          <a:off x="147129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25</xdr:row>
      <xdr:rowOff>0</xdr:rowOff>
    </xdr:from>
    <xdr:to>
      <xdr:col>4</xdr:col>
      <xdr:colOff>942975</xdr:colOff>
      <xdr:row>25</xdr:row>
      <xdr:rowOff>0</xdr:rowOff>
    </xdr:to>
    <xdr:sp macro="" textlink="">
      <xdr:nvSpPr>
        <xdr:cNvPr id="10" name="Line 8">
          <a:extLst>
            <a:ext uri="{FF2B5EF4-FFF2-40B4-BE49-F238E27FC236}">
              <a16:creationId xmlns="" xmlns:a16="http://schemas.microsoft.com/office/drawing/2014/main" id="{00000000-0008-0000-1600-00000A000000}"/>
            </a:ext>
          </a:extLst>
        </xdr:cNvPr>
        <xdr:cNvSpPr>
          <a:spLocks noChangeShapeType="1"/>
        </xdr:cNvSpPr>
      </xdr:nvSpPr>
      <xdr:spPr bwMode="auto">
        <a:xfrm>
          <a:off x="153320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25</xdr:row>
      <xdr:rowOff>0</xdr:rowOff>
    </xdr:from>
    <xdr:to>
      <xdr:col>5</xdr:col>
      <xdr:colOff>0</xdr:colOff>
      <xdr:row>25</xdr:row>
      <xdr:rowOff>0</xdr:rowOff>
    </xdr:to>
    <xdr:sp macro="" textlink="">
      <xdr:nvSpPr>
        <xdr:cNvPr id="11" name="Line 10">
          <a:extLst>
            <a:ext uri="{FF2B5EF4-FFF2-40B4-BE49-F238E27FC236}">
              <a16:creationId xmlns="" xmlns:a16="http://schemas.microsoft.com/office/drawing/2014/main" id="{00000000-0008-0000-1600-00000B000000}"/>
            </a:ext>
          </a:extLst>
        </xdr:cNvPr>
        <xdr:cNvSpPr>
          <a:spLocks noChangeShapeType="1"/>
        </xdr:cNvSpPr>
      </xdr:nvSpPr>
      <xdr:spPr bwMode="auto">
        <a:xfrm flipV="1">
          <a:off x="153225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25</xdr:row>
      <xdr:rowOff>0</xdr:rowOff>
    </xdr:from>
    <xdr:to>
      <xdr:col>5</xdr:col>
      <xdr:colOff>942975</xdr:colOff>
      <xdr:row>25</xdr:row>
      <xdr:rowOff>0</xdr:rowOff>
    </xdr:to>
    <xdr:sp macro="" textlink="">
      <xdr:nvSpPr>
        <xdr:cNvPr id="12" name="Line 8">
          <a:extLst>
            <a:ext uri="{FF2B5EF4-FFF2-40B4-BE49-F238E27FC236}">
              <a16:creationId xmlns="" xmlns:a16="http://schemas.microsoft.com/office/drawing/2014/main" id="{00000000-0008-0000-1600-00000C000000}"/>
            </a:ext>
          </a:extLst>
        </xdr:cNvPr>
        <xdr:cNvSpPr>
          <a:spLocks noChangeShapeType="1"/>
        </xdr:cNvSpPr>
      </xdr:nvSpPr>
      <xdr:spPr bwMode="auto">
        <a:xfrm>
          <a:off x="147224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25</xdr:row>
      <xdr:rowOff>0</xdr:rowOff>
    </xdr:from>
    <xdr:to>
      <xdr:col>6</xdr:col>
      <xdr:colOff>0</xdr:colOff>
      <xdr:row>25</xdr:row>
      <xdr:rowOff>0</xdr:rowOff>
    </xdr:to>
    <xdr:sp macro="" textlink="">
      <xdr:nvSpPr>
        <xdr:cNvPr id="13" name="Line 10">
          <a:extLst>
            <a:ext uri="{FF2B5EF4-FFF2-40B4-BE49-F238E27FC236}">
              <a16:creationId xmlns="" xmlns:a16="http://schemas.microsoft.com/office/drawing/2014/main" id="{00000000-0008-0000-1600-00000D000000}"/>
            </a:ext>
          </a:extLst>
        </xdr:cNvPr>
        <xdr:cNvSpPr>
          <a:spLocks noChangeShapeType="1"/>
        </xdr:cNvSpPr>
      </xdr:nvSpPr>
      <xdr:spPr bwMode="auto">
        <a:xfrm flipV="1">
          <a:off x="147129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25</xdr:row>
      <xdr:rowOff>0</xdr:rowOff>
    </xdr:from>
    <xdr:to>
      <xdr:col>6</xdr:col>
      <xdr:colOff>942975</xdr:colOff>
      <xdr:row>25</xdr:row>
      <xdr:rowOff>0</xdr:rowOff>
    </xdr:to>
    <xdr:sp macro="" textlink="">
      <xdr:nvSpPr>
        <xdr:cNvPr id="14" name="Line 8">
          <a:extLst>
            <a:ext uri="{FF2B5EF4-FFF2-40B4-BE49-F238E27FC236}">
              <a16:creationId xmlns="" xmlns:a16="http://schemas.microsoft.com/office/drawing/2014/main" id="{00000000-0008-0000-1600-00000E000000}"/>
            </a:ext>
          </a:extLst>
        </xdr:cNvPr>
        <xdr:cNvSpPr>
          <a:spLocks noChangeShapeType="1"/>
        </xdr:cNvSpPr>
      </xdr:nvSpPr>
      <xdr:spPr bwMode="auto">
        <a:xfrm>
          <a:off x="153320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7</xdr:col>
      <xdr:colOff>0</xdr:colOff>
      <xdr:row>25</xdr:row>
      <xdr:rowOff>0</xdr:rowOff>
    </xdr:to>
    <xdr:sp macro="" textlink="">
      <xdr:nvSpPr>
        <xdr:cNvPr id="15" name="Line 10">
          <a:extLst>
            <a:ext uri="{FF2B5EF4-FFF2-40B4-BE49-F238E27FC236}">
              <a16:creationId xmlns="" xmlns:a16="http://schemas.microsoft.com/office/drawing/2014/main" id="{00000000-0008-0000-1600-00000F000000}"/>
            </a:ext>
          </a:extLst>
        </xdr:cNvPr>
        <xdr:cNvSpPr>
          <a:spLocks noChangeShapeType="1"/>
        </xdr:cNvSpPr>
      </xdr:nvSpPr>
      <xdr:spPr bwMode="auto">
        <a:xfrm flipV="1">
          <a:off x="153225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25</xdr:row>
      <xdr:rowOff>0</xdr:rowOff>
    </xdr:from>
    <xdr:to>
      <xdr:col>7</xdr:col>
      <xdr:colOff>942975</xdr:colOff>
      <xdr:row>25</xdr:row>
      <xdr:rowOff>0</xdr:rowOff>
    </xdr:to>
    <xdr:sp macro="" textlink="">
      <xdr:nvSpPr>
        <xdr:cNvPr id="16" name="Line 8">
          <a:extLst>
            <a:ext uri="{FF2B5EF4-FFF2-40B4-BE49-F238E27FC236}">
              <a16:creationId xmlns="" xmlns:a16="http://schemas.microsoft.com/office/drawing/2014/main" id="{00000000-0008-0000-1600-000010000000}"/>
            </a:ext>
          </a:extLst>
        </xdr:cNvPr>
        <xdr:cNvSpPr>
          <a:spLocks noChangeShapeType="1"/>
        </xdr:cNvSpPr>
      </xdr:nvSpPr>
      <xdr:spPr bwMode="auto">
        <a:xfrm>
          <a:off x="159416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0</xdr:rowOff>
    </xdr:from>
    <xdr:to>
      <xdr:col>8</xdr:col>
      <xdr:colOff>0</xdr:colOff>
      <xdr:row>25</xdr:row>
      <xdr:rowOff>0</xdr:rowOff>
    </xdr:to>
    <xdr:sp macro="" textlink="">
      <xdr:nvSpPr>
        <xdr:cNvPr id="17" name="Line 10">
          <a:extLst>
            <a:ext uri="{FF2B5EF4-FFF2-40B4-BE49-F238E27FC236}">
              <a16:creationId xmlns="" xmlns:a16="http://schemas.microsoft.com/office/drawing/2014/main" id="{00000000-0008-0000-1600-000011000000}"/>
            </a:ext>
          </a:extLst>
        </xdr:cNvPr>
        <xdr:cNvSpPr>
          <a:spLocks noChangeShapeType="1"/>
        </xdr:cNvSpPr>
      </xdr:nvSpPr>
      <xdr:spPr bwMode="auto">
        <a:xfrm flipV="1">
          <a:off x="159321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c\VIK-Transfer\Documents%20and%20Settings\Kostadin%20Kolarov_2\My%20Documents\Mobile\New%20Business%20Pl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c\VIK-Transfer\Documents%20and%20Settings\dk-kpeev\Desktop\UKAZANIQ\BP\Model_BP_Prilojeniq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писание на продуктите"/>
      <sheetName val="Състояние на продуктите"/>
      <sheetName val="Пазарна прогноза (1)"/>
      <sheetName val="Пазарна прогноза (2)"/>
      <sheetName val="Пазарна прогноза (3)"/>
      <sheetName val="Пазарна прогноза (4)"/>
      <sheetName val="Пазарна прогноза (5)"/>
      <sheetName val="План за персонала"/>
      <sheetName val="ОПР 96-98"/>
      <sheetName val="Баланси 96-98"/>
      <sheetName val="Минали отчети"/>
      <sheetName val="Начало"/>
      <sheetName val="Начален баланс"/>
      <sheetName val="Прогнозни продажби"/>
      <sheetName val="Себестойност"/>
      <sheetName val="Постоянни разходи"/>
      <sheetName val="Инвестиции"/>
      <sheetName val="Собствен капитал"/>
      <sheetName val="Разчети по ДДС"/>
      <sheetName val="Проформа ОПР"/>
      <sheetName val="Проформа ОПП"/>
      <sheetName val="Проформа баланси"/>
      <sheetName val="Буфер"/>
      <sheetName val="Финансови показатели"/>
      <sheetName val="Оценка на проекта"/>
      <sheetName val="Мин. и оч. резултати"/>
      <sheetName val="Критични точки"/>
      <sheetName val="Sheet8"/>
      <sheetName val="Описание_на_продуктите"/>
      <sheetName val="Състояние_на_продуктите"/>
      <sheetName val="Пазарна_прогноза_(1)"/>
      <sheetName val="Пазарна_прогноза_(2)"/>
      <sheetName val="Пазарна_прогноза_(3)"/>
      <sheetName val="Пазарна_прогноза_(4)"/>
      <sheetName val="Пазарна_прогноза_(5)"/>
      <sheetName val="План_за_персонала"/>
      <sheetName val="ОПР_96-98"/>
      <sheetName val="Баланси_96-98"/>
      <sheetName val="Минали_отчети"/>
      <sheetName val="Начален_баланс"/>
      <sheetName val="Прогнозни_продажби"/>
      <sheetName val="Постоянни_разходи"/>
      <sheetName val="Собствен_капитал"/>
      <sheetName val="Разчети_по_ДДС"/>
      <sheetName val="Проформа_ОПР"/>
      <sheetName val="Проформа_ОПП"/>
      <sheetName val="Проформа_баланси"/>
      <sheetName val="Финансови_показатели"/>
      <sheetName val="Оценка_на_проекта"/>
      <sheetName val="Мин__и_оч__резултати"/>
      <sheetName val="Критични_точки"/>
      <sheetName val="TB-20-02-2002"/>
      <sheetName val="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sheetData sheetId="13"/>
      <sheetData sheetId="14" refreshError="1">
        <row r="124">
          <cell r="B124" t="str">
            <v>Електроенергия</v>
          </cell>
          <cell r="C124">
            <v>29491.133333333335</v>
          </cell>
          <cell r="D124">
            <v>29488.799999999999</v>
          </cell>
          <cell r="E124">
            <v>29488.799999999999</v>
          </cell>
          <cell r="F124">
            <v>29488.799999999999</v>
          </cell>
          <cell r="G124">
            <v>29488.799999999999</v>
          </cell>
          <cell r="H124">
            <v>29488.799999999999</v>
          </cell>
          <cell r="I124">
            <v>29488.799999999999</v>
          </cell>
          <cell r="J124">
            <v>29488.799999999999</v>
          </cell>
          <cell r="K124">
            <v>29488.799999999999</v>
          </cell>
          <cell r="L124">
            <v>29488.799999999999</v>
          </cell>
          <cell r="M124">
            <v>29488.799999999999</v>
          </cell>
          <cell r="N124">
            <v>29488.799999999999</v>
          </cell>
          <cell r="O124">
            <v>353867.93333333329</v>
          </cell>
          <cell r="P124">
            <v>357142.80000000005</v>
          </cell>
          <cell r="Q124">
            <v>364285.65600000002</v>
          </cell>
          <cell r="R124">
            <v>371571.36912000005</v>
          </cell>
          <cell r="S124">
            <v>379002.79650240007</v>
          </cell>
          <cell r="T124">
            <v>386582.85243244807</v>
          </cell>
        </row>
        <row r="125">
          <cell r="B125" t="str">
            <v>Отчетна стойност на продадените стоки</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row>
        <row r="126">
          <cell r="B126" t="str">
            <v>Услуги и др.</v>
          </cell>
          <cell r="C126">
            <v>18927.500000000004</v>
          </cell>
          <cell r="D126">
            <v>18926</v>
          </cell>
          <cell r="E126">
            <v>18926</v>
          </cell>
          <cell r="F126">
            <v>18926</v>
          </cell>
          <cell r="G126">
            <v>18926</v>
          </cell>
          <cell r="H126">
            <v>18926</v>
          </cell>
          <cell r="I126">
            <v>18926</v>
          </cell>
          <cell r="J126">
            <v>18926</v>
          </cell>
          <cell r="K126">
            <v>18926</v>
          </cell>
          <cell r="L126">
            <v>18926</v>
          </cell>
          <cell r="M126">
            <v>18926</v>
          </cell>
          <cell r="N126">
            <v>18926</v>
          </cell>
          <cell r="O126">
            <v>227113.5</v>
          </cell>
          <cell r="P126">
            <v>229591.8</v>
          </cell>
          <cell r="Q126">
            <v>234183.636</v>
          </cell>
          <cell r="R126">
            <v>238867.30872</v>
          </cell>
          <cell r="S126">
            <v>243644.65489439998</v>
          </cell>
          <cell r="T126">
            <v>248517.54799228802</v>
          </cell>
        </row>
      </sheetData>
      <sheetData sheetId="15"/>
      <sheetData sheetId="16" refreshError="1">
        <row r="40">
          <cell r="E40">
            <v>151605.31</v>
          </cell>
        </row>
        <row r="43">
          <cell r="M43" t="str">
            <v>Всичко начислени амортизации</v>
          </cell>
          <cell r="N43">
            <v>0</v>
          </cell>
          <cell r="O43">
            <v>151605.31</v>
          </cell>
          <cell r="P43">
            <v>247855.31000000003</v>
          </cell>
          <cell r="Q43">
            <v>265355.31000000006</v>
          </cell>
          <cell r="R43">
            <v>274105.31</v>
          </cell>
          <cell r="S43">
            <v>282855.31</v>
          </cell>
          <cell r="T43">
            <v>291605.31</v>
          </cell>
        </row>
      </sheetData>
      <sheetData sheetId="17" refreshError="1">
        <row r="4">
          <cell r="B4" t="str">
            <v>Получени съучастия (увеличение на собствения капитал)</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row>
        <row r="5">
          <cell r="B5" t="str">
            <v>Получени вземания по записани дялови вноски</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row>
        <row r="6">
          <cell r="B6" t="str">
            <v>Намаление на собствения капитал</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row>
        <row r="7">
          <cell r="B7" t="str">
            <v>Вземания по получени през периода съучастия</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row>
      </sheetData>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етикет"/>
      <sheetName val=" 2.  Експлоатационни данни"/>
      <sheetName val="5. Целеви нива"/>
      <sheetName val="2. Производствена програма"/>
      <sheetName val="3. Ремонтна програма"/>
      <sheetName val="4. Намаляване на загубите"/>
      <sheetName val="5. Подобряване на ефективността"/>
      <sheetName val="6. Инвестиции"/>
      <sheetName val="6.1. Инв.пр- доставяне"/>
      <sheetName val="6.2. Инв.пр.-отвеждане"/>
      <sheetName val="6.3.Инв.пр.-пречистване"/>
      <sheetName val="7. Активи"/>
      <sheetName val="7.1. Предст. въвеж. активи"/>
      <sheetName val="8. Амортизационен план "/>
      <sheetName val="9. Ниво на протребление"/>
      <sheetName val="10. Разходи"/>
      <sheetName val="11.Цени и приходи  "/>
      <sheetName val="12.Соц. поносимост"/>
      <sheetName val="13. Персонала"/>
      <sheetName val="13.1.Квалиф. структура"/>
      <sheetName val="14.Соц. програма "/>
      <sheetName val="Sheet4"/>
      <sheetName val="6_ Инвестици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2:E91"/>
  <sheetViews>
    <sheetView showGridLines="0" tabSelected="1" view="pageBreakPreview" topLeftCell="A37" zoomScale="70" zoomScaleNormal="70" zoomScaleSheetLayoutView="70" zoomScalePageLayoutView="80" workbookViewId="0">
      <selection activeCell="C46" sqref="C46:D46"/>
    </sheetView>
  </sheetViews>
  <sheetFormatPr defaultColWidth="9.140625" defaultRowHeight="15.75"/>
  <cols>
    <col min="1" max="1" width="6.5703125" style="1560" customWidth="1"/>
    <col min="2" max="2" width="37.42578125" style="1560" customWidth="1"/>
    <col min="3" max="3" width="49.5703125" style="1560" customWidth="1"/>
    <col min="4" max="4" width="55.140625" style="1560" customWidth="1"/>
    <col min="5" max="5" width="15.42578125" style="1560" customWidth="1"/>
    <col min="6" max="6" width="19" style="1560" customWidth="1"/>
    <col min="7" max="7" width="21.140625" style="1560" bestFit="1" customWidth="1"/>
    <col min="8" max="8" width="15" style="1560" customWidth="1"/>
    <col min="9" max="16384" width="9.140625" style="1560"/>
  </cols>
  <sheetData>
    <row r="2" spans="1:5" ht="18.75">
      <c r="A2" s="4749" t="s">
        <v>85</v>
      </c>
      <c r="B2" s="4749"/>
      <c r="C2" s="4749"/>
      <c r="D2" s="4749"/>
      <c r="E2" s="3687"/>
    </row>
    <row r="3" spans="1:5" ht="21.75" customHeight="1">
      <c r="A3" s="4750" t="str">
        <f>"на "&amp;C8&amp;", гр. "&amp;C9</f>
        <v>на ВОДОСНАБДЯВАНЕ И КАНАЛИЗАЦИЯ ЕООД, гр. ХАСКОВО</v>
      </c>
      <c r="B3" s="4750"/>
      <c r="C3" s="4750"/>
      <c r="D3" s="4750"/>
      <c r="E3" s="3688"/>
    </row>
    <row r="4" spans="1:5" ht="20.25" customHeight="1">
      <c r="A4" s="4750" t="str">
        <f>"ЕИК по БУЛСТАТ: " &amp;C10</f>
        <v>ЕИК по БУЛСТАТ: 126004284</v>
      </c>
      <c r="B4" s="4750"/>
      <c r="C4" s="4750"/>
      <c r="D4" s="4750"/>
      <c r="E4" s="3688"/>
    </row>
    <row r="5" spans="1:5" ht="16.5" thickBot="1"/>
    <row r="6" spans="1:5">
      <c r="A6" s="4751" t="s">
        <v>1</v>
      </c>
      <c r="B6" s="4753" t="s">
        <v>86</v>
      </c>
      <c r="C6" s="4754"/>
      <c r="D6" s="4755"/>
    </row>
    <row r="7" spans="1:5" ht="16.5" thickBot="1">
      <c r="A7" s="4752"/>
      <c r="B7" s="1561" t="s">
        <v>87</v>
      </c>
      <c r="C7" s="4756" t="s">
        <v>88</v>
      </c>
      <c r="D7" s="4757"/>
    </row>
    <row r="8" spans="1:5" ht="16.5" thickBot="1">
      <c r="A8" s="1562">
        <v>1</v>
      </c>
      <c r="B8" s="1563" t="s">
        <v>89</v>
      </c>
      <c r="C8" s="4758" t="s">
        <v>1943</v>
      </c>
      <c r="D8" s="4759"/>
    </row>
    <row r="9" spans="1:5" ht="16.5" thickBot="1">
      <c r="A9" s="1564" t="s">
        <v>90</v>
      </c>
      <c r="B9" s="1565" t="s">
        <v>92</v>
      </c>
      <c r="C9" s="4760" t="s">
        <v>1944</v>
      </c>
      <c r="D9" s="4761"/>
    </row>
    <row r="10" spans="1:5" ht="16.5" thickBot="1">
      <c r="A10" s="1564" t="s">
        <v>91</v>
      </c>
      <c r="B10" s="1565" t="s">
        <v>94</v>
      </c>
      <c r="C10" s="4747">
        <v>126004284</v>
      </c>
      <c r="D10" s="4748"/>
    </row>
    <row r="11" spans="1:5" ht="16.5" thickBot="1">
      <c r="A11" s="1566" t="s">
        <v>95</v>
      </c>
      <c r="B11" s="1567" t="s">
        <v>1282</v>
      </c>
      <c r="C11" s="4730"/>
      <c r="D11" s="4731"/>
    </row>
    <row r="12" spans="1:5" ht="20.25" thickBot="1">
      <c r="A12" s="3663" t="s">
        <v>96</v>
      </c>
      <c r="B12" s="748" t="s">
        <v>1742</v>
      </c>
      <c r="C12" s="4732" t="s">
        <v>1064</v>
      </c>
      <c r="D12" s="4733"/>
    </row>
    <row r="13" spans="1:5">
      <c r="A13" s="4740" t="s">
        <v>97</v>
      </c>
      <c r="B13" s="4742" t="s">
        <v>98</v>
      </c>
      <c r="C13" s="4745" t="s">
        <v>1066</v>
      </c>
      <c r="D13" s="4746"/>
    </row>
    <row r="14" spans="1:5">
      <c r="A14" s="4723"/>
      <c r="B14" s="4743"/>
      <c r="C14" s="4734" t="s">
        <v>1778</v>
      </c>
      <c r="D14" s="4735"/>
    </row>
    <row r="15" spans="1:5">
      <c r="A15" s="4723"/>
      <c r="B15" s="4743"/>
      <c r="C15" s="4734" t="s">
        <v>1779</v>
      </c>
      <c r="D15" s="4735"/>
    </row>
    <row r="16" spans="1:5">
      <c r="A16" s="4723"/>
      <c r="B16" s="4743"/>
      <c r="C16" s="4734" t="s">
        <v>1780</v>
      </c>
      <c r="D16" s="4735"/>
    </row>
    <row r="17" spans="1:4">
      <c r="A17" s="4723"/>
      <c r="B17" s="4743"/>
      <c r="C17" s="4734" t="s">
        <v>1781</v>
      </c>
      <c r="D17" s="4735"/>
    </row>
    <row r="18" spans="1:4" ht="16.5" thickBot="1">
      <c r="A18" s="4741"/>
      <c r="B18" s="4744"/>
      <c r="C18" s="4736" t="s">
        <v>1782</v>
      </c>
      <c r="D18" s="4737"/>
    </row>
    <row r="19" spans="1:4" ht="16.5" thickBot="1">
      <c r="A19" s="1562" t="s">
        <v>99</v>
      </c>
      <c r="B19" s="1568" t="s">
        <v>690</v>
      </c>
      <c r="C19" s="4738" t="s">
        <v>2018</v>
      </c>
      <c r="D19" s="4739"/>
    </row>
    <row r="20" spans="1:4" s="24" customFormat="1" ht="16.5" thickBot="1">
      <c r="A20" s="1569" t="s">
        <v>100</v>
      </c>
      <c r="B20" s="1570" t="s">
        <v>1283</v>
      </c>
      <c r="C20" s="1571"/>
      <c r="D20" s="1572"/>
    </row>
    <row r="21" spans="1:4" s="24" customFormat="1">
      <c r="A21" s="25" t="s">
        <v>101</v>
      </c>
      <c r="B21" s="729" t="s">
        <v>157</v>
      </c>
      <c r="C21" s="4726" t="s">
        <v>2017</v>
      </c>
      <c r="D21" s="4727"/>
    </row>
    <row r="22" spans="1:4" s="24" customFormat="1">
      <c r="A22" s="26" t="s">
        <v>102</v>
      </c>
      <c r="B22" s="730" t="s">
        <v>158</v>
      </c>
      <c r="C22" s="343"/>
      <c r="D22" s="344"/>
    </row>
    <row r="23" spans="1:4" s="24" customFormat="1">
      <c r="A23" s="26" t="s">
        <v>1275</v>
      </c>
      <c r="B23" s="1573" t="s">
        <v>691</v>
      </c>
      <c r="C23" s="4718" t="s">
        <v>2019</v>
      </c>
      <c r="D23" s="4719"/>
    </row>
    <row r="24" spans="1:4" s="24" customFormat="1">
      <c r="A24" s="26"/>
      <c r="B24" s="1574" t="s">
        <v>160</v>
      </c>
      <c r="C24" s="4718" t="s">
        <v>2020</v>
      </c>
      <c r="D24" s="4719"/>
    </row>
    <row r="25" spans="1:4" s="24" customFormat="1">
      <c r="A25" s="26"/>
      <c r="B25" s="1574" t="s">
        <v>161</v>
      </c>
      <c r="C25" s="4718" t="s">
        <v>2021</v>
      </c>
      <c r="D25" s="4719"/>
    </row>
    <row r="26" spans="1:4" s="24" customFormat="1">
      <c r="A26" s="26"/>
      <c r="B26" s="1574" t="s">
        <v>162</v>
      </c>
      <c r="C26" s="4718"/>
      <c r="D26" s="4719"/>
    </row>
    <row r="27" spans="1:4" s="24" customFormat="1">
      <c r="A27" s="26"/>
      <c r="B27" s="1574" t="s">
        <v>163</v>
      </c>
      <c r="C27" s="4718" t="s">
        <v>2022</v>
      </c>
      <c r="D27" s="4719"/>
    </row>
    <row r="28" spans="1:4" s="24" customFormat="1">
      <c r="A28" s="26" t="s">
        <v>1276</v>
      </c>
      <c r="B28" s="1573" t="s">
        <v>692</v>
      </c>
      <c r="C28" s="4718" t="s">
        <v>1945</v>
      </c>
      <c r="D28" s="4719"/>
    </row>
    <row r="29" spans="1:4" s="24" customFormat="1">
      <c r="A29" s="26"/>
      <c r="B29" s="1574" t="s">
        <v>160</v>
      </c>
      <c r="C29" s="4718" t="s">
        <v>2023</v>
      </c>
      <c r="D29" s="4719"/>
    </row>
    <row r="30" spans="1:4" s="24" customFormat="1">
      <c r="A30" s="26"/>
      <c r="B30" s="1574" t="s">
        <v>161</v>
      </c>
      <c r="C30" s="4718" t="s">
        <v>2015</v>
      </c>
      <c r="D30" s="4719"/>
    </row>
    <row r="31" spans="1:4" s="24" customFormat="1">
      <c r="A31" s="26"/>
      <c r="B31" s="1574" t="s">
        <v>162</v>
      </c>
      <c r="C31" s="4718"/>
      <c r="D31" s="4719"/>
    </row>
    <row r="32" spans="1:4" s="24" customFormat="1">
      <c r="A32" s="26"/>
      <c r="B32" s="1574" t="s">
        <v>163</v>
      </c>
      <c r="C32" s="4728" t="s">
        <v>2016</v>
      </c>
      <c r="D32" s="4729"/>
    </row>
    <row r="33" spans="1:4" s="24" customFormat="1">
      <c r="A33" s="26" t="s">
        <v>1277</v>
      </c>
      <c r="B33" s="1573" t="s">
        <v>693</v>
      </c>
      <c r="C33" s="4718" t="s">
        <v>2024</v>
      </c>
      <c r="D33" s="4719"/>
    </row>
    <row r="34" spans="1:4" s="24" customFormat="1">
      <c r="A34" s="26"/>
      <c r="B34" s="1574" t="s">
        <v>160</v>
      </c>
      <c r="C34" s="4718" t="s">
        <v>2025</v>
      </c>
      <c r="D34" s="4719"/>
    </row>
    <row r="35" spans="1:4" s="24" customFormat="1">
      <c r="A35" s="26"/>
      <c r="B35" s="1574" t="s">
        <v>161</v>
      </c>
      <c r="C35" s="4718" t="s">
        <v>2026</v>
      </c>
      <c r="D35" s="4719"/>
    </row>
    <row r="36" spans="1:4" s="24" customFormat="1">
      <c r="A36" s="26"/>
      <c r="B36" s="1574" t="s">
        <v>162</v>
      </c>
      <c r="C36" s="4718"/>
      <c r="D36" s="4719"/>
    </row>
    <row r="37" spans="1:4" s="24" customFormat="1">
      <c r="A37" s="26"/>
      <c r="B37" s="1574" t="s">
        <v>163</v>
      </c>
      <c r="C37" s="4718" t="s">
        <v>2027</v>
      </c>
      <c r="D37" s="4719"/>
    </row>
    <row r="38" spans="1:4" s="24" customFormat="1">
      <c r="A38" s="26" t="s">
        <v>1278</v>
      </c>
      <c r="B38" s="1573" t="s">
        <v>1049</v>
      </c>
      <c r="C38" s="4718" t="s">
        <v>1945</v>
      </c>
      <c r="D38" s="4719"/>
    </row>
    <row r="39" spans="1:4" s="24" customFormat="1">
      <c r="A39" s="26"/>
      <c r="B39" s="1574" t="s">
        <v>160</v>
      </c>
      <c r="C39" s="4718" t="s">
        <v>2023</v>
      </c>
      <c r="D39" s="4719"/>
    </row>
    <row r="40" spans="1:4" s="24" customFormat="1">
      <c r="A40" s="26"/>
      <c r="B40" s="1574" t="s">
        <v>161</v>
      </c>
      <c r="C40" s="4718" t="s">
        <v>2015</v>
      </c>
      <c r="D40" s="4719"/>
    </row>
    <row r="41" spans="1:4" s="24" customFormat="1">
      <c r="A41" s="26"/>
      <c r="B41" s="1574" t="s">
        <v>162</v>
      </c>
      <c r="C41" s="4718"/>
      <c r="D41" s="4719"/>
    </row>
    <row r="42" spans="1:4" s="24" customFormat="1">
      <c r="A42" s="26"/>
      <c r="B42" s="1574" t="s">
        <v>163</v>
      </c>
      <c r="C42" s="4728" t="s">
        <v>2016</v>
      </c>
      <c r="D42" s="4729"/>
    </row>
    <row r="43" spans="1:4" s="24" customFormat="1">
      <c r="A43" s="26" t="s">
        <v>1279</v>
      </c>
      <c r="B43" s="1573" t="s">
        <v>165</v>
      </c>
      <c r="C43" s="4718" t="s">
        <v>2028</v>
      </c>
      <c r="D43" s="4719"/>
    </row>
    <row r="44" spans="1:4" s="24" customFormat="1">
      <c r="A44" s="26"/>
      <c r="B44" s="1574" t="s">
        <v>160</v>
      </c>
      <c r="C44" s="4718" t="s">
        <v>2020</v>
      </c>
      <c r="D44" s="4719"/>
    </row>
    <row r="45" spans="1:4" s="24" customFormat="1">
      <c r="A45" s="26"/>
      <c r="B45" s="1574" t="s">
        <v>162</v>
      </c>
      <c r="C45" s="4718"/>
      <c r="D45" s="4719"/>
    </row>
    <row r="46" spans="1:4" s="24" customFormat="1" ht="16.5" thickBot="1">
      <c r="A46" s="1575"/>
      <c r="B46" s="1576" t="s">
        <v>163</v>
      </c>
      <c r="C46" s="4718" t="s">
        <v>2029</v>
      </c>
      <c r="D46" s="4719"/>
    </row>
    <row r="47" spans="1:4">
      <c r="A47" s="1577" t="s">
        <v>104</v>
      </c>
      <c r="B47" s="1578" t="s">
        <v>1284</v>
      </c>
      <c r="C47" s="4708"/>
      <c r="D47" s="4709"/>
    </row>
    <row r="48" spans="1:4">
      <c r="A48" s="18" t="s">
        <v>105</v>
      </c>
      <c r="B48" s="596" t="s">
        <v>106</v>
      </c>
      <c r="C48" s="4706" t="s">
        <v>107</v>
      </c>
      <c r="D48" s="4707"/>
    </row>
    <row r="49" spans="1:4">
      <c r="A49" s="3659"/>
      <c r="B49" s="3660" t="s">
        <v>108</v>
      </c>
      <c r="C49" s="4704" t="s">
        <v>1191</v>
      </c>
      <c r="D49" s="4705"/>
    </row>
    <row r="50" spans="1:4">
      <c r="A50" s="18" t="s">
        <v>109</v>
      </c>
      <c r="B50" s="596" t="s">
        <v>110</v>
      </c>
      <c r="C50" s="4706" t="s">
        <v>111</v>
      </c>
      <c r="D50" s="4707"/>
    </row>
    <row r="51" spans="1:4">
      <c r="A51" s="4722"/>
      <c r="B51" s="4712" t="s">
        <v>108</v>
      </c>
      <c r="C51" s="4704" t="s">
        <v>344</v>
      </c>
      <c r="D51" s="4705"/>
    </row>
    <row r="52" spans="1:4">
      <c r="A52" s="4723"/>
      <c r="B52" s="4713"/>
      <c r="C52" s="4704" t="s">
        <v>345</v>
      </c>
      <c r="D52" s="4705"/>
    </row>
    <row r="53" spans="1:4">
      <c r="A53" s="4723"/>
      <c r="B53" s="4713"/>
      <c r="C53" s="4724" t="s">
        <v>1014</v>
      </c>
      <c r="D53" s="4725"/>
    </row>
    <row r="54" spans="1:4">
      <c r="A54" s="3662"/>
      <c r="B54" s="4713"/>
      <c r="C54" s="4710" t="s">
        <v>1412</v>
      </c>
      <c r="D54" s="4711"/>
    </row>
    <row r="55" spans="1:4">
      <c r="A55" s="3662"/>
      <c r="B55" s="4713"/>
      <c r="C55" s="4710" t="s">
        <v>1192</v>
      </c>
      <c r="D55" s="4711"/>
    </row>
    <row r="56" spans="1:4">
      <c r="A56" s="3662"/>
      <c r="B56" s="4713"/>
      <c r="C56" s="1579" t="s">
        <v>553</v>
      </c>
      <c r="D56" s="3658"/>
    </row>
    <row r="57" spans="1:4">
      <c r="A57" s="3662"/>
      <c r="B57" s="4713"/>
      <c r="C57" s="4704" t="s">
        <v>1004</v>
      </c>
      <c r="D57" s="4705"/>
    </row>
    <row r="58" spans="1:4">
      <c r="A58" s="3662"/>
      <c r="B58" s="4713"/>
      <c r="C58" s="4704" t="s">
        <v>651</v>
      </c>
      <c r="D58" s="4705"/>
    </row>
    <row r="59" spans="1:4">
      <c r="A59" s="3662"/>
      <c r="B59" s="4721"/>
      <c r="C59" s="4704" t="s">
        <v>602</v>
      </c>
      <c r="D59" s="4705"/>
    </row>
    <row r="60" spans="1:4">
      <c r="A60" s="18" t="s">
        <v>83</v>
      </c>
      <c r="B60" s="596" t="s">
        <v>112</v>
      </c>
      <c r="C60" s="4706" t="s">
        <v>113</v>
      </c>
      <c r="D60" s="4707"/>
    </row>
    <row r="61" spans="1:4">
      <c r="A61" s="4714"/>
      <c r="B61" s="4712" t="s">
        <v>108</v>
      </c>
      <c r="C61" s="4704" t="s">
        <v>603</v>
      </c>
      <c r="D61" s="4705"/>
    </row>
    <row r="62" spans="1:4">
      <c r="A62" s="4720"/>
      <c r="B62" s="4713"/>
      <c r="C62" s="4704" t="s">
        <v>604</v>
      </c>
      <c r="D62" s="4705"/>
    </row>
    <row r="63" spans="1:4">
      <c r="A63" s="4720"/>
      <c r="B63" s="4713"/>
      <c r="C63" s="4704" t="s">
        <v>605</v>
      </c>
      <c r="D63" s="4705"/>
    </row>
    <row r="64" spans="1:4">
      <c r="A64" s="4720"/>
      <c r="B64" s="4713"/>
      <c r="C64" s="4704" t="s">
        <v>1475</v>
      </c>
      <c r="D64" s="4705"/>
    </row>
    <row r="65" spans="1:4">
      <c r="A65" s="4720"/>
      <c r="B65" s="4713"/>
      <c r="C65" s="4704" t="s">
        <v>1510</v>
      </c>
      <c r="D65" s="4705"/>
    </row>
    <row r="66" spans="1:4">
      <c r="A66" s="4720"/>
      <c r="B66" s="4713"/>
      <c r="C66" s="4704" t="s">
        <v>1941</v>
      </c>
      <c r="D66" s="4705"/>
    </row>
    <row r="67" spans="1:4">
      <c r="A67" s="4720"/>
      <c r="B67" s="4713"/>
      <c r="C67" s="4716" t="s">
        <v>609</v>
      </c>
      <c r="D67" s="4717"/>
    </row>
    <row r="68" spans="1:4">
      <c r="A68" s="4720"/>
      <c r="B68" s="4713"/>
      <c r="C68" s="4716" t="s">
        <v>1743</v>
      </c>
      <c r="D68" s="4717"/>
    </row>
    <row r="69" spans="1:4" ht="32.25" customHeight="1">
      <c r="A69" s="4715"/>
      <c r="B69" s="4721"/>
      <c r="C69" s="4716" t="s">
        <v>1508</v>
      </c>
      <c r="D69" s="4717"/>
    </row>
    <row r="70" spans="1:4">
      <c r="A70" s="18" t="s">
        <v>84</v>
      </c>
      <c r="B70" s="596" t="s">
        <v>114</v>
      </c>
      <c r="C70" s="4706" t="s">
        <v>115</v>
      </c>
      <c r="D70" s="4707"/>
    </row>
    <row r="71" spans="1:4">
      <c r="A71" s="18"/>
      <c r="B71" s="3661" t="s">
        <v>108</v>
      </c>
      <c r="C71" s="4704" t="s">
        <v>610</v>
      </c>
      <c r="D71" s="4705"/>
    </row>
    <row r="72" spans="1:4">
      <c r="A72" s="18" t="s">
        <v>1280</v>
      </c>
      <c r="B72" s="596" t="s">
        <v>341</v>
      </c>
      <c r="C72" s="4706" t="s">
        <v>554</v>
      </c>
      <c r="D72" s="4707"/>
    </row>
    <row r="73" spans="1:4">
      <c r="A73" s="4714"/>
      <c r="B73" s="4712" t="s">
        <v>108</v>
      </c>
      <c r="C73" s="4704" t="s">
        <v>611</v>
      </c>
      <c r="D73" s="4705"/>
    </row>
    <row r="74" spans="1:4">
      <c r="A74" s="4715"/>
      <c r="B74" s="4713"/>
      <c r="C74" s="4704" t="s">
        <v>612</v>
      </c>
      <c r="D74" s="4705"/>
    </row>
    <row r="75" spans="1:4">
      <c r="A75" s="18" t="s">
        <v>1281</v>
      </c>
      <c r="B75" s="596" t="s">
        <v>343</v>
      </c>
      <c r="C75" s="4706" t="s">
        <v>342</v>
      </c>
      <c r="D75" s="4707"/>
    </row>
    <row r="76" spans="1:4">
      <c r="A76" s="4714"/>
      <c r="B76" s="4712" t="s">
        <v>108</v>
      </c>
      <c r="C76" s="1579" t="s">
        <v>613</v>
      </c>
      <c r="D76" s="3658"/>
    </row>
    <row r="77" spans="1:4">
      <c r="A77" s="4720"/>
      <c r="B77" s="4713"/>
      <c r="C77" s="1579" t="s">
        <v>614</v>
      </c>
      <c r="D77" s="3658"/>
    </row>
    <row r="78" spans="1:4">
      <c r="A78" s="4720"/>
      <c r="B78" s="4713"/>
      <c r="C78" s="1579" t="s">
        <v>615</v>
      </c>
      <c r="D78" s="3658"/>
    </row>
    <row r="79" spans="1:4">
      <c r="A79" s="4720"/>
      <c r="B79" s="4713"/>
      <c r="C79" s="1579" t="s">
        <v>1005</v>
      </c>
      <c r="D79" s="3658"/>
    </row>
    <row r="80" spans="1:4" ht="18.75" customHeight="1">
      <c r="A80" s="4715"/>
      <c r="B80" s="4721"/>
      <c r="C80" s="4704" t="s">
        <v>1413</v>
      </c>
      <c r="D80" s="4705"/>
    </row>
    <row r="82" spans="1:5">
      <c r="B82" s="1580" t="str">
        <f>"Дата: "&amp;C19</f>
        <v>Дата: 29.06.2026</v>
      </c>
      <c r="C82" s="1581"/>
    </row>
    <row r="83" spans="1:5">
      <c r="D83" s="1582"/>
    </row>
    <row r="85" spans="1:5" ht="15.75" customHeight="1">
      <c r="A85" s="4703" t="s">
        <v>1942</v>
      </c>
      <c r="B85" s="4703"/>
      <c r="C85" s="4703"/>
      <c r="D85" s="4703"/>
    </row>
    <row r="86" spans="1:5">
      <c r="A86" s="4703"/>
      <c r="B86" s="4703"/>
      <c r="C86" s="4703"/>
      <c r="D86" s="4703"/>
    </row>
    <row r="87" spans="1:5">
      <c r="D87" s="1582"/>
      <c r="E87" s="3689"/>
    </row>
    <row r="88" spans="1:5" hidden="1">
      <c r="C88" s="1583"/>
    </row>
    <row r="89" spans="1:5">
      <c r="A89" s="2" t="s">
        <v>555</v>
      </c>
      <c r="C89" s="1584"/>
      <c r="D89" s="1585"/>
    </row>
    <row r="90" spans="1:5" s="1585" customFormat="1">
      <c r="A90" s="1586" t="s">
        <v>188</v>
      </c>
      <c r="B90" s="1587"/>
      <c r="C90" s="1584"/>
      <c r="D90" s="1588"/>
    </row>
    <row r="91" spans="1:5" s="1588" customFormat="1">
      <c r="B91" s="3690"/>
      <c r="C91" s="1560"/>
      <c r="D91" s="1560"/>
      <c r="E91" s="3691"/>
    </row>
  </sheetData>
  <sheetProtection algorithmName="SHA-512" hashValue="QLwn4P86K0X1cYnp2aXnHA5altilmROq/p9kMNHdfB4aK5a0dhZuRZ2sVGMnr7NQ+ZcpBwYhoavBDX3+Y+UdBw==" saltValue="yJa9TYXOqGLkEV6IsaqUcA==" spinCount="100000" sheet="1" formatCells="0" formatColumns="0" formatRows="0"/>
  <mergeCells count="83">
    <mergeCell ref="C10:D10"/>
    <mergeCell ref="A2:D2"/>
    <mergeCell ref="A3:D3"/>
    <mergeCell ref="A4:D4"/>
    <mergeCell ref="A6:A7"/>
    <mergeCell ref="B6:D6"/>
    <mergeCell ref="C7:D7"/>
    <mergeCell ref="C8:D8"/>
    <mergeCell ref="C9:D9"/>
    <mergeCell ref="A13:A18"/>
    <mergeCell ref="B13:B18"/>
    <mergeCell ref="C13:D13"/>
    <mergeCell ref="C14:D14"/>
    <mergeCell ref="C15:D15"/>
    <mergeCell ref="C16:D16"/>
    <mergeCell ref="C11:D11"/>
    <mergeCell ref="C12:D12"/>
    <mergeCell ref="C17:D17"/>
    <mergeCell ref="C18:D18"/>
    <mergeCell ref="C19:D19"/>
    <mergeCell ref="C63:D63"/>
    <mergeCell ref="C64:D64"/>
    <mergeCell ref="C65:D65"/>
    <mergeCell ref="A61:A69"/>
    <mergeCell ref="C21:D21"/>
    <mergeCell ref="C23:D23"/>
    <mergeCell ref="C24:D24"/>
    <mergeCell ref="C25:D25"/>
    <mergeCell ref="C26:D26"/>
    <mergeCell ref="C30:D30"/>
    <mergeCell ref="C31:D31"/>
    <mergeCell ref="C32:D32"/>
    <mergeCell ref="C27:D27"/>
    <mergeCell ref="C28:D28"/>
    <mergeCell ref="C29:D29"/>
    <mergeCell ref="C42:D42"/>
    <mergeCell ref="A76:A80"/>
    <mergeCell ref="B76:B80"/>
    <mergeCell ref="A51:A53"/>
    <mergeCell ref="B51:B59"/>
    <mergeCell ref="C60:D60"/>
    <mergeCell ref="C70:D70"/>
    <mergeCell ref="C52:D52"/>
    <mergeCell ref="C53:D53"/>
    <mergeCell ref="C57:D57"/>
    <mergeCell ref="C58:D58"/>
    <mergeCell ref="C59:D59"/>
    <mergeCell ref="C61:D61"/>
    <mergeCell ref="C62:D62"/>
    <mergeCell ref="C74:D74"/>
    <mergeCell ref="B61:B69"/>
    <mergeCell ref="C69:D69"/>
    <mergeCell ref="C40:D40"/>
    <mergeCell ref="C41:D41"/>
    <mergeCell ref="C38:D38"/>
    <mergeCell ref="C33:D33"/>
    <mergeCell ref="C34:D34"/>
    <mergeCell ref="C35:D35"/>
    <mergeCell ref="C36:D36"/>
    <mergeCell ref="C37:D37"/>
    <mergeCell ref="C39:D39"/>
    <mergeCell ref="C45:D45"/>
    <mergeCell ref="C46:D46"/>
    <mergeCell ref="C51:D51"/>
    <mergeCell ref="C49:D49"/>
    <mergeCell ref="C43:D43"/>
    <mergeCell ref="C44:D44"/>
    <mergeCell ref="A85:D86"/>
    <mergeCell ref="C80:D80"/>
    <mergeCell ref="C75:D75"/>
    <mergeCell ref="C47:D47"/>
    <mergeCell ref="C48:D48"/>
    <mergeCell ref="C50:D50"/>
    <mergeCell ref="C55:D55"/>
    <mergeCell ref="C66:D66"/>
    <mergeCell ref="B73:B74"/>
    <mergeCell ref="C54:D54"/>
    <mergeCell ref="A73:A74"/>
    <mergeCell ref="C72:D72"/>
    <mergeCell ref="C67:D67"/>
    <mergeCell ref="C68:D68"/>
    <mergeCell ref="C71:D71"/>
    <mergeCell ref="C73:D73"/>
  </mergeCells>
  <hyperlinks>
    <hyperlink ref="C51" location="'2. Променливи'!A1" display="Справка № 2 - Променливи за изчисление на показателите за качество на предоставяните В и К услуги"/>
    <hyperlink ref="C52" location="'3. Показатели за качество'!A1" display="Справка № 3 - Показатели за качество на предоставяните В и К услуги "/>
    <hyperlink ref="C61" location="'9.Инвестиционна програма'!A1" display="Справка № 9 - Инвестиционна програма"/>
    <hyperlink ref="C63" location="'11. Амортиз. план'!A1" display="Справка № 11 - Амортизационен план на Дълготрайни Активи"/>
    <hyperlink ref="C64" location="'11.1.Амортиз.нови активи'!A1" display="Справка № 10.1 - Амортизация на новоизградени активи, чрез инвестиционната програма"/>
    <hyperlink ref="C77:D77" location="'11.РБА'!A1" display="Справка № 11  - Регулаторна база на активите"/>
    <hyperlink ref="C76:D76" location="'10.Необходими приходи'!A1" display="Справка № 10  - Необходими приходи"/>
    <hyperlink ref="C78:D78" location="'13.HB'!A1" display="Справка № 12  - Оборотен капитал"/>
    <hyperlink ref="C79:D79" location="'13.HB'!A1" display="Справка № 13  - Необходима възвръщаемост"/>
    <hyperlink ref="C62" location="'10. Финансиране на ИП'!A1" display="Справка № 10 - Инвестиции и източници на финансиране"/>
    <hyperlink ref="C71" location="'13. Соц. поносимост'!A1" display="Справка № 12 - Анализ на социалната поносимост на предлаганите цени"/>
    <hyperlink ref="C77" location="'17. РБА'!A1" display="Справка № 16  - Регулаторна база на активите"/>
    <hyperlink ref="C76" location="'16. Необходими приходи'!A1" display="Справка № 15  - Необходими приходи"/>
    <hyperlink ref="C78" location="'18. OK'!A1" display="Справка № 17  - Оборотен капитал"/>
    <hyperlink ref="C79" location="'19. HB'!A1" display="Справка № 18  - Необходима възвръщаемост"/>
    <hyperlink ref="C80" location="'20.Цени за дост.,отв. и преч.'!A1" display="Справка № 19  - Цени за доставяне на вода, отвеждане и пречистване на отпадъчни води"/>
    <hyperlink ref="C56" location="'5. Персонал'!A1" display="Справка № 5 - Персонал"/>
    <hyperlink ref="C57" location="'6. Ел.Енергия'!A1" display="Справка № 6 - Отчет и прогнозно ниво на потребление на ел.енергия за периода на бизнес плана"/>
    <hyperlink ref="C59" location="'8. Ремонтна програма'!A1" display="Справка № 7 - Ремонтна програма"/>
    <hyperlink ref="C73" location="'14. ОПР'!A1" display="Справка № 13  - Прогнозен отчет за приходите и разходите"/>
    <hyperlink ref="C74" location="'15. ОПП'!A1" display="Справка № 14  - Прогнозен отчет за паричния поток"/>
    <hyperlink ref="C58" location="'7. Утайки от ПСОВ'!A1" display="Справка № 7 - Оползотворяване на утойки от ПСОВ"/>
    <hyperlink ref="C53" location="'4. Отчет и прогн. потребление'!A1" display="Справка № 4 -  Отчет и прогнозно ниво на потребление на ВиК услугите  за периода на бизнес плана"/>
    <hyperlink ref="C67" location="'12. Разходи'!A1" display="Справка № 12 - Годишни разходи"/>
    <hyperlink ref="C68" location="'12.1.Разходи-увелич.и нам.'!A1" display="Справка № 12.1 - Изменения на годишните разходи спрямо отчетната година"/>
    <hyperlink ref="C54:D54" location="'4.1. Фактурирани количества'!A1" display="Справка № 4.1. Отчет и прогноза на фактурираните количества"/>
    <hyperlink ref="C55:D55" location="'4.2. Продад. и закупени кол-ва'!A1" display="Справка № 4.2. - Отчет и прогноза за продадени и/или закупени водни количества на/от други ВиК оператори"/>
    <hyperlink ref="C69" location="'12.1.Разходи-увелич.и нам.'!A1" display="Справка № 12.1 - Изменения на годишните разходи спрямо отчетната година"/>
    <hyperlink ref="C69:D69" location="'12.2.Нови дейности или обекти'!Print_Area" display="Справка № 12.2 - Бъдещи обекти и/или дейности и допълнителни разходи, включени в коефициент Qр "/>
    <hyperlink ref="C49:D49" location="'1. Обща информация'!Print_Area" display="Справка № 1 - Обща информация"/>
    <hyperlink ref="C68:D68" location="'12.1. Разходи изменение'!Print_Area" display="Справка № 12.1. - Изменения на годишните разходи спрямо базовата година"/>
    <hyperlink ref="C80:D80" location="'20.Цени '!A1" display="Справка № 20  - Цени за регулирани услуги"/>
    <hyperlink ref="C66" location="'11.2. Нови активи отч.год.'!A1" display="Справка № 11.2 - Новопродобити активи през отчетната година"/>
    <hyperlink ref="C66:D66" location="'11.3. ДА Базова година'!A1" display="Справка № 11.3. - Амортизационен план на дълготрайни активи за 2024 г. и 2025 г. "/>
    <hyperlink ref="C65:D65" location="'11.2. ДА за периода'!Print_Area" display="Справка № 11.2. - Дълготрайни активи за периода на бизнес плана"/>
  </hyperlinks>
  <printOptions horizontalCentered="1"/>
  <pageMargins left="0.78740157480314965" right="0.19685039370078741" top="0.39370078740157483" bottom="0.19685039370078741" header="0.78740157480314965" footer="0"/>
  <pageSetup paperSize="9" scale="57" orientation="portrait" r:id="rId1"/>
  <ignoredErrors>
    <ignoredError sqref="A9:A10 A59 A11:A19 A56:A57 A49 A51:A53 A61" numberStoredAsText="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U51"/>
  <sheetViews>
    <sheetView showGridLines="0" view="pageBreakPreview" zoomScaleNormal="70" zoomScaleSheetLayoutView="100" workbookViewId="0">
      <pane xSplit="2" ySplit="8" topLeftCell="C9" activePane="bottomRight" state="frozen"/>
      <selection pane="topRight" activeCell="C1" sqref="C1"/>
      <selection pane="bottomLeft" activeCell="A10" sqref="A10"/>
      <selection pane="bottomRight" activeCell="P38" sqref="P38"/>
    </sheetView>
  </sheetViews>
  <sheetFormatPr defaultRowHeight="12.75"/>
  <cols>
    <col min="1" max="1" width="5.42578125" style="1985" customWidth="1"/>
    <col min="2" max="2" width="44.85546875" style="1985" customWidth="1"/>
    <col min="3" max="3" width="10.42578125" style="1985" customWidth="1"/>
    <col min="4" max="11" width="9.5703125" style="3789" customWidth="1"/>
    <col min="12" max="12" width="2.42578125" style="1985" customWidth="1"/>
    <col min="13" max="13" width="11.42578125" style="1985" bestFit="1" customWidth="1"/>
    <col min="14" max="14" width="9.5703125" style="1985" bestFit="1" customWidth="1"/>
    <col min="15" max="257" width="9.140625" style="1985"/>
    <col min="258" max="258" width="5.42578125" style="1985" customWidth="1"/>
    <col min="259" max="259" width="56.42578125" style="1985" customWidth="1"/>
    <col min="260" max="260" width="10.42578125" style="1985" customWidth="1"/>
    <col min="261" max="267" width="10.5703125" style="1985" customWidth="1"/>
    <col min="268" max="268" width="9.140625" style="1985"/>
    <col min="269" max="269" width="11.42578125" style="1985" bestFit="1" customWidth="1"/>
    <col min="270" max="270" width="9.5703125" style="1985" bestFit="1" customWidth="1"/>
    <col min="271" max="513" width="9.140625" style="1985"/>
    <col min="514" max="514" width="5.42578125" style="1985" customWidth="1"/>
    <col min="515" max="515" width="56.42578125" style="1985" customWidth="1"/>
    <col min="516" max="516" width="10.42578125" style="1985" customWidth="1"/>
    <col min="517" max="523" width="10.5703125" style="1985" customWidth="1"/>
    <col min="524" max="524" width="9.140625" style="1985"/>
    <col min="525" max="525" width="11.42578125" style="1985" bestFit="1" customWidth="1"/>
    <col min="526" max="526" width="9.5703125" style="1985" bestFit="1" customWidth="1"/>
    <col min="527" max="769" width="9.140625" style="1985"/>
    <col min="770" max="770" width="5.42578125" style="1985" customWidth="1"/>
    <col min="771" max="771" width="56.42578125" style="1985" customWidth="1"/>
    <col min="772" max="772" width="10.42578125" style="1985" customWidth="1"/>
    <col min="773" max="779" width="10.5703125" style="1985" customWidth="1"/>
    <col min="780" max="780" width="9.140625" style="1985"/>
    <col min="781" max="781" width="11.42578125" style="1985" bestFit="1" customWidth="1"/>
    <col min="782" max="782" width="9.5703125" style="1985" bestFit="1" customWidth="1"/>
    <col min="783" max="1025" width="9.140625" style="1985"/>
    <col min="1026" max="1026" width="5.42578125" style="1985" customWidth="1"/>
    <col min="1027" max="1027" width="56.42578125" style="1985" customWidth="1"/>
    <col min="1028" max="1028" width="10.42578125" style="1985" customWidth="1"/>
    <col min="1029" max="1035" width="10.5703125" style="1985" customWidth="1"/>
    <col min="1036" max="1036" width="9.140625" style="1985"/>
    <col min="1037" max="1037" width="11.42578125" style="1985" bestFit="1" customWidth="1"/>
    <col min="1038" max="1038" width="9.5703125" style="1985" bestFit="1" customWidth="1"/>
    <col min="1039" max="1281" width="9.140625" style="1985"/>
    <col min="1282" max="1282" width="5.42578125" style="1985" customWidth="1"/>
    <col min="1283" max="1283" width="56.42578125" style="1985" customWidth="1"/>
    <col min="1284" max="1284" width="10.42578125" style="1985" customWidth="1"/>
    <col min="1285" max="1291" width="10.5703125" style="1985" customWidth="1"/>
    <col min="1292" max="1292" width="9.140625" style="1985"/>
    <col min="1293" max="1293" width="11.42578125" style="1985" bestFit="1" customWidth="1"/>
    <col min="1294" max="1294" width="9.5703125" style="1985" bestFit="1" customWidth="1"/>
    <col min="1295" max="1537" width="9.140625" style="1985"/>
    <col min="1538" max="1538" width="5.42578125" style="1985" customWidth="1"/>
    <col min="1539" max="1539" width="56.42578125" style="1985" customWidth="1"/>
    <col min="1540" max="1540" width="10.42578125" style="1985" customWidth="1"/>
    <col min="1541" max="1547" width="10.5703125" style="1985" customWidth="1"/>
    <col min="1548" max="1548" width="9.140625" style="1985"/>
    <col min="1549" max="1549" width="11.42578125" style="1985" bestFit="1" customWidth="1"/>
    <col min="1550" max="1550" width="9.5703125" style="1985" bestFit="1" customWidth="1"/>
    <col min="1551" max="1793" width="9.140625" style="1985"/>
    <col min="1794" max="1794" width="5.42578125" style="1985" customWidth="1"/>
    <col min="1795" max="1795" width="56.42578125" style="1985" customWidth="1"/>
    <col min="1796" max="1796" width="10.42578125" style="1985" customWidth="1"/>
    <col min="1797" max="1803" width="10.5703125" style="1985" customWidth="1"/>
    <col min="1804" max="1804" width="9.140625" style="1985"/>
    <col min="1805" max="1805" width="11.42578125" style="1985" bestFit="1" customWidth="1"/>
    <col min="1806" max="1806" width="9.5703125" style="1985" bestFit="1" customWidth="1"/>
    <col min="1807" max="2049" width="9.140625" style="1985"/>
    <col min="2050" max="2050" width="5.42578125" style="1985" customWidth="1"/>
    <col min="2051" max="2051" width="56.42578125" style="1985" customWidth="1"/>
    <col min="2052" max="2052" width="10.42578125" style="1985" customWidth="1"/>
    <col min="2053" max="2059" width="10.5703125" style="1985" customWidth="1"/>
    <col min="2060" max="2060" width="9.140625" style="1985"/>
    <col min="2061" max="2061" width="11.42578125" style="1985" bestFit="1" customWidth="1"/>
    <col min="2062" max="2062" width="9.5703125" style="1985" bestFit="1" customWidth="1"/>
    <col min="2063" max="2305" width="9.140625" style="1985"/>
    <col min="2306" max="2306" width="5.42578125" style="1985" customWidth="1"/>
    <col min="2307" max="2307" width="56.42578125" style="1985" customWidth="1"/>
    <col min="2308" max="2308" width="10.42578125" style="1985" customWidth="1"/>
    <col min="2309" max="2315" width="10.5703125" style="1985" customWidth="1"/>
    <col min="2316" max="2316" width="9.140625" style="1985"/>
    <col min="2317" max="2317" width="11.42578125" style="1985" bestFit="1" customWidth="1"/>
    <col min="2318" max="2318" width="9.5703125" style="1985" bestFit="1" customWidth="1"/>
    <col min="2319" max="2561" width="9.140625" style="1985"/>
    <col min="2562" max="2562" width="5.42578125" style="1985" customWidth="1"/>
    <col min="2563" max="2563" width="56.42578125" style="1985" customWidth="1"/>
    <col min="2564" max="2564" width="10.42578125" style="1985" customWidth="1"/>
    <col min="2565" max="2571" width="10.5703125" style="1985" customWidth="1"/>
    <col min="2572" max="2572" width="9.140625" style="1985"/>
    <col min="2573" max="2573" width="11.42578125" style="1985" bestFit="1" customWidth="1"/>
    <col min="2574" max="2574" width="9.5703125" style="1985" bestFit="1" customWidth="1"/>
    <col min="2575" max="2817" width="9.140625" style="1985"/>
    <col min="2818" max="2818" width="5.42578125" style="1985" customWidth="1"/>
    <col min="2819" max="2819" width="56.42578125" style="1985" customWidth="1"/>
    <col min="2820" max="2820" width="10.42578125" style="1985" customWidth="1"/>
    <col min="2821" max="2827" width="10.5703125" style="1985" customWidth="1"/>
    <col min="2828" max="2828" width="9.140625" style="1985"/>
    <col min="2829" max="2829" width="11.42578125" style="1985" bestFit="1" customWidth="1"/>
    <col min="2830" max="2830" width="9.5703125" style="1985" bestFit="1" customWidth="1"/>
    <col min="2831" max="3073" width="9.140625" style="1985"/>
    <col min="3074" max="3074" width="5.42578125" style="1985" customWidth="1"/>
    <col min="3075" max="3075" width="56.42578125" style="1985" customWidth="1"/>
    <col min="3076" max="3076" width="10.42578125" style="1985" customWidth="1"/>
    <col min="3077" max="3083" width="10.5703125" style="1985" customWidth="1"/>
    <col min="3084" max="3084" width="9.140625" style="1985"/>
    <col min="3085" max="3085" width="11.42578125" style="1985" bestFit="1" customWidth="1"/>
    <col min="3086" max="3086" width="9.5703125" style="1985" bestFit="1" customWidth="1"/>
    <col min="3087" max="3329" width="9.140625" style="1985"/>
    <col min="3330" max="3330" width="5.42578125" style="1985" customWidth="1"/>
    <col min="3331" max="3331" width="56.42578125" style="1985" customWidth="1"/>
    <col min="3332" max="3332" width="10.42578125" style="1985" customWidth="1"/>
    <col min="3333" max="3339" width="10.5703125" style="1985" customWidth="1"/>
    <col min="3340" max="3340" width="9.140625" style="1985"/>
    <col min="3341" max="3341" width="11.42578125" style="1985" bestFit="1" customWidth="1"/>
    <col min="3342" max="3342" width="9.5703125" style="1985" bestFit="1" customWidth="1"/>
    <col min="3343" max="3585" width="9.140625" style="1985"/>
    <col min="3586" max="3586" width="5.42578125" style="1985" customWidth="1"/>
    <col min="3587" max="3587" width="56.42578125" style="1985" customWidth="1"/>
    <col min="3588" max="3588" width="10.42578125" style="1985" customWidth="1"/>
    <col min="3589" max="3595" width="10.5703125" style="1985" customWidth="1"/>
    <col min="3596" max="3596" width="9.140625" style="1985"/>
    <col min="3597" max="3597" width="11.42578125" style="1985" bestFit="1" customWidth="1"/>
    <col min="3598" max="3598" width="9.5703125" style="1985" bestFit="1" customWidth="1"/>
    <col min="3599" max="3841" width="9.140625" style="1985"/>
    <col min="3842" max="3842" width="5.42578125" style="1985" customWidth="1"/>
    <col min="3843" max="3843" width="56.42578125" style="1985" customWidth="1"/>
    <col min="3844" max="3844" width="10.42578125" style="1985" customWidth="1"/>
    <col min="3845" max="3851" width="10.5703125" style="1985" customWidth="1"/>
    <col min="3852" max="3852" width="9.140625" style="1985"/>
    <col min="3853" max="3853" width="11.42578125" style="1985" bestFit="1" customWidth="1"/>
    <col min="3854" max="3854" width="9.5703125" style="1985" bestFit="1" customWidth="1"/>
    <col min="3855" max="4097" width="9.140625" style="1985"/>
    <col min="4098" max="4098" width="5.42578125" style="1985" customWidth="1"/>
    <col min="4099" max="4099" width="56.42578125" style="1985" customWidth="1"/>
    <col min="4100" max="4100" width="10.42578125" style="1985" customWidth="1"/>
    <col min="4101" max="4107" width="10.5703125" style="1985" customWidth="1"/>
    <col min="4108" max="4108" width="9.140625" style="1985"/>
    <col min="4109" max="4109" width="11.42578125" style="1985" bestFit="1" customWidth="1"/>
    <col min="4110" max="4110" width="9.5703125" style="1985" bestFit="1" customWidth="1"/>
    <col min="4111" max="4353" width="9.140625" style="1985"/>
    <col min="4354" max="4354" width="5.42578125" style="1985" customWidth="1"/>
    <col min="4355" max="4355" width="56.42578125" style="1985" customWidth="1"/>
    <col min="4356" max="4356" width="10.42578125" style="1985" customWidth="1"/>
    <col min="4357" max="4363" width="10.5703125" style="1985" customWidth="1"/>
    <col min="4364" max="4364" width="9.140625" style="1985"/>
    <col min="4365" max="4365" width="11.42578125" style="1985" bestFit="1" customWidth="1"/>
    <col min="4366" max="4366" width="9.5703125" style="1985" bestFit="1" customWidth="1"/>
    <col min="4367" max="4609" width="9.140625" style="1985"/>
    <col min="4610" max="4610" width="5.42578125" style="1985" customWidth="1"/>
    <col min="4611" max="4611" width="56.42578125" style="1985" customWidth="1"/>
    <col min="4612" max="4612" width="10.42578125" style="1985" customWidth="1"/>
    <col min="4613" max="4619" width="10.5703125" style="1985" customWidth="1"/>
    <col min="4620" max="4620" width="9.140625" style="1985"/>
    <col min="4621" max="4621" width="11.42578125" style="1985" bestFit="1" customWidth="1"/>
    <col min="4622" max="4622" width="9.5703125" style="1985" bestFit="1" customWidth="1"/>
    <col min="4623" max="4865" width="9.140625" style="1985"/>
    <col min="4866" max="4866" width="5.42578125" style="1985" customWidth="1"/>
    <col min="4867" max="4867" width="56.42578125" style="1985" customWidth="1"/>
    <col min="4868" max="4868" width="10.42578125" style="1985" customWidth="1"/>
    <col min="4869" max="4875" width="10.5703125" style="1985" customWidth="1"/>
    <col min="4876" max="4876" width="9.140625" style="1985"/>
    <col min="4877" max="4877" width="11.42578125" style="1985" bestFit="1" customWidth="1"/>
    <col min="4878" max="4878" width="9.5703125" style="1985" bestFit="1" customWidth="1"/>
    <col min="4879" max="5121" width="9.140625" style="1985"/>
    <col min="5122" max="5122" width="5.42578125" style="1985" customWidth="1"/>
    <col min="5123" max="5123" width="56.42578125" style="1985" customWidth="1"/>
    <col min="5124" max="5124" width="10.42578125" style="1985" customWidth="1"/>
    <col min="5125" max="5131" width="10.5703125" style="1985" customWidth="1"/>
    <col min="5132" max="5132" width="9.140625" style="1985"/>
    <col min="5133" max="5133" width="11.42578125" style="1985" bestFit="1" customWidth="1"/>
    <col min="5134" max="5134" width="9.5703125" style="1985" bestFit="1" customWidth="1"/>
    <col min="5135" max="5377" width="9.140625" style="1985"/>
    <col min="5378" max="5378" width="5.42578125" style="1985" customWidth="1"/>
    <col min="5379" max="5379" width="56.42578125" style="1985" customWidth="1"/>
    <col min="5380" max="5380" width="10.42578125" style="1985" customWidth="1"/>
    <col min="5381" max="5387" width="10.5703125" style="1985" customWidth="1"/>
    <col min="5388" max="5388" width="9.140625" style="1985"/>
    <col min="5389" max="5389" width="11.42578125" style="1985" bestFit="1" customWidth="1"/>
    <col min="5390" max="5390" width="9.5703125" style="1985" bestFit="1" customWidth="1"/>
    <col min="5391" max="5633" width="9.140625" style="1985"/>
    <col min="5634" max="5634" width="5.42578125" style="1985" customWidth="1"/>
    <col min="5635" max="5635" width="56.42578125" style="1985" customWidth="1"/>
    <col min="5636" max="5636" width="10.42578125" style="1985" customWidth="1"/>
    <col min="5637" max="5643" width="10.5703125" style="1985" customWidth="1"/>
    <col min="5644" max="5644" width="9.140625" style="1985"/>
    <col min="5645" max="5645" width="11.42578125" style="1985" bestFit="1" customWidth="1"/>
    <col min="5646" max="5646" width="9.5703125" style="1985" bestFit="1" customWidth="1"/>
    <col min="5647" max="5889" width="9.140625" style="1985"/>
    <col min="5890" max="5890" width="5.42578125" style="1985" customWidth="1"/>
    <col min="5891" max="5891" width="56.42578125" style="1985" customWidth="1"/>
    <col min="5892" max="5892" width="10.42578125" style="1985" customWidth="1"/>
    <col min="5893" max="5899" width="10.5703125" style="1985" customWidth="1"/>
    <col min="5900" max="5900" width="9.140625" style="1985"/>
    <col min="5901" max="5901" width="11.42578125" style="1985" bestFit="1" customWidth="1"/>
    <col min="5902" max="5902" width="9.5703125" style="1985" bestFit="1" customWidth="1"/>
    <col min="5903" max="6145" width="9.140625" style="1985"/>
    <col min="6146" max="6146" width="5.42578125" style="1985" customWidth="1"/>
    <col min="6147" max="6147" width="56.42578125" style="1985" customWidth="1"/>
    <col min="6148" max="6148" width="10.42578125" style="1985" customWidth="1"/>
    <col min="6149" max="6155" width="10.5703125" style="1985" customWidth="1"/>
    <col min="6156" max="6156" width="9.140625" style="1985"/>
    <col min="6157" max="6157" width="11.42578125" style="1985" bestFit="1" customWidth="1"/>
    <col min="6158" max="6158" width="9.5703125" style="1985" bestFit="1" customWidth="1"/>
    <col min="6159" max="6401" width="9.140625" style="1985"/>
    <col min="6402" max="6402" width="5.42578125" style="1985" customWidth="1"/>
    <col min="6403" max="6403" width="56.42578125" style="1985" customWidth="1"/>
    <col min="6404" max="6404" width="10.42578125" style="1985" customWidth="1"/>
    <col min="6405" max="6411" width="10.5703125" style="1985" customWidth="1"/>
    <col min="6412" max="6412" width="9.140625" style="1985"/>
    <col min="6413" max="6413" width="11.42578125" style="1985" bestFit="1" customWidth="1"/>
    <col min="6414" max="6414" width="9.5703125" style="1985" bestFit="1" customWidth="1"/>
    <col min="6415" max="6657" width="9.140625" style="1985"/>
    <col min="6658" max="6658" width="5.42578125" style="1985" customWidth="1"/>
    <col min="6659" max="6659" width="56.42578125" style="1985" customWidth="1"/>
    <col min="6660" max="6660" width="10.42578125" style="1985" customWidth="1"/>
    <col min="6661" max="6667" width="10.5703125" style="1985" customWidth="1"/>
    <col min="6668" max="6668" width="9.140625" style="1985"/>
    <col min="6669" max="6669" width="11.42578125" style="1985" bestFit="1" customWidth="1"/>
    <col min="6670" max="6670" width="9.5703125" style="1985" bestFit="1" customWidth="1"/>
    <col min="6671" max="6913" width="9.140625" style="1985"/>
    <col min="6914" max="6914" width="5.42578125" style="1985" customWidth="1"/>
    <col min="6915" max="6915" width="56.42578125" style="1985" customWidth="1"/>
    <col min="6916" max="6916" width="10.42578125" style="1985" customWidth="1"/>
    <col min="6917" max="6923" width="10.5703125" style="1985" customWidth="1"/>
    <col min="6924" max="6924" width="9.140625" style="1985"/>
    <col min="6925" max="6925" width="11.42578125" style="1985" bestFit="1" customWidth="1"/>
    <col min="6926" max="6926" width="9.5703125" style="1985" bestFit="1" customWidth="1"/>
    <col min="6927" max="7169" width="9.140625" style="1985"/>
    <col min="7170" max="7170" width="5.42578125" style="1985" customWidth="1"/>
    <col min="7171" max="7171" width="56.42578125" style="1985" customWidth="1"/>
    <col min="7172" max="7172" width="10.42578125" style="1985" customWidth="1"/>
    <col min="7173" max="7179" width="10.5703125" style="1985" customWidth="1"/>
    <col min="7180" max="7180" width="9.140625" style="1985"/>
    <col min="7181" max="7181" width="11.42578125" style="1985" bestFit="1" customWidth="1"/>
    <col min="7182" max="7182" width="9.5703125" style="1985" bestFit="1" customWidth="1"/>
    <col min="7183" max="7425" width="9.140625" style="1985"/>
    <col min="7426" max="7426" width="5.42578125" style="1985" customWidth="1"/>
    <col min="7427" max="7427" width="56.42578125" style="1985" customWidth="1"/>
    <col min="7428" max="7428" width="10.42578125" style="1985" customWidth="1"/>
    <col min="7429" max="7435" width="10.5703125" style="1985" customWidth="1"/>
    <col min="7436" max="7436" width="9.140625" style="1985"/>
    <col min="7437" max="7437" width="11.42578125" style="1985" bestFit="1" customWidth="1"/>
    <col min="7438" max="7438" width="9.5703125" style="1985" bestFit="1" customWidth="1"/>
    <col min="7439" max="7681" width="9.140625" style="1985"/>
    <col min="7682" max="7682" width="5.42578125" style="1985" customWidth="1"/>
    <col min="7683" max="7683" width="56.42578125" style="1985" customWidth="1"/>
    <col min="7684" max="7684" width="10.42578125" style="1985" customWidth="1"/>
    <col min="7685" max="7691" width="10.5703125" style="1985" customWidth="1"/>
    <col min="7692" max="7692" width="9.140625" style="1985"/>
    <col min="7693" max="7693" width="11.42578125" style="1985" bestFit="1" customWidth="1"/>
    <col min="7694" max="7694" width="9.5703125" style="1985" bestFit="1" customWidth="1"/>
    <col min="7695" max="7937" width="9.140625" style="1985"/>
    <col min="7938" max="7938" width="5.42578125" style="1985" customWidth="1"/>
    <col min="7939" max="7939" width="56.42578125" style="1985" customWidth="1"/>
    <col min="7940" max="7940" width="10.42578125" style="1985" customWidth="1"/>
    <col min="7941" max="7947" width="10.5703125" style="1985" customWidth="1"/>
    <col min="7948" max="7948" width="9.140625" style="1985"/>
    <col min="7949" max="7949" width="11.42578125" style="1985" bestFit="1" customWidth="1"/>
    <col min="7950" max="7950" width="9.5703125" style="1985" bestFit="1" customWidth="1"/>
    <col min="7951" max="8193" width="9.140625" style="1985"/>
    <col min="8194" max="8194" width="5.42578125" style="1985" customWidth="1"/>
    <col min="8195" max="8195" width="56.42578125" style="1985" customWidth="1"/>
    <col min="8196" max="8196" width="10.42578125" style="1985" customWidth="1"/>
    <col min="8197" max="8203" width="10.5703125" style="1985" customWidth="1"/>
    <col min="8204" max="8204" width="9.140625" style="1985"/>
    <col min="8205" max="8205" width="11.42578125" style="1985" bestFit="1" customWidth="1"/>
    <col min="8206" max="8206" width="9.5703125" style="1985" bestFit="1" customWidth="1"/>
    <col min="8207" max="8449" width="9.140625" style="1985"/>
    <col min="8450" max="8450" width="5.42578125" style="1985" customWidth="1"/>
    <col min="8451" max="8451" width="56.42578125" style="1985" customWidth="1"/>
    <col min="8452" max="8452" width="10.42578125" style="1985" customWidth="1"/>
    <col min="8453" max="8459" width="10.5703125" style="1985" customWidth="1"/>
    <col min="8460" max="8460" width="9.140625" style="1985"/>
    <col min="8461" max="8461" width="11.42578125" style="1985" bestFit="1" customWidth="1"/>
    <col min="8462" max="8462" width="9.5703125" style="1985" bestFit="1" customWidth="1"/>
    <col min="8463" max="8705" width="9.140625" style="1985"/>
    <col min="8706" max="8706" width="5.42578125" style="1985" customWidth="1"/>
    <col min="8707" max="8707" width="56.42578125" style="1985" customWidth="1"/>
    <col min="8708" max="8708" width="10.42578125" style="1985" customWidth="1"/>
    <col min="8709" max="8715" width="10.5703125" style="1985" customWidth="1"/>
    <col min="8716" max="8716" width="9.140625" style="1985"/>
    <col min="8717" max="8717" width="11.42578125" style="1985" bestFit="1" customWidth="1"/>
    <col min="8718" max="8718" width="9.5703125" style="1985" bestFit="1" customWidth="1"/>
    <col min="8719" max="8961" width="9.140625" style="1985"/>
    <col min="8962" max="8962" width="5.42578125" style="1985" customWidth="1"/>
    <col min="8963" max="8963" width="56.42578125" style="1985" customWidth="1"/>
    <col min="8964" max="8964" width="10.42578125" style="1985" customWidth="1"/>
    <col min="8965" max="8971" width="10.5703125" style="1985" customWidth="1"/>
    <col min="8972" max="8972" width="9.140625" style="1985"/>
    <col min="8973" max="8973" width="11.42578125" style="1985" bestFit="1" customWidth="1"/>
    <col min="8974" max="8974" width="9.5703125" style="1985" bestFit="1" customWidth="1"/>
    <col min="8975" max="9217" width="9.140625" style="1985"/>
    <col min="9218" max="9218" width="5.42578125" style="1985" customWidth="1"/>
    <col min="9219" max="9219" width="56.42578125" style="1985" customWidth="1"/>
    <col min="9220" max="9220" width="10.42578125" style="1985" customWidth="1"/>
    <col min="9221" max="9227" width="10.5703125" style="1985" customWidth="1"/>
    <col min="9228" max="9228" width="9.140625" style="1985"/>
    <col min="9229" max="9229" width="11.42578125" style="1985" bestFit="1" customWidth="1"/>
    <col min="9230" max="9230" width="9.5703125" style="1985" bestFit="1" customWidth="1"/>
    <col min="9231" max="9473" width="9.140625" style="1985"/>
    <col min="9474" max="9474" width="5.42578125" style="1985" customWidth="1"/>
    <col min="9475" max="9475" width="56.42578125" style="1985" customWidth="1"/>
    <col min="9476" max="9476" width="10.42578125" style="1985" customWidth="1"/>
    <col min="9477" max="9483" width="10.5703125" style="1985" customWidth="1"/>
    <col min="9484" max="9484" width="9.140625" style="1985"/>
    <col min="9485" max="9485" width="11.42578125" style="1985" bestFit="1" customWidth="1"/>
    <col min="9486" max="9486" width="9.5703125" style="1985" bestFit="1" customWidth="1"/>
    <col min="9487" max="9729" width="9.140625" style="1985"/>
    <col min="9730" max="9730" width="5.42578125" style="1985" customWidth="1"/>
    <col min="9731" max="9731" width="56.42578125" style="1985" customWidth="1"/>
    <col min="9732" max="9732" width="10.42578125" style="1985" customWidth="1"/>
    <col min="9733" max="9739" width="10.5703125" style="1985" customWidth="1"/>
    <col min="9740" max="9740" width="9.140625" style="1985"/>
    <col min="9741" max="9741" width="11.42578125" style="1985" bestFit="1" customWidth="1"/>
    <col min="9742" max="9742" width="9.5703125" style="1985" bestFit="1" customWidth="1"/>
    <col min="9743" max="9985" width="9.140625" style="1985"/>
    <col min="9986" max="9986" width="5.42578125" style="1985" customWidth="1"/>
    <col min="9987" max="9987" width="56.42578125" style="1985" customWidth="1"/>
    <col min="9988" max="9988" width="10.42578125" style="1985" customWidth="1"/>
    <col min="9989" max="9995" width="10.5703125" style="1985" customWidth="1"/>
    <col min="9996" max="9996" width="9.140625" style="1985"/>
    <col min="9997" max="9997" width="11.42578125" style="1985" bestFit="1" customWidth="1"/>
    <col min="9998" max="9998" width="9.5703125" style="1985" bestFit="1" customWidth="1"/>
    <col min="9999" max="10241" width="9.140625" style="1985"/>
    <col min="10242" max="10242" width="5.42578125" style="1985" customWidth="1"/>
    <col min="10243" max="10243" width="56.42578125" style="1985" customWidth="1"/>
    <col min="10244" max="10244" width="10.42578125" style="1985" customWidth="1"/>
    <col min="10245" max="10251" width="10.5703125" style="1985" customWidth="1"/>
    <col min="10252" max="10252" width="9.140625" style="1985"/>
    <col min="10253" max="10253" width="11.42578125" style="1985" bestFit="1" customWidth="1"/>
    <col min="10254" max="10254" width="9.5703125" style="1985" bestFit="1" customWidth="1"/>
    <col min="10255" max="10497" width="9.140625" style="1985"/>
    <col min="10498" max="10498" width="5.42578125" style="1985" customWidth="1"/>
    <col min="10499" max="10499" width="56.42578125" style="1985" customWidth="1"/>
    <col min="10500" max="10500" width="10.42578125" style="1985" customWidth="1"/>
    <col min="10501" max="10507" width="10.5703125" style="1985" customWidth="1"/>
    <col min="10508" max="10508" width="9.140625" style="1985"/>
    <col min="10509" max="10509" width="11.42578125" style="1985" bestFit="1" customWidth="1"/>
    <col min="10510" max="10510" width="9.5703125" style="1985" bestFit="1" customWidth="1"/>
    <col min="10511" max="10753" width="9.140625" style="1985"/>
    <col min="10754" max="10754" width="5.42578125" style="1985" customWidth="1"/>
    <col min="10755" max="10755" width="56.42578125" style="1985" customWidth="1"/>
    <col min="10756" max="10756" width="10.42578125" style="1985" customWidth="1"/>
    <col min="10757" max="10763" width="10.5703125" style="1985" customWidth="1"/>
    <col min="10764" max="10764" width="9.140625" style="1985"/>
    <col min="10765" max="10765" width="11.42578125" style="1985" bestFit="1" customWidth="1"/>
    <col min="10766" max="10766" width="9.5703125" style="1985" bestFit="1" customWidth="1"/>
    <col min="10767" max="11009" width="9.140625" style="1985"/>
    <col min="11010" max="11010" width="5.42578125" style="1985" customWidth="1"/>
    <col min="11011" max="11011" width="56.42578125" style="1985" customWidth="1"/>
    <col min="11012" max="11012" width="10.42578125" style="1985" customWidth="1"/>
    <col min="11013" max="11019" width="10.5703125" style="1985" customWidth="1"/>
    <col min="11020" max="11020" width="9.140625" style="1985"/>
    <col min="11021" max="11021" width="11.42578125" style="1985" bestFit="1" customWidth="1"/>
    <col min="11022" max="11022" width="9.5703125" style="1985" bestFit="1" customWidth="1"/>
    <col min="11023" max="11265" width="9.140625" style="1985"/>
    <col min="11266" max="11266" width="5.42578125" style="1985" customWidth="1"/>
    <col min="11267" max="11267" width="56.42578125" style="1985" customWidth="1"/>
    <col min="11268" max="11268" width="10.42578125" style="1985" customWidth="1"/>
    <col min="11269" max="11275" width="10.5703125" style="1985" customWidth="1"/>
    <col min="11276" max="11276" width="9.140625" style="1985"/>
    <col min="11277" max="11277" width="11.42578125" style="1985" bestFit="1" customWidth="1"/>
    <col min="11278" max="11278" width="9.5703125" style="1985" bestFit="1" customWidth="1"/>
    <col min="11279" max="11521" width="9.140625" style="1985"/>
    <col min="11522" max="11522" width="5.42578125" style="1985" customWidth="1"/>
    <col min="11523" max="11523" width="56.42578125" style="1985" customWidth="1"/>
    <col min="11524" max="11524" width="10.42578125" style="1985" customWidth="1"/>
    <col min="11525" max="11531" width="10.5703125" style="1985" customWidth="1"/>
    <col min="11532" max="11532" width="9.140625" style="1985"/>
    <col min="11533" max="11533" width="11.42578125" style="1985" bestFit="1" customWidth="1"/>
    <col min="11534" max="11534" width="9.5703125" style="1985" bestFit="1" customWidth="1"/>
    <col min="11535" max="11777" width="9.140625" style="1985"/>
    <col min="11778" max="11778" width="5.42578125" style="1985" customWidth="1"/>
    <col min="11779" max="11779" width="56.42578125" style="1985" customWidth="1"/>
    <col min="11780" max="11780" width="10.42578125" style="1985" customWidth="1"/>
    <col min="11781" max="11787" width="10.5703125" style="1985" customWidth="1"/>
    <col min="11788" max="11788" width="9.140625" style="1985"/>
    <col min="11789" max="11789" width="11.42578125" style="1985" bestFit="1" customWidth="1"/>
    <col min="11790" max="11790" width="9.5703125" style="1985" bestFit="1" customWidth="1"/>
    <col min="11791" max="12033" width="9.140625" style="1985"/>
    <col min="12034" max="12034" width="5.42578125" style="1985" customWidth="1"/>
    <col min="12035" max="12035" width="56.42578125" style="1985" customWidth="1"/>
    <col min="12036" max="12036" width="10.42578125" style="1985" customWidth="1"/>
    <col min="12037" max="12043" width="10.5703125" style="1985" customWidth="1"/>
    <col min="12044" max="12044" width="9.140625" style="1985"/>
    <col min="12045" max="12045" width="11.42578125" style="1985" bestFit="1" customWidth="1"/>
    <col min="12046" max="12046" width="9.5703125" style="1985" bestFit="1" customWidth="1"/>
    <col min="12047" max="12289" width="9.140625" style="1985"/>
    <col min="12290" max="12290" width="5.42578125" style="1985" customWidth="1"/>
    <col min="12291" max="12291" width="56.42578125" style="1985" customWidth="1"/>
    <col min="12292" max="12292" width="10.42578125" style="1985" customWidth="1"/>
    <col min="12293" max="12299" width="10.5703125" style="1985" customWidth="1"/>
    <col min="12300" max="12300" width="9.140625" style="1985"/>
    <col min="12301" max="12301" width="11.42578125" style="1985" bestFit="1" customWidth="1"/>
    <col min="12302" max="12302" width="9.5703125" style="1985" bestFit="1" customWidth="1"/>
    <col min="12303" max="12545" width="9.140625" style="1985"/>
    <col min="12546" max="12546" width="5.42578125" style="1985" customWidth="1"/>
    <col min="12547" max="12547" width="56.42578125" style="1985" customWidth="1"/>
    <col min="12548" max="12548" width="10.42578125" style="1985" customWidth="1"/>
    <col min="12549" max="12555" width="10.5703125" style="1985" customWidth="1"/>
    <col min="12556" max="12556" width="9.140625" style="1985"/>
    <col min="12557" max="12557" width="11.42578125" style="1985" bestFit="1" customWidth="1"/>
    <col min="12558" max="12558" width="9.5703125" style="1985" bestFit="1" customWidth="1"/>
    <col min="12559" max="12801" width="9.140625" style="1985"/>
    <col min="12802" max="12802" width="5.42578125" style="1985" customWidth="1"/>
    <col min="12803" max="12803" width="56.42578125" style="1985" customWidth="1"/>
    <col min="12804" max="12804" width="10.42578125" style="1985" customWidth="1"/>
    <col min="12805" max="12811" width="10.5703125" style="1985" customWidth="1"/>
    <col min="12812" max="12812" width="9.140625" style="1985"/>
    <col min="12813" max="12813" width="11.42578125" style="1985" bestFit="1" customWidth="1"/>
    <col min="12814" max="12814" width="9.5703125" style="1985" bestFit="1" customWidth="1"/>
    <col min="12815" max="13057" width="9.140625" style="1985"/>
    <col min="13058" max="13058" width="5.42578125" style="1985" customWidth="1"/>
    <col min="13059" max="13059" width="56.42578125" style="1985" customWidth="1"/>
    <col min="13060" max="13060" width="10.42578125" style="1985" customWidth="1"/>
    <col min="13061" max="13067" width="10.5703125" style="1985" customWidth="1"/>
    <col min="13068" max="13068" width="9.140625" style="1985"/>
    <col min="13069" max="13069" width="11.42578125" style="1985" bestFit="1" customWidth="1"/>
    <col min="13070" max="13070" width="9.5703125" style="1985" bestFit="1" customWidth="1"/>
    <col min="13071" max="13313" width="9.140625" style="1985"/>
    <col min="13314" max="13314" width="5.42578125" style="1985" customWidth="1"/>
    <col min="13315" max="13315" width="56.42578125" style="1985" customWidth="1"/>
    <col min="13316" max="13316" width="10.42578125" style="1985" customWidth="1"/>
    <col min="13317" max="13323" width="10.5703125" style="1985" customWidth="1"/>
    <col min="13324" max="13324" width="9.140625" style="1985"/>
    <col min="13325" max="13325" width="11.42578125" style="1985" bestFit="1" customWidth="1"/>
    <col min="13326" max="13326" width="9.5703125" style="1985" bestFit="1" customWidth="1"/>
    <col min="13327" max="13569" width="9.140625" style="1985"/>
    <col min="13570" max="13570" width="5.42578125" style="1985" customWidth="1"/>
    <col min="13571" max="13571" width="56.42578125" style="1985" customWidth="1"/>
    <col min="13572" max="13572" width="10.42578125" style="1985" customWidth="1"/>
    <col min="13573" max="13579" width="10.5703125" style="1985" customWidth="1"/>
    <col min="13580" max="13580" width="9.140625" style="1985"/>
    <col min="13581" max="13581" width="11.42578125" style="1985" bestFit="1" customWidth="1"/>
    <col min="13582" max="13582" width="9.5703125" style="1985" bestFit="1" customWidth="1"/>
    <col min="13583" max="13825" width="9.140625" style="1985"/>
    <col min="13826" max="13826" width="5.42578125" style="1985" customWidth="1"/>
    <col min="13827" max="13827" width="56.42578125" style="1985" customWidth="1"/>
    <col min="13828" max="13828" width="10.42578125" style="1985" customWidth="1"/>
    <col min="13829" max="13835" width="10.5703125" style="1985" customWidth="1"/>
    <col min="13836" max="13836" width="9.140625" style="1985"/>
    <col min="13837" max="13837" width="11.42578125" style="1985" bestFit="1" customWidth="1"/>
    <col min="13838" max="13838" width="9.5703125" style="1985" bestFit="1" customWidth="1"/>
    <col min="13839" max="14081" width="9.140625" style="1985"/>
    <col min="14082" max="14082" width="5.42578125" style="1985" customWidth="1"/>
    <col min="14083" max="14083" width="56.42578125" style="1985" customWidth="1"/>
    <col min="14084" max="14084" width="10.42578125" style="1985" customWidth="1"/>
    <col min="14085" max="14091" width="10.5703125" style="1985" customWidth="1"/>
    <col min="14092" max="14092" width="9.140625" style="1985"/>
    <col min="14093" max="14093" width="11.42578125" style="1985" bestFit="1" customWidth="1"/>
    <col min="14094" max="14094" width="9.5703125" style="1985" bestFit="1" customWidth="1"/>
    <col min="14095" max="14337" width="9.140625" style="1985"/>
    <col min="14338" max="14338" width="5.42578125" style="1985" customWidth="1"/>
    <col min="14339" max="14339" width="56.42578125" style="1985" customWidth="1"/>
    <col min="14340" max="14340" width="10.42578125" style="1985" customWidth="1"/>
    <col min="14341" max="14347" width="10.5703125" style="1985" customWidth="1"/>
    <col min="14348" max="14348" width="9.140625" style="1985"/>
    <col min="14349" max="14349" width="11.42578125" style="1985" bestFit="1" customWidth="1"/>
    <col min="14350" max="14350" width="9.5703125" style="1985" bestFit="1" customWidth="1"/>
    <col min="14351" max="14593" width="9.140625" style="1985"/>
    <col min="14594" max="14594" width="5.42578125" style="1985" customWidth="1"/>
    <col min="14595" max="14595" width="56.42578125" style="1985" customWidth="1"/>
    <col min="14596" max="14596" width="10.42578125" style="1985" customWidth="1"/>
    <col min="14597" max="14603" width="10.5703125" style="1985" customWidth="1"/>
    <col min="14604" max="14604" width="9.140625" style="1985"/>
    <col min="14605" max="14605" width="11.42578125" style="1985" bestFit="1" customWidth="1"/>
    <col min="14606" max="14606" width="9.5703125" style="1985" bestFit="1" customWidth="1"/>
    <col min="14607" max="14849" width="9.140625" style="1985"/>
    <col min="14850" max="14850" width="5.42578125" style="1985" customWidth="1"/>
    <col min="14851" max="14851" width="56.42578125" style="1985" customWidth="1"/>
    <col min="14852" max="14852" width="10.42578125" style="1985" customWidth="1"/>
    <col min="14853" max="14859" width="10.5703125" style="1985" customWidth="1"/>
    <col min="14860" max="14860" width="9.140625" style="1985"/>
    <col min="14861" max="14861" width="11.42578125" style="1985" bestFit="1" customWidth="1"/>
    <col min="14862" max="14862" width="9.5703125" style="1985" bestFit="1" customWidth="1"/>
    <col min="14863" max="15105" width="9.140625" style="1985"/>
    <col min="15106" max="15106" width="5.42578125" style="1985" customWidth="1"/>
    <col min="15107" max="15107" width="56.42578125" style="1985" customWidth="1"/>
    <col min="15108" max="15108" width="10.42578125" style="1985" customWidth="1"/>
    <col min="15109" max="15115" width="10.5703125" style="1985" customWidth="1"/>
    <col min="15116" max="15116" width="9.140625" style="1985"/>
    <col min="15117" max="15117" width="11.42578125" style="1985" bestFit="1" customWidth="1"/>
    <col min="15118" max="15118" width="9.5703125" style="1985" bestFit="1" customWidth="1"/>
    <col min="15119" max="15361" width="9.140625" style="1985"/>
    <col min="15362" max="15362" width="5.42578125" style="1985" customWidth="1"/>
    <col min="15363" max="15363" width="56.42578125" style="1985" customWidth="1"/>
    <col min="15364" max="15364" width="10.42578125" style="1985" customWidth="1"/>
    <col min="15365" max="15371" width="10.5703125" style="1985" customWidth="1"/>
    <col min="15372" max="15372" width="9.140625" style="1985"/>
    <col min="15373" max="15373" width="11.42578125" style="1985" bestFit="1" customWidth="1"/>
    <col min="15374" max="15374" width="9.5703125" style="1985" bestFit="1" customWidth="1"/>
    <col min="15375" max="15617" width="9.140625" style="1985"/>
    <col min="15618" max="15618" width="5.42578125" style="1985" customWidth="1"/>
    <col min="15619" max="15619" width="56.42578125" style="1985" customWidth="1"/>
    <col min="15620" max="15620" width="10.42578125" style="1985" customWidth="1"/>
    <col min="15621" max="15627" width="10.5703125" style="1985" customWidth="1"/>
    <col min="15628" max="15628" width="9.140625" style="1985"/>
    <col min="15629" max="15629" width="11.42578125" style="1985" bestFit="1" customWidth="1"/>
    <col min="15630" max="15630" width="9.5703125" style="1985" bestFit="1" customWidth="1"/>
    <col min="15631" max="15873" width="9.140625" style="1985"/>
    <col min="15874" max="15874" width="5.42578125" style="1985" customWidth="1"/>
    <col min="15875" max="15875" width="56.42578125" style="1985" customWidth="1"/>
    <col min="15876" max="15876" width="10.42578125" style="1985" customWidth="1"/>
    <col min="15877" max="15883" width="10.5703125" style="1985" customWidth="1"/>
    <col min="15884" max="15884" width="9.140625" style="1985"/>
    <col min="15885" max="15885" width="11.42578125" style="1985" bestFit="1" customWidth="1"/>
    <col min="15886" max="15886" width="9.5703125" style="1985" bestFit="1" customWidth="1"/>
    <col min="15887" max="16129" width="9.140625" style="1985"/>
    <col min="16130" max="16130" width="5.42578125" style="1985" customWidth="1"/>
    <col min="16131" max="16131" width="56.42578125" style="1985" customWidth="1"/>
    <col min="16132" max="16132" width="10.42578125" style="1985" customWidth="1"/>
    <col min="16133" max="16139" width="10.5703125" style="1985" customWidth="1"/>
    <col min="16140" max="16140" width="9.140625" style="1985"/>
    <col min="16141" max="16141" width="11.42578125" style="1985" bestFit="1" customWidth="1"/>
    <col min="16142" max="16142" width="9.5703125" style="1985" bestFit="1" customWidth="1"/>
    <col min="16143" max="16384" width="9.140625" style="1985"/>
  </cols>
  <sheetData>
    <row r="1" spans="1:21" ht="19.5" customHeight="1" thickBot="1">
      <c r="A1" s="4792" t="str">
        <f>+'1. Обща информация'!B40</f>
        <v>Фиксиран курс на лева към 1 евро</v>
      </c>
      <c r="B1" s="4792"/>
      <c r="C1" s="4793">
        <f>+'1. Обща информация'!$C$40</f>
        <v>1.95583</v>
      </c>
      <c r="D1" s="4793"/>
      <c r="E1" s="1986"/>
      <c r="F1" s="1986"/>
      <c r="G1" s="1986"/>
      <c r="H1" s="1986"/>
      <c r="I1" s="1986"/>
      <c r="J1" s="1986" t="s">
        <v>1048</v>
      </c>
      <c r="K1" s="1986"/>
    </row>
    <row r="2" spans="1:21" ht="19.5" customHeight="1">
      <c r="A2" s="5055" t="s">
        <v>1402</v>
      </c>
      <c r="B2" s="5055"/>
      <c r="C2" s="5055"/>
      <c r="D2" s="5055"/>
      <c r="E2" s="5055"/>
      <c r="F2" s="5055"/>
      <c r="G2" s="5055"/>
      <c r="H2" s="5055"/>
      <c r="I2" s="5055"/>
      <c r="J2" s="5055"/>
      <c r="K2" s="5055"/>
    </row>
    <row r="3" spans="1:21" ht="18.75">
      <c r="A3" s="5055" t="s">
        <v>1744</v>
      </c>
      <c r="B3" s="5055"/>
      <c r="C3" s="5055"/>
      <c r="D3" s="5055"/>
      <c r="E3" s="5055"/>
      <c r="F3" s="5055"/>
      <c r="G3" s="5055"/>
      <c r="H3" s="5055"/>
      <c r="I3" s="5055"/>
      <c r="J3" s="5055"/>
      <c r="K3" s="5055"/>
    </row>
    <row r="4" spans="1:21" s="3783" customFormat="1" ht="19.5" customHeight="1">
      <c r="A4" s="5061" t="str">
        <f>'1. Обща информация'!A4:D4</f>
        <v>на ВОДОСНАБДЯВАНЕ И КАНАЛИЗАЦИЯ ЕООД, гр. ХАСКОВО</v>
      </c>
      <c r="B4" s="5061"/>
      <c r="C4" s="5061"/>
      <c r="D4" s="5061"/>
      <c r="E4" s="5061"/>
      <c r="F4" s="5061"/>
      <c r="G4" s="5061"/>
      <c r="H4" s="5061"/>
      <c r="I4" s="5061"/>
      <c r="J4" s="5061"/>
      <c r="K4" s="5061"/>
    </row>
    <row r="5" spans="1:21" s="3783" customFormat="1" ht="19.5" customHeight="1">
      <c r="A5" s="5061" t="str">
        <f>'1. Обща информация'!A5:D5</f>
        <v>ЕИК по БУЛСТАТ: 126004284</v>
      </c>
      <c r="B5" s="5061"/>
      <c r="C5" s="5061"/>
      <c r="D5" s="5061"/>
      <c r="E5" s="5061"/>
      <c r="F5" s="5061"/>
      <c r="G5" s="5061"/>
      <c r="H5" s="5061"/>
      <c r="I5" s="5061"/>
      <c r="J5" s="5061"/>
      <c r="K5" s="5061"/>
    </row>
    <row r="6" spans="1:21" s="3783" customFormat="1" ht="15.75" customHeight="1" thickBot="1">
      <c r="A6" s="1987"/>
      <c r="B6" s="1987"/>
      <c r="C6" s="1987"/>
      <c r="D6" s="1987"/>
      <c r="E6" s="1987"/>
      <c r="F6" s="1987"/>
      <c r="G6" s="1987"/>
      <c r="H6" s="1987"/>
      <c r="I6" s="1987"/>
      <c r="J6" s="1987"/>
      <c r="K6" s="1987"/>
    </row>
    <row r="7" spans="1:21" s="2009" customFormat="1" ht="12" customHeight="1">
      <c r="A7" s="5062" t="s">
        <v>1</v>
      </c>
      <c r="B7" s="5064" t="s">
        <v>87</v>
      </c>
      <c r="C7" s="5066" t="s">
        <v>166</v>
      </c>
      <c r="D7" s="5056" t="str">
        <f>'Приложение '!$C12</f>
        <v>2024 г.</v>
      </c>
      <c r="E7" s="5056" t="str">
        <f>CONCATENATE(LEFT(F7,4)-1, " г.")</f>
        <v>2025 г.</v>
      </c>
      <c r="F7" s="5056" t="str">
        <f>'Приложение '!$C13</f>
        <v>2026 г.</v>
      </c>
      <c r="G7" s="5056" t="str">
        <f>'Приложение '!$C14</f>
        <v>2027 г.</v>
      </c>
      <c r="H7" s="5056" t="str">
        <f>'Приложение '!$C15</f>
        <v>2028 г.</v>
      </c>
      <c r="I7" s="5056" t="str">
        <f>'Приложение '!$C16</f>
        <v>2029 г.</v>
      </c>
      <c r="J7" s="5056" t="str">
        <f>'Приложение '!$C17</f>
        <v>2030 г.</v>
      </c>
      <c r="K7" s="5056" t="str">
        <f>'Приложение '!$C18</f>
        <v>2031 г.</v>
      </c>
      <c r="L7" s="4422"/>
      <c r="M7" s="5053" t="s">
        <v>166</v>
      </c>
      <c r="N7" s="5051" t="str">
        <f>+D7</f>
        <v>2024 г.</v>
      </c>
      <c r="O7" s="5051" t="str">
        <f t="shared" ref="O7:U7" si="0">+E7</f>
        <v>2025 г.</v>
      </c>
      <c r="P7" s="5051" t="str">
        <f t="shared" si="0"/>
        <v>2026 г.</v>
      </c>
      <c r="Q7" s="5051" t="str">
        <f t="shared" si="0"/>
        <v>2027 г.</v>
      </c>
      <c r="R7" s="5051" t="str">
        <f t="shared" si="0"/>
        <v>2028 г.</v>
      </c>
      <c r="S7" s="5051" t="str">
        <f t="shared" si="0"/>
        <v>2029 г.</v>
      </c>
      <c r="T7" s="5051" t="str">
        <f t="shared" si="0"/>
        <v>2030 г.</v>
      </c>
      <c r="U7" s="5051" t="str">
        <f t="shared" si="0"/>
        <v>2031 г.</v>
      </c>
    </row>
    <row r="8" spans="1:21" s="2009" customFormat="1" ht="13.5" customHeight="1" thickBot="1">
      <c r="A8" s="5063"/>
      <c r="B8" s="5065"/>
      <c r="C8" s="5067"/>
      <c r="D8" s="5057"/>
      <c r="E8" s="5057"/>
      <c r="F8" s="5057"/>
      <c r="G8" s="5057"/>
      <c r="H8" s="5057"/>
      <c r="I8" s="5057"/>
      <c r="J8" s="5057"/>
      <c r="K8" s="5057"/>
      <c r="L8" s="4422"/>
      <c r="M8" s="5054"/>
      <c r="N8" s="5052"/>
      <c r="O8" s="5052"/>
      <c r="P8" s="5052"/>
      <c r="Q8" s="5052"/>
      <c r="R8" s="5052"/>
      <c r="S8" s="5052"/>
      <c r="T8" s="5052"/>
      <c r="U8" s="5052"/>
    </row>
    <row r="9" spans="1:21" s="2009" customFormat="1">
      <c r="A9" s="49" t="s">
        <v>141</v>
      </c>
      <c r="B9" s="50" t="s">
        <v>1000</v>
      </c>
      <c r="C9" s="1988" t="s">
        <v>595</v>
      </c>
      <c r="D9" s="4044">
        <f>SUM(D10:D12)</f>
        <v>4062.3199999999997</v>
      </c>
      <c r="E9" s="4051">
        <f t="shared" ref="E9:K9" si="1">SUM(E10:E12)</f>
        <v>4286.7699999999995</v>
      </c>
      <c r="F9" s="4051">
        <f t="shared" si="1"/>
        <v>5286.77</v>
      </c>
      <c r="G9" s="4051">
        <f t="shared" si="1"/>
        <v>5186.7700000000004</v>
      </c>
      <c r="H9" s="4047">
        <f t="shared" si="1"/>
        <v>3986.77</v>
      </c>
      <c r="I9" s="306">
        <f t="shared" si="1"/>
        <v>2586.77</v>
      </c>
      <c r="J9" s="306">
        <f t="shared" si="1"/>
        <v>1563.77</v>
      </c>
      <c r="K9" s="306">
        <f t="shared" si="1"/>
        <v>1163.77</v>
      </c>
      <c r="L9" s="4422"/>
      <c r="M9" s="3784"/>
    </row>
    <row r="10" spans="1:21" s="2009" customFormat="1" ht="24">
      <c r="A10" s="51" t="s">
        <v>90</v>
      </c>
      <c r="B10" s="1989" t="str">
        <f>+"Налични утайки в началото на годината, които са произведени преди "&amp;D7</f>
        <v>Налични утайки в началото на годината, които са произведени преди 2024 г.</v>
      </c>
      <c r="C10" s="1990" t="s">
        <v>595</v>
      </c>
      <c r="D10" s="4593">
        <v>3002</v>
      </c>
      <c r="E10" s="307">
        <f t="shared" ref="E10:G11" si="2">IF(D25&lt;0,"error",D25)</f>
        <v>2223</v>
      </c>
      <c r="F10" s="307">
        <f t="shared" si="2"/>
        <v>2223</v>
      </c>
      <c r="G10" s="307">
        <f t="shared" si="2"/>
        <v>2223</v>
      </c>
      <c r="H10" s="4043">
        <f t="shared" ref="H10:K11" si="3">IF(G25&lt;0,"error",G25)</f>
        <v>1423</v>
      </c>
      <c r="I10" s="307">
        <f t="shared" si="3"/>
        <v>623</v>
      </c>
      <c r="J10" s="308">
        <f t="shared" si="3"/>
        <v>0</v>
      </c>
      <c r="K10" s="307">
        <f t="shared" si="3"/>
        <v>0</v>
      </c>
      <c r="L10" s="4422"/>
    </row>
    <row r="11" spans="1:21" s="2009" customFormat="1" ht="24">
      <c r="A11" s="51" t="s">
        <v>91</v>
      </c>
      <c r="B11" s="1989" t="str">
        <f>+"Налични утайки в началото на годината, които са произведени през периода " &amp;D7&amp;" - "&amp;K7</f>
        <v>Налични утайки в началото на годината, които са произведени през периода 2024 г. - 2031 г.</v>
      </c>
      <c r="C11" s="1990" t="s">
        <v>595</v>
      </c>
      <c r="D11" s="4042"/>
      <c r="E11" s="307">
        <f t="shared" si="2"/>
        <v>1060.32</v>
      </c>
      <c r="F11" s="307">
        <f t="shared" si="2"/>
        <v>2063.77</v>
      </c>
      <c r="G11" s="1419">
        <f t="shared" si="2"/>
        <v>1963.77</v>
      </c>
      <c r="H11" s="4043">
        <f t="shared" si="3"/>
        <v>1563.77</v>
      </c>
      <c r="I11" s="307">
        <f t="shared" si="3"/>
        <v>963.77</v>
      </c>
      <c r="J11" s="308">
        <f t="shared" si="3"/>
        <v>563.77</v>
      </c>
      <c r="K11" s="307">
        <f t="shared" si="3"/>
        <v>163.76999999999998</v>
      </c>
      <c r="L11" s="4422"/>
    </row>
    <row r="12" spans="1:21" s="2009" customFormat="1">
      <c r="A12" s="51" t="s">
        <v>93</v>
      </c>
      <c r="B12" s="52" t="s">
        <v>596</v>
      </c>
      <c r="C12" s="1990" t="s">
        <v>595</v>
      </c>
      <c r="D12" s="4594">
        <v>1060.32</v>
      </c>
      <c r="E12" s="4623">
        <v>1003.45</v>
      </c>
      <c r="F12" s="63">
        <v>1000</v>
      </c>
      <c r="G12" s="63">
        <v>1000</v>
      </c>
      <c r="H12" s="63">
        <v>1000</v>
      </c>
      <c r="I12" s="63">
        <v>1000</v>
      </c>
      <c r="J12" s="63">
        <v>1000</v>
      </c>
      <c r="K12" s="63">
        <v>1000</v>
      </c>
      <c r="L12" s="4422"/>
    </row>
    <row r="13" spans="1:21" s="2009" customFormat="1">
      <c r="A13" s="51" t="s">
        <v>145</v>
      </c>
      <c r="B13" s="52" t="s">
        <v>1034</v>
      </c>
      <c r="C13" s="1990" t="s">
        <v>170</v>
      </c>
      <c r="D13" s="4595">
        <v>0.85</v>
      </c>
      <c r="E13" s="4628">
        <v>0.85450000000000004</v>
      </c>
      <c r="F13" s="246">
        <v>0.85</v>
      </c>
      <c r="G13" s="246">
        <v>0.85</v>
      </c>
      <c r="H13" s="246">
        <v>0.85</v>
      </c>
      <c r="I13" s="246">
        <v>0.85</v>
      </c>
      <c r="J13" s="246">
        <v>0.85</v>
      </c>
      <c r="K13" s="246">
        <v>0.85</v>
      </c>
      <c r="L13" s="4422"/>
    </row>
    <row r="14" spans="1:21" s="2009" customFormat="1" ht="48">
      <c r="A14" s="49" t="s">
        <v>95</v>
      </c>
      <c r="B14" s="53" t="s">
        <v>629</v>
      </c>
      <c r="C14" s="4053" t="s">
        <v>595</v>
      </c>
      <c r="D14" s="4054">
        <f>SUM(D15:D17)</f>
        <v>779</v>
      </c>
      <c r="E14" s="306">
        <f t="shared" ref="E14:K14" si="4">SUM(E15:E17)</f>
        <v>0</v>
      </c>
      <c r="F14" s="306">
        <f t="shared" si="4"/>
        <v>700</v>
      </c>
      <c r="G14" s="306">
        <f t="shared" si="4"/>
        <v>1000</v>
      </c>
      <c r="H14" s="4047">
        <f t="shared" si="4"/>
        <v>1200</v>
      </c>
      <c r="I14" s="306">
        <f t="shared" si="4"/>
        <v>1000</v>
      </c>
      <c r="J14" s="306">
        <f t="shared" si="4"/>
        <v>1000</v>
      </c>
      <c r="K14" s="306">
        <f t="shared" si="4"/>
        <v>1000</v>
      </c>
      <c r="L14" s="4422"/>
      <c r="M14" s="3784"/>
    </row>
    <row r="15" spans="1:21" s="2009" customFormat="1">
      <c r="A15" s="51" t="s">
        <v>96</v>
      </c>
      <c r="B15" s="52" t="str">
        <f>+"Оползотворени утайки, произведени преди "&amp;D7</f>
        <v>Оползотворени утайки, произведени преди 2024 г.</v>
      </c>
      <c r="C15" s="1991" t="s">
        <v>595</v>
      </c>
      <c r="D15" s="4593">
        <v>779</v>
      </c>
      <c r="E15" s="4623">
        <v>0</v>
      </c>
      <c r="F15" s="63">
        <v>0</v>
      </c>
      <c r="G15" s="63">
        <v>0</v>
      </c>
      <c r="H15" s="63">
        <v>0</v>
      </c>
      <c r="I15" s="63">
        <v>0</v>
      </c>
      <c r="J15" s="63">
        <v>0</v>
      </c>
      <c r="K15" s="63">
        <v>0</v>
      </c>
      <c r="L15" s="4422"/>
      <c r="M15" s="3785"/>
    </row>
    <row r="16" spans="1:21" s="2009" customFormat="1">
      <c r="A16" s="51" t="s">
        <v>97</v>
      </c>
      <c r="B16" s="52" t="s">
        <v>616</v>
      </c>
      <c r="C16" s="1991" t="s">
        <v>595</v>
      </c>
      <c r="D16" s="4042"/>
      <c r="E16" s="63">
        <v>0</v>
      </c>
      <c r="F16" s="63">
        <v>200</v>
      </c>
      <c r="G16" s="63">
        <v>200</v>
      </c>
      <c r="H16" s="4048">
        <v>200</v>
      </c>
      <c r="I16" s="63">
        <v>0</v>
      </c>
      <c r="J16" s="64">
        <v>0</v>
      </c>
      <c r="K16" s="63">
        <v>0</v>
      </c>
      <c r="L16" s="4422"/>
      <c r="M16" s="3785"/>
    </row>
    <row r="17" spans="1:21" s="2009" customFormat="1">
      <c r="A17" s="51" t="s">
        <v>169</v>
      </c>
      <c r="B17" s="52" t="s">
        <v>617</v>
      </c>
      <c r="C17" s="1991" t="s">
        <v>595</v>
      </c>
      <c r="D17" s="4594">
        <v>0</v>
      </c>
      <c r="E17" s="4623">
        <v>0</v>
      </c>
      <c r="F17" s="63">
        <v>500</v>
      </c>
      <c r="G17" s="63">
        <v>800</v>
      </c>
      <c r="H17" s="4048">
        <v>1000</v>
      </c>
      <c r="I17" s="4048">
        <v>1000</v>
      </c>
      <c r="J17" s="4048">
        <v>1000</v>
      </c>
      <c r="K17" s="4048">
        <v>1000</v>
      </c>
      <c r="L17" s="4422"/>
      <c r="M17" s="3785"/>
    </row>
    <row r="18" spans="1:21" s="2009" customFormat="1">
      <c r="A18" s="51" t="s">
        <v>242</v>
      </c>
      <c r="B18" s="52" t="s">
        <v>1035</v>
      </c>
      <c r="C18" s="1990" t="s">
        <v>170</v>
      </c>
      <c r="D18" s="4596">
        <v>0.85</v>
      </c>
      <c r="E18" s="246">
        <v>0.75</v>
      </c>
      <c r="F18" s="246">
        <v>0.75</v>
      </c>
      <c r="G18" s="246">
        <v>0.75</v>
      </c>
      <c r="H18" s="246">
        <v>0.75</v>
      </c>
      <c r="I18" s="246">
        <v>0.75</v>
      </c>
      <c r="J18" s="246">
        <v>0.75</v>
      </c>
      <c r="K18" s="246">
        <v>0.75</v>
      </c>
      <c r="L18" s="4422"/>
      <c r="M18" s="3785"/>
    </row>
    <row r="19" spans="1:21" s="2009" customFormat="1">
      <c r="A19" s="49" t="s">
        <v>99</v>
      </c>
      <c r="B19" s="50" t="s">
        <v>597</v>
      </c>
      <c r="C19" s="1988" t="s">
        <v>595</v>
      </c>
      <c r="D19" s="4044">
        <f>SUM(D20:D22)</f>
        <v>0</v>
      </c>
      <c r="E19" s="306">
        <f t="shared" ref="E19:K19" si="5">SUM(E20:E22)</f>
        <v>0</v>
      </c>
      <c r="F19" s="306">
        <f t="shared" si="5"/>
        <v>400</v>
      </c>
      <c r="G19" s="306">
        <f t="shared" si="5"/>
        <v>1200</v>
      </c>
      <c r="H19" s="4047">
        <f t="shared" si="5"/>
        <v>1200</v>
      </c>
      <c r="I19" s="306">
        <f t="shared" si="5"/>
        <v>1023</v>
      </c>
      <c r="J19" s="306">
        <f t="shared" si="5"/>
        <v>400</v>
      </c>
      <c r="K19" s="306">
        <f t="shared" si="5"/>
        <v>0</v>
      </c>
      <c r="L19" s="4422"/>
      <c r="M19" s="3784"/>
    </row>
    <row r="20" spans="1:21" s="2009" customFormat="1">
      <c r="A20" s="54" t="s">
        <v>171</v>
      </c>
      <c r="B20" s="55" t="str">
        <f>+"Депонирани утайки, произведени преди "&amp;D7</f>
        <v>Депонирани утайки, произведени преди 2024 г.</v>
      </c>
      <c r="C20" s="1991" t="s">
        <v>595</v>
      </c>
      <c r="D20" s="4594">
        <v>0</v>
      </c>
      <c r="E20" s="4623">
        <v>0</v>
      </c>
      <c r="F20" s="63">
        <v>0</v>
      </c>
      <c r="G20" s="63">
        <v>800</v>
      </c>
      <c r="H20" s="4048">
        <v>800</v>
      </c>
      <c r="I20" s="63">
        <v>623</v>
      </c>
      <c r="J20" s="64">
        <v>0</v>
      </c>
      <c r="K20" s="63">
        <v>0</v>
      </c>
      <c r="L20" s="4422"/>
      <c r="M20" s="3784"/>
    </row>
    <row r="21" spans="1:21" s="2009" customFormat="1">
      <c r="A21" s="54" t="s">
        <v>172</v>
      </c>
      <c r="B21" s="55" t="s">
        <v>618</v>
      </c>
      <c r="C21" s="1991" t="s">
        <v>595</v>
      </c>
      <c r="D21" s="4042"/>
      <c r="E21" s="4623">
        <v>0</v>
      </c>
      <c r="F21" s="63">
        <v>400</v>
      </c>
      <c r="G21" s="63">
        <v>400</v>
      </c>
      <c r="H21" s="63">
        <v>400</v>
      </c>
      <c r="I21" s="63">
        <v>400</v>
      </c>
      <c r="J21" s="63">
        <v>400</v>
      </c>
      <c r="K21" s="63">
        <v>0</v>
      </c>
      <c r="L21" s="4422"/>
      <c r="M21" s="3784"/>
    </row>
    <row r="22" spans="1:21" s="2009" customFormat="1">
      <c r="A22" s="54" t="s">
        <v>619</v>
      </c>
      <c r="B22" s="55" t="s">
        <v>620</v>
      </c>
      <c r="C22" s="1991" t="s">
        <v>595</v>
      </c>
      <c r="D22" s="4594">
        <v>0</v>
      </c>
      <c r="E22" s="4623">
        <v>0</v>
      </c>
      <c r="F22" s="63">
        <v>0</v>
      </c>
      <c r="G22" s="63">
        <v>0</v>
      </c>
      <c r="H22" s="63">
        <v>0</v>
      </c>
      <c r="I22" s="63">
        <v>0</v>
      </c>
      <c r="J22" s="63">
        <v>0</v>
      </c>
      <c r="K22" s="63">
        <v>0</v>
      </c>
      <c r="L22" s="4422"/>
      <c r="M22" s="3784"/>
    </row>
    <row r="23" spans="1:21" s="2009" customFormat="1">
      <c r="A23" s="51" t="s">
        <v>1002</v>
      </c>
      <c r="B23" s="52" t="s">
        <v>1036</v>
      </c>
      <c r="C23" s="1990" t="s">
        <v>170</v>
      </c>
      <c r="D23" s="245">
        <v>0.8</v>
      </c>
      <c r="E23" s="245">
        <v>0.8</v>
      </c>
      <c r="F23" s="245">
        <v>0.8</v>
      </c>
      <c r="G23" s="245">
        <v>0.8</v>
      </c>
      <c r="H23" s="245">
        <v>0.8</v>
      </c>
      <c r="I23" s="245">
        <v>0.8</v>
      </c>
      <c r="J23" s="245">
        <v>0.8</v>
      </c>
      <c r="K23" s="245">
        <v>0.8</v>
      </c>
      <c r="L23" s="4422"/>
      <c r="M23" s="3784"/>
    </row>
    <row r="24" spans="1:21" s="2009" customFormat="1">
      <c r="A24" s="49" t="s">
        <v>100</v>
      </c>
      <c r="B24" s="50" t="s">
        <v>598</v>
      </c>
      <c r="C24" s="1988" t="s">
        <v>595</v>
      </c>
      <c r="D24" s="4044">
        <f t="shared" ref="D24:K24" si="6">IF(D9-D14-D19&gt;=0,D9-D14-D19,0)</f>
        <v>3283.3199999999997</v>
      </c>
      <c r="E24" s="306">
        <f t="shared" ref="E24" si="7">IF(E9-E14-E19&gt;=0,E9-E14-E19,0)</f>
        <v>4286.7699999999995</v>
      </c>
      <c r="F24" s="306">
        <f t="shared" si="6"/>
        <v>4186.7700000000004</v>
      </c>
      <c r="G24" s="306">
        <f t="shared" si="6"/>
        <v>2986.7700000000004</v>
      </c>
      <c r="H24" s="4047">
        <f t="shared" si="6"/>
        <v>1586.77</v>
      </c>
      <c r="I24" s="306">
        <f t="shared" si="6"/>
        <v>563.77</v>
      </c>
      <c r="J24" s="306">
        <f t="shared" si="6"/>
        <v>163.76999999999998</v>
      </c>
      <c r="K24" s="306">
        <f t="shared" si="6"/>
        <v>163.76999999999998</v>
      </c>
      <c r="L24" s="4422"/>
      <c r="M24" s="3784"/>
    </row>
    <row r="25" spans="1:21" s="2009" customFormat="1">
      <c r="A25" s="54" t="s">
        <v>101</v>
      </c>
      <c r="B25" s="55" t="str">
        <f>+"Остатък утайки, които са произведени преди "&amp;D7</f>
        <v>Остатък утайки, които са произведени преди 2024 г.</v>
      </c>
      <c r="C25" s="1991" t="s">
        <v>595</v>
      </c>
      <c r="D25" s="309">
        <f>D10-D15-D20</f>
        <v>2223</v>
      </c>
      <c r="E25" s="307">
        <f>E10-E15-E20</f>
        <v>2223</v>
      </c>
      <c r="F25" s="307">
        <f>F10-F15-F20</f>
        <v>2223</v>
      </c>
      <c r="G25" s="307">
        <f t="shared" ref="G25:K25" si="8">G10-G15-G20</f>
        <v>1423</v>
      </c>
      <c r="H25" s="4043">
        <f t="shared" si="8"/>
        <v>623</v>
      </c>
      <c r="I25" s="307">
        <f t="shared" si="8"/>
        <v>0</v>
      </c>
      <c r="J25" s="308">
        <f t="shared" si="8"/>
        <v>0</v>
      </c>
      <c r="K25" s="307">
        <f t="shared" si="8"/>
        <v>0</v>
      </c>
      <c r="L25" s="4422"/>
      <c r="M25" s="3784"/>
    </row>
    <row r="26" spans="1:21" s="2009" customFormat="1" ht="24.75" thickBot="1">
      <c r="A26" s="54" t="s">
        <v>102</v>
      </c>
      <c r="B26" s="55" t="str">
        <f>+"Остатък утайки, произведени през периода "&amp;D7&amp;" - "&amp;K7</f>
        <v>Остатък утайки, произведени през периода 2024 г. - 2031 г.</v>
      </c>
      <c r="C26" s="1991" t="s">
        <v>595</v>
      </c>
      <c r="D26" s="309">
        <f>D11+D12-D16-D21-D17-D22</f>
        <v>1060.32</v>
      </c>
      <c r="E26" s="307">
        <f t="shared" ref="E26" si="9">E11+E12-E16-E21-E17-E22</f>
        <v>2063.77</v>
      </c>
      <c r="F26" s="307">
        <f t="shared" ref="F26:K26" si="10">F11+F12-F16-F21-F17-F22</f>
        <v>1963.77</v>
      </c>
      <c r="G26" s="307">
        <f t="shared" si="10"/>
        <v>1563.77</v>
      </c>
      <c r="H26" s="4043">
        <f t="shared" si="10"/>
        <v>963.77</v>
      </c>
      <c r="I26" s="307">
        <f t="shared" si="10"/>
        <v>563.77</v>
      </c>
      <c r="J26" s="307">
        <f t="shared" si="10"/>
        <v>163.76999999999998</v>
      </c>
      <c r="K26" s="307">
        <f t="shared" si="10"/>
        <v>163.76999999999998</v>
      </c>
      <c r="L26" s="4422"/>
      <c r="M26" s="3784"/>
    </row>
    <row r="27" spans="1:21" s="2009" customFormat="1" ht="13.5" thickBot="1">
      <c r="A27" s="49" t="s">
        <v>104</v>
      </c>
      <c r="B27" s="50" t="s">
        <v>621</v>
      </c>
      <c r="C27" s="1988" t="s">
        <v>295</v>
      </c>
      <c r="D27" s="4045">
        <f>SUM(D28:D31)</f>
        <v>87.26</v>
      </c>
      <c r="E27" s="310">
        <f t="shared" ref="E27" si="11">SUM(E28:E31)</f>
        <v>0</v>
      </c>
      <c r="F27" s="310">
        <f t="shared" ref="F27:K27" si="12">SUM(F28:F31)</f>
        <v>200</v>
      </c>
      <c r="G27" s="310">
        <f t="shared" si="12"/>
        <v>210</v>
      </c>
      <c r="H27" s="4049">
        <f t="shared" si="12"/>
        <v>220.5</v>
      </c>
      <c r="I27" s="310">
        <f t="shared" si="12"/>
        <v>231.52500000000001</v>
      </c>
      <c r="J27" s="310">
        <f t="shared" si="12"/>
        <v>171.55062500000003</v>
      </c>
      <c r="K27" s="310">
        <f t="shared" si="12"/>
        <v>127.62815625000002</v>
      </c>
      <c r="L27" s="4422"/>
      <c r="M27" s="4425" t="s">
        <v>1878</v>
      </c>
      <c r="N27" s="4438">
        <f>IFERROR(D27/$C$1,0)</f>
        <v>44.615329553182029</v>
      </c>
      <c r="O27" s="4438">
        <f t="shared" ref="O27:U32" si="13">IFERROR(E27/$C$1,0)</f>
        <v>0</v>
      </c>
      <c r="P27" s="4438">
        <f t="shared" si="13"/>
        <v>102.2583762392437</v>
      </c>
      <c r="Q27" s="4438">
        <f t="shared" si="13"/>
        <v>107.37129505120589</v>
      </c>
      <c r="R27" s="4438">
        <f t="shared" si="13"/>
        <v>112.73985980376618</v>
      </c>
      <c r="S27" s="4438">
        <f t="shared" si="13"/>
        <v>118.37685279395448</v>
      </c>
      <c r="T27" s="4438">
        <f t="shared" si="13"/>
        <v>87.71244177663705</v>
      </c>
      <c r="U27" s="4438">
        <f t="shared" si="13"/>
        <v>65.255240102667415</v>
      </c>
    </row>
    <row r="28" spans="1:21" s="2009" customFormat="1" ht="13.5" thickBot="1">
      <c r="A28" s="54" t="s">
        <v>105</v>
      </c>
      <c r="B28" s="55" t="s">
        <v>723</v>
      </c>
      <c r="C28" s="1991" t="s">
        <v>295</v>
      </c>
      <c r="D28" s="62">
        <v>0</v>
      </c>
      <c r="E28" s="63">
        <v>0</v>
      </c>
      <c r="F28" s="63">
        <v>0</v>
      </c>
      <c r="G28" s="63">
        <v>0</v>
      </c>
      <c r="H28" s="63">
        <v>0</v>
      </c>
      <c r="I28" s="63">
        <v>0</v>
      </c>
      <c r="J28" s="63">
        <v>0</v>
      </c>
      <c r="K28" s="63">
        <v>0</v>
      </c>
      <c r="L28" s="4422"/>
      <c r="M28" s="4425" t="s">
        <v>1878</v>
      </c>
      <c r="N28" s="4438">
        <f t="shared" ref="N28:N32" si="14">IFERROR(D28/$C$1,0)</f>
        <v>0</v>
      </c>
      <c r="O28" s="4438">
        <f t="shared" si="13"/>
        <v>0</v>
      </c>
      <c r="P28" s="4438">
        <f t="shared" si="13"/>
        <v>0</v>
      </c>
      <c r="Q28" s="4438">
        <f t="shared" si="13"/>
        <v>0</v>
      </c>
      <c r="R28" s="4438">
        <f t="shared" si="13"/>
        <v>0</v>
      </c>
      <c r="S28" s="4438">
        <f t="shared" si="13"/>
        <v>0</v>
      </c>
      <c r="T28" s="4438">
        <f t="shared" si="13"/>
        <v>0</v>
      </c>
      <c r="U28" s="4438">
        <f t="shared" si="13"/>
        <v>0</v>
      </c>
    </row>
    <row r="29" spans="1:21" s="2009" customFormat="1" ht="13.5" thickBot="1">
      <c r="A29" s="54" t="s">
        <v>109</v>
      </c>
      <c r="B29" s="55" t="s">
        <v>724</v>
      </c>
      <c r="C29" s="1991" t="s">
        <v>295</v>
      </c>
      <c r="D29" s="62">
        <v>0</v>
      </c>
      <c r="E29" s="63">
        <v>0</v>
      </c>
      <c r="F29" s="63">
        <v>100</v>
      </c>
      <c r="G29" s="63">
        <v>105</v>
      </c>
      <c r="H29" s="4048">
        <v>110.25</v>
      </c>
      <c r="I29" s="63">
        <v>115.7625</v>
      </c>
      <c r="J29" s="405">
        <v>50</v>
      </c>
      <c r="K29" s="406">
        <v>0</v>
      </c>
      <c r="L29" s="4422"/>
      <c r="M29" s="4425" t="s">
        <v>1878</v>
      </c>
      <c r="N29" s="4438">
        <f t="shared" si="14"/>
        <v>0</v>
      </c>
      <c r="O29" s="4438">
        <f t="shared" si="13"/>
        <v>0</v>
      </c>
      <c r="P29" s="4438">
        <f t="shared" si="13"/>
        <v>51.129188119621851</v>
      </c>
      <c r="Q29" s="4438">
        <f t="shared" si="13"/>
        <v>53.685647525602946</v>
      </c>
      <c r="R29" s="4438">
        <f t="shared" si="13"/>
        <v>56.36992990188309</v>
      </c>
      <c r="S29" s="4438">
        <f t="shared" si="13"/>
        <v>59.188426396977242</v>
      </c>
      <c r="T29" s="4438">
        <f t="shared" si="13"/>
        <v>25.564594059810926</v>
      </c>
      <c r="U29" s="4438">
        <f t="shared" si="13"/>
        <v>0</v>
      </c>
    </row>
    <row r="30" spans="1:21" s="2009" customFormat="1" ht="13.5" thickBot="1">
      <c r="A30" s="54" t="s">
        <v>83</v>
      </c>
      <c r="B30" s="55" t="s">
        <v>623</v>
      </c>
      <c r="C30" s="1991" t="s">
        <v>295</v>
      </c>
      <c r="D30" s="62">
        <v>0</v>
      </c>
      <c r="E30" s="63">
        <v>0</v>
      </c>
      <c r="F30" s="63">
        <v>0</v>
      </c>
      <c r="G30" s="63">
        <v>0</v>
      </c>
      <c r="H30" s="63">
        <v>0</v>
      </c>
      <c r="I30" s="63">
        <v>0</v>
      </c>
      <c r="J30" s="63">
        <v>0</v>
      </c>
      <c r="K30" s="63">
        <v>0</v>
      </c>
      <c r="L30" s="4422"/>
      <c r="M30" s="4425" t="s">
        <v>1878</v>
      </c>
      <c r="N30" s="4438">
        <f t="shared" si="14"/>
        <v>0</v>
      </c>
      <c r="O30" s="4438">
        <f t="shared" si="13"/>
        <v>0</v>
      </c>
      <c r="P30" s="4438">
        <f t="shared" si="13"/>
        <v>0</v>
      </c>
      <c r="Q30" s="4438">
        <f t="shared" si="13"/>
        <v>0</v>
      </c>
      <c r="R30" s="4438">
        <f t="shared" si="13"/>
        <v>0</v>
      </c>
      <c r="S30" s="4438">
        <f t="shared" si="13"/>
        <v>0</v>
      </c>
      <c r="T30" s="4438">
        <f t="shared" si="13"/>
        <v>0</v>
      </c>
      <c r="U30" s="4438">
        <f t="shared" si="13"/>
        <v>0</v>
      </c>
    </row>
    <row r="31" spans="1:21" s="2009" customFormat="1" ht="13.5" thickBot="1">
      <c r="A31" s="54" t="s">
        <v>84</v>
      </c>
      <c r="B31" s="55" t="s">
        <v>624</v>
      </c>
      <c r="C31" s="1991" t="s">
        <v>295</v>
      </c>
      <c r="D31" s="4593">
        <v>87.26</v>
      </c>
      <c r="E31" s="4623">
        <v>0</v>
      </c>
      <c r="F31" s="63">
        <v>100</v>
      </c>
      <c r="G31" s="63">
        <f>F31*1.05</f>
        <v>105</v>
      </c>
      <c r="H31" s="63">
        <f t="shared" ref="H31:K31" si="15">G31*1.05</f>
        <v>110.25</v>
      </c>
      <c r="I31" s="63">
        <f t="shared" si="15"/>
        <v>115.7625</v>
      </c>
      <c r="J31" s="63">
        <f t="shared" si="15"/>
        <v>121.55062500000001</v>
      </c>
      <c r="K31" s="63">
        <f t="shared" si="15"/>
        <v>127.62815625000002</v>
      </c>
      <c r="L31" s="4422"/>
      <c r="M31" s="4425" t="s">
        <v>1878</v>
      </c>
      <c r="N31" s="4438">
        <f t="shared" si="14"/>
        <v>44.615329553182029</v>
      </c>
      <c r="O31" s="4438">
        <f t="shared" si="13"/>
        <v>0</v>
      </c>
      <c r="P31" s="4438">
        <f t="shared" si="13"/>
        <v>51.129188119621851</v>
      </c>
      <c r="Q31" s="4438">
        <f t="shared" si="13"/>
        <v>53.685647525602946</v>
      </c>
      <c r="R31" s="4438">
        <f t="shared" si="13"/>
        <v>56.36992990188309</v>
      </c>
      <c r="S31" s="4438">
        <f t="shared" si="13"/>
        <v>59.188426396977242</v>
      </c>
      <c r="T31" s="4438">
        <f t="shared" si="13"/>
        <v>62.147847716826114</v>
      </c>
      <c r="U31" s="4438">
        <f t="shared" si="13"/>
        <v>65.255240102667415</v>
      </c>
    </row>
    <row r="32" spans="1:21" s="2009" customFormat="1" ht="13.5" thickBot="1">
      <c r="A32" s="49" t="s">
        <v>599</v>
      </c>
      <c r="B32" s="598" t="s">
        <v>622</v>
      </c>
      <c r="C32" s="1988" t="s">
        <v>600</v>
      </c>
      <c r="D32" s="4046">
        <f t="shared" ref="D32:K32" si="16">IFERROR(D27*1000/(D14+D19),0)</f>
        <v>112.01540436456996</v>
      </c>
      <c r="E32" s="4052">
        <f t="shared" si="16"/>
        <v>0</v>
      </c>
      <c r="F32" s="4052">
        <f t="shared" si="16"/>
        <v>181.81818181818181</v>
      </c>
      <c r="G32" s="4052">
        <f t="shared" si="16"/>
        <v>95.454545454545453</v>
      </c>
      <c r="H32" s="4050">
        <f t="shared" si="16"/>
        <v>91.875</v>
      </c>
      <c r="I32" s="311">
        <f t="shared" si="16"/>
        <v>114.44636678200692</v>
      </c>
      <c r="J32" s="311">
        <f t="shared" si="16"/>
        <v>122.53616071428573</v>
      </c>
      <c r="K32" s="311">
        <f t="shared" si="16"/>
        <v>127.62815625000002</v>
      </c>
      <c r="L32" s="4422"/>
      <c r="M32" s="4439" t="s">
        <v>1883</v>
      </c>
      <c r="N32" s="4440">
        <f t="shared" si="14"/>
        <v>57.272566820516076</v>
      </c>
      <c r="O32" s="4440">
        <f t="shared" si="13"/>
        <v>0</v>
      </c>
      <c r="P32" s="4440">
        <f t="shared" si="13"/>
        <v>92.962160217494272</v>
      </c>
      <c r="Q32" s="4440">
        <f t="shared" si="13"/>
        <v>48.80513411418449</v>
      </c>
      <c r="R32" s="4440">
        <f t="shared" si="13"/>
        <v>46.974941584902574</v>
      </c>
      <c r="S32" s="4440">
        <f t="shared" si="13"/>
        <v>58.515498168044729</v>
      </c>
      <c r="T32" s="4440">
        <f t="shared" si="13"/>
        <v>62.651744126169312</v>
      </c>
      <c r="U32" s="4440">
        <f t="shared" si="13"/>
        <v>65.255240102667415</v>
      </c>
    </row>
    <row r="33" spans="1:21" s="3786" customFormat="1">
      <c r="A33" s="1486" t="s">
        <v>1118</v>
      </c>
      <c r="B33" s="849" t="s">
        <v>1119</v>
      </c>
      <c r="C33" s="1992" t="s">
        <v>1120</v>
      </c>
      <c r="D33" s="1993">
        <f>SUM(D34:D36)</f>
        <v>27082.133333333331</v>
      </c>
      <c r="E33" s="1994">
        <f>SUM(E34:E36)</f>
        <v>29462.336769759455</v>
      </c>
      <c r="F33" s="1994">
        <f>SUM(F34:F36)</f>
        <v>35245.133333333331</v>
      </c>
      <c r="G33" s="1994">
        <f t="shared" ref="G33:K33" si="17">SUM(G34:G36)</f>
        <v>34578.46666666666</v>
      </c>
      <c r="H33" s="1994">
        <f t="shared" si="17"/>
        <v>26578.46666666666</v>
      </c>
      <c r="I33" s="1994">
        <f t="shared" si="17"/>
        <v>17245.133333333331</v>
      </c>
      <c r="J33" s="1994">
        <f t="shared" si="17"/>
        <v>10425.133333333331</v>
      </c>
      <c r="K33" s="1993">
        <f t="shared" si="17"/>
        <v>7758.4666666666653</v>
      </c>
      <c r="L33" s="4422"/>
    </row>
    <row r="34" spans="1:21" s="3786" customFormat="1" ht="24">
      <c r="A34" s="1487" t="s">
        <v>958</v>
      </c>
      <c r="B34" s="4192" t="str">
        <f>+"Налични утайки в началото на годината, които са произведени преди "&amp;D7</f>
        <v>Налични утайки в началото на годината, които са произведени преди 2024 г.</v>
      </c>
      <c r="C34" s="1995" t="s">
        <v>1120</v>
      </c>
      <c r="D34" s="1996">
        <f>D10/(100%-D13)</f>
        <v>20013.333333333332</v>
      </c>
      <c r="E34" s="1996">
        <f t="shared" ref="E34" si="18">E10/(100%-E13)</f>
        <v>15278.350515463921</v>
      </c>
      <c r="F34" s="1996">
        <f t="shared" ref="F34:K34" si="19">F10/(100%-F13)</f>
        <v>14819.999999999998</v>
      </c>
      <c r="G34" s="1996">
        <f t="shared" si="19"/>
        <v>14819.999999999998</v>
      </c>
      <c r="H34" s="1996">
        <f t="shared" si="19"/>
        <v>9486.6666666666661</v>
      </c>
      <c r="I34" s="1996">
        <f t="shared" si="19"/>
        <v>4153.333333333333</v>
      </c>
      <c r="J34" s="1996">
        <f t="shared" si="19"/>
        <v>0</v>
      </c>
      <c r="K34" s="1996">
        <f t="shared" si="19"/>
        <v>0</v>
      </c>
      <c r="L34" s="4422"/>
    </row>
    <row r="35" spans="1:21" s="3786" customFormat="1" ht="24">
      <c r="A35" s="1487" t="s">
        <v>959</v>
      </c>
      <c r="B35" s="4192" t="str">
        <f>+"Налични утайки в началото на годината, които са произведени през периода "&amp;D7&amp;" - "&amp;K7</f>
        <v>Налични утайки в началото на годината, които са произведени през периода 2024 г. - 2031 г.</v>
      </c>
      <c r="C35" s="1995" t="s">
        <v>1120</v>
      </c>
      <c r="D35" s="1996">
        <f>D11/(100%-D13)</f>
        <v>0</v>
      </c>
      <c r="E35" s="1996">
        <f t="shared" ref="E35" si="20">E11/(100%-E13)</f>
        <v>7287.4226804123728</v>
      </c>
      <c r="F35" s="1996">
        <f t="shared" ref="F35:K35" si="21">F11/(100%-F13)</f>
        <v>13758.466666666665</v>
      </c>
      <c r="G35" s="1996">
        <f t="shared" si="21"/>
        <v>13091.799999999997</v>
      </c>
      <c r="H35" s="1996">
        <f t="shared" si="21"/>
        <v>10425.133333333331</v>
      </c>
      <c r="I35" s="1996">
        <f t="shared" si="21"/>
        <v>6425.1333333333323</v>
      </c>
      <c r="J35" s="1996">
        <f t="shared" si="21"/>
        <v>3758.4666666666658</v>
      </c>
      <c r="K35" s="1996">
        <f t="shared" si="21"/>
        <v>1091.7999999999997</v>
      </c>
      <c r="L35" s="4422"/>
    </row>
    <row r="36" spans="1:21" s="3786" customFormat="1">
      <c r="A36" s="1487" t="s">
        <v>960</v>
      </c>
      <c r="B36" s="850" t="s">
        <v>1193</v>
      </c>
      <c r="C36" s="1995" t="s">
        <v>1120</v>
      </c>
      <c r="D36" s="1997">
        <f>D12/(100%-D13)</f>
        <v>7068.7999999999984</v>
      </c>
      <c r="E36" s="1997">
        <f t="shared" ref="E36" si="22">E12/(100%-E13)</f>
        <v>6896.5635738831634</v>
      </c>
      <c r="F36" s="1997">
        <f t="shared" ref="F36:K36" si="23">F12/(100%-F13)</f>
        <v>6666.6666666666661</v>
      </c>
      <c r="G36" s="1997">
        <f t="shared" si="23"/>
        <v>6666.6666666666661</v>
      </c>
      <c r="H36" s="1997">
        <f t="shared" si="23"/>
        <v>6666.6666666666661</v>
      </c>
      <c r="I36" s="1997">
        <f t="shared" si="23"/>
        <v>6666.6666666666661</v>
      </c>
      <c r="J36" s="1997">
        <f t="shared" si="23"/>
        <v>6666.6666666666661</v>
      </c>
      <c r="K36" s="1997">
        <f t="shared" si="23"/>
        <v>6666.6666666666661</v>
      </c>
      <c r="L36" s="4422"/>
    </row>
    <row r="37" spans="1:21" s="3786" customFormat="1">
      <c r="A37" s="1488" t="s">
        <v>1121</v>
      </c>
      <c r="B37" s="851" t="s">
        <v>1122</v>
      </c>
      <c r="C37" s="1998" t="s">
        <v>1120</v>
      </c>
      <c r="D37" s="1999">
        <f>SUM(D38:D39)</f>
        <v>5193.3333333333321</v>
      </c>
      <c r="E37" s="2000">
        <f>SUM(E38:E39)</f>
        <v>0</v>
      </c>
      <c r="F37" s="2000">
        <f>SUM(F38:F39)</f>
        <v>4800</v>
      </c>
      <c r="G37" s="2000">
        <f t="shared" ref="G37:K37" si="24">SUM(G38:G39)</f>
        <v>10000</v>
      </c>
      <c r="H37" s="2000">
        <f t="shared" si="24"/>
        <v>10800</v>
      </c>
      <c r="I37" s="2000">
        <f t="shared" si="24"/>
        <v>9115</v>
      </c>
      <c r="J37" s="2000">
        <f t="shared" si="24"/>
        <v>6000</v>
      </c>
      <c r="K37" s="1999">
        <f t="shared" si="24"/>
        <v>4000</v>
      </c>
      <c r="L37" s="4422"/>
    </row>
    <row r="38" spans="1:21" s="3786" customFormat="1">
      <c r="A38" s="1487" t="s">
        <v>1123</v>
      </c>
      <c r="B38" s="850" t="s">
        <v>1124</v>
      </c>
      <c r="C38" s="1995" t="s">
        <v>1120</v>
      </c>
      <c r="D38" s="1996">
        <f>D14/(100%-D18)</f>
        <v>5193.3333333333321</v>
      </c>
      <c r="E38" s="1996">
        <f t="shared" ref="E38" si="25">E14/(100%-E18)</f>
        <v>0</v>
      </c>
      <c r="F38" s="1996">
        <f t="shared" ref="F38:K38" si="26">F14/(100%-F18)</f>
        <v>2800</v>
      </c>
      <c r="G38" s="1996">
        <f t="shared" si="26"/>
        <v>4000</v>
      </c>
      <c r="H38" s="1996">
        <f t="shared" si="26"/>
        <v>4800</v>
      </c>
      <c r="I38" s="1996">
        <f t="shared" si="26"/>
        <v>4000</v>
      </c>
      <c r="J38" s="1996">
        <f t="shared" si="26"/>
        <v>4000</v>
      </c>
      <c r="K38" s="1996">
        <f t="shared" si="26"/>
        <v>4000</v>
      </c>
      <c r="L38" s="4422"/>
    </row>
    <row r="39" spans="1:21" s="3786" customFormat="1">
      <c r="A39" s="1487" t="s">
        <v>1125</v>
      </c>
      <c r="B39" s="850" t="s">
        <v>1126</v>
      </c>
      <c r="C39" s="1995" t="s">
        <v>1120</v>
      </c>
      <c r="D39" s="1997">
        <f t="shared" ref="D39:K39" si="27">D19/(100%-D23)</f>
        <v>0</v>
      </c>
      <c r="E39" s="2001">
        <f t="shared" ref="E39" si="28">E19/(100%-E23)</f>
        <v>0</v>
      </c>
      <c r="F39" s="2001">
        <f t="shared" si="27"/>
        <v>2000.0000000000005</v>
      </c>
      <c r="G39" s="2001">
        <f t="shared" si="27"/>
        <v>6000.0000000000009</v>
      </c>
      <c r="H39" s="2001">
        <f t="shared" si="27"/>
        <v>6000.0000000000009</v>
      </c>
      <c r="I39" s="2001">
        <f t="shared" si="27"/>
        <v>5115.0000000000009</v>
      </c>
      <c r="J39" s="2001">
        <f t="shared" si="27"/>
        <v>2000.0000000000005</v>
      </c>
      <c r="K39" s="2001">
        <f t="shared" si="27"/>
        <v>0</v>
      </c>
      <c r="L39" s="4422"/>
    </row>
    <row r="40" spans="1:21" s="3786" customFormat="1">
      <c r="A40" s="1489" t="s">
        <v>1127</v>
      </c>
      <c r="B40" s="852" t="s">
        <v>621</v>
      </c>
      <c r="C40" s="2002" t="s">
        <v>1128</v>
      </c>
      <c r="D40" s="1999">
        <f>SUM(D41:D42)</f>
        <v>16.802310654685499</v>
      </c>
      <c r="E40" s="2003">
        <f>SUM(E41:E42)</f>
        <v>0</v>
      </c>
      <c r="F40" s="2003">
        <f>SUM(F41:F42)</f>
        <v>85.714285714285694</v>
      </c>
      <c r="G40" s="2003">
        <f t="shared" ref="G40:K40" si="29">SUM(G41:G42)</f>
        <v>43.75</v>
      </c>
      <c r="H40" s="2003">
        <f t="shared" si="29"/>
        <v>41.34375</v>
      </c>
      <c r="I40" s="2003">
        <f t="shared" si="29"/>
        <v>51.572589809384162</v>
      </c>
      <c r="J40" s="2003">
        <f t="shared" si="29"/>
        <v>55.387656249999992</v>
      </c>
      <c r="K40" s="2004">
        <f t="shared" si="29"/>
        <v>31.907039062500004</v>
      </c>
      <c r="L40" s="4422"/>
      <c r="M40" s="4439" t="s">
        <v>1884</v>
      </c>
      <c r="N40" s="4440">
        <f t="shared" ref="N40:N42" si="30">IFERROR(D40/$C$1,0)</f>
        <v>8.5908850230774139</v>
      </c>
      <c r="O40" s="4440">
        <f t="shared" ref="O40:O42" si="31">IFERROR(E40/$C$1,0)</f>
        <v>0</v>
      </c>
      <c r="P40" s="4440">
        <f t="shared" ref="P40:P42" si="32">IFERROR(F40/$C$1,0)</f>
        <v>43.825018388247287</v>
      </c>
      <c r="Q40" s="4440">
        <f t="shared" ref="Q40:Q42" si="33">IFERROR(G40/$C$1,0)</f>
        <v>22.369019802334559</v>
      </c>
      <c r="R40" s="4440">
        <f t="shared" ref="R40:R42" si="34">IFERROR(H40/$C$1,0)</f>
        <v>21.138723713206158</v>
      </c>
      <c r="S40" s="4440">
        <f t="shared" ref="S40:S42" si="35">IFERROR(I40/$C$1,0)</f>
        <v>26.368646461800957</v>
      </c>
      <c r="T40" s="4440">
        <f t="shared" ref="T40:T42" si="36">IFERROR(J40/$C$1,0)</f>
        <v>28.319258959111984</v>
      </c>
      <c r="U40" s="4440">
        <f t="shared" ref="U40:U42" si="37">IFERROR(K40/$C$1,0)</f>
        <v>16.313810025666854</v>
      </c>
    </row>
    <row r="41" spans="1:21" s="3786" customFormat="1">
      <c r="A41" s="1487" t="s">
        <v>961</v>
      </c>
      <c r="B41" s="1989" t="s">
        <v>624</v>
      </c>
      <c r="C41" s="1995" t="s">
        <v>1128</v>
      </c>
      <c r="D41" s="1996">
        <f>IFERROR((D31*1000)/D38,0)</f>
        <v>16.802310654685499</v>
      </c>
      <c r="E41" s="1996">
        <f t="shared" ref="E41" si="38">IFERROR((E31*1000)/E38,0)</f>
        <v>0</v>
      </c>
      <c r="F41" s="1996">
        <f t="shared" ref="F41:K41" si="39">IFERROR((F31*1000)/F38,0)</f>
        <v>35.714285714285715</v>
      </c>
      <c r="G41" s="1996">
        <f t="shared" si="39"/>
        <v>26.25</v>
      </c>
      <c r="H41" s="1996">
        <f t="shared" si="39"/>
        <v>22.96875</v>
      </c>
      <c r="I41" s="1996">
        <f t="shared" si="39"/>
        <v>28.940625000000001</v>
      </c>
      <c r="J41" s="1996">
        <f t="shared" si="39"/>
        <v>30.387656250000003</v>
      </c>
      <c r="K41" s="1996">
        <f t="shared" si="39"/>
        <v>31.907039062500004</v>
      </c>
      <c r="L41" s="4422"/>
      <c r="M41" s="4439" t="s">
        <v>1884</v>
      </c>
      <c r="N41" s="4440">
        <f t="shared" si="30"/>
        <v>8.5908850230774139</v>
      </c>
      <c r="O41" s="4440">
        <f t="shared" si="31"/>
        <v>0</v>
      </c>
      <c r="P41" s="4440">
        <f t="shared" si="32"/>
        <v>18.260424328436375</v>
      </c>
      <c r="Q41" s="4440">
        <f t="shared" si="33"/>
        <v>13.421411881400736</v>
      </c>
      <c r="R41" s="4440">
        <f t="shared" si="34"/>
        <v>11.743735396225643</v>
      </c>
      <c r="S41" s="4440">
        <f t="shared" si="35"/>
        <v>14.79710659924431</v>
      </c>
      <c r="T41" s="4440">
        <f t="shared" si="36"/>
        <v>15.536961929206528</v>
      </c>
      <c r="U41" s="4440">
        <f t="shared" si="37"/>
        <v>16.313810025666854</v>
      </c>
    </row>
    <row r="42" spans="1:21" s="3786" customFormat="1" ht="13.5" thickBot="1">
      <c r="A42" s="1490" t="s">
        <v>962</v>
      </c>
      <c r="B42" s="2005" t="s">
        <v>724</v>
      </c>
      <c r="C42" s="2006" t="s">
        <v>1128</v>
      </c>
      <c r="D42" s="2007">
        <f>IFERROR((D29*1000)/D39,0)</f>
        <v>0</v>
      </c>
      <c r="E42" s="2007">
        <f t="shared" ref="E42" si="40">IFERROR((E29*1000)/E39,0)</f>
        <v>0</v>
      </c>
      <c r="F42" s="2007">
        <f t="shared" ref="F42:K42" si="41">IFERROR((F29*1000)/F39,0)</f>
        <v>49.999999999999986</v>
      </c>
      <c r="G42" s="2007">
        <f t="shared" si="41"/>
        <v>17.499999999999996</v>
      </c>
      <c r="H42" s="2007">
        <f t="shared" si="41"/>
        <v>18.374999999999996</v>
      </c>
      <c r="I42" s="2007">
        <f t="shared" si="41"/>
        <v>22.631964809384161</v>
      </c>
      <c r="J42" s="2007">
        <f t="shared" si="41"/>
        <v>24.999999999999993</v>
      </c>
      <c r="K42" s="2007">
        <f t="shared" si="41"/>
        <v>0</v>
      </c>
      <c r="L42" s="4422"/>
      <c r="M42" s="4439" t="s">
        <v>1884</v>
      </c>
      <c r="N42" s="4440">
        <f t="shared" si="30"/>
        <v>0</v>
      </c>
      <c r="O42" s="4440">
        <f t="shared" si="31"/>
        <v>0</v>
      </c>
      <c r="P42" s="4440">
        <f t="shared" si="32"/>
        <v>25.564594059810918</v>
      </c>
      <c r="Q42" s="4440">
        <f t="shared" si="33"/>
        <v>8.9476079209338213</v>
      </c>
      <c r="R42" s="4440">
        <f t="shared" si="34"/>
        <v>9.3949883169805126</v>
      </c>
      <c r="S42" s="4440">
        <f t="shared" si="35"/>
        <v>11.571539862556644</v>
      </c>
      <c r="T42" s="4440">
        <f t="shared" si="36"/>
        <v>12.782297029905459</v>
      </c>
      <c r="U42" s="4440">
        <f t="shared" si="37"/>
        <v>0</v>
      </c>
    </row>
    <row r="43" spans="1:21" s="2009" customFormat="1" ht="8.25" customHeight="1">
      <c r="A43" s="60"/>
      <c r="B43" s="61"/>
      <c r="C43" s="2008"/>
      <c r="D43" s="312"/>
      <c r="E43" s="312"/>
      <c r="F43" s="312"/>
      <c r="G43" s="312"/>
      <c r="H43" s="312"/>
      <c r="I43" s="312"/>
      <c r="J43" s="312"/>
      <c r="K43" s="312"/>
      <c r="M43" s="3787"/>
    </row>
    <row r="44" spans="1:21" s="2009" customFormat="1" ht="15" customHeight="1">
      <c r="A44" s="60"/>
      <c r="B44" s="61"/>
      <c r="C44" s="2008"/>
      <c r="D44" s="312"/>
      <c r="E44" s="312"/>
      <c r="F44" s="312"/>
      <c r="G44" s="312"/>
      <c r="H44" s="312"/>
      <c r="I44" s="312"/>
      <c r="J44" s="312"/>
      <c r="K44" s="312"/>
      <c r="M44" s="3787"/>
    </row>
    <row r="45" spans="1:21" s="2009" customFormat="1" ht="12">
      <c r="B45" s="2010" t="str">
        <f>'Приложение '!B82</f>
        <v>Дата: 29.06.2026</v>
      </c>
      <c r="D45" s="2011"/>
      <c r="E45" s="2011"/>
      <c r="F45" s="2012"/>
      <c r="G45" s="2013"/>
      <c r="H45" s="2011"/>
      <c r="I45" s="2011"/>
      <c r="M45" s="57"/>
      <c r="N45" s="57"/>
    </row>
    <row r="46" spans="1:21" s="2009" customFormat="1" ht="14.25" customHeight="1">
      <c r="D46" s="2014"/>
      <c r="E46" s="2014"/>
      <c r="F46" s="2012"/>
      <c r="G46" s="2015"/>
      <c r="H46" s="2011"/>
      <c r="I46" s="2011"/>
      <c r="J46" s="2016"/>
      <c r="L46" s="56"/>
      <c r="M46" s="57"/>
      <c r="N46" s="57"/>
      <c r="O46" s="56"/>
    </row>
    <row r="47" spans="1:21" s="2009" customFormat="1" ht="12">
      <c r="D47" s="2011"/>
      <c r="E47" s="2011"/>
      <c r="F47" s="2018"/>
      <c r="G47" s="2011"/>
      <c r="H47" s="2017"/>
      <c r="I47" s="2011"/>
      <c r="J47" s="2011"/>
      <c r="K47" s="65"/>
      <c r="L47" s="58"/>
      <c r="M47" s="57"/>
      <c r="N47" s="57"/>
      <c r="O47" s="58"/>
    </row>
    <row r="48" spans="1:21" s="2009" customFormat="1">
      <c r="A48" s="5059" t="s">
        <v>187</v>
      </c>
      <c r="B48" s="5059"/>
      <c r="C48" s="5059"/>
      <c r="D48" s="5059"/>
      <c r="E48" s="4040"/>
      <c r="F48" s="2019"/>
      <c r="G48" s="2020"/>
      <c r="H48" s="2020"/>
      <c r="I48" s="2011"/>
      <c r="J48" s="2011"/>
      <c r="K48" s="2011"/>
    </row>
    <row r="49" spans="1:12" s="135" customFormat="1">
      <c r="A49" s="5060" t="s">
        <v>188</v>
      </c>
      <c r="B49" s="5060"/>
      <c r="C49" s="5060"/>
      <c r="D49" s="5060"/>
      <c r="E49" s="4041"/>
      <c r="F49" s="2019"/>
      <c r="G49" s="2020"/>
      <c r="H49" s="2020"/>
      <c r="I49" s="2014"/>
      <c r="J49" s="2014"/>
      <c r="K49" s="2014"/>
      <c r="L49" s="3788"/>
    </row>
    <row r="50" spans="1:12" s="135" customFormat="1">
      <c r="A50" s="5058" t="s">
        <v>1373</v>
      </c>
      <c r="B50" s="5058"/>
      <c r="C50" s="5058"/>
      <c r="D50" s="5058"/>
      <c r="E50" s="5058"/>
      <c r="F50" s="5058"/>
      <c r="G50" s="2011"/>
      <c r="H50" s="2011"/>
      <c r="I50" s="2014"/>
      <c r="J50" s="2014"/>
      <c r="K50" s="2014"/>
    </row>
    <row r="51" spans="1:12" s="2009" customFormat="1" ht="12">
      <c r="D51" s="2011"/>
      <c r="E51" s="2011"/>
      <c r="F51" s="2011"/>
      <c r="G51" s="2011"/>
      <c r="H51" s="2011"/>
      <c r="I51" s="2011"/>
      <c r="J51" s="2011"/>
      <c r="K51" s="2011"/>
    </row>
  </sheetData>
  <sheetProtection algorithmName="SHA-512" hashValue="Ux7bjRoKvEpwpuuYzzHAXnIPPvbMq6DkO4vIg2gEkIpJ9+AyOWay2xU3nbWsmFgpHdEVpCRV8YdXBBJ0TpkhnA==" saltValue="Ml6D2izG0cjAF7zYX2IGDQ==" spinCount="100000" sheet="1" formatCells="0" formatColumns="0" formatRows="0"/>
  <mergeCells count="29">
    <mergeCell ref="A50:F50"/>
    <mergeCell ref="A48:D48"/>
    <mergeCell ref="A49:D49"/>
    <mergeCell ref="A4:K4"/>
    <mergeCell ref="A5:K5"/>
    <mergeCell ref="A7:A8"/>
    <mergeCell ref="B7:B8"/>
    <mergeCell ref="C7:C8"/>
    <mergeCell ref="D7:D8"/>
    <mergeCell ref="F7:F8"/>
    <mergeCell ref="G7:G8"/>
    <mergeCell ref="H7:H8"/>
    <mergeCell ref="E7:E8"/>
    <mergeCell ref="I7:I8"/>
    <mergeCell ref="J7:J8"/>
    <mergeCell ref="A1:B1"/>
    <mergeCell ref="C1:D1"/>
    <mergeCell ref="M7:M8"/>
    <mergeCell ref="A2:K2"/>
    <mergeCell ref="A3:K3"/>
    <mergeCell ref="K7:K8"/>
    <mergeCell ref="S7:S8"/>
    <mergeCell ref="T7:T8"/>
    <mergeCell ref="U7:U8"/>
    <mergeCell ref="N7:N8"/>
    <mergeCell ref="O7:O8"/>
    <mergeCell ref="P7:P8"/>
    <mergeCell ref="Q7:Q8"/>
    <mergeCell ref="R7:R8"/>
  </mergeCells>
  <printOptions horizontalCentered="1"/>
  <pageMargins left="0.51181102362204722" right="0.11811023622047245" top="0.59055118110236227" bottom="0" header="0.31496062992125984" footer="0.19685039370078741"/>
  <pageSetup paperSize="9" scale="44" orientation="portrait" r:id="rId1"/>
  <headerFooter>
    <oddFooter>&amp;C&amp;A</oddFooter>
  </headerFooter>
  <ignoredErrors>
    <ignoredError sqref="G11:K11 H10:K10" unlockedFormula="1"/>
    <ignoredError sqref="F24:K24 D24 D21" formulaRange="1"/>
    <ignoredError sqref="F25:K26 D25:D26" formulaRange="1" unlockedFormula="1"/>
    <ignoredError sqref="A24:A32 A11:A12 A14:A17 A19:A2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sheetPr>
  <dimension ref="A1:AI165"/>
  <sheetViews>
    <sheetView showGridLines="0" view="pageBreakPreview" zoomScaleNormal="55" zoomScaleSheetLayoutView="100" workbookViewId="0">
      <pane xSplit="2" ySplit="8" topLeftCell="C9" activePane="bottomRight" state="frozen"/>
      <selection pane="topRight" activeCell="C1" sqref="C1"/>
      <selection pane="bottomLeft" activeCell="A9" sqref="A9"/>
      <selection pane="bottomRight" activeCell="A24" sqref="A24:XFD24"/>
    </sheetView>
  </sheetViews>
  <sheetFormatPr defaultColWidth="9.140625" defaultRowHeight="12"/>
  <cols>
    <col min="1" max="1" width="5.85546875" style="2021" customWidth="1"/>
    <col min="2" max="2" width="47.42578125" style="2022" customWidth="1"/>
    <col min="3" max="3" width="10.5703125" style="2021" customWidth="1"/>
    <col min="4" max="15" width="8.5703125" style="2021" customWidth="1"/>
    <col min="16" max="16" width="11.42578125" style="2021" customWidth="1"/>
    <col min="17" max="22" width="6.5703125" style="2021" customWidth="1"/>
    <col min="23" max="23" width="2.42578125" style="2021" customWidth="1"/>
    <col min="24" max="16384" width="9.140625" style="2021"/>
  </cols>
  <sheetData>
    <row r="1" spans="1:35" ht="16.5" thickBot="1">
      <c r="A1" s="4792" t="str">
        <f>+'1. Обща информация'!B40</f>
        <v>Фиксиран курс на лева към 1 евро</v>
      </c>
      <c r="B1" s="4792"/>
      <c r="C1" s="4793">
        <f>+'1. Обща информация'!$C$40</f>
        <v>1.95583</v>
      </c>
      <c r="D1" s="4793"/>
      <c r="K1" s="2023"/>
      <c r="L1" s="2023"/>
      <c r="M1" s="2023"/>
      <c r="N1" s="5086"/>
      <c r="O1" s="5086"/>
      <c r="P1" s="4020"/>
      <c r="Q1" s="2023"/>
      <c r="T1" s="5086" t="s">
        <v>0</v>
      </c>
      <c r="U1" s="5086"/>
      <c r="V1" s="5086"/>
    </row>
    <row r="2" spans="1:35" s="3743" customFormat="1" ht="19.5" customHeight="1">
      <c r="A2" s="4829" t="s">
        <v>1404</v>
      </c>
      <c r="B2" s="4829"/>
      <c r="C2" s="4829"/>
      <c r="D2" s="4829"/>
      <c r="E2" s="4829"/>
      <c r="F2" s="4829"/>
      <c r="G2" s="4829"/>
      <c r="H2" s="4829"/>
      <c r="I2" s="4829"/>
      <c r="J2" s="4829"/>
      <c r="K2" s="4829"/>
      <c r="L2" s="4829"/>
      <c r="M2" s="4829"/>
      <c r="N2" s="4829"/>
      <c r="O2" s="4829"/>
      <c r="P2" s="4829"/>
      <c r="Q2" s="4829"/>
      <c r="R2" s="4829"/>
      <c r="S2" s="4829"/>
      <c r="T2" s="4829"/>
      <c r="U2" s="4829"/>
      <c r="V2" s="4829"/>
    </row>
    <row r="3" spans="1:35" s="3743" customFormat="1" ht="19.5" customHeight="1">
      <c r="A3" s="4829" t="s">
        <v>1403</v>
      </c>
      <c r="B3" s="4829"/>
      <c r="C3" s="4829"/>
      <c r="D3" s="4829"/>
      <c r="E3" s="4829"/>
      <c r="F3" s="4829"/>
      <c r="G3" s="4829"/>
      <c r="H3" s="4829"/>
      <c r="I3" s="4829"/>
      <c r="J3" s="4829"/>
      <c r="K3" s="4829"/>
      <c r="L3" s="4829"/>
      <c r="M3" s="4829"/>
      <c r="N3" s="4829"/>
      <c r="O3" s="4829"/>
      <c r="P3" s="4829"/>
      <c r="Q3" s="4829"/>
      <c r="R3" s="4829"/>
      <c r="S3" s="4829"/>
      <c r="T3" s="4829"/>
      <c r="U3" s="4829"/>
      <c r="V3" s="4829"/>
    </row>
    <row r="4" spans="1:35" s="3743" customFormat="1" ht="15.75" customHeight="1">
      <c r="A4" s="5090" t="s">
        <v>1737</v>
      </c>
      <c r="B4" s="5090"/>
      <c r="C4" s="5090"/>
      <c r="D4" s="5090"/>
      <c r="E4" s="5090"/>
      <c r="F4" s="5090"/>
      <c r="G4" s="5090"/>
      <c r="H4" s="5090"/>
      <c r="I4" s="5090"/>
      <c r="J4" s="5090"/>
      <c r="K4" s="5090"/>
      <c r="L4" s="5090"/>
      <c r="M4" s="5090"/>
      <c r="N4" s="5090"/>
      <c r="O4" s="5090"/>
      <c r="P4" s="5090"/>
      <c r="Q4" s="5090"/>
      <c r="R4" s="5090"/>
      <c r="S4" s="5090"/>
      <c r="T4" s="5090"/>
      <c r="U4" s="5090"/>
      <c r="V4" s="5090"/>
    </row>
    <row r="5" spans="1:35" s="3743" customFormat="1" ht="19.5" customHeight="1">
      <c r="A5" s="5090" t="s">
        <v>1738</v>
      </c>
      <c r="B5" s="5090"/>
      <c r="C5" s="5090"/>
      <c r="D5" s="5090"/>
      <c r="E5" s="5090"/>
      <c r="F5" s="5090"/>
      <c r="G5" s="5090"/>
      <c r="H5" s="5090"/>
      <c r="I5" s="5090"/>
      <c r="J5" s="5090"/>
      <c r="K5" s="5090"/>
      <c r="L5" s="5090"/>
      <c r="M5" s="5090"/>
      <c r="N5" s="5090"/>
      <c r="O5" s="5090"/>
      <c r="P5" s="5090"/>
      <c r="Q5" s="5090"/>
      <c r="R5" s="5090"/>
      <c r="S5" s="5090"/>
      <c r="T5" s="5090"/>
      <c r="U5" s="5090"/>
      <c r="V5" s="5090"/>
    </row>
    <row r="6" spans="1:35" ht="12.75" thickBot="1">
      <c r="A6" s="5068"/>
      <c r="B6" s="5068"/>
      <c r="C6" s="5068"/>
      <c r="D6" s="5068"/>
      <c r="E6" s="5068"/>
      <c r="F6" s="5068"/>
      <c r="G6" s="5068"/>
      <c r="H6" s="5068"/>
      <c r="I6" s="5068"/>
      <c r="J6" s="5068"/>
      <c r="K6" s="2344"/>
      <c r="L6" s="2344"/>
      <c r="M6" s="2344"/>
      <c r="N6" s="2344"/>
      <c r="O6" s="2344"/>
      <c r="P6" s="2344"/>
      <c r="Q6" s="2344"/>
    </row>
    <row r="7" spans="1:35" ht="18.75" customHeight="1" thickBot="1">
      <c r="A7" s="4991" t="s">
        <v>203</v>
      </c>
      <c r="B7" s="5076" t="s">
        <v>461</v>
      </c>
      <c r="C7" s="5078" t="s">
        <v>462</v>
      </c>
      <c r="D7" s="5072" t="s">
        <v>913</v>
      </c>
      <c r="E7" s="5073"/>
      <c r="F7" s="5073"/>
      <c r="G7" s="5073"/>
      <c r="H7" s="5073"/>
      <c r="I7" s="5074"/>
      <c r="J7" s="5091" t="s">
        <v>1562</v>
      </c>
      <c r="K7" s="4998"/>
      <c r="L7" s="4998"/>
      <c r="M7" s="4998"/>
      <c r="N7" s="4998"/>
      <c r="O7" s="4999"/>
      <c r="P7" s="5056" t="str">
        <f>CONCATENATE("Изменение (хил.лв.) ",K8," спр. ",J8)</f>
        <v>Изменение (хил.лв.) 2027 г. спр. 2024 г.</v>
      </c>
      <c r="Q7" s="4998" t="s">
        <v>1885</v>
      </c>
      <c r="R7" s="4998"/>
      <c r="S7" s="4998"/>
      <c r="T7" s="4998"/>
      <c r="U7" s="4998"/>
      <c r="V7" s="4999"/>
      <c r="W7" s="4422"/>
      <c r="X7" s="4986" t="s">
        <v>1886</v>
      </c>
      <c r="Y7" s="4986"/>
      <c r="Z7" s="4986"/>
      <c r="AA7" s="4986"/>
      <c r="AB7" s="4986"/>
      <c r="AC7" s="4986"/>
      <c r="AD7" s="4986" t="s">
        <v>1887</v>
      </c>
      <c r="AE7" s="4986"/>
      <c r="AF7" s="4986"/>
      <c r="AG7" s="4986"/>
      <c r="AH7" s="4986"/>
      <c r="AI7" s="4986"/>
    </row>
    <row r="8" spans="1:35" ht="26.45" customHeight="1" thickBot="1">
      <c r="A8" s="5075"/>
      <c r="B8" s="5077"/>
      <c r="C8" s="5079"/>
      <c r="D8" s="4193" t="str">
        <f>'Приложение '!$C12</f>
        <v>2024 г.</v>
      </c>
      <c r="E8" s="4193" t="str">
        <f>'Приложение '!$C14</f>
        <v>2027 г.</v>
      </c>
      <c r="F8" s="4193" t="str">
        <f>'Приложение '!$C15</f>
        <v>2028 г.</v>
      </c>
      <c r="G8" s="4193" t="str">
        <f>'Приложение '!$C16</f>
        <v>2029 г.</v>
      </c>
      <c r="H8" s="4193" t="str">
        <f>'Приложение '!$C17</f>
        <v>2030 г.</v>
      </c>
      <c r="I8" s="4194" t="str">
        <f>'Приложение '!$C18</f>
        <v>2031 г.</v>
      </c>
      <c r="J8" s="4195" t="str">
        <f t="shared" ref="J8:O8" si="0">D8</f>
        <v>2024 г.</v>
      </c>
      <c r="K8" s="4196" t="str">
        <f t="shared" si="0"/>
        <v>2027 г.</v>
      </c>
      <c r="L8" s="4196" t="str">
        <f t="shared" si="0"/>
        <v>2028 г.</v>
      </c>
      <c r="M8" s="4196" t="str">
        <f t="shared" si="0"/>
        <v>2029 г.</v>
      </c>
      <c r="N8" s="4196" t="str">
        <f t="shared" si="0"/>
        <v>2030 г.</v>
      </c>
      <c r="O8" s="4197" t="str">
        <f t="shared" si="0"/>
        <v>2031 г.</v>
      </c>
      <c r="P8" s="5057"/>
      <c r="Q8" s="4195" t="str">
        <f t="shared" ref="Q8:V8" si="1">J8</f>
        <v>2024 г.</v>
      </c>
      <c r="R8" s="4196" t="str">
        <f t="shared" si="1"/>
        <v>2027 г.</v>
      </c>
      <c r="S8" s="4196" t="str">
        <f t="shared" si="1"/>
        <v>2028 г.</v>
      </c>
      <c r="T8" s="4196" t="str">
        <f t="shared" si="1"/>
        <v>2029 г.</v>
      </c>
      <c r="U8" s="4196" t="str">
        <f t="shared" si="1"/>
        <v>2030 г.</v>
      </c>
      <c r="V8" s="4197" t="str">
        <f t="shared" si="1"/>
        <v>2031 г.</v>
      </c>
      <c r="W8" s="4422"/>
      <c r="X8" s="4441" t="str">
        <f>J8</f>
        <v>2024 г.</v>
      </c>
      <c r="Y8" s="4441" t="str">
        <f t="shared" ref="Y8:AC8" si="2">K8</f>
        <v>2027 г.</v>
      </c>
      <c r="Z8" s="4441" t="str">
        <f t="shared" si="2"/>
        <v>2028 г.</v>
      </c>
      <c r="AA8" s="4441" t="str">
        <f t="shared" si="2"/>
        <v>2029 г.</v>
      </c>
      <c r="AB8" s="4441" t="str">
        <f t="shared" si="2"/>
        <v>2030 г.</v>
      </c>
      <c r="AC8" s="4441" t="str">
        <f t="shared" si="2"/>
        <v>2031 г.</v>
      </c>
      <c r="AD8" s="4441" t="str">
        <f>+X8</f>
        <v>2024 г.</v>
      </c>
      <c r="AE8" s="4441" t="str">
        <f t="shared" ref="AE8:AI8" si="3">+Y8</f>
        <v>2027 г.</v>
      </c>
      <c r="AF8" s="4441" t="str">
        <f t="shared" si="3"/>
        <v>2028 г.</v>
      </c>
      <c r="AG8" s="4441" t="str">
        <f t="shared" si="3"/>
        <v>2029 г.</v>
      </c>
      <c r="AH8" s="4441" t="str">
        <f t="shared" si="3"/>
        <v>2030 г.</v>
      </c>
      <c r="AI8" s="4441" t="str">
        <f t="shared" si="3"/>
        <v>2031 г.</v>
      </c>
    </row>
    <row r="9" spans="1:35" ht="21" customHeight="1" thickBot="1">
      <c r="A9" s="1467">
        <v>1</v>
      </c>
      <c r="B9" s="3585" t="s">
        <v>207</v>
      </c>
      <c r="C9" s="5069"/>
      <c r="D9" s="5069"/>
      <c r="E9" s="5069"/>
      <c r="F9" s="5069"/>
      <c r="G9" s="5069"/>
      <c r="H9" s="5069"/>
      <c r="I9" s="5069"/>
      <c r="J9" s="5069"/>
      <c r="K9" s="5069"/>
      <c r="L9" s="5069"/>
      <c r="M9" s="5069"/>
      <c r="N9" s="5069"/>
      <c r="O9" s="5069"/>
      <c r="P9" s="5092"/>
      <c r="Q9" s="5069"/>
      <c r="R9" s="5069"/>
      <c r="S9" s="5069"/>
      <c r="T9" s="5069"/>
      <c r="U9" s="5069"/>
      <c r="V9" s="5071"/>
      <c r="W9" s="4422"/>
    </row>
    <row r="10" spans="1:35" ht="12.75">
      <c r="A10" s="421" t="s">
        <v>463</v>
      </c>
      <c r="B10" s="1444" t="s">
        <v>464</v>
      </c>
      <c r="C10" s="1419" t="s">
        <v>676</v>
      </c>
      <c r="D10" s="4583">
        <f>12</f>
        <v>12</v>
      </c>
      <c r="E10" s="3586">
        <f t="shared" ref="E10:E21" si="4">D10*1.1</f>
        <v>13.200000000000001</v>
      </c>
      <c r="F10" s="3586">
        <f t="shared" ref="F10:F21" si="5">E10*1.05</f>
        <v>13.860000000000001</v>
      </c>
      <c r="G10" s="3586">
        <f t="shared" ref="G10:G21" si="6">F10*1.03</f>
        <v>14.275800000000002</v>
      </c>
      <c r="H10" s="3586">
        <f>G10*0.95</f>
        <v>13.562010000000001</v>
      </c>
      <c r="I10" s="3587">
        <f t="shared" ref="I10:I21" si="7">H10*0.96</f>
        <v>13.0195296</v>
      </c>
      <c r="J10" s="4584">
        <v>3.0325600000000001</v>
      </c>
      <c r="K10" s="3588">
        <f>J10*1.3</f>
        <v>3.9423280000000003</v>
      </c>
      <c r="L10" s="3588">
        <f>K10*1.05</f>
        <v>4.1394444000000004</v>
      </c>
      <c r="M10" s="3588">
        <f>L10*1.03</f>
        <v>4.2636277320000007</v>
      </c>
      <c r="N10" s="3588">
        <f>M10*0.95</f>
        <v>4.0504463454000001</v>
      </c>
      <c r="O10" s="4025">
        <f>N10*0.96</f>
        <v>3.8884284915839999</v>
      </c>
      <c r="P10" s="4374">
        <f>IFERROR((K10-J10)/J10,0)</f>
        <v>0.30000000000000004</v>
      </c>
      <c r="Q10" s="4029">
        <f>ROUND(IFERROR(J10*1000/D10,0),0)</f>
        <v>253</v>
      </c>
      <c r="R10" s="3791">
        <f t="shared" ref="Q10:V22" si="8">ROUND(IFERROR(K10*1000/E10,0),0)</f>
        <v>299</v>
      </c>
      <c r="S10" s="3791">
        <f t="shared" si="8"/>
        <v>299</v>
      </c>
      <c r="T10" s="3791">
        <f t="shared" si="8"/>
        <v>299</v>
      </c>
      <c r="U10" s="3791">
        <f t="shared" si="8"/>
        <v>299</v>
      </c>
      <c r="V10" s="3792">
        <f t="shared" si="8"/>
        <v>299</v>
      </c>
      <c r="W10" s="4422"/>
      <c r="X10" s="4438">
        <f>IFERROR(J10/$C$1,0)</f>
        <v>1.5505233072404045</v>
      </c>
      <c r="Y10" s="4438">
        <f t="shared" ref="Y10:AC10" si="9">IFERROR(K10/$C$1,0)</f>
        <v>2.015680299412526</v>
      </c>
      <c r="Z10" s="4438">
        <f t="shared" si="9"/>
        <v>2.1164643143831521</v>
      </c>
      <c r="AA10" s="4438">
        <f t="shared" si="9"/>
        <v>2.1799582438146468</v>
      </c>
      <c r="AB10" s="4438">
        <f t="shared" si="9"/>
        <v>2.0709603316239145</v>
      </c>
      <c r="AC10" s="4438">
        <f t="shared" si="9"/>
        <v>1.9881219183589576</v>
      </c>
      <c r="AD10" s="4438">
        <f>IFERROR(Q10/$C$1,0)</f>
        <v>129.35684594264328</v>
      </c>
      <c r="AE10" s="4438">
        <f t="shared" ref="AE10:AI10" si="10">IFERROR(R10/$C$1,0)</f>
        <v>152.87627247766932</v>
      </c>
      <c r="AF10" s="4438">
        <f t="shared" si="10"/>
        <v>152.87627247766932</v>
      </c>
      <c r="AG10" s="4438">
        <f t="shared" si="10"/>
        <v>152.87627247766932</v>
      </c>
      <c r="AH10" s="4438">
        <f t="shared" si="10"/>
        <v>152.87627247766932</v>
      </c>
      <c r="AI10" s="4438">
        <f t="shared" si="10"/>
        <v>152.87627247766932</v>
      </c>
    </row>
    <row r="11" spans="1:35" ht="12.75">
      <c r="A11" s="422" t="s">
        <v>465</v>
      </c>
      <c r="B11" s="1445" t="s">
        <v>722</v>
      </c>
      <c r="C11" s="307" t="s">
        <v>676</v>
      </c>
      <c r="D11" s="4583">
        <v>1294</v>
      </c>
      <c r="E11" s="409">
        <f t="shared" si="4"/>
        <v>1423.4</v>
      </c>
      <c r="F11" s="409">
        <f t="shared" si="5"/>
        <v>1494.5700000000002</v>
      </c>
      <c r="G11" s="409">
        <f t="shared" si="6"/>
        <v>1539.4071000000001</v>
      </c>
      <c r="H11" s="409">
        <f t="shared" ref="H11:H22" si="11">G11*0.95</f>
        <v>1462.436745</v>
      </c>
      <c r="I11" s="424">
        <f t="shared" si="7"/>
        <v>1403.9392751999999</v>
      </c>
      <c r="J11" s="4584">
        <f>408.78141+48.20783</f>
        <v>456.98924</v>
      </c>
      <c r="K11" s="3901">
        <f t="shared" ref="K11:K22" si="12">J11*1.3</f>
        <v>594.08601199999998</v>
      </c>
      <c r="L11" s="3901">
        <f t="shared" ref="L11:L22" si="13">K11*1.05</f>
        <v>623.79031259999999</v>
      </c>
      <c r="M11" s="3901">
        <f t="shared" ref="M11:M22" si="14">L11*1.03</f>
        <v>642.50402197799997</v>
      </c>
      <c r="N11" s="3901">
        <f t="shared" ref="N11:N23" si="15">M11*0.95</f>
        <v>610.37882087909998</v>
      </c>
      <c r="O11" s="4027">
        <f t="shared" ref="O11:O22" si="16">N11*0.96</f>
        <v>585.96366804393597</v>
      </c>
      <c r="P11" s="2959">
        <f t="shared" ref="P11:P24" si="17">IFERROR((K11-J11)/J11,0)</f>
        <v>0.3</v>
      </c>
      <c r="Q11" s="4030">
        <f t="shared" si="8"/>
        <v>353</v>
      </c>
      <c r="R11" s="3793">
        <f t="shared" si="8"/>
        <v>417</v>
      </c>
      <c r="S11" s="3793">
        <f t="shared" si="8"/>
        <v>417</v>
      </c>
      <c r="T11" s="3793">
        <f t="shared" si="8"/>
        <v>417</v>
      </c>
      <c r="U11" s="3793">
        <f t="shared" si="8"/>
        <v>417</v>
      </c>
      <c r="V11" s="3794">
        <f t="shared" si="8"/>
        <v>417</v>
      </c>
      <c r="W11" s="4422"/>
      <c r="X11" s="4438">
        <f t="shared" ref="X11:X24" si="18">IFERROR(J11/$C$1,0)</f>
        <v>233.65488820603017</v>
      </c>
      <c r="Y11" s="4438">
        <f t="shared" ref="Y11:Y24" si="19">IFERROR(K11/$C$1,0)</f>
        <v>303.75135466783922</v>
      </c>
      <c r="Z11" s="4438">
        <f t="shared" ref="Z11:Z24" si="20">IFERROR(L11/$C$1,0)</f>
        <v>318.9389224012312</v>
      </c>
      <c r="AA11" s="4438">
        <f t="shared" ref="AA11:AA24" si="21">IFERROR(M11/$C$1,0)</f>
        <v>328.5070900732681</v>
      </c>
      <c r="AB11" s="4438">
        <f t="shared" ref="AB11:AB24" si="22">IFERROR(N11/$C$1,0)</f>
        <v>312.08173556960469</v>
      </c>
      <c r="AC11" s="4438">
        <f t="shared" ref="AC11:AC24" si="23">IFERROR(O11/$C$1,0)</f>
        <v>299.5984661468205</v>
      </c>
      <c r="AD11" s="4438">
        <f t="shared" ref="AD11:AD22" si="24">IFERROR(Q11/$C$1,0)</f>
        <v>180.48603406226513</v>
      </c>
      <c r="AE11" s="4438">
        <f t="shared" ref="AE11:AE22" si="25">IFERROR(R11/$C$1,0)</f>
        <v>213.20871445882312</v>
      </c>
      <c r="AF11" s="4438">
        <f t="shared" ref="AF11:AF22" si="26">IFERROR(S11/$C$1,0)</f>
        <v>213.20871445882312</v>
      </c>
      <c r="AG11" s="4438">
        <f t="shared" ref="AG11:AG22" si="27">IFERROR(T11/$C$1,0)</f>
        <v>213.20871445882312</v>
      </c>
      <c r="AH11" s="4438">
        <f t="shared" ref="AH11:AH22" si="28">IFERROR(U11/$C$1,0)</f>
        <v>213.20871445882312</v>
      </c>
      <c r="AI11" s="4438">
        <f t="shared" ref="AI11:AI22" si="29">IFERROR(V11/$C$1,0)</f>
        <v>213.20871445882312</v>
      </c>
    </row>
    <row r="12" spans="1:35" ht="12.75">
      <c r="A12" s="422" t="s">
        <v>466</v>
      </c>
      <c r="B12" s="1445" t="s">
        <v>467</v>
      </c>
      <c r="C12" s="307" t="s">
        <v>676</v>
      </c>
      <c r="D12" s="4583">
        <v>3021</v>
      </c>
      <c r="E12" s="409">
        <f t="shared" si="4"/>
        <v>3323.1000000000004</v>
      </c>
      <c r="F12" s="409">
        <f t="shared" si="5"/>
        <v>3489.2550000000006</v>
      </c>
      <c r="G12" s="409">
        <f t="shared" si="6"/>
        <v>3593.9326500000006</v>
      </c>
      <c r="H12" s="409">
        <f t="shared" si="11"/>
        <v>3414.2360175000003</v>
      </c>
      <c r="I12" s="424">
        <f t="shared" si="7"/>
        <v>3277.6665768000003</v>
      </c>
      <c r="J12" s="4584">
        <f>762.15479+105.58444</f>
        <v>867.73923000000002</v>
      </c>
      <c r="K12" s="3901">
        <f t="shared" si="12"/>
        <v>1128.060999</v>
      </c>
      <c r="L12" s="3901">
        <f t="shared" si="13"/>
        <v>1184.46404895</v>
      </c>
      <c r="M12" s="3901">
        <f t="shared" si="14"/>
        <v>1219.9979704185</v>
      </c>
      <c r="N12" s="3901">
        <f t="shared" si="15"/>
        <v>1158.9980718975751</v>
      </c>
      <c r="O12" s="4027">
        <f t="shared" si="16"/>
        <v>1112.638149021672</v>
      </c>
      <c r="P12" s="2959">
        <f t="shared" si="17"/>
        <v>0.3</v>
      </c>
      <c r="Q12" s="4030">
        <f t="shared" si="8"/>
        <v>287</v>
      </c>
      <c r="R12" s="3793">
        <f t="shared" si="8"/>
        <v>339</v>
      </c>
      <c r="S12" s="3793">
        <f t="shared" si="8"/>
        <v>339</v>
      </c>
      <c r="T12" s="3793">
        <f t="shared" si="8"/>
        <v>339</v>
      </c>
      <c r="U12" s="3793">
        <f t="shared" si="8"/>
        <v>339</v>
      </c>
      <c r="V12" s="3794">
        <f t="shared" si="8"/>
        <v>339</v>
      </c>
      <c r="W12" s="4422"/>
      <c r="X12" s="4438">
        <f t="shared" si="18"/>
        <v>443.66802329445812</v>
      </c>
      <c r="Y12" s="4438">
        <f t="shared" si="19"/>
        <v>576.76843028279552</v>
      </c>
      <c r="Z12" s="4438">
        <f t="shared" si="20"/>
        <v>605.6068517969353</v>
      </c>
      <c r="AA12" s="4438">
        <f t="shared" si="21"/>
        <v>623.77505735084344</v>
      </c>
      <c r="AB12" s="4438">
        <f t="shared" si="22"/>
        <v>592.58630448330121</v>
      </c>
      <c r="AC12" s="4438">
        <f t="shared" si="23"/>
        <v>568.88285230396923</v>
      </c>
      <c r="AD12" s="4438">
        <f t="shared" si="24"/>
        <v>146.74076990331471</v>
      </c>
      <c r="AE12" s="4438">
        <f t="shared" si="25"/>
        <v>173.32794772551807</v>
      </c>
      <c r="AF12" s="4438">
        <f t="shared" si="26"/>
        <v>173.32794772551807</v>
      </c>
      <c r="AG12" s="4438">
        <f t="shared" si="27"/>
        <v>173.32794772551807</v>
      </c>
      <c r="AH12" s="4438">
        <f t="shared" si="28"/>
        <v>173.32794772551807</v>
      </c>
      <c r="AI12" s="4438">
        <f t="shared" si="29"/>
        <v>173.32794772551807</v>
      </c>
    </row>
    <row r="13" spans="1:35" ht="12.75">
      <c r="A13" s="422" t="s">
        <v>468</v>
      </c>
      <c r="B13" s="1445" t="s">
        <v>469</v>
      </c>
      <c r="C13" s="307" t="s">
        <v>676</v>
      </c>
      <c r="D13" s="4583">
        <v>1889</v>
      </c>
      <c r="E13" s="409">
        <f t="shared" si="4"/>
        <v>2077.9</v>
      </c>
      <c r="F13" s="409">
        <f t="shared" si="5"/>
        <v>2181.7950000000001</v>
      </c>
      <c r="G13" s="409">
        <f t="shared" si="6"/>
        <v>2247.2488499999999</v>
      </c>
      <c r="H13" s="409">
        <f t="shared" si="11"/>
        <v>2134.8864074999997</v>
      </c>
      <c r="I13" s="424">
        <f t="shared" si="7"/>
        <v>2049.4909511999995</v>
      </c>
      <c r="J13" s="4584">
        <f>256.99245+31.89465</f>
        <v>288.88710000000003</v>
      </c>
      <c r="K13" s="3901">
        <f t="shared" si="12"/>
        <v>375.55323000000004</v>
      </c>
      <c r="L13" s="3901">
        <f t="shared" si="13"/>
        <v>394.33089150000006</v>
      </c>
      <c r="M13" s="3901">
        <f t="shared" si="14"/>
        <v>406.16081824500009</v>
      </c>
      <c r="N13" s="3901">
        <f t="shared" si="15"/>
        <v>385.85277733275007</v>
      </c>
      <c r="O13" s="4027">
        <f t="shared" si="16"/>
        <v>370.41866623944003</v>
      </c>
      <c r="P13" s="2959">
        <f t="shared" si="17"/>
        <v>0.3</v>
      </c>
      <c r="Q13" s="4030">
        <f t="shared" si="8"/>
        <v>153</v>
      </c>
      <c r="R13" s="3793">
        <f t="shared" si="8"/>
        <v>181</v>
      </c>
      <c r="S13" s="3793">
        <f t="shared" si="8"/>
        <v>181</v>
      </c>
      <c r="T13" s="3793">
        <f t="shared" si="8"/>
        <v>181</v>
      </c>
      <c r="U13" s="3793">
        <f t="shared" si="8"/>
        <v>181</v>
      </c>
      <c r="V13" s="3794">
        <f t="shared" si="8"/>
        <v>181</v>
      </c>
      <c r="W13" s="4422"/>
      <c r="X13" s="4438">
        <f t="shared" si="18"/>
        <v>147.7056288123201</v>
      </c>
      <c r="Y13" s="4438">
        <f t="shared" si="19"/>
        <v>192.01731745601614</v>
      </c>
      <c r="Z13" s="4438">
        <f t="shared" si="20"/>
        <v>201.61818332881697</v>
      </c>
      <c r="AA13" s="4438">
        <f t="shared" si="21"/>
        <v>207.66672882868147</v>
      </c>
      <c r="AB13" s="4438">
        <f t="shared" si="22"/>
        <v>197.2833923872474</v>
      </c>
      <c r="AC13" s="4438">
        <f t="shared" si="23"/>
        <v>189.39205669175749</v>
      </c>
      <c r="AD13" s="4438">
        <f t="shared" si="24"/>
        <v>78.227657823021431</v>
      </c>
      <c r="AE13" s="4438">
        <f t="shared" si="25"/>
        <v>92.543830496515554</v>
      </c>
      <c r="AF13" s="4438">
        <f t="shared" si="26"/>
        <v>92.543830496515554</v>
      </c>
      <c r="AG13" s="4438">
        <f t="shared" si="27"/>
        <v>92.543830496515554</v>
      </c>
      <c r="AH13" s="4438">
        <f t="shared" si="28"/>
        <v>92.543830496515554</v>
      </c>
      <c r="AI13" s="4438">
        <f t="shared" si="29"/>
        <v>92.543830496515554</v>
      </c>
    </row>
    <row r="14" spans="1:35" ht="12.75">
      <c r="A14" s="422" t="s">
        <v>470</v>
      </c>
      <c r="B14" s="1445" t="s">
        <v>471</v>
      </c>
      <c r="C14" s="307" t="s">
        <v>676</v>
      </c>
      <c r="D14" s="4583">
        <v>61</v>
      </c>
      <c r="E14" s="409">
        <f t="shared" si="4"/>
        <v>67.100000000000009</v>
      </c>
      <c r="F14" s="409">
        <f t="shared" si="5"/>
        <v>70.455000000000013</v>
      </c>
      <c r="G14" s="409">
        <f t="shared" si="6"/>
        <v>72.568650000000019</v>
      </c>
      <c r="H14" s="409">
        <f t="shared" si="11"/>
        <v>68.940217500000017</v>
      </c>
      <c r="I14" s="424">
        <f t="shared" si="7"/>
        <v>66.182608800000011</v>
      </c>
      <c r="J14" s="4584">
        <f>10.94866+0.66092</f>
        <v>11.609580000000001</v>
      </c>
      <c r="K14" s="3901">
        <f t="shared" si="12"/>
        <v>15.092454000000002</v>
      </c>
      <c r="L14" s="3901">
        <f t="shared" si="13"/>
        <v>15.847076700000002</v>
      </c>
      <c r="M14" s="3901">
        <f t="shared" si="14"/>
        <v>16.322489001000005</v>
      </c>
      <c r="N14" s="3901">
        <f t="shared" si="15"/>
        <v>15.506364550950003</v>
      </c>
      <c r="O14" s="4027">
        <f t="shared" si="16"/>
        <v>14.886109968912002</v>
      </c>
      <c r="P14" s="2959">
        <f t="shared" si="17"/>
        <v>0.30000000000000004</v>
      </c>
      <c r="Q14" s="4030">
        <f t="shared" si="8"/>
        <v>190</v>
      </c>
      <c r="R14" s="3793">
        <f t="shared" si="8"/>
        <v>225</v>
      </c>
      <c r="S14" s="3793">
        <f t="shared" si="8"/>
        <v>225</v>
      </c>
      <c r="T14" s="3793">
        <f t="shared" si="8"/>
        <v>225</v>
      </c>
      <c r="U14" s="3793">
        <f t="shared" si="8"/>
        <v>225</v>
      </c>
      <c r="V14" s="3794">
        <f t="shared" si="8"/>
        <v>225</v>
      </c>
      <c r="W14" s="4422"/>
      <c r="X14" s="4438">
        <f t="shared" si="18"/>
        <v>5.9358839980979949</v>
      </c>
      <c r="Y14" s="4438">
        <f t="shared" si="19"/>
        <v>7.7166491975273939</v>
      </c>
      <c r="Z14" s="4438">
        <f t="shared" si="20"/>
        <v>8.1024816574037626</v>
      </c>
      <c r="AA14" s="4438">
        <f t="shared" si="21"/>
        <v>8.3455561071258781</v>
      </c>
      <c r="AB14" s="4438">
        <f t="shared" si="22"/>
        <v>7.9282783017695833</v>
      </c>
      <c r="AC14" s="4438">
        <f t="shared" si="23"/>
        <v>7.6111471696987998</v>
      </c>
      <c r="AD14" s="4438">
        <f t="shared" si="24"/>
        <v>97.145457427281514</v>
      </c>
      <c r="AE14" s="4438">
        <f t="shared" si="25"/>
        <v>115.04067326914917</v>
      </c>
      <c r="AF14" s="4438">
        <f t="shared" si="26"/>
        <v>115.04067326914917</v>
      </c>
      <c r="AG14" s="4438">
        <f t="shared" si="27"/>
        <v>115.04067326914917</v>
      </c>
      <c r="AH14" s="4438">
        <f t="shared" si="28"/>
        <v>115.04067326914917</v>
      </c>
      <c r="AI14" s="4438">
        <f t="shared" si="29"/>
        <v>115.04067326914917</v>
      </c>
    </row>
    <row r="15" spans="1:35" ht="12.75">
      <c r="A15" s="422" t="s">
        <v>472</v>
      </c>
      <c r="B15" s="1445" t="s">
        <v>1346</v>
      </c>
      <c r="C15" s="307" t="s">
        <v>676</v>
      </c>
      <c r="D15" s="4583">
        <v>240</v>
      </c>
      <c r="E15" s="409">
        <f t="shared" si="4"/>
        <v>264</v>
      </c>
      <c r="F15" s="409">
        <f t="shared" si="5"/>
        <v>277.2</v>
      </c>
      <c r="G15" s="409">
        <f t="shared" si="6"/>
        <v>285.51600000000002</v>
      </c>
      <c r="H15" s="409">
        <f t="shared" si="11"/>
        <v>271.24020000000002</v>
      </c>
      <c r="I15" s="424">
        <f t="shared" si="7"/>
        <v>260.39059200000003</v>
      </c>
      <c r="J15" s="4584">
        <f>330+1.18368</f>
        <v>331.18367999999998</v>
      </c>
      <c r="K15" s="3901">
        <f t="shared" si="12"/>
        <v>430.53878399999996</v>
      </c>
      <c r="L15" s="3901">
        <f t="shared" si="13"/>
        <v>452.06572319999998</v>
      </c>
      <c r="M15" s="3901">
        <f t="shared" si="14"/>
        <v>465.62769489599998</v>
      </c>
      <c r="N15" s="3901">
        <f t="shared" si="15"/>
        <v>442.34631015119999</v>
      </c>
      <c r="O15" s="4027">
        <f t="shared" si="16"/>
        <v>424.65245774515199</v>
      </c>
      <c r="P15" s="2959">
        <f t="shared" si="17"/>
        <v>0.3</v>
      </c>
      <c r="Q15" s="4030">
        <f t="shared" si="8"/>
        <v>1380</v>
      </c>
      <c r="R15" s="3793">
        <f t="shared" si="8"/>
        <v>1631</v>
      </c>
      <c r="S15" s="3793">
        <f t="shared" si="8"/>
        <v>1631</v>
      </c>
      <c r="T15" s="3793">
        <f t="shared" si="8"/>
        <v>1631</v>
      </c>
      <c r="U15" s="3793">
        <f t="shared" si="8"/>
        <v>1631</v>
      </c>
      <c r="V15" s="3794">
        <f t="shared" si="8"/>
        <v>1631</v>
      </c>
      <c r="W15" s="4422"/>
      <c r="X15" s="4438">
        <f t="shared" si="18"/>
        <v>169.33152676868644</v>
      </c>
      <c r="Y15" s="4438">
        <f t="shared" si="19"/>
        <v>220.13098479929235</v>
      </c>
      <c r="Z15" s="4438">
        <f t="shared" si="20"/>
        <v>231.13753403925699</v>
      </c>
      <c r="AA15" s="4438">
        <f t="shared" si="21"/>
        <v>238.07166006043471</v>
      </c>
      <c r="AB15" s="4438">
        <f t="shared" si="22"/>
        <v>226.16807705741297</v>
      </c>
      <c r="AC15" s="4438">
        <f t="shared" si="23"/>
        <v>217.12135397511645</v>
      </c>
      <c r="AD15" s="4438">
        <f t="shared" si="24"/>
        <v>705.58279605078155</v>
      </c>
      <c r="AE15" s="4438">
        <f t="shared" si="25"/>
        <v>833.91705823103234</v>
      </c>
      <c r="AF15" s="4438">
        <f t="shared" si="26"/>
        <v>833.91705823103234</v>
      </c>
      <c r="AG15" s="4438">
        <f t="shared" si="27"/>
        <v>833.91705823103234</v>
      </c>
      <c r="AH15" s="4438">
        <f t="shared" si="28"/>
        <v>833.91705823103234</v>
      </c>
      <c r="AI15" s="4438">
        <f t="shared" si="29"/>
        <v>833.91705823103234</v>
      </c>
    </row>
    <row r="16" spans="1:35" ht="24">
      <c r="A16" s="422" t="s">
        <v>473</v>
      </c>
      <c r="B16" s="1445" t="s">
        <v>1347</v>
      </c>
      <c r="C16" s="307" t="s">
        <v>676</v>
      </c>
      <c r="D16" s="4583">
        <v>96</v>
      </c>
      <c r="E16" s="409">
        <f t="shared" si="4"/>
        <v>105.60000000000001</v>
      </c>
      <c r="F16" s="409">
        <f t="shared" si="5"/>
        <v>110.88000000000001</v>
      </c>
      <c r="G16" s="409">
        <f t="shared" si="6"/>
        <v>114.20640000000002</v>
      </c>
      <c r="H16" s="409">
        <f t="shared" si="11"/>
        <v>108.49608000000001</v>
      </c>
      <c r="I16" s="424">
        <f t="shared" si="7"/>
        <v>104.1562368</v>
      </c>
      <c r="J16" s="4584">
        <f>24.0931+0.87807</f>
        <v>24.971170000000001</v>
      </c>
      <c r="K16" s="3901">
        <f t="shared" si="12"/>
        <v>32.462521000000002</v>
      </c>
      <c r="L16" s="3901">
        <f t="shared" si="13"/>
        <v>34.085647050000006</v>
      </c>
      <c r="M16" s="3901">
        <f t="shared" si="14"/>
        <v>35.108216461500007</v>
      </c>
      <c r="N16" s="3901">
        <f t="shared" si="15"/>
        <v>33.352805638425004</v>
      </c>
      <c r="O16" s="4027">
        <f t="shared" si="16"/>
        <v>32.018693412888005</v>
      </c>
      <c r="P16" s="2959">
        <f t="shared" si="17"/>
        <v>0.30000000000000004</v>
      </c>
      <c r="Q16" s="4030">
        <f t="shared" si="8"/>
        <v>260</v>
      </c>
      <c r="R16" s="3793">
        <f t="shared" si="8"/>
        <v>307</v>
      </c>
      <c r="S16" s="3793">
        <f t="shared" si="8"/>
        <v>307</v>
      </c>
      <c r="T16" s="3793">
        <f t="shared" si="8"/>
        <v>307</v>
      </c>
      <c r="U16" s="3793">
        <f t="shared" si="8"/>
        <v>307</v>
      </c>
      <c r="V16" s="3794">
        <f t="shared" si="8"/>
        <v>307</v>
      </c>
      <c r="W16" s="4422"/>
      <c r="X16" s="4438">
        <f t="shared" si="18"/>
        <v>12.767556484970576</v>
      </c>
      <c r="Y16" s="4438">
        <f t="shared" si="19"/>
        <v>16.597823430461748</v>
      </c>
      <c r="Z16" s="4438">
        <f t="shared" si="20"/>
        <v>17.427714601984839</v>
      </c>
      <c r="AA16" s="4438">
        <f t="shared" si="21"/>
        <v>17.950546040044383</v>
      </c>
      <c r="AB16" s="4438">
        <f t="shared" si="22"/>
        <v>17.053018738042162</v>
      </c>
      <c r="AC16" s="4438">
        <f t="shared" si="23"/>
        <v>16.370897988520479</v>
      </c>
      <c r="AD16" s="4438">
        <f t="shared" si="24"/>
        <v>132.93588911101682</v>
      </c>
      <c r="AE16" s="4438">
        <f t="shared" si="25"/>
        <v>156.96660752723909</v>
      </c>
      <c r="AF16" s="4438">
        <f t="shared" si="26"/>
        <v>156.96660752723909</v>
      </c>
      <c r="AG16" s="4438">
        <f t="shared" si="27"/>
        <v>156.96660752723909</v>
      </c>
      <c r="AH16" s="4438">
        <f t="shared" si="28"/>
        <v>156.96660752723909</v>
      </c>
      <c r="AI16" s="4438">
        <f t="shared" si="29"/>
        <v>156.96660752723909</v>
      </c>
    </row>
    <row r="17" spans="1:35" ht="23.25" customHeight="1">
      <c r="A17" s="422" t="s">
        <v>474</v>
      </c>
      <c r="B17" s="1445" t="s">
        <v>1348</v>
      </c>
      <c r="C17" s="307" t="s">
        <v>676</v>
      </c>
      <c r="D17" s="4583">
        <v>267</v>
      </c>
      <c r="E17" s="409">
        <f t="shared" si="4"/>
        <v>293.70000000000005</v>
      </c>
      <c r="F17" s="409">
        <f t="shared" si="5"/>
        <v>308.38500000000005</v>
      </c>
      <c r="G17" s="409">
        <f t="shared" si="6"/>
        <v>317.63655000000006</v>
      </c>
      <c r="H17" s="409">
        <f t="shared" si="11"/>
        <v>301.75472250000001</v>
      </c>
      <c r="I17" s="424">
        <f t="shared" si="7"/>
        <v>289.68453360000001</v>
      </c>
      <c r="J17" s="4584">
        <f>35.35369+0.41266</f>
        <v>35.766350000000003</v>
      </c>
      <c r="K17" s="3901">
        <f t="shared" si="12"/>
        <v>46.496255000000005</v>
      </c>
      <c r="L17" s="3901">
        <f t="shared" si="13"/>
        <v>48.821067750000005</v>
      </c>
      <c r="M17" s="3901">
        <f t="shared" si="14"/>
        <v>50.285699782500004</v>
      </c>
      <c r="N17" s="3901">
        <f t="shared" si="15"/>
        <v>47.771414793375001</v>
      </c>
      <c r="O17" s="4027">
        <f t="shared" si="16"/>
        <v>45.860558201639996</v>
      </c>
      <c r="P17" s="2959">
        <f t="shared" si="17"/>
        <v>0.30000000000000004</v>
      </c>
      <c r="Q17" s="4030">
        <f t="shared" si="8"/>
        <v>134</v>
      </c>
      <c r="R17" s="3793">
        <f t="shared" si="8"/>
        <v>158</v>
      </c>
      <c r="S17" s="3793">
        <f t="shared" si="8"/>
        <v>158</v>
      </c>
      <c r="T17" s="3793">
        <f t="shared" si="8"/>
        <v>158</v>
      </c>
      <c r="U17" s="3793">
        <f t="shared" si="8"/>
        <v>158</v>
      </c>
      <c r="V17" s="3794">
        <f t="shared" si="8"/>
        <v>158</v>
      </c>
      <c r="W17" s="4422"/>
      <c r="X17" s="4438">
        <f t="shared" si="18"/>
        <v>18.287044375022372</v>
      </c>
      <c r="Y17" s="4438">
        <f t="shared" si="19"/>
        <v>23.773157687529082</v>
      </c>
      <c r="Z17" s="4438">
        <f t="shared" si="20"/>
        <v>24.961815571905536</v>
      </c>
      <c r="AA17" s="4438">
        <f t="shared" si="21"/>
        <v>25.710670039062702</v>
      </c>
      <c r="AB17" s="4438">
        <f t="shared" si="22"/>
        <v>24.425136537109566</v>
      </c>
      <c r="AC17" s="4438">
        <f t="shared" si="23"/>
        <v>23.448131075625181</v>
      </c>
      <c r="AD17" s="4438">
        <f t="shared" si="24"/>
        <v>68.513112080293283</v>
      </c>
      <c r="AE17" s="4438">
        <f t="shared" si="25"/>
        <v>80.784117229002518</v>
      </c>
      <c r="AF17" s="4438">
        <f t="shared" si="26"/>
        <v>80.784117229002518</v>
      </c>
      <c r="AG17" s="4438">
        <f t="shared" si="27"/>
        <v>80.784117229002518</v>
      </c>
      <c r="AH17" s="4438">
        <f t="shared" si="28"/>
        <v>80.784117229002518</v>
      </c>
      <c r="AI17" s="4438">
        <f t="shared" si="29"/>
        <v>80.784117229002518</v>
      </c>
    </row>
    <row r="18" spans="1:35" ht="12.75">
      <c r="A18" s="422" t="s">
        <v>475</v>
      </c>
      <c r="B18" s="1445" t="s">
        <v>1349</v>
      </c>
      <c r="C18" s="307" t="s">
        <v>676</v>
      </c>
      <c r="D18" s="4583">
        <v>98</v>
      </c>
      <c r="E18" s="409">
        <f t="shared" si="4"/>
        <v>107.80000000000001</v>
      </c>
      <c r="F18" s="409">
        <f t="shared" si="5"/>
        <v>113.19000000000001</v>
      </c>
      <c r="G18" s="409">
        <f t="shared" si="6"/>
        <v>116.58570000000002</v>
      </c>
      <c r="H18" s="409">
        <f t="shared" si="11"/>
        <v>110.756415</v>
      </c>
      <c r="I18" s="424">
        <f t="shared" si="7"/>
        <v>106.3261584</v>
      </c>
      <c r="J18" s="4584">
        <f>24.38454+0.60654</f>
        <v>24.99108</v>
      </c>
      <c r="K18" s="3901">
        <f t="shared" si="12"/>
        <v>32.488404000000003</v>
      </c>
      <c r="L18" s="3901">
        <f t="shared" si="13"/>
        <v>34.112824200000006</v>
      </c>
      <c r="M18" s="3901">
        <f t="shared" si="14"/>
        <v>35.136208926000009</v>
      </c>
      <c r="N18" s="3901">
        <f t="shared" si="15"/>
        <v>33.379398479700008</v>
      </c>
      <c r="O18" s="4027">
        <f t="shared" si="16"/>
        <v>32.04422254051201</v>
      </c>
      <c r="P18" s="2959">
        <f t="shared" si="17"/>
        <v>0.3000000000000001</v>
      </c>
      <c r="Q18" s="4030">
        <f t="shared" si="8"/>
        <v>255</v>
      </c>
      <c r="R18" s="3793">
        <f t="shared" si="8"/>
        <v>301</v>
      </c>
      <c r="S18" s="3793">
        <f t="shared" si="8"/>
        <v>301</v>
      </c>
      <c r="T18" s="3793">
        <f t="shared" si="8"/>
        <v>301</v>
      </c>
      <c r="U18" s="3793">
        <f t="shared" si="8"/>
        <v>301</v>
      </c>
      <c r="V18" s="3794">
        <f>ROUND(IFERROR(O18*1000/I18,0),0)</f>
        <v>301</v>
      </c>
      <c r="W18" s="4422"/>
      <c r="X18" s="4438">
        <f t="shared" si="18"/>
        <v>12.777736306325192</v>
      </c>
      <c r="Y18" s="4438">
        <f t="shared" si="19"/>
        <v>16.611057198222753</v>
      </c>
      <c r="Z18" s="4438">
        <f t="shared" si="20"/>
        <v>17.44161005813389</v>
      </c>
      <c r="AA18" s="4438">
        <f t="shared" si="21"/>
        <v>17.964858359877908</v>
      </c>
      <c r="AB18" s="4438">
        <f t="shared" si="22"/>
        <v>17.066615441884014</v>
      </c>
      <c r="AC18" s="4438">
        <f t="shared" si="23"/>
        <v>16.383950824208654</v>
      </c>
      <c r="AD18" s="4438">
        <f t="shared" si="24"/>
        <v>130.3794297050357</v>
      </c>
      <c r="AE18" s="4438">
        <f t="shared" si="25"/>
        <v>153.89885624006178</v>
      </c>
      <c r="AF18" s="4438">
        <f t="shared" si="26"/>
        <v>153.89885624006178</v>
      </c>
      <c r="AG18" s="4438">
        <f t="shared" si="27"/>
        <v>153.89885624006178</v>
      </c>
      <c r="AH18" s="4438">
        <f t="shared" si="28"/>
        <v>153.89885624006178</v>
      </c>
      <c r="AI18" s="4438">
        <f t="shared" si="29"/>
        <v>153.89885624006178</v>
      </c>
    </row>
    <row r="19" spans="1:35" ht="24">
      <c r="A19" s="422" t="s">
        <v>476</v>
      </c>
      <c r="B19" s="1445" t="s">
        <v>1409</v>
      </c>
      <c r="C19" s="307" t="s">
        <v>676</v>
      </c>
      <c r="D19" s="4583">
        <v>923</v>
      </c>
      <c r="E19" s="409">
        <f t="shared" si="4"/>
        <v>1015.3000000000001</v>
      </c>
      <c r="F19" s="409">
        <f t="shared" si="5"/>
        <v>1066.0650000000001</v>
      </c>
      <c r="G19" s="409">
        <f t="shared" si="6"/>
        <v>1098.0469500000002</v>
      </c>
      <c r="H19" s="409">
        <f t="shared" si="11"/>
        <v>1043.1446025</v>
      </c>
      <c r="I19" s="424">
        <f t="shared" si="7"/>
        <v>1001.4188184</v>
      </c>
      <c r="J19" s="4584">
        <f>324.71769+0.03192</f>
        <v>324.74961000000002</v>
      </c>
      <c r="K19" s="3901">
        <f t="shared" si="12"/>
        <v>422.17449300000004</v>
      </c>
      <c r="L19" s="3901">
        <f t="shared" si="13"/>
        <v>443.28321765000004</v>
      </c>
      <c r="M19" s="3901">
        <f t="shared" si="14"/>
        <v>456.58171417950007</v>
      </c>
      <c r="N19" s="3901">
        <f t="shared" si="15"/>
        <v>433.75262847052505</v>
      </c>
      <c r="O19" s="4027">
        <f t="shared" si="16"/>
        <v>416.40252333170406</v>
      </c>
      <c r="P19" s="2959">
        <f t="shared" si="17"/>
        <v>0.30000000000000004</v>
      </c>
      <c r="Q19" s="4030">
        <f t="shared" si="8"/>
        <v>352</v>
      </c>
      <c r="R19" s="3793">
        <f t="shared" si="8"/>
        <v>416</v>
      </c>
      <c r="S19" s="3793">
        <f t="shared" si="8"/>
        <v>416</v>
      </c>
      <c r="T19" s="3793">
        <f t="shared" si="8"/>
        <v>416</v>
      </c>
      <c r="U19" s="3793">
        <f t="shared" si="8"/>
        <v>416</v>
      </c>
      <c r="V19" s="3794">
        <f t="shared" si="8"/>
        <v>416</v>
      </c>
      <c r="W19" s="4422"/>
      <c r="X19" s="4438">
        <f t="shared" si="18"/>
        <v>166.0418390146383</v>
      </c>
      <c r="Y19" s="4438">
        <f t="shared" si="19"/>
        <v>215.85439071902979</v>
      </c>
      <c r="Z19" s="4438">
        <f t="shared" si="20"/>
        <v>226.6471102549813</v>
      </c>
      <c r="AA19" s="4438">
        <f t="shared" si="21"/>
        <v>233.44652356263074</v>
      </c>
      <c r="AB19" s="4438">
        <f t="shared" si="22"/>
        <v>221.77419738449919</v>
      </c>
      <c r="AC19" s="4438">
        <f t="shared" si="23"/>
        <v>212.90322948911924</v>
      </c>
      <c r="AD19" s="4438">
        <f t="shared" si="24"/>
        <v>179.9747421810689</v>
      </c>
      <c r="AE19" s="4438">
        <f t="shared" si="25"/>
        <v>212.6974225776269</v>
      </c>
      <c r="AF19" s="4438">
        <f t="shared" si="26"/>
        <v>212.6974225776269</v>
      </c>
      <c r="AG19" s="4438">
        <f t="shared" si="27"/>
        <v>212.6974225776269</v>
      </c>
      <c r="AH19" s="4438">
        <f t="shared" si="28"/>
        <v>212.6974225776269</v>
      </c>
      <c r="AI19" s="4438">
        <f t="shared" si="29"/>
        <v>212.6974225776269</v>
      </c>
    </row>
    <row r="20" spans="1:35" ht="12.75">
      <c r="A20" s="422" t="s">
        <v>681</v>
      </c>
      <c r="B20" s="1446" t="s">
        <v>914</v>
      </c>
      <c r="C20" s="307" t="s">
        <v>676</v>
      </c>
      <c r="D20" s="4583">
        <v>57</v>
      </c>
      <c r="E20" s="409">
        <f t="shared" si="4"/>
        <v>62.7</v>
      </c>
      <c r="F20" s="409">
        <f t="shared" si="5"/>
        <v>65.835000000000008</v>
      </c>
      <c r="G20" s="409">
        <f t="shared" si="6"/>
        <v>67.810050000000004</v>
      </c>
      <c r="H20" s="409">
        <f t="shared" si="11"/>
        <v>64.419547500000007</v>
      </c>
      <c r="I20" s="424">
        <f t="shared" si="7"/>
        <v>61.842765600000007</v>
      </c>
      <c r="J20" s="4584">
        <f>16.25031+0.75453</f>
        <v>17.004839999999998</v>
      </c>
      <c r="K20" s="3901">
        <f t="shared" si="12"/>
        <v>22.106292</v>
      </c>
      <c r="L20" s="3901">
        <f t="shared" si="13"/>
        <v>23.2116066</v>
      </c>
      <c r="M20" s="3901">
        <f t="shared" si="14"/>
        <v>23.907954797999999</v>
      </c>
      <c r="N20" s="3901">
        <f t="shared" si="15"/>
        <v>22.712557058099996</v>
      </c>
      <c r="O20" s="4027">
        <f t="shared" si="16"/>
        <v>21.804054775775995</v>
      </c>
      <c r="P20" s="2959">
        <f t="shared" si="17"/>
        <v>0.30000000000000016</v>
      </c>
      <c r="Q20" s="4030">
        <f t="shared" si="8"/>
        <v>298</v>
      </c>
      <c r="R20" s="3793">
        <f t="shared" si="8"/>
        <v>353</v>
      </c>
      <c r="S20" s="3793">
        <f t="shared" si="8"/>
        <v>353</v>
      </c>
      <c r="T20" s="3793">
        <f t="shared" si="8"/>
        <v>353</v>
      </c>
      <c r="U20" s="3793">
        <f t="shared" si="8"/>
        <v>353</v>
      </c>
      <c r="V20" s="3794">
        <f t="shared" si="8"/>
        <v>353</v>
      </c>
      <c r="W20" s="4422"/>
      <c r="X20" s="4438">
        <f t="shared" si="18"/>
        <v>8.6944366330407039</v>
      </c>
      <c r="Y20" s="4438">
        <f t="shared" si="19"/>
        <v>11.302767622952915</v>
      </c>
      <c r="Z20" s="4438">
        <f t="shared" si="20"/>
        <v>11.867906004100561</v>
      </c>
      <c r="AA20" s="4438">
        <f t="shared" si="21"/>
        <v>12.223943184223577</v>
      </c>
      <c r="AB20" s="4438">
        <f t="shared" si="22"/>
        <v>11.612746025012397</v>
      </c>
      <c r="AC20" s="4438">
        <f t="shared" si="23"/>
        <v>11.148236184011902</v>
      </c>
      <c r="AD20" s="4438">
        <f t="shared" si="24"/>
        <v>152.36498059647312</v>
      </c>
      <c r="AE20" s="4438">
        <f t="shared" si="25"/>
        <v>180.48603406226513</v>
      </c>
      <c r="AF20" s="4438">
        <f t="shared" si="26"/>
        <v>180.48603406226513</v>
      </c>
      <c r="AG20" s="4438">
        <f t="shared" si="27"/>
        <v>180.48603406226513</v>
      </c>
      <c r="AH20" s="4438">
        <f t="shared" si="28"/>
        <v>180.48603406226513</v>
      </c>
      <c r="AI20" s="4438">
        <f t="shared" si="29"/>
        <v>180.48603406226513</v>
      </c>
    </row>
    <row r="21" spans="1:35" ht="12.75">
      <c r="A21" s="422" t="s">
        <v>729</v>
      </c>
      <c r="B21" s="1446" t="s">
        <v>915</v>
      </c>
      <c r="C21" s="307" t="s">
        <v>676</v>
      </c>
      <c r="D21" s="4583">
        <v>66</v>
      </c>
      <c r="E21" s="409">
        <f t="shared" si="4"/>
        <v>72.600000000000009</v>
      </c>
      <c r="F21" s="409">
        <f t="shared" si="5"/>
        <v>76.230000000000018</v>
      </c>
      <c r="G21" s="409">
        <f t="shared" si="6"/>
        <v>78.516900000000021</v>
      </c>
      <c r="H21" s="409">
        <f t="shared" si="11"/>
        <v>74.591055000000011</v>
      </c>
      <c r="I21" s="424">
        <f t="shared" si="7"/>
        <v>71.607412800000006</v>
      </c>
      <c r="J21" s="4584">
        <f>276.46785+2.04658</f>
        <v>278.51443</v>
      </c>
      <c r="K21" s="3901">
        <f t="shared" si="12"/>
        <v>362.068759</v>
      </c>
      <c r="L21" s="3901">
        <f t="shared" si="13"/>
        <v>380.17219695</v>
      </c>
      <c r="M21" s="3901">
        <f t="shared" si="14"/>
        <v>391.57736285850001</v>
      </c>
      <c r="N21" s="3901">
        <f t="shared" si="15"/>
        <v>371.99849471557496</v>
      </c>
      <c r="O21" s="4027">
        <f t="shared" si="16"/>
        <v>357.11855492695196</v>
      </c>
      <c r="P21" s="2959">
        <f t="shared" si="17"/>
        <v>0.3</v>
      </c>
      <c r="Q21" s="4030">
        <f t="shared" si="8"/>
        <v>4220</v>
      </c>
      <c r="R21" s="3793">
        <f t="shared" si="8"/>
        <v>4987</v>
      </c>
      <c r="S21" s="3793">
        <f t="shared" si="8"/>
        <v>4987</v>
      </c>
      <c r="T21" s="3793">
        <f t="shared" si="8"/>
        <v>4987</v>
      </c>
      <c r="U21" s="3793">
        <f t="shared" si="8"/>
        <v>4987</v>
      </c>
      <c r="V21" s="3794">
        <f t="shared" si="8"/>
        <v>4987</v>
      </c>
      <c r="W21" s="4422"/>
      <c r="X21" s="4438">
        <f t="shared" si="18"/>
        <v>142.40216685499252</v>
      </c>
      <c r="Y21" s="4438">
        <f t="shared" si="19"/>
        <v>185.12281691149028</v>
      </c>
      <c r="Z21" s="4438">
        <f t="shared" si="20"/>
        <v>194.37895775706477</v>
      </c>
      <c r="AA21" s="4438">
        <f t="shared" si="21"/>
        <v>200.21032648977672</v>
      </c>
      <c r="AB21" s="4438">
        <f t="shared" si="22"/>
        <v>190.19981016528786</v>
      </c>
      <c r="AC21" s="4438">
        <f t="shared" si="23"/>
        <v>182.59181775867634</v>
      </c>
      <c r="AD21" s="4438">
        <f t="shared" si="24"/>
        <v>2157.6517386480418</v>
      </c>
      <c r="AE21" s="4438">
        <f t="shared" si="25"/>
        <v>2549.8126115255418</v>
      </c>
      <c r="AF21" s="4438">
        <f t="shared" si="26"/>
        <v>2549.8126115255418</v>
      </c>
      <c r="AG21" s="4438">
        <f t="shared" si="27"/>
        <v>2549.8126115255418</v>
      </c>
      <c r="AH21" s="4438">
        <f t="shared" si="28"/>
        <v>2549.8126115255418</v>
      </c>
      <c r="AI21" s="4438">
        <f t="shared" si="29"/>
        <v>2549.8126115255418</v>
      </c>
    </row>
    <row r="22" spans="1:35" ht="26.25" customHeight="1">
      <c r="A22" s="422" t="s">
        <v>730</v>
      </c>
      <c r="B22" s="2024" t="s">
        <v>1350</v>
      </c>
      <c r="C22" s="307" t="s">
        <v>676</v>
      </c>
      <c r="D22" s="4583">
        <v>242</v>
      </c>
      <c r="E22" s="409">
        <f t="shared" ref="E22" si="30">D22*1.1</f>
        <v>266.20000000000005</v>
      </c>
      <c r="F22" s="409">
        <f t="shared" ref="F22" si="31">E22*1.05</f>
        <v>279.51000000000005</v>
      </c>
      <c r="G22" s="409">
        <f t="shared" ref="G22" si="32">F22*1.03</f>
        <v>287.89530000000008</v>
      </c>
      <c r="H22" s="409">
        <f t="shared" si="11"/>
        <v>273.50053500000007</v>
      </c>
      <c r="I22" s="424">
        <f t="shared" ref="I22" si="33">H22*0.96</f>
        <v>262.56051360000004</v>
      </c>
      <c r="J22" s="4584">
        <f>68.76652+0.51581</f>
        <v>69.282330000000002</v>
      </c>
      <c r="K22" s="3901">
        <f t="shared" si="12"/>
        <v>90.067029000000005</v>
      </c>
      <c r="L22" s="3901">
        <f t="shared" si="13"/>
        <v>94.570380450000016</v>
      </c>
      <c r="M22" s="3901">
        <f t="shared" si="14"/>
        <v>97.407491863500013</v>
      </c>
      <c r="N22" s="3901">
        <f t="shared" si="15"/>
        <v>92.537117270325012</v>
      </c>
      <c r="O22" s="4027">
        <f t="shared" si="16"/>
        <v>88.835632579512009</v>
      </c>
      <c r="P22" s="2959">
        <f t="shared" si="17"/>
        <v>0.30000000000000004</v>
      </c>
      <c r="Q22" s="4030">
        <f t="shared" si="8"/>
        <v>286</v>
      </c>
      <c r="R22" s="3793">
        <f t="shared" si="8"/>
        <v>338</v>
      </c>
      <c r="S22" s="3793">
        <f t="shared" si="8"/>
        <v>338</v>
      </c>
      <c r="T22" s="3793">
        <f t="shared" si="8"/>
        <v>338</v>
      </c>
      <c r="U22" s="3793">
        <f t="shared" si="8"/>
        <v>338</v>
      </c>
      <c r="V22" s="3794">
        <f t="shared" si="8"/>
        <v>338</v>
      </c>
      <c r="W22" s="4422"/>
      <c r="X22" s="4438">
        <f t="shared" si="18"/>
        <v>35.423492839357209</v>
      </c>
      <c r="Y22" s="4438">
        <f t="shared" si="19"/>
        <v>46.050540691164372</v>
      </c>
      <c r="Z22" s="4438">
        <f t="shared" si="20"/>
        <v>48.353067725722596</v>
      </c>
      <c r="AA22" s="4438">
        <f t="shared" si="21"/>
        <v>49.803659757494266</v>
      </c>
      <c r="AB22" s="4438">
        <f t="shared" si="22"/>
        <v>47.313476769619555</v>
      </c>
      <c r="AC22" s="4438">
        <f t="shared" si="23"/>
        <v>45.42093769883477</v>
      </c>
      <c r="AD22" s="4438">
        <f t="shared" si="24"/>
        <v>146.22947802211849</v>
      </c>
      <c r="AE22" s="4438">
        <f t="shared" si="25"/>
        <v>172.81665584432184</v>
      </c>
      <c r="AF22" s="4438">
        <f t="shared" si="26"/>
        <v>172.81665584432184</v>
      </c>
      <c r="AG22" s="4438">
        <f t="shared" si="27"/>
        <v>172.81665584432184</v>
      </c>
      <c r="AH22" s="4438">
        <f t="shared" si="28"/>
        <v>172.81665584432184</v>
      </c>
      <c r="AI22" s="4438">
        <f t="shared" si="29"/>
        <v>172.81665584432184</v>
      </c>
    </row>
    <row r="23" spans="1:35" ht="24.75" thickBot="1">
      <c r="A23" s="422" t="s">
        <v>731</v>
      </c>
      <c r="B23" s="1445" t="s">
        <v>1341</v>
      </c>
      <c r="C23" s="307" t="s">
        <v>313</v>
      </c>
      <c r="D23" s="2025"/>
      <c r="E23" s="2026"/>
      <c r="F23" s="2026"/>
      <c r="G23" s="2026"/>
      <c r="H23" s="2026"/>
      <c r="I23" s="2027"/>
      <c r="J23" s="4585">
        <f>46.40509+4.79566</f>
        <v>51.200749999999999</v>
      </c>
      <c r="K23" s="3902">
        <f t="shared" ref="K23" si="34">J23*1.3</f>
        <v>66.560974999999999</v>
      </c>
      <c r="L23" s="3902">
        <f t="shared" ref="L23" si="35">K23*1.05</f>
        <v>69.889023750000007</v>
      </c>
      <c r="M23" s="3902">
        <f t="shared" ref="M23" si="36">L23*1.03</f>
        <v>71.985694462500007</v>
      </c>
      <c r="N23" s="3902">
        <f t="shared" si="15"/>
        <v>68.386409739374997</v>
      </c>
      <c r="O23" s="4028">
        <f t="shared" ref="O23" si="37">N23*0.96</f>
        <v>65.650953349799991</v>
      </c>
      <c r="P23" s="4375">
        <f t="shared" si="17"/>
        <v>0.3</v>
      </c>
      <c r="Q23" s="3615"/>
      <c r="R23" s="2026"/>
      <c r="S23" s="2026"/>
      <c r="T23" s="2026"/>
      <c r="U23" s="2026"/>
      <c r="V23" s="2027"/>
      <c r="W23" s="4422"/>
      <c r="X23" s="4438">
        <f t="shared" si="18"/>
        <v>26.178527786157282</v>
      </c>
      <c r="Y23" s="4438">
        <f t="shared" si="19"/>
        <v>34.032086122004472</v>
      </c>
      <c r="Z23" s="4438">
        <f t="shared" si="20"/>
        <v>35.733690428104694</v>
      </c>
      <c r="AA23" s="4438">
        <f t="shared" si="21"/>
        <v>36.805701140947839</v>
      </c>
      <c r="AB23" s="4438">
        <f t="shared" si="22"/>
        <v>34.965416083900443</v>
      </c>
      <c r="AC23" s="4438">
        <f t="shared" si="23"/>
        <v>33.566799440544422</v>
      </c>
    </row>
    <row r="24" spans="1:35" ht="24.75" thickBot="1">
      <c r="A24" s="3589"/>
      <c r="B24" s="3590" t="s">
        <v>1351</v>
      </c>
      <c r="C24" s="1448"/>
      <c r="D24" s="3591">
        <f t="shared" ref="D24:O24" si="38">SUM(D10:D23)</f>
        <v>8266</v>
      </c>
      <c r="E24" s="317">
        <f t="shared" si="38"/>
        <v>9092.6000000000022</v>
      </c>
      <c r="F24" s="317">
        <f t="shared" si="38"/>
        <v>9547.23</v>
      </c>
      <c r="G24" s="317">
        <f t="shared" si="38"/>
        <v>9833.6469000000016</v>
      </c>
      <c r="H24" s="317">
        <f t="shared" si="38"/>
        <v>9341.9645549999987</v>
      </c>
      <c r="I24" s="316">
        <f t="shared" si="38"/>
        <v>8968.2859727999985</v>
      </c>
      <c r="J24" s="3591">
        <f t="shared" si="38"/>
        <v>2785.9219500000004</v>
      </c>
      <c r="K24" s="317">
        <f t="shared" si="38"/>
        <v>3621.698535</v>
      </c>
      <c r="L24" s="317">
        <f t="shared" si="38"/>
        <v>3802.7834617499998</v>
      </c>
      <c r="M24" s="317">
        <f t="shared" si="38"/>
        <v>3916.8669656024999</v>
      </c>
      <c r="N24" s="317">
        <f t="shared" si="38"/>
        <v>3721.0236173223743</v>
      </c>
      <c r="O24" s="3592">
        <f t="shared" si="38"/>
        <v>3572.1826726294798</v>
      </c>
      <c r="P24" s="4198">
        <f t="shared" si="17"/>
        <v>0.29999999999999982</v>
      </c>
      <c r="Q24" s="3593"/>
      <c r="R24" s="3594"/>
      <c r="S24" s="3594"/>
      <c r="T24" s="3594"/>
      <c r="U24" s="3594"/>
      <c r="V24" s="3595"/>
      <c r="W24" s="4422"/>
      <c r="X24" s="4438">
        <f t="shared" si="18"/>
        <v>1424.4192746813376</v>
      </c>
      <c r="Y24" s="4438">
        <f t="shared" si="19"/>
        <v>1851.7450570857386</v>
      </c>
      <c r="Z24" s="4438">
        <f t="shared" si="20"/>
        <v>1944.3323099400254</v>
      </c>
      <c r="AA24" s="4438">
        <f t="shared" si="21"/>
        <v>2002.6622792382263</v>
      </c>
      <c r="AB24" s="4438">
        <f t="shared" si="22"/>
        <v>1902.5291652763146</v>
      </c>
      <c r="AC24" s="4438">
        <f t="shared" si="23"/>
        <v>1826.4279986652623</v>
      </c>
    </row>
    <row r="25" spans="1:35" ht="13.5" thickBot="1">
      <c r="A25" s="3596"/>
      <c r="B25" s="3597" t="s">
        <v>1428</v>
      </c>
      <c r="C25" s="3642" t="s">
        <v>170</v>
      </c>
      <c r="D25" s="3598"/>
      <c r="E25" s="3599">
        <f>IFERROR((E24-D24)/D24,0)</f>
        <v>0.10000000000000027</v>
      </c>
      <c r="F25" s="3599">
        <f>IFERROR((F24-E24)/E24,0)</f>
        <v>4.9999999999999697E-2</v>
      </c>
      <c r="G25" s="3599">
        <f>IFERROR((G24-F24)/F24,0)</f>
        <v>3.0000000000000211E-2</v>
      </c>
      <c r="H25" s="3599">
        <f>IFERROR((H24-G24)/G24,0)</f>
        <v>-5.0000000000000287E-2</v>
      </c>
      <c r="I25" s="3600">
        <f>IFERROR((I24-H24)/H24,0)</f>
        <v>-4.0000000000000022E-2</v>
      </c>
      <c r="J25" s="3601"/>
      <c r="K25" s="3599">
        <f>IFERROR((K24-J24)/J24,0)</f>
        <v>0.29999999999999982</v>
      </c>
      <c r="L25" s="3599">
        <f>IFERROR((L24-K24)/K24,0)</f>
        <v>4.999999999999994E-2</v>
      </c>
      <c r="M25" s="3599">
        <f>IFERROR((M24-L24)/L24,0)</f>
        <v>3.0000000000000041E-2</v>
      </c>
      <c r="N25" s="3599">
        <f>IFERROR((N24-M24)/M24,0)</f>
        <v>-5.0000000000000155E-2</v>
      </c>
      <c r="O25" s="3599">
        <f>IFERROR((O24-N24)/N24,0)</f>
        <v>-3.9999999999999869E-2</v>
      </c>
      <c r="P25" s="4026"/>
      <c r="Q25" s="3602"/>
      <c r="R25" s="3603"/>
      <c r="S25" s="3603"/>
      <c r="T25" s="3603"/>
      <c r="U25" s="3603"/>
      <c r="V25" s="3604"/>
      <c r="W25" s="4422"/>
    </row>
    <row r="26" spans="1:35" ht="13.5" customHeight="1" thickBot="1">
      <c r="A26" s="3605" t="s">
        <v>1067</v>
      </c>
      <c r="B26" s="1462"/>
      <c r="C26" s="1462"/>
      <c r="D26" s="1462"/>
      <c r="E26" s="1462"/>
      <c r="F26" s="1462"/>
      <c r="G26" s="1462"/>
      <c r="H26" s="1462"/>
      <c r="I26" s="1462"/>
      <c r="J26" s="1462"/>
      <c r="K26" s="1462"/>
      <c r="L26" s="1462"/>
      <c r="M26" s="1462"/>
      <c r="N26" s="1462"/>
      <c r="O26" s="1462"/>
      <c r="P26" s="3606"/>
      <c r="Q26" s="3606"/>
      <c r="R26" s="3606"/>
      <c r="S26" s="3606"/>
      <c r="T26" s="3606"/>
      <c r="U26" s="3606"/>
      <c r="V26" s="3607"/>
      <c r="W26" s="4422"/>
    </row>
    <row r="27" spans="1:35" ht="12.75">
      <c r="A27" s="1322"/>
      <c r="B27" s="1457" t="s">
        <v>1068</v>
      </c>
      <c r="C27" s="3651"/>
      <c r="D27" s="2029"/>
      <c r="E27" s="2030"/>
      <c r="F27" s="2030"/>
      <c r="G27" s="2030"/>
      <c r="H27" s="2030"/>
      <c r="I27" s="2031"/>
      <c r="J27" s="4586">
        <v>193</v>
      </c>
      <c r="K27" s="431">
        <f t="shared" ref="K27" si="39">J27*1.3</f>
        <v>250.9</v>
      </c>
      <c r="L27" s="431">
        <f t="shared" ref="L27" si="40">K27*1.05</f>
        <v>263.44499999999999</v>
      </c>
      <c r="M27" s="431">
        <f t="shared" ref="M27" si="41">L27*1.03</f>
        <v>271.34834999999998</v>
      </c>
      <c r="N27" s="431">
        <f t="shared" ref="N27" si="42">M27*0.98</f>
        <v>265.92138299999999</v>
      </c>
      <c r="O27" s="4031">
        <f t="shared" ref="O27" si="43">N27*0.96</f>
        <v>255.28452768</v>
      </c>
      <c r="P27" s="4376">
        <f>IFERROR((K27-J27)/J27,0)</f>
        <v>0.30000000000000004</v>
      </c>
      <c r="Q27" s="3608"/>
      <c r="R27" s="2030"/>
      <c r="S27" s="2030"/>
      <c r="T27" s="2030"/>
      <c r="U27" s="2030"/>
      <c r="V27" s="2031"/>
      <c r="W27" s="4422"/>
      <c r="X27" s="4438">
        <f t="shared" ref="X27" si="44">IFERROR(J27/$C$1,0)</f>
        <v>98.679333070870172</v>
      </c>
      <c r="Y27" s="4438">
        <f t="shared" ref="Y27" si="45">IFERROR(K27/$C$1,0)</f>
        <v>128.28313299213121</v>
      </c>
      <c r="Z27" s="4438">
        <f t="shared" ref="Z27" si="46">IFERROR(L27/$C$1,0)</f>
        <v>134.69728964173777</v>
      </c>
      <c r="AA27" s="4438">
        <f t="shared" ref="AA27" si="47">IFERROR(M27/$C$1,0)</f>
        <v>138.73820833098992</v>
      </c>
      <c r="AB27" s="4438">
        <f t="shared" ref="AB27" si="48">IFERROR(N27/$C$1,0)</f>
        <v>135.96344416437012</v>
      </c>
      <c r="AC27" s="4438">
        <f t="shared" ref="AC27" si="49">IFERROR(O27/$C$1,0)</f>
        <v>130.52490639779532</v>
      </c>
    </row>
    <row r="28" spans="1:35" ht="12.75">
      <c r="A28" s="1322"/>
      <c r="B28" s="3609" t="s">
        <v>1431</v>
      </c>
      <c r="C28" s="3652" t="s">
        <v>170</v>
      </c>
      <c r="D28" s="2032"/>
      <c r="E28" s="1969"/>
      <c r="F28" s="1969"/>
      <c r="G28" s="1969"/>
      <c r="H28" s="1969"/>
      <c r="I28" s="2033"/>
      <c r="J28" s="3906"/>
      <c r="K28" s="3610">
        <f>IFERROR((K27-J27)/J27,0)</f>
        <v>0.30000000000000004</v>
      </c>
      <c r="L28" s="3610">
        <f>IFERROR((L27-K27)/K27,0)</f>
        <v>4.9999999999999947E-2</v>
      </c>
      <c r="M28" s="3610">
        <f>IFERROR((M27-L27)/L27,0)</f>
        <v>2.9999999999999961E-2</v>
      </c>
      <c r="N28" s="3610">
        <f>IFERROR((N27-M27)/M27,0)</f>
        <v>-1.9999999999999966E-2</v>
      </c>
      <c r="O28" s="4032">
        <f>IFERROR((O27-N27)/N27,0)</f>
        <v>-3.999999999999998E-2</v>
      </c>
      <c r="P28" s="4377"/>
      <c r="Q28" s="3041"/>
      <c r="R28" s="1969"/>
      <c r="S28" s="1969"/>
      <c r="T28" s="1969"/>
      <c r="U28" s="1969"/>
      <c r="V28" s="2033"/>
      <c r="W28" s="4422"/>
    </row>
    <row r="29" spans="1:35" ht="12.75">
      <c r="A29" s="1321"/>
      <c r="B29" s="1451" t="s">
        <v>642</v>
      </c>
      <c r="C29" s="3653"/>
      <c r="D29" s="2032"/>
      <c r="E29" s="1969"/>
      <c r="F29" s="1969"/>
      <c r="G29" s="1969"/>
      <c r="H29" s="1969"/>
      <c r="I29" s="2033"/>
      <c r="J29" s="4587">
        <f>1008.22707+4.79566</f>
        <v>1013.02273</v>
      </c>
      <c r="K29" s="415">
        <f t="shared" ref="K29" si="50">J29*1.3</f>
        <v>1316.9295490000002</v>
      </c>
      <c r="L29" s="415">
        <f t="shared" ref="L29" si="51">K29*1.05</f>
        <v>1382.7760264500002</v>
      </c>
      <c r="M29" s="415">
        <f t="shared" ref="M29" si="52">L29*1.03</f>
        <v>1424.2593072435002</v>
      </c>
      <c r="N29" s="415">
        <f t="shared" ref="N29" si="53">M29*0.98</f>
        <v>1395.7741210986301</v>
      </c>
      <c r="O29" s="4033">
        <f t="shared" ref="O29" si="54">N29*0.96</f>
        <v>1339.9431562546849</v>
      </c>
      <c r="P29" s="4377">
        <f>IFERROR((K29-J29)/J29,0)</f>
        <v>0.30000000000000016</v>
      </c>
      <c r="Q29" s="3041"/>
      <c r="R29" s="1969"/>
      <c r="S29" s="1969"/>
      <c r="T29" s="1969"/>
      <c r="U29" s="1969"/>
      <c r="V29" s="2033"/>
      <c r="W29" s="4422"/>
      <c r="X29" s="4438">
        <f t="shared" ref="X29" si="55">IFERROR(J29/$C$1,0)</f>
        <v>517.9502973162289</v>
      </c>
      <c r="Y29" s="4438">
        <f t="shared" ref="Y29" si="56">IFERROR(K29/$C$1,0)</f>
        <v>673.33538651109768</v>
      </c>
      <c r="Z29" s="4438">
        <f t="shared" ref="Z29" si="57">IFERROR(L29/$C$1,0)</f>
        <v>707.00215583665261</v>
      </c>
      <c r="AA29" s="4438">
        <f t="shared" ref="AA29" si="58">IFERROR(M29/$C$1,0)</f>
        <v>728.21222051175221</v>
      </c>
      <c r="AB29" s="4438">
        <f t="shared" ref="AB29" si="59">IFERROR(N29/$C$1,0)</f>
        <v>713.64797610151709</v>
      </c>
      <c r="AC29" s="4438">
        <f t="shared" ref="AC29" si="60">IFERROR(O29/$C$1,0)</f>
        <v>685.10205705745636</v>
      </c>
    </row>
    <row r="30" spans="1:35" ht="12.75">
      <c r="A30" s="1321"/>
      <c r="B30" s="3609" t="s">
        <v>1428</v>
      </c>
      <c r="C30" s="3652" t="s">
        <v>170</v>
      </c>
      <c r="D30" s="2032"/>
      <c r="E30" s="1969"/>
      <c r="F30" s="1969"/>
      <c r="G30" s="1969"/>
      <c r="H30" s="1969"/>
      <c r="I30" s="2033"/>
      <c r="J30" s="3614"/>
      <c r="K30" s="3610">
        <f>IFERROR((K29-J29)/J29,0)</f>
        <v>0.30000000000000016</v>
      </c>
      <c r="L30" s="3610">
        <f>IFERROR((L29-K29)/K29,0)</f>
        <v>5.0000000000000044E-2</v>
      </c>
      <c r="M30" s="3610">
        <f>IFERROR((M29-L29)/L29,0)</f>
        <v>2.9999999999999954E-2</v>
      </c>
      <c r="N30" s="3610">
        <f>IFERROR((N29-M29)/M29,0)</f>
        <v>-2.0000000000000077E-2</v>
      </c>
      <c r="O30" s="4032">
        <f>IFERROR((O29-N29)/N29,0)</f>
        <v>-3.9999999999999952E-2</v>
      </c>
      <c r="P30" s="4377"/>
      <c r="Q30" s="3041"/>
      <c r="R30" s="1969"/>
      <c r="S30" s="1969"/>
      <c r="T30" s="1969"/>
      <c r="U30" s="1969"/>
      <c r="V30" s="2033"/>
      <c r="W30" s="4422"/>
    </row>
    <row r="31" spans="1:35" ht="12.75">
      <c r="A31" s="1321"/>
      <c r="B31" s="1451" t="s">
        <v>641</v>
      </c>
      <c r="C31" s="3653"/>
      <c r="D31" s="2032"/>
      <c r="E31" s="1969"/>
      <c r="F31" s="1969"/>
      <c r="G31" s="1969"/>
      <c r="H31" s="1969"/>
      <c r="I31" s="2033"/>
      <c r="J31" s="4587">
        <f>674.93598+13.38991</f>
        <v>688.32588999999996</v>
      </c>
      <c r="K31" s="415">
        <f t="shared" ref="K31" si="61">J31*1.3</f>
        <v>894.82365700000003</v>
      </c>
      <c r="L31" s="415">
        <f t="shared" ref="L31" si="62">K31*1.05</f>
        <v>939.56483985000011</v>
      </c>
      <c r="M31" s="415">
        <f t="shared" ref="M31" si="63">L31*1.03</f>
        <v>967.75178504550013</v>
      </c>
      <c r="N31" s="415">
        <f t="shared" ref="N31" si="64">M31*0.98</f>
        <v>948.39674934459015</v>
      </c>
      <c r="O31" s="4033">
        <f t="shared" ref="O31" si="65">N31*0.96</f>
        <v>910.46087937080654</v>
      </c>
      <c r="P31" s="4377">
        <f>IFERROR((K31-J31)/J31,0)</f>
        <v>0.3000000000000001</v>
      </c>
      <c r="Q31" s="3041"/>
      <c r="R31" s="1969"/>
      <c r="S31" s="1969"/>
      <c r="T31" s="1969"/>
      <c r="U31" s="1969"/>
      <c r="V31" s="2033"/>
      <c r="W31" s="4422"/>
      <c r="X31" s="4438">
        <f t="shared" ref="X31" si="66">IFERROR(J31/$C$1,0)</f>
        <v>351.93543917416133</v>
      </c>
      <c r="Y31" s="4438">
        <f t="shared" ref="Y31" si="67">IFERROR(K31/$C$1,0)</f>
        <v>457.51607092640978</v>
      </c>
      <c r="Z31" s="4438">
        <f t="shared" ref="Z31" si="68">IFERROR(L31/$C$1,0)</f>
        <v>480.39187447273031</v>
      </c>
      <c r="AA31" s="4438">
        <f t="shared" ref="AA31" si="69">IFERROR(M31/$C$1,0)</f>
        <v>494.80363070691226</v>
      </c>
      <c r="AB31" s="4438">
        <f t="shared" ref="AB31" si="70">IFERROR(N31/$C$1,0)</f>
        <v>484.90755809277402</v>
      </c>
      <c r="AC31" s="4438">
        <f t="shared" ref="AC31" si="71">IFERROR(O31/$C$1,0)</f>
        <v>465.51125576906304</v>
      </c>
    </row>
    <row r="32" spans="1:35" ht="12.75">
      <c r="A32" s="1321"/>
      <c r="B32" s="3609" t="s">
        <v>1431</v>
      </c>
      <c r="C32" s="3652" t="s">
        <v>170</v>
      </c>
      <c r="D32" s="2032"/>
      <c r="E32" s="1969"/>
      <c r="F32" s="1969"/>
      <c r="G32" s="1969"/>
      <c r="H32" s="1969"/>
      <c r="I32" s="2033"/>
      <c r="J32" s="3614"/>
      <c r="K32" s="3610">
        <f>IFERROR((K31-J31)/J31,0)</f>
        <v>0.3000000000000001</v>
      </c>
      <c r="L32" s="3610">
        <f>IFERROR((L31-K31)/K31,0)</f>
        <v>5.0000000000000093E-2</v>
      </c>
      <c r="M32" s="3610">
        <f>IFERROR((M31-L31)/L31,0)</f>
        <v>3.0000000000000013E-2</v>
      </c>
      <c r="N32" s="3610">
        <f>IFERROR((N31-M31)/M31,0)</f>
        <v>-1.9999999999999976E-2</v>
      </c>
      <c r="O32" s="4032">
        <f>IFERROR((O31-N31)/N31,0)</f>
        <v>-4.0000000000000008E-2</v>
      </c>
      <c r="P32" s="4377"/>
      <c r="Q32" s="3041"/>
      <c r="R32" s="1969"/>
      <c r="S32" s="1969"/>
      <c r="T32" s="1969"/>
      <c r="U32" s="1969"/>
      <c r="V32" s="2033"/>
      <c r="W32" s="4422"/>
    </row>
    <row r="33" spans="1:35" ht="12.75">
      <c r="A33" s="1321"/>
      <c r="B33" s="1451" t="s">
        <v>640</v>
      </c>
      <c r="C33" s="3653"/>
      <c r="D33" s="2032"/>
      <c r="E33" s="1969"/>
      <c r="F33" s="1969"/>
      <c r="G33" s="1969"/>
      <c r="H33" s="1969"/>
      <c r="I33" s="2033"/>
      <c r="J33" s="4587">
        <v>691</v>
      </c>
      <c r="K33" s="415">
        <f t="shared" ref="K33" si="72">J33*1.3</f>
        <v>898.30000000000007</v>
      </c>
      <c r="L33" s="415">
        <f t="shared" ref="L33" si="73">K33*1.05</f>
        <v>943.21500000000015</v>
      </c>
      <c r="M33" s="415">
        <f t="shared" ref="M33" si="74">L33*1.03</f>
        <v>971.5114500000002</v>
      </c>
      <c r="N33" s="415">
        <f t="shared" ref="N33" si="75">M33*0.98</f>
        <v>952.08122100000014</v>
      </c>
      <c r="O33" s="4033">
        <f t="shared" ref="O33" si="76">N33*0.96</f>
        <v>913.99797216000013</v>
      </c>
      <c r="P33" s="4377">
        <f>IFERROR((K33-J33)/J33,0)</f>
        <v>0.3000000000000001</v>
      </c>
      <c r="Q33" s="3041"/>
      <c r="R33" s="1969"/>
      <c r="S33" s="1969"/>
      <c r="T33" s="1969"/>
      <c r="U33" s="1969"/>
      <c r="V33" s="2033"/>
      <c r="W33" s="4422"/>
      <c r="X33" s="4438">
        <f t="shared" ref="X33" si="77">IFERROR(J33/$C$1,0)</f>
        <v>353.30268990658698</v>
      </c>
      <c r="Y33" s="4438">
        <f t="shared" ref="Y33" si="78">IFERROR(K33/$C$1,0)</f>
        <v>459.29349687856313</v>
      </c>
      <c r="Z33" s="4438">
        <f t="shared" ref="Z33" si="79">IFERROR(L33/$C$1,0)</f>
        <v>482.25817172249128</v>
      </c>
      <c r="AA33" s="4438">
        <f t="shared" ref="AA33" si="80">IFERROR(M33/$C$1,0)</f>
        <v>496.72591687416605</v>
      </c>
      <c r="AB33" s="4438">
        <f t="shared" ref="AB33" si="81">IFERROR(N33/$C$1,0)</f>
        <v>486.79139853668272</v>
      </c>
      <c r="AC33" s="4438">
        <f t="shared" ref="AC33" si="82">IFERROR(O33/$C$1,0)</f>
        <v>467.31974259521542</v>
      </c>
    </row>
    <row r="34" spans="1:35" ht="12.75">
      <c r="A34" s="1321"/>
      <c r="B34" s="3609" t="s">
        <v>1431</v>
      </c>
      <c r="C34" s="3652" t="s">
        <v>170</v>
      </c>
      <c r="D34" s="2032"/>
      <c r="E34" s="1969"/>
      <c r="F34" s="1969"/>
      <c r="G34" s="1969"/>
      <c r="H34" s="1969"/>
      <c r="I34" s="2033"/>
      <c r="J34" s="3907"/>
      <c r="K34" s="3610">
        <f>IFERROR((K33-J33)/J33,0)</f>
        <v>0.3000000000000001</v>
      </c>
      <c r="L34" s="3610">
        <f>IFERROR((L33-K33)/K33,0)</f>
        <v>5.0000000000000079E-2</v>
      </c>
      <c r="M34" s="3610">
        <f>IFERROR((M33-L33)/L33,0)</f>
        <v>3.0000000000000047E-2</v>
      </c>
      <c r="N34" s="3610">
        <f>IFERROR((N33-M33)/M33,0)</f>
        <v>-2.0000000000000052E-2</v>
      </c>
      <c r="O34" s="4032">
        <f>IFERROR((O33-N33)/N33,0)</f>
        <v>-4.0000000000000008E-2</v>
      </c>
      <c r="P34" s="4377"/>
      <c r="Q34" s="3041"/>
      <c r="R34" s="1969"/>
      <c r="S34" s="1969"/>
      <c r="T34" s="1969"/>
      <c r="U34" s="1969"/>
      <c r="V34" s="2033"/>
      <c r="W34" s="4422"/>
    </row>
    <row r="35" spans="1:35" ht="12.75">
      <c r="A35" s="1321"/>
      <c r="B35" s="1451" t="s">
        <v>639</v>
      </c>
      <c r="C35" s="3653"/>
      <c r="D35" s="2032"/>
      <c r="E35" s="1969"/>
      <c r="F35" s="1969"/>
      <c r="G35" s="1969"/>
      <c r="H35" s="1969"/>
      <c r="I35" s="2033"/>
      <c r="J35" s="4588">
        <f>134</f>
        <v>134</v>
      </c>
      <c r="K35" s="417">
        <f t="shared" ref="K35" si="83">J35*1.3</f>
        <v>174.20000000000002</v>
      </c>
      <c r="L35" s="417">
        <f t="shared" ref="L35" si="84">K35*1.05</f>
        <v>182.91000000000003</v>
      </c>
      <c r="M35" s="417">
        <f t="shared" ref="M35" si="85">L35*1.03</f>
        <v>188.39730000000003</v>
      </c>
      <c r="N35" s="417">
        <f t="shared" ref="N35" si="86">M35*0.98</f>
        <v>184.62935400000003</v>
      </c>
      <c r="O35" s="4034">
        <f t="shared" ref="O35" si="87">N35*0.96</f>
        <v>177.24417984000002</v>
      </c>
      <c r="P35" s="4377">
        <f>IFERROR((K35-J35)/J35,0)</f>
        <v>0.3000000000000001</v>
      </c>
      <c r="Q35" s="3041"/>
      <c r="R35" s="1969"/>
      <c r="S35" s="1969"/>
      <c r="T35" s="1969"/>
      <c r="U35" s="1969"/>
      <c r="V35" s="2033"/>
      <c r="W35" s="4422"/>
      <c r="X35" s="4438">
        <f t="shared" ref="X35" si="88">IFERROR(J35/$C$1,0)</f>
        <v>68.513112080293283</v>
      </c>
      <c r="Y35" s="4438">
        <f t="shared" ref="Y35" si="89">IFERROR(K35/$C$1,0)</f>
        <v>89.067045704381272</v>
      </c>
      <c r="Z35" s="4438">
        <f t="shared" ref="Z35" si="90">IFERROR(L35/$C$1,0)</f>
        <v>93.52039798960034</v>
      </c>
      <c r="AA35" s="4438">
        <f t="shared" ref="AA35" si="91">IFERROR(M35/$C$1,0)</f>
        <v>96.326009929288347</v>
      </c>
      <c r="AB35" s="4438">
        <f t="shared" ref="AB35" si="92">IFERROR(N35/$C$1,0)</f>
        <v>94.399489730702584</v>
      </c>
      <c r="AC35" s="4438">
        <f t="shared" ref="AC35" si="93">IFERROR(O35/$C$1,0)</f>
        <v>90.623510141474469</v>
      </c>
    </row>
    <row r="36" spans="1:35" ht="12.75">
      <c r="A36" s="1323"/>
      <c r="B36" s="3609" t="s">
        <v>1428</v>
      </c>
      <c r="C36" s="3652" t="s">
        <v>170</v>
      </c>
      <c r="D36" s="2032"/>
      <c r="E36" s="1969"/>
      <c r="F36" s="1969"/>
      <c r="G36" s="1969"/>
      <c r="H36" s="1969"/>
      <c r="I36" s="2033"/>
      <c r="J36" s="3907"/>
      <c r="K36" s="3610">
        <f>IFERROR((K35-J35)/J35,0)</f>
        <v>0.3000000000000001</v>
      </c>
      <c r="L36" s="3610">
        <f>IFERROR((L35-K35)/K35,0)</f>
        <v>5.0000000000000037E-2</v>
      </c>
      <c r="M36" s="3610">
        <f>IFERROR((M35-L35)/L35,0)</f>
        <v>3.0000000000000023E-2</v>
      </c>
      <c r="N36" s="3610">
        <f>IFERROR((N35-M35)/M35,0)</f>
        <v>-1.9999999999999969E-2</v>
      </c>
      <c r="O36" s="4032">
        <f>IFERROR((O35-N35)/N35,0)</f>
        <v>-4.0000000000000098E-2</v>
      </c>
      <c r="P36" s="4377"/>
      <c r="Q36" s="3041"/>
      <c r="R36" s="1969"/>
      <c r="S36" s="1969"/>
      <c r="T36" s="1969"/>
      <c r="U36" s="1969"/>
      <c r="V36" s="2033"/>
      <c r="W36" s="4422"/>
    </row>
    <row r="37" spans="1:35" ht="24">
      <c r="A37" s="1323"/>
      <c r="B37" s="1458" t="s">
        <v>638</v>
      </c>
      <c r="C37" s="3653"/>
      <c r="D37" s="2032"/>
      <c r="E37" s="1969"/>
      <c r="F37" s="1969"/>
      <c r="G37" s="1969"/>
      <c r="H37" s="1969"/>
      <c r="I37" s="2033"/>
      <c r="J37" s="3649">
        <f>J24-J27-J29-J31-J33-J35</f>
        <v>66.573330000000283</v>
      </c>
      <c r="K37" s="3626">
        <f>K24-K27-K29-K31-K33-K35</f>
        <v>86.545328999999498</v>
      </c>
      <c r="L37" s="3626">
        <f t="shared" ref="L37:O37" si="94">L24-L27-L29-L31-L33-L35</f>
        <v>90.872595449998983</v>
      </c>
      <c r="M37" s="3626">
        <f t="shared" si="94"/>
        <v>93.598773313499635</v>
      </c>
      <c r="N37" s="3626">
        <f t="shared" si="94"/>
        <v>-25.779211120846071</v>
      </c>
      <c r="O37" s="3654">
        <f t="shared" si="94"/>
        <v>-24.748042676011551</v>
      </c>
      <c r="P37" s="4377">
        <f>IFERROR((K37-J37)/J37,0)</f>
        <v>0.29999999999998694</v>
      </c>
      <c r="Q37" s="3041"/>
      <c r="R37" s="1969"/>
      <c r="S37" s="1969"/>
      <c r="T37" s="1969"/>
      <c r="U37" s="1969"/>
      <c r="V37" s="2033"/>
      <c r="W37" s="4422"/>
      <c r="X37" s="4438">
        <f t="shared" ref="X37" si="95">IFERROR(J37/$C$1,0)</f>
        <v>34.038403133196795</v>
      </c>
      <c r="Y37" s="4438">
        <f t="shared" ref="Y37" si="96">IFERROR(K37/$C$1,0)</f>
        <v>44.249924073155384</v>
      </c>
      <c r="Z37" s="4438">
        <f t="shared" ref="Z37" si="97">IFERROR(L37/$C$1,0)</f>
        <v>46.462420276812907</v>
      </c>
      <c r="AA37" s="4438">
        <f t="shared" ref="AA37" si="98">IFERROR(M37/$C$1,0)</f>
        <v>47.856292885117639</v>
      </c>
      <c r="AB37" s="4438">
        <f t="shared" ref="AB37" si="99">IFERROR(N37/$C$1,0)</f>
        <v>-13.180701349731864</v>
      </c>
      <c r="AC37" s="4438">
        <f t="shared" ref="AC37" si="100">IFERROR(O37/$C$1,0)</f>
        <v>-12.653473295742243</v>
      </c>
    </row>
    <row r="38" spans="1:35" ht="13.5" thickBot="1">
      <c r="A38" s="1323"/>
      <c r="B38" s="4394" t="s">
        <v>1431</v>
      </c>
      <c r="C38" s="4395" t="s">
        <v>170</v>
      </c>
      <c r="D38" s="2034"/>
      <c r="E38" s="2035"/>
      <c r="F38" s="2035"/>
      <c r="G38" s="2035"/>
      <c r="H38" s="2035"/>
      <c r="I38" s="2036"/>
      <c r="J38" s="3907"/>
      <c r="K38" s="4396">
        <f>IFERROR((K37-J37)/J37,0)</f>
        <v>0.29999999999998694</v>
      </c>
      <c r="L38" s="4396">
        <f>IFERROR((L37-K37)/K37,0)</f>
        <v>4.9999999999994334E-2</v>
      </c>
      <c r="M38" s="4396">
        <f>IFERROR((M37-L37)/L37,0)</f>
        <v>3.0000000000007514E-2</v>
      </c>
      <c r="N38" s="4396">
        <f>IFERROR((N37-M37)/M37,0)</f>
        <v>-1.2754225318156811</v>
      </c>
      <c r="O38" s="4397">
        <f>IFERROR((O37-N37)/N37,0)</f>
        <v>-4.0000000000026285E-2</v>
      </c>
      <c r="P38" s="4398"/>
      <c r="Q38" s="3627"/>
      <c r="R38" s="2035"/>
      <c r="S38" s="2035"/>
      <c r="T38" s="2035"/>
      <c r="U38" s="2035"/>
      <c r="V38" s="2036"/>
      <c r="W38" s="4422"/>
    </row>
    <row r="39" spans="1:35" ht="13.5" customHeight="1" thickBot="1">
      <c r="A39" s="5080"/>
      <c r="B39" s="5081"/>
      <c r="C39" s="5081"/>
      <c r="D39" s="5081"/>
      <c r="E39" s="5081"/>
      <c r="F39" s="5081"/>
      <c r="G39" s="5081"/>
      <c r="H39" s="5081"/>
      <c r="I39" s="5081"/>
      <c r="J39" s="5081"/>
      <c r="K39" s="5081"/>
      <c r="L39" s="5081"/>
      <c r="M39" s="5081"/>
      <c r="N39" s="5081"/>
      <c r="O39" s="5081"/>
      <c r="P39" s="5081"/>
      <c r="Q39" s="5081"/>
      <c r="R39" s="5081"/>
      <c r="S39" s="5081"/>
      <c r="T39" s="5081"/>
      <c r="U39" s="5081"/>
      <c r="V39" s="5082"/>
      <c r="W39" s="4422"/>
    </row>
    <row r="40" spans="1:35" ht="18" customHeight="1" thickBot="1">
      <c r="A40" s="1467">
        <v>2</v>
      </c>
      <c r="B40" s="1466" t="s">
        <v>208</v>
      </c>
      <c r="C40" s="5069"/>
      <c r="D40" s="5070"/>
      <c r="E40" s="5070"/>
      <c r="F40" s="5070"/>
      <c r="G40" s="5070"/>
      <c r="H40" s="5070"/>
      <c r="I40" s="5070"/>
      <c r="J40" s="5069"/>
      <c r="K40" s="5069"/>
      <c r="L40" s="5069"/>
      <c r="M40" s="5069"/>
      <c r="N40" s="5069"/>
      <c r="O40" s="5069"/>
      <c r="P40" s="5093"/>
      <c r="Q40" s="5070"/>
      <c r="R40" s="5070"/>
      <c r="S40" s="5070"/>
      <c r="T40" s="5070"/>
      <c r="U40" s="5070"/>
      <c r="V40" s="5094"/>
      <c r="W40" s="4422"/>
    </row>
    <row r="41" spans="1:35" ht="12.75">
      <c r="A41" s="421" t="s">
        <v>477</v>
      </c>
      <c r="B41" s="1444" t="s">
        <v>478</v>
      </c>
      <c r="C41" s="1419" t="s">
        <v>676</v>
      </c>
      <c r="D41" s="4589">
        <v>17</v>
      </c>
      <c r="E41" s="411">
        <f t="shared" ref="E41" si="101">D41*1.1</f>
        <v>18.700000000000003</v>
      </c>
      <c r="F41" s="411">
        <f t="shared" ref="F41" si="102">E41*1.05</f>
        <v>19.635000000000005</v>
      </c>
      <c r="G41" s="411">
        <f t="shared" ref="G41" si="103">F41*1.03</f>
        <v>20.224050000000005</v>
      </c>
      <c r="H41" s="411">
        <f t="shared" ref="H41" si="104">G41*0.98</f>
        <v>19.819569000000005</v>
      </c>
      <c r="I41" s="3616">
        <f t="shared" ref="I41" si="105">H41*0.96</f>
        <v>19.026786240000003</v>
      </c>
      <c r="J41" s="4589">
        <v>15.58976</v>
      </c>
      <c r="K41" s="3586">
        <f>J41*1.3</f>
        <v>20.266688000000002</v>
      </c>
      <c r="L41" s="3586">
        <f>K41*1.05</f>
        <v>21.280022400000004</v>
      </c>
      <c r="M41" s="3586">
        <f>L41*1.03</f>
        <v>21.918423072000003</v>
      </c>
      <c r="N41" s="3586">
        <f>M41*0.98</f>
        <v>21.480054610560003</v>
      </c>
      <c r="O41" s="4035">
        <f>N41*0.96</f>
        <v>20.620852426137603</v>
      </c>
      <c r="P41" s="4378">
        <f t="shared" ref="P41:P53" si="106">IFERROR((K41-J41)/J41,0)</f>
        <v>0.3000000000000001</v>
      </c>
      <c r="Q41" s="4029">
        <f t="shared" ref="Q41:V51" si="107">ROUND(IFERROR(J41*1000/D41,0),0)</f>
        <v>917</v>
      </c>
      <c r="R41" s="3791">
        <f t="shared" si="107"/>
        <v>1084</v>
      </c>
      <c r="S41" s="3791">
        <f t="shared" si="107"/>
        <v>1084</v>
      </c>
      <c r="T41" s="3791">
        <f t="shared" si="107"/>
        <v>1084</v>
      </c>
      <c r="U41" s="3791">
        <f t="shared" si="107"/>
        <v>1084</v>
      </c>
      <c r="V41" s="3792">
        <f t="shared" si="107"/>
        <v>1084</v>
      </c>
      <c r="W41" s="4422"/>
      <c r="X41" s="4438">
        <f t="shared" ref="X41:X53" si="108">IFERROR(J41/$C$1,0)</f>
        <v>7.9709177177975592</v>
      </c>
      <c r="Y41" s="4438">
        <f t="shared" ref="Y41:Y53" si="109">IFERROR(K41/$C$1,0)</f>
        <v>10.362193033136828</v>
      </c>
      <c r="Z41" s="4438">
        <f t="shared" ref="Z41:Z53" si="110">IFERROR(L41/$C$1,0)</f>
        <v>10.880302684793671</v>
      </c>
      <c r="AA41" s="4438">
        <f t="shared" ref="AA41:AA53" si="111">IFERROR(M41/$C$1,0)</f>
        <v>11.206711765337481</v>
      </c>
      <c r="AB41" s="4438">
        <f t="shared" ref="AB41:AB53" si="112">IFERROR(N41/$C$1,0)</f>
        <v>10.982577530030731</v>
      </c>
      <c r="AC41" s="4438">
        <f t="shared" ref="AC41:AC53" si="113">IFERROR(O41/$C$1,0)</f>
        <v>10.543274428829502</v>
      </c>
      <c r="AD41" s="4438">
        <f t="shared" ref="AD41:AD51" si="114">IFERROR(Q41/$C$1,0)</f>
        <v>468.85465505693236</v>
      </c>
      <c r="AE41" s="4438">
        <f t="shared" ref="AE41:AE51" si="115">IFERROR(R41/$C$1,0)</f>
        <v>554.24039921670089</v>
      </c>
      <c r="AF41" s="4438">
        <f t="shared" ref="AF41:AF51" si="116">IFERROR(S41/$C$1,0)</f>
        <v>554.24039921670089</v>
      </c>
      <c r="AG41" s="4438">
        <f t="shared" ref="AG41:AG51" si="117">IFERROR(T41/$C$1,0)</f>
        <v>554.24039921670089</v>
      </c>
      <c r="AH41" s="4438">
        <f t="shared" ref="AH41:AH51" si="118">IFERROR(U41/$C$1,0)</f>
        <v>554.24039921670089</v>
      </c>
      <c r="AI41" s="4438">
        <f t="shared" ref="AI41:AI51" si="119">IFERROR(V41/$C$1,0)</f>
        <v>554.24039921670089</v>
      </c>
    </row>
    <row r="42" spans="1:35" ht="12.75">
      <c r="A42" s="422" t="s">
        <v>479</v>
      </c>
      <c r="B42" s="1445" t="s">
        <v>480</v>
      </c>
      <c r="C42" s="307" t="s">
        <v>676</v>
      </c>
      <c r="D42" s="4590">
        <v>12</v>
      </c>
      <c r="E42" s="409">
        <f t="shared" ref="E42:E51" si="120">D42*1.1</f>
        <v>13.200000000000001</v>
      </c>
      <c r="F42" s="409">
        <f t="shared" ref="F42:F51" si="121">E42*1.05</f>
        <v>13.860000000000001</v>
      </c>
      <c r="G42" s="409">
        <f t="shared" ref="G42:G51" si="122">F42*1.03</f>
        <v>14.275800000000002</v>
      </c>
      <c r="H42" s="409">
        <f t="shared" ref="H42:H51" si="123">G42*0.98</f>
        <v>13.990284000000003</v>
      </c>
      <c r="I42" s="424">
        <f t="shared" ref="I42:I51" si="124">H42*0.96</f>
        <v>13.430672640000003</v>
      </c>
      <c r="J42" s="4590">
        <v>3.65523</v>
      </c>
      <c r="K42" s="3903">
        <f t="shared" ref="K42:K51" si="125">J42*1.3</f>
        <v>4.7517990000000001</v>
      </c>
      <c r="L42" s="3903">
        <f t="shared" ref="L42:L51" si="126">K42*1.05</f>
        <v>4.9893889500000004</v>
      </c>
      <c r="M42" s="3903">
        <f t="shared" ref="M42:M51" si="127">L42*1.03</f>
        <v>5.1390706185000008</v>
      </c>
      <c r="N42" s="3903">
        <f t="shared" ref="N42:N51" si="128">M42*0.98</f>
        <v>5.0362892061300011</v>
      </c>
      <c r="O42" s="3905">
        <f t="shared" ref="O42:O51" si="129">N42*0.96</f>
        <v>4.8348376378848013</v>
      </c>
      <c r="P42" s="4379">
        <f t="shared" si="106"/>
        <v>0.30000000000000004</v>
      </c>
      <c r="Q42" s="4030">
        <f t="shared" si="107"/>
        <v>305</v>
      </c>
      <c r="R42" s="3793">
        <f t="shared" si="107"/>
        <v>360</v>
      </c>
      <c r="S42" s="3793">
        <f t="shared" si="107"/>
        <v>360</v>
      </c>
      <c r="T42" s="3793">
        <f t="shared" si="107"/>
        <v>360</v>
      </c>
      <c r="U42" s="3793">
        <f t="shared" si="107"/>
        <v>360</v>
      </c>
      <c r="V42" s="3794">
        <f t="shared" si="107"/>
        <v>360</v>
      </c>
      <c r="W42" s="4422"/>
      <c r="X42" s="4438">
        <f t="shared" si="108"/>
        <v>1.8688894229048538</v>
      </c>
      <c r="Y42" s="4438">
        <f t="shared" si="109"/>
        <v>2.4295562497763101</v>
      </c>
      <c r="Z42" s="4438">
        <f t="shared" si="110"/>
        <v>2.5510340622651255</v>
      </c>
      <c r="AA42" s="4438">
        <f t="shared" si="111"/>
        <v>2.6275650841330793</v>
      </c>
      <c r="AB42" s="4438">
        <f t="shared" si="112"/>
        <v>2.575013782450418</v>
      </c>
      <c r="AC42" s="4438">
        <f t="shared" si="113"/>
        <v>2.4720132311524017</v>
      </c>
      <c r="AD42" s="4438">
        <f t="shared" si="114"/>
        <v>155.94402376484663</v>
      </c>
      <c r="AE42" s="4438">
        <f t="shared" si="115"/>
        <v>184.06507723063865</v>
      </c>
      <c r="AF42" s="4438">
        <f t="shared" si="116"/>
        <v>184.06507723063865</v>
      </c>
      <c r="AG42" s="4438">
        <f t="shared" si="117"/>
        <v>184.06507723063865</v>
      </c>
      <c r="AH42" s="4438">
        <f t="shared" si="118"/>
        <v>184.06507723063865</v>
      </c>
      <c r="AI42" s="4438">
        <f t="shared" si="119"/>
        <v>184.06507723063865</v>
      </c>
    </row>
    <row r="43" spans="1:35" ht="12.75">
      <c r="A43" s="422" t="s">
        <v>481</v>
      </c>
      <c r="B43" s="1445" t="s">
        <v>1352</v>
      </c>
      <c r="C43" s="307" t="s">
        <v>676</v>
      </c>
      <c r="D43" s="4590">
        <v>7</v>
      </c>
      <c r="E43" s="409">
        <f t="shared" si="120"/>
        <v>7.7000000000000011</v>
      </c>
      <c r="F43" s="409">
        <f t="shared" si="121"/>
        <v>8.0850000000000009</v>
      </c>
      <c r="G43" s="409">
        <f t="shared" si="122"/>
        <v>8.3275500000000005</v>
      </c>
      <c r="H43" s="409">
        <f t="shared" si="123"/>
        <v>8.1609990000000003</v>
      </c>
      <c r="I43" s="424">
        <f t="shared" si="124"/>
        <v>7.8345590400000003</v>
      </c>
      <c r="J43" s="4590">
        <v>25.354749999999999</v>
      </c>
      <c r="K43" s="3903">
        <f t="shared" si="125"/>
        <v>32.961174999999997</v>
      </c>
      <c r="L43" s="3903">
        <f t="shared" si="126"/>
        <v>34.609233750000001</v>
      </c>
      <c r="M43" s="3903">
        <f t="shared" si="127"/>
        <v>35.647510762500005</v>
      </c>
      <c r="N43" s="3903">
        <f t="shared" si="128"/>
        <v>34.934560547250001</v>
      </c>
      <c r="O43" s="3905">
        <f t="shared" si="129"/>
        <v>33.537178125360001</v>
      </c>
      <c r="P43" s="4379">
        <f t="shared" si="106"/>
        <v>0.29999999999999993</v>
      </c>
      <c r="Q43" s="4030">
        <f t="shared" si="107"/>
        <v>3622</v>
      </c>
      <c r="R43" s="3793">
        <f t="shared" si="107"/>
        <v>4281</v>
      </c>
      <c r="S43" s="3793">
        <f t="shared" si="107"/>
        <v>4281</v>
      </c>
      <c r="T43" s="3793">
        <f t="shared" si="107"/>
        <v>4281</v>
      </c>
      <c r="U43" s="3793">
        <f t="shared" si="107"/>
        <v>4281</v>
      </c>
      <c r="V43" s="3794">
        <f t="shared" si="107"/>
        <v>4281</v>
      </c>
      <c r="W43" s="4422"/>
      <c r="X43" s="4438">
        <f t="shared" si="108"/>
        <v>12.96367782475982</v>
      </c>
      <c r="Y43" s="4438">
        <f t="shared" si="109"/>
        <v>16.852781172187765</v>
      </c>
      <c r="Z43" s="4438">
        <f t="shared" si="110"/>
        <v>17.695420230797158</v>
      </c>
      <c r="AA43" s="4438">
        <f t="shared" si="111"/>
        <v>18.226282837721072</v>
      </c>
      <c r="AB43" s="4438">
        <f t="shared" si="112"/>
        <v>17.861757180966649</v>
      </c>
      <c r="AC43" s="4438">
        <f t="shared" si="113"/>
        <v>17.147286893727983</v>
      </c>
      <c r="AD43" s="4438">
        <f t="shared" si="114"/>
        <v>1851.8991936927034</v>
      </c>
      <c r="AE43" s="4438">
        <f t="shared" si="115"/>
        <v>2188.8405434010115</v>
      </c>
      <c r="AF43" s="4438">
        <f t="shared" si="116"/>
        <v>2188.8405434010115</v>
      </c>
      <c r="AG43" s="4438">
        <f t="shared" si="117"/>
        <v>2188.8405434010115</v>
      </c>
      <c r="AH43" s="4438">
        <f t="shared" si="118"/>
        <v>2188.8405434010115</v>
      </c>
      <c r="AI43" s="4438">
        <f t="shared" si="119"/>
        <v>2188.8405434010115</v>
      </c>
    </row>
    <row r="44" spans="1:35" ht="24">
      <c r="A44" s="422" t="s">
        <v>482</v>
      </c>
      <c r="B44" s="1445" t="s">
        <v>1353</v>
      </c>
      <c r="C44" s="307" t="s">
        <v>676</v>
      </c>
      <c r="D44" s="4590">
        <v>1</v>
      </c>
      <c r="E44" s="409">
        <f t="shared" si="120"/>
        <v>1.1000000000000001</v>
      </c>
      <c r="F44" s="409">
        <f t="shared" si="121"/>
        <v>1.1550000000000002</v>
      </c>
      <c r="G44" s="409">
        <f t="shared" si="122"/>
        <v>1.1896500000000003</v>
      </c>
      <c r="H44" s="409">
        <f t="shared" si="123"/>
        <v>1.1658570000000004</v>
      </c>
      <c r="I44" s="424">
        <f t="shared" si="124"/>
        <v>1.1192227200000002</v>
      </c>
      <c r="J44" s="4590">
        <v>0.12429</v>
      </c>
      <c r="K44" s="3903">
        <f t="shared" si="125"/>
        <v>0.161577</v>
      </c>
      <c r="L44" s="3903">
        <f t="shared" si="126"/>
        <v>0.16965585</v>
      </c>
      <c r="M44" s="3903">
        <f t="shared" si="127"/>
        <v>0.1747455255</v>
      </c>
      <c r="N44" s="3903">
        <f t="shared" si="128"/>
        <v>0.17125061498999999</v>
      </c>
      <c r="O44" s="3905">
        <f t="shared" si="129"/>
        <v>0.16440059039039998</v>
      </c>
      <c r="P44" s="4379">
        <f t="shared" si="106"/>
        <v>0.3</v>
      </c>
      <c r="Q44" s="4030">
        <f t="shared" si="107"/>
        <v>124</v>
      </c>
      <c r="R44" s="3793">
        <f t="shared" si="107"/>
        <v>147</v>
      </c>
      <c r="S44" s="3793">
        <f t="shared" si="107"/>
        <v>147</v>
      </c>
      <c r="T44" s="3793">
        <f t="shared" si="107"/>
        <v>147</v>
      </c>
      <c r="U44" s="3793">
        <f t="shared" si="107"/>
        <v>147</v>
      </c>
      <c r="V44" s="3794">
        <f t="shared" si="107"/>
        <v>147</v>
      </c>
      <c r="W44" s="4422"/>
      <c r="X44" s="4438">
        <f t="shared" si="108"/>
        <v>6.3548467913877998E-2</v>
      </c>
      <c r="Y44" s="4438">
        <f t="shared" si="109"/>
        <v>8.2613008288041398E-2</v>
      </c>
      <c r="Z44" s="4438">
        <f t="shared" si="110"/>
        <v>8.6743658702443466E-2</v>
      </c>
      <c r="AA44" s="4438">
        <f t="shared" si="111"/>
        <v>8.9345968463516764E-2</v>
      </c>
      <c r="AB44" s="4438">
        <f t="shared" si="112"/>
        <v>8.755904909424643E-2</v>
      </c>
      <c r="AC44" s="4438">
        <f t="shared" si="113"/>
        <v>8.4056687130476565E-2</v>
      </c>
      <c r="AD44" s="4438">
        <f t="shared" si="114"/>
        <v>63.400193268331094</v>
      </c>
      <c r="AE44" s="4438">
        <f t="shared" si="115"/>
        <v>75.159906535844115</v>
      </c>
      <c r="AF44" s="4438">
        <f t="shared" si="116"/>
        <v>75.159906535844115</v>
      </c>
      <c r="AG44" s="4438">
        <f t="shared" si="117"/>
        <v>75.159906535844115</v>
      </c>
      <c r="AH44" s="4438">
        <f t="shared" si="118"/>
        <v>75.159906535844115</v>
      </c>
      <c r="AI44" s="4438">
        <f t="shared" si="119"/>
        <v>75.159906535844115</v>
      </c>
    </row>
    <row r="45" spans="1:35" ht="12.75">
      <c r="A45" s="422" t="s">
        <v>483</v>
      </c>
      <c r="B45" s="1445" t="s">
        <v>1354</v>
      </c>
      <c r="C45" s="307" t="s">
        <v>676</v>
      </c>
      <c r="D45" s="4590">
        <v>0</v>
      </c>
      <c r="E45" s="409">
        <f t="shared" si="120"/>
        <v>0</v>
      </c>
      <c r="F45" s="409">
        <f t="shared" si="121"/>
        <v>0</v>
      </c>
      <c r="G45" s="409">
        <f t="shared" si="122"/>
        <v>0</v>
      </c>
      <c r="H45" s="409">
        <f t="shared" si="123"/>
        <v>0</v>
      </c>
      <c r="I45" s="424">
        <f t="shared" si="124"/>
        <v>0</v>
      </c>
      <c r="J45" s="4590">
        <v>0</v>
      </c>
      <c r="K45" s="3903">
        <f t="shared" si="125"/>
        <v>0</v>
      </c>
      <c r="L45" s="3903">
        <f t="shared" si="126"/>
        <v>0</v>
      </c>
      <c r="M45" s="3903">
        <f t="shared" si="127"/>
        <v>0</v>
      </c>
      <c r="N45" s="3903">
        <f t="shared" si="128"/>
        <v>0</v>
      </c>
      <c r="O45" s="3905">
        <f t="shared" si="129"/>
        <v>0</v>
      </c>
      <c r="P45" s="4379">
        <f t="shared" si="106"/>
        <v>0</v>
      </c>
      <c r="Q45" s="4030">
        <f t="shared" si="107"/>
        <v>0</v>
      </c>
      <c r="R45" s="3793">
        <f t="shared" si="107"/>
        <v>0</v>
      </c>
      <c r="S45" s="3793">
        <f t="shared" si="107"/>
        <v>0</v>
      </c>
      <c r="T45" s="3793">
        <f t="shared" si="107"/>
        <v>0</v>
      </c>
      <c r="U45" s="3793">
        <f t="shared" si="107"/>
        <v>0</v>
      </c>
      <c r="V45" s="3794">
        <f t="shared" si="107"/>
        <v>0</v>
      </c>
      <c r="W45" s="4422"/>
      <c r="X45" s="4438">
        <f t="shared" si="108"/>
        <v>0</v>
      </c>
      <c r="Y45" s="4438">
        <f t="shared" si="109"/>
        <v>0</v>
      </c>
      <c r="Z45" s="4438">
        <f t="shared" si="110"/>
        <v>0</v>
      </c>
      <c r="AA45" s="4438">
        <f t="shared" si="111"/>
        <v>0</v>
      </c>
      <c r="AB45" s="4438">
        <f t="shared" si="112"/>
        <v>0</v>
      </c>
      <c r="AC45" s="4438">
        <f t="shared" si="113"/>
        <v>0</v>
      </c>
      <c r="AD45" s="4438">
        <f t="shared" si="114"/>
        <v>0</v>
      </c>
      <c r="AE45" s="4438">
        <f t="shared" si="115"/>
        <v>0</v>
      </c>
      <c r="AF45" s="4438">
        <f t="shared" si="116"/>
        <v>0</v>
      </c>
      <c r="AG45" s="4438">
        <f t="shared" si="117"/>
        <v>0</v>
      </c>
      <c r="AH45" s="4438">
        <f t="shared" si="118"/>
        <v>0</v>
      </c>
      <c r="AI45" s="4438">
        <f t="shared" si="119"/>
        <v>0</v>
      </c>
    </row>
    <row r="46" spans="1:35" ht="24">
      <c r="A46" s="422" t="s">
        <v>484</v>
      </c>
      <c r="B46" s="1453" t="s">
        <v>1355</v>
      </c>
      <c r="C46" s="307" t="s">
        <v>676</v>
      </c>
      <c r="D46" s="4590">
        <v>21</v>
      </c>
      <c r="E46" s="409">
        <f t="shared" si="120"/>
        <v>23.1</v>
      </c>
      <c r="F46" s="409">
        <f t="shared" si="121"/>
        <v>24.255000000000003</v>
      </c>
      <c r="G46" s="409">
        <f t="shared" si="122"/>
        <v>24.982650000000003</v>
      </c>
      <c r="H46" s="409">
        <f t="shared" si="123"/>
        <v>24.482997000000001</v>
      </c>
      <c r="I46" s="424">
        <f t="shared" si="124"/>
        <v>23.503677119999999</v>
      </c>
      <c r="J46" s="4590">
        <v>24.406410000000001</v>
      </c>
      <c r="K46" s="3903">
        <f t="shared" si="125"/>
        <v>31.728333000000003</v>
      </c>
      <c r="L46" s="3903">
        <f t="shared" si="126"/>
        <v>33.314749650000003</v>
      </c>
      <c r="M46" s="3903">
        <f t="shared" si="127"/>
        <v>34.314192139500001</v>
      </c>
      <c r="N46" s="3903">
        <f t="shared" si="128"/>
        <v>33.627908296710004</v>
      </c>
      <c r="O46" s="3905">
        <f t="shared" si="129"/>
        <v>32.2827919648416</v>
      </c>
      <c r="P46" s="4379">
        <f t="shared" si="106"/>
        <v>0.30000000000000004</v>
      </c>
      <c r="Q46" s="4030">
        <f t="shared" si="107"/>
        <v>1162</v>
      </c>
      <c r="R46" s="3793">
        <f t="shared" si="107"/>
        <v>1374</v>
      </c>
      <c r="S46" s="3793">
        <f t="shared" si="107"/>
        <v>1374</v>
      </c>
      <c r="T46" s="3793">
        <f t="shared" si="107"/>
        <v>1374</v>
      </c>
      <c r="U46" s="3793">
        <f t="shared" si="107"/>
        <v>1374</v>
      </c>
      <c r="V46" s="3794">
        <f t="shared" si="107"/>
        <v>1374</v>
      </c>
      <c r="W46" s="4422"/>
      <c r="X46" s="4438">
        <f t="shared" si="108"/>
        <v>12.4787992821462</v>
      </c>
      <c r="Y46" s="4438">
        <f t="shared" si="109"/>
        <v>16.222439066790059</v>
      </c>
      <c r="Z46" s="4438">
        <f t="shared" si="110"/>
        <v>17.033561020129564</v>
      </c>
      <c r="AA46" s="4438">
        <f t="shared" si="111"/>
        <v>17.544567850733451</v>
      </c>
      <c r="AB46" s="4438">
        <f t="shared" si="112"/>
        <v>17.193676493718783</v>
      </c>
      <c r="AC46" s="4438">
        <f t="shared" si="113"/>
        <v>16.505929433970028</v>
      </c>
      <c r="AD46" s="4438">
        <f t="shared" si="114"/>
        <v>594.12116595000589</v>
      </c>
      <c r="AE46" s="4438">
        <f t="shared" si="115"/>
        <v>702.51504476360424</v>
      </c>
      <c r="AF46" s="4438">
        <f t="shared" si="116"/>
        <v>702.51504476360424</v>
      </c>
      <c r="AG46" s="4438">
        <f t="shared" si="117"/>
        <v>702.51504476360424</v>
      </c>
      <c r="AH46" s="4438">
        <f t="shared" si="118"/>
        <v>702.51504476360424</v>
      </c>
      <c r="AI46" s="4438">
        <f t="shared" si="119"/>
        <v>702.51504476360424</v>
      </c>
    </row>
    <row r="47" spans="1:35" ht="12.75">
      <c r="A47" s="422" t="s">
        <v>682</v>
      </c>
      <c r="B47" s="1446" t="s">
        <v>1073</v>
      </c>
      <c r="C47" s="307" t="s">
        <v>676</v>
      </c>
      <c r="D47" s="4590">
        <v>269</v>
      </c>
      <c r="E47" s="409">
        <f t="shared" si="120"/>
        <v>295.90000000000003</v>
      </c>
      <c r="F47" s="409">
        <f t="shared" si="121"/>
        <v>310.69500000000005</v>
      </c>
      <c r="G47" s="409">
        <f t="shared" si="122"/>
        <v>320.01585000000006</v>
      </c>
      <c r="H47" s="409">
        <f t="shared" si="123"/>
        <v>313.61553300000003</v>
      </c>
      <c r="I47" s="424">
        <f t="shared" si="124"/>
        <v>301.07091167999999</v>
      </c>
      <c r="J47" s="4590">
        <v>351.3426</v>
      </c>
      <c r="K47" s="3903">
        <f t="shared" si="125"/>
        <v>456.74538000000001</v>
      </c>
      <c r="L47" s="3903">
        <f t="shared" si="126"/>
        <v>479.58264900000006</v>
      </c>
      <c r="M47" s="3903">
        <f t="shared" si="127"/>
        <v>493.97012847000008</v>
      </c>
      <c r="N47" s="3903">
        <f t="shared" si="128"/>
        <v>484.09072590060009</v>
      </c>
      <c r="O47" s="3905">
        <f t="shared" si="129"/>
        <v>464.72709686457608</v>
      </c>
      <c r="P47" s="4379">
        <f t="shared" si="106"/>
        <v>0.3</v>
      </c>
      <c r="Q47" s="4030">
        <f t="shared" si="107"/>
        <v>1306</v>
      </c>
      <c r="R47" s="3793">
        <f t="shared" si="107"/>
        <v>1544</v>
      </c>
      <c r="S47" s="3793">
        <f t="shared" si="107"/>
        <v>1544</v>
      </c>
      <c r="T47" s="3793">
        <f t="shared" si="107"/>
        <v>1544</v>
      </c>
      <c r="U47" s="3793">
        <f t="shared" si="107"/>
        <v>1544</v>
      </c>
      <c r="V47" s="3794">
        <f t="shared" si="107"/>
        <v>1544</v>
      </c>
      <c r="W47" s="4422"/>
      <c r="X47" s="4438">
        <f t="shared" si="108"/>
        <v>179.63861889837051</v>
      </c>
      <c r="Y47" s="4438">
        <f t="shared" si="109"/>
        <v>233.53020456788167</v>
      </c>
      <c r="Z47" s="4438">
        <f t="shared" si="110"/>
        <v>245.20671479627578</v>
      </c>
      <c r="AA47" s="4438">
        <f t="shared" si="111"/>
        <v>252.56291624016407</v>
      </c>
      <c r="AB47" s="4438">
        <f t="shared" si="112"/>
        <v>247.51165791536079</v>
      </c>
      <c r="AC47" s="4438">
        <f t="shared" si="113"/>
        <v>237.61119159874636</v>
      </c>
      <c r="AD47" s="4438">
        <f t="shared" si="114"/>
        <v>667.74719684226136</v>
      </c>
      <c r="AE47" s="4438">
        <f t="shared" si="115"/>
        <v>789.43466456696137</v>
      </c>
      <c r="AF47" s="4438">
        <f t="shared" si="116"/>
        <v>789.43466456696137</v>
      </c>
      <c r="AG47" s="4438">
        <f t="shared" si="117"/>
        <v>789.43466456696137</v>
      </c>
      <c r="AH47" s="4438">
        <f t="shared" si="118"/>
        <v>789.43466456696137</v>
      </c>
      <c r="AI47" s="4438">
        <f t="shared" si="119"/>
        <v>789.43466456696137</v>
      </c>
    </row>
    <row r="48" spans="1:35" ht="24">
      <c r="A48" s="2028" t="s">
        <v>1069</v>
      </c>
      <c r="B48" s="1460" t="s">
        <v>1070</v>
      </c>
      <c r="C48" s="307" t="s">
        <v>676</v>
      </c>
      <c r="D48" s="4590">
        <v>269</v>
      </c>
      <c r="E48" s="409">
        <f t="shared" si="120"/>
        <v>295.90000000000003</v>
      </c>
      <c r="F48" s="409">
        <f t="shared" si="121"/>
        <v>310.69500000000005</v>
      </c>
      <c r="G48" s="409">
        <f t="shared" si="122"/>
        <v>320.01585000000006</v>
      </c>
      <c r="H48" s="409">
        <f t="shared" si="123"/>
        <v>313.61553300000003</v>
      </c>
      <c r="I48" s="424">
        <f t="shared" si="124"/>
        <v>301.07091167999999</v>
      </c>
      <c r="J48" s="4590">
        <v>351.3426</v>
      </c>
      <c r="K48" s="3903">
        <f t="shared" si="125"/>
        <v>456.74538000000001</v>
      </c>
      <c r="L48" s="3903">
        <f t="shared" si="126"/>
        <v>479.58264900000006</v>
      </c>
      <c r="M48" s="3903">
        <f t="shared" si="127"/>
        <v>493.97012847000008</v>
      </c>
      <c r="N48" s="3903">
        <f t="shared" si="128"/>
        <v>484.09072590060009</v>
      </c>
      <c r="O48" s="3905">
        <f t="shared" si="129"/>
        <v>464.72709686457608</v>
      </c>
      <c r="P48" s="4379">
        <f t="shared" si="106"/>
        <v>0.3</v>
      </c>
      <c r="Q48" s="4030">
        <f t="shared" si="107"/>
        <v>1306</v>
      </c>
      <c r="R48" s="3793">
        <f t="shared" si="107"/>
        <v>1544</v>
      </c>
      <c r="S48" s="3793">
        <f t="shared" si="107"/>
        <v>1544</v>
      </c>
      <c r="T48" s="3793">
        <f t="shared" si="107"/>
        <v>1544</v>
      </c>
      <c r="U48" s="3793">
        <f t="shared" si="107"/>
        <v>1544</v>
      </c>
      <c r="V48" s="3794">
        <f t="shared" si="107"/>
        <v>1544</v>
      </c>
      <c r="W48" s="4422"/>
      <c r="X48" s="4438">
        <f t="shared" si="108"/>
        <v>179.63861889837051</v>
      </c>
      <c r="Y48" s="4438">
        <f t="shared" si="109"/>
        <v>233.53020456788167</v>
      </c>
      <c r="Z48" s="4438">
        <f t="shared" si="110"/>
        <v>245.20671479627578</v>
      </c>
      <c r="AA48" s="4438">
        <f t="shared" si="111"/>
        <v>252.56291624016407</v>
      </c>
      <c r="AB48" s="4438">
        <f t="shared" si="112"/>
        <v>247.51165791536079</v>
      </c>
      <c r="AC48" s="4438">
        <f t="shared" si="113"/>
        <v>237.61119159874636</v>
      </c>
      <c r="AD48" s="4438">
        <f t="shared" si="114"/>
        <v>667.74719684226136</v>
      </c>
      <c r="AE48" s="4438">
        <f t="shared" si="115"/>
        <v>789.43466456696137</v>
      </c>
      <c r="AF48" s="4438">
        <f t="shared" si="116"/>
        <v>789.43466456696137</v>
      </c>
      <c r="AG48" s="4438">
        <f t="shared" si="117"/>
        <v>789.43466456696137</v>
      </c>
      <c r="AH48" s="4438">
        <f t="shared" si="118"/>
        <v>789.43466456696137</v>
      </c>
      <c r="AI48" s="4438">
        <f t="shared" si="119"/>
        <v>789.43466456696137</v>
      </c>
    </row>
    <row r="49" spans="1:35" ht="12.75">
      <c r="A49" s="2028" t="s">
        <v>1071</v>
      </c>
      <c r="B49" s="1460" t="s">
        <v>1072</v>
      </c>
      <c r="C49" s="307" t="s">
        <v>676</v>
      </c>
      <c r="D49" s="4590">
        <v>0</v>
      </c>
      <c r="E49" s="409">
        <f t="shared" si="120"/>
        <v>0</v>
      </c>
      <c r="F49" s="409">
        <f t="shared" si="121"/>
        <v>0</v>
      </c>
      <c r="G49" s="409">
        <f t="shared" si="122"/>
        <v>0</v>
      </c>
      <c r="H49" s="409">
        <f t="shared" si="123"/>
        <v>0</v>
      </c>
      <c r="I49" s="424">
        <f t="shared" si="124"/>
        <v>0</v>
      </c>
      <c r="J49" s="4590">
        <v>0</v>
      </c>
      <c r="K49" s="3903">
        <f t="shared" si="125"/>
        <v>0</v>
      </c>
      <c r="L49" s="3903">
        <f t="shared" si="126"/>
        <v>0</v>
      </c>
      <c r="M49" s="3903">
        <f t="shared" si="127"/>
        <v>0</v>
      </c>
      <c r="N49" s="3903">
        <f t="shared" si="128"/>
        <v>0</v>
      </c>
      <c r="O49" s="3905">
        <f t="shared" si="129"/>
        <v>0</v>
      </c>
      <c r="P49" s="4379">
        <f t="shared" si="106"/>
        <v>0</v>
      </c>
      <c r="Q49" s="4030">
        <f t="shared" si="107"/>
        <v>0</v>
      </c>
      <c r="R49" s="3793">
        <f t="shared" si="107"/>
        <v>0</v>
      </c>
      <c r="S49" s="3793">
        <f t="shared" si="107"/>
        <v>0</v>
      </c>
      <c r="T49" s="3793">
        <f t="shared" si="107"/>
        <v>0</v>
      </c>
      <c r="U49" s="3793">
        <f t="shared" si="107"/>
        <v>0</v>
      </c>
      <c r="V49" s="3794">
        <f t="shared" si="107"/>
        <v>0</v>
      </c>
      <c r="W49" s="4422"/>
      <c r="X49" s="4438">
        <f t="shared" si="108"/>
        <v>0</v>
      </c>
      <c r="Y49" s="4438">
        <f t="shared" si="109"/>
        <v>0</v>
      </c>
      <c r="Z49" s="4438">
        <f t="shared" si="110"/>
        <v>0</v>
      </c>
      <c r="AA49" s="4438">
        <f t="shared" si="111"/>
        <v>0</v>
      </c>
      <c r="AB49" s="4438">
        <f t="shared" si="112"/>
        <v>0</v>
      </c>
      <c r="AC49" s="4438">
        <f t="shared" si="113"/>
        <v>0</v>
      </c>
      <c r="AD49" s="4438">
        <f t="shared" si="114"/>
        <v>0</v>
      </c>
      <c r="AE49" s="4438">
        <f t="shared" si="115"/>
        <v>0</v>
      </c>
      <c r="AF49" s="4438">
        <f t="shared" si="116"/>
        <v>0</v>
      </c>
      <c r="AG49" s="4438">
        <f t="shared" si="117"/>
        <v>0</v>
      </c>
      <c r="AH49" s="4438">
        <f t="shared" si="118"/>
        <v>0</v>
      </c>
      <c r="AI49" s="4438">
        <f t="shared" si="119"/>
        <v>0</v>
      </c>
    </row>
    <row r="50" spans="1:35" ht="12.75">
      <c r="A50" s="422" t="s">
        <v>727</v>
      </c>
      <c r="B50" s="1445" t="s">
        <v>915</v>
      </c>
      <c r="C50" s="307" t="s">
        <v>676</v>
      </c>
      <c r="D50" s="4590">
        <v>0</v>
      </c>
      <c r="E50" s="409">
        <f t="shared" si="120"/>
        <v>0</v>
      </c>
      <c r="F50" s="409">
        <f t="shared" si="121"/>
        <v>0</v>
      </c>
      <c r="G50" s="409">
        <f t="shared" si="122"/>
        <v>0</v>
      </c>
      <c r="H50" s="409">
        <f t="shared" si="123"/>
        <v>0</v>
      </c>
      <c r="I50" s="424">
        <f t="shared" si="124"/>
        <v>0</v>
      </c>
      <c r="J50" s="4590">
        <v>0</v>
      </c>
      <c r="K50" s="3903">
        <f t="shared" si="125"/>
        <v>0</v>
      </c>
      <c r="L50" s="3903">
        <f t="shared" si="126"/>
        <v>0</v>
      </c>
      <c r="M50" s="3903">
        <f t="shared" si="127"/>
        <v>0</v>
      </c>
      <c r="N50" s="3903">
        <f t="shared" si="128"/>
        <v>0</v>
      </c>
      <c r="O50" s="3905">
        <f t="shared" si="129"/>
        <v>0</v>
      </c>
      <c r="P50" s="4379">
        <f t="shared" si="106"/>
        <v>0</v>
      </c>
      <c r="Q50" s="4030">
        <f t="shared" si="107"/>
        <v>0</v>
      </c>
      <c r="R50" s="3793">
        <f t="shared" si="107"/>
        <v>0</v>
      </c>
      <c r="S50" s="3793">
        <f t="shared" si="107"/>
        <v>0</v>
      </c>
      <c r="T50" s="3793">
        <f t="shared" si="107"/>
        <v>0</v>
      </c>
      <c r="U50" s="3793">
        <f t="shared" si="107"/>
        <v>0</v>
      </c>
      <c r="V50" s="3794">
        <f t="shared" si="107"/>
        <v>0</v>
      </c>
      <c r="W50" s="4422"/>
      <c r="X50" s="4438">
        <f t="shared" si="108"/>
        <v>0</v>
      </c>
      <c r="Y50" s="4438">
        <f t="shared" si="109"/>
        <v>0</v>
      </c>
      <c r="Z50" s="4438">
        <f t="shared" si="110"/>
        <v>0</v>
      </c>
      <c r="AA50" s="4438">
        <f t="shared" si="111"/>
        <v>0</v>
      </c>
      <c r="AB50" s="4438">
        <f t="shared" si="112"/>
        <v>0</v>
      </c>
      <c r="AC50" s="4438">
        <f t="shared" si="113"/>
        <v>0</v>
      </c>
      <c r="AD50" s="4438">
        <f t="shared" si="114"/>
        <v>0</v>
      </c>
      <c r="AE50" s="4438">
        <f t="shared" si="115"/>
        <v>0</v>
      </c>
      <c r="AF50" s="4438">
        <f t="shared" si="116"/>
        <v>0</v>
      </c>
      <c r="AG50" s="4438">
        <f t="shared" si="117"/>
        <v>0</v>
      </c>
      <c r="AH50" s="4438">
        <f t="shared" si="118"/>
        <v>0</v>
      </c>
      <c r="AI50" s="4438">
        <f t="shared" si="119"/>
        <v>0</v>
      </c>
    </row>
    <row r="51" spans="1:35" ht="12.75">
      <c r="A51" s="422" t="s">
        <v>732</v>
      </c>
      <c r="B51" s="1453" t="s">
        <v>1356</v>
      </c>
      <c r="C51" s="307" t="s">
        <v>676</v>
      </c>
      <c r="D51" s="4590">
        <v>18</v>
      </c>
      <c r="E51" s="409">
        <f t="shared" si="120"/>
        <v>19.8</v>
      </c>
      <c r="F51" s="409">
        <f t="shared" si="121"/>
        <v>20.790000000000003</v>
      </c>
      <c r="G51" s="409">
        <f t="shared" si="122"/>
        <v>21.413700000000002</v>
      </c>
      <c r="H51" s="409">
        <f t="shared" si="123"/>
        <v>20.985426</v>
      </c>
      <c r="I51" s="424">
        <f t="shared" si="124"/>
        <v>20.14600896</v>
      </c>
      <c r="J51" s="4590">
        <v>3.5745800000000001</v>
      </c>
      <c r="K51" s="3903">
        <f t="shared" si="125"/>
        <v>4.646954</v>
      </c>
      <c r="L51" s="3903">
        <f t="shared" si="126"/>
        <v>4.8793017000000001</v>
      </c>
      <c r="M51" s="3903">
        <f t="shared" si="127"/>
        <v>5.0256807510000003</v>
      </c>
      <c r="N51" s="3903">
        <f t="shared" si="128"/>
        <v>4.9251671359800007</v>
      </c>
      <c r="O51" s="3905">
        <f t="shared" si="129"/>
        <v>4.7281604505408001</v>
      </c>
      <c r="P51" s="4379">
        <f t="shared" si="106"/>
        <v>0.3</v>
      </c>
      <c r="Q51" s="4030">
        <f t="shared" si="107"/>
        <v>199</v>
      </c>
      <c r="R51" s="3793">
        <f t="shared" si="107"/>
        <v>235</v>
      </c>
      <c r="S51" s="3793">
        <f t="shared" si="107"/>
        <v>235</v>
      </c>
      <c r="T51" s="3793">
        <f t="shared" si="107"/>
        <v>235</v>
      </c>
      <c r="U51" s="3793">
        <f t="shared" si="107"/>
        <v>235</v>
      </c>
      <c r="V51" s="3794">
        <f t="shared" si="107"/>
        <v>235</v>
      </c>
      <c r="W51" s="4422"/>
      <c r="X51" s="4438">
        <f t="shared" si="108"/>
        <v>1.8276537326863787</v>
      </c>
      <c r="Y51" s="4438">
        <f t="shared" si="109"/>
        <v>2.3759498524922922</v>
      </c>
      <c r="Z51" s="4438">
        <f t="shared" si="110"/>
        <v>2.4947473451169069</v>
      </c>
      <c r="AA51" s="4438">
        <f t="shared" si="111"/>
        <v>2.5695897654704143</v>
      </c>
      <c r="AB51" s="4438">
        <f t="shared" si="112"/>
        <v>2.518197970161006</v>
      </c>
      <c r="AC51" s="4438">
        <f t="shared" si="113"/>
        <v>2.4174700513545657</v>
      </c>
      <c r="AD51" s="4438">
        <f t="shared" si="114"/>
        <v>101.74708435804749</v>
      </c>
      <c r="AE51" s="4438">
        <f t="shared" si="115"/>
        <v>120.15359208111134</v>
      </c>
      <c r="AF51" s="4438">
        <f t="shared" si="116"/>
        <v>120.15359208111134</v>
      </c>
      <c r="AG51" s="4438">
        <f t="shared" si="117"/>
        <v>120.15359208111134</v>
      </c>
      <c r="AH51" s="4438">
        <f t="shared" si="118"/>
        <v>120.15359208111134</v>
      </c>
      <c r="AI51" s="4438">
        <f t="shared" si="119"/>
        <v>120.15359208111134</v>
      </c>
    </row>
    <row r="52" spans="1:35" ht="24.75" thickBot="1">
      <c r="A52" s="423" t="s">
        <v>917</v>
      </c>
      <c r="B52" s="1454" t="s">
        <v>1342</v>
      </c>
      <c r="C52" s="1455" t="s">
        <v>313</v>
      </c>
      <c r="D52" s="2025"/>
      <c r="E52" s="2026"/>
      <c r="F52" s="2026"/>
      <c r="G52" s="2026"/>
      <c r="H52" s="2026"/>
      <c r="I52" s="2027"/>
      <c r="J52" s="4591">
        <v>1.6555899999999999</v>
      </c>
      <c r="K52" s="3904">
        <f>J52*1.3</f>
        <v>2.1522670000000002</v>
      </c>
      <c r="L52" s="3904">
        <f>K52*1.05</f>
        <v>2.2598803500000004</v>
      </c>
      <c r="M52" s="3904">
        <f>L52*1.03</f>
        <v>2.3276767605000006</v>
      </c>
      <c r="N52" s="3904">
        <f>M52*0.98</f>
        <v>2.2811232252900004</v>
      </c>
      <c r="O52" s="4036">
        <f>N52*0.96</f>
        <v>2.1898782962784002</v>
      </c>
      <c r="P52" s="4380">
        <f t="shared" si="106"/>
        <v>0.30000000000000016</v>
      </c>
      <c r="Q52" s="3615"/>
      <c r="R52" s="2026"/>
      <c r="S52" s="2026"/>
      <c r="T52" s="2026"/>
      <c r="U52" s="2026"/>
      <c r="V52" s="2027"/>
      <c r="W52" s="4422"/>
      <c r="X52" s="4438">
        <f t="shared" si="108"/>
        <v>0.8464897255896473</v>
      </c>
      <c r="Y52" s="4438">
        <f t="shared" si="109"/>
        <v>1.1004366432665418</v>
      </c>
      <c r="Z52" s="4438">
        <f t="shared" si="110"/>
        <v>1.1554584754298689</v>
      </c>
      <c r="AA52" s="4438">
        <f t="shared" si="111"/>
        <v>1.1901222296927652</v>
      </c>
      <c r="AB52" s="4438">
        <f t="shared" si="112"/>
        <v>1.1663197850989098</v>
      </c>
      <c r="AC52" s="4438">
        <f t="shared" si="113"/>
        <v>1.1196669936949533</v>
      </c>
    </row>
    <row r="53" spans="1:35" ht="23.25" customHeight="1" thickBot="1">
      <c r="A53" s="1319"/>
      <c r="B53" s="1447" t="s">
        <v>1074</v>
      </c>
      <c r="C53" s="1448"/>
      <c r="D53" s="410">
        <f>SUM(D41:D52)-D48-D49</f>
        <v>345</v>
      </c>
      <c r="E53" s="314">
        <f t="shared" ref="E53:O53" si="130">SUM(E41:E52)-E48-E49</f>
        <v>379.50000000000006</v>
      </c>
      <c r="F53" s="314">
        <f t="shared" si="130"/>
        <v>398.47500000000002</v>
      </c>
      <c r="G53" s="314">
        <f t="shared" si="130"/>
        <v>410.42924999999997</v>
      </c>
      <c r="H53" s="314">
        <f t="shared" si="130"/>
        <v>402.22066499999994</v>
      </c>
      <c r="I53" s="315">
        <f t="shared" si="130"/>
        <v>386.13183839999999</v>
      </c>
      <c r="J53" s="315">
        <f t="shared" si="130"/>
        <v>425.70320999999996</v>
      </c>
      <c r="K53" s="315">
        <f t="shared" si="130"/>
        <v>553.41417300000012</v>
      </c>
      <c r="L53" s="314">
        <f t="shared" si="130"/>
        <v>581.08488165000028</v>
      </c>
      <c r="M53" s="314">
        <f t="shared" si="130"/>
        <v>598.51742809950008</v>
      </c>
      <c r="N53" s="314">
        <f t="shared" si="130"/>
        <v>586.54707953751017</v>
      </c>
      <c r="O53" s="4038">
        <f t="shared" si="130"/>
        <v>563.08519635600976</v>
      </c>
      <c r="P53" s="4199">
        <f t="shared" si="106"/>
        <v>0.30000000000000043</v>
      </c>
      <c r="Q53" s="3617"/>
      <c r="R53" s="3618"/>
      <c r="S53" s="3618"/>
      <c r="T53" s="3618"/>
      <c r="U53" s="3618"/>
      <c r="V53" s="3619"/>
      <c r="W53" s="4422"/>
      <c r="X53" s="4438">
        <f t="shared" si="108"/>
        <v>217.65859507216882</v>
      </c>
      <c r="Y53" s="4438">
        <f t="shared" si="109"/>
        <v>282.95617359381959</v>
      </c>
      <c r="Z53" s="4438">
        <f t="shared" si="110"/>
        <v>297.10398227351061</v>
      </c>
      <c r="AA53" s="4438">
        <f t="shared" si="111"/>
        <v>306.01710174171586</v>
      </c>
      <c r="AB53" s="4438">
        <f t="shared" si="112"/>
        <v>299.8967597068816</v>
      </c>
      <c r="AC53" s="4438">
        <f t="shared" si="113"/>
        <v>287.90088931860629</v>
      </c>
    </row>
    <row r="54" spans="1:35" ht="12.75" customHeight="1" thickBot="1">
      <c r="A54" s="3596"/>
      <c r="B54" s="3597" t="s">
        <v>1428</v>
      </c>
      <c r="C54" s="3638" t="s">
        <v>170</v>
      </c>
      <c r="D54" s="3598"/>
      <c r="E54" s="3599">
        <f>IFERROR((E53-D53)/D53,0)</f>
        <v>0.10000000000000016</v>
      </c>
      <c r="F54" s="3599">
        <f>IFERROR((F53-E53)/E53,0)</f>
        <v>4.9999999999999906E-2</v>
      </c>
      <c r="G54" s="3599">
        <f>IFERROR((G53-F53)/F53,0)</f>
        <v>2.999999999999986E-2</v>
      </c>
      <c r="H54" s="3599">
        <f>IFERROR((H53-G53)/G53,0)</f>
        <v>-2.000000000000007E-2</v>
      </c>
      <c r="I54" s="3600">
        <f>IFERROR((I53-H53)/H53,0)</f>
        <v>-3.9999999999999876E-2</v>
      </c>
      <c r="J54" s="3601"/>
      <c r="K54" s="3599">
        <f>IFERROR((K53-J53)/J53,0)</f>
        <v>0.30000000000000043</v>
      </c>
      <c r="L54" s="3599">
        <f>IFERROR((L53-K53)/K53,0)</f>
        <v>5.0000000000000287E-2</v>
      </c>
      <c r="M54" s="3599">
        <f>IFERROR((M53-L53)/L53,0)</f>
        <v>2.9999999999999635E-2</v>
      </c>
      <c r="N54" s="3599">
        <f>IFERROR((N53-M53)/M53,0)</f>
        <v>-1.9999999999999844E-2</v>
      </c>
      <c r="O54" s="3599">
        <f>IFERROR((O53-N53)/N53,0)</f>
        <v>-4.0000000000000008E-2</v>
      </c>
      <c r="P54" s="4026">
        <f t="shared" ref="P54" si="131">IFERROR((O54-J54)/J54,0)</f>
        <v>0</v>
      </c>
      <c r="Q54" s="3602"/>
      <c r="R54" s="3603"/>
      <c r="S54" s="3603"/>
      <c r="T54" s="3603"/>
      <c r="U54" s="3603"/>
      <c r="V54" s="3604"/>
      <c r="W54" s="4422"/>
    </row>
    <row r="55" spans="1:35" ht="13.5" customHeight="1" thickBot="1">
      <c r="A55" s="3620" t="s">
        <v>1075</v>
      </c>
      <c r="B55" s="419"/>
      <c r="C55" s="419"/>
      <c r="D55" s="419"/>
      <c r="E55" s="419"/>
      <c r="F55" s="419"/>
      <c r="G55" s="419"/>
      <c r="H55" s="419"/>
      <c r="I55" s="419"/>
      <c r="J55" s="419"/>
      <c r="K55" s="419"/>
      <c r="L55" s="419"/>
      <c r="M55" s="419"/>
      <c r="N55" s="419"/>
      <c r="O55" s="419"/>
      <c r="P55" s="3621"/>
      <c r="Q55" s="3621"/>
      <c r="R55" s="3621"/>
      <c r="S55" s="3621"/>
      <c r="T55" s="3621"/>
      <c r="U55" s="3621"/>
      <c r="V55" s="3622"/>
      <c r="W55" s="4422"/>
    </row>
    <row r="56" spans="1:35" ht="12.75">
      <c r="A56" s="1320"/>
      <c r="B56" s="1459" t="s">
        <v>1068</v>
      </c>
      <c r="C56" s="3651"/>
      <c r="D56" s="2029"/>
      <c r="E56" s="2030"/>
      <c r="F56" s="2030"/>
      <c r="G56" s="2030"/>
      <c r="H56" s="2030"/>
      <c r="I56" s="2031"/>
      <c r="J56" s="4586">
        <v>2</v>
      </c>
      <c r="K56" s="431">
        <f t="shared" ref="K56" si="132">J56*1.3</f>
        <v>2.6</v>
      </c>
      <c r="L56" s="431">
        <f t="shared" ref="L56" si="133">K56*1.05</f>
        <v>2.7300000000000004</v>
      </c>
      <c r="M56" s="431">
        <f t="shared" ref="M56" si="134">L56*1.03</f>
        <v>2.8119000000000005</v>
      </c>
      <c r="N56" s="431">
        <f t="shared" ref="N56" si="135">M56*0.98</f>
        <v>2.7556620000000005</v>
      </c>
      <c r="O56" s="432">
        <f t="shared" ref="O56" si="136">N56*0.96</f>
        <v>2.6454355200000004</v>
      </c>
      <c r="P56" s="4381">
        <f>IFERROR((K56-J56)/J56,0)</f>
        <v>0.30000000000000004</v>
      </c>
      <c r="Q56" s="3608"/>
      <c r="R56" s="2030"/>
      <c r="S56" s="2030"/>
      <c r="T56" s="2030"/>
      <c r="U56" s="2030"/>
      <c r="V56" s="2031"/>
      <c r="W56" s="4422"/>
      <c r="X56" s="4438">
        <f t="shared" ref="X56" si="137">IFERROR(J56/$C$1,0)</f>
        <v>1.022583762392437</v>
      </c>
      <c r="Y56" s="4438">
        <f t="shared" ref="Y56" si="138">IFERROR(K56/$C$1,0)</f>
        <v>1.3293588911101681</v>
      </c>
      <c r="Z56" s="4438">
        <f t="shared" ref="Z56" si="139">IFERROR(L56/$C$1,0)</f>
        <v>1.3958268356656767</v>
      </c>
      <c r="AA56" s="4438">
        <f t="shared" ref="AA56" si="140">IFERROR(M56/$C$1,0)</f>
        <v>1.4377016407356471</v>
      </c>
      <c r="AB56" s="4438">
        <f t="shared" ref="AB56" si="141">IFERROR(N56/$C$1,0)</f>
        <v>1.4089476079209342</v>
      </c>
      <c r="AC56" s="4438">
        <f t="shared" ref="AC56" si="142">IFERROR(O56/$C$1,0)</f>
        <v>1.3525897036040966</v>
      </c>
    </row>
    <row r="57" spans="1:35" ht="12.75">
      <c r="A57" s="1322"/>
      <c r="B57" s="3640" t="s">
        <v>1428</v>
      </c>
      <c r="C57" s="3652" t="s">
        <v>170</v>
      </c>
      <c r="D57" s="2032"/>
      <c r="E57" s="1969"/>
      <c r="F57" s="1969"/>
      <c r="G57" s="1969"/>
      <c r="H57" s="1969"/>
      <c r="I57" s="2033"/>
      <c r="J57" s="3906"/>
      <c r="K57" s="3610">
        <f>IFERROR((K56-J56)/J56,0)</f>
        <v>0.30000000000000004</v>
      </c>
      <c r="L57" s="3610">
        <f>IFERROR((L56-K56)/K56,0)</f>
        <v>5.0000000000000128E-2</v>
      </c>
      <c r="M57" s="3610">
        <f>IFERROR((M56-L56)/L56,0)</f>
        <v>3.0000000000000027E-2</v>
      </c>
      <c r="N57" s="3610">
        <f>IFERROR((N56-M56)/M56,0)</f>
        <v>-0.02</v>
      </c>
      <c r="O57" s="3611">
        <f>IFERROR((O56-N56)/N56,0)</f>
        <v>-4.0000000000000036E-2</v>
      </c>
      <c r="P57" s="4200"/>
      <c r="Q57" s="3041"/>
      <c r="R57" s="1969"/>
      <c r="S57" s="1969"/>
      <c r="T57" s="1969"/>
      <c r="U57" s="1969"/>
      <c r="V57" s="2033"/>
      <c r="W57" s="4422"/>
    </row>
    <row r="58" spans="1:35" ht="12.75">
      <c r="A58" s="1321"/>
      <c r="B58" s="1460" t="s">
        <v>642</v>
      </c>
      <c r="C58" s="3653"/>
      <c r="D58" s="2032"/>
      <c r="E58" s="1969"/>
      <c r="F58" s="1969"/>
      <c r="G58" s="1969"/>
      <c r="H58" s="1969"/>
      <c r="I58" s="2033"/>
      <c r="J58" s="4587">
        <f>13.9725+0.22559</f>
        <v>14.198090000000001</v>
      </c>
      <c r="K58" s="415">
        <f t="shared" ref="K58" si="143">J58*1.3</f>
        <v>18.457517000000003</v>
      </c>
      <c r="L58" s="415">
        <f t="shared" ref="L58" si="144">K58*1.05</f>
        <v>19.380392850000003</v>
      </c>
      <c r="M58" s="415">
        <f t="shared" ref="M58" si="145">L58*1.03</f>
        <v>19.961804635500005</v>
      </c>
      <c r="N58" s="415">
        <f t="shared" ref="N58" si="146">M58*0.98</f>
        <v>19.562568542790004</v>
      </c>
      <c r="O58" s="416">
        <f t="shared" ref="O58" si="147">N58*0.96</f>
        <v>18.780065801078404</v>
      </c>
      <c r="P58" s="4382">
        <f>IFERROR((K58-J58)/J58,0)</f>
        <v>0.30000000000000016</v>
      </c>
      <c r="Q58" s="3041"/>
      <c r="R58" s="1969"/>
      <c r="S58" s="1969"/>
      <c r="T58" s="1969"/>
      <c r="U58" s="1969"/>
      <c r="V58" s="2033"/>
      <c r="W58" s="4422"/>
      <c r="X58" s="4438">
        <f t="shared" ref="X58" si="148">IFERROR(J58/$C$1,0)</f>
        <v>7.2593681454932177</v>
      </c>
      <c r="Y58" s="4438">
        <f t="shared" ref="Y58" si="149">IFERROR(K58/$C$1,0)</f>
        <v>9.437178589141185</v>
      </c>
      <c r="Z58" s="4438">
        <f t="shared" ref="Z58" si="150">IFERROR(L58/$C$1,0)</f>
        <v>9.9090375185982449</v>
      </c>
      <c r="AA58" s="4438">
        <f t="shared" ref="AA58" si="151">IFERROR(M58/$C$1,0)</f>
        <v>10.206308644156193</v>
      </c>
      <c r="AB58" s="4438">
        <f t="shared" ref="AB58" si="152">IFERROR(N58/$C$1,0)</f>
        <v>10.002182471273068</v>
      </c>
      <c r="AC58" s="4438">
        <f t="shared" ref="AC58" si="153">IFERROR(O58/$C$1,0)</f>
        <v>9.6020951724221462</v>
      </c>
    </row>
    <row r="59" spans="1:35" ht="12.75">
      <c r="A59" s="1321"/>
      <c r="B59" s="3640" t="s">
        <v>1428</v>
      </c>
      <c r="C59" s="3652" t="s">
        <v>170</v>
      </c>
      <c r="D59" s="2032"/>
      <c r="E59" s="1969"/>
      <c r="F59" s="1969"/>
      <c r="G59" s="1969"/>
      <c r="H59" s="1969"/>
      <c r="I59" s="2033"/>
      <c r="J59" s="3614"/>
      <c r="K59" s="3610">
        <f>IFERROR((K58-J58)/J58,0)</f>
        <v>0.30000000000000016</v>
      </c>
      <c r="L59" s="3610">
        <f>IFERROR((L58-K58)/K58,0)</f>
        <v>5.0000000000000017E-2</v>
      </c>
      <c r="M59" s="3610">
        <f>IFERROR((M58-L58)/L58,0)</f>
        <v>3.00000000000001E-2</v>
      </c>
      <c r="N59" s="3610">
        <f>IFERROR((N58-M58)/M58,0)</f>
        <v>-2.0000000000000073E-2</v>
      </c>
      <c r="O59" s="3611">
        <f>IFERROR((O58-N58)/N58,0)</f>
        <v>-3.999999999999998E-2</v>
      </c>
      <c r="P59" s="4200"/>
      <c r="Q59" s="3041"/>
      <c r="R59" s="1969"/>
      <c r="S59" s="1969"/>
      <c r="T59" s="1969"/>
      <c r="U59" s="1969"/>
      <c r="V59" s="2033"/>
      <c r="W59" s="4422"/>
    </row>
    <row r="60" spans="1:35" ht="12.75">
      <c r="A60" s="1321"/>
      <c r="B60" s="1460" t="s">
        <v>641</v>
      </c>
      <c r="C60" s="3653"/>
      <c r="D60" s="2032"/>
      <c r="E60" s="1969"/>
      <c r="F60" s="1969"/>
      <c r="G60" s="1969"/>
      <c r="H60" s="1969"/>
      <c r="I60" s="2033"/>
      <c r="J60" s="4587">
        <f>394.842+0.62947</f>
        <v>395.47147000000001</v>
      </c>
      <c r="K60" s="415">
        <f t="shared" ref="K60" si="154">J60*1.3</f>
        <v>514.11291100000005</v>
      </c>
      <c r="L60" s="415">
        <f t="shared" ref="L60" si="155">K60*1.05</f>
        <v>539.81855655000004</v>
      </c>
      <c r="M60" s="415">
        <f t="shared" ref="M60" si="156">L60*1.03</f>
        <v>556.0131132465001</v>
      </c>
      <c r="N60" s="415">
        <f t="shared" ref="N60" si="157">M60*0.98</f>
        <v>544.89285098157006</v>
      </c>
      <c r="O60" s="416">
        <f t="shared" ref="O60" si="158">N60*0.96</f>
        <v>523.0971369423072</v>
      </c>
      <c r="P60" s="4382">
        <f>IFERROR((K60-J60)/J60,0)</f>
        <v>0.3000000000000001</v>
      </c>
      <c r="Q60" s="3041"/>
      <c r="R60" s="1969"/>
      <c r="S60" s="1969"/>
      <c r="T60" s="1969"/>
      <c r="U60" s="1969"/>
      <c r="V60" s="2033"/>
      <c r="W60" s="4422"/>
      <c r="X60" s="4438">
        <f t="shared" ref="X60" si="159">IFERROR(J60/$C$1,0)</f>
        <v>202.20135185573389</v>
      </c>
      <c r="Y60" s="4438">
        <f t="shared" ref="Y60" si="160">IFERROR(K60/$C$1,0)</f>
        <v>262.8617574124541</v>
      </c>
      <c r="Z60" s="4438">
        <f t="shared" ref="Z60" si="161">IFERROR(L60/$C$1,0)</f>
        <v>276.0048452830768</v>
      </c>
      <c r="AA60" s="4438">
        <f t="shared" ref="AA60" si="162">IFERROR(M60/$C$1,0)</f>
        <v>284.2849906415691</v>
      </c>
      <c r="AB60" s="4438">
        <f t="shared" ref="AB60" si="163">IFERROR(N60/$C$1,0)</f>
        <v>278.59929082873771</v>
      </c>
      <c r="AC60" s="4438">
        <f t="shared" ref="AC60" si="164">IFERROR(O60/$C$1,0)</f>
        <v>267.45531919558817</v>
      </c>
    </row>
    <row r="61" spans="1:35" ht="12.75">
      <c r="A61" s="1321"/>
      <c r="B61" s="3640" t="s">
        <v>1428</v>
      </c>
      <c r="C61" s="3652" t="s">
        <v>170</v>
      </c>
      <c r="D61" s="2032"/>
      <c r="E61" s="1969"/>
      <c r="F61" s="1969"/>
      <c r="G61" s="1969"/>
      <c r="H61" s="1969"/>
      <c r="I61" s="2033"/>
      <c r="J61" s="3614"/>
      <c r="K61" s="3610">
        <f>IFERROR((K60-J60)/J60,0)</f>
        <v>0.3000000000000001</v>
      </c>
      <c r="L61" s="3610">
        <f>IFERROR((L60-K60)/K60,0)</f>
        <v>4.9999999999999968E-2</v>
      </c>
      <c r="M61" s="3610">
        <f>IFERROR((M60-L60)/L60,0)</f>
        <v>3.0000000000000106E-2</v>
      </c>
      <c r="N61" s="3610">
        <f>IFERROR((N60-M60)/M60,0)</f>
        <v>-2.0000000000000056E-2</v>
      </c>
      <c r="O61" s="3611">
        <f>IFERROR((O60-N60)/N60,0)</f>
        <v>-4.0000000000000112E-2</v>
      </c>
      <c r="P61" s="4200"/>
      <c r="Q61" s="3041"/>
      <c r="R61" s="1969"/>
      <c r="S61" s="1969"/>
      <c r="T61" s="1969"/>
      <c r="U61" s="1969"/>
      <c r="V61" s="2033"/>
      <c r="W61" s="4422"/>
    </row>
    <row r="62" spans="1:35" ht="12.75">
      <c r="A62" s="1321"/>
      <c r="B62" s="1460" t="s">
        <v>640</v>
      </c>
      <c r="C62" s="3653"/>
      <c r="D62" s="2032"/>
      <c r="E62" s="1969"/>
      <c r="F62" s="1969"/>
      <c r="G62" s="1969"/>
      <c r="H62" s="1969"/>
      <c r="I62" s="2033"/>
      <c r="J62" s="4587">
        <v>0</v>
      </c>
      <c r="K62" s="415">
        <f t="shared" ref="K62" si="165">J62*1.3</f>
        <v>0</v>
      </c>
      <c r="L62" s="415">
        <f t="shared" ref="L62" si="166">K62*1.05</f>
        <v>0</v>
      </c>
      <c r="M62" s="415">
        <f t="shared" ref="M62" si="167">L62*1.03</f>
        <v>0</v>
      </c>
      <c r="N62" s="415">
        <f t="shared" ref="N62" si="168">M62*0.98</f>
        <v>0</v>
      </c>
      <c r="O62" s="416">
        <f t="shared" ref="O62" si="169">N62*0.96</f>
        <v>0</v>
      </c>
      <c r="P62" s="4382">
        <f>IFERROR((K62-J62)/J62,0)</f>
        <v>0</v>
      </c>
      <c r="Q62" s="3041"/>
      <c r="R62" s="1969"/>
      <c r="S62" s="1969"/>
      <c r="T62" s="1969"/>
      <c r="U62" s="1969"/>
      <c r="V62" s="2033"/>
      <c r="W62" s="4422"/>
      <c r="X62" s="4438">
        <f t="shared" ref="X62" si="170">IFERROR(J62/$C$1,0)</f>
        <v>0</v>
      </c>
      <c r="Y62" s="4438">
        <f t="shared" ref="Y62" si="171">IFERROR(K62/$C$1,0)</f>
        <v>0</v>
      </c>
      <c r="Z62" s="4438">
        <f t="shared" ref="Z62" si="172">IFERROR(L62/$C$1,0)</f>
        <v>0</v>
      </c>
      <c r="AA62" s="4438">
        <f t="shared" ref="AA62" si="173">IFERROR(M62/$C$1,0)</f>
        <v>0</v>
      </c>
      <c r="AB62" s="4438">
        <f t="shared" ref="AB62" si="174">IFERROR(N62/$C$1,0)</f>
        <v>0</v>
      </c>
      <c r="AC62" s="4438">
        <f t="shared" ref="AC62" si="175">IFERROR(O62/$C$1,0)</f>
        <v>0</v>
      </c>
    </row>
    <row r="63" spans="1:35" ht="12.75">
      <c r="A63" s="1321"/>
      <c r="B63" s="3640" t="s">
        <v>1428</v>
      </c>
      <c r="C63" s="3652" t="s">
        <v>170</v>
      </c>
      <c r="D63" s="2032"/>
      <c r="E63" s="1969"/>
      <c r="F63" s="1969"/>
      <c r="G63" s="1969"/>
      <c r="H63" s="1969"/>
      <c r="I63" s="2033"/>
      <c r="J63" s="3907"/>
      <c r="K63" s="3610">
        <f>IFERROR((K62-J62)/J62,0)</f>
        <v>0</v>
      </c>
      <c r="L63" s="3610">
        <f>IFERROR((L62-K62)/K62,0)</f>
        <v>0</v>
      </c>
      <c r="M63" s="3610">
        <f>IFERROR((M62-L62)/L62,0)</f>
        <v>0</v>
      </c>
      <c r="N63" s="3610">
        <f>IFERROR((N62-M62)/M62,0)</f>
        <v>0</v>
      </c>
      <c r="O63" s="3611">
        <f>IFERROR((O62-N62)/N62,0)</f>
        <v>0</v>
      </c>
      <c r="P63" s="4200"/>
      <c r="Q63" s="3041"/>
      <c r="R63" s="1969"/>
      <c r="S63" s="1969"/>
      <c r="T63" s="1969"/>
      <c r="U63" s="1969"/>
      <c r="V63" s="2033"/>
      <c r="W63" s="4422"/>
    </row>
    <row r="64" spans="1:35" ht="12.75">
      <c r="A64" s="1321"/>
      <c r="B64" s="1460" t="s">
        <v>639</v>
      </c>
      <c r="C64" s="3653"/>
      <c r="D64" s="2032"/>
      <c r="E64" s="1969"/>
      <c r="F64" s="1969"/>
      <c r="G64" s="1969"/>
      <c r="H64" s="1969"/>
      <c r="I64" s="2033"/>
      <c r="J64" s="4587">
        <v>0</v>
      </c>
      <c r="K64" s="417">
        <f t="shared" ref="K64" si="176">J64*1.3</f>
        <v>0</v>
      </c>
      <c r="L64" s="417">
        <f t="shared" ref="L64" si="177">K64*1.05</f>
        <v>0</v>
      </c>
      <c r="M64" s="417">
        <f t="shared" ref="M64" si="178">L64*1.03</f>
        <v>0</v>
      </c>
      <c r="N64" s="417">
        <f t="shared" ref="N64" si="179">M64*0.98</f>
        <v>0</v>
      </c>
      <c r="O64" s="418">
        <f t="shared" ref="O64" si="180">N64*0.96</f>
        <v>0</v>
      </c>
      <c r="P64" s="4201">
        <f>IFERROR((K64-J64)/J64,0)</f>
        <v>0</v>
      </c>
      <c r="Q64" s="3041"/>
      <c r="R64" s="1969"/>
      <c r="S64" s="1969"/>
      <c r="T64" s="1969"/>
      <c r="U64" s="1969"/>
      <c r="V64" s="2033"/>
      <c r="W64" s="4422"/>
      <c r="X64" s="4438">
        <f t="shared" ref="X64" si="181">IFERROR(J64/$C$1,0)</f>
        <v>0</v>
      </c>
      <c r="Y64" s="4438">
        <f t="shared" ref="Y64" si="182">IFERROR(K64/$C$1,0)</f>
        <v>0</v>
      </c>
      <c r="Z64" s="4438">
        <f t="shared" ref="Z64" si="183">IFERROR(L64/$C$1,0)</f>
        <v>0</v>
      </c>
      <c r="AA64" s="4438">
        <f t="shared" ref="AA64" si="184">IFERROR(M64/$C$1,0)</f>
        <v>0</v>
      </c>
      <c r="AB64" s="4438">
        <f t="shared" ref="AB64" si="185">IFERROR(N64/$C$1,0)</f>
        <v>0</v>
      </c>
      <c r="AC64" s="4438">
        <f t="shared" ref="AC64" si="186">IFERROR(O64/$C$1,0)</f>
        <v>0</v>
      </c>
    </row>
    <row r="65" spans="1:35" ht="12.75">
      <c r="A65" s="1323"/>
      <c r="B65" s="3640" t="s">
        <v>1428</v>
      </c>
      <c r="C65" s="3652" t="s">
        <v>170</v>
      </c>
      <c r="D65" s="2032"/>
      <c r="E65" s="1969"/>
      <c r="F65" s="1969"/>
      <c r="G65" s="1969"/>
      <c r="H65" s="1969"/>
      <c r="I65" s="2033"/>
      <c r="J65" s="3907"/>
      <c r="K65" s="3610">
        <f>IFERROR((K64-J64)/J64,0)</f>
        <v>0</v>
      </c>
      <c r="L65" s="3610">
        <f>IFERROR((L64-K64)/K64,0)</f>
        <v>0</v>
      </c>
      <c r="M65" s="3610">
        <f>IFERROR((M64-L64)/L64,0)</f>
        <v>0</v>
      </c>
      <c r="N65" s="3610">
        <f>IFERROR((N64-M64)/M64,0)</f>
        <v>0</v>
      </c>
      <c r="O65" s="3611">
        <f>IFERROR((O64-N64)/N64,0)</f>
        <v>0</v>
      </c>
      <c r="P65" s="4200"/>
      <c r="Q65" s="3041"/>
      <c r="R65" s="1969"/>
      <c r="S65" s="1969"/>
      <c r="T65" s="1969"/>
      <c r="U65" s="1969"/>
      <c r="V65" s="2033"/>
      <c r="W65" s="4422"/>
    </row>
    <row r="66" spans="1:35" ht="24">
      <c r="A66" s="1321"/>
      <c r="B66" s="1460" t="s">
        <v>638</v>
      </c>
      <c r="C66" s="3653"/>
      <c r="D66" s="2032"/>
      <c r="E66" s="1969"/>
      <c r="F66" s="1969"/>
      <c r="G66" s="1969"/>
      <c r="H66" s="1969"/>
      <c r="I66" s="2033"/>
      <c r="J66" s="3649">
        <f>J53-J56-J58-J60-J62-J64</f>
        <v>14.033649999999966</v>
      </c>
      <c r="K66" s="3626">
        <f t="shared" ref="K66:O66" si="187">K53-K56-K58-K60-K62-K64</f>
        <v>18.24374499999999</v>
      </c>
      <c r="L66" s="3626">
        <f t="shared" si="187"/>
        <v>19.155932250000205</v>
      </c>
      <c r="M66" s="3626">
        <f t="shared" si="187"/>
        <v>19.73061021749993</v>
      </c>
      <c r="N66" s="3626">
        <f t="shared" si="187"/>
        <v>19.335998013150061</v>
      </c>
      <c r="O66" s="3612">
        <f t="shared" si="187"/>
        <v>18.562558092624158</v>
      </c>
      <c r="P66" s="4201">
        <f>IFERROR((K66-J66)/J66,0)</f>
        <v>0.30000000000000243</v>
      </c>
      <c r="Q66" s="3041"/>
      <c r="R66" s="1969"/>
      <c r="S66" s="1969"/>
      <c r="T66" s="1969"/>
      <c r="U66" s="1969"/>
      <c r="V66" s="2033"/>
      <c r="W66" s="4422"/>
      <c r="X66" s="4438">
        <f t="shared" ref="X66" si="188">IFERROR(J66/$C$1,0)</f>
        <v>7.1752913085492942</v>
      </c>
      <c r="Y66" s="4438">
        <f t="shared" ref="Y66" si="189">IFERROR(K66/$C$1,0)</f>
        <v>9.3278787011141002</v>
      </c>
      <c r="Z66" s="4438">
        <f t="shared" ref="Z66" si="190">IFERROR(L66/$C$1,0)</f>
        <v>9.7942726361699162</v>
      </c>
      <c r="AA66" s="4438">
        <f t="shared" ref="AA66" si="191">IFERROR(M66/$C$1,0)</f>
        <v>10.088100815254869</v>
      </c>
      <c r="AB66" s="4438">
        <f t="shared" ref="AB66" si="192">IFERROR(N66/$C$1,0)</f>
        <v>9.8863387989498381</v>
      </c>
      <c r="AC66" s="4438">
        <f t="shared" ref="AC66" si="193">IFERROR(O66/$C$1,0)</f>
        <v>9.4908852469918958</v>
      </c>
    </row>
    <row r="67" spans="1:35" ht="13.5" thickBot="1">
      <c r="A67" s="4399"/>
      <c r="B67" s="4400" t="s">
        <v>1428</v>
      </c>
      <c r="C67" s="4395" t="s">
        <v>170</v>
      </c>
      <c r="D67" s="2034"/>
      <c r="E67" s="2035"/>
      <c r="F67" s="2035"/>
      <c r="G67" s="2035"/>
      <c r="H67" s="2035"/>
      <c r="I67" s="2036"/>
      <c r="J67" s="3907"/>
      <c r="K67" s="4396">
        <f>IFERROR((K66-J66)/J66,0)</f>
        <v>0.30000000000000243</v>
      </c>
      <c r="L67" s="4396">
        <f>IFERROR((L66-K66)/K66,0)</f>
        <v>5.0000000000011841E-2</v>
      </c>
      <c r="M67" s="4396">
        <f>IFERROR((M66-L66)/L66,0)</f>
        <v>2.9999999999985281E-2</v>
      </c>
      <c r="N67" s="4396">
        <f>IFERROR((N66-M66)/M66,0)</f>
        <v>-1.9999999999993433E-2</v>
      </c>
      <c r="O67" s="4401">
        <f>IFERROR((O66-N66)/N66,0)</f>
        <v>-3.9999999999994824E-2</v>
      </c>
      <c r="P67" s="4402"/>
      <c r="Q67" s="3627"/>
      <c r="R67" s="2035"/>
      <c r="S67" s="2035"/>
      <c r="T67" s="2035"/>
      <c r="U67" s="2035"/>
      <c r="V67" s="2036"/>
      <c r="W67" s="4422"/>
    </row>
    <row r="68" spans="1:35" ht="13.5" customHeight="1" thickBot="1">
      <c r="A68" s="5080"/>
      <c r="B68" s="5081"/>
      <c r="C68" s="5081"/>
      <c r="D68" s="5081"/>
      <c r="E68" s="5081"/>
      <c r="F68" s="5081"/>
      <c r="G68" s="5081"/>
      <c r="H68" s="5081"/>
      <c r="I68" s="5081"/>
      <c r="J68" s="5081"/>
      <c r="K68" s="5081"/>
      <c r="L68" s="5081"/>
      <c r="M68" s="5081"/>
      <c r="N68" s="5081"/>
      <c r="O68" s="5081"/>
      <c r="P68" s="5081"/>
      <c r="Q68" s="5081"/>
      <c r="R68" s="5081"/>
      <c r="S68" s="5081"/>
      <c r="T68" s="5081"/>
      <c r="U68" s="5081"/>
      <c r="V68" s="5082"/>
      <c r="W68" s="4422"/>
    </row>
    <row r="69" spans="1:35" ht="18" customHeight="1" thickBot="1">
      <c r="A69" s="1467">
        <v>3</v>
      </c>
      <c r="B69" s="3624" t="s">
        <v>209</v>
      </c>
      <c r="C69" s="5069"/>
      <c r="D69" s="5069"/>
      <c r="E69" s="5069"/>
      <c r="F69" s="5069"/>
      <c r="G69" s="5069"/>
      <c r="H69" s="5069"/>
      <c r="I69" s="5069"/>
      <c r="J69" s="5070"/>
      <c r="K69" s="5070"/>
      <c r="L69" s="5070"/>
      <c r="M69" s="5070"/>
      <c r="N69" s="5070"/>
      <c r="O69" s="5070"/>
      <c r="P69" s="5093"/>
      <c r="Q69" s="5069"/>
      <c r="R69" s="5069"/>
      <c r="S69" s="5069"/>
      <c r="T69" s="5069"/>
      <c r="U69" s="5069"/>
      <c r="V69" s="5071"/>
      <c r="W69" s="4422"/>
    </row>
    <row r="70" spans="1:35" ht="12.75">
      <c r="A70" s="421" t="s">
        <v>263</v>
      </c>
      <c r="B70" s="1444" t="s">
        <v>1357</v>
      </c>
      <c r="C70" s="1419" t="s">
        <v>676</v>
      </c>
      <c r="D70" s="4592">
        <v>3</v>
      </c>
      <c r="E70" s="1418">
        <f t="shared" ref="E70:E77" si="194">D70*1.3</f>
        <v>3.9000000000000004</v>
      </c>
      <c r="F70" s="1418">
        <f t="shared" ref="F70:F77" si="195">E70*1.05</f>
        <v>4.0950000000000006</v>
      </c>
      <c r="G70" s="1418">
        <f t="shared" ref="G70:G77" si="196">F70*1.03</f>
        <v>4.2178500000000012</v>
      </c>
      <c r="H70" s="1418">
        <f t="shared" ref="H70:H77" si="197">G70*0.98</f>
        <v>4.1334930000000014</v>
      </c>
      <c r="I70" s="3625">
        <f t="shared" ref="I70:I77" si="198">H70*0.96</f>
        <v>3.968153280000001</v>
      </c>
      <c r="J70" s="4592">
        <v>1.1912100000000001</v>
      </c>
      <c r="K70" s="3903">
        <f t="shared" ref="K70:K78" si="199">J70*1.3</f>
        <v>1.5485730000000002</v>
      </c>
      <c r="L70" s="3903">
        <f t="shared" ref="L70:L78" si="200">K70*1.05</f>
        <v>1.6260016500000003</v>
      </c>
      <c r="M70" s="3903">
        <f t="shared" ref="M70:M78" si="201">L70*1.03</f>
        <v>1.6747816995000004</v>
      </c>
      <c r="N70" s="3903">
        <f t="shared" ref="N70:N78" si="202">M70*0.98</f>
        <v>1.6412860655100003</v>
      </c>
      <c r="O70" s="3905">
        <f t="shared" ref="O70:O78" si="203">N70*0.96</f>
        <v>1.5756346228896003</v>
      </c>
      <c r="P70" s="4378">
        <f t="shared" ref="P70:P78" si="204">IFERROR((K70-J70)/J70,0)</f>
        <v>0.30000000000000004</v>
      </c>
      <c r="Q70" s="4029">
        <f t="shared" ref="Q70:V77" si="205">ROUND(IFERROR(J70*1000/D70,0),0)</f>
        <v>397</v>
      </c>
      <c r="R70" s="3791">
        <f t="shared" si="205"/>
        <v>397</v>
      </c>
      <c r="S70" s="3791">
        <f t="shared" si="205"/>
        <v>397</v>
      </c>
      <c r="T70" s="3791">
        <f t="shared" si="205"/>
        <v>397</v>
      </c>
      <c r="U70" s="3791">
        <f t="shared" si="205"/>
        <v>397</v>
      </c>
      <c r="V70" s="3792">
        <f t="shared" si="205"/>
        <v>397</v>
      </c>
      <c r="W70" s="4422"/>
      <c r="X70" s="4438">
        <f t="shared" ref="X70:X79" si="206">IFERROR(J70/$C$1,0)</f>
        <v>0.6090560017997475</v>
      </c>
      <c r="Y70" s="4438">
        <f t="shared" ref="Y70:Y79" si="207">IFERROR(K70/$C$1,0)</f>
        <v>0.79177280233967173</v>
      </c>
      <c r="Z70" s="4438">
        <f t="shared" ref="Z70:Z79" si="208">IFERROR(L70/$C$1,0)</f>
        <v>0.83136144245665544</v>
      </c>
      <c r="AA70" s="4438">
        <f t="shared" ref="AA70:AA79" si="209">IFERROR(M70/$C$1,0)</f>
        <v>0.85630228573035516</v>
      </c>
      <c r="AB70" s="4438">
        <f t="shared" ref="AB70:AB79" si="210">IFERROR(N70/$C$1,0)</f>
        <v>0.83917624001574798</v>
      </c>
      <c r="AC70" s="4438">
        <f t="shared" ref="AC70:AC79" si="211">IFERROR(O70/$C$1,0)</f>
        <v>0.80560919041511803</v>
      </c>
      <c r="AD70" s="4438">
        <f t="shared" ref="AD70:AD77" si="212">IFERROR(Q70/$C$1,0)</f>
        <v>202.98287683489875</v>
      </c>
      <c r="AE70" s="4438">
        <f t="shared" ref="AE70:AE77" si="213">IFERROR(R70/$C$1,0)</f>
        <v>202.98287683489875</v>
      </c>
      <c r="AF70" s="4438">
        <f t="shared" ref="AF70:AF77" si="214">IFERROR(S70/$C$1,0)</f>
        <v>202.98287683489875</v>
      </c>
      <c r="AG70" s="4438">
        <f t="shared" ref="AG70:AG77" si="215">IFERROR(T70/$C$1,0)</f>
        <v>202.98287683489875</v>
      </c>
      <c r="AH70" s="4438">
        <f t="shared" ref="AH70:AH77" si="216">IFERROR(U70/$C$1,0)</f>
        <v>202.98287683489875</v>
      </c>
      <c r="AI70" s="4438">
        <f t="shared" ref="AI70:AI77" si="217">IFERROR(V70/$C$1,0)</f>
        <v>202.98287683489875</v>
      </c>
    </row>
    <row r="71" spans="1:35" ht="12.75">
      <c r="A71" s="422" t="s">
        <v>264</v>
      </c>
      <c r="B71" s="1445" t="s">
        <v>1358</v>
      </c>
      <c r="C71" s="307" t="s">
        <v>676</v>
      </c>
      <c r="D71" s="4590">
        <v>13</v>
      </c>
      <c r="E71" s="409">
        <f t="shared" si="194"/>
        <v>16.900000000000002</v>
      </c>
      <c r="F71" s="409">
        <f t="shared" si="195"/>
        <v>17.745000000000005</v>
      </c>
      <c r="G71" s="409">
        <f t="shared" si="196"/>
        <v>18.277350000000006</v>
      </c>
      <c r="H71" s="409">
        <f t="shared" si="197"/>
        <v>17.911803000000006</v>
      </c>
      <c r="I71" s="424">
        <f t="shared" si="198"/>
        <v>17.195330880000004</v>
      </c>
      <c r="J71" s="4590">
        <v>53.77</v>
      </c>
      <c r="K71" s="3901">
        <f t="shared" si="199"/>
        <v>69.90100000000001</v>
      </c>
      <c r="L71" s="3901">
        <f t="shared" si="200"/>
        <v>73.396050000000017</v>
      </c>
      <c r="M71" s="3901">
        <f t="shared" si="201"/>
        <v>75.597931500000016</v>
      </c>
      <c r="N71" s="3901">
        <f t="shared" si="202"/>
        <v>74.08597287000002</v>
      </c>
      <c r="O71" s="4027">
        <f t="shared" si="203"/>
        <v>71.122533955200012</v>
      </c>
      <c r="P71" s="4379">
        <f t="shared" si="204"/>
        <v>0.3000000000000001</v>
      </c>
      <c r="Q71" s="4030">
        <f t="shared" si="205"/>
        <v>4136</v>
      </c>
      <c r="R71" s="3793">
        <f t="shared" si="205"/>
        <v>4136</v>
      </c>
      <c r="S71" s="3793">
        <f t="shared" si="205"/>
        <v>4136</v>
      </c>
      <c r="T71" s="3793">
        <f t="shared" si="205"/>
        <v>4136</v>
      </c>
      <c r="U71" s="3793">
        <f t="shared" si="205"/>
        <v>4136</v>
      </c>
      <c r="V71" s="3794">
        <f t="shared" si="205"/>
        <v>4136</v>
      </c>
      <c r="W71" s="4422"/>
      <c r="X71" s="4438">
        <f t="shared" si="206"/>
        <v>27.492164451920669</v>
      </c>
      <c r="Y71" s="4438">
        <f t="shared" si="207"/>
        <v>35.739813787496871</v>
      </c>
      <c r="Z71" s="4438">
        <f t="shared" si="208"/>
        <v>37.526804476871725</v>
      </c>
      <c r="AA71" s="4438">
        <f t="shared" si="209"/>
        <v>38.652608611177875</v>
      </c>
      <c r="AB71" s="4438">
        <f t="shared" si="210"/>
        <v>37.879556438954317</v>
      </c>
      <c r="AC71" s="4438">
        <f t="shared" si="211"/>
        <v>36.364374181396144</v>
      </c>
      <c r="AD71" s="4438">
        <f t="shared" si="212"/>
        <v>2114.7032206275599</v>
      </c>
      <c r="AE71" s="4438">
        <f t="shared" si="213"/>
        <v>2114.7032206275599</v>
      </c>
      <c r="AF71" s="4438">
        <f t="shared" si="214"/>
        <v>2114.7032206275599</v>
      </c>
      <c r="AG71" s="4438">
        <f t="shared" si="215"/>
        <v>2114.7032206275599</v>
      </c>
      <c r="AH71" s="4438">
        <f t="shared" si="216"/>
        <v>2114.7032206275599</v>
      </c>
      <c r="AI71" s="4438">
        <f t="shared" si="217"/>
        <v>2114.7032206275599</v>
      </c>
    </row>
    <row r="72" spans="1:35" ht="24">
      <c r="A72" s="422" t="s">
        <v>485</v>
      </c>
      <c r="B72" s="1445" t="s">
        <v>1359</v>
      </c>
      <c r="C72" s="307" t="s">
        <v>676</v>
      </c>
      <c r="D72" s="4590">
        <v>8</v>
      </c>
      <c r="E72" s="409">
        <f t="shared" si="194"/>
        <v>10.4</v>
      </c>
      <c r="F72" s="409">
        <f t="shared" si="195"/>
        <v>10.920000000000002</v>
      </c>
      <c r="G72" s="409">
        <f t="shared" si="196"/>
        <v>11.247600000000002</v>
      </c>
      <c r="H72" s="409">
        <f t="shared" si="197"/>
        <v>11.022648000000002</v>
      </c>
      <c r="I72" s="424">
        <f t="shared" si="198"/>
        <v>10.581742080000001</v>
      </c>
      <c r="J72" s="4590">
        <v>4.9847200000000003</v>
      </c>
      <c r="K72" s="3901">
        <f t="shared" si="199"/>
        <v>6.4801360000000008</v>
      </c>
      <c r="L72" s="3901">
        <f t="shared" si="200"/>
        <v>6.804142800000001</v>
      </c>
      <c r="M72" s="3901">
        <f t="shared" si="201"/>
        <v>7.0082670840000016</v>
      </c>
      <c r="N72" s="3901">
        <f t="shared" si="202"/>
        <v>6.8681017423200013</v>
      </c>
      <c r="O72" s="4027">
        <f t="shared" si="203"/>
        <v>6.5933776726272013</v>
      </c>
      <c r="P72" s="4379">
        <f t="shared" si="204"/>
        <v>0.3000000000000001</v>
      </c>
      <c r="Q72" s="4030">
        <f t="shared" si="205"/>
        <v>623</v>
      </c>
      <c r="R72" s="3793">
        <f t="shared" si="205"/>
        <v>623</v>
      </c>
      <c r="S72" s="3793">
        <f t="shared" si="205"/>
        <v>623</v>
      </c>
      <c r="T72" s="3793">
        <f t="shared" si="205"/>
        <v>623</v>
      </c>
      <c r="U72" s="3793">
        <f t="shared" si="205"/>
        <v>623</v>
      </c>
      <c r="V72" s="3794">
        <f t="shared" si="205"/>
        <v>623</v>
      </c>
      <c r="W72" s="4422"/>
      <c r="X72" s="4438">
        <f t="shared" si="206"/>
        <v>2.5486468660364143</v>
      </c>
      <c r="Y72" s="4438">
        <f t="shared" si="207"/>
        <v>3.3132409258473388</v>
      </c>
      <c r="Z72" s="4438">
        <f t="shared" si="208"/>
        <v>3.4789029721397058</v>
      </c>
      <c r="AA72" s="4438">
        <f t="shared" si="209"/>
        <v>3.5832700613038977</v>
      </c>
      <c r="AB72" s="4438">
        <f t="shared" si="210"/>
        <v>3.5116046600778192</v>
      </c>
      <c r="AC72" s="4438">
        <f t="shared" si="211"/>
        <v>3.3711404736747066</v>
      </c>
      <c r="AD72" s="4438">
        <f t="shared" si="212"/>
        <v>318.5348419852441</v>
      </c>
      <c r="AE72" s="4438">
        <f t="shared" si="213"/>
        <v>318.5348419852441</v>
      </c>
      <c r="AF72" s="4438">
        <f t="shared" si="214"/>
        <v>318.5348419852441</v>
      </c>
      <c r="AG72" s="4438">
        <f t="shared" si="215"/>
        <v>318.5348419852441</v>
      </c>
      <c r="AH72" s="4438">
        <f t="shared" si="216"/>
        <v>318.5348419852441</v>
      </c>
      <c r="AI72" s="4438">
        <f t="shared" si="217"/>
        <v>318.5348419852441</v>
      </c>
    </row>
    <row r="73" spans="1:35" ht="12.75">
      <c r="A73" s="422" t="s">
        <v>486</v>
      </c>
      <c r="B73" s="1445" t="s">
        <v>1360</v>
      </c>
      <c r="C73" s="307" t="s">
        <v>676</v>
      </c>
      <c r="D73" s="4590">
        <v>3</v>
      </c>
      <c r="E73" s="409">
        <f t="shared" si="194"/>
        <v>3.9000000000000004</v>
      </c>
      <c r="F73" s="409">
        <f t="shared" si="195"/>
        <v>4.0950000000000006</v>
      </c>
      <c r="G73" s="409">
        <f t="shared" si="196"/>
        <v>4.2178500000000012</v>
      </c>
      <c r="H73" s="409">
        <f t="shared" si="197"/>
        <v>4.1334930000000014</v>
      </c>
      <c r="I73" s="424">
        <f t="shared" si="198"/>
        <v>3.968153280000001</v>
      </c>
      <c r="J73" s="4590">
        <v>0.81128999999999996</v>
      </c>
      <c r="K73" s="3901">
        <f t="shared" si="199"/>
        <v>1.0546770000000001</v>
      </c>
      <c r="L73" s="3901">
        <f t="shared" si="200"/>
        <v>1.1074108500000002</v>
      </c>
      <c r="M73" s="3901">
        <f t="shared" si="201"/>
        <v>1.1406331755000001</v>
      </c>
      <c r="N73" s="3901">
        <f t="shared" si="202"/>
        <v>1.11782051199</v>
      </c>
      <c r="O73" s="4027">
        <f t="shared" si="203"/>
        <v>1.0731076915103999</v>
      </c>
      <c r="P73" s="4379">
        <f t="shared" si="204"/>
        <v>0.30000000000000016</v>
      </c>
      <c r="Q73" s="4030">
        <f t="shared" si="205"/>
        <v>270</v>
      </c>
      <c r="R73" s="3793">
        <f t="shared" si="205"/>
        <v>270</v>
      </c>
      <c r="S73" s="3793">
        <f t="shared" si="205"/>
        <v>270</v>
      </c>
      <c r="T73" s="3793">
        <f t="shared" si="205"/>
        <v>270</v>
      </c>
      <c r="U73" s="3793">
        <f t="shared" si="205"/>
        <v>270</v>
      </c>
      <c r="V73" s="3794">
        <f t="shared" si="205"/>
        <v>270</v>
      </c>
      <c r="W73" s="4422"/>
      <c r="X73" s="4438">
        <f t="shared" si="206"/>
        <v>0.4148059902956801</v>
      </c>
      <c r="Y73" s="4438">
        <f t="shared" si="207"/>
        <v>0.53924778738438417</v>
      </c>
      <c r="Z73" s="4438">
        <f t="shared" si="208"/>
        <v>0.56621017675360341</v>
      </c>
      <c r="AA73" s="4438">
        <f t="shared" si="209"/>
        <v>0.58319648205621144</v>
      </c>
      <c r="AB73" s="4438">
        <f t="shared" si="210"/>
        <v>0.57153255241508716</v>
      </c>
      <c r="AC73" s="4438">
        <f t="shared" si="211"/>
        <v>0.54867125031848363</v>
      </c>
      <c r="AD73" s="4438">
        <f t="shared" si="212"/>
        <v>138.04880792297899</v>
      </c>
      <c r="AE73" s="4438">
        <f t="shared" si="213"/>
        <v>138.04880792297899</v>
      </c>
      <c r="AF73" s="4438">
        <f t="shared" si="214"/>
        <v>138.04880792297899</v>
      </c>
      <c r="AG73" s="4438">
        <f t="shared" si="215"/>
        <v>138.04880792297899</v>
      </c>
      <c r="AH73" s="4438">
        <f t="shared" si="216"/>
        <v>138.04880792297899</v>
      </c>
      <c r="AI73" s="4438">
        <f t="shared" si="217"/>
        <v>138.04880792297899</v>
      </c>
    </row>
    <row r="74" spans="1:35" ht="24">
      <c r="A74" s="422" t="s">
        <v>487</v>
      </c>
      <c r="B74" s="1445" t="s">
        <v>1410</v>
      </c>
      <c r="C74" s="307" t="s">
        <v>676</v>
      </c>
      <c r="D74" s="4590">
        <v>13</v>
      </c>
      <c r="E74" s="409">
        <f t="shared" si="194"/>
        <v>16.900000000000002</v>
      </c>
      <c r="F74" s="409">
        <f t="shared" si="195"/>
        <v>17.745000000000005</v>
      </c>
      <c r="G74" s="409">
        <f t="shared" si="196"/>
        <v>18.277350000000006</v>
      </c>
      <c r="H74" s="409">
        <f t="shared" si="197"/>
        <v>17.911803000000006</v>
      </c>
      <c r="I74" s="424">
        <f t="shared" si="198"/>
        <v>17.195330880000004</v>
      </c>
      <c r="J74" s="4590">
        <v>3.1353599999999999</v>
      </c>
      <c r="K74" s="3901">
        <f t="shared" si="199"/>
        <v>4.0759680000000005</v>
      </c>
      <c r="L74" s="3901">
        <f t="shared" si="200"/>
        <v>4.2797664000000006</v>
      </c>
      <c r="M74" s="3901">
        <f t="shared" si="201"/>
        <v>4.4081593920000008</v>
      </c>
      <c r="N74" s="3901">
        <f t="shared" si="202"/>
        <v>4.3199962041600006</v>
      </c>
      <c r="O74" s="4027">
        <f t="shared" si="203"/>
        <v>4.1471963559936</v>
      </c>
      <c r="P74" s="4379">
        <f t="shared" si="204"/>
        <v>0.30000000000000021</v>
      </c>
      <c r="Q74" s="4030">
        <f t="shared" si="205"/>
        <v>241</v>
      </c>
      <c r="R74" s="3793">
        <f t="shared" si="205"/>
        <v>241</v>
      </c>
      <c r="S74" s="3793">
        <f t="shared" si="205"/>
        <v>241</v>
      </c>
      <c r="T74" s="3793">
        <f t="shared" si="205"/>
        <v>241</v>
      </c>
      <c r="U74" s="3793">
        <f t="shared" si="205"/>
        <v>241</v>
      </c>
      <c r="V74" s="3794">
        <f t="shared" si="205"/>
        <v>241</v>
      </c>
      <c r="W74" s="4422"/>
      <c r="X74" s="4438">
        <f t="shared" si="206"/>
        <v>1.6030841126273756</v>
      </c>
      <c r="Y74" s="4438">
        <f t="shared" si="207"/>
        <v>2.0840093464155887</v>
      </c>
      <c r="Z74" s="4438">
        <f t="shared" si="208"/>
        <v>2.1882098137363681</v>
      </c>
      <c r="AA74" s="4438">
        <f t="shared" si="209"/>
        <v>2.2538561081484594</v>
      </c>
      <c r="AB74" s="4438">
        <f t="shared" si="210"/>
        <v>2.2087789859854898</v>
      </c>
      <c r="AC74" s="4438">
        <f t="shared" si="211"/>
        <v>2.1204278265460701</v>
      </c>
      <c r="AD74" s="4438">
        <f t="shared" si="212"/>
        <v>123.22134336828866</v>
      </c>
      <c r="AE74" s="4438">
        <f t="shared" si="213"/>
        <v>123.22134336828866</v>
      </c>
      <c r="AF74" s="4438">
        <f t="shared" si="214"/>
        <v>123.22134336828866</v>
      </c>
      <c r="AG74" s="4438">
        <f t="shared" si="215"/>
        <v>123.22134336828866</v>
      </c>
      <c r="AH74" s="4438">
        <f t="shared" si="216"/>
        <v>123.22134336828866</v>
      </c>
      <c r="AI74" s="4438">
        <f t="shared" si="217"/>
        <v>123.22134336828866</v>
      </c>
    </row>
    <row r="75" spans="1:35" ht="12.75">
      <c r="A75" s="422" t="s">
        <v>683</v>
      </c>
      <c r="B75" s="1446" t="s">
        <v>914</v>
      </c>
      <c r="C75" s="307" t="s">
        <v>676</v>
      </c>
      <c r="D75" s="4590">
        <v>0</v>
      </c>
      <c r="E75" s="409">
        <f t="shared" si="194"/>
        <v>0</v>
      </c>
      <c r="F75" s="409">
        <f t="shared" si="195"/>
        <v>0</v>
      </c>
      <c r="G75" s="409">
        <f t="shared" si="196"/>
        <v>0</v>
      </c>
      <c r="H75" s="409">
        <f t="shared" si="197"/>
        <v>0</v>
      </c>
      <c r="I75" s="424">
        <f t="shared" si="198"/>
        <v>0</v>
      </c>
      <c r="J75" s="4590">
        <v>0</v>
      </c>
      <c r="K75" s="3901">
        <f t="shared" si="199"/>
        <v>0</v>
      </c>
      <c r="L75" s="3901">
        <f t="shared" si="200"/>
        <v>0</v>
      </c>
      <c r="M75" s="3901">
        <f t="shared" si="201"/>
        <v>0</v>
      </c>
      <c r="N75" s="3901">
        <f t="shared" si="202"/>
        <v>0</v>
      </c>
      <c r="O75" s="4027">
        <f t="shared" si="203"/>
        <v>0</v>
      </c>
      <c r="P75" s="4379">
        <f t="shared" si="204"/>
        <v>0</v>
      </c>
      <c r="Q75" s="4030">
        <f t="shared" si="205"/>
        <v>0</v>
      </c>
      <c r="R75" s="3793">
        <f t="shared" si="205"/>
        <v>0</v>
      </c>
      <c r="S75" s="3793">
        <f t="shared" si="205"/>
        <v>0</v>
      </c>
      <c r="T75" s="3793">
        <f t="shared" si="205"/>
        <v>0</v>
      </c>
      <c r="U75" s="3793">
        <f t="shared" si="205"/>
        <v>0</v>
      </c>
      <c r="V75" s="3794">
        <f t="shared" si="205"/>
        <v>0</v>
      </c>
      <c r="W75" s="4422"/>
      <c r="X75" s="4438">
        <f t="shared" si="206"/>
        <v>0</v>
      </c>
      <c r="Y75" s="4438">
        <f t="shared" si="207"/>
        <v>0</v>
      </c>
      <c r="Z75" s="4438">
        <f t="shared" si="208"/>
        <v>0</v>
      </c>
      <c r="AA75" s="4438">
        <f t="shared" si="209"/>
        <v>0</v>
      </c>
      <c r="AB75" s="4438">
        <f t="shared" si="210"/>
        <v>0</v>
      </c>
      <c r="AC75" s="4438">
        <f t="shared" si="211"/>
        <v>0</v>
      </c>
      <c r="AD75" s="4438">
        <f t="shared" si="212"/>
        <v>0</v>
      </c>
      <c r="AE75" s="4438">
        <f t="shared" si="213"/>
        <v>0</v>
      </c>
      <c r="AF75" s="4438">
        <f t="shared" si="214"/>
        <v>0</v>
      </c>
      <c r="AG75" s="4438">
        <f t="shared" si="215"/>
        <v>0</v>
      </c>
      <c r="AH75" s="4438">
        <f t="shared" si="216"/>
        <v>0</v>
      </c>
      <c r="AI75" s="4438">
        <f t="shared" si="217"/>
        <v>0</v>
      </c>
    </row>
    <row r="76" spans="1:35" ht="12.75">
      <c r="A76" s="422" t="s">
        <v>728</v>
      </c>
      <c r="B76" s="1445" t="s">
        <v>915</v>
      </c>
      <c r="C76" s="307" t="s">
        <v>676</v>
      </c>
      <c r="D76" s="4590">
        <v>0</v>
      </c>
      <c r="E76" s="409">
        <f t="shared" si="194"/>
        <v>0</v>
      </c>
      <c r="F76" s="409">
        <f t="shared" si="195"/>
        <v>0</v>
      </c>
      <c r="G76" s="409">
        <f t="shared" si="196"/>
        <v>0</v>
      </c>
      <c r="H76" s="409">
        <f t="shared" si="197"/>
        <v>0</v>
      </c>
      <c r="I76" s="424">
        <f t="shared" si="198"/>
        <v>0</v>
      </c>
      <c r="J76" s="4590">
        <v>0</v>
      </c>
      <c r="K76" s="3901">
        <f t="shared" si="199"/>
        <v>0</v>
      </c>
      <c r="L76" s="3901">
        <f t="shared" si="200"/>
        <v>0</v>
      </c>
      <c r="M76" s="3901">
        <f t="shared" si="201"/>
        <v>0</v>
      </c>
      <c r="N76" s="3901">
        <f t="shared" si="202"/>
        <v>0</v>
      </c>
      <c r="O76" s="4027">
        <f t="shared" si="203"/>
        <v>0</v>
      </c>
      <c r="P76" s="4379">
        <f t="shared" si="204"/>
        <v>0</v>
      </c>
      <c r="Q76" s="4030">
        <f t="shared" si="205"/>
        <v>0</v>
      </c>
      <c r="R76" s="3793">
        <f t="shared" si="205"/>
        <v>0</v>
      </c>
      <c r="S76" s="3793">
        <f t="shared" si="205"/>
        <v>0</v>
      </c>
      <c r="T76" s="3793">
        <f t="shared" si="205"/>
        <v>0</v>
      </c>
      <c r="U76" s="3793">
        <f t="shared" si="205"/>
        <v>0</v>
      </c>
      <c r="V76" s="3794">
        <f t="shared" si="205"/>
        <v>0</v>
      </c>
      <c r="W76" s="4422"/>
      <c r="X76" s="4438">
        <f t="shared" si="206"/>
        <v>0</v>
      </c>
      <c r="Y76" s="4438">
        <f t="shared" si="207"/>
        <v>0</v>
      </c>
      <c r="Z76" s="4438">
        <f t="shared" si="208"/>
        <v>0</v>
      </c>
      <c r="AA76" s="4438">
        <f t="shared" si="209"/>
        <v>0</v>
      </c>
      <c r="AB76" s="4438">
        <f t="shared" si="210"/>
        <v>0</v>
      </c>
      <c r="AC76" s="4438">
        <f t="shared" si="211"/>
        <v>0</v>
      </c>
      <c r="AD76" s="4438">
        <f t="shared" si="212"/>
        <v>0</v>
      </c>
      <c r="AE76" s="4438">
        <f t="shared" si="213"/>
        <v>0</v>
      </c>
      <c r="AF76" s="4438">
        <f t="shared" si="214"/>
        <v>0</v>
      </c>
      <c r="AG76" s="4438">
        <f t="shared" si="215"/>
        <v>0</v>
      </c>
      <c r="AH76" s="4438">
        <f t="shared" si="216"/>
        <v>0</v>
      </c>
      <c r="AI76" s="4438">
        <f t="shared" si="217"/>
        <v>0</v>
      </c>
    </row>
    <row r="77" spans="1:35" ht="24">
      <c r="A77" s="422" t="s">
        <v>733</v>
      </c>
      <c r="B77" s="1453" t="s">
        <v>1361</v>
      </c>
      <c r="C77" s="307" t="s">
        <v>676</v>
      </c>
      <c r="D77" s="4590">
        <v>17</v>
      </c>
      <c r="E77" s="409">
        <f t="shared" si="194"/>
        <v>22.1</v>
      </c>
      <c r="F77" s="409">
        <f t="shared" si="195"/>
        <v>23.205000000000002</v>
      </c>
      <c r="G77" s="409">
        <f t="shared" si="196"/>
        <v>23.901150000000001</v>
      </c>
      <c r="H77" s="409">
        <f t="shared" si="197"/>
        <v>23.423127000000001</v>
      </c>
      <c r="I77" s="424">
        <f t="shared" si="198"/>
        <v>22.486201919999999</v>
      </c>
      <c r="J77" s="4590">
        <v>6.2244900000000003</v>
      </c>
      <c r="K77" s="3901">
        <f t="shared" si="199"/>
        <v>8.0918369999999999</v>
      </c>
      <c r="L77" s="3901">
        <f t="shared" si="200"/>
        <v>8.4964288500000009</v>
      </c>
      <c r="M77" s="3901">
        <f t="shared" si="201"/>
        <v>8.7513217155000014</v>
      </c>
      <c r="N77" s="3901">
        <f t="shared" si="202"/>
        <v>8.5762952811900011</v>
      </c>
      <c r="O77" s="4027">
        <f t="shared" si="203"/>
        <v>8.2332434699424013</v>
      </c>
      <c r="P77" s="4379">
        <f t="shared" si="204"/>
        <v>0.29999999999999993</v>
      </c>
      <c r="Q77" s="4030">
        <f t="shared" si="205"/>
        <v>366</v>
      </c>
      <c r="R77" s="3793">
        <f t="shared" si="205"/>
        <v>366</v>
      </c>
      <c r="S77" s="3793">
        <f t="shared" si="205"/>
        <v>366</v>
      </c>
      <c r="T77" s="3793">
        <f t="shared" si="205"/>
        <v>366</v>
      </c>
      <c r="U77" s="3793">
        <f t="shared" si="205"/>
        <v>366</v>
      </c>
      <c r="V77" s="3794">
        <f t="shared" si="205"/>
        <v>366</v>
      </c>
      <c r="W77" s="4422"/>
      <c r="X77" s="4438">
        <f t="shared" si="206"/>
        <v>3.1825312015870502</v>
      </c>
      <c r="Y77" s="4438">
        <f t="shared" si="207"/>
        <v>4.137290562063165</v>
      </c>
      <c r="Z77" s="4438">
        <f t="shared" si="208"/>
        <v>4.344155090166324</v>
      </c>
      <c r="AA77" s="4438">
        <f t="shared" si="209"/>
        <v>4.4744797428713134</v>
      </c>
      <c r="AB77" s="4438">
        <f t="shared" si="210"/>
        <v>4.3849901480138875</v>
      </c>
      <c r="AC77" s="4438">
        <f t="shared" si="211"/>
        <v>4.2095905420933324</v>
      </c>
      <c r="AD77" s="4438">
        <f t="shared" si="212"/>
        <v>187.13282851781597</v>
      </c>
      <c r="AE77" s="4438">
        <f t="shared" si="213"/>
        <v>187.13282851781597</v>
      </c>
      <c r="AF77" s="4438">
        <f t="shared" si="214"/>
        <v>187.13282851781597</v>
      </c>
      <c r="AG77" s="4438">
        <f t="shared" si="215"/>
        <v>187.13282851781597</v>
      </c>
      <c r="AH77" s="4438">
        <f t="shared" si="216"/>
        <v>187.13282851781597</v>
      </c>
      <c r="AI77" s="4438">
        <f t="shared" si="217"/>
        <v>187.13282851781597</v>
      </c>
    </row>
    <row r="78" spans="1:35" ht="24.75" thickBot="1">
      <c r="A78" s="422" t="s">
        <v>919</v>
      </c>
      <c r="B78" s="1445" t="s">
        <v>1343</v>
      </c>
      <c r="C78" s="307" t="s">
        <v>313</v>
      </c>
      <c r="D78" s="2025"/>
      <c r="E78" s="2026"/>
      <c r="F78" s="2026"/>
      <c r="G78" s="2026"/>
      <c r="H78" s="2026"/>
      <c r="I78" s="2027"/>
      <c r="J78" s="4591">
        <v>1.4048700000000001</v>
      </c>
      <c r="K78" s="3902">
        <f t="shared" si="199"/>
        <v>1.8263310000000001</v>
      </c>
      <c r="L78" s="3902">
        <f t="shared" si="200"/>
        <v>1.9176475500000003</v>
      </c>
      <c r="M78" s="3902">
        <f t="shared" si="201"/>
        <v>1.9751769765000005</v>
      </c>
      <c r="N78" s="3902">
        <f t="shared" si="202"/>
        <v>1.9356734369700004</v>
      </c>
      <c r="O78" s="4028">
        <f t="shared" si="203"/>
        <v>1.8582464994912002</v>
      </c>
      <c r="P78" s="4380">
        <f t="shared" si="204"/>
        <v>0.30000000000000004</v>
      </c>
      <c r="Q78" s="3615"/>
      <c r="R78" s="2026"/>
      <c r="S78" s="2026"/>
      <c r="T78" s="2026"/>
      <c r="U78" s="2026"/>
      <c r="V78" s="2027"/>
      <c r="W78" s="4422"/>
      <c r="X78" s="4438">
        <f t="shared" si="206"/>
        <v>0.71829862513613152</v>
      </c>
      <c r="Y78" s="4438">
        <f t="shared" si="207"/>
        <v>0.93378821267697099</v>
      </c>
      <c r="Z78" s="4438">
        <f t="shared" si="208"/>
        <v>0.98047762331081967</v>
      </c>
      <c r="AA78" s="4438">
        <f t="shared" si="209"/>
        <v>1.0098919520101444</v>
      </c>
      <c r="AB78" s="4438">
        <f t="shared" si="210"/>
        <v>0.98969411296994136</v>
      </c>
      <c r="AC78" s="4438">
        <f t="shared" si="211"/>
        <v>0.95010634845114361</v>
      </c>
      <c r="AD78" s="2009"/>
      <c r="AE78" s="2009"/>
      <c r="AF78" s="2009"/>
      <c r="AG78" s="2009"/>
      <c r="AH78" s="2009"/>
      <c r="AI78" s="2009"/>
    </row>
    <row r="79" spans="1:35" s="2009" customFormat="1" ht="20.100000000000001" customHeight="1" thickBot="1">
      <c r="A79" s="1319"/>
      <c r="B79" s="1447" t="s">
        <v>1076</v>
      </c>
      <c r="C79" s="1448"/>
      <c r="D79" s="313">
        <f>SUM(D70:D78)</f>
        <v>57</v>
      </c>
      <c r="E79" s="314">
        <f t="shared" ref="E79:O79" si="218">SUM(E70:E78)</f>
        <v>74.099999999999994</v>
      </c>
      <c r="F79" s="314">
        <f t="shared" si="218"/>
        <v>77.805000000000007</v>
      </c>
      <c r="G79" s="314">
        <f t="shared" si="218"/>
        <v>80.139150000000015</v>
      </c>
      <c r="H79" s="314">
        <f t="shared" si="218"/>
        <v>78.536367000000013</v>
      </c>
      <c r="I79" s="407">
        <f t="shared" si="218"/>
        <v>75.394912320000003</v>
      </c>
      <c r="J79" s="313">
        <f t="shared" si="218"/>
        <v>71.521940000000001</v>
      </c>
      <c r="K79" s="314">
        <f t="shared" si="218"/>
        <v>92.978522000000012</v>
      </c>
      <c r="L79" s="314">
        <f t="shared" si="218"/>
        <v>97.627448100000024</v>
      </c>
      <c r="M79" s="314">
        <f t="shared" si="218"/>
        <v>100.55627154300001</v>
      </c>
      <c r="N79" s="314">
        <f t="shared" si="218"/>
        <v>98.545146112140046</v>
      </c>
      <c r="O79" s="929">
        <f t="shared" si="218"/>
        <v>94.603340267654403</v>
      </c>
      <c r="P79" s="4199">
        <f>IFERROR((K79-J79)/J79,0)</f>
        <v>0.30000000000000016</v>
      </c>
      <c r="Q79" s="3617"/>
      <c r="R79" s="3618"/>
      <c r="S79" s="3618"/>
      <c r="T79" s="3618"/>
      <c r="U79" s="3618"/>
      <c r="V79" s="3619"/>
      <c r="W79" s="4422"/>
      <c r="X79" s="4438">
        <f t="shared" si="206"/>
        <v>36.568587249403066</v>
      </c>
      <c r="Y79" s="4438">
        <f t="shared" si="207"/>
        <v>47.539163424223993</v>
      </c>
      <c r="Z79" s="4438">
        <f t="shared" si="208"/>
        <v>49.9161215954352</v>
      </c>
      <c r="AA79" s="4438">
        <f t="shared" si="209"/>
        <v>51.41360524329825</v>
      </c>
      <c r="AB79" s="4438">
        <f t="shared" si="210"/>
        <v>50.385333138432301</v>
      </c>
      <c r="AC79" s="4438">
        <f t="shared" si="211"/>
        <v>48.369919812894992</v>
      </c>
    </row>
    <row r="80" spans="1:35" s="2009" customFormat="1" ht="15" customHeight="1" thickBot="1">
      <c r="A80" s="3596"/>
      <c r="B80" s="3597" t="s">
        <v>1431</v>
      </c>
      <c r="C80" s="3637" t="s">
        <v>170</v>
      </c>
      <c r="D80" s="3598"/>
      <c r="E80" s="3599">
        <f>IFERROR((E79-D79)/D79,0)</f>
        <v>0.29999999999999988</v>
      </c>
      <c r="F80" s="3599">
        <f>IFERROR((F79-E79)/E79,0)</f>
        <v>5.0000000000000169E-2</v>
      </c>
      <c r="G80" s="3599">
        <f>IFERROR((G79-F79)/F79,0)</f>
        <v>3.0000000000000103E-2</v>
      </c>
      <c r="H80" s="3599">
        <f>IFERROR((H79-G79)/G79,0)</f>
        <v>-2.0000000000000025E-2</v>
      </c>
      <c r="I80" s="3600">
        <f>IFERROR((I79-H79)/H79,0)</f>
        <v>-4.0000000000000119E-2</v>
      </c>
      <c r="J80" s="3601"/>
      <c r="K80" s="3599">
        <f>IFERROR((K79-J79)/J79,0)</f>
        <v>0.30000000000000016</v>
      </c>
      <c r="L80" s="3599">
        <f>IFERROR((L79-K79)/K79,0)</f>
        <v>5.0000000000000114E-2</v>
      </c>
      <c r="M80" s="3599">
        <f>IFERROR((M79-L79)/L79,0)</f>
        <v>2.9999999999999836E-2</v>
      </c>
      <c r="N80" s="3599">
        <f>IFERROR((N79-M79)/M79,0)</f>
        <v>-1.9999999999999626E-2</v>
      </c>
      <c r="O80" s="3599">
        <f>IFERROR((O79-N79)/N79,0)</f>
        <v>-4.0000000000000417E-2</v>
      </c>
      <c r="P80" s="4026"/>
      <c r="Q80" s="3602"/>
      <c r="R80" s="3603"/>
      <c r="S80" s="3603"/>
      <c r="T80" s="3603"/>
      <c r="U80" s="3603"/>
      <c r="V80" s="3604"/>
      <c r="W80" s="4422"/>
    </row>
    <row r="81" spans="1:35" s="2009" customFormat="1" ht="13.5" customHeight="1" thickBot="1">
      <c r="A81" s="3620" t="s">
        <v>1077</v>
      </c>
      <c r="B81" s="419"/>
      <c r="C81" s="419"/>
      <c r="D81" s="419"/>
      <c r="E81" s="419"/>
      <c r="F81" s="419"/>
      <c r="G81" s="419"/>
      <c r="H81" s="419"/>
      <c r="I81" s="419"/>
      <c r="J81" s="419"/>
      <c r="K81" s="419"/>
      <c r="L81" s="419"/>
      <c r="M81" s="419"/>
      <c r="N81" s="419"/>
      <c r="O81" s="419"/>
      <c r="P81" s="419"/>
      <c r="Q81" s="419"/>
      <c r="R81" s="419"/>
      <c r="S81" s="419"/>
      <c r="T81" s="419"/>
      <c r="U81" s="419"/>
      <c r="V81" s="420"/>
      <c r="W81" s="4422"/>
    </row>
    <row r="82" spans="1:35" s="2009" customFormat="1" ht="12.75">
      <c r="A82" s="1322"/>
      <c r="B82" s="1457" t="s">
        <v>1068</v>
      </c>
      <c r="C82" s="1450"/>
      <c r="D82" s="3608"/>
      <c r="E82" s="2030"/>
      <c r="F82" s="2030"/>
      <c r="G82" s="2030"/>
      <c r="H82" s="2030"/>
      <c r="I82" s="3623"/>
      <c r="J82" s="4586">
        <v>0</v>
      </c>
      <c r="K82" s="431">
        <f t="shared" ref="K82" si="219">J82*1.3</f>
        <v>0</v>
      </c>
      <c r="L82" s="431">
        <f t="shared" ref="L82" si="220">K82*1.05</f>
        <v>0</v>
      </c>
      <c r="M82" s="431">
        <f t="shared" ref="M82" si="221">L82*1.03</f>
        <v>0</v>
      </c>
      <c r="N82" s="431">
        <f t="shared" ref="N82" si="222">M82*0.98</f>
        <v>0</v>
      </c>
      <c r="O82" s="432">
        <f t="shared" ref="O82" si="223">N82*0.96</f>
        <v>0</v>
      </c>
      <c r="P82" s="4381">
        <f>IFERROR((K82-J82)/J82,0)</f>
        <v>0</v>
      </c>
      <c r="Q82" s="3608"/>
      <c r="R82" s="2030"/>
      <c r="S82" s="2030"/>
      <c r="T82" s="2030"/>
      <c r="U82" s="2030"/>
      <c r="V82" s="2031"/>
      <c r="W82" s="4422"/>
      <c r="X82" s="4438">
        <f t="shared" ref="X82" si="224">IFERROR(J82/$C$1,0)</f>
        <v>0</v>
      </c>
      <c r="Y82" s="4438">
        <f t="shared" ref="Y82" si="225">IFERROR(K82/$C$1,0)</f>
        <v>0</v>
      </c>
      <c r="Z82" s="4438">
        <f t="shared" ref="Z82" si="226">IFERROR(L82/$C$1,0)</f>
        <v>0</v>
      </c>
      <c r="AA82" s="4438">
        <f t="shared" ref="AA82" si="227">IFERROR(M82/$C$1,0)</f>
        <v>0</v>
      </c>
      <c r="AB82" s="4438">
        <f t="shared" ref="AB82" si="228">IFERROR(N82/$C$1,0)</f>
        <v>0</v>
      </c>
      <c r="AC82" s="4438">
        <f t="shared" ref="AC82" si="229">IFERROR(O82/$C$1,0)</f>
        <v>0</v>
      </c>
    </row>
    <row r="83" spans="1:35" s="2009" customFormat="1" ht="12.75">
      <c r="A83" s="1322"/>
      <c r="B83" s="3640" t="s">
        <v>1428</v>
      </c>
      <c r="C83" s="3637" t="s">
        <v>170</v>
      </c>
      <c r="D83" s="3041"/>
      <c r="E83" s="1969"/>
      <c r="F83" s="1969"/>
      <c r="G83" s="1969"/>
      <c r="H83" s="1969"/>
      <c r="I83" s="3050"/>
      <c r="J83" s="3906"/>
      <c r="K83" s="3610">
        <f>IFERROR((K82-J82)/J82,0)</f>
        <v>0</v>
      </c>
      <c r="L83" s="3610">
        <f>IFERROR((L82-K82)/K82,0)</f>
        <v>0</v>
      </c>
      <c r="M83" s="3610">
        <f>IFERROR((M82-L82)/L82,0)</f>
        <v>0</v>
      </c>
      <c r="N83" s="3610">
        <f>IFERROR((N82-M82)/M82,0)</f>
        <v>0</v>
      </c>
      <c r="O83" s="3611">
        <f>IFERROR((O82-N82)/N82,0)</f>
        <v>0</v>
      </c>
      <c r="P83" s="4200"/>
      <c r="Q83" s="3041"/>
      <c r="R83" s="1969"/>
      <c r="S83" s="1969"/>
      <c r="T83" s="1969"/>
      <c r="U83" s="1969"/>
      <c r="V83" s="2033"/>
      <c r="W83" s="4422"/>
      <c r="X83" s="2021"/>
      <c r="Y83" s="2021"/>
      <c r="Z83" s="2021"/>
      <c r="AA83" s="2021"/>
      <c r="AB83" s="2021"/>
      <c r="AC83" s="2021"/>
    </row>
    <row r="84" spans="1:35" s="2009" customFormat="1" ht="12.75">
      <c r="A84" s="1321"/>
      <c r="B84" s="1451" t="s">
        <v>642</v>
      </c>
      <c r="C84" s="1452"/>
      <c r="D84" s="3041"/>
      <c r="E84" s="1969"/>
      <c r="F84" s="1969"/>
      <c r="G84" s="1969"/>
      <c r="H84" s="1969"/>
      <c r="I84" s="3050"/>
      <c r="J84" s="4587">
        <f>14.46153+0.40487</f>
        <v>14.866400000000001</v>
      </c>
      <c r="K84" s="415">
        <f t="shared" ref="K84" si="230">J84*1.3</f>
        <v>19.326320000000003</v>
      </c>
      <c r="L84" s="415">
        <f t="shared" ref="L84" si="231">K84*1.05</f>
        <v>20.292636000000005</v>
      </c>
      <c r="M84" s="415">
        <f t="shared" ref="M84" si="232">L84*1.03</f>
        <v>20.901415080000007</v>
      </c>
      <c r="N84" s="415">
        <f t="shared" ref="N84" si="233">M84*0.98</f>
        <v>20.483386778400007</v>
      </c>
      <c r="O84" s="416">
        <f t="shared" ref="O84" si="234">N84*0.96</f>
        <v>19.664051307264007</v>
      </c>
      <c r="P84" s="4382">
        <f>IFERROR((K84-J84)/J84,0)</f>
        <v>0.30000000000000016</v>
      </c>
      <c r="Q84" s="3041"/>
      <c r="R84" s="1969"/>
      <c r="S84" s="1969"/>
      <c r="T84" s="1969"/>
      <c r="U84" s="1969"/>
      <c r="V84" s="2033"/>
      <c r="W84" s="4422"/>
      <c r="X84" s="4438">
        <f t="shared" ref="X84" si="235">IFERROR(J84/$C$1,0)</f>
        <v>7.601069622615463</v>
      </c>
      <c r="Y84" s="4438">
        <f t="shared" ref="Y84" si="236">IFERROR(K84/$C$1,0)</f>
        <v>9.8813905094001022</v>
      </c>
      <c r="Z84" s="4438">
        <f t="shared" ref="Z84" si="237">IFERROR(L84/$C$1,0)</f>
        <v>10.375460034870109</v>
      </c>
      <c r="AA84" s="4438">
        <f t="shared" ref="AA84" si="238">IFERROR(M84/$C$1,0)</f>
        <v>10.686723835916213</v>
      </c>
      <c r="AB84" s="4438">
        <f t="shared" ref="AB84" si="239">IFERROR(N84/$C$1,0)</f>
        <v>10.472989359197889</v>
      </c>
      <c r="AC84" s="4438">
        <f t="shared" ref="AC84" si="240">IFERROR(O84/$C$1,0)</f>
        <v>10.054069784829974</v>
      </c>
    </row>
    <row r="85" spans="1:35" s="2009" customFormat="1" ht="12.75">
      <c r="A85" s="1321"/>
      <c r="B85" s="3640" t="s">
        <v>1428</v>
      </c>
      <c r="C85" s="3637" t="s">
        <v>170</v>
      </c>
      <c r="D85" s="3041"/>
      <c r="E85" s="1969"/>
      <c r="F85" s="1969"/>
      <c r="G85" s="1969"/>
      <c r="H85" s="1969"/>
      <c r="I85" s="3050"/>
      <c r="J85" s="3614"/>
      <c r="K85" s="3610">
        <f>IFERROR((K84-J84)/J84,0)</f>
        <v>0.30000000000000016</v>
      </c>
      <c r="L85" s="3610">
        <f>IFERROR((L84-K84)/K84,0)</f>
        <v>5.0000000000000128E-2</v>
      </c>
      <c r="M85" s="3610">
        <f>IFERROR((M84-L84)/L84,0)</f>
        <v>3.0000000000000065E-2</v>
      </c>
      <c r="N85" s="3610">
        <f>IFERROR((N84-M84)/M84,0)</f>
        <v>-1.999999999999998E-2</v>
      </c>
      <c r="O85" s="3611">
        <f>IFERROR((O84-N84)/N84,0)</f>
        <v>-3.9999999999999994E-2</v>
      </c>
      <c r="P85" s="4200"/>
      <c r="Q85" s="3041"/>
      <c r="R85" s="1969"/>
      <c r="S85" s="1969"/>
      <c r="T85" s="1969"/>
      <c r="U85" s="1969"/>
      <c r="V85" s="2033"/>
      <c r="W85" s="4422"/>
      <c r="X85" s="2021"/>
      <c r="Y85" s="2021"/>
      <c r="Z85" s="2021"/>
      <c r="AA85" s="2021"/>
      <c r="AB85" s="2021"/>
      <c r="AC85" s="2021"/>
    </row>
    <row r="86" spans="1:35" s="2009" customFormat="1" ht="12.75">
      <c r="A86" s="1321"/>
      <c r="B86" s="1451" t="s">
        <v>641</v>
      </c>
      <c r="C86" s="1452"/>
      <c r="D86" s="3041"/>
      <c r="E86" s="1969"/>
      <c r="F86" s="1969"/>
      <c r="G86" s="1969"/>
      <c r="H86" s="1969"/>
      <c r="I86" s="3050"/>
      <c r="J86" s="4587">
        <f>56.28133+1.13043</f>
        <v>57.411759999999994</v>
      </c>
      <c r="K86" s="415">
        <f t="shared" ref="K86" si="241">J86*1.3</f>
        <v>74.635287999999989</v>
      </c>
      <c r="L86" s="415">
        <f t="shared" ref="L86" si="242">K86*1.05</f>
        <v>78.367052399999992</v>
      </c>
      <c r="M86" s="415">
        <f t="shared" ref="M86" si="243">L86*1.03</f>
        <v>80.718063971999996</v>
      </c>
      <c r="N86" s="415">
        <f t="shared" ref="N86" si="244">M86*0.98</f>
        <v>79.103702692559992</v>
      </c>
      <c r="O86" s="416">
        <f t="shared" ref="O86" si="245">N86*0.96</f>
        <v>75.939554584857589</v>
      </c>
      <c r="P86" s="4382">
        <f>IFERROR((K86-J86)/J86,0)</f>
        <v>0.29999999999999993</v>
      </c>
      <c r="Q86" s="3041"/>
      <c r="R86" s="1969"/>
      <c r="S86" s="1969"/>
      <c r="T86" s="1969"/>
      <c r="U86" s="1969"/>
      <c r="V86" s="2033"/>
      <c r="W86" s="4422"/>
      <c r="X86" s="4438">
        <f t="shared" ref="X86" si="246">IFERROR(J86/$C$1,0)</f>
        <v>29.354166773185806</v>
      </c>
      <c r="Y86" s="4438">
        <f t="shared" ref="Y86" si="247">IFERROR(K86/$C$1,0)</f>
        <v>38.160416805141544</v>
      </c>
      <c r="Z86" s="4438">
        <f t="shared" ref="Z86" si="248">IFERROR(L86/$C$1,0)</f>
        <v>40.068437645398625</v>
      </c>
      <c r="AA86" s="4438">
        <f t="shared" ref="AA86" si="249">IFERROR(M86/$C$1,0)</f>
        <v>41.270490774760589</v>
      </c>
      <c r="AB86" s="4438">
        <f t="shared" ref="AB86" si="250">IFERROR(N86/$C$1,0)</f>
        <v>40.445080959265375</v>
      </c>
      <c r="AC86" s="4438">
        <f t="shared" ref="AC86" si="251">IFERROR(O86/$C$1,0)</f>
        <v>38.827277720894756</v>
      </c>
    </row>
    <row r="87" spans="1:35" s="2009" customFormat="1" ht="12.75">
      <c r="A87" s="1321"/>
      <c r="B87" s="3640" t="s">
        <v>1428</v>
      </c>
      <c r="C87" s="3637" t="s">
        <v>170</v>
      </c>
      <c r="D87" s="3041"/>
      <c r="E87" s="1969"/>
      <c r="F87" s="1969"/>
      <c r="G87" s="1969"/>
      <c r="H87" s="1969"/>
      <c r="I87" s="3050"/>
      <c r="J87" s="3614"/>
      <c r="K87" s="3610">
        <f>IFERROR((K86-J86)/J86,0)</f>
        <v>0.29999999999999993</v>
      </c>
      <c r="L87" s="3610">
        <f>IFERROR((L86-K86)/K86,0)</f>
        <v>5.0000000000000044E-2</v>
      </c>
      <c r="M87" s="3610">
        <f>IFERROR((M86-L86)/L86,0)</f>
        <v>3.0000000000000061E-2</v>
      </c>
      <c r="N87" s="3610">
        <f>IFERROR((N86-M86)/M86,0)</f>
        <v>-2.0000000000000052E-2</v>
      </c>
      <c r="O87" s="3611">
        <f>IFERROR((O86-N86)/N86,0)</f>
        <v>-4.0000000000000036E-2</v>
      </c>
      <c r="P87" s="4200"/>
      <c r="Q87" s="3041"/>
      <c r="R87" s="1969"/>
      <c r="S87" s="1969"/>
      <c r="T87" s="1969"/>
      <c r="U87" s="1969"/>
      <c r="V87" s="2033"/>
      <c r="W87" s="4422"/>
      <c r="X87" s="2021"/>
      <c r="Y87" s="2021"/>
      <c r="Z87" s="2021"/>
      <c r="AA87" s="2021"/>
      <c r="AB87" s="2021"/>
      <c r="AC87" s="2021"/>
    </row>
    <row r="88" spans="1:35" s="2009" customFormat="1" ht="12.75">
      <c r="A88" s="1321"/>
      <c r="B88" s="1451" t="s">
        <v>640</v>
      </c>
      <c r="C88" s="1452"/>
      <c r="D88" s="3041"/>
      <c r="E88" s="1969"/>
      <c r="F88" s="1969"/>
      <c r="G88" s="1969"/>
      <c r="H88" s="1969"/>
      <c r="I88" s="3050"/>
      <c r="J88" s="4587">
        <v>1</v>
      </c>
      <c r="K88" s="415"/>
      <c r="L88" s="415"/>
      <c r="M88" s="415"/>
      <c r="N88" s="415"/>
      <c r="O88" s="416"/>
      <c r="P88" s="4382">
        <f>IFERROR((K88-J88)/J88,0)</f>
        <v>-1</v>
      </c>
      <c r="Q88" s="3041"/>
      <c r="R88" s="1969"/>
      <c r="S88" s="1969"/>
      <c r="T88" s="1969"/>
      <c r="U88" s="1969"/>
      <c r="V88" s="2033"/>
      <c r="W88" s="4422"/>
      <c r="X88" s="4438">
        <f t="shared" ref="X88" si="252">IFERROR(J88/$C$1,0)</f>
        <v>0.51129188119621849</v>
      </c>
      <c r="Y88" s="4438">
        <f t="shared" ref="Y88" si="253">IFERROR(K88/$C$1,0)</f>
        <v>0</v>
      </c>
      <c r="Z88" s="4438">
        <f t="shared" ref="Z88" si="254">IFERROR(L88/$C$1,0)</f>
        <v>0</v>
      </c>
      <c r="AA88" s="4438">
        <f t="shared" ref="AA88" si="255">IFERROR(M88/$C$1,0)</f>
        <v>0</v>
      </c>
      <c r="AB88" s="4438">
        <f t="shared" ref="AB88" si="256">IFERROR(N88/$C$1,0)</f>
        <v>0</v>
      </c>
      <c r="AC88" s="4438">
        <f t="shared" ref="AC88" si="257">IFERROR(O88/$C$1,0)</f>
        <v>0</v>
      </c>
    </row>
    <row r="89" spans="1:35" s="2009" customFormat="1" ht="12.75">
      <c r="A89" s="1321"/>
      <c r="B89" s="3640" t="s">
        <v>1428</v>
      </c>
      <c r="C89" s="3637" t="s">
        <v>170</v>
      </c>
      <c r="D89" s="3041"/>
      <c r="E89" s="1969"/>
      <c r="F89" s="1969"/>
      <c r="G89" s="1969"/>
      <c r="H89" s="1969"/>
      <c r="I89" s="3050"/>
      <c r="J89" s="3907"/>
      <c r="K89" s="3610">
        <f>IFERROR((K88-J88)/J88,0)</f>
        <v>-1</v>
      </c>
      <c r="L89" s="3610">
        <f>IFERROR((L88-K88)/K88,0)</f>
        <v>0</v>
      </c>
      <c r="M89" s="3610">
        <f>IFERROR((M88-L88)/L88,0)</f>
        <v>0</v>
      </c>
      <c r="N89" s="3610">
        <f>IFERROR((N88-M88)/M88,0)</f>
        <v>0</v>
      </c>
      <c r="O89" s="3611">
        <f>IFERROR((O88-N88)/N88,0)</f>
        <v>0</v>
      </c>
      <c r="P89" s="4200"/>
      <c r="Q89" s="3041"/>
      <c r="R89" s="1969"/>
      <c r="S89" s="1969"/>
      <c r="T89" s="1969"/>
      <c r="U89" s="1969"/>
      <c r="V89" s="2033"/>
      <c r="W89" s="4422"/>
      <c r="X89" s="2021"/>
      <c r="Y89" s="2021"/>
      <c r="Z89" s="2021"/>
      <c r="AA89" s="2021"/>
      <c r="AB89" s="2021"/>
      <c r="AC89" s="2021"/>
    </row>
    <row r="90" spans="1:35" s="2009" customFormat="1" ht="12.75">
      <c r="A90" s="1321"/>
      <c r="B90" s="1451" t="s">
        <v>639</v>
      </c>
      <c r="C90" s="1452"/>
      <c r="D90" s="3041"/>
      <c r="E90" s="1969"/>
      <c r="F90" s="1969"/>
      <c r="G90" s="1969"/>
      <c r="H90" s="1969"/>
      <c r="I90" s="3050"/>
      <c r="J90" s="4588">
        <v>0</v>
      </c>
      <c r="K90" s="417">
        <f t="shared" ref="K90" si="258">J90*1.3</f>
        <v>0</v>
      </c>
      <c r="L90" s="417">
        <f t="shared" ref="L90" si="259">K90*1.05</f>
        <v>0</v>
      </c>
      <c r="M90" s="417">
        <f t="shared" ref="M90" si="260">L90*1.03</f>
        <v>0</v>
      </c>
      <c r="N90" s="417">
        <f t="shared" ref="N90" si="261">M90*0.98</f>
        <v>0</v>
      </c>
      <c r="O90" s="418">
        <f t="shared" ref="O90" si="262">N90*0.96</f>
        <v>0</v>
      </c>
      <c r="P90" s="4201">
        <f>IFERROR((K90-J90)/J90,0)</f>
        <v>0</v>
      </c>
      <c r="Q90" s="3041"/>
      <c r="R90" s="1969"/>
      <c r="S90" s="1969"/>
      <c r="T90" s="1969"/>
      <c r="U90" s="1969"/>
      <c r="V90" s="2033"/>
      <c r="W90" s="4422"/>
      <c r="X90" s="4438">
        <f t="shared" ref="X90" si="263">IFERROR(J90/$C$1,0)</f>
        <v>0</v>
      </c>
      <c r="Y90" s="4438">
        <f t="shared" ref="Y90" si="264">IFERROR(K90/$C$1,0)</f>
        <v>0</v>
      </c>
      <c r="Z90" s="4438">
        <f t="shared" ref="Z90" si="265">IFERROR(L90/$C$1,0)</f>
        <v>0</v>
      </c>
      <c r="AA90" s="4438">
        <f t="shared" ref="AA90" si="266">IFERROR(M90/$C$1,0)</f>
        <v>0</v>
      </c>
      <c r="AB90" s="4438">
        <f t="shared" ref="AB90" si="267">IFERROR(N90/$C$1,0)</f>
        <v>0</v>
      </c>
      <c r="AC90" s="4438">
        <f t="shared" ref="AC90" si="268">IFERROR(O90/$C$1,0)</f>
        <v>0</v>
      </c>
    </row>
    <row r="91" spans="1:35" s="2009" customFormat="1" ht="12.75">
      <c r="A91" s="1323"/>
      <c r="B91" s="3640" t="s">
        <v>1428</v>
      </c>
      <c r="C91" s="3637" t="s">
        <v>170</v>
      </c>
      <c r="D91" s="3041"/>
      <c r="E91" s="1969"/>
      <c r="F91" s="1969"/>
      <c r="G91" s="1969"/>
      <c r="H91" s="1969"/>
      <c r="I91" s="3050"/>
      <c r="J91" s="3907"/>
      <c r="K91" s="3610">
        <f>IFERROR((K90-J90)/J90,0)</f>
        <v>0</v>
      </c>
      <c r="L91" s="3610">
        <f>IFERROR((L90-K90)/K90,0)</f>
        <v>0</v>
      </c>
      <c r="M91" s="3610">
        <f>IFERROR((M90-L90)/L90,0)</f>
        <v>0</v>
      </c>
      <c r="N91" s="3610">
        <f>IFERROR((N90-M90)/M90,0)</f>
        <v>0</v>
      </c>
      <c r="O91" s="3611">
        <f>IFERROR((O90-N90)/N90,0)</f>
        <v>0</v>
      </c>
      <c r="P91" s="4200"/>
      <c r="Q91" s="3041"/>
      <c r="R91" s="1969"/>
      <c r="S91" s="1969"/>
      <c r="T91" s="1969"/>
      <c r="U91" s="1969"/>
      <c r="V91" s="2033"/>
      <c r="W91" s="4422"/>
      <c r="X91" s="2021"/>
      <c r="Y91" s="2021"/>
      <c r="Z91" s="2021"/>
      <c r="AA91" s="2021"/>
      <c r="AB91" s="2021"/>
      <c r="AC91" s="2021"/>
    </row>
    <row r="92" spans="1:35" s="2009" customFormat="1" ht="22.5" customHeight="1">
      <c r="A92" s="1323"/>
      <c r="B92" s="1458" t="s">
        <v>638</v>
      </c>
      <c r="C92" s="1452"/>
      <c r="D92" s="3041"/>
      <c r="E92" s="1969"/>
      <c r="F92" s="1969"/>
      <c r="G92" s="1969"/>
      <c r="H92" s="1969"/>
      <c r="I92" s="3050"/>
      <c r="J92" s="3650">
        <f>J79-J82-J84-J86-J88-J90</f>
        <v>-1.7562199999999919</v>
      </c>
      <c r="K92" s="3626">
        <f t="shared" ref="K92:O92" si="269">K79-K82-K84-K86-K88-K90</f>
        <v>-0.9830859999999717</v>
      </c>
      <c r="L92" s="3626">
        <f t="shared" si="269"/>
        <v>-1.0322402999999696</v>
      </c>
      <c r="M92" s="3626">
        <f t="shared" si="269"/>
        <v>-1.0632075089999944</v>
      </c>
      <c r="N92" s="3626">
        <f t="shared" si="269"/>
        <v>-1.0419433588199496</v>
      </c>
      <c r="O92" s="3639">
        <f t="shared" si="269"/>
        <v>-1.0002656244671897</v>
      </c>
      <c r="P92" s="4201">
        <f>IFERROR((K92-J92)/J92,0)</f>
        <v>-0.44022616756444166</v>
      </c>
      <c r="Q92" s="3041"/>
      <c r="R92" s="1969"/>
      <c r="S92" s="1969"/>
      <c r="T92" s="1969"/>
      <c r="U92" s="1969"/>
      <c r="V92" s="2033"/>
      <c r="W92" s="4422"/>
      <c r="X92" s="4438">
        <f t="shared" ref="X92" si="270">IFERROR(J92/$C$1,0)</f>
        <v>-0.89794102759441874</v>
      </c>
      <c r="Y92" s="4438">
        <f t="shared" ref="Y92" si="271">IFERROR(K92/$C$1,0)</f>
        <v>-0.50264389031765122</v>
      </c>
      <c r="Z92" s="4438">
        <f t="shared" ref="Z92" si="272">IFERROR(L92/$C$1,0)</f>
        <v>-0.52777608483353333</v>
      </c>
      <c r="AA92" s="4438">
        <f t="shared" ref="AA92" si="273">IFERROR(M92/$C$1,0)</f>
        <v>-0.54360936737855259</v>
      </c>
      <c r="AB92" s="4438">
        <f t="shared" ref="AB92" si="274">IFERROR(N92/$C$1,0)</f>
        <v>-0.53273718003095849</v>
      </c>
      <c r="AC92" s="4438">
        <f t="shared" ref="AC92" si="275">IFERROR(O92/$C$1,0)</f>
        <v>-0.51142769282973966</v>
      </c>
    </row>
    <row r="93" spans="1:35" s="2009" customFormat="1" ht="13.5" thickBot="1">
      <c r="A93" s="1323"/>
      <c r="B93" s="4400" t="s">
        <v>1428</v>
      </c>
      <c r="C93" s="4403" t="s">
        <v>170</v>
      </c>
      <c r="D93" s="3627"/>
      <c r="E93" s="2035"/>
      <c r="F93" s="2035"/>
      <c r="G93" s="2035"/>
      <c r="H93" s="2035"/>
      <c r="I93" s="3628"/>
      <c r="J93" s="3907"/>
      <c r="K93" s="4396">
        <f>IFERROR((K92-J92)/J92,0)</f>
        <v>-0.44022616756444166</v>
      </c>
      <c r="L93" s="4396">
        <f>IFERROR((L92-K92)/K92,0)</f>
        <v>4.9999999999999274E-2</v>
      </c>
      <c r="M93" s="4396">
        <f>IFERROR((M92-L92)/L92,0)</f>
        <v>3.000000000002492E-2</v>
      </c>
      <c r="N93" s="4396">
        <f>IFERROR((N92-M92)/M92,0)</f>
        <v>-2.0000000000042237E-2</v>
      </c>
      <c r="O93" s="4401">
        <f>IFERROR((O92-N92)/N92,0)</f>
        <v>-3.9999999999963447E-2</v>
      </c>
      <c r="P93" s="4402"/>
      <c r="Q93" s="3627"/>
      <c r="R93" s="2035"/>
      <c r="S93" s="2035"/>
      <c r="T93" s="2035"/>
      <c r="U93" s="2035"/>
      <c r="V93" s="2036"/>
      <c r="W93" s="4422"/>
    </row>
    <row r="94" spans="1:35" s="2009" customFormat="1" ht="13.5" customHeight="1" thickBot="1">
      <c r="A94" s="5080"/>
      <c r="B94" s="5081"/>
      <c r="C94" s="5081"/>
      <c r="D94" s="5081"/>
      <c r="E94" s="5081"/>
      <c r="F94" s="5081"/>
      <c r="G94" s="5081"/>
      <c r="H94" s="5081"/>
      <c r="I94" s="5081"/>
      <c r="J94" s="5081"/>
      <c r="K94" s="5081"/>
      <c r="L94" s="5081"/>
      <c r="M94" s="5081"/>
      <c r="N94" s="5081"/>
      <c r="O94" s="5081"/>
      <c r="P94" s="5081"/>
      <c r="Q94" s="5081"/>
      <c r="R94" s="5081"/>
      <c r="S94" s="5081"/>
      <c r="T94" s="5081"/>
      <c r="U94" s="5081"/>
      <c r="V94" s="5082"/>
      <c r="W94" s="4422"/>
    </row>
    <row r="95" spans="1:35" s="2009" customFormat="1" ht="20.25" customHeight="1" thickBot="1">
      <c r="A95" s="1467">
        <v>4</v>
      </c>
      <c r="B95" s="1466" t="s">
        <v>1029</v>
      </c>
      <c r="C95" s="5070"/>
      <c r="D95" s="5069"/>
      <c r="E95" s="5069"/>
      <c r="F95" s="5069"/>
      <c r="G95" s="5069"/>
      <c r="H95" s="5069"/>
      <c r="I95" s="5069"/>
      <c r="J95" s="5070"/>
      <c r="K95" s="5070"/>
      <c r="L95" s="5070"/>
      <c r="M95" s="5070"/>
      <c r="N95" s="5070"/>
      <c r="O95" s="5070"/>
      <c r="P95" s="5070"/>
      <c r="Q95" s="5069"/>
      <c r="R95" s="5069"/>
      <c r="S95" s="5069"/>
      <c r="T95" s="5069"/>
      <c r="U95" s="5069"/>
      <c r="V95" s="5071"/>
      <c r="W95" s="4422"/>
    </row>
    <row r="96" spans="1:35" s="2009" customFormat="1" ht="12.75">
      <c r="A96" s="421" t="s">
        <v>566</v>
      </c>
      <c r="B96" s="1444" t="s">
        <v>464</v>
      </c>
      <c r="C96" s="1419" t="s">
        <v>676</v>
      </c>
      <c r="D96" s="427"/>
      <c r="E96" s="428"/>
      <c r="F96" s="428"/>
      <c r="G96" s="428"/>
      <c r="H96" s="428"/>
      <c r="I96" s="429"/>
      <c r="J96" s="1417"/>
      <c r="K96" s="3903"/>
      <c r="L96" s="3903"/>
      <c r="M96" s="3903"/>
      <c r="N96" s="3903"/>
      <c r="O96" s="3905"/>
      <c r="P96" s="4378">
        <f t="shared" ref="P96:P110" si="276">IFERROR((K96-J96)/J96,0)</f>
        <v>0</v>
      </c>
      <c r="Q96" s="3790">
        <f t="shared" ref="Q96:V108" si="277">ROUND(IFERROR(J96*1000/D96,0),0)</f>
        <v>0</v>
      </c>
      <c r="R96" s="3791">
        <f t="shared" si="277"/>
        <v>0</v>
      </c>
      <c r="S96" s="3791">
        <f t="shared" si="277"/>
        <v>0</v>
      </c>
      <c r="T96" s="3791">
        <f t="shared" si="277"/>
        <v>0</v>
      </c>
      <c r="U96" s="3791">
        <f t="shared" si="277"/>
        <v>0</v>
      </c>
      <c r="V96" s="3792">
        <f t="shared" si="277"/>
        <v>0</v>
      </c>
      <c r="W96" s="4422"/>
      <c r="X96" s="4438">
        <f>IFERROR(J96/$C$1,0)</f>
        <v>0</v>
      </c>
      <c r="Y96" s="4438">
        <f t="shared" ref="Y96:Y110" si="278">IFERROR(K96/$C$1,0)</f>
        <v>0</v>
      </c>
      <c r="Z96" s="4438">
        <f t="shared" ref="Z96:Z110" si="279">IFERROR(L96/$C$1,0)</f>
        <v>0</v>
      </c>
      <c r="AA96" s="4438">
        <f t="shared" ref="AA96:AA110" si="280">IFERROR(M96/$C$1,0)</f>
        <v>0</v>
      </c>
      <c r="AB96" s="4438">
        <f t="shared" ref="AB96:AB110" si="281">IFERROR(N96/$C$1,0)</f>
        <v>0</v>
      </c>
      <c r="AC96" s="4438">
        <f t="shared" ref="AC96:AC110" si="282">IFERROR(O96/$C$1,0)</f>
        <v>0</v>
      </c>
      <c r="AD96" s="4438">
        <f>IFERROR(Q96/$C$1,0)</f>
        <v>0</v>
      </c>
      <c r="AE96" s="4438">
        <f t="shared" ref="AE96:AE108" si="283">IFERROR(R96/$C$1,0)</f>
        <v>0</v>
      </c>
      <c r="AF96" s="4438">
        <f t="shared" ref="AF96:AF108" si="284">IFERROR(S96/$C$1,0)</f>
        <v>0</v>
      </c>
      <c r="AG96" s="4438">
        <f t="shared" ref="AG96:AG108" si="285">IFERROR(T96/$C$1,0)</f>
        <v>0</v>
      </c>
      <c r="AH96" s="4438">
        <f t="shared" ref="AH96:AH108" si="286">IFERROR(U96/$C$1,0)</f>
        <v>0</v>
      </c>
      <c r="AI96" s="4438">
        <f t="shared" ref="AI96:AI108" si="287">IFERROR(V96/$C$1,0)</f>
        <v>0</v>
      </c>
    </row>
    <row r="97" spans="1:35" s="2009" customFormat="1" ht="12.75">
      <c r="A97" s="422" t="s">
        <v>567</v>
      </c>
      <c r="B97" s="1445" t="s">
        <v>722</v>
      </c>
      <c r="C97" s="307" t="s">
        <v>676</v>
      </c>
      <c r="D97" s="408"/>
      <c r="E97" s="409"/>
      <c r="F97" s="409"/>
      <c r="G97" s="409"/>
      <c r="H97" s="409"/>
      <c r="I97" s="424"/>
      <c r="J97" s="408"/>
      <c r="K97" s="3903"/>
      <c r="L97" s="3903"/>
      <c r="M97" s="3903"/>
      <c r="N97" s="3903"/>
      <c r="O97" s="3905"/>
      <c r="P97" s="4379">
        <f t="shared" si="276"/>
        <v>0</v>
      </c>
      <c r="Q97" s="3795">
        <f t="shared" si="277"/>
        <v>0</v>
      </c>
      <c r="R97" s="3796">
        <f t="shared" si="277"/>
        <v>0</v>
      </c>
      <c r="S97" s="3796">
        <f t="shared" si="277"/>
        <v>0</v>
      </c>
      <c r="T97" s="3796">
        <f t="shared" si="277"/>
        <v>0</v>
      </c>
      <c r="U97" s="3796">
        <f t="shared" si="277"/>
        <v>0</v>
      </c>
      <c r="V97" s="3797">
        <f t="shared" si="277"/>
        <v>0</v>
      </c>
      <c r="W97" s="4422"/>
      <c r="X97" s="4438">
        <f t="shared" ref="X97:X110" si="288">IFERROR(J97/$C$1,0)</f>
        <v>0</v>
      </c>
      <c r="Y97" s="4438">
        <f t="shared" si="278"/>
        <v>0</v>
      </c>
      <c r="Z97" s="4438">
        <f t="shared" si="279"/>
        <v>0</v>
      </c>
      <c r="AA97" s="4438">
        <f t="shared" si="280"/>
        <v>0</v>
      </c>
      <c r="AB97" s="4438">
        <f t="shared" si="281"/>
        <v>0</v>
      </c>
      <c r="AC97" s="4438">
        <f t="shared" si="282"/>
        <v>0</v>
      </c>
      <c r="AD97" s="4438">
        <f t="shared" ref="AD97:AD108" si="289">IFERROR(Q97/$C$1,0)</f>
        <v>0</v>
      </c>
      <c r="AE97" s="4438">
        <f t="shared" si="283"/>
        <v>0</v>
      </c>
      <c r="AF97" s="4438">
        <f t="shared" si="284"/>
        <v>0</v>
      </c>
      <c r="AG97" s="4438">
        <f t="shared" si="285"/>
        <v>0</v>
      </c>
      <c r="AH97" s="4438">
        <f t="shared" si="286"/>
        <v>0</v>
      </c>
      <c r="AI97" s="4438">
        <f t="shared" si="287"/>
        <v>0</v>
      </c>
    </row>
    <row r="98" spans="1:35" s="2009" customFormat="1" ht="12.75">
      <c r="A98" s="422" t="s">
        <v>1078</v>
      </c>
      <c r="B98" s="1445" t="s">
        <v>467</v>
      </c>
      <c r="C98" s="307" t="s">
        <v>676</v>
      </c>
      <c r="D98" s="408"/>
      <c r="E98" s="409"/>
      <c r="F98" s="409"/>
      <c r="G98" s="409"/>
      <c r="H98" s="409"/>
      <c r="I98" s="424"/>
      <c r="J98" s="408"/>
      <c r="K98" s="3903"/>
      <c r="L98" s="3903"/>
      <c r="M98" s="3903"/>
      <c r="N98" s="3903"/>
      <c r="O98" s="3905"/>
      <c r="P98" s="4379">
        <f t="shared" si="276"/>
        <v>0</v>
      </c>
      <c r="Q98" s="3795">
        <f t="shared" si="277"/>
        <v>0</v>
      </c>
      <c r="R98" s="3796">
        <f t="shared" si="277"/>
        <v>0</v>
      </c>
      <c r="S98" s="3796">
        <f t="shared" si="277"/>
        <v>0</v>
      </c>
      <c r="T98" s="3796">
        <f t="shared" si="277"/>
        <v>0</v>
      </c>
      <c r="U98" s="3796">
        <f t="shared" si="277"/>
        <v>0</v>
      </c>
      <c r="V98" s="3797">
        <f t="shared" si="277"/>
        <v>0</v>
      </c>
      <c r="W98" s="4422"/>
      <c r="X98" s="4438">
        <f t="shared" si="288"/>
        <v>0</v>
      </c>
      <c r="Y98" s="4438">
        <f t="shared" si="278"/>
        <v>0</v>
      </c>
      <c r="Z98" s="4438">
        <f t="shared" si="279"/>
        <v>0</v>
      </c>
      <c r="AA98" s="4438">
        <f t="shared" si="280"/>
        <v>0</v>
      </c>
      <c r="AB98" s="4438">
        <f t="shared" si="281"/>
        <v>0</v>
      </c>
      <c r="AC98" s="4438">
        <f t="shared" si="282"/>
        <v>0</v>
      </c>
      <c r="AD98" s="4438">
        <f t="shared" si="289"/>
        <v>0</v>
      </c>
      <c r="AE98" s="4438">
        <f t="shared" si="283"/>
        <v>0</v>
      </c>
      <c r="AF98" s="4438">
        <f t="shared" si="284"/>
        <v>0</v>
      </c>
      <c r="AG98" s="4438">
        <f t="shared" si="285"/>
        <v>0</v>
      </c>
      <c r="AH98" s="4438">
        <f t="shared" si="286"/>
        <v>0</v>
      </c>
      <c r="AI98" s="4438">
        <f t="shared" si="287"/>
        <v>0</v>
      </c>
    </row>
    <row r="99" spans="1:35" s="2009" customFormat="1" ht="12.75">
      <c r="A99" s="422" t="s">
        <v>1079</v>
      </c>
      <c r="B99" s="1445" t="s">
        <v>469</v>
      </c>
      <c r="C99" s="307" t="s">
        <v>676</v>
      </c>
      <c r="D99" s="408"/>
      <c r="E99" s="409"/>
      <c r="F99" s="409"/>
      <c r="G99" s="409"/>
      <c r="H99" s="409"/>
      <c r="I99" s="424"/>
      <c r="J99" s="408"/>
      <c r="K99" s="3903"/>
      <c r="L99" s="3903"/>
      <c r="M99" s="3903"/>
      <c r="N99" s="3903"/>
      <c r="O99" s="3905"/>
      <c r="P99" s="4379">
        <f t="shared" si="276"/>
        <v>0</v>
      </c>
      <c r="Q99" s="3795">
        <f t="shared" si="277"/>
        <v>0</v>
      </c>
      <c r="R99" s="3796">
        <f t="shared" si="277"/>
        <v>0</v>
      </c>
      <c r="S99" s="3796">
        <f t="shared" si="277"/>
        <v>0</v>
      </c>
      <c r="T99" s="3796">
        <f t="shared" si="277"/>
        <v>0</v>
      </c>
      <c r="U99" s="3796">
        <f t="shared" si="277"/>
        <v>0</v>
      </c>
      <c r="V99" s="3797">
        <f t="shared" si="277"/>
        <v>0</v>
      </c>
      <c r="W99" s="4422"/>
      <c r="X99" s="4438">
        <f t="shared" si="288"/>
        <v>0</v>
      </c>
      <c r="Y99" s="4438">
        <f t="shared" si="278"/>
        <v>0</v>
      </c>
      <c r="Z99" s="4438">
        <f t="shared" si="279"/>
        <v>0</v>
      </c>
      <c r="AA99" s="4438">
        <f t="shared" si="280"/>
        <v>0</v>
      </c>
      <c r="AB99" s="4438">
        <f t="shared" si="281"/>
        <v>0</v>
      </c>
      <c r="AC99" s="4438">
        <f t="shared" si="282"/>
        <v>0</v>
      </c>
      <c r="AD99" s="4438">
        <f t="shared" si="289"/>
        <v>0</v>
      </c>
      <c r="AE99" s="4438">
        <f t="shared" si="283"/>
        <v>0</v>
      </c>
      <c r="AF99" s="4438">
        <f t="shared" si="284"/>
        <v>0</v>
      </c>
      <c r="AG99" s="4438">
        <f t="shared" si="285"/>
        <v>0</v>
      </c>
      <c r="AH99" s="4438">
        <f t="shared" si="286"/>
        <v>0</v>
      </c>
      <c r="AI99" s="4438">
        <f t="shared" si="287"/>
        <v>0</v>
      </c>
    </row>
    <row r="100" spans="1:35" s="2009" customFormat="1" ht="12.75">
      <c r="A100" s="422" t="s">
        <v>1080</v>
      </c>
      <c r="B100" s="1445" t="s">
        <v>471</v>
      </c>
      <c r="C100" s="307" t="s">
        <v>676</v>
      </c>
      <c r="D100" s="408"/>
      <c r="E100" s="409"/>
      <c r="F100" s="409"/>
      <c r="G100" s="409"/>
      <c r="H100" s="409"/>
      <c r="I100" s="424"/>
      <c r="J100" s="408"/>
      <c r="K100" s="3903"/>
      <c r="L100" s="3903"/>
      <c r="M100" s="3903"/>
      <c r="N100" s="3903"/>
      <c r="O100" s="3905"/>
      <c r="P100" s="4379">
        <f t="shared" si="276"/>
        <v>0</v>
      </c>
      <c r="Q100" s="3795">
        <f t="shared" si="277"/>
        <v>0</v>
      </c>
      <c r="R100" s="3796">
        <f t="shared" si="277"/>
        <v>0</v>
      </c>
      <c r="S100" s="3796">
        <f t="shared" si="277"/>
        <v>0</v>
      </c>
      <c r="T100" s="3796">
        <f t="shared" si="277"/>
        <v>0</v>
      </c>
      <c r="U100" s="3796">
        <f t="shared" si="277"/>
        <v>0</v>
      </c>
      <c r="V100" s="3797">
        <f t="shared" si="277"/>
        <v>0</v>
      </c>
      <c r="W100" s="4422"/>
      <c r="X100" s="4438">
        <f t="shared" si="288"/>
        <v>0</v>
      </c>
      <c r="Y100" s="4438">
        <f t="shared" si="278"/>
        <v>0</v>
      </c>
      <c r="Z100" s="4438">
        <f t="shared" si="279"/>
        <v>0</v>
      </c>
      <c r="AA100" s="4438">
        <f t="shared" si="280"/>
        <v>0</v>
      </c>
      <c r="AB100" s="4438">
        <f t="shared" si="281"/>
        <v>0</v>
      </c>
      <c r="AC100" s="4438">
        <f t="shared" si="282"/>
        <v>0</v>
      </c>
      <c r="AD100" s="4438">
        <f t="shared" si="289"/>
        <v>0</v>
      </c>
      <c r="AE100" s="4438">
        <f t="shared" si="283"/>
        <v>0</v>
      </c>
      <c r="AF100" s="4438">
        <f t="shared" si="284"/>
        <v>0</v>
      </c>
      <c r="AG100" s="4438">
        <f t="shared" si="285"/>
        <v>0</v>
      </c>
      <c r="AH100" s="4438">
        <f t="shared" si="286"/>
        <v>0</v>
      </c>
      <c r="AI100" s="4438">
        <f t="shared" si="287"/>
        <v>0</v>
      </c>
    </row>
    <row r="101" spans="1:35" s="2009" customFormat="1" ht="12.75">
      <c r="A101" s="422" t="s">
        <v>1081</v>
      </c>
      <c r="B101" s="1445" t="s">
        <v>1362</v>
      </c>
      <c r="C101" s="307" t="s">
        <v>676</v>
      </c>
      <c r="D101" s="408"/>
      <c r="E101" s="409"/>
      <c r="F101" s="409"/>
      <c r="G101" s="409"/>
      <c r="H101" s="409"/>
      <c r="I101" s="424"/>
      <c r="J101" s="408"/>
      <c r="K101" s="3903"/>
      <c r="L101" s="3903"/>
      <c r="M101" s="3903"/>
      <c r="N101" s="3903"/>
      <c r="O101" s="3905"/>
      <c r="P101" s="4379">
        <f t="shared" si="276"/>
        <v>0</v>
      </c>
      <c r="Q101" s="3795">
        <f t="shared" si="277"/>
        <v>0</v>
      </c>
      <c r="R101" s="3796">
        <f t="shared" si="277"/>
        <v>0</v>
      </c>
      <c r="S101" s="3796">
        <f t="shared" si="277"/>
        <v>0</v>
      </c>
      <c r="T101" s="3796">
        <f t="shared" si="277"/>
        <v>0</v>
      </c>
      <c r="U101" s="3796">
        <f t="shared" si="277"/>
        <v>0</v>
      </c>
      <c r="V101" s="3797">
        <f t="shared" si="277"/>
        <v>0</v>
      </c>
      <c r="W101" s="4422"/>
      <c r="X101" s="4438">
        <f t="shared" si="288"/>
        <v>0</v>
      </c>
      <c r="Y101" s="4438">
        <f t="shared" si="278"/>
        <v>0</v>
      </c>
      <c r="Z101" s="4438">
        <f t="shared" si="279"/>
        <v>0</v>
      </c>
      <c r="AA101" s="4438">
        <f t="shared" si="280"/>
        <v>0</v>
      </c>
      <c r="AB101" s="4438">
        <f t="shared" si="281"/>
        <v>0</v>
      </c>
      <c r="AC101" s="4438">
        <f t="shared" si="282"/>
        <v>0</v>
      </c>
      <c r="AD101" s="4438">
        <f t="shared" si="289"/>
        <v>0</v>
      </c>
      <c r="AE101" s="4438">
        <f t="shared" si="283"/>
        <v>0</v>
      </c>
      <c r="AF101" s="4438">
        <f t="shared" si="284"/>
        <v>0</v>
      </c>
      <c r="AG101" s="4438">
        <f t="shared" si="285"/>
        <v>0</v>
      </c>
      <c r="AH101" s="4438">
        <f t="shared" si="286"/>
        <v>0</v>
      </c>
      <c r="AI101" s="4438">
        <f t="shared" si="287"/>
        <v>0</v>
      </c>
    </row>
    <row r="102" spans="1:35" s="2009" customFormat="1" ht="24">
      <c r="A102" s="422" t="s">
        <v>1082</v>
      </c>
      <c r="B102" s="1445" t="s">
        <v>1363</v>
      </c>
      <c r="C102" s="307" t="s">
        <v>676</v>
      </c>
      <c r="D102" s="408"/>
      <c r="E102" s="409"/>
      <c r="F102" s="409"/>
      <c r="G102" s="409"/>
      <c r="H102" s="409"/>
      <c r="I102" s="424"/>
      <c r="J102" s="408"/>
      <c r="K102" s="3903"/>
      <c r="L102" s="3903"/>
      <c r="M102" s="3903"/>
      <c r="N102" s="3903"/>
      <c r="O102" s="3905"/>
      <c r="P102" s="4379">
        <f t="shared" si="276"/>
        <v>0</v>
      </c>
      <c r="Q102" s="3795">
        <f t="shared" si="277"/>
        <v>0</v>
      </c>
      <c r="R102" s="3796">
        <f t="shared" si="277"/>
        <v>0</v>
      </c>
      <c r="S102" s="3796">
        <f t="shared" si="277"/>
        <v>0</v>
      </c>
      <c r="T102" s="3796">
        <f t="shared" si="277"/>
        <v>0</v>
      </c>
      <c r="U102" s="3796">
        <f t="shared" si="277"/>
        <v>0</v>
      </c>
      <c r="V102" s="3797">
        <f t="shared" si="277"/>
        <v>0</v>
      </c>
      <c r="W102" s="4422"/>
      <c r="X102" s="4438">
        <f t="shared" si="288"/>
        <v>0</v>
      </c>
      <c r="Y102" s="4438">
        <f t="shared" si="278"/>
        <v>0</v>
      </c>
      <c r="Z102" s="4438">
        <f t="shared" si="279"/>
        <v>0</v>
      </c>
      <c r="AA102" s="4438">
        <f t="shared" si="280"/>
        <v>0</v>
      </c>
      <c r="AB102" s="4438">
        <f t="shared" si="281"/>
        <v>0</v>
      </c>
      <c r="AC102" s="4438">
        <f t="shared" si="282"/>
        <v>0</v>
      </c>
      <c r="AD102" s="4438">
        <f t="shared" si="289"/>
        <v>0</v>
      </c>
      <c r="AE102" s="4438">
        <f t="shared" si="283"/>
        <v>0</v>
      </c>
      <c r="AF102" s="4438">
        <f t="shared" si="284"/>
        <v>0</v>
      </c>
      <c r="AG102" s="4438">
        <f t="shared" si="285"/>
        <v>0</v>
      </c>
      <c r="AH102" s="4438">
        <f t="shared" si="286"/>
        <v>0</v>
      </c>
      <c r="AI102" s="4438">
        <f t="shared" si="287"/>
        <v>0</v>
      </c>
    </row>
    <row r="103" spans="1:35" s="2009" customFormat="1" ht="24">
      <c r="A103" s="422" t="s">
        <v>1083</v>
      </c>
      <c r="B103" s="1445" t="s">
        <v>1364</v>
      </c>
      <c r="C103" s="307" t="s">
        <v>676</v>
      </c>
      <c r="D103" s="408"/>
      <c r="E103" s="409"/>
      <c r="F103" s="409"/>
      <c r="G103" s="409"/>
      <c r="H103" s="409"/>
      <c r="I103" s="424"/>
      <c r="J103" s="408"/>
      <c r="K103" s="3903"/>
      <c r="L103" s="3903"/>
      <c r="M103" s="3903"/>
      <c r="N103" s="3903"/>
      <c r="O103" s="3905"/>
      <c r="P103" s="4379">
        <f t="shared" si="276"/>
        <v>0</v>
      </c>
      <c r="Q103" s="3795">
        <f t="shared" si="277"/>
        <v>0</v>
      </c>
      <c r="R103" s="3796">
        <f t="shared" si="277"/>
        <v>0</v>
      </c>
      <c r="S103" s="3796">
        <f t="shared" si="277"/>
        <v>0</v>
      </c>
      <c r="T103" s="3796">
        <f t="shared" si="277"/>
        <v>0</v>
      </c>
      <c r="U103" s="3796">
        <f t="shared" si="277"/>
        <v>0</v>
      </c>
      <c r="V103" s="3797">
        <f t="shared" si="277"/>
        <v>0</v>
      </c>
      <c r="W103" s="4422"/>
      <c r="X103" s="4438">
        <f t="shared" si="288"/>
        <v>0</v>
      </c>
      <c r="Y103" s="4438">
        <f t="shared" si="278"/>
        <v>0</v>
      </c>
      <c r="Z103" s="4438">
        <f t="shared" si="279"/>
        <v>0</v>
      </c>
      <c r="AA103" s="4438">
        <f t="shared" si="280"/>
        <v>0</v>
      </c>
      <c r="AB103" s="4438">
        <f t="shared" si="281"/>
        <v>0</v>
      </c>
      <c r="AC103" s="4438">
        <f t="shared" si="282"/>
        <v>0</v>
      </c>
      <c r="AD103" s="4438">
        <f t="shared" si="289"/>
        <v>0</v>
      </c>
      <c r="AE103" s="4438">
        <f t="shared" si="283"/>
        <v>0</v>
      </c>
      <c r="AF103" s="4438">
        <f t="shared" si="284"/>
        <v>0</v>
      </c>
      <c r="AG103" s="4438">
        <f t="shared" si="285"/>
        <v>0</v>
      </c>
      <c r="AH103" s="4438">
        <f t="shared" si="286"/>
        <v>0</v>
      </c>
      <c r="AI103" s="4438">
        <f t="shared" si="287"/>
        <v>0</v>
      </c>
    </row>
    <row r="104" spans="1:35" s="2009" customFormat="1" ht="12.75">
      <c r="A104" s="422" t="s">
        <v>1084</v>
      </c>
      <c r="B104" s="1445" t="s">
        <v>1411</v>
      </c>
      <c r="C104" s="307" t="s">
        <v>676</v>
      </c>
      <c r="D104" s="408"/>
      <c r="E104" s="409"/>
      <c r="F104" s="409"/>
      <c r="G104" s="409"/>
      <c r="H104" s="409"/>
      <c r="I104" s="424"/>
      <c r="J104" s="408"/>
      <c r="K104" s="3903"/>
      <c r="L104" s="3903"/>
      <c r="M104" s="3903"/>
      <c r="N104" s="3903"/>
      <c r="O104" s="3905"/>
      <c r="P104" s="4379">
        <f t="shared" si="276"/>
        <v>0</v>
      </c>
      <c r="Q104" s="3795">
        <f t="shared" si="277"/>
        <v>0</v>
      </c>
      <c r="R104" s="3796">
        <f t="shared" si="277"/>
        <v>0</v>
      </c>
      <c r="S104" s="3796">
        <f t="shared" si="277"/>
        <v>0</v>
      </c>
      <c r="T104" s="3796">
        <f t="shared" si="277"/>
        <v>0</v>
      </c>
      <c r="U104" s="3796">
        <f t="shared" si="277"/>
        <v>0</v>
      </c>
      <c r="V104" s="3797">
        <f t="shared" si="277"/>
        <v>0</v>
      </c>
      <c r="W104" s="4422"/>
      <c r="X104" s="4438">
        <f t="shared" si="288"/>
        <v>0</v>
      </c>
      <c r="Y104" s="4438">
        <f t="shared" si="278"/>
        <v>0</v>
      </c>
      <c r="Z104" s="4438">
        <f t="shared" si="279"/>
        <v>0</v>
      </c>
      <c r="AA104" s="4438">
        <f t="shared" si="280"/>
        <v>0</v>
      </c>
      <c r="AB104" s="4438">
        <f t="shared" si="281"/>
        <v>0</v>
      </c>
      <c r="AC104" s="4438">
        <f t="shared" si="282"/>
        <v>0</v>
      </c>
      <c r="AD104" s="4438">
        <f t="shared" si="289"/>
        <v>0</v>
      </c>
      <c r="AE104" s="4438">
        <f t="shared" si="283"/>
        <v>0</v>
      </c>
      <c r="AF104" s="4438">
        <f t="shared" si="284"/>
        <v>0</v>
      </c>
      <c r="AG104" s="4438">
        <f t="shared" si="285"/>
        <v>0</v>
      </c>
      <c r="AH104" s="4438">
        <f t="shared" si="286"/>
        <v>0</v>
      </c>
      <c r="AI104" s="4438">
        <f t="shared" si="287"/>
        <v>0</v>
      </c>
    </row>
    <row r="105" spans="1:35" s="2009" customFormat="1" ht="24">
      <c r="A105" s="422" t="s">
        <v>1085</v>
      </c>
      <c r="B105" s="1445" t="s">
        <v>1365</v>
      </c>
      <c r="C105" s="307" t="s">
        <v>676</v>
      </c>
      <c r="D105" s="408"/>
      <c r="E105" s="409"/>
      <c r="F105" s="409"/>
      <c r="G105" s="409"/>
      <c r="H105" s="409"/>
      <c r="I105" s="424"/>
      <c r="J105" s="408"/>
      <c r="K105" s="3903"/>
      <c r="L105" s="3903"/>
      <c r="M105" s="3903"/>
      <c r="N105" s="3903"/>
      <c r="O105" s="3905"/>
      <c r="P105" s="4379">
        <f t="shared" si="276"/>
        <v>0</v>
      </c>
      <c r="Q105" s="3795">
        <f t="shared" si="277"/>
        <v>0</v>
      </c>
      <c r="R105" s="3796">
        <f t="shared" si="277"/>
        <v>0</v>
      </c>
      <c r="S105" s="3796">
        <f t="shared" si="277"/>
        <v>0</v>
      </c>
      <c r="T105" s="3796">
        <f t="shared" si="277"/>
        <v>0</v>
      </c>
      <c r="U105" s="3796">
        <f t="shared" si="277"/>
        <v>0</v>
      </c>
      <c r="V105" s="3797">
        <f t="shared" si="277"/>
        <v>0</v>
      </c>
      <c r="W105" s="4422"/>
      <c r="X105" s="4438">
        <f t="shared" si="288"/>
        <v>0</v>
      </c>
      <c r="Y105" s="4438">
        <f t="shared" si="278"/>
        <v>0</v>
      </c>
      <c r="Z105" s="4438">
        <f t="shared" si="279"/>
        <v>0</v>
      </c>
      <c r="AA105" s="4438">
        <f t="shared" si="280"/>
        <v>0</v>
      </c>
      <c r="AB105" s="4438">
        <f t="shared" si="281"/>
        <v>0</v>
      </c>
      <c r="AC105" s="4438">
        <f t="shared" si="282"/>
        <v>0</v>
      </c>
      <c r="AD105" s="4438">
        <f t="shared" si="289"/>
        <v>0</v>
      </c>
      <c r="AE105" s="4438">
        <f t="shared" si="283"/>
        <v>0</v>
      </c>
      <c r="AF105" s="4438">
        <f t="shared" si="284"/>
        <v>0</v>
      </c>
      <c r="AG105" s="4438">
        <f t="shared" si="285"/>
        <v>0</v>
      </c>
      <c r="AH105" s="4438">
        <f t="shared" si="286"/>
        <v>0</v>
      </c>
      <c r="AI105" s="4438">
        <f t="shared" si="287"/>
        <v>0</v>
      </c>
    </row>
    <row r="106" spans="1:35" s="2009" customFormat="1" ht="12.75">
      <c r="A106" s="422" t="s">
        <v>1086</v>
      </c>
      <c r="B106" s="1446" t="s">
        <v>914</v>
      </c>
      <c r="C106" s="307" t="s">
        <v>676</v>
      </c>
      <c r="D106" s="408"/>
      <c r="E106" s="409"/>
      <c r="F106" s="409"/>
      <c r="G106" s="409"/>
      <c r="H106" s="409"/>
      <c r="I106" s="424"/>
      <c r="J106" s="408"/>
      <c r="K106" s="3903"/>
      <c r="L106" s="3903"/>
      <c r="M106" s="3903"/>
      <c r="N106" s="3903"/>
      <c r="O106" s="3905"/>
      <c r="P106" s="4379">
        <f t="shared" si="276"/>
        <v>0</v>
      </c>
      <c r="Q106" s="3795">
        <f t="shared" si="277"/>
        <v>0</v>
      </c>
      <c r="R106" s="3796">
        <f t="shared" si="277"/>
        <v>0</v>
      </c>
      <c r="S106" s="3796">
        <f t="shared" si="277"/>
        <v>0</v>
      </c>
      <c r="T106" s="3796">
        <f t="shared" si="277"/>
        <v>0</v>
      </c>
      <c r="U106" s="3796">
        <f t="shared" si="277"/>
        <v>0</v>
      </c>
      <c r="V106" s="3797">
        <f t="shared" si="277"/>
        <v>0</v>
      </c>
      <c r="W106" s="4422"/>
      <c r="X106" s="4438">
        <f t="shared" si="288"/>
        <v>0</v>
      </c>
      <c r="Y106" s="4438">
        <f t="shared" si="278"/>
        <v>0</v>
      </c>
      <c r="Z106" s="4438">
        <f t="shared" si="279"/>
        <v>0</v>
      </c>
      <c r="AA106" s="4438">
        <f t="shared" si="280"/>
        <v>0</v>
      </c>
      <c r="AB106" s="4438">
        <f t="shared" si="281"/>
        <v>0</v>
      </c>
      <c r="AC106" s="4438">
        <f t="shared" si="282"/>
        <v>0</v>
      </c>
      <c r="AD106" s="4438">
        <f t="shared" si="289"/>
        <v>0</v>
      </c>
      <c r="AE106" s="4438">
        <f t="shared" si="283"/>
        <v>0</v>
      </c>
      <c r="AF106" s="4438">
        <f t="shared" si="284"/>
        <v>0</v>
      </c>
      <c r="AG106" s="4438">
        <f t="shared" si="285"/>
        <v>0</v>
      </c>
      <c r="AH106" s="4438">
        <f t="shared" si="286"/>
        <v>0</v>
      </c>
      <c r="AI106" s="4438">
        <f t="shared" si="287"/>
        <v>0</v>
      </c>
    </row>
    <row r="107" spans="1:35" s="2009" customFormat="1" ht="12.75">
      <c r="A107" s="422" t="s">
        <v>1087</v>
      </c>
      <c r="B107" s="1446" t="s">
        <v>915</v>
      </c>
      <c r="C107" s="307" t="s">
        <v>676</v>
      </c>
      <c r="D107" s="408"/>
      <c r="E107" s="409"/>
      <c r="F107" s="409"/>
      <c r="G107" s="409"/>
      <c r="H107" s="409"/>
      <c r="I107" s="424"/>
      <c r="J107" s="408"/>
      <c r="K107" s="3903"/>
      <c r="L107" s="3903"/>
      <c r="M107" s="3903"/>
      <c r="N107" s="3903"/>
      <c r="O107" s="3905"/>
      <c r="P107" s="4379">
        <f t="shared" si="276"/>
        <v>0</v>
      </c>
      <c r="Q107" s="3795">
        <f t="shared" si="277"/>
        <v>0</v>
      </c>
      <c r="R107" s="3796">
        <f t="shared" si="277"/>
        <v>0</v>
      </c>
      <c r="S107" s="3796">
        <f t="shared" si="277"/>
        <v>0</v>
      </c>
      <c r="T107" s="3796">
        <f t="shared" si="277"/>
        <v>0</v>
      </c>
      <c r="U107" s="3796">
        <f t="shared" si="277"/>
        <v>0</v>
      </c>
      <c r="V107" s="3797">
        <f t="shared" si="277"/>
        <v>0</v>
      </c>
      <c r="W107" s="4422"/>
      <c r="X107" s="4438">
        <f t="shared" si="288"/>
        <v>0</v>
      </c>
      <c r="Y107" s="4438">
        <f t="shared" si="278"/>
        <v>0</v>
      </c>
      <c r="Z107" s="4438">
        <f t="shared" si="279"/>
        <v>0</v>
      </c>
      <c r="AA107" s="4438">
        <f t="shared" si="280"/>
        <v>0</v>
      </c>
      <c r="AB107" s="4438">
        <f t="shared" si="281"/>
        <v>0</v>
      </c>
      <c r="AC107" s="4438">
        <f t="shared" si="282"/>
        <v>0</v>
      </c>
      <c r="AD107" s="4438">
        <f t="shared" si="289"/>
        <v>0</v>
      </c>
      <c r="AE107" s="4438">
        <f t="shared" si="283"/>
        <v>0</v>
      </c>
      <c r="AF107" s="4438">
        <f t="shared" si="284"/>
        <v>0</v>
      </c>
      <c r="AG107" s="4438">
        <f t="shared" si="285"/>
        <v>0</v>
      </c>
      <c r="AH107" s="4438">
        <f t="shared" si="286"/>
        <v>0</v>
      </c>
      <c r="AI107" s="4438">
        <f t="shared" si="287"/>
        <v>0</v>
      </c>
    </row>
    <row r="108" spans="1:35" s="2009" customFormat="1" ht="24">
      <c r="A108" s="425" t="s">
        <v>1088</v>
      </c>
      <c r="B108" s="2024" t="s">
        <v>1366</v>
      </c>
      <c r="C108" s="309" t="s">
        <v>676</v>
      </c>
      <c r="D108" s="408"/>
      <c r="E108" s="409"/>
      <c r="F108" s="409"/>
      <c r="G108" s="409"/>
      <c r="H108" s="409"/>
      <c r="I108" s="424"/>
      <c r="J108" s="408"/>
      <c r="K108" s="3903"/>
      <c r="L108" s="3903"/>
      <c r="M108" s="3903"/>
      <c r="N108" s="3903"/>
      <c r="O108" s="3905"/>
      <c r="P108" s="4379">
        <f t="shared" si="276"/>
        <v>0</v>
      </c>
      <c r="Q108" s="3795">
        <f t="shared" si="277"/>
        <v>0</v>
      </c>
      <c r="R108" s="3796">
        <f t="shared" si="277"/>
        <v>0</v>
      </c>
      <c r="S108" s="3796">
        <f t="shared" si="277"/>
        <v>0</v>
      </c>
      <c r="T108" s="3796">
        <f t="shared" si="277"/>
        <v>0</v>
      </c>
      <c r="U108" s="3796">
        <f t="shared" si="277"/>
        <v>0</v>
      </c>
      <c r="V108" s="3797">
        <f t="shared" si="277"/>
        <v>0</v>
      </c>
      <c r="W108" s="4422"/>
      <c r="X108" s="4438">
        <f t="shared" si="288"/>
        <v>0</v>
      </c>
      <c r="Y108" s="4438">
        <f t="shared" si="278"/>
        <v>0</v>
      </c>
      <c r="Z108" s="4438">
        <f t="shared" si="279"/>
        <v>0</v>
      </c>
      <c r="AA108" s="4438">
        <f t="shared" si="280"/>
        <v>0</v>
      </c>
      <c r="AB108" s="4438">
        <f t="shared" si="281"/>
        <v>0</v>
      </c>
      <c r="AC108" s="4438">
        <f t="shared" si="282"/>
        <v>0</v>
      </c>
      <c r="AD108" s="4438">
        <f t="shared" si="289"/>
        <v>0</v>
      </c>
      <c r="AE108" s="4438">
        <f t="shared" si="283"/>
        <v>0</v>
      </c>
      <c r="AF108" s="4438">
        <f t="shared" si="284"/>
        <v>0</v>
      </c>
      <c r="AG108" s="4438">
        <f t="shared" si="285"/>
        <v>0</v>
      </c>
      <c r="AH108" s="4438">
        <f t="shared" si="286"/>
        <v>0</v>
      </c>
      <c r="AI108" s="4438">
        <f t="shared" si="287"/>
        <v>0</v>
      </c>
    </row>
    <row r="109" spans="1:35" s="2009" customFormat="1" ht="24.75" thickBot="1">
      <c r="A109" s="423" t="s">
        <v>1089</v>
      </c>
      <c r="B109" s="1454" t="s">
        <v>1344</v>
      </c>
      <c r="C109" s="1455" t="s">
        <v>313</v>
      </c>
      <c r="D109" s="2025"/>
      <c r="E109" s="2026"/>
      <c r="F109" s="2026"/>
      <c r="G109" s="2026"/>
      <c r="H109" s="2026"/>
      <c r="I109" s="2027"/>
      <c r="J109" s="408"/>
      <c r="K109" s="3903"/>
      <c r="L109" s="3903"/>
      <c r="M109" s="3903"/>
      <c r="N109" s="3903"/>
      <c r="O109" s="3905"/>
      <c r="P109" s="4383">
        <f t="shared" si="276"/>
        <v>0</v>
      </c>
      <c r="Q109" s="2025"/>
      <c r="R109" s="2026"/>
      <c r="S109" s="2026"/>
      <c r="T109" s="2026"/>
      <c r="U109" s="2026"/>
      <c r="V109" s="2027"/>
      <c r="W109" s="4422"/>
      <c r="X109" s="4438">
        <f t="shared" si="288"/>
        <v>0</v>
      </c>
      <c r="Y109" s="4438">
        <f t="shared" si="278"/>
        <v>0</v>
      </c>
      <c r="Z109" s="4438">
        <f t="shared" si="279"/>
        <v>0</v>
      </c>
      <c r="AA109" s="4438">
        <f t="shared" si="280"/>
        <v>0</v>
      </c>
      <c r="AB109" s="4438">
        <f t="shared" si="281"/>
        <v>0</v>
      </c>
      <c r="AC109" s="4438">
        <f t="shared" si="282"/>
        <v>0</v>
      </c>
      <c r="AD109" s="2021"/>
      <c r="AE109" s="2021"/>
      <c r="AF109" s="2021"/>
      <c r="AG109" s="2021"/>
      <c r="AH109" s="2021"/>
      <c r="AI109" s="2021"/>
    </row>
    <row r="110" spans="1:35" s="2009" customFormat="1" ht="24.75" thickBot="1">
      <c r="A110" s="1319"/>
      <c r="B110" s="1447" t="s">
        <v>1090</v>
      </c>
      <c r="C110" s="1461"/>
      <c r="D110" s="313">
        <f>SUM(D96:D109)</f>
        <v>0</v>
      </c>
      <c r="E110" s="314">
        <f t="shared" ref="E110:O110" si="290">SUM(E96:E109)</f>
        <v>0</v>
      </c>
      <c r="F110" s="314">
        <f t="shared" si="290"/>
        <v>0</v>
      </c>
      <c r="G110" s="314">
        <f t="shared" si="290"/>
        <v>0</v>
      </c>
      <c r="H110" s="314">
        <f t="shared" si="290"/>
        <v>0</v>
      </c>
      <c r="I110" s="929">
        <f t="shared" si="290"/>
        <v>0</v>
      </c>
      <c r="J110" s="313">
        <f t="shared" si="290"/>
        <v>0</v>
      </c>
      <c r="K110" s="314">
        <f t="shared" si="290"/>
        <v>0</v>
      </c>
      <c r="L110" s="314">
        <f t="shared" si="290"/>
        <v>0</v>
      </c>
      <c r="M110" s="314">
        <f t="shared" si="290"/>
        <v>0</v>
      </c>
      <c r="N110" s="314">
        <f t="shared" si="290"/>
        <v>0</v>
      </c>
      <c r="O110" s="407">
        <f t="shared" si="290"/>
        <v>0</v>
      </c>
      <c r="P110" s="4199">
        <f t="shared" si="276"/>
        <v>0</v>
      </c>
      <c r="Q110" s="3617"/>
      <c r="R110" s="3618"/>
      <c r="S110" s="3618"/>
      <c r="T110" s="3618"/>
      <c r="U110" s="3618"/>
      <c r="V110" s="3619"/>
      <c r="W110" s="4422"/>
      <c r="X110" s="4438">
        <f t="shared" si="288"/>
        <v>0</v>
      </c>
      <c r="Y110" s="4438">
        <f t="shared" si="278"/>
        <v>0</v>
      </c>
      <c r="Z110" s="4438">
        <f t="shared" si="279"/>
        <v>0</v>
      </c>
      <c r="AA110" s="4438">
        <f t="shared" si="280"/>
        <v>0</v>
      </c>
      <c r="AB110" s="4438">
        <f t="shared" si="281"/>
        <v>0</v>
      </c>
      <c r="AC110" s="4438">
        <f t="shared" si="282"/>
        <v>0</v>
      </c>
      <c r="AD110" s="2021"/>
      <c r="AE110" s="2021"/>
      <c r="AF110" s="2021"/>
      <c r="AG110" s="2021"/>
      <c r="AH110" s="2021"/>
      <c r="AI110" s="2021"/>
    </row>
    <row r="111" spans="1:35" s="2009" customFormat="1" ht="13.5" thickBot="1">
      <c r="A111" s="3596"/>
      <c r="B111" s="3597" t="s">
        <v>1428</v>
      </c>
      <c r="C111" s="3637" t="s">
        <v>170</v>
      </c>
      <c r="D111" s="3598"/>
      <c r="E111" s="3599">
        <f>IFERROR((E110-D110)/D110,0)</f>
        <v>0</v>
      </c>
      <c r="F111" s="3599">
        <f>IFERROR((F110-E110)/E110,0)</f>
        <v>0</v>
      </c>
      <c r="G111" s="3599">
        <f>IFERROR((G110-F110)/F110,0)</f>
        <v>0</v>
      </c>
      <c r="H111" s="3599">
        <f>IFERROR((H110-G110)/G110,0)</f>
        <v>0</v>
      </c>
      <c r="I111" s="3600">
        <f>IFERROR((I110-H110)/H110,0)</f>
        <v>0</v>
      </c>
      <c r="J111" s="3601"/>
      <c r="K111" s="3599">
        <f>IFERROR((K110-J110)/J110,0)</f>
        <v>0</v>
      </c>
      <c r="L111" s="3599">
        <f>IFERROR((L110-K110)/K110,0)</f>
        <v>0</v>
      </c>
      <c r="M111" s="3599">
        <f>IFERROR((M110-L110)/L110,0)</f>
        <v>0</v>
      </c>
      <c r="N111" s="3599">
        <f>IFERROR((N110-M110)/M110,0)</f>
        <v>0</v>
      </c>
      <c r="O111" s="3599">
        <f>IFERROR((O110-N110)/N110,0)</f>
        <v>0</v>
      </c>
      <c r="P111" s="4026"/>
      <c r="Q111" s="3602"/>
      <c r="R111" s="3603"/>
      <c r="S111" s="3603"/>
      <c r="T111" s="3603"/>
      <c r="U111" s="3603"/>
      <c r="V111" s="3604"/>
      <c r="W111" s="4422"/>
      <c r="X111" s="2021"/>
      <c r="Y111" s="2021"/>
      <c r="Z111" s="2021"/>
      <c r="AA111" s="2021"/>
      <c r="AB111" s="2021"/>
      <c r="AC111" s="2021"/>
      <c r="AD111" s="2021"/>
      <c r="AE111" s="2021"/>
      <c r="AF111" s="2021"/>
      <c r="AG111" s="2021"/>
      <c r="AH111" s="2021"/>
      <c r="AI111" s="2021"/>
    </row>
    <row r="112" spans="1:35" s="2009" customFormat="1" ht="13.5" customHeight="1" thickBot="1">
      <c r="A112" s="3620" t="s">
        <v>1091</v>
      </c>
      <c r="B112" s="419"/>
      <c r="C112" s="419"/>
      <c r="D112" s="419"/>
      <c r="E112" s="419"/>
      <c r="F112" s="419"/>
      <c r="G112" s="419"/>
      <c r="H112" s="419"/>
      <c r="I112" s="419"/>
      <c r="J112" s="419"/>
      <c r="K112" s="419"/>
      <c r="L112" s="419"/>
      <c r="M112" s="419"/>
      <c r="N112" s="419"/>
      <c r="O112" s="419"/>
      <c r="P112" s="419"/>
      <c r="Q112" s="419"/>
      <c r="R112" s="419"/>
      <c r="S112" s="419"/>
      <c r="T112" s="419"/>
      <c r="U112" s="419"/>
      <c r="V112" s="420"/>
      <c r="W112" s="4422"/>
      <c r="X112" s="2021"/>
      <c r="Y112" s="2021"/>
      <c r="Z112" s="2021"/>
      <c r="AA112" s="2021"/>
      <c r="AB112" s="2021"/>
      <c r="AC112" s="2021"/>
      <c r="AD112" s="2021"/>
      <c r="AE112" s="2021"/>
      <c r="AF112" s="2021"/>
      <c r="AG112" s="2021"/>
      <c r="AH112" s="2021"/>
      <c r="AI112" s="2021"/>
    </row>
    <row r="113" spans="1:35" s="2009" customFormat="1" ht="12.75">
      <c r="A113" s="1320"/>
      <c r="B113" s="1449" t="s">
        <v>1068</v>
      </c>
      <c r="C113" s="1450"/>
      <c r="D113" s="3608"/>
      <c r="E113" s="2030"/>
      <c r="F113" s="2030"/>
      <c r="G113" s="2030"/>
      <c r="H113" s="2030"/>
      <c r="I113" s="3623"/>
      <c r="J113" s="430"/>
      <c r="K113" s="431"/>
      <c r="L113" s="431"/>
      <c r="M113" s="431"/>
      <c r="N113" s="431"/>
      <c r="O113" s="432"/>
      <c r="P113" s="4381">
        <f>IFERROR((K113-J113)/J113,0)</f>
        <v>0</v>
      </c>
      <c r="Q113" s="3608"/>
      <c r="R113" s="2030"/>
      <c r="S113" s="2030"/>
      <c r="T113" s="2030"/>
      <c r="U113" s="2030"/>
      <c r="V113" s="2031"/>
      <c r="W113" s="4422"/>
      <c r="X113" s="4438">
        <f t="shared" ref="X113" si="291">IFERROR(J113/$C$1,0)</f>
        <v>0</v>
      </c>
      <c r="Y113" s="4438">
        <f t="shared" ref="Y113" si="292">IFERROR(K113/$C$1,0)</f>
        <v>0</v>
      </c>
      <c r="Z113" s="4438">
        <f t="shared" ref="Z113" si="293">IFERROR(L113/$C$1,0)</f>
        <v>0</v>
      </c>
      <c r="AA113" s="4438">
        <f t="shared" ref="AA113" si="294">IFERROR(M113/$C$1,0)</f>
        <v>0</v>
      </c>
      <c r="AB113" s="4438">
        <f t="shared" ref="AB113" si="295">IFERROR(N113/$C$1,0)</f>
        <v>0</v>
      </c>
      <c r="AC113" s="4438">
        <f t="shared" ref="AC113" si="296">IFERROR(O113/$C$1,0)</f>
        <v>0</v>
      </c>
      <c r="AD113" s="2021"/>
      <c r="AE113" s="2021"/>
      <c r="AF113" s="2021"/>
      <c r="AG113" s="2021"/>
      <c r="AH113" s="2021"/>
      <c r="AI113" s="2021"/>
    </row>
    <row r="114" spans="1:35" s="2009" customFormat="1" ht="12.75">
      <c r="A114" s="1322"/>
      <c r="B114" s="3609" t="s">
        <v>1428</v>
      </c>
      <c r="C114" s="3637" t="s">
        <v>170</v>
      </c>
      <c r="D114" s="3041"/>
      <c r="E114" s="1969"/>
      <c r="F114" s="1969"/>
      <c r="G114" s="1969"/>
      <c r="H114" s="1969"/>
      <c r="I114" s="3050"/>
      <c r="J114" s="3906"/>
      <c r="K114" s="3610">
        <f>IFERROR((K113-J113)/J113,0)</f>
        <v>0</v>
      </c>
      <c r="L114" s="3610">
        <f>IFERROR((L113-K113)/K113,0)</f>
        <v>0</v>
      </c>
      <c r="M114" s="3610">
        <f>IFERROR((M113-L113)/L113,0)</f>
        <v>0</v>
      </c>
      <c r="N114" s="3610">
        <f>IFERROR((N113-M113)/M113,0)</f>
        <v>0</v>
      </c>
      <c r="O114" s="3611">
        <f>IFERROR((O113-N113)/N113,0)</f>
        <v>0</v>
      </c>
      <c r="P114" s="4200"/>
      <c r="Q114" s="3041"/>
      <c r="R114" s="1969"/>
      <c r="S114" s="1969"/>
      <c r="T114" s="1969"/>
      <c r="U114" s="1969"/>
      <c r="V114" s="2033"/>
      <c r="W114" s="4422"/>
      <c r="X114" s="2021"/>
      <c r="Y114" s="2021"/>
      <c r="Z114" s="2021"/>
      <c r="AA114" s="2021"/>
      <c r="AB114" s="2021"/>
      <c r="AC114" s="2021"/>
      <c r="AD114" s="2021"/>
      <c r="AE114" s="2021"/>
      <c r="AF114" s="2021"/>
      <c r="AG114" s="2021"/>
      <c r="AH114" s="2021"/>
      <c r="AI114" s="2021"/>
    </row>
    <row r="115" spans="1:35" s="2009" customFormat="1" ht="12.75">
      <c r="A115" s="1321"/>
      <c r="B115" s="1451" t="s">
        <v>642</v>
      </c>
      <c r="C115" s="1452"/>
      <c r="D115" s="3041"/>
      <c r="E115" s="1969"/>
      <c r="F115" s="1969"/>
      <c r="G115" s="1969"/>
      <c r="H115" s="1969"/>
      <c r="I115" s="3050"/>
      <c r="J115" s="433"/>
      <c r="K115" s="415"/>
      <c r="L115" s="415"/>
      <c r="M115" s="415"/>
      <c r="N115" s="415"/>
      <c r="O115" s="416"/>
      <c r="P115" s="4382">
        <f>IFERROR((K115-J115)/J115,0)</f>
        <v>0</v>
      </c>
      <c r="Q115" s="3041"/>
      <c r="R115" s="1969"/>
      <c r="S115" s="1969"/>
      <c r="T115" s="1969"/>
      <c r="U115" s="1969"/>
      <c r="V115" s="2033"/>
      <c r="W115" s="4422"/>
      <c r="X115" s="4438">
        <f t="shared" ref="X115" si="297">IFERROR(J115/$C$1,0)</f>
        <v>0</v>
      </c>
      <c r="Y115" s="4438">
        <f t="shared" ref="Y115" si="298">IFERROR(K115/$C$1,0)</f>
        <v>0</v>
      </c>
      <c r="Z115" s="4438">
        <f t="shared" ref="Z115" si="299">IFERROR(L115/$C$1,0)</f>
        <v>0</v>
      </c>
      <c r="AA115" s="4438">
        <f t="shared" ref="AA115" si="300">IFERROR(M115/$C$1,0)</f>
        <v>0</v>
      </c>
      <c r="AB115" s="4438">
        <f t="shared" ref="AB115" si="301">IFERROR(N115/$C$1,0)</f>
        <v>0</v>
      </c>
      <c r="AC115" s="4438">
        <f t="shared" ref="AC115" si="302">IFERROR(O115/$C$1,0)</f>
        <v>0</v>
      </c>
      <c r="AD115" s="2021"/>
      <c r="AE115" s="2021"/>
      <c r="AF115" s="2021"/>
      <c r="AG115" s="2021"/>
      <c r="AH115" s="2021"/>
      <c r="AI115" s="2021"/>
    </row>
    <row r="116" spans="1:35" s="2009" customFormat="1" ht="12.75">
      <c r="A116" s="1321"/>
      <c r="B116" s="3609" t="s">
        <v>1428</v>
      </c>
      <c r="C116" s="3637" t="s">
        <v>170</v>
      </c>
      <c r="D116" s="3041"/>
      <c r="E116" s="1969"/>
      <c r="F116" s="1969"/>
      <c r="G116" s="1969"/>
      <c r="H116" s="1969"/>
      <c r="I116" s="3050"/>
      <c r="J116" s="3614"/>
      <c r="K116" s="3610">
        <f>IFERROR((K115-J115)/J115,0)</f>
        <v>0</v>
      </c>
      <c r="L116" s="3610">
        <f>IFERROR((L115-K115)/K115,0)</f>
        <v>0</v>
      </c>
      <c r="M116" s="3610">
        <f>IFERROR((M115-L115)/L115,0)</f>
        <v>0</v>
      </c>
      <c r="N116" s="3610">
        <f>IFERROR((N115-M115)/M115,0)</f>
        <v>0</v>
      </c>
      <c r="O116" s="3611">
        <f>IFERROR((O115-N115)/N115,0)</f>
        <v>0</v>
      </c>
      <c r="P116" s="4200"/>
      <c r="Q116" s="3041"/>
      <c r="R116" s="1969"/>
      <c r="S116" s="1969"/>
      <c r="T116" s="1969"/>
      <c r="U116" s="1969"/>
      <c r="V116" s="2033"/>
      <c r="W116" s="4422"/>
      <c r="X116" s="2021"/>
      <c r="Y116" s="2021"/>
      <c r="Z116" s="2021"/>
      <c r="AA116" s="2021"/>
      <c r="AB116" s="2021"/>
      <c r="AC116" s="2021"/>
      <c r="AD116" s="2021"/>
      <c r="AE116" s="2021"/>
      <c r="AF116" s="2021"/>
      <c r="AG116" s="2021"/>
      <c r="AH116" s="2021"/>
      <c r="AI116" s="2021"/>
    </row>
    <row r="117" spans="1:35" s="2009" customFormat="1" ht="12.75">
      <c r="A117" s="1321"/>
      <c r="B117" s="1451" t="s">
        <v>641</v>
      </c>
      <c r="C117" s="1452"/>
      <c r="D117" s="3041"/>
      <c r="E117" s="1969"/>
      <c r="F117" s="1969"/>
      <c r="G117" s="1969"/>
      <c r="H117" s="1969"/>
      <c r="I117" s="3050"/>
      <c r="J117" s="433"/>
      <c r="K117" s="415"/>
      <c r="L117" s="415"/>
      <c r="M117" s="415"/>
      <c r="N117" s="415"/>
      <c r="O117" s="416"/>
      <c r="P117" s="4382">
        <f>IFERROR((K117-J117)/J117,0)</f>
        <v>0</v>
      </c>
      <c r="Q117" s="3041"/>
      <c r="R117" s="1969"/>
      <c r="S117" s="1969"/>
      <c r="T117" s="1969"/>
      <c r="U117" s="1969"/>
      <c r="V117" s="2033"/>
      <c r="W117" s="4422"/>
      <c r="X117" s="4438">
        <f t="shared" ref="X117" si="303">IFERROR(J117/$C$1,0)</f>
        <v>0</v>
      </c>
      <c r="Y117" s="4438">
        <f t="shared" ref="Y117" si="304">IFERROR(K117/$C$1,0)</f>
        <v>0</v>
      </c>
      <c r="Z117" s="4438">
        <f t="shared" ref="Z117" si="305">IFERROR(L117/$C$1,0)</f>
        <v>0</v>
      </c>
      <c r="AA117" s="4438">
        <f t="shared" ref="AA117" si="306">IFERROR(M117/$C$1,0)</f>
        <v>0</v>
      </c>
      <c r="AB117" s="4438">
        <f t="shared" ref="AB117" si="307">IFERROR(N117/$C$1,0)</f>
        <v>0</v>
      </c>
      <c r="AC117" s="4438">
        <f t="shared" ref="AC117" si="308">IFERROR(O117/$C$1,0)</f>
        <v>0</v>
      </c>
      <c r="AD117" s="2021"/>
      <c r="AE117" s="2021"/>
      <c r="AF117" s="2021"/>
      <c r="AG117" s="2021"/>
      <c r="AH117" s="2021"/>
      <c r="AI117" s="2021"/>
    </row>
    <row r="118" spans="1:35" s="2009" customFormat="1" ht="12.75">
      <c r="A118" s="1321"/>
      <c r="B118" s="3609" t="s">
        <v>1431</v>
      </c>
      <c r="C118" s="3637" t="s">
        <v>170</v>
      </c>
      <c r="D118" s="3041"/>
      <c r="E118" s="1969"/>
      <c r="F118" s="1969"/>
      <c r="G118" s="1969"/>
      <c r="H118" s="1969"/>
      <c r="I118" s="3050"/>
      <c r="J118" s="3614"/>
      <c r="K118" s="3610">
        <f>IFERROR((K117-J117)/J117,0)</f>
        <v>0</v>
      </c>
      <c r="L118" s="3610">
        <f>IFERROR((L117-K117)/K117,0)</f>
        <v>0</v>
      </c>
      <c r="M118" s="3610">
        <f>IFERROR((M117-L117)/L117,0)</f>
        <v>0</v>
      </c>
      <c r="N118" s="3610">
        <f>IFERROR((N117-M117)/M117,0)</f>
        <v>0</v>
      </c>
      <c r="O118" s="3611">
        <f>IFERROR((O117-N117)/N117,0)</f>
        <v>0</v>
      </c>
      <c r="P118" s="4200"/>
      <c r="Q118" s="3041"/>
      <c r="R118" s="1969"/>
      <c r="S118" s="1969"/>
      <c r="T118" s="1969"/>
      <c r="U118" s="1969"/>
      <c r="V118" s="2033"/>
      <c r="W118" s="4422"/>
      <c r="X118" s="2021"/>
      <c r="Y118" s="2021"/>
      <c r="Z118" s="2021"/>
      <c r="AA118" s="2021"/>
      <c r="AB118" s="2021"/>
      <c r="AC118" s="2021"/>
      <c r="AD118" s="2021"/>
      <c r="AE118" s="2021"/>
      <c r="AF118" s="2021"/>
      <c r="AG118" s="2021"/>
      <c r="AH118" s="2021"/>
      <c r="AI118" s="2021"/>
    </row>
    <row r="119" spans="1:35" s="2009" customFormat="1" ht="12.75">
      <c r="A119" s="1321"/>
      <c r="B119" s="1451" t="s">
        <v>640</v>
      </c>
      <c r="C119" s="1452"/>
      <c r="D119" s="3041"/>
      <c r="E119" s="1969"/>
      <c r="F119" s="1969"/>
      <c r="G119" s="1969"/>
      <c r="H119" s="1969"/>
      <c r="I119" s="3050"/>
      <c r="J119" s="433"/>
      <c r="K119" s="415"/>
      <c r="L119" s="415"/>
      <c r="M119" s="415"/>
      <c r="N119" s="415"/>
      <c r="O119" s="416"/>
      <c r="P119" s="4382">
        <f>IFERROR((K119-J119)/J119,0)</f>
        <v>0</v>
      </c>
      <c r="Q119" s="3041"/>
      <c r="R119" s="1969"/>
      <c r="S119" s="1969"/>
      <c r="T119" s="1969"/>
      <c r="U119" s="1969"/>
      <c r="V119" s="2033"/>
      <c r="W119" s="4422"/>
      <c r="X119" s="4438">
        <f t="shared" ref="X119" si="309">IFERROR(J119/$C$1,0)</f>
        <v>0</v>
      </c>
      <c r="Y119" s="4438">
        <f t="shared" ref="Y119" si="310">IFERROR(K119/$C$1,0)</f>
        <v>0</v>
      </c>
      <c r="Z119" s="4438">
        <f t="shared" ref="Z119" si="311">IFERROR(L119/$C$1,0)</f>
        <v>0</v>
      </c>
      <c r="AA119" s="4438">
        <f t="shared" ref="AA119" si="312">IFERROR(M119/$C$1,0)</f>
        <v>0</v>
      </c>
      <c r="AB119" s="4438">
        <f t="shared" ref="AB119" si="313">IFERROR(N119/$C$1,0)</f>
        <v>0</v>
      </c>
      <c r="AC119" s="4438">
        <f t="shared" ref="AC119" si="314">IFERROR(O119/$C$1,0)</f>
        <v>0</v>
      </c>
      <c r="AD119" s="2021"/>
      <c r="AE119" s="2021"/>
      <c r="AF119" s="2021"/>
      <c r="AG119" s="2021"/>
      <c r="AH119" s="2021"/>
      <c r="AI119" s="2021"/>
    </row>
    <row r="120" spans="1:35" s="2009" customFormat="1" ht="12.75">
      <c r="A120" s="1321"/>
      <c r="B120" s="3609" t="s">
        <v>1428</v>
      </c>
      <c r="C120" s="3637" t="s">
        <v>170</v>
      </c>
      <c r="D120" s="3041"/>
      <c r="E120" s="1969"/>
      <c r="F120" s="1969"/>
      <c r="G120" s="1969"/>
      <c r="H120" s="1969"/>
      <c r="I120" s="3050"/>
      <c r="J120" s="3907"/>
      <c r="K120" s="3610">
        <f>IFERROR((K119-J119)/J119,0)</f>
        <v>0</v>
      </c>
      <c r="L120" s="3610">
        <f>IFERROR((L119-K119)/K119,0)</f>
        <v>0</v>
      </c>
      <c r="M120" s="3610">
        <f>IFERROR((M119-L119)/L119,0)</f>
        <v>0</v>
      </c>
      <c r="N120" s="3610">
        <f>IFERROR((N119-M119)/M119,0)</f>
        <v>0</v>
      </c>
      <c r="O120" s="3611">
        <f>IFERROR((O119-N119)/N119,0)</f>
        <v>0</v>
      </c>
      <c r="P120" s="4200"/>
      <c r="Q120" s="3041"/>
      <c r="R120" s="1969"/>
      <c r="S120" s="1969"/>
      <c r="T120" s="1969"/>
      <c r="U120" s="1969"/>
      <c r="V120" s="2033"/>
      <c r="W120" s="4422"/>
      <c r="X120" s="2021"/>
      <c r="Y120" s="2021"/>
      <c r="Z120" s="2021"/>
      <c r="AA120" s="2021"/>
      <c r="AB120" s="2021"/>
      <c r="AC120" s="2021"/>
      <c r="AD120" s="2021"/>
      <c r="AE120" s="2021"/>
      <c r="AF120" s="2021"/>
      <c r="AG120" s="2021"/>
      <c r="AH120" s="2021"/>
      <c r="AI120" s="2021"/>
    </row>
    <row r="121" spans="1:35" s="2009" customFormat="1" ht="12.75">
      <c r="A121" s="1321"/>
      <c r="B121" s="1451" t="s">
        <v>639</v>
      </c>
      <c r="C121" s="1452"/>
      <c r="D121" s="3041"/>
      <c r="E121" s="1969"/>
      <c r="F121" s="1969"/>
      <c r="G121" s="1969"/>
      <c r="H121" s="1969"/>
      <c r="I121" s="3050"/>
      <c r="J121" s="925"/>
      <c r="K121" s="417"/>
      <c r="L121" s="417"/>
      <c r="M121" s="417"/>
      <c r="N121" s="417"/>
      <c r="O121" s="418"/>
      <c r="P121" s="4201">
        <f>IFERROR((K121-J121)/J121,0)</f>
        <v>0</v>
      </c>
      <c r="Q121" s="3041"/>
      <c r="R121" s="1969"/>
      <c r="S121" s="1969"/>
      <c r="T121" s="1969"/>
      <c r="U121" s="1969"/>
      <c r="V121" s="2033"/>
      <c r="W121" s="4422"/>
      <c r="X121" s="4438">
        <f t="shared" ref="X121" si="315">IFERROR(J121/$C$1,0)</f>
        <v>0</v>
      </c>
      <c r="Y121" s="4438">
        <f t="shared" ref="Y121" si="316">IFERROR(K121/$C$1,0)</f>
        <v>0</v>
      </c>
      <c r="Z121" s="4438">
        <f t="shared" ref="Z121" si="317">IFERROR(L121/$C$1,0)</f>
        <v>0</v>
      </c>
      <c r="AA121" s="4438">
        <f t="shared" ref="AA121" si="318">IFERROR(M121/$C$1,0)</f>
        <v>0</v>
      </c>
      <c r="AB121" s="4438">
        <f t="shared" ref="AB121" si="319">IFERROR(N121/$C$1,0)</f>
        <v>0</v>
      </c>
      <c r="AC121" s="4438">
        <f t="shared" ref="AC121" si="320">IFERROR(O121/$C$1,0)</f>
        <v>0</v>
      </c>
      <c r="AD121" s="2021"/>
      <c r="AE121" s="2021"/>
      <c r="AF121" s="2021"/>
      <c r="AG121" s="2021"/>
      <c r="AH121" s="2021"/>
      <c r="AI121" s="2021"/>
    </row>
    <row r="122" spans="1:35" s="2009" customFormat="1" ht="12.75">
      <c r="A122" s="1323"/>
      <c r="B122" s="3609" t="s">
        <v>1428</v>
      </c>
      <c r="C122" s="3637" t="s">
        <v>170</v>
      </c>
      <c r="D122" s="3041"/>
      <c r="E122" s="1969"/>
      <c r="F122" s="1969"/>
      <c r="G122" s="1969"/>
      <c r="H122" s="1969"/>
      <c r="I122" s="3050"/>
      <c r="J122" s="3907"/>
      <c r="K122" s="3610">
        <f>IFERROR((K121-J121)/J121,0)</f>
        <v>0</v>
      </c>
      <c r="L122" s="3610">
        <f>IFERROR((L121-K121)/K121,0)</f>
        <v>0</v>
      </c>
      <c r="M122" s="3610">
        <f>IFERROR((M121-L121)/L121,0)</f>
        <v>0</v>
      </c>
      <c r="N122" s="3610">
        <f>IFERROR((N121-M121)/M121,0)</f>
        <v>0</v>
      </c>
      <c r="O122" s="3611">
        <f>IFERROR((O121-N121)/N121,0)</f>
        <v>0</v>
      </c>
      <c r="P122" s="4200"/>
      <c r="Q122" s="3041"/>
      <c r="R122" s="1969"/>
      <c r="S122" s="1969"/>
      <c r="T122" s="1969"/>
      <c r="U122" s="1969"/>
      <c r="V122" s="2033"/>
      <c r="W122" s="4422"/>
      <c r="X122" s="2021"/>
      <c r="Y122" s="2021"/>
      <c r="Z122" s="2021"/>
      <c r="AA122" s="2021"/>
      <c r="AB122" s="2021"/>
      <c r="AC122" s="2021"/>
      <c r="AD122" s="2021"/>
      <c r="AE122" s="2021"/>
      <c r="AF122" s="2021"/>
      <c r="AG122" s="2021"/>
      <c r="AH122" s="2021"/>
      <c r="AI122" s="2021"/>
    </row>
    <row r="123" spans="1:35" s="2009" customFormat="1" ht="24">
      <c r="A123" s="1321"/>
      <c r="B123" s="1485" t="s">
        <v>638</v>
      </c>
      <c r="C123" s="1452"/>
      <c r="D123" s="3041"/>
      <c r="E123" s="1969"/>
      <c r="F123" s="1969"/>
      <c r="G123" s="1969"/>
      <c r="H123" s="1969"/>
      <c r="I123" s="3050"/>
      <c r="J123" s="3650">
        <f>J110-J113-J115-J117-J119-J121</f>
        <v>0</v>
      </c>
      <c r="K123" s="3626">
        <f>K110-K113-K115-K117-K119-K121</f>
        <v>0</v>
      </c>
      <c r="L123" s="3626">
        <f t="shared" ref="L123:O123" si="321">L110-L113-L115-L117-L119-L121</f>
        <v>0</v>
      </c>
      <c r="M123" s="3626">
        <f t="shared" si="321"/>
        <v>0</v>
      </c>
      <c r="N123" s="3626">
        <f t="shared" si="321"/>
        <v>0</v>
      </c>
      <c r="O123" s="3639">
        <f t="shared" si="321"/>
        <v>0</v>
      </c>
      <c r="P123" s="4201">
        <f>IFERROR((K123-J123)/J123,0)</f>
        <v>0</v>
      </c>
      <c r="Q123" s="3041"/>
      <c r="R123" s="1969"/>
      <c r="S123" s="1969"/>
      <c r="T123" s="1969"/>
      <c r="U123" s="1969"/>
      <c r="V123" s="2033"/>
      <c r="W123" s="4422"/>
      <c r="X123" s="4438">
        <f t="shared" ref="X123" si="322">IFERROR(J123/$C$1,0)</f>
        <v>0</v>
      </c>
      <c r="Y123" s="4438">
        <f t="shared" ref="Y123" si="323">IFERROR(K123/$C$1,0)</f>
        <v>0</v>
      </c>
      <c r="Z123" s="4438">
        <f t="shared" ref="Z123" si="324">IFERROR(L123/$C$1,0)</f>
        <v>0</v>
      </c>
      <c r="AA123" s="4438">
        <f t="shared" ref="AA123" si="325">IFERROR(M123/$C$1,0)</f>
        <v>0</v>
      </c>
      <c r="AB123" s="4438">
        <f t="shared" ref="AB123" si="326">IFERROR(N123/$C$1,0)</f>
        <v>0</v>
      </c>
      <c r="AC123" s="4438">
        <f t="shared" ref="AC123" si="327">IFERROR(O123/$C$1,0)</f>
        <v>0</v>
      </c>
      <c r="AD123" s="2021"/>
      <c r="AE123" s="2021"/>
      <c r="AF123" s="2021"/>
      <c r="AG123" s="2021"/>
      <c r="AH123" s="2021"/>
      <c r="AI123" s="2021"/>
    </row>
    <row r="124" spans="1:35" s="2009" customFormat="1" ht="13.5" thickBot="1">
      <c r="A124" s="4399"/>
      <c r="B124" s="4394" t="s">
        <v>1428</v>
      </c>
      <c r="C124" s="4403" t="s">
        <v>170</v>
      </c>
      <c r="D124" s="3627"/>
      <c r="E124" s="2035"/>
      <c r="F124" s="2035"/>
      <c r="G124" s="2035"/>
      <c r="H124" s="2035"/>
      <c r="I124" s="3628"/>
      <c r="J124" s="3649"/>
      <c r="K124" s="4396">
        <f>IFERROR((K123-J123)/J123,0)</f>
        <v>0</v>
      </c>
      <c r="L124" s="4396">
        <f>IFERROR((L123-K123)/K123,0)</f>
        <v>0</v>
      </c>
      <c r="M124" s="4396">
        <f>IFERROR((M123-L123)/L123,0)</f>
        <v>0</v>
      </c>
      <c r="N124" s="4396">
        <f>IFERROR((N123-M123)/M123,0)</f>
        <v>0</v>
      </c>
      <c r="O124" s="4404">
        <f>IFERROR((O123-N123)/N123,0)</f>
        <v>0</v>
      </c>
      <c r="P124" s="4402"/>
      <c r="Q124" s="3627"/>
      <c r="R124" s="2035"/>
      <c r="S124" s="2035"/>
      <c r="T124" s="2035"/>
      <c r="U124" s="2035"/>
      <c r="V124" s="2036"/>
      <c r="W124" s="4422"/>
    </row>
    <row r="125" spans="1:35" s="2009" customFormat="1" ht="13.5" customHeight="1" thickBot="1">
      <c r="A125" s="5080"/>
      <c r="B125" s="5081"/>
      <c r="C125" s="5081"/>
      <c r="D125" s="5081"/>
      <c r="E125" s="5081"/>
      <c r="F125" s="5081"/>
      <c r="G125" s="5081"/>
      <c r="H125" s="5081"/>
      <c r="I125" s="5081"/>
      <c r="J125" s="5081"/>
      <c r="K125" s="5081"/>
      <c r="L125" s="5081"/>
      <c r="M125" s="5081"/>
      <c r="N125" s="5081"/>
      <c r="O125" s="5081"/>
      <c r="P125" s="5081"/>
      <c r="Q125" s="5081"/>
      <c r="R125" s="5081"/>
      <c r="S125" s="5081"/>
      <c r="T125" s="5081"/>
      <c r="U125" s="5081"/>
      <c r="V125" s="5082"/>
      <c r="W125" s="4422"/>
    </row>
    <row r="126" spans="1:35" s="2009" customFormat="1" ht="21.75" customHeight="1" thickBot="1">
      <c r="A126" s="1465">
        <v>5</v>
      </c>
      <c r="B126" s="3629" t="s">
        <v>1092</v>
      </c>
      <c r="C126" s="5069"/>
      <c r="D126" s="5069"/>
      <c r="E126" s="5069"/>
      <c r="F126" s="5069"/>
      <c r="G126" s="5069"/>
      <c r="H126" s="5069"/>
      <c r="I126" s="5069"/>
      <c r="J126" s="5070"/>
      <c r="K126" s="5070"/>
      <c r="L126" s="5070"/>
      <c r="M126" s="5070"/>
      <c r="N126" s="5070"/>
      <c r="O126" s="5070"/>
      <c r="P126" s="5070"/>
      <c r="Q126" s="5069"/>
      <c r="R126" s="5069"/>
      <c r="S126" s="5069"/>
      <c r="T126" s="5069"/>
      <c r="U126" s="5069"/>
      <c r="V126" s="5071"/>
      <c r="W126" s="4422"/>
    </row>
    <row r="127" spans="1:35" s="2009" customFormat="1" ht="12.75">
      <c r="A127" s="421" t="s">
        <v>568</v>
      </c>
      <c r="B127" s="1463" t="s">
        <v>464</v>
      </c>
      <c r="C127" s="307" t="s">
        <v>313</v>
      </c>
      <c r="D127" s="2029"/>
      <c r="E127" s="2030"/>
      <c r="F127" s="2030"/>
      <c r="G127" s="2030"/>
      <c r="H127" s="2030"/>
      <c r="I127" s="2031"/>
      <c r="J127" s="427"/>
      <c r="K127" s="3903"/>
      <c r="L127" s="3903"/>
      <c r="M127" s="3903"/>
      <c r="N127" s="3903"/>
      <c r="O127" s="3905"/>
      <c r="P127" s="4378">
        <f t="shared" ref="P127:P141" si="328">IFERROR((K127-J127)/J127,0)</f>
        <v>0</v>
      </c>
      <c r="Q127" s="2029"/>
      <c r="R127" s="2030"/>
      <c r="S127" s="2030"/>
      <c r="T127" s="2030"/>
      <c r="U127" s="2030"/>
      <c r="V127" s="2031"/>
      <c r="W127" s="4422"/>
      <c r="X127" s="4438">
        <f>IFERROR(J127/$C$1,0)</f>
        <v>0</v>
      </c>
      <c r="Y127" s="4438">
        <f t="shared" ref="Y127:Y141" si="329">IFERROR(K127/$C$1,0)</f>
        <v>0</v>
      </c>
      <c r="Z127" s="4438">
        <f t="shared" ref="Z127:Z141" si="330">IFERROR(L127/$C$1,0)</f>
        <v>0</v>
      </c>
      <c r="AA127" s="4438">
        <f t="shared" ref="AA127:AA141" si="331">IFERROR(M127/$C$1,0)</f>
        <v>0</v>
      </c>
      <c r="AB127" s="4438">
        <f t="shared" ref="AB127:AB141" si="332">IFERROR(N127/$C$1,0)</f>
        <v>0</v>
      </c>
      <c r="AC127" s="4438">
        <f t="shared" ref="AC127:AC141" si="333">IFERROR(O127/$C$1,0)</f>
        <v>0</v>
      </c>
      <c r="AD127" s="2021"/>
      <c r="AE127" s="2021"/>
      <c r="AF127" s="2021"/>
      <c r="AG127" s="2021"/>
      <c r="AH127" s="2021"/>
      <c r="AI127" s="2021"/>
    </row>
    <row r="128" spans="1:35" s="2009" customFormat="1" ht="12.75">
      <c r="A128" s="422" t="s">
        <v>569</v>
      </c>
      <c r="B128" s="1445" t="s">
        <v>722</v>
      </c>
      <c r="C128" s="309" t="s">
        <v>313</v>
      </c>
      <c r="D128" s="2032"/>
      <c r="E128" s="1969"/>
      <c r="F128" s="1969"/>
      <c r="G128" s="1969"/>
      <c r="H128" s="1969"/>
      <c r="I128" s="2033"/>
      <c r="J128" s="408"/>
      <c r="K128" s="3903"/>
      <c r="L128" s="3903"/>
      <c r="M128" s="3903"/>
      <c r="N128" s="3903"/>
      <c r="O128" s="3905"/>
      <c r="P128" s="4379">
        <f t="shared" si="328"/>
        <v>0</v>
      </c>
      <c r="Q128" s="2032"/>
      <c r="R128" s="1969"/>
      <c r="S128" s="1969"/>
      <c r="T128" s="1969"/>
      <c r="U128" s="1969"/>
      <c r="V128" s="2033"/>
      <c r="W128" s="4422"/>
      <c r="X128" s="4438">
        <f t="shared" ref="X128:X141" si="334">IFERROR(J128/$C$1,0)</f>
        <v>0</v>
      </c>
      <c r="Y128" s="4438">
        <f t="shared" si="329"/>
        <v>0</v>
      </c>
      <c r="Z128" s="4438">
        <f t="shared" si="330"/>
        <v>0</v>
      </c>
      <c r="AA128" s="4438">
        <f t="shared" si="331"/>
        <v>0</v>
      </c>
      <c r="AB128" s="4438">
        <f t="shared" si="332"/>
        <v>0</v>
      </c>
      <c r="AC128" s="4438">
        <f t="shared" si="333"/>
        <v>0</v>
      </c>
      <c r="AD128" s="2021"/>
      <c r="AE128" s="2021"/>
      <c r="AF128" s="2021"/>
      <c r="AG128" s="2021"/>
      <c r="AH128" s="2021"/>
      <c r="AI128" s="2021"/>
    </row>
    <row r="129" spans="1:35" s="2009" customFormat="1" ht="12.75">
      <c r="A129" s="422" t="s">
        <v>1093</v>
      </c>
      <c r="B129" s="1445" t="s">
        <v>467</v>
      </c>
      <c r="C129" s="309" t="s">
        <v>313</v>
      </c>
      <c r="D129" s="2032"/>
      <c r="E129" s="1969"/>
      <c r="F129" s="1969"/>
      <c r="G129" s="1969"/>
      <c r="H129" s="1969"/>
      <c r="I129" s="2033"/>
      <c r="J129" s="408"/>
      <c r="K129" s="3903"/>
      <c r="L129" s="3903"/>
      <c r="M129" s="3903"/>
      <c r="N129" s="3903"/>
      <c r="O129" s="3905"/>
      <c r="P129" s="4379">
        <f t="shared" si="328"/>
        <v>0</v>
      </c>
      <c r="Q129" s="2032"/>
      <c r="R129" s="1969"/>
      <c r="S129" s="1969"/>
      <c r="T129" s="1969"/>
      <c r="U129" s="1969"/>
      <c r="V129" s="2033"/>
      <c r="W129" s="4422"/>
      <c r="X129" s="4438">
        <f t="shared" si="334"/>
        <v>0</v>
      </c>
      <c r="Y129" s="4438">
        <f t="shared" si="329"/>
        <v>0</v>
      </c>
      <c r="Z129" s="4438">
        <f t="shared" si="330"/>
        <v>0</v>
      </c>
      <c r="AA129" s="4438">
        <f t="shared" si="331"/>
        <v>0</v>
      </c>
      <c r="AB129" s="4438">
        <f t="shared" si="332"/>
        <v>0</v>
      </c>
      <c r="AC129" s="4438">
        <f t="shared" si="333"/>
        <v>0</v>
      </c>
      <c r="AD129" s="2021"/>
      <c r="AE129" s="2021"/>
      <c r="AF129" s="2021"/>
      <c r="AG129" s="2021"/>
      <c r="AH129" s="2021"/>
      <c r="AI129" s="2021"/>
    </row>
    <row r="130" spans="1:35" s="2009" customFormat="1" ht="12.75">
      <c r="A130" s="422" t="s">
        <v>1094</v>
      </c>
      <c r="B130" s="1445" t="s">
        <v>469</v>
      </c>
      <c r="C130" s="309" t="s">
        <v>313</v>
      </c>
      <c r="D130" s="2032"/>
      <c r="E130" s="1969"/>
      <c r="F130" s="1969"/>
      <c r="G130" s="1969"/>
      <c r="H130" s="1969"/>
      <c r="I130" s="2033"/>
      <c r="J130" s="408"/>
      <c r="K130" s="3903"/>
      <c r="L130" s="3903"/>
      <c r="M130" s="3903"/>
      <c r="N130" s="3903"/>
      <c r="O130" s="3905"/>
      <c r="P130" s="4379">
        <f t="shared" si="328"/>
        <v>0</v>
      </c>
      <c r="Q130" s="2032"/>
      <c r="R130" s="1969"/>
      <c r="S130" s="1969"/>
      <c r="T130" s="1969"/>
      <c r="U130" s="1969"/>
      <c r="V130" s="2033"/>
      <c r="W130" s="4422"/>
      <c r="X130" s="4438">
        <f t="shared" si="334"/>
        <v>0</v>
      </c>
      <c r="Y130" s="4438">
        <f t="shared" si="329"/>
        <v>0</v>
      </c>
      <c r="Z130" s="4438">
        <f t="shared" si="330"/>
        <v>0</v>
      </c>
      <c r="AA130" s="4438">
        <f t="shared" si="331"/>
        <v>0</v>
      </c>
      <c r="AB130" s="4438">
        <f t="shared" si="332"/>
        <v>0</v>
      </c>
      <c r="AC130" s="4438">
        <f t="shared" si="333"/>
        <v>0</v>
      </c>
      <c r="AD130" s="2021"/>
      <c r="AE130" s="2021"/>
      <c r="AF130" s="2021"/>
      <c r="AG130" s="2021"/>
      <c r="AH130" s="2021"/>
      <c r="AI130" s="2021"/>
    </row>
    <row r="131" spans="1:35" s="2009" customFormat="1" ht="12.75">
      <c r="A131" s="422" t="s">
        <v>1095</v>
      </c>
      <c r="B131" s="1445" t="s">
        <v>471</v>
      </c>
      <c r="C131" s="309" t="s">
        <v>313</v>
      </c>
      <c r="D131" s="2032"/>
      <c r="E131" s="1969"/>
      <c r="F131" s="1969"/>
      <c r="G131" s="1969"/>
      <c r="H131" s="1969"/>
      <c r="I131" s="2033"/>
      <c r="J131" s="408"/>
      <c r="K131" s="3903"/>
      <c r="L131" s="3903"/>
      <c r="M131" s="3903"/>
      <c r="N131" s="3903"/>
      <c r="O131" s="3905"/>
      <c r="P131" s="4379">
        <f t="shared" si="328"/>
        <v>0</v>
      </c>
      <c r="Q131" s="2032"/>
      <c r="R131" s="1969"/>
      <c r="S131" s="1969"/>
      <c r="T131" s="1969"/>
      <c r="U131" s="1969"/>
      <c r="V131" s="2033"/>
      <c r="W131" s="4422"/>
      <c r="X131" s="4438">
        <f t="shared" si="334"/>
        <v>0</v>
      </c>
      <c r="Y131" s="4438">
        <f t="shared" si="329"/>
        <v>0</v>
      </c>
      <c r="Z131" s="4438">
        <f t="shared" si="330"/>
        <v>0</v>
      </c>
      <c r="AA131" s="4438">
        <f t="shared" si="331"/>
        <v>0</v>
      </c>
      <c r="AB131" s="4438">
        <f t="shared" si="332"/>
        <v>0</v>
      </c>
      <c r="AC131" s="4438">
        <f t="shared" si="333"/>
        <v>0</v>
      </c>
      <c r="AD131" s="2021"/>
      <c r="AE131" s="2021"/>
      <c r="AF131" s="2021"/>
      <c r="AG131" s="2021"/>
      <c r="AH131" s="2021"/>
      <c r="AI131" s="2021"/>
    </row>
    <row r="132" spans="1:35" s="2009" customFormat="1" ht="12.75">
      <c r="A132" s="422" t="s">
        <v>1096</v>
      </c>
      <c r="B132" s="1445" t="s">
        <v>1367</v>
      </c>
      <c r="C132" s="309" t="s">
        <v>313</v>
      </c>
      <c r="D132" s="2032"/>
      <c r="E132" s="1969"/>
      <c r="F132" s="1969"/>
      <c r="G132" s="1969"/>
      <c r="H132" s="1969"/>
      <c r="I132" s="2033"/>
      <c r="J132" s="408"/>
      <c r="K132" s="3903"/>
      <c r="L132" s="3903"/>
      <c r="M132" s="3903"/>
      <c r="N132" s="3903"/>
      <c r="O132" s="3905"/>
      <c r="P132" s="4379">
        <f t="shared" si="328"/>
        <v>0</v>
      </c>
      <c r="Q132" s="2032"/>
      <c r="R132" s="1969"/>
      <c r="S132" s="1969"/>
      <c r="T132" s="1969"/>
      <c r="U132" s="1969"/>
      <c r="V132" s="2033"/>
      <c r="W132" s="4422"/>
      <c r="X132" s="4438">
        <f t="shared" si="334"/>
        <v>0</v>
      </c>
      <c r="Y132" s="4438">
        <f t="shared" si="329"/>
        <v>0</v>
      </c>
      <c r="Z132" s="4438">
        <f t="shared" si="330"/>
        <v>0</v>
      </c>
      <c r="AA132" s="4438">
        <f t="shared" si="331"/>
        <v>0</v>
      </c>
      <c r="AB132" s="4438">
        <f t="shared" si="332"/>
        <v>0</v>
      </c>
      <c r="AC132" s="4438">
        <f t="shared" si="333"/>
        <v>0</v>
      </c>
      <c r="AD132" s="2021"/>
      <c r="AE132" s="2021"/>
      <c r="AF132" s="2021"/>
      <c r="AG132" s="2021"/>
      <c r="AH132" s="2021"/>
      <c r="AI132" s="2021"/>
    </row>
    <row r="133" spans="1:35" s="2009" customFormat="1" ht="24">
      <c r="A133" s="422" t="s">
        <v>1097</v>
      </c>
      <c r="B133" s="1445" t="s">
        <v>1368</v>
      </c>
      <c r="C133" s="309" t="s">
        <v>313</v>
      </c>
      <c r="D133" s="2032"/>
      <c r="E133" s="1969"/>
      <c r="F133" s="1969"/>
      <c r="G133" s="1969"/>
      <c r="H133" s="1969"/>
      <c r="I133" s="2033"/>
      <c r="J133" s="408"/>
      <c r="K133" s="3903"/>
      <c r="L133" s="3903"/>
      <c r="M133" s="3903"/>
      <c r="N133" s="3903"/>
      <c r="O133" s="3905"/>
      <c r="P133" s="4379">
        <f t="shared" si="328"/>
        <v>0</v>
      </c>
      <c r="Q133" s="2032"/>
      <c r="R133" s="1969"/>
      <c r="S133" s="1969"/>
      <c r="T133" s="1969"/>
      <c r="U133" s="1969"/>
      <c r="V133" s="2033"/>
      <c r="W133" s="4422"/>
      <c r="X133" s="4438">
        <f t="shared" si="334"/>
        <v>0</v>
      </c>
      <c r="Y133" s="4438">
        <f t="shared" si="329"/>
        <v>0</v>
      </c>
      <c r="Z133" s="4438">
        <f t="shared" si="330"/>
        <v>0</v>
      </c>
      <c r="AA133" s="4438">
        <f t="shared" si="331"/>
        <v>0</v>
      </c>
      <c r="AB133" s="4438">
        <f t="shared" si="332"/>
        <v>0</v>
      </c>
      <c r="AC133" s="4438">
        <f t="shared" si="333"/>
        <v>0</v>
      </c>
      <c r="AD133" s="2021"/>
      <c r="AE133" s="2021"/>
      <c r="AF133" s="2021"/>
      <c r="AG133" s="2021"/>
      <c r="AH133" s="2021"/>
      <c r="AI133" s="2021"/>
    </row>
    <row r="134" spans="1:35" s="2009" customFormat="1" ht="24">
      <c r="A134" s="422" t="s">
        <v>1098</v>
      </c>
      <c r="B134" s="1445" t="s">
        <v>1369</v>
      </c>
      <c r="C134" s="309" t="s">
        <v>313</v>
      </c>
      <c r="D134" s="2032"/>
      <c r="E134" s="1969"/>
      <c r="F134" s="1969"/>
      <c r="G134" s="1969"/>
      <c r="H134" s="1969"/>
      <c r="I134" s="2033"/>
      <c r="J134" s="408"/>
      <c r="K134" s="3903"/>
      <c r="L134" s="3903"/>
      <c r="M134" s="3903"/>
      <c r="N134" s="3903"/>
      <c r="O134" s="3905"/>
      <c r="P134" s="4379">
        <f t="shared" si="328"/>
        <v>0</v>
      </c>
      <c r="Q134" s="2032"/>
      <c r="R134" s="1969"/>
      <c r="S134" s="1969"/>
      <c r="T134" s="1969"/>
      <c r="U134" s="1969"/>
      <c r="V134" s="2033"/>
      <c r="W134" s="4422"/>
      <c r="X134" s="4438">
        <f t="shared" si="334"/>
        <v>0</v>
      </c>
      <c r="Y134" s="4438">
        <f t="shared" si="329"/>
        <v>0</v>
      </c>
      <c r="Z134" s="4438">
        <f t="shared" si="330"/>
        <v>0</v>
      </c>
      <c r="AA134" s="4438">
        <f t="shared" si="331"/>
        <v>0</v>
      </c>
      <c r="AB134" s="4438">
        <f t="shared" si="332"/>
        <v>0</v>
      </c>
      <c r="AC134" s="4438">
        <f t="shared" si="333"/>
        <v>0</v>
      </c>
      <c r="AD134" s="2021"/>
      <c r="AE134" s="2021"/>
      <c r="AF134" s="2021"/>
      <c r="AG134" s="2021"/>
      <c r="AH134" s="2021"/>
      <c r="AI134" s="2021"/>
    </row>
    <row r="135" spans="1:35" s="2009" customFormat="1" ht="12.75">
      <c r="A135" s="422" t="s">
        <v>1099</v>
      </c>
      <c r="B135" s="1445" t="s">
        <v>1370</v>
      </c>
      <c r="C135" s="309" t="s">
        <v>313</v>
      </c>
      <c r="D135" s="2032"/>
      <c r="E135" s="1969"/>
      <c r="F135" s="1969"/>
      <c r="G135" s="1969"/>
      <c r="H135" s="1969"/>
      <c r="I135" s="2033"/>
      <c r="J135" s="408"/>
      <c r="K135" s="3903"/>
      <c r="L135" s="3903"/>
      <c r="M135" s="3903"/>
      <c r="N135" s="3903"/>
      <c r="O135" s="3905"/>
      <c r="P135" s="4379">
        <f t="shared" si="328"/>
        <v>0</v>
      </c>
      <c r="Q135" s="2032"/>
      <c r="R135" s="1969"/>
      <c r="S135" s="1969"/>
      <c r="T135" s="1969"/>
      <c r="U135" s="1969"/>
      <c r="V135" s="2033"/>
      <c r="W135" s="4422"/>
      <c r="X135" s="4438">
        <f t="shared" si="334"/>
        <v>0</v>
      </c>
      <c r="Y135" s="4438">
        <f t="shared" si="329"/>
        <v>0</v>
      </c>
      <c r="Z135" s="4438">
        <f t="shared" si="330"/>
        <v>0</v>
      </c>
      <c r="AA135" s="4438">
        <f t="shared" si="331"/>
        <v>0</v>
      </c>
      <c r="AB135" s="4438">
        <f t="shared" si="332"/>
        <v>0</v>
      </c>
      <c r="AC135" s="4438">
        <f t="shared" si="333"/>
        <v>0</v>
      </c>
      <c r="AD135" s="2021"/>
      <c r="AE135" s="2021"/>
      <c r="AF135" s="2021"/>
      <c r="AG135" s="2021"/>
      <c r="AH135" s="2021"/>
      <c r="AI135" s="2021"/>
    </row>
    <row r="136" spans="1:35" s="2009" customFormat="1" ht="24">
      <c r="A136" s="422" t="s">
        <v>1100</v>
      </c>
      <c r="B136" s="1445" t="s">
        <v>1371</v>
      </c>
      <c r="C136" s="309" t="s">
        <v>313</v>
      </c>
      <c r="D136" s="2032"/>
      <c r="E136" s="1969"/>
      <c r="F136" s="1969"/>
      <c r="G136" s="1969"/>
      <c r="H136" s="1969"/>
      <c r="I136" s="2033"/>
      <c r="J136" s="408"/>
      <c r="K136" s="3903"/>
      <c r="L136" s="3903"/>
      <c r="M136" s="3903"/>
      <c r="N136" s="3903"/>
      <c r="O136" s="3905"/>
      <c r="P136" s="4379">
        <f t="shared" si="328"/>
        <v>0</v>
      </c>
      <c r="Q136" s="2032"/>
      <c r="R136" s="1969"/>
      <c r="S136" s="1969"/>
      <c r="T136" s="1969"/>
      <c r="U136" s="1969"/>
      <c r="V136" s="2033"/>
      <c r="W136" s="4422"/>
      <c r="X136" s="4438">
        <f t="shared" si="334"/>
        <v>0</v>
      </c>
      <c r="Y136" s="4438">
        <f t="shared" si="329"/>
        <v>0</v>
      </c>
      <c r="Z136" s="4438">
        <f t="shared" si="330"/>
        <v>0</v>
      </c>
      <c r="AA136" s="4438">
        <f t="shared" si="331"/>
        <v>0</v>
      </c>
      <c r="AB136" s="4438">
        <f t="shared" si="332"/>
        <v>0</v>
      </c>
      <c r="AC136" s="4438">
        <f t="shared" si="333"/>
        <v>0</v>
      </c>
      <c r="AD136" s="2021"/>
      <c r="AE136" s="2021"/>
      <c r="AF136" s="2021"/>
      <c r="AG136" s="2021"/>
      <c r="AH136" s="2021"/>
      <c r="AI136" s="2021"/>
    </row>
    <row r="137" spans="1:35" s="2009" customFormat="1" ht="15" customHeight="1">
      <c r="A137" s="422" t="s">
        <v>1101</v>
      </c>
      <c r="B137" s="1446" t="s">
        <v>1771</v>
      </c>
      <c r="C137" s="309" t="s">
        <v>313</v>
      </c>
      <c r="D137" s="2032"/>
      <c r="E137" s="1969"/>
      <c r="F137" s="1969"/>
      <c r="G137" s="1969"/>
      <c r="H137" s="1969"/>
      <c r="I137" s="2033"/>
      <c r="J137" s="408"/>
      <c r="K137" s="3903"/>
      <c r="L137" s="3903"/>
      <c r="M137" s="3903"/>
      <c r="N137" s="3903"/>
      <c r="O137" s="3905"/>
      <c r="P137" s="4379">
        <f t="shared" si="328"/>
        <v>0</v>
      </c>
      <c r="Q137" s="2032"/>
      <c r="R137" s="1969"/>
      <c r="S137" s="1969"/>
      <c r="T137" s="1969"/>
      <c r="U137" s="1969"/>
      <c r="V137" s="2033"/>
      <c r="W137" s="4422"/>
      <c r="X137" s="4438">
        <f t="shared" si="334"/>
        <v>0</v>
      </c>
      <c r="Y137" s="4438">
        <f t="shared" si="329"/>
        <v>0</v>
      </c>
      <c r="Z137" s="4438">
        <f t="shared" si="330"/>
        <v>0</v>
      </c>
      <c r="AA137" s="4438">
        <f t="shared" si="331"/>
        <v>0</v>
      </c>
      <c r="AB137" s="4438">
        <f t="shared" si="332"/>
        <v>0</v>
      </c>
      <c r="AC137" s="4438">
        <f t="shared" si="333"/>
        <v>0</v>
      </c>
      <c r="AD137" s="2021"/>
      <c r="AE137" s="2021"/>
      <c r="AF137" s="2021"/>
      <c r="AG137" s="2021"/>
      <c r="AH137" s="2021"/>
      <c r="AI137" s="2021"/>
    </row>
    <row r="138" spans="1:35" s="2009" customFormat="1" ht="15" customHeight="1">
      <c r="A138" s="425" t="s">
        <v>1102</v>
      </c>
      <c r="B138" s="1446" t="s">
        <v>915</v>
      </c>
      <c r="C138" s="309" t="s">
        <v>313</v>
      </c>
      <c r="D138" s="2032"/>
      <c r="E138" s="1969"/>
      <c r="F138" s="1969"/>
      <c r="G138" s="1969"/>
      <c r="H138" s="1969"/>
      <c r="I138" s="2033"/>
      <c r="J138" s="408"/>
      <c r="K138" s="3903"/>
      <c r="L138" s="3903"/>
      <c r="M138" s="3903"/>
      <c r="N138" s="3903"/>
      <c r="O138" s="3905"/>
      <c r="P138" s="4379">
        <f t="shared" si="328"/>
        <v>0</v>
      </c>
      <c r="Q138" s="2032"/>
      <c r="R138" s="1969"/>
      <c r="S138" s="1969"/>
      <c r="T138" s="1969"/>
      <c r="U138" s="1969"/>
      <c r="V138" s="2033"/>
      <c r="W138" s="4422"/>
      <c r="X138" s="4438">
        <f t="shared" si="334"/>
        <v>0</v>
      </c>
      <c r="Y138" s="4438">
        <f t="shared" si="329"/>
        <v>0</v>
      </c>
      <c r="Z138" s="4438">
        <f t="shared" si="330"/>
        <v>0</v>
      </c>
      <c r="AA138" s="4438">
        <f t="shared" si="331"/>
        <v>0</v>
      </c>
      <c r="AB138" s="4438">
        <f t="shared" si="332"/>
        <v>0</v>
      </c>
      <c r="AC138" s="4438">
        <f t="shared" si="333"/>
        <v>0</v>
      </c>
      <c r="AD138" s="2021"/>
      <c r="AE138" s="2021"/>
      <c r="AF138" s="2021"/>
      <c r="AG138" s="2021"/>
      <c r="AH138" s="2021"/>
      <c r="AI138" s="2021"/>
    </row>
    <row r="139" spans="1:35" s="2009" customFormat="1" ht="24">
      <c r="A139" s="425" t="s">
        <v>1103</v>
      </c>
      <c r="B139" s="2024" t="s">
        <v>1372</v>
      </c>
      <c r="C139" s="309" t="s">
        <v>313</v>
      </c>
      <c r="D139" s="2032"/>
      <c r="E139" s="1969"/>
      <c r="F139" s="1969"/>
      <c r="G139" s="1969"/>
      <c r="H139" s="1969"/>
      <c r="I139" s="2033"/>
      <c r="J139" s="408"/>
      <c r="K139" s="3903"/>
      <c r="L139" s="3903"/>
      <c r="M139" s="3903"/>
      <c r="N139" s="3903"/>
      <c r="O139" s="3905"/>
      <c r="P139" s="4379">
        <f t="shared" si="328"/>
        <v>0</v>
      </c>
      <c r="Q139" s="2032"/>
      <c r="R139" s="1969"/>
      <c r="S139" s="1969"/>
      <c r="T139" s="1969"/>
      <c r="U139" s="1969"/>
      <c r="V139" s="2033"/>
      <c r="W139" s="4422"/>
      <c r="X139" s="4438">
        <f t="shared" si="334"/>
        <v>0</v>
      </c>
      <c r="Y139" s="4438">
        <f t="shared" si="329"/>
        <v>0</v>
      </c>
      <c r="Z139" s="4438">
        <f t="shared" si="330"/>
        <v>0</v>
      </c>
      <c r="AA139" s="4438">
        <f t="shared" si="331"/>
        <v>0</v>
      </c>
      <c r="AB139" s="4438">
        <f t="shared" si="332"/>
        <v>0</v>
      </c>
      <c r="AC139" s="4438">
        <f t="shared" si="333"/>
        <v>0</v>
      </c>
      <c r="AD139" s="2021"/>
      <c r="AE139" s="2021"/>
      <c r="AF139" s="2021"/>
      <c r="AG139" s="2021"/>
      <c r="AH139" s="2021"/>
      <c r="AI139" s="2021"/>
    </row>
    <row r="140" spans="1:35" s="2009" customFormat="1" ht="24.75" thickBot="1">
      <c r="A140" s="425" t="s">
        <v>1770</v>
      </c>
      <c r="B140" s="1454" t="s">
        <v>1345</v>
      </c>
      <c r="C140" s="309" t="s">
        <v>313</v>
      </c>
      <c r="D140" s="2034"/>
      <c r="E140" s="2035"/>
      <c r="F140" s="2035"/>
      <c r="G140" s="2035"/>
      <c r="H140" s="2035"/>
      <c r="I140" s="2036"/>
      <c r="J140" s="426"/>
      <c r="K140" s="1080"/>
      <c r="L140" s="1080"/>
      <c r="M140" s="1080"/>
      <c r="N140" s="1080"/>
      <c r="O140" s="1081"/>
      <c r="P140" s="4380">
        <f t="shared" si="328"/>
        <v>0</v>
      </c>
      <c r="Q140" s="2025"/>
      <c r="R140" s="2026"/>
      <c r="S140" s="2026"/>
      <c r="T140" s="2026"/>
      <c r="U140" s="2026"/>
      <c r="V140" s="2027"/>
      <c r="W140" s="4422"/>
      <c r="X140" s="4438">
        <f t="shared" si="334"/>
        <v>0</v>
      </c>
      <c r="Y140" s="4438">
        <f t="shared" si="329"/>
        <v>0</v>
      </c>
      <c r="Z140" s="4438">
        <f t="shared" si="330"/>
        <v>0</v>
      </c>
      <c r="AA140" s="4438">
        <f t="shared" si="331"/>
        <v>0</v>
      </c>
      <c r="AB140" s="4438">
        <f t="shared" si="332"/>
        <v>0</v>
      </c>
      <c r="AC140" s="4438">
        <f t="shared" si="333"/>
        <v>0</v>
      </c>
      <c r="AD140" s="2021"/>
      <c r="AE140" s="2021"/>
      <c r="AF140" s="2021"/>
      <c r="AG140" s="2021"/>
      <c r="AH140" s="2021"/>
      <c r="AI140" s="2021"/>
    </row>
    <row r="141" spans="1:35" s="2009" customFormat="1" ht="21.6" customHeight="1" thickBot="1">
      <c r="A141" s="1319"/>
      <c r="B141" s="1447" t="s">
        <v>1104</v>
      </c>
      <c r="C141" s="1461"/>
      <c r="D141" s="3646"/>
      <c r="E141" s="3647"/>
      <c r="F141" s="3647"/>
      <c r="G141" s="3647"/>
      <c r="H141" s="3647"/>
      <c r="I141" s="3648"/>
      <c r="J141" s="313">
        <f t="shared" ref="J141:O141" si="335">SUM(J127:J140)</f>
        <v>0</v>
      </c>
      <c r="K141" s="314">
        <f t="shared" si="335"/>
        <v>0</v>
      </c>
      <c r="L141" s="314">
        <f t="shared" si="335"/>
        <v>0</v>
      </c>
      <c r="M141" s="314">
        <f t="shared" si="335"/>
        <v>0</v>
      </c>
      <c r="N141" s="314">
        <f t="shared" si="335"/>
        <v>0</v>
      </c>
      <c r="O141" s="929">
        <f t="shared" si="335"/>
        <v>0</v>
      </c>
      <c r="P141" s="4199">
        <f t="shared" si="328"/>
        <v>0</v>
      </c>
      <c r="Q141" s="3617"/>
      <c r="R141" s="3618"/>
      <c r="S141" s="3618"/>
      <c r="T141" s="3618"/>
      <c r="U141" s="3618"/>
      <c r="V141" s="3619"/>
      <c r="W141" s="4422"/>
      <c r="X141" s="4438">
        <f t="shared" si="334"/>
        <v>0</v>
      </c>
      <c r="Y141" s="4438">
        <f t="shared" si="329"/>
        <v>0</v>
      </c>
      <c r="Z141" s="4438">
        <f t="shared" si="330"/>
        <v>0</v>
      </c>
      <c r="AA141" s="4438">
        <f t="shared" si="331"/>
        <v>0</v>
      </c>
      <c r="AB141" s="4438">
        <f t="shared" si="332"/>
        <v>0</v>
      </c>
      <c r="AC141" s="4438">
        <f t="shared" si="333"/>
        <v>0</v>
      </c>
      <c r="AD141" s="2021"/>
      <c r="AE141" s="2021"/>
      <c r="AF141" s="2021"/>
      <c r="AG141" s="2021"/>
      <c r="AH141" s="2021"/>
      <c r="AI141" s="2021"/>
    </row>
    <row r="142" spans="1:35" s="2009" customFormat="1" ht="13.5" customHeight="1" thickBot="1">
      <c r="A142" s="3596"/>
      <c r="B142" s="3597" t="s">
        <v>1428</v>
      </c>
      <c r="C142" s="3642" t="s">
        <v>170</v>
      </c>
      <c r="D142" s="3598"/>
      <c r="E142" s="3599">
        <f>IFERROR((E141-D141)/D141,0)</f>
        <v>0</v>
      </c>
      <c r="F142" s="3599">
        <f>IFERROR((F141-E141)/E141,0)</f>
        <v>0</v>
      </c>
      <c r="G142" s="3599">
        <f>IFERROR((G141-F141)/F141,0)</f>
        <v>0</v>
      </c>
      <c r="H142" s="3599">
        <f>IFERROR((H141-G141)/G141,0)</f>
        <v>0</v>
      </c>
      <c r="I142" s="3600">
        <f>IFERROR((I141-H141)/H141,0)</f>
        <v>0</v>
      </c>
      <c r="J142" s="3601"/>
      <c r="K142" s="3599">
        <f>IFERROR((K141-J141)/J141,0)</f>
        <v>0</v>
      </c>
      <c r="L142" s="3599">
        <f>IFERROR((L141-K141)/K141,0)</f>
        <v>0</v>
      </c>
      <c r="M142" s="3599">
        <f>IFERROR((M141-L141)/L141,0)</f>
        <v>0</v>
      </c>
      <c r="N142" s="3599">
        <f>IFERROR((N141-M141)/M141,0)</f>
        <v>0</v>
      </c>
      <c r="O142" s="3599">
        <f>IFERROR((O141-N141)/N141,0)</f>
        <v>0</v>
      </c>
      <c r="P142" s="4026"/>
      <c r="Q142" s="3602"/>
      <c r="R142" s="3603"/>
      <c r="S142" s="3603"/>
      <c r="T142" s="3603"/>
      <c r="U142" s="3603"/>
      <c r="V142" s="3604"/>
      <c r="W142" s="4422"/>
      <c r="X142" s="2021"/>
      <c r="Y142" s="2021"/>
      <c r="Z142" s="2021"/>
      <c r="AA142" s="2021"/>
      <c r="AB142" s="2021"/>
      <c r="AC142" s="2021"/>
      <c r="AD142" s="1977"/>
      <c r="AE142" s="1977"/>
      <c r="AF142" s="1977"/>
      <c r="AG142" s="1977"/>
      <c r="AH142" s="1977"/>
      <c r="AI142" s="1977"/>
    </row>
    <row r="143" spans="1:35" s="2009" customFormat="1" ht="13.5" customHeight="1" thickBot="1">
      <c r="A143" s="1319"/>
      <c r="B143" s="1456" t="s">
        <v>1105</v>
      </c>
      <c r="C143" s="419"/>
      <c r="D143" s="419"/>
      <c r="E143" s="419"/>
      <c r="F143" s="419"/>
      <c r="G143" s="419"/>
      <c r="H143" s="419"/>
      <c r="I143" s="419"/>
      <c r="J143" s="419"/>
      <c r="K143" s="419"/>
      <c r="L143" s="419"/>
      <c r="M143" s="419"/>
      <c r="N143" s="419"/>
      <c r="O143" s="419"/>
      <c r="P143" s="419"/>
      <c r="Q143" s="419"/>
      <c r="R143" s="419"/>
      <c r="S143" s="419"/>
      <c r="T143" s="419"/>
      <c r="U143" s="419"/>
      <c r="V143" s="420"/>
      <c r="W143" s="4422"/>
      <c r="X143" s="2021"/>
      <c r="Y143" s="2021"/>
      <c r="Z143" s="2021"/>
      <c r="AA143" s="2021"/>
      <c r="AB143" s="2021"/>
      <c r="AC143" s="2021"/>
      <c r="AD143" s="1982"/>
      <c r="AE143" s="1982"/>
      <c r="AF143" s="1982"/>
      <c r="AG143" s="1982"/>
      <c r="AH143" s="1982"/>
      <c r="AI143" s="1982"/>
    </row>
    <row r="144" spans="1:35" s="2009" customFormat="1" ht="12.75">
      <c r="A144" s="1320"/>
      <c r="B144" s="3631" t="s">
        <v>1068</v>
      </c>
      <c r="C144" s="1450"/>
      <c r="D144" s="3608"/>
      <c r="E144" s="2030"/>
      <c r="F144" s="2030"/>
      <c r="G144" s="2030"/>
      <c r="H144" s="2030"/>
      <c r="I144" s="3623"/>
      <c r="J144" s="430"/>
      <c r="K144" s="431"/>
      <c r="L144" s="431"/>
      <c r="M144" s="431"/>
      <c r="N144" s="431"/>
      <c r="O144" s="432"/>
      <c r="P144" s="4381">
        <f>IFERROR((K144-J144)/J144,0)</f>
        <v>0</v>
      </c>
      <c r="Q144" s="2029"/>
      <c r="R144" s="2030"/>
      <c r="S144" s="2030"/>
      <c r="T144" s="2030"/>
      <c r="U144" s="2030"/>
      <c r="V144" s="2031"/>
      <c r="W144" s="4422"/>
      <c r="X144" s="4438">
        <f t="shared" ref="X144" si="336">IFERROR(J144/$C$1,0)</f>
        <v>0</v>
      </c>
      <c r="Y144" s="4438">
        <f t="shared" ref="Y144" si="337">IFERROR(K144/$C$1,0)</f>
        <v>0</v>
      </c>
      <c r="Z144" s="4438">
        <f t="shared" ref="Z144" si="338">IFERROR(L144/$C$1,0)</f>
        <v>0</v>
      </c>
      <c r="AA144" s="4438">
        <f t="shared" ref="AA144" si="339">IFERROR(M144/$C$1,0)</f>
        <v>0</v>
      </c>
      <c r="AB144" s="4438">
        <f t="shared" ref="AB144" si="340">IFERROR(N144/$C$1,0)</f>
        <v>0</v>
      </c>
      <c r="AC144" s="4438">
        <f t="shared" ref="AC144" si="341">IFERROR(O144/$C$1,0)</f>
        <v>0</v>
      </c>
      <c r="AD144" s="2021"/>
      <c r="AE144" s="2021"/>
      <c r="AF144" s="2021"/>
      <c r="AG144" s="2021"/>
      <c r="AH144" s="2021"/>
      <c r="AI144" s="2021"/>
    </row>
    <row r="145" spans="1:35" s="2009" customFormat="1" ht="12.75">
      <c r="A145" s="3630"/>
      <c r="B145" s="3609" t="s">
        <v>1428</v>
      </c>
      <c r="C145" s="3637" t="s">
        <v>170</v>
      </c>
      <c r="D145" s="3041"/>
      <c r="E145" s="1969"/>
      <c r="F145" s="1969"/>
      <c r="G145" s="1969"/>
      <c r="H145" s="1969"/>
      <c r="I145" s="3050"/>
      <c r="J145" s="3906"/>
      <c r="K145" s="3610">
        <f>IFERROR((K144-J144)/J144,0)</f>
        <v>0</v>
      </c>
      <c r="L145" s="3610">
        <f>IFERROR((L144-K144)/K144,0)</f>
        <v>0</v>
      </c>
      <c r="M145" s="3610">
        <f>IFERROR((M144-L144)/L144,0)</f>
        <v>0</v>
      </c>
      <c r="N145" s="3610">
        <f>IFERROR((N144-M144)/M144,0)</f>
        <v>0</v>
      </c>
      <c r="O145" s="3611">
        <f>IFERROR((O144-N144)/N144,0)</f>
        <v>0</v>
      </c>
      <c r="P145" s="4200"/>
      <c r="Q145" s="2032"/>
      <c r="R145" s="1969"/>
      <c r="S145" s="1969"/>
      <c r="T145" s="1969"/>
      <c r="U145" s="1969"/>
      <c r="V145" s="2033"/>
      <c r="W145" s="4422"/>
      <c r="X145" s="2021"/>
      <c r="Y145" s="2021"/>
      <c r="Z145" s="2021"/>
      <c r="AA145" s="2021"/>
      <c r="AB145" s="2021"/>
      <c r="AC145" s="2021"/>
      <c r="AD145" s="2021"/>
      <c r="AE145" s="2021"/>
      <c r="AF145" s="2021"/>
      <c r="AG145" s="2021"/>
      <c r="AH145" s="2021"/>
      <c r="AI145" s="2021"/>
    </row>
    <row r="146" spans="1:35" s="2009" customFormat="1" ht="12.75">
      <c r="A146" s="1321"/>
      <c r="B146" s="3632" t="s">
        <v>642</v>
      </c>
      <c r="C146" s="1452"/>
      <c r="D146" s="3041"/>
      <c r="E146" s="1969"/>
      <c r="F146" s="1969"/>
      <c r="G146" s="1969"/>
      <c r="H146" s="1969"/>
      <c r="I146" s="3050"/>
      <c r="J146" s="433"/>
      <c r="K146" s="415"/>
      <c r="L146" s="415"/>
      <c r="M146" s="415"/>
      <c r="N146" s="415"/>
      <c r="O146" s="416"/>
      <c r="P146" s="4382">
        <f>IFERROR((K146-J146)/J146,0)</f>
        <v>0</v>
      </c>
      <c r="Q146" s="2032"/>
      <c r="R146" s="1969"/>
      <c r="S146" s="1969"/>
      <c r="T146" s="1969"/>
      <c r="U146" s="1969"/>
      <c r="V146" s="2033"/>
      <c r="W146" s="4422"/>
      <c r="X146" s="4438">
        <f t="shared" ref="X146" si="342">IFERROR(J146/$C$1,0)</f>
        <v>0</v>
      </c>
      <c r="Y146" s="4438">
        <f t="shared" ref="Y146" si="343">IFERROR(K146/$C$1,0)</f>
        <v>0</v>
      </c>
      <c r="Z146" s="4438">
        <f t="shared" ref="Z146" si="344">IFERROR(L146/$C$1,0)</f>
        <v>0</v>
      </c>
      <c r="AA146" s="4438">
        <f t="shared" ref="AA146" si="345">IFERROR(M146/$C$1,0)</f>
        <v>0</v>
      </c>
      <c r="AB146" s="4438">
        <f t="shared" ref="AB146" si="346">IFERROR(N146/$C$1,0)</f>
        <v>0</v>
      </c>
      <c r="AC146" s="4438">
        <f t="shared" ref="AC146" si="347">IFERROR(O146/$C$1,0)</f>
        <v>0</v>
      </c>
      <c r="AD146" s="2021"/>
      <c r="AE146" s="2021"/>
      <c r="AF146" s="2021"/>
      <c r="AG146" s="2021"/>
      <c r="AH146" s="2021"/>
      <c r="AI146" s="2021"/>
    </row>
    <row r="147" spans="1:35" s="2009" customFormat="1" ht="12.75">
      <c r="A147" s="1321"/>
      <c r="B147" s="3609" t="s">
        <v>1431</v>
      </c>
      <c r="C147" s="3637" t="s">
        <v>170</v>
      </c>
      <c r="D147" s="3041"/>
      <c r="E147" s="1969"/>
      <c r="F147" s="1969"/>
      <c r="G147" s="1969"/>
      <c r="H147" s="1969"/>
      <c r="I147" s="3050"/>
      <c r="J147" s="3614"/>
      <c r="K147" s="3610">
        <f>IFERROR((K146-J146)/J146,0)</f>
        <v>0</v>
      </c>
      <c r="L147" s="3610">
        <f>IFERROR((L146-K146)/K146,0)</f>
        <v>0</v>
      </c>
      <c r="M147" s="3610">
        <f>IFERROR((M146-L146)/L146,0)</f>
        <v>0</v>
      </c>
      <c r="N147" s="3610">
        <f>IFERROR((N146-M146)/M146,0)</f>
        <v>0</v>
      </c>
      <c r="O147" s="3611">
        <f>IFERROR((O146-N146)/N146,0)</f>
        <v>0</v>
      </c>
      <c r="P147" s="4200"/>
      <c r="Q147" s="2032"/>
      <c r="R147" s="1969"/>
      <c r="S147" s="1969"/>
      <c r="T147" s="1969"/>
      <c r="U147" s="1969"/>
      <c r="V147" s="2033"/>
      <c r="W147" s="4422"/>
      <c r="X147" s="2021"/>
      <c r="Y147" s="2021"/>
      <c r="Z147" s="2021"/>
      <c r="AA147" s="2021"/>
      <c r="AB147" s="2021"/>
      <c r="AC147" s="2021"/>
      <c r="AD147" s="2021"/>
      <c r="AE147" s="2021"/>
      <c r="AF147" s="2021"/>
      <c r="AG147" s="2021"/>
      <c r="AH147" s="2021"/>
      <c r="AI147" s="2021"/>
    </row>
    <row r="148" spans="1:35" s="2009" customFormat="1" ht="12.75">
      <c r="A148" s="1321"/>
      <c r="B148" s="3632" t="s">
        <v>641</v>
      </c>
      <c r="C148" s="1452"/>
      <c r="D148" s="3041"/>
      <c r="E148" s="1969"/>
      <c r="F148" s="1969"/>
      <c r="G148" s="1969"/>
      <c r="H148" s="1969"/>
      <c r="I148" s="3050"/>
      <c r="J148" s="433"/>
      <c r="K148" s="415"/>
      <c r="L148" s="415"/>
      <c r="M148" s="415"/>
      <c r="N148" s="415"/>
      <c r="O148" s="416"/>
      <c r="P148" s="4382">
        <f>IFERROR((K148-J148)/J148,0)</f>
        <v>0</v>
      </c>
      <c r="Q148" s="2032"/>
      <c r="R148" s="1969"/>
      <c r="S148" s="1969"/>
      <c r="T148" s="1969"/>
      <c r="U148" s="1969"/>
      <c r="V148" s="2033"/>
      <c r="W148" s="4422"/>
      <c r="X148" s="4438">
        <f t="shared" ref="X148" si="348">IFERROR(J148/$C$1,0)</f>
        <v>0</v>
      </c>
      <c r="Y148" s="4438">
        <f t="shared" ref="Y148" si="349">IFERROR(K148/$C$1,0)</f>
        <v>0</v>
      </c>
      <c r="Z148" s="4438">
        <f t="shared" ref="Z148" si="350">IFERROR(L148/$C$1,0)</f>
        <v>0</v>
      </c>
      <c r="AA148" s="4438">
        <f t="shared" ref="AA148" si="351">IFERROR(M148/$C$1,0)</f>
        <v>0</v>
      </c>
      <c r="AB148" s="4438">
        <f t="shared" ref="AB148" si="352">IFERROR(N148/$C$1,0)</f>
        <v>0</v>
      </c>
      <c r="AC148" s="4438">
        <f t="shared" ref="AC148" si="353">IFERROR(O148/$C$1,0)</f>
        <v>0</v>
      </c>
      <c r="AD148" s="2021"/>
      <c r="AE148" s="2021"/>
      <c r="AF148" s="2021"/>
      <c r="AG148" s="2021"/>
      <c r="AH148" s="2021"/>
      <c r="AI148" s="2021"/>
    </row>
    <row r="149" spans="1:35" s="2009" customFormat="1" ht="12.75">
      <c r="A149" s="1321"/>
      <c r="B149" s="3609" t="s">
        <v>1431</v>
      </c>
      <c r="C149" s="3637" t="s">
        <v>170</v>
      </c>
      <c r="D149" s="3041"/>
      <c r="E149" s="1969"/>
      <c r="F149" s="1969"/>
      <c r="G149" s="1969"/>
      <c r="H149" s="1969"/>
      <c r="I149" s="3050"/>
      <c r="J149" s="3614"/>
      <c r="K149" s="3610">
        <f>IFERROR((K148-J148)/J148,0)</f>
        <v>0</v>
      </c>
      <c r="L149" s="3610">
        <f>IFERROR((L148-K148)/K148,0)</f>
        <v>0</v>
      </c>
      <c r="M149" s="3610">
        <f>IFERROR((M148-L148)/L148,0)</f>
        <v>0</v>
      </c>
      <c r="N149" s="3610">
        <f>IFERROR((N148-M148)/M148,0)</f>
        <v>0</v>
      </c>
      <c r="O149" s="3611">
        <f>IFERROR((O148-N148)/N148,0)</f>
        <v>0</v>
      </c>
      <c r="P149" s="4200"/>
      <c r="Q149" s="2032"/>
      <c r="R149" s="1969"/>
      <c r="S149" s="1969"/>
      <c r="T149" s="1969"/>
      <c r="U149" s="1969"/>
      <c r="V149" s="2033"/>
      <c r="W149" s="4422"/>
      <c r="X149" s="2021"/>
      <c r="Y149" s="2021"/>
      <c r="Z149" s="2021"/>
      <c r="AA149" s="2021"/>
      <c r="AB149" s="2021"/>
      <c r="AC149" s="2021"/>
      <c r="AD149" s="2021"/>
      <c r="AE149" s="2021"/>
      <c r="AF149" s="2021"/>
      <c r="AG149" s="2021"/>
      <c r="AH149" s="2021"/>
      <c r="AI149" s="2021"/>
    </row>
    <row r="150" spans="1:35" s="2009" customFormat="1" ht="12.75">
      <c r="A150" s="1321"/>
      <c r="B150" s="3632" t="s">
        <v>640</v>
      </c>
      <c r="C150" s="1452"/>
      <c r="D150" s="3041"/>
      <c r="E150" s="1969"/>
      <c r="F150" s="1969"/>
      <c r="G150" s="1969"/>
      <c r="H150" s="1969"/>
      <c r="I150" s="3050"/>
      <c r="J150" s="433"/>
      <c r="K150" s="415"/>
      <c r="L150" s="415"/>
      <c r="M150" s="415"/>
      <c r="N150" s="415"/>
      <c r="O150" s="416"/>
      <c r="P150" s="4382">
        <f>IFERROR((K150-J150)/J150,0)</f>
        <v>0</v>
      </c>
      <c r="Q150" s="2032"/>
      <c r="R150" s="1969"/>
      <c r="S150" s="1969"/>
      <c r="T150" s="1969"/>
      <c r="U150" s="1969"/>
      <c r="V150" s="2033"/>
      <c r="W150" s="4422"/>
      <c r="X150" s="4438">
        <f t="shared" ref="X150" si="354">IFERROR(J150/$C$1,0)</f>
        <v>0</v>
      </c>
      <c r="Y150" s="4438">
        <f t="shared" ref="Y150" si="355">IFERROR(K150/$C$1,0)</f>
        <v>0</v>
      </c>
      <c r="Z150" s="4438">
        <f t="shared" ref="Z150" si="356">IFERROR(L150/$C$1,0)</f>
        <v>0</v>
      </c>
      <c r="AA150" s="4438">
        <f t="shared" ref="AA150" si="357">IFERROR(M150/$C$1,0)</f>
        <v>0</v>
      </c>
      <c r="AB150" s="4438">
        <f t="shared" ref="AB150" si="358">IFERROR(N150/$C$1,0)</f>
        <v>0</v>
      </c>
      <c r="AC150" s="4438">
        <f t="shared" ref="AC150" si="359">IFERROR(O150/$C$1,0)</f>
        <v>0</v>
      </c>
      <c r="AD150" s="2021"/>
      <c r="AE150" s="2021"/>
      <c r="AF150" s="2021"/>
      <c r="AG150" s="2021"/>
      <c r="AH150" s="2021"/>
      <c r="AI150" s="2021"/>
    </row>
    <row r="151" spans="1:35" s="2009" customFormat="1" ht="12.75">
      <c r="A151" s="1321"/>
      <c r="B151" s="3609" t="s">
        <v>1428</v>
      </c>
      <c r="C151" s="3637" t="s">
        <v>170</v>
      </c>
      <c r="D151" s="3041"/>
      <c r="E151" s="1969"/>
      <c r="F151" s="1969"/>
      <c r="G151" s="1969"/>
      <c r="H151" s="1969"/>
      <c r="I151" s="3050"/>
      <c r="J151" s="3907"/>
      <c r="K151" s="3610">
        <f>IFERROR((K150-J150)/J150,0)</f>
        <v>0</v>
      </c>
      <c r="L151" s="3610">
        <f>IFERROR((L150-K150)/K150,0)</f>
        <v>0</v>
      </c>
      <c r="M151" s="3610">
        <f>IFERROR((M150-L150)/L150,0)</f>
        <v>0</v>
      </c>
      <c r="N151" s="3610">
        <f>IFERROR((N150-M150)/M150,0)</f>
        <v>0</v>
      </c>
      <c r="O151" s="3611">
        <f>IFERROR((O150-N150)/N150,0)</f>
        <v>0</v>
      </c>
      <c r="P151" s="4200"/>
      <c r="Q151" s="2032"/>
      <c r="R151" s="1969"/>
      <c r="S151" s="1969"/>
      <c r="T151" s="1969"/>
      <c r="U151" s="1969"/>
      <c r="V151" s="2033"/>
      <c r="W151" s="4422"/>
      <c r="X151" s="2021"/>
      <c r="Y151" s="2021"/>
      <c r="Z151" s="2021"/>
      <c r="AA151" s="2021"/>
      <c r="AB151" s="2021"/>
      <c r="AC151" s="2021"/>
      <c r="AD151" s="2021"/>
      <c r="AE151" s="2021"/>
      <c r="AF151" s="2021"/>
      <c r="AG151" s="2021"/>
      <c r="AH151" s="2021"/>
      <c r="AI151" s="2021"/>
    </row>
    <row r="152" spans="1:35" s="2009" customFormat="1" ht="12.75">
      <c r="A152" s="1321"/>
      <c r="B152" s="3632" t="s">
        <v>639</v>
      </c>
      <c r="C152" s="1452"/>
      <c r="D152" s="3041"/>
      <c r="E152" s="1969"/>
      <c r="F152" s="1969"/>
      <c r="G152" s="1969"/>
      <c r="H152" s="1969"/>
      <c r="I152" s="3050"/>
      <c r="J152" s="925"/>
      <c r="K152" s="417"/>
      <c r="L152" s="417"/>
      <c r="M152" s="417"/>
      <c r="N152" s="417"/>
      <c r="O152" s="418"/>
      <c r="P152" s="4201">
        <f>IFERROR((K152-J152)/J152,0)</f>
        <v>0</v>
      </c>
      <c r="Q152" s="2032"/>
      <c r="R152" s="1969"/>
      <c r="S152" s="1969"/>
      <c r="T152" s="1969"/>
      <c r="U152" s="1969"/>
      <c r="V152" s="2033"/>
      <c r="W152" s="4422"/>
      <c r="X152" s="4438">
        <f t="shared" ref="X152" si="360">IFERROR(J152/$C$1,0)</f>
        <v>0</v>
      </c>
      <c r="Y152" s="4438">
        <f t="shared" ref="Y152" si="361">IFERROR(K152/$C$1,0)</f>
        <v>0</v>
      </c>
      <c r="Z152" s="4438">
        <f t="shared" ref="Z152" si="362">IFERROR(L152/$C$1,0)</f>
        <v>0</v>
      </c>
      <c r="AA152" s="4438">
        <f t="shared" ref="AA152" si="363">IFERROR(M152/$C$1,0)</f>
        <v>0</v>
      </c>
      <c r="AB152" s="4438">
        <f t="shared" ref="AB152" si="364">IFERROR(N152/$C$1,0)</f>
        <v>0</v>
      </c>
      <c r="AC152" s="4438">
        <f t="shared" ref="AC152" si="365">IFERROR(O152/$C$1,0)</f>
        <v>0</v>
      </c>
      <c r="AD152" s="2021"/>
      <c r="AE152" s="2021"/>
      <c r="AF152" s="2021"/>
      <c r="AG152" s="2021"/>
      <c r="AH152" s="2021"/>
      <c r="AI152" s="2021"/>
    </row>
    <row r="153" spans="1:35" s="2009" customFormat="1" ht="12.75">
      <c r="A153" s="1323"/>
      <c r="B153" s="3609" t="s">
        <v>1428</v>
      </c>
      <c r="C153" s="3637" t="s">
        <v>170</v>
      </c>
      <c r="D153" s="3041"/>
      <c r="E153" s="1969"/>
      <c r="F153" s="1969"/>
      <c r="G153" s="1969"/>
      <c r="H153" s="1969"/>
      <c r="I153" s="3050"/>
      <c r="J153" s="3907"/>
      <c r="K153" s="3610">
        <f>IFERROR((K152-J152)/J152,0)</f>
        <v>0</v>
      </c>
      <c r="L153" s="3610">
        <f>IFERROR((L152-K152)/K152,0)</f>
        <v>0</v>
      </c>
      <c r="M153" s="3610">
        <f>IFERROR((M152-L152)/L152,0)</f>
        <v>0</v>
      </c>
      <c r="N153" s="3610">
        <f>IFERROR((N152-M152)/M152,0)</f>
        <v>0</v>
      </c>
      <c r="O153" s="3611">
        <f>IFERROR((O152-N152)/N152,0)</f>
        <v>0</v>
      </c>
      <c r="P153" s="4200"/>
      <c r="Q153" s="2032"/>
      <c r="R153" s="1969"/>
      <c r="S153" s="1969"/>
      <c r="T153" s="1969"/>
      <c r="U153" s="1969"/>
      <c r="V153" s="2033"/>
      <c r="W153" s="4422"/>
      <c r="X153" s="2021"/>
      <c r="Y153" s="2021"/>
      <c r="Z153" s="2021"/>
      <c r="AA153" s="2021"/>
      <c r="AB153" s="2021"/>
      <c r="AC153" s="2021"/>
      <c r="AD153" s="2021"/>
      <c r="AE153" s="2021"/>
      <c r="AF153" s="2021"/>
      <c r="AG153" s="2021"/>
      <c r="AH153" s="2021"/>
      <c r="AI153" s="2021"/>
    </row>
    <row r="154" spans="1:35" s="2009" customFormat="1" ht="21.75" customHeight="1">
      <c r="A154" s="1321"/>
      <c r="B154" s="1485" t="s">
        <v>638</v>
      </c>
      <c r="C154" s="1452"/>
      <c r="D154" s="3041"/>
      <c r="E154" s="1969"/>
      <c r="F154" s="1969"/>
      <c r="G154" s="1969"/>
      <c r="H154" s="1969"/>
      <c r="I154" s="3050"/>
      <c r="J154" s="3649">
        <f>J141-J144-J146-J148-J150-J152</f>
        <v>0</v>
      </c>
      <c r="K154" s="3626">
        <f t="shared" ref="K154:O154" si="366">K141-K144-K146-K148-K150-K152</f>
        <v>0</v>
      </c>
      <c r="L154" s="3626">
        <f t="shared" si="366"/>
        <v>0</v>
      </c>
      <c r="M154" s="3626">
        <f t="shared" si="366"/>
        <v>0</v>
      </c>
      <c r="N154" s="3626">
        <f t="shared" si="366"/>
        <v>0</v>
      </c>
      <c r="O154" s="3612">
        <f t="shared" si="366"/>
        <v>0</v>
      </c>
      <c r="P154" s="4201">
        <f>IFERROR((K154-J154)/J154,0)</f>
        <v>0</v>
      </c>
      <c r="Q154" s="2032"/>
      <c r="R154" s="1969"/>
      <c r="S154" s="1969"/>
      <c r="T154" s="1969"/>
      <c r="U154" s="1969"/>
      <c r="V154" s="2033"/>
      <c r="W154" s="4422"/>
      <c r="X154" s="4438">
        <f t="shared" ref="X154" si="367">IFERROR(J154/$C$1,0)</f>
        <v>0</v>
      </c>
      <c r="Y154" s="4438">
        <f t="shared" ref="Y154" si="368">IFERROR(K154/$C$1,0)</f>
        <v>0</v>
      </c>
      <c r="Z154" s="4438">
        <f t="shared" ref="Z154" si="369">IFERROR(L154/$C$1,0)</f>
        <v>0</v>
      </c>
      <c r="AA154" s="4438">
        <f t="shared" ref="AA154" si="370">IFERROR(M154/$C$1,0)</f>
        <v>0</v>
      </c>
      <c r="AB154" s="4438">
        <f t="shared" ref="AB154" si="371">IFERROR(N154/$C$1,0)</f>
        <v>0</v>
      </c>
      <c r="AC154" s="4438">
        <f t="shared" ref="AC154" si="372">IFERROR(O154/$C$1,0)</f>
        <v>0</v>
      </c>
      <c r="AD154" s="2021"/>
      <c r="AE154" s="2021"/>
      <c r="AF154" s="2021"/>
      <c r="AG154" s="2021"/>
      <c r="AH154" s="2021"/>
      <c r="AI154" s="2021"/>
    </row>
    <row r="155" spans="1:35" s="2009" customFormat="1" ht="15" customHeight="1">
      <c r="A155" s="3633"/>
      <c r="B155" s="3613" t="s">
        <v>1428</v>
      </c>
      <c r="C155" s="3641" t="s">
        <v>170</v>
      </c>
      <c r="D155" s="3041"/>
      <c r="E155" s="1969"/>
      <c r="F155" s="1969"/>
      <c r="G155" s="1969"/>
      <c r="H155" s="1969"/>
      <c r="I155" s="3050"/>
      <c r="J155" s="3614"/>
      <c r="K155" s="3610">
        <f>IFERROR((K154-J154)/J154,0)</f>
        <v>0</v>
      </c>
      <c r="L155" s="3610">
        <f>IFERROR((L154-K154)/K154,0)</f>
        <v>0</v>
      </c>
      <c r="M155" s="3610">
        <f>IFERROR((M154-L154)/L154,0)</f>
        <v>0</v>
      </c>
      <c r="N155" s="3610">
        <f>IFERROR((N154-M154)/M154,0)</f>
        <v>0</v>
      </c>
      <c r="O155" s="3611">
        <f>IFERROR((O154-N154)/N154,0)</f>
        <v>0</v>
      </c>
      <c r="P155" s="4037"/>
      <c r="Q155" s="2032"/>
      <c r="R155" s="1969"/>
      <c r="S155" s="1969"/>
      <c r="T155" s="1969"/>
      <c r="U155" s="1969"/>
      <c r="V155" s="2033"/>
      <c r="W155" s="4422"/>
      <c r="AD155" s="2021"/>
      <c r="AE155" s="2021"/>
      <c r="AF155" s="2021"/>
      <c r="AG155" s="2021"/>
      <c r="AH155" s="2021"/>
      <c r="AI155" s="2021"/>
    </row>
    <row r="156" spans="1:35" ht="13.5" customHeight="1" thickBot="1">
      <c r="A156" s="5083"/>
      <c r="B156" s="5084"/>
      <c r="C156" s="5084"/>
      <c r="D156" s="5084"/>
      <c r="E156" s="5084"/>
      <c r="F156" s="5084"/>
      <c r="G156" s="5084"/>
      <c r="H156" s="5084"/>
      <c r="I156" s="5084"/>
      <c r="J156" s="5084"/>
      <c r="K156" s="5084"/>
      <c r="L156" s="5084"/>
      <c r="M156" s="5084"/>
      <c r="N156" s="5084"/>
      <c r="O156" s="5084"/>
      <c r="P156" s="5084"/>
      <c r="Q156" s="5084"/>
      <c r="R156" s="5084"/>
      <c r="S156" s="5084"/>
      <c r="T156" s="5084"/>
      <c r="U156" s="5084"/>
      <c r="V156" s="5085"/>
      <c r="W156" s="4422"/>
    </row>
    <row r="157" spans="1:35" s="1977" customFormat="1">
      <c r="B157" s="2037"/>
      <c r="K157" s="1979"/>
      <c r="L157" s="1979"/>
      <c r="M157" s="1979"/>
      <c r="N157" s="1979"/>
      <c r="O157" s="1979"/>
      <c r="P157" s="1979"/>
      <c r="Q157" s="1979"/>
      <c r="AD157" s="2021"/>
      <c r="AE157" s="2021"/>
      <c r="AF157" s="2021"/>
      <c r="AG157" s="2021"/>
      <c r="AH157" s="2021"/>
      <c r="AI157" s="2021"/>
    </row>
    <row r="158" spans="1:35" s="1977" customFormat="1">
      <c r="K158" s="1979"/>
      <c r="L158" s="1979"/>
      <c r="M158" s="1979"/>
      <c r="N158" s="1979"/>
      <c r="O158" s="1979"/>
      <c r="P158" s="1979"/>
      <c r="Q158" s="1979"/>
      <c r="AD158" s="2021"/>
      <c r="AE158" s="2021"/>
      <c r="AF158" s="2021"/>
      <c r="AG158" s="2021"/>
      <c r="AH158" s="2021"/>
      <c r="AI158" s="2021"/>
    </row>
    <row r="159" spans="1:35" s="1977" customFormat="1">
      <c r="A159" s="2038" t="s">
        <v>1739</v>
      </c>
      <c r="D159" s="1984"/>
      <c r="E159" s="1984"/>
      <c r="F159" s="1984"/>
      <c r="G159" s="1984"/>
      <c r="I159" s="1975"/>
      <c r="K159" s="1979"/>
      <c r="L159" s="1979"/>
      <c r="M159" s="1979"/>
      <c r="N159" s="1979"/>
      <c r="O159" s="1979"/>
      <c r="P159" s="1979"/>
      <c r="Q159" s="1979"/>
      <c r="AD159" s="2021"/>
      <c r="AE159" s="2021"/>
      <c r="AF159" s="2021"/>
      <c r="AG159" s="2021"/>
      <c r="AH159" s="2021"/>
      <c r="AI159" s="2021"/>
    </row>
    <row r="160" spans="1:35" s="1977" customFormat="1">
      <c r="H160" s="1984"/>
      <c r="I160" s="1975"/>
      <c r="J160" s="1984"/>
      <c r="K160" s="2039"/>
      <c r="L160" s="2039"/>
      <c r="M160" s="2039"/>
      <c r="N160" s="2039"/>
      <c r="O160" s="2039"/>
      <c r="P160" s="2039"/>
      <c r="Q160" s="2039"/>
      <c r="AD160" s="2021"/>
      <c r="AE160" s="2021"/>
      <c r="AF160" s="2021"/>
      <c r="AG160" s="2021"/>
      <c r="AH160" s="2021"/>
      <c r="AI160" s="2021"/>
    </row>
    <row r="161" spans="1:35" s="1977" customFormat="1">
      <c r="I161" s="1975"/>
      <c r="J161" s="1984"/>
      <c r="K161" s="2039"/>
      <c r="L161" s="2039"/>
      <c r="M161" s="2039"/>
      <c r="N161" s="2039"/>
      <c r="O161" s="2039"/>
      <c r="P161" s="2039"/>
      <c r="Q161" s="2039"/>
      <c r="AD161" s="2021"/>
      <c r="AE161" s="2021"/>
      <c r="AF161" s="2021"/>
      <c r="AG161" s="2021"/>
      <c r="AH161" s="2021"/>
      <c r="AI161" s="2021"/>
    </row>
    <row r="162" spans="1:35" s="1982" customFormat="1">
      <c r="A162" s="5087" t="s">
        <v>187</v>
      </c>
      <c r="B162" s="5087"/>
      <c r="C162" s="5087"/>
      <c r="D162" s="5087"/>
      <c r="E162" s="2041"/>
      <c r="F162" s="2041"/>
      <c r="G162" s="2041"/>
      <c r="H162" s="2041"/>
      <c r="I162" s="2041"/>
      <c r="J162" s="2040"/>
      <c r="K162" s="2040"/>
      <c r="L162" s="2040"/>
      <c r="M162" s="2040"/>
      <c r="N162" s="2040"/>
      <c r="O162" s="2040"/>
      <c r="P162" s="2040"/>
      <c r="Q162" s="2040"/>
      <c r="AD162" s="2021"/>
      <c r="AE162" s="2021"/>
      <c r="AF162" s="2021"/>
      <c r="AG162" s="2021"/>
      <c r="AH162" s="2021"/>
      <c r="AI162" s="2021"/>
    </row>
    <row r="163" spans="1:35">
      <c r="A163" s="5088" t="s">
        <v>188</v>
      </c>
      <c r="B163" s="5088"/>
      <c r="C163" s="5088"/>
      <c r="D163" s="5088"/>
    </row>
    <row r="164" spans="1:35">
      <c r="A164" s="4165" t="s">
        <v>1374</v>
      </c>
      <c r="B164" s="4165"/>
      <c r="C164" s="4165"/>
      <c r="D164" s="4165"/>
    </row>
    <row r="165" spans="1:35" ht="30" customHeight="1">
      <c r="A165" s="5089" t="str">
        <f>+"3. Справка № 8 се попълва за  ВС Основна и ВС Доставяне на вода с непитейни качества. За ВС Доставяне на вода на друг ВиК оператор се посочват разпределените разходи за ремонт съгласно указания НРЦВКУ и принципите на ЕСРО за регулаторен период "&amp;E8&amp;"-"&amp;I8&amp;" в Справка № 12.  "</f>
        <v xml:space="preserve">3. Справка № 8 се попълва за  ВС Основна и ВС Доставяне на вода с непитейни качества. За ВС Доставяне на вода на друг ВиК оператор се посочват разпределените разходи за ремонт съгласно указания НРЦВКУ и принципите на ЕСРО за регулаторен период 2027 г.-2031 г. в Справка № 12.  </v>
      </c>
      <c r="B165" s="5089"/>
      <c r="C165" s="5089"/>
      <c r="D165" s="5089"/>
      <c r="E165" s="5089"/>
      <c r="F165" s="5089"/>
      <c r="G165" s="5089"/>
      <c r="H165" s="5089"/>
      <c r="I165" s="5089"/>
      <c r="J165" s="5089"/>
      <c r="K165" s="5089"/>
      <c r="L165" s="5089"/>
      <c r="M165" s="5089"/>
      <c r="N165" s="5089"/>
      <c r="O165" s="5089"/>
      <c r="P165" s="4019"/>
      <c r="Q165" s="2037"/>
    </row>
  </sheetData>
  <sheetProtection algorithmName="SHA-512" hashValue="QNSB2FcL3JMbAGkSIvyG3JOzETFdh5bFd/yiiuYVCWl0LfnMQNCOo9sSxtraYoO7rhs3L6sXBB3BjuVaoQ0MLw==" saltValue="928wXICyQVqSos2y4LSNYA==" spinCount="100000" sheet="1" formatCells="0" formatColumns="0" formatRows="0"/>
  <mergeCells count="31">
    <mergeCell ref="A156:V156"/>
    <mergeCell ref="T1:V1"/>
    <mergeCell ref="A162:D162"/>
    <mergeCell ref="A163:D163"/>
    <mergeCell ref="A165:O165"/>
    <mergeCell ref="A2:V2"/>
    <mergeCell ref="A3:V3"/>
    <mergeCell ref="A4:V4"/>
    <mergeCell ref="A5:V5"/>
    <mergeCell ref="N1:O1"/>
    <mergeCell ref="J7:O7"/>
    <mergeCell ref="Q7:V7"/>
    <mergeCell ref="C9:V9"/>
    <mergeCell ref="C40:V40"/>
    <mergeCell ref="C69:V69"/>
    <mergeCell ref="C95:V95"/>
    <mergeCell ref="C126:V126"/>
    <mergeCell ref="D7:I7"/>
    <mergeCell ref="A7:A8"/>
    <mergeCell ref="B7:B8"/>
    <mergeCell ref="C7:C8"/>
    <mergeCell ref="P7:P8"/>
    <mergeCell ref="A39:V39"/>
    <mergeCell ref="A68:V68"/>
    <mergeCell ref="A94:V94"/>
    <mergeCell ref="A125:V125"/>
    <mergeCell ref="X7:AC7"/>
    <mergeCell ref="AD7:AI7"/>
    <mergeCell ref="A1:B1"/>
    <mergeCell ref="C1:D1"/>
    <mergeCell ref="A6:J6"/>
  </mergeCells>
  <printOptions horizontalCentered="1"/>
  <pageMargins left="0" right="0" top="0.59055118110236227" bottom="0.19685039370078741" header="0.31496062992125984" footer="0.11811023622047245"/>
  <pageSetup paperSize="9" scale="60" orientation="landscape" r:id="rId1"/>
  <headerFooter alignWithMargins="0">
    <oddFooter>&amp;C&amp;A&amp;RСтр. &amp;P от &amp;N</oddFooter>
  </headerFooter>
  <rowBreaks count="3" manualBreakCount="3">
    <brk id="54" max="34" man="1"/>
    <brk id="94" max="34" man="1"/>
    <brk id="142" max="34" man="1"/>
  </rowBreaks>
  <colBreaks count="1" manualBreakCount="1">
    <brk id="22" max="16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BCF6C6"/>
  </sheetPr>
  <dimension ref="A1:CF170"/>
  <sheetViews>
    <sheetView showGridLines="0" view="pageBreakPreview" zoomScale="85" zoomScaleNormal="55" zoomScaleSheetLayoutView="85" workbookViewId="0">
      <pane xSplit="5" ySplit="11" topLeftCell="F12" activePane="bottomRight" state="frozen"/>
      <selection pane="topRight" activeCell="F1" sqref="F1"/>
      <selection pane="bottomLeft" activeCell="A12" sqref="A12"/>
      <selection pane="bottomRight" activeCell="Q11" sqref="Q11"/>
    </sheetView>
  </sheetViews>
  <sheetFormatPr defaultColWidth="9.140625" defaultRowHeight="12.75"/>
  <cols>
    <col min="1" max="1" width="2.5703125" style="1238" customWidth="1"/>
    <col min="2" max="2" width="6.5703125" style="1238" customWidth="1"/>
    <col min="3" max="3" width="14" style="1238" customWidth="1"/>
    <col min="4" max="4" width="4.5703125" style="1239" customWidth="1"/>
    <col min="5" max="5" width="26.5703125" style="1240" customWidth="1"/>
    <col min="6" max="7" width="6" style="1279" customWidth="1"/>
    <col min="8" max="8" width="6.140625" style="1279" customWidth="1"/>
    <col min="9" max="11" width="8.85546875" style="1280" bestFit="1" customWidth="1"/>
    <col min="12" max="13" width="6.140625" style="1280" customWidth="1"/>
    <col min="14" max="14" width="12.5703125" style="1238" bestFit="1" customWidth="1"/>
    <col min="15" max="17" width="6.42578125" style="1241" customWidth="1"/>
    <col min="18" max="22" width="6.42578125" style="1238" customWidth="1"/>
    <col min="23" max="25" width="6.42578125" style="1241" customWidth="1"/>
    <col min="26" max="30" width="6.140625" style="1238" customWidth="1"/>
    <col min="31" max="33" width="7.42578125" style="1241" customWidth="1"/>
    <col min="34" max="36" width="8.85546875" style="1238" bestFit="1" customWidth="1"/>
    <col min="37" max="38" width="7.42578125" style="1238" customWidth="1"/>
    <col min="39" max="39" width="21.42578125" style="1242" bestFit="1" customWidth="1"/>
    <col min="40" max="40" width="82.42578125" style="1240" customWidth="1"/>
    <col min="41" max="41" width="5.42578125" style="1242" customWidth="1"/>
    <col min="42" max="43" width="7.140625" style="1242" customWidth="1"/>
    <col min="44" max="48" width="7.140625" style="1238" customWidth="1"/>
    <col min="49" max="49" width="7.140625" style="1239" customWidth="1"/>
    <col min="50" max="50" width="51.5703125" style="1243" customWidth="1"/>
    <col min="51" max="51" width="2.85546875" style="1239" customWidth="1"/>
    <col min="52" max="16384" width="9.140625" style="1239"/>
  </cols>
  <sheetData>
    <row r="1" spans="1:84" ht="31.35" customHeight="1" thickBot="1">
      <c r="A1" s="5121" t="str">
        <f>+'1. Обща информация'!B40</f>
        <v>Фиксиран курс на лева към 1 евро</v>
      </c>
      <c r="B1" s="5122"/>
      <c r="C1" s="5122"/>
      <c r="D1" s="5123"/>
      <c r="E1" s="4442">
        <f>+'1. Обща информация'!$C$40</f>
        <v>1.95583</v>
      </c>
      <c r="F1" s="1241"/>
      <c r="G1" s="1241"/>
      <c r="H1" s="1241"/>
      <c r="I1" s="1238"/>
      <c r="J1" s="1238"/>
      <c r="K1" s="1238"/>
      <c r="L1" s="1238"/>
      <c r="M1" s="1238"/>
      <c r="Q1" s="3676"/>
      <c r="R1" s="3676"/>
      <c r="T1" s="2042"/>
      <c r="U1" s="2042"/>
      <c r="V1" s="2042"/>
      <c r="AE1" s="2043"/>
      <c r="AF1" s="2043"/>
      <c r="AG1" s="2043"/>
      <c r="AH1" s="2043"/>
      <c r="AI1" s="2043"/>
      <c r="AJ1" s="2043"/>
      <c r="AK1" s="3676" t="s">
        <v>189</v>
      </c>
      <c r="AL1" s="2043"/>
      <c r="AN1" s="2044"/>
      <c r="AO1" s="3676"/>
    </row>
    <row r="2" spans="1:84" ht="18.75">
      <c r="A2" s="5109" t="s">
        <v>1375</v>
      </c>
      <c r="B2" s="5109"/>
      <c r="C2" s="5109"/>
      <c r="D2" s="5109"/>
      <c r="E2" s="5109"/>
      <c r="F2" s="5109"/>
      <c r="G2" s="5109"/>
      <c r="H2" s="5109"/>
      <c r="I2" s="5109"/>
      <c r="J2" s="5109"/>
      <c r="K2" s="5109"/>
      <c r="L2" s="5109"/>
      <c r="M2" s="5109"/>
      <c r="N2" s="5109"/>
      <c r="O2" s="5109"/>
      <c r="P2" s="5109"/>
      <c r="Q2" s="5109"/>
      <c r="R2" s="5109"/>
      <c r="S2" s="5109"/>
      <c r="T2" s="5109"/>
      <c r="U2" s="5109"/>
      <c r="V2" s="5109"/>
      <c r="W2" s="5109"/>
      <c r="X2" s="5109"/>
      <c r="Y2" s="5109"/>
      <c r="Z2" s="5109"/>
      <c r="AA2" s="5109"/>
      <c r="AB2" s="5109"/>
      <c r="AC2" s="5109"/>
      <c r="AD2" s="5109"/>
      <c r="AE2" s="5109"/>
      <c r="AF2" s="5109"/>
      <c r="AG2" s="5109"/>
      <c r="AH2" s="5109"/>
      <c r="AI2" s="5109"/>
      <c r="AJ2" s="5109"/>
      <c r="AK2" s="5109"/>
      <c r="AL2" s="5109"/>
      <c r="AM2" s="3675"/>
      <c r="AN2" s="2045"/>
      <c r="AO2" s="3676"/>
      <c r="AV2" s="3676"/>
    </row>
    <row r="3" spans="1:84" ht="18.75">
      <c r="A3" s="5109" t="s">
        <v>1009</v>
      </c>
      <c r="B3" s="5109"/>
      <c r="C3" s="5109"/>
      <c r="D3" s="5109"/>
      <c r="E3" s="5109"/>
      <c r="F3" s="5109"/>
      <c r="G3" s="5109"/>
      <c r="H3" s="5109"/>
      <c r="I3" s="5109"/>
      <c r="J3" s="5109"/>
      <c r="K3" s="5109"/>
      <c r="L3" s="5109"/>
      <c r="M3" s="5109"/>
      <c r="N3" s="5109"/>
      <c r="O3" s="5109"/>
      <c r="P3" s="5109"/>
      <c r="Q3" s="5109"/>
      <c r="R3" s="5109"/>
      <c r="S3" s="5109"/>
      <c r="T3" s="5109"/>
      <c r="U3" s="5109"/>
      <c r="V3" s="5109"/>
      <c r="W3" s="5109"/>
      <c r="X3" s="5109"/>
      <c r="Y3" s="5109"/>
      <c r="Z3" s="5109"/>
      <c r="AA3" s="5109"/>
      <c r="AB3" s="5109"/>
      <c r="AC3" s="5109"/>
      <c r="AD3" s="5109"/>
      <c r="AE3" s="5109"/>
      <c r="AF3" s="5109"/>
      <c r="AG3" s="5109"/>
      <c r="AH3" s="5109"/>
      <c r="AI3" s="5109"/>
      <c r="AJ3" s="5109"/>
      <c r="AK3" s="5109"/>
      <c r="AL3" s="5109"/>
      <c r="AM3" s="3675"/>
      <c r="AN3" s="2045"/>
      <c r="AO3" s="1238"/>
      <c r="AP3" s="1238"/>
      <c r="AQ3" s="1238"/>
      <c r="AX3" s="2046"/>
    </row>
    <row r="4" spans="1:84" ht="18.75">
      <c r="A4" s="5119" t="str">
        <f>'1. Обща информация'!A4:D4</f>
        <v>на ВОДОСНАБДЯВАНЕ И КАНАЛИЗАЦИЯ ЕООД, гр. ХАСКОВО</v>
      </c>
      <c r="B4" s="5119"/>
      <c r="C4" s="5119"/>
      <c r="D4" s="5119"/>
      <c r="E4" s="5119"/>
      <c r="F4" s="5119"/>
      <c r="G4" s="5119"/>
      <c r="H4" s="5119"/>
      <c r="I4" s="5119"/>
      <c r="J4" s="5119"/>
      <c r="K4" s="5119"/>
      <c r="L4" s="5119"/>
      <c r="M4" s="5119"/>
      <c r="N4" s="5119"/>
      <c r="O4" s="5119"/>
      <c r="P4" s="5119"/>
      <c r="Q4" s="5119"/>
      <c r="R4" s="5119"/>
      <c r="S4" s="5119"/>
      <c r="T4" s="5119"/>
      <c r="U4" s="5119"/>
      <c r="V4" s="5119"/>
      <c r="W4" s="5119"/>
      <c r="X4" s="5119"/>
      <c r="Y4" s="5119"/>
      <c r="Z4" s="5119"/>
      <c r="AA4" s="5119"/>
      <c r="AB4" s="5119"/>
      <c r="AC4" s="5119"/>
      <c r="AD4" s="5119"/>
      <c r="AE4" s="5119"/>
      <c r="AF4" s="5119"/>
      <c r="AG4" s="5119"/>
      <c r="AH4" s="5119"/>
      <c r="AI4" s="5119"/>
      <c r="AJ4" s="5119"/>
      <c r="AK4" s="5119"/>
      <c r="AL4" s="5119"/>
      <c r="AM4" s="3677"/>
      <c r="AN4" s="2047"/>
      <c r="AO4" s="2048"/>
      <c r="AP4" s="2048"/>
      <c r="AQ4" s="2048"/>
      <c r="AR4" s="2048"/>
      <c r="AS4" s="2048"/>
      <c r="AT4" s="2048"/>
      <c r="AU4" s="2048"/>
      <c r="AV4" s="2048"/>
      <c r="AW4" s="1244"/>
      <c r="AX4" s="2049"/>
      <c r="AY4" s="1244"/>
      <c r="AZ4" s="1244"/>
      <c r="BA4" s="1244"/>
      <c r="BB4" s="1244"/>
      <c r="BC4" s="1244"/>
      <c r="BD4" s="1244"/>
      <c r="BE4" s="1244"/>
      <c r="BF4" s="1244"/>
    </row>
    <row r="5" spans="1:84" ht="18.75">
      <c r="A5" s="5119" t="str">
        <f>'1. Обща информация'!A5:D5</f>
        <v>ЕИК по БУЛСТАТ: 126004284</v>
      </c>
      <c r="B5" s="5119"/>
      <c r="C5" s="5119"/>
      <c r="D5" s="5119"/>
      <c r="E5" s="5119"/>
      <c r="F5" s="5119"/>
      <c r="G5" s="5119"/>
      <c r="H5" s="5119"/>
      <c r="I5" s="5119"/>
      <c r="J5" s="5119"/>
      <c r="K5" s="5119"/>
      <c r="L5" s="5119"/>
      <c r="M5" s="5119"/>
      <c r="N5" s="5119"/>
      <c r="O5" s="5119"/>
      <c r="P5" s="5119"/>
      <c r="Q5" s="5119"/>
      <c r="R5" s="5119"/>
      <c r="S5" s="5119"/>
      <c r="T5" s="5119"/>
      <c r="U5" s="5119"/>
      <c r="V5" s="5119"/>
      <c r="W5" s="5119"/>
      <c r="X5" s="5119"/>
      <c r="Y5" s="5119"/>
      <c r="Z5" s="5119"/>
      <c r="AA5" s="5119"/>
      <c r="AB5" s="5119"/>
      <c r="AC5" s="5119"/>
      <c r="AD5" s="5119"/>
      <c r="AE5" s="5119"/>
      <c r="AF5" s="5119"/>
      <c r="AG5" s="5119"/>
      <c r="AH5" s="5119"/>
      <c r="AI5" s="5119"/>
      <c r="AJ5" s="5119"/>
      <c r="AK5" s="5119"/>
      <c r="AL5" s="5119"/>
      <c r="AM5" s="3677"/>
      <c r="AN5" s="2047"/>
      <c r="AO5" s="2048"/>
      <c r="AP5" s="2048"/>
      <c r="AQ5" s="2048"/>
      <c r="AR5" s="2048"/>
      <c r="AS5" s="2048"/>
      <c r="AT5" s="2048"/>
      <c r="AU5" s="2048"/>
      <c r="AV5" s="2048"/>
      <c r="AW5" s="1244"/>
      <c r="AX5" s="2049"/>
      <c r="AY5" s="1244"/>
      <c r="AZ5" s="1244"/>
      <c r="BA5" s="1244"/>
      <c r="BB5" s="1244"/>
      <c r="BC5" s="1244"/>
      <c r="BD5" s="1244"/>
      <c r="BE5" s="1244"/>
      <c r="BF5" s="1244"/>
    </row>
    <row r="6" spans="1:84" ht="13.5">
      <c r="F6" s="1241"/>
      <c r="G6" s="1241"/>
      <c r="H6" s="1241"/>
      <c r="I6" s="1238"/>
      <c r="J6" s="1238"/>
      <c r="K6" s="1238"/>
      <c r="L6" s="1238"/>
      <c r="M6" s="1238"/>
      <c r="Q6" s="3676"/>
      <c r="R6" s="3676"/>
      <c r="T6" s="2042"/>
      <c r="U6" s="2042"/>
      <c r="V6" s="2042"/>
      <c r="AE6" s="2043"/>
      <c r="AF6" s="2043"/>
      <c r="AG6" s="2043"/>
      <c r="AH6" s="2043"/>
      <c r="AI6" s="2043"/>
      <c r="AJ6" s="2043"/>
      <c r="AK6" s="2043"/>
      <c r="AL6" s="2043"/>
      <c r="AM6" s="5118"/>
      <c r="AN6" s="5118"/>
      <c r="AO6" s="1238"/>
      <c r="AP6" s="1238"/>
      <c r="AQ6" s="1238"/>
    </row>
    <row r="7" spans="1:84" ht="13.5" thickBot="1">
      <c r="A7" s="2050"/>
      <c r="B7" s="2050"/>
      <c r="C7" s="2050"/>
      <c r="D7" s="2050"/>
      <c r="E7" s="2050"/>
      <c r="F7" s="2050"/>
      <c r="G7" s="2050"/>
      <c r="H7" s="2050"/>
      <c r="I7" s="2050"/>
      <c r="J7" s="2050"/>
      <c r="K7" s="2050"/>
      <c r="L7" s="2050"/>
      <c r="M7" s="2050"/>
      <c r="N7" s="2050"/>
      <c r="O7" s="2050"/>
      <c r="P7" s="2050"/>
      <c r="Q7" s="2050"/>
      <c r="R7" s="2050"/>
      <c r="S7" s="2050"/>
      <c r="T7" s="2050"/>
      <c r="U7" s="2050"/>
      <c r="V7" s="2050"/>
      <c r="W7" s="2050"/>
      <c r="X7" s="2050"/>
      <c r="Y7" s="2050"/>
      <c r="Z7" s="2050"/>
      <c r="AA7" s="2050"/>
      <c r="AB7" s="2050"/>
      <c r="AC7" s="2050"/>
      <c r="AD7" s="2050"/>
      <c r="AE7" s="2051"/>
      <c r="AF7" s="2051"/>
      <c r="AG7" s="2051"/>
      <c r="AH7" s="2051"/>
      <c r="AI7" s="2051"/>
      <c r="AJ7" s="2051"/>
      <c r="AK7" s="2051"/>
      <c r="AL7" s="2051"/>
      <c r="AM7" s="2052"/>
      <c r="AN7" s="2050"/>
      <c r="AO7" s="1238"/>
      <c r="AP7" s="1238"/>
      <c r="AQ7" s="1238"/>
      <c r="AX7" s="2046"/>
    </row>
    <row r="8" spans="1:84" s="1245" customFormat="1" ht="14.45" customHeight="1" thickBot="1">
      <c r="A8" s="5113" t="s">
        <v>203</v>
      </c>
      <c r="B8" s="5098" t="s">
        <v>353</v>
      </c>
      <c r="C8" s="5098" t="s">
        <v>1499</v>
      </c>
      <c r="D8" s="5098" t="s">
        <v>1500</v>
      </c>
      <c r="E8" s="5098" t="s">
        <v>204</v>
      </c>
      <c r="F8" s="5106" t="s">
        <v>333</v>
      </c>
      <c r="G8" s="5107"/>
      <c r="H8" s="5107"/>
      <c r="I8" s="5107"/>
      <c r="J8" s="5107"/>
      <c r="K8" s="5107"/>
      <c r="L8" s="5107"/>
      <c r="M8" s="5108"/>
      <c r="N8" s="5098" t="str">
        <f>+I9&amp;" - "&amp; M9</f>
        <v>2027 г. - 2031 г.</v>
      </c>
      <c r="O8" s="5103" t="s">
        <v>1335</v>
      </c>
      <c r="P8" s="5104"/>
      <c r="Q8" s="5104"/>
      <c r="R8" s="5104"/>
      <c r="S8" s="5104"/>
      <c r="T8" s="5104"/>
      <c r="U8" s="5104"/>
      <c r="V8" s="5105"/>
      <c r="W8" s="5103" t="s">
        <v>1249</v>
      </c>
      <c r="X8" s="5104"/>
      <c r="Y8" s="5104"/>
      <c r="Z8" s="5104"/>
      <c r="AA8" s="5104"/>
      <c r="AB8" s="5104"/>
      <c r="AC8" s="5104"/>
      <c r="AD8" s="5105"/>
      <c r="AE8" s="5103" t="s">
        <v>1852</v>
      </c>
      <c r="AF8" s="5104"/>
      <c r="AG8" s="5104"/>
      <c r="AH8" s="5104"/>
      <c r="AI8" s="5104"/>
      <c r="AJ8" s="5104"/>
      <c r="AK8" s="5104"/>
      <c r="AL8" s="5105"/>
      <c r="AM8" s="5101" t="s">
        <v>1046</v>
      </c>
      <c r="AN8" s="5096" t="s">
        <v>1045</v>
      </c>
      <c r="AO8" s="5115" t="s">
        <v>675</v>
      </c>
      <c r="AP8" s="5116"/>
      <c r="AQ8" s="5116"/>
      <c r="AR8" s="5116"/>
      <c r="AS8" s="5116"/>
      <c r="AT8" s="5116"/>
      <c r="AU8" s="5116"/>
      <c r="AV8" s="5116"/>
      <c r="AW8" s="5117"/>
      <c r="AX8" s="5098" t="s">
        <v>352</v>
      </c>
      <c r="AY8" s="4422"/>
      <c r="AZ8" s="5120" t="s">
        <v>1888</v>
      </c>
      <c r="BA8" s="5120"/>
      <c r="BB8" s="5120"/>
      <c r="BC8" s="5120"/>
      <c r="BD8" s="5120"/>
      <c r="BE8" s="5120"/>
      <c r="BF8" s="5120"/>
      <c r="BG8" s="5120"/>
      <c r="BH8" s="4986" t="str">
        <f>+BC9&amp;" - "&amp; BG9</f>
        <v>2027 г. - 2031 г.</v>
      </c>
      <c r="BI8" s="5120" t="s">
        <v>1889</v>
      </c>
      <c r="BJ8" s="5120"/>
      <c r="BK8" s="5120"/>
      <c r="BL8" s="5120"/>
      <c r="BM8" s="5120"/>
      <c r="BN8" s="5120"/>
      <c r="BO8" s="5120"/>
      <c r="BP8" s="5120"/>
      <c r="BQ8" s="5120" t="s">
        <v>1890</v>
      </c>
      <c r="BR8" s="5120"/>
      <c r="BS8" s="5120"/>
      <c r="BT8" s="5120"/>
      <c r="BU8" s="5120"/>
      <c r="BV8" s="5120"/>
      <c r="BW8" s="5120"/>
      <c r="BX8" s="5120"/>
      <c r="BY8" s="5120" t="s">
        <v>1891</v>
      </c>
      <c r="BZ8" s="5120"/>
      <c r="CA8" s="5120"/>
      <c r="CB8" s="5120"/>
      <c r="CC8" s="5120"/>
      <c r="CD8" s="5120"/>
      <c r="CE8" s="5120"/>
      <c r="CF8" s="5120"/>
    </row>
    <row r="9" spans="1:84" ht="36.75" thickBot="1">
      <c r="A9" s="5114"/>
      <c r="B9" s="5099"/>
      <c r="C9" s="5099"/>
      <c r="D9" s="5099"/>
      <c r="E9" s="5099"/>
      <c r="F9" s="2053" t="str">
        <f>'Приложение '!$C12</f>
        <v>2024 г.</v>
      </c>
      <c r="G9" s="2053" t="str">
        <f>+'11. Амортиз. план'!E8</f>
        <v>2025 г.</v>
      </c>
      <c r="H9" s="2054" t="str">
        <f>'Приложение '!$C13</f>
        <v>2026 г.</v>
      </c>
      <c r="I9" s="2055" t="str">
        <f>'Приложение '!$C14</f>
        <v>2027 г.</v>
      </c>
      <c r="J9" s="2056" t="str">
        <f>'Приложение '!$C15</f>
        <v>2028 г.</v>
      </c>
      <c r="K9" s="2056" t="str">
        <f>'Приложение '!$C16</f>
        <v>2029 г.</v>
      </c>
      <c r="L9" s="2056" t="str">
        <f>'Приложение '!$C17</f>
        <v>2030 г.</v>
      </c>
      <c r="M9" s="2057" t="str">
        <f>'Приложение '!$C18</f>
        <v>2031 г.</v>
      </c>
      <c r="N9" s="5099"/>
      <c r="O9" s="2058" t="str">
        <f t="shared" ref="O9:V9" si="0">F9</f>
        <v>2024 г.</v>
      </c>
      <c r="P9" s="2058" t="str">
        <f t="shared" si="0"/>
        <v>2025 г.</v>
      </c>
      <c r="Q9" s="2059" t="str">
        <f t="shared" si="0"/>
        <v>2026 г.</v>
      </c>
      <c r="R9" s="2060" t="str">
        <f t="shared" si="0"/>
        <v>2027 г.</v>
      </c>
      <c r="S9" s="2061" t="str">
        <f t="shared" si="0"/>
        <v>2028 г.</v>
      </c>
      <c r="T9" s="2061" t="str">
        <f t="shared" si="0"/>
        <v>2029 г.</v>
      </c>
      <c r="U9" s="2061" t="str">
        <f t="shared" si="0"/>
        <v>2030 г.</v>
      </c>
      <c r="V9" s="2062" t="str">
        <f t="shared" si="0"/>
        <v>2031 г.</v>
      </c>
      <c r="W9" s="2063" t="str">
        <f t="shared" ref="W9:AD9" si="1">O9</f>
        <v>2024 г.</v>
      </c>
      <c r="X9" s="2063" t="str">
        <f t="shared" si="1"/>
        <v>2025 г.</v>
      </c>
      <c r="Y9" s="2059" t="str">
        <f t="shared" si="1"/>
        <v>2026 г.</v>
      </c>
      <c r="Z9" s="2060" t="str">
        <f t="shared" si="1"/>
        <v>2027 г.</v>
      </c>
      <c r="AA9" s="2061" t="str">
        <f t="shared" si="1"/>
        <v>2028 г.</v>
      </c>
      <c r="AB9" s="2061" t="str">
        <f t="shared" si="1"/>
        <v>2029 г.</v>
      </c>
      <c r="AC9" s="2061" t="str">
        <f t="shared" si="1"/>
        <v>2030 г.</v>
      </c>
      <c r="AD9" s="2062" t="str">
        <f t="shared" si="1"/>
        <v>2031 г.</v>
      </c>
      <c r="AE9" s="2063" t="str">
        <f t="shared" ref="AE9:AJ9" si="2">O9</f>
        <v>2024 г.</v>
      </c>
      <c r="AF9" s="2063" t="str">
        <f t="shared" si="2"/>
        <v>2025 г.</v>
      </c>
      <c r="AG9" s="2059" t="str">
        <f t="shared" si="2"/>
        <v>2026 г.</v>
      </c>
      <c r="AH9" s="2060" t="str">
        <f t="shared" si="2"/>
        <v>2027 г.</v>
      </c>
      <c r="AI9" s="2061" t="str">
        <f t="shared" si="2"/>
        <v>2028 г.</v>
      </c>
      <c r="AJ9" s="2061" t="str">
        <f t="shared" si="2"/>
        <v>2029 г.</v>
      </c>
      <c r="AK9" s="2061" t="str">
        <f t="shared" ref="AK9" si="3">U9</f>
        <v>2030 г.</v>
      </c>
      <c r="AL9" s="2062" t="str">
        <f t="shared" ref="AL9" si="4">AD9</f>
        <v>2031 г.</v>
      </c>
      <c r="AM9" s="5102"/>
      <c r="AN9" s="5097"/>
      <c r="AO9" s="2064" t="s">
        <v>746</v>
      </c>
      <c r="AP9" s="2065" t="str">
        <f t="shared" ref="AP9:AW9" si="5">F9</f>
        <v>2024 г.</v>
      </c>
      <c r="AQ9" s="4108" t="str">
        <f t="shared" si="5"/>
        <v>2025 г.</v>
      </c>
      <c r="AR9" s="4107" t="str">
        <f t="shared" si="5"/>
        <v>2026 г.</v>
      </c>
      <c r="AS9" s="2066" t="str">
        <f t="shared" si="5"/>
        <v>2027 г.</v>
      </c>
      <c r="AT9" s="2066" t="str">
        <f t="shared" si="5"/>
        <v>2028 г.</v>
      </c>
      <c r="AU9" s="2066" t="str">
        <f t="shared" si="5"/>
        <v>2029 г.</v>
      </c>
      <c r="AV9" s="2066" t="str">
        <f t="shared" si="5"/>
        <v>2030 г.</v>
      </c>
      <c r="AW9" s="2067" t="str">
        <f t="shared" si="5"/>
        <v>2031 г.</v>
      </c>
      <c r="AX9" s="5099"/>
      <c r="AY9" s="4422"/>
      <c r="AZ9" s="4441" t="str">
        <f>+F9</f>
        <v>2024 г.</v>
      </c>
      <c r="BA9" s="4441" t="str">
        <f t="shared" ref="BA9:BG9" si="6">+G9</f>
        <v>2025 г.</v>
      </c>
      <c r="BB9" s="4441" t="str">
        <f t="shared" si="6"/>
        <v>2026 г.</v>
      </c>
      <c r="BC9" s="4441" t="str">
        <f t="shared" si="6"/>
        <v>2027 г.</v>
      </c>
      <c r="BD9" s="4441" t="str">
        <f t="shared" si="6"/>
        <v>2028 г.</v>
      </c>
      <c r="BE9" s="4441" t="str">
        <f t="shared" si="6"/>
        <v>2029 г.</v>
      </c>
      <c r="BF9" s="4441" t="str">
        <f t="shared" si="6"/>
        <v>2030 г.</v>
      </c>
      <c r="BG9" s="4441" t="str">
        <f t="shared" si="6"/>
        <v>2031 г.</v>
      </c>
      <c r="BH9" s="4986"/>
      <c r="BI9" s="4441" t="str">
        <f t="shared" ref="BI9" si="7">AZ9</f>
        <v>2024 г.</v>
      </c>
      <c r="BJ9" s="4441" t="str">
        <f t="shared" ref="BJ9" si="8">BA9</f>
        <v>2025 г.</v>
      </c>
      <c r="BK9" s="4441" t="str">
        <f t="shared" ref="BK9" si="9">BB9</f>
        <v>2026 г.</v>
      </c>
      <c r="BL9" s="4441" t="str">
        <f t="shared" ref="BL9" si="10">BC9</f>
        <v>2027 г.</v>
      </c>
      <c r="BM9" s="4441" t="str">
        <f t="shared" ref="BM9" si="11">BD9</f>
        <v>2028 г.</v>
      </c>
      <c r="BN9" s="4441" t="str">
        <f t="shared" ref="BN9" si="12">BE9</f>
        <v>2029 г.</v>
      </c>
      <c r="BO9" s="4441" t="str">
        <f t="shared" ref="BO9" si="13">BF9</f>
        <v>2030 г.</v>
      </c>
      <c r="BP9" s="4441" t="str">
        <f t="shared" ref="BP9" si="14">BG9</f>
        <v>2031 г.</v>
      </c>
      <c r="BQ9" s="4441" t="str">
        <f t="shared" ref="BQ9" si="15">BI9</f>
        <v>2024 г.</v>
      </c>
      <c r="BR9" s="4441" t="str">
        <f t="shared" ref="BR9" si="16">BJ9</f>
        <v>2025 г.</v>
      </c>
      <c r="BS9" s="4441" t="str">
        <f t="shared" ref="BS9" si="17">BK9</f>
        <v>2026 г.</v>
      </c>
      <c r="BT9" s="4441" t="str">
        <f t="shared" ref="BT9" si="18">BL9</f>
        <v>2027 г.</v>
      </c>
      <c r="BU9" s="4441" t="str">
        <f t="shared" ref="BU9" si="19">BM9</f>
        <v>2028 г.</v>
      </c>
      <c r="BV9" s="4441" t="str">
        <f t="shared" ref="BV9" si="20">BN9</f>
        <v>2029 г.</v>
      </c>
      <c r="BW9" s="4441" t="str">
        <f t="shared" ref="BW9" si="21">BO9</f>
        <v>2030 г.</v>
      </c>
      <c r="BX9" s="4441" t="str">
        <f t="shared" ref="BX9" si="22">BP9</f>
        <v>2031 г.</v>
      </c>
      <c r="BY9" s="4441" t="str">
        <f t="shared" ref="BY9" si="23">BI9</f>
        <v>2024 г.</v>
      </c>
      <c r="BZ9" s="4441" t="str">
        <f t="shared" ref="BZ9" si="24">BJ9</f>
        <v>2025 г.</v>
      </c>
      <c r="CA9" s="4441" t="str">
        <f t="shared" ref="CA9" si="25">BK9</f>
        <v>2026 г.</v>
      </c>
      <c r="CB9" s="4441" t="str">
        <f t="shared" ref="CB9" si="26">BL9</f>
        <v>2027 г.</v>
      </c>
      <c r="CC9" s="4441" t="str">
        <f t="shared" ref="CC9" si="27">BM9</f>
        <v>2028 г.</v>
      </c>
      <c r="CD9" s="4441" t="str">
        <f t="shared" ref="CD9" si="28">BN9</f>
        <v>2029 г.</v>
      </c>
      <c r="CE9" s="4441" t="str">
        <f t="shared" ref="CE9" si="29">BO9</f>
        <v>2030 г.</v>
      </c>
      <c r="CF9" s="4441" t="str">
        <f t="shared" ref="CF9" si="30">BX9</f>
        <v>2031 г.</v>
      </c>
    </row>
    <row r="10" spans="1:84" ht="16.5" thickBot="1">
      <c r="A10" s="5110" t="s">
        <v>1113</v>
      </c>
      <c r="B10" s="5111"/>
      <c r="C10" s="5111"/>
      <c r="D10" s="5111"/>
      <c r="E10" s="5111"/>
      <c r="F10" s="5111"/>
      <c r="G10" s="5111"/>
      <c r="H10" s="5111"/>
      <c r="I10" s="5111"/>
      <c r="J10" s="5111"/>
      <c r="K10" s="5111"/>
      <c r="L10" s="5111"/>
      <c r="M10" s="5111"/>
      <c r="N10" s="5111"/>
      <c r="O10" s="5111"/>
      <c r="P10" s="5111"/>
      <c r="Q10" s="5111"/>
      <c r="R10" s="5111"/>
      <c r="S10" s="5111"/>
      <c r="T10" s="5111"/>
      <c r="U10" s="5111"/>
      <c r="V10" s="5111"/>
      <c r="W10" s="5111"/>
      <c r="X10" s="5111"/>
      <c r="Y10" s="5111"/>
      <c r="Z10" s="5111"/>
      <c r="AA10" s="5111"/>
      <c r="AB10" s="5111"/>
      <c r="AC10" s="5111"/>
      <c r="AD10" s="5111"/>
      <c r="AE10" s="5111"/>
      <c r="AF10" s="5111"/>
      <c r="AG10" s="5111"/>
      <c r="AH10" s="5111"/>
      <c r="AI10" s="5111"/>
      <c r="AJ10" s="5111"/>
      <c r="AK10" s="5111"/>
      <c r="AL10" s="5111"/>
      <c r="AM10" s="5111"/>
      <c r="AN10" s="5111"/>
      <c r="AO10" s="5111"/>
      <c r="AP10" s="5111"/>
      <c r="AQ10" s="5111"/>
      <c r="AR10" s="5111"/>
      <c r="AS10" s="5111"/>
      <c r="AT10" s="5111"/>
      <c r="AU10" s="5111"/>
      <c r="AV10" s="5111"/>
      <c r="AW10" s="5111"/>
      <c r="AX10" s="5112"/>
      <c r="AY10" s="4422"/>
    </row>
    <row r="11" spans="1:84" ht="24.75" thickBot="1">
      <c r="A11" s="2068">
        <v>1.1000000000000001</v>
      </c>
      <c r="B11" s="2068"/>
      <c r="C11" s="2068"/>
      <c r="D11" s="2069"/>
      <c r="E11" s="2070" t="s">
        <v>207</v>
      </c>
      <c r="F11" s="2071">
        <f>SUM(F12:F35)</f>
        <v>4072</v>
      </c>
      <c r="G11" s="4072">
        <f>SUM(G12:G35)</f>
        <v>2832</v>
      </c>
      <c r="H11" s="2072">
        <f t="shared" ref="H11:AL11" si="31">SUM(H12:H35)</f>
        <v>1549</v>
      </c>
      <c r="I11" s="2073">
        <f t="shared" si="31"/>
        <v>5553.1458700000003</v>
      </c>
      <c r="J11" s="2074">
        <f t="shared" si="31"/>
        <v>8975.2917400000006</v>
      </c>
      <c r="K11" s="2074">
        <f t="shared" si="31"/>
        <v>9101.2917400000006</v>
      </c>
      <c r="L11" s="2074">
        <f t="shared" si="31"/>
        <v>1379</v>
      </c>
      <c r="M11" s="2075">
        <f t="shared" si="31"/>
        <v>1340</v>
      </c>
      <c r="N11" s="2076">
        <f t="shared" si="31"/>
        <v>26348.729350000001</v>
      </c>
      <c r="O11" s="2077">
        <f t="shared" ref="O11" si="32">SUM(O12:O35)</f>
        <v>4072</v>
      </c>
      <c r="P11" s="4088">
        <f t="shared" si="31"/>
        <v>2638</v>
      </c>
      <c r="Q11" s="2078">
        <f t="shared" si="31"/>
        <v>1549</v>
      </c>
      <c r="R11" s="2079">
        <f t="shared" si="31"/>
        <v>673</v>
      </c>
      <c r="S11" s="2080">
        <f t="shared" si="31"/>
        <v>659</v>
      </c>
      <c r="T11" s="2080">
        <f t="shared" si="31"/>
        <v>979</v>
      </c>
      <c r="U11" s="2080">
        <f t="shared" si="31"/>
        <v>843</v>
      </c>
      <c r="V11" s="2081">
        <f t="shared" si="31"/>
        <v>804</v>
      </c>
      <c r="W11" s="2077">
        <f t="shared" ref="W11" si="33">SUM(W12:W35)</f>
        <v>0</v>
      </c>
      <c r="X11" s="4088">
        <f t="shared" si="31"/>
        <v>0</v>
      </c>
      <c r="Y11" s="2078">
        <f t="shared" si="31"/>
        <v>0</v>
      </c>
      <c r="Z11" s="2079">
        <f t="shared" si="31"/>
        <v>990</v>
      </c>
      <c r="AA11" s="2080">
        <f t="shared" si="31"/>
        <v>536</v>
      </c>
      <c r="AB11" s="2080">
        <f t="shared" si="31"/>
        <v>536</v>
      </c>
      <c r="AC11" s="2080">
        <f t="shared" si="31"/>
        <v>536</v>
      </c>
      <c r="AD11" s="2081">
        <f t="shared" si="31"/>
        <v>536</v>
      </c>
      <c r="AE11" s="2077">
        <f t="shared" ref="AE11" si="34">SUM(AE12:AE35)</f>
        <v>0</v>
      </c>
      <c r="AF11" s="4088">
        <f t="shared" si="31"/>
        <v>194</v>
      </c>
      <c r="AG11" s="2078">
        <f t="shared" si="31"/>
        <v>0</v>
      </c>
      <c r="AH11" s="2079">
        <f t="shared" si="31"/>
        <v>3890.1458700000003</v>
      </c>
      <c r="AI11" s="2080">
        <f t="shared" si="31"/>
        <v>7780.2917400000006</v>
      </c>
      <c r="AJ11" s="2080">
        <f t="shared" si="31"/>
        <v>7586.2917400000006</v>
      </c>
      <c r="AK11" s="2080">
        <f t="shared" si="31"/>
        <v>0</v>
      </c>
      <c r="AL11" s="2082">
        <f t="shared" si="31"/>
        <v>0</v>
      </c>
      <c r="AM11" s="2083"/>
      <c r="AN11" s="2084"/>
      <c r="AO11" s="2085"/>
      <c r="AP11" s="2083"/>
      <c r="AQ11" s="2083"/>
      <c r="AR11" s="2086"/>
      <c r="AS11" s="2086"/>
      <c r="AT11" s="2086"/>
      <c r="AU11" s="2086"/>
      <c r="AV11" s="2086"/>
      <c r="AW11" s="2087"/>
      <c r="AX11" s="2088"/>
      <c r="AY11" s="4422"/>
      <c r="AZ11" s="4438">
        <f>IFERROR(F11/$E$1,0)</f>
        <v>2081.9805402310017</v>
      </c>
      <c r="BA11" s="4438">
        <f t="shared" ref="BA11:CE11" si="35">IFERROR(G11/$E$1,0)</f>
        <v>1447.9786075476907</v>
      </c>
      <c r="BB11" s="4438">
        <f t="shared" si="35"/>
        <v>791.99112397294243</v>
      </c>
      <c r="BC11" s="4438">
        <f t="shared" si="35"/>
        <v>2839.2783984293114</v>
      </c>
      <c r="BD11" s="4438">
        <f t="shared" si="35"/>
        <v>4588.9937980294817</v>
      </c>
      <c r="BE11" s="4438">
        <f t="shared" si="35"/>
        <v>4653.4165750602051</v>
      </c>
      <c r="BF11" s="4438">
        <f t="shared" si="35"/>
        <v>705.0715041695853</v>
      </c>
      <c r="BG11" s="4438">
        <f t="shared" si="35"/>
        <v>685.13112080293274</v>
      </c>
      <c r="BH11" s="4438">
        <f t="shared" si="35"/>
        <v>13471.891396491515</v>
      </c>
      <c r="BI11" s="4438">
        <f t="shared" si="35"/>
        <v>2081.9805402310017</v>
      </c>
      <c r="BJ11" s="4438">
        <f t="shared" si="35"/>
        <v>1348.7879825956245</v>
      </c>
      <c r="BK11" s="4438">
        <f t="shared" si="35"/>
        <v>791.99112397294243</v>
      </c>
      <c r="BL11" s="4438">
        <f t="shared" si="35"/>
        <v>344.09943604505503</v>
      </c>
      <c r="BM11" s="4438">
        <f t="shared" si="35"/>
        <v>336.941349708308</v>
      </c>
      <c r="BN11" s="4438">
        <f t="shared" si="35"/>
        <v>500.55475169109792</v>
      </c>
      <c r="BO11" s="4438">
        <f t="shared" si="35"/>
        <v>431.01905584841217</v>
      </c>
      <c r="BP11" s="4438">
        <f t="shared" si="35"/>
        <v>411.07867248175967</v>
      </c>
      <c r="BQ11" s="4438">
        <f t="shared" si="35"/>
        <v>0</v>
      </c>
      <c r="BR11" s="4438">
        <f t="shared" si="35"/>
        <v>0</v>
      </c>
      <c r="BS11" s="4438">
        <f t="shared" si="35"/>
        <v>0</v>
      </c>
      <c r="BT11" s="4438">
        <f t="shared" si="35"/>
        <v>506.17896238425629</v>
      </c>
      <c r="BU11" s="4438">
        <f t="shared" si="35"/>
        <v>274.05244832117313</v>
      </c>
      <c r="BV11" s="4438">
        <f t="shared" si="35"/>
        <v>274.05244832117313</v>
      </c>
      <c r="BW11" s="4438">
        <f t="shared" si="35"/>
        <v>274.05244832117313</v>
      </c>
      <c r="BX11" s="4438">
        <f t="shared" si="35"/>
        <v>274.05244832117313</v>
      </c>
      <c r="BY11" s="4438">
        <f t="shared" si="35"/>
        <v>0</v>
      </c>
      <c r="BZ11" s="4438">
        <f t="shared" si="35"/>
        <v>99.190624952066386</v>
      </c>
      <c r="CA11" s="4438">
        <f t="shared" si="35"/>
        <v>0</v>
      </c>
      <c r="CB11" s="4438">
        <f t="shared" si="35"/>
        <v>1989.0000000000002</v>
      </c>
      <c r="CC11" s="4438">
        <f t="shared" si="35"/>
        <v>3978.0000000000005</v>
      </c>
      <c r="CD11" s="4438">
        <f t="shared" si="35"/>
        <v>3878.8093750479338</v>
      </c>
      <c r="CE11" s="4438">
        <f t="shared" si="35"/>
        <v>0</v>
      </c>
      <c r="CF11" s="4438">
        <f>IFERROR(AL11/$E$1,0)</f>
        <v>0</v>
      </c>
    </row>
    <row r="12" spans="1:84">
      <c r="A12" s="2089"/>
      <c r="B12" s="2090">
        <v>2040201</v>
      </c>
      <c r="C12" s="2090" t="s">
        <v>1795</v>
      </c>
      <c r="D12" s="2091">
        <v>0.02</v>
      </c>
      <c r="E12" s="2092" t="s">
        <v>738</v>
      </c>
      <c r="F12" s="4076">
        <f t="shared" ref="F12:F35" si="36">O12+W12+AE12</f>
        <v>0</v>
      </c>
      <c r="G12" s="4073">
        <f t="shared" ref="G12:G35" si="37">P12+X12+AF12</f>
        <v>0</v>
      </c>
      <c r="H12" s="2093">
        <f t="shared" ref="H12:H35" si="38">Q12+Y12+AG12</f>
        <v>0</v>
      </c>
      <c r="I12" s="2094">
        <f t="shared" ref="I12:I35" si="39">R12+Z12+AH12</f>
        <v>0</v>
      </c>
      <c r="J12" s="2095">
        <f t="shared" ref="J12:J35" si="40">S12+AA12+AI12</f>
        <v>0</v>
      </c>
      <c r="K12" s="2095">
        <f t="shared" ref="K12:K35" si="41">T12+AB12+AJ12</f>
        <v>0</v>
      </c>
      <c r="L12" s="2095">
        <f t="shared" ref="L12:L35" si="42">U12+AC12+AK12</f>
        <v>0</v>
      </c>
      <c r="M12" s="2096">
        <f t="shared" ref="M12:M35" si="43">V12+AD12+AL12</f>
        <v>0</v>
      </c>
      <c r="N12" s="2097">
        <f>SUM(I12:M12)</f>
        <v>0</v>
      </c>
      <c r="O12" s="4584">
        <v>0</v>
      </c>
      <c r="P12" s="4629">
        <v>0</v>
      </c>
      <c r="Q12" s="1247">
        <v>0</v>
      </c>
      <c r="R12" s="1248"/>
      <c r="S12" s="1249"/>
      <c r="T12" s="1249"/>
      <c r="U12" s="1249"/>
      <c r="V12" s="1249"/>
      <c r="W12" s="1246"/>
      <c r="X12" s="1248"/>
      <c r="Y12" s="1247"/>
      <c r="Z12" s="1248"/>
      <c r="AA12" s="1249"/>
      <c r="AB12" s="1249"/>
      <c r="AC12" s="1249"/>
      <c r="AD12" s="1249"/>
      <c r="AE12" s="1246"/>
      <c r="AF12" s="1248"/>
      <c r="AG12" s="1247"/>
      <c r="AH12" s="1248"/>
      <c r="AI12" s="1249"/>
      <c r="AJ12" s="1249"/>
      <c r="AK12" s="1249"/>
      <c r="AL12" s="1250"/>
      <c r="AM12" s="1251" t="s">
        <v>313</v>
      </c>
      <c r="AN12" s="1252" t="s">
        <v>313</v>
      </c>
      <c r="AO12" s="2098" t="s">
        <v>676</v>
      </c>
      <c r="AP12" s="1248">
        <v>0</v>
      </c>
      <c r="AQ12" s="1248">
        <v>0</v>
      </c>
      <c r="AR12" s="1254">
        <v>0</v>
      </c>
      <c r="AS12" s="1248">
        <v>0</v>
      </c>
      <c r="AT12" s="1248">
        <v>0</v>
      </c>
      <c r="AU12" s="1248">
        <v>0</v>
      </c>
      <c r="AV12" s="1248">
        <v>0</v>
      </c>
      <c r="AW12" s="1247">
        <v>0</v>
      </c>
      <c r="AX12" s="2099" t="s">
        <v>354</v>
      </c>
      <c r="AY12" s="4422"/>
      <c r="AZ12" s="4438">
        <f t="shared" ref="AZ12:AZ75" si="44">IFERROR(F12/$E$1,0)</f>
        <v>0</v>
      </c>
      <c r="BA12" s="4438">
        <f t="shared" ref="BA12:BA75" si="45">IFERROR(G12/$E$1,0)</f>
        <v>0</v>
      </c>
      <c r="BB12" s="4438">
        <f t="shared" ref="BB12:BB75" si="46">IFERROR(H12/$E$1,0)</f>
        <v>0</v>
      </c>
      <c r="BC12" s="4438">
        <f t="shared" ref="BC12:BC75" si="47">IFERROR(I12/$E$1,0)</f>
        <v>0</v>
      </c>
      <c r="BD12" s="4438">
        <f t="shared" ref="BD12:BD75" si="48">IFERROR(J12/$E$1,0)</f>
        <v>0</v>
      </c>
      <c r="BE12" s="4438">
        <f t="shared" ref="BE12:BE75" si="49">IFERROR(K12/$E$1,0)</f>
        <v>0</v>
      </c>
      <c r="BF12" s="4438">
        <f t="shared" ref="BF12:BF75" si="50">IFERROR(L12/$E$1,0)</f>
        <v>0</v>
      </c>
      <c r="BG12" s="4438">
        <f t="shared" ref="BG12:BG75" si="51">IFERROR(M12/$E$1,0)</f>
        <v>0</v>
      </c>
      <c r="BH12" s="4438">
        <f t="shared" ref="BH12:BH75" si="52">IFERROR(N12/$E$1,0)</f>
        <v>0</v>
      </c>
      <c r="BI12" s="4438">
        <f t="shared" ref="BI12:BI75" si="53">IFERROR(O12/$E$1,0)</f>
        <v>0</v>
      </c>
      <c r="BJ12" s="4438">
        <f t="shared" ref="BJ12:BJ75" si="54">IFERROR(P12/$E$1,0)</f>
        <v>0</v>
      </c>
      <c r="BK12" s="4438">
        <f t="shared" ref="BK12:BK75" si="55">IFERROR(Q12/$E$1,0)</f>
        <v>0</v>
      </c>
      <c r="BL12" s="4438">
        <f t="shared" ref="BL12:BL75" si="56">IFERROR(R12/$E$1,0)</f>
        <v>0</v>
      </c>
      <c r="BM12" s="4438">
        <f t="shared" ref="BM12:BM75" si="57">IFERROR(S12/$E$1,0)</f>
        <v>0</v>
      </c>
      <c r="BN12" s="4438">
        <f t="shared" ref="BN12:BN75" si="58">IFERROR(T12/$E$1,0)</f>
        <v>0</v>
      </c>
      <c r="BO12" s="4438">
        <f t="shared" ref="BO12:BO75" si="59">IFERROR(U12/$E$1,0)</f>
        <v>0</v>
      </c>
      <c r="BP12" s="4438">
        <f t="shared" ref="BP12:BP75" si="60">IFERROR(V12/$E$1,0)</f>
        <v>0</v>
      </c>
      <c r="BQ12" s="4438">
        <f t="shared" ref="BQ12:BQ75" si="61">IFERROR(W12/$E$1,0)</f>
        <v>0</v>
      </c>
      <c r="BR12" s="4438">
        <f t="shared" ref="BR12:BR75" si="62">IFERROR(X12/$E$1,0)</f>
        <v>0</v>
      </c>
      <c r="BS12" s="4438">
        <f t="shared" ref="BS12:BS75" si="63">IFERROR(Y12/$E$1,0)</f>
        <v>0</v>
      </c>
      <c r="BT12" s="4438">
        <f t="shared" ref="BT12:BT75" si="64">IFERROR(Z12/$E$1,0)</f>
        <v>0</v>
      </c>
      <c r="BU12" s="4438">
        <f t="shared" ref="BU12:BU75" si="65">IFERROR(AA12/$E$1,0)</f>
        <v>0</v>
      </c>
      <c r="BV12" s="4438">
        <f t="shared" ref="BV12:BV75" si="66">IFERROR(AB12/$E$1,0)</f>
        <v>0</v>
      </c>
      <c r="BW12" s="4438">
        <f t="shared" ref="BW12:BW75" si="67">IFERROR(AC12/$E$1,0)</f>
        <v>0</v>
      </c>
      <c r="BX12" s="4438">
        <f t="shared" ref="BX12:BX75" si="68">IFERROR(AD12/$E$1,0)</f>
        <v>0</v>
      </c>
      <c r="BY12" s="4438">
        <f t="shared" ref="BY12:BY75" si="69">IFERROR(AE12/$E$1,0)</f>
        <v>0</v>
      </c>
      <c r="BZ12" s="4438">
        <f t="shared" ref="BZ12:BZ75" si="70">IFERROR(AF12/$E$1,0)</f>
        <v>0</v>
      </c>
      <c r="CA12" s="4438">
        <f t="shared" ref="CA12:CA75" si="71">IFERROR(AG12/$E$1,0)</f>
        <v>0</v>
      </c>
      <c r="CB12" s="4438">
        <f t="shared" ref="CB12:CB75" si="72">IFERROR(AH12/$E$1,0)</f>
        <v>0</v>
      </c>
      <c r="CC12" s="4438">
        <f t="shared" ref="CC12:CC75" si="73">IFERROR(AI12/$E$1,0)</f>
        <v>0</v>
      </c>
      <c r="CD12" s="4438">
        <f t="shared" ref="CD12:CD75" si="74">IFERROR(AJ12/$E$1,0)</f>
        <v>0</v>
      </c>
      <c r="CE12" s="4438">
        <f t="shared" ref="CE12:CE75" si="75">IFERROR(AK12/$E$1,0)</f>
        <v>0</v>
      </c>
      <c r="CF12" s="4438">
        <f t="shared" ref="CF12:CF75" si="76">IFERROR(AL12/$E$1,0)</f>
        <v>0</v>
      </c>
    </row>
    <row r="13" spans="1:84">
      <c r="A13" s="2100"/>
      <c r="B13" s="2101">
        <v>2040202</v>
      </c>
      <c r="C13" s="2101" t="s">
        <v>1796</v>
      </c>
      <c r="D13" s="2102">
        <v>0.02</v>
      </c>
      <c r="E13" s="2103" t="s">
        <v>741</v>
      </c>
      <c r="F13" s="2105">
        <f t="shared" si="36"/>
        <v>0</v>
      </c>
      <c r="G13" s="4074">
        <f t="shared" si="37"/>
        <v>19</v>
      </c>
      <c r="H13" s="2104">
        <f t="shared" si="38"/>
        <v>0</v>
      </c>
      <c r="I13" s="2105">
        <f t="shared" si="39"/>
        <v>0</v>
      </c>
      <c r="J13" s="2106">
        <f t="shared" si="40"/>
        <v>0</v>
      </c>
      <c r="K13" s="2106">
        <f t="shared" si="41"/>
        <v>0</v>
      </c>
      <c r="L13" s="2106">
        <f t="shared" si="42"/>
        <v>0</v>
      </c>
      <c r="M13" s="2107">
        <f t="shared" si="43"/>
        <v>0</v>
      </c>
      <c r="N13" s="2108">
        <f t="shared" ref="N13:N70" si="77">SUM(I13:M13)</f>
        <v>0</v>
      </c>
      <c r="O13" s="4584">
        <v>0</v>
      </c>
      <c r="P13" s="4630">
        <v>19</v>
      </c>
      <c r="Q13" s="1254">
        <v>0</v>
      </c>
      <c r="R13" s="1255"/>
      <c r="S13" s="1256"/>
      <c r="T13" s="1256"/>
      <c r="U13" s="1256"/>
      <c r="V13" s="1256"/>
      <c r="W13" s="1253"/>
      <c r="X13" s="1255"/>
      <c r="Y13" s="1254"/>
      <c r="Z13" s="1255"/>
      <c r="AA13" s="1256"/>
      <c r="AB13" s="1256"/>
      <c r="AC13" s="1256"/>
      <c r="AD13" s="1256"/>
      <c r="AE13" s="1253"/>
      <c r="AF13" s="1255"/>
      <c r="AG13" s="1254"/>
      <c r="AH13" s="1255"/>
      <c r="AI13" s="1256"/>
      <c r="AJ13" s="1256"/>
      <c r="AK13" s="1256"/>
      <c r="AL13" s="1257"/>
      <c r="AM13" s="1251" t="s">
        <v>313</v>
      </c>
      <c r="AN13" s="1252" t="s">
        <v>313</v>
      </c>
      <c r="AO13" s="2109" t="s">
        <v>676</v>
      </c>
      <c r="AP13" s="1255">
        <v>0</v>
      </c>
      <c r="AQ13" s="1255">
        <v>4</v>
      </c>
      <c r="AR13" s="1254">
        <v>0</v>
      </c>
      <c r="AS13" s="1255">
        <v>0</v>
      </c>
      <c r="AT13" s="1256">
        <v>0</v>
      </c>
      <c r="AU13" s="1256">
        <v>0</v>
      </c>
      <c r="AV13" s="1256">
        <v>0</v>
      </c>
      <c r="AW13" s="1254">
        <v>0</v>
      </c>
      <c r="AX13" s="2110" t="s">
        <v>354</v>
      </c>
      <c r="AY13" s="4422"/>
      <c r="AZ13" s="4438">
        <f t="shared" si="44"/>
        <v>0</v>
      </c>
      <c r="BA13" s="4438">
        <f t="shared" si="45"/>
        <v>9.7145457427281521</v>
      </c>
      <c r="BB13" s="4438">
        <f t="shared" si="46"/>
        <v>0</v>
      </c>
      <c r="BC13" s="4438">
        <f t="shared" si="47"/>
        <v>0</v>
      </c>
      <c r="BD13" s="4438">
        <f t="shared" si="48"/>
        <v>0</v>
      </c>
      <c r="BE13" s="4438">
        <f t="shared" si="49"/>
        <v>0</v>
      </c>
      <c r="BF13" s="4438">
        <f t="shared" si="50"/>
        <v>0</v>
      </c>
      <c r="BG13" s="4438">
        <f t="shared" si="51"/>
        <v>0</v>
      </c>
      <c r="BH13" s="4438">
        <f t="shared" si="52"/>
        <v>0</v>
      </c>
      <c r="BI13" s="4438">
        <f t="shared" si="53"/>
        <v>0</v>
      </c>
      <c r="BJ13" s="4438">
        <f t="shared" si="54"/>
        <v>9.7145457427281521</v>
      </c>
      <c r="BK13" s="4438">
        <f t="shared" si="55"/>
        <v>0</v>
      </c>
      <c r="BL13" s="4438">
        <f t="shared" si="56"/>
        <v>0</v>
      </c>
      <c r="BM13" s="4438">
        <f t="shared" si="57"/>
        <v>0</v>
      </c>
      <c r="BN13" s="4438">
        <f t="shared" si="58"/>
        <v>0</v>
      </c>
      <c r="BO13" s="4438">
        <f t="shared" si="59"/>
        <v>0</v>
      </c>
      <c r="BP13" s="4438">
        <f t="shared" si="60"/>
        <v>0</v>
      </c>
      <c r="BQ13" s="4438">
        <f t="shared" si="61"/>
        <v>0</v>
      </c>
      <c r="BR13" s="4438">
        <f t="shared" si="62"/>
        <v>0</v>
      </c>
      <c r="BS13" s="4438">
        <f t="shared" si="63"/>
        <v>0</v>
      </c>
      <c r="BT13" s="4438">
        <f t="shared" si="64"/>
        <v>0</v>
      </c>
      <c r="BU13" s="4438">
        <f t="shared" si="65"/>
        <v>0</v>
      </c>
      <c r="BV13" s="4438">
        <f t="shared" si="66"/>
        <v>0</v>
      </c>
      <c r="BW13" s="4438">
        <f t="shared" si="67"/>
        <v>0</v>
      </c>
      <c r="BX13" s="4438">
        <f t="shared" si="68"/>
        <v>0</v>
      </c>
      <c r="BY13" s="4438">
        <f t="shared" si="69"/>
        <v>0</v>
      </c>
      <c r="BZ13" s="4438">
        <f t="shared" si="70"/>
        <v>0</v>
      </c>
      <c r="CA13" s="4438">
        <f t="shared" si="71"/>
        <v>0</v>
      </c>
      <c r="CB13" s="4438">
        <f t="shared" si="72"/>
        <v>0</v>
      </c>
      <c r="CC13" s="4438">
        <f t="shared" si="73"/>
        <v>0</v>
      </c>
      <c r="CD13" s="4438">
        <f t="shared" si="74"/>
        <v>0</v>
      </c>
      <c r="CE13" s="4438">
        <f t="shared" si="75"/>
        <v>0</v>
      </c>
      <c r="CF13" s="4438">
        <f t="shared" si="76"/>
        <v>0</v>
      </c>
    </row>
    <row r="14" spans="1:84" ht="25.5">
      <c r="A14" s="2100"/>
      <c r="B14" s="2101">
        <v>2040204</v>
      </c>
      <c r="C14" s="2101" t="s">
        <v>1797</v>
      </c>
      <c r="D14" s="2102">
        <v>0.02</v>
      </c>
      <c r="E14" s="2103" t="s">
        <v>355</v>
      </c>
      <c r="F14" s="2105">
        <f t="shared" si="36"/>
        <v>23</v>
      </c>
      <c r="G14" s="4074">
        <f t="shared" si="37"/>
        <v>76</v>
      </c>
      <c r="H14" s="2104">
        <f t="shared" si="38"/>
        <v>0</v>
      </c>
      <c r="I14" s="2105">
        <f t="shared" si="39"/>
        <v>15</v>
      </c>
      <c r="J14" s="2106">
        <f t="shared" si="40"/>
        <v>0</v>
      </c>
      <c r="K14" s="2106">
        <f t="shared" si="41"/>
        <v>0</v>
      </c>
      <c r="L14" s="2106">
        <f t="shared" si="42"/>
        <v>2</v>
      </c>
      <c r="M14" s="2107">
        <f t="shared" si="43"/>
        <v>26</v>
      </c>
      <c r="N14" s="2108">
        <f>SUM(I14:M14)</f>
        <v>43</v>
      </c>
      <c r="O14" s="4584">
        <v>23</v>
      </c>
      <c r="P14" s="4630">
        <v>76</v>
      </c>
      <c r="Q14" s="1254">
        <v>0</v>
      </c>
      <c r="R14" s="1255">
        <v>15</v>
      </c>
      <c r="S14" s="1256">
        <v>0</v>
      </c>
      <c r="T14" s="1256">
        <v>0</v>
      </c>
      <c r="U14" s="1256">
        <v>2</v>
      </c>
      <c r="V14" s="1256">
        <v>26</v>
      </c>
      <c r="W14" s="1253"/>
      <c r="X14" s="1255"/>
      <c r="Y14" s="1254"/>
      <c r="Z14" s="1255"/>
      <c r="AA14" s="1256"/>
      <c r="AB14" s="1256"/>
      <c r="AC14" s="1256"/>
      <c r="AD14" s="1256"/>
      <c r="AE14" s="1253"/>
      <c r="AF14" s="1255"/>
      <c r="AG14" s="1254"/>
      <c r="AH14" s="1255"/>
      <c r="AI14" s="1256"/>
      <c r="AJ14" s="1256"/>
      <c r="AK14" s="1256"/>
      <c r="AL14" s="1257"/>
      <c r="AM14" s="1258" t="s">
        <v>1951</v>
      </c>
      <c r="AN14" s="1259" t="s">
        <v>1952</v>
      </c>
      <c r="AO14" s="2109" t="s">
        <v>676</v>
      </c>
      <c r="AP14" s="1255">
        <v>4</v>
      </c>
      <c r="AQ14" s="1255">
        <v>4</v>
      </c>
      <c r="AR14" s="1254"/>
      <c r="AS14" s="1255">
        <v>2</v>
      </c>
      <c r="AT14" s="1256">
        <v>2</v>
      </c>
      <c r="AU14" s="1256">
        <v>2</v>
      </c>
      <c r="AV14" s="1256">
        <v>2</v>
      </c>
      <c r="AW14" s="1254">
        <v>4</v>
      </c>
      <c r="AX14" s="2110" t="s">
        <v>354</v>
      </c>
      <c r="AY14" s="4422"/>
      <c r="AZ14" s="4438">
        <f t="shared" si="44"/>
        <v>11.759713267513025</v>
      </c>
      <c r="BA14" s="4438">
        <f t="shared" si="45"/>
        <v>38.858182970912608</v>
      </c>
      <c r="BB14" s="4438">
        <f t="shared" si="46"/>
        <v>0</v>
      </c>
      <c r="BC14" s="4438">
        <f t="shared" si="47"/>
        <v>7.6693782179432777</v>
      </c>
      <c r="BD14" s="4438">
        <f t="shared" si="48"/>
        <v>0</v>
      </c>
      <c r="BE14" s="4438">
        <f t="shared" si="49"/>
        <v>0</v>
      </c>
      <c r="BF14" s="4438">
        <f t="shared" si="50"/>
        <v>1.022583762392437</v>
      </c>
      <c r="BG14" s="4438">
        <f t="shared" si="51"/>
        <v>13.293588911101681</v>
      </c>
      <c r="BH14" s="4438">
        <f t="shared" si="52"/>
        <v>21.985550891437395</v>
      </c>
      <c r="BI14" s="4438">
        <f t="shared" si="53"/>
        <v>11.759713267513025</v>
      </c>
      <c r="BJ14" s="4438">
        <f t="shared" si="54"/>
        <v>38.858182970912608</v>
      </c>
      <c r="BK14" s="4438">
        <f t="shared" si="55"/>
        <v>0</v>
      </c>
      <c r="BL14" s="4438">
        <f t="shared" si="56"/>
        <v>7.6693782179432777</v>
      </c>
      <c r="BM14" s="4438">
        <f t="shared" si="57"/>
        <v>0</v>
      </c>
      <c r="BN14" s="4438">
        <f t="shared" si="58"/>
        <v>0</v>
      </c>
      <c r="BO14" s="4438">
        <f t="shared" si="59"/>
        <v>1.022583762392437</v>
      </c>
      <c r="BP14" s="4438">
        <f t="shared" si="60"/>
        <v>13.293588911101681</v>
      </c>
      <c r="BQ14" s="4438">
        <f t="shared" si="61"/>
        <v>0</v>
      </c>
      <c r="BR14" s="4438">
        <f t="shared" si="62"/>
        <v>0</v>
      </c>
      <c r="BS14" s="4438">
        <f t="shared" si="63"/>
        <v>0</v>
      </c>
      <c r="BT14" s="4438">
        <f t="shared" si="64"/>
        <v>0</v>
      </c>
      <c r="BU14" s="4438">
        <f t="shared" si="65"/>
        <v>0</v>
      </c>
      <c r="BV14" s="4438">
        <f t="shared" si="66"/>
        <v>0</v>
      </c>
      <c r="BW14" s="4438">
        <f t="shared" si="67"/>
        <v>0</v>
      </c>
      <c r="BX14" s="4438">
        <f t="shared" si="68"/>
        <v>0</v>
      </c>
      <c r="BY14" s="4438">
        <f t="shared" si="69"/>
        <v>0</v>
      </c>
      <c r="BZ14" s="4438">
        <f t="shared" si="70"/>
        <v>0</v>
      </c>
      <c r="CA14" s="4438">
        <f t="shared" si="71"/>
        <v>0</v>
      </c>
      <c r="CB14" s="4438">
        <f t="shared" si="72"/>
        <v>0</v>
      </c>
      <c r="CC14" s="4438">
        <f t="shared" si="73"/>
        <v>0</v>
      </c>
      <c r="CD14" s="4438">
        <f t="shared" si="74"/>
        <v>0</v>
      </c>
      <c r="CE14" s="4438">
        <f t="shared" si="75"/>
        <v>0</v>
      </c>
      <c r="CF14" s="4438">
        <f t="shared" si="76"/>
        <v>0</v>
      </c>
    </row>
    <row r="15" spans="1:84">
      <c r="A15" s="2100"/>
      <c r="B15" s="2101">
        <v>20202</v>
      </c>
      <c r="C15" s="2101" t="s">
        <v>1798</v>
      </c>
      <c r="D15" s="2111">
        <v>0.03</v>
      </c>
      <c r="E15" s="2103" t="s">
        <v>356</v>
      </c>
      <c r="F15" s="2105">
        <f t="shared" si="36"/>
        <v>8</v>
      </c>
      <c r="G15" s="4074">
        <f t="shared" si="37"/>
        <v>48</v>
      </c>
      <c r="H15" s="2104">
        <f t="shared" si="38"/>
        <v>20</v>
      </c>
      <c r="I15" s="2105">
        <f t="shared" si="39"/>
        <v>0</v>
      </c>
      <c r="J15" s="2106">
        <f t="shared" si="40"/>
        <v>0</v>
      </c>
      <c r="K15" s="2106">
        <f t="shared" si="41"/>
        <v>0</v>
      </c>
      <c r="L15" s="2106">
        <f t="shared" si="42"/>
        <v>0</v>
      </c>
      <c r="M15" s="2107">
        <f t="shared" si="43"/>
        <v>0</v>
      </c>
      <c r="N15" s="2108">
        <f t="shared" si="77"/>
        <v>0</v>
      </c>
      <c r="O15" s="4584">
        <v>8</v>
      </c>
      <c r="P15" s="4630">
        <v>48</v>
      </c>
      <c r="Q15" s="1254">
        <v>20</v>
      </c>
      <c r="R15" s="1255"/>
      <c r="S15" s="1256"/>
      <c r="T15" s="1256"/>
      <c r="U15" s="1256"/>
      <c r="V15" s="1256"/>
      <c r="W15" s="1253"/>
      <c r="X15" s="1255"/>
      <c r="Y15" s="1254"/>
      <c r="Z15" s="1255"/>
      <c r="AA15" s="1256"/>
      <c r="AB15" s="1256"/>
      <c r="AC15" s="1256"/>
      <c r="AD15" s="1256"/>
      <c r="AE15" s="1253"/>
      <c r="AF15" s="1255"/>
      <c r="AG15" s="1254"/>
      <c r="AH15" s="1255"/>
      <c r="AI15" s="1256"/>
      <c r="AJ15" s="1256"/>
      <c r="AK15" s="1256"/>
      <c r="AL15" s="1257"/>
      <c r="AM15" s="1258"/>
      <c r="AN15" s="1259" t="s">
        <v>1953</v>
      </c>
      <c r="AO15" s="2109" t="s">
        <v>676</v>
      </c>
      <c r="AP15" s="1255">
        <v>3</v>
      </c>
      <c r="AQ15" s="1255">
        <v>9</v>
      </c>
      <c r="AR15" s="1254"/>
      <c r="AS15" s="1255"/>
      <c r="AT15" s="1256"/>
      <c r="AU15" s="1256"/>
      <c r="AV15" s="1256"/>
      <c r="AW15" s="1254"/>
      <c r="AX15" s="2110" t="s">
        <v>354</v>
      </c>
      <c r="AY15" s="4422"/>
      <c r="AZ15" s="4438">
        <f t="shared" si="44"/>
        <v>4.0903350495697479</v>
      </c>
      <c r="BA15" s="4438">
        <f t="shared" si="45"/>
        <v>24.542010297418489</v>
      </c>
      <c r="BB15" s="4438">
        <f t="shared" si="46"/>
        <v>10.22583762392437</v>
      </c>
      <c r="BC15" s="4438">
        <f t="shared" si="47"/>
        <v>0</v>
      </c>
      <c r="BD15" s="4438">
        <f t="shared" si="48"/>
        <v>0</v>
      </c>
      <c r="BE15" s="4438">
        <f t="shared" si="49"/>
        <v>0</v>
      </c>
      <c r="BF15" s="4438">
        <f t="shared" si="50"/>
        <v>0</v>
      </c>
      <c r="BG15" s="4438">
        <f t="shared" si="51"/>
        <v>0</v>
      </c>
      <c r="BH15" s="4438">
        <f t="shared" si="52"/>
        <v>0</v>
      </c>
      <c r="BI15" s="4438">
        <f t="shared" si="53"/>
        <v>4.0903350495697479</v>
      </c>
      <c r="BJ15" s="4438">
        <f t="shared" si="54"/>
        <v>24.542010297418489</v>
      </c>
      <c r="BK15" s="4438">
        <f t="shared" si="55"/>
        <v>10.22583762392437</v>
      </c>
      <c r="BL15" s="4438">
        <f t="shared" si="56"/>
        <v>0</v>
      </c>
      <c r="BM15" s="4438">
        <f t="shared" si="57"/>
        <v>0</v>
      </c>
      <c r="BN15" s="4438">
        <f t="shared" si="58"/>
        <v>0</v>
      </c>
      <c r="BO15" s="4438">
        <f t="shared" si="59"/>
        <v>0</v>
      </c>
      <c r="BP15" s="4438">
        <f t="shared" si="60"/>
        <v>0</v>
      </c>
      <c r="BQ15" s="4438">
        <f t="shared" si="61"/>
        <v>0</v>
      </c>
      <c r="BR15" s="4438">
        <f t="shared" si="62"/>
        <v>0</v>
      </c>
      <c r="BS15" s="4438">
        <f t="shared" si="63"/>
        <v>0</v>
      </c>
      <c r="BT15" s="4438">
        <f t="shared" si="64"/>
        <v>0</v>
      </c>
      <c r="BU15" s="4438">
        <f t="shared" si="65"/>
        <v>0</v>
      </c>
      <c r="BV15" s="4438">
        <f t="shared" si="66"/>
        <v>0</v>
      </c>
      <c r="BW15" s="4438">
        <f t="shared" si="67"/>
        <v>0</v>
      </c>
      <c r="BX15" s="4438">
        <f t="shared" si="68"/>
        <v>0</v>
      </c>
      <c r="BY15" s="4438">
        <f t="shared" si="69"/>
        <v>0</v>
      </c>
      <c r="BZ15" s="4438">
        <f t="shared" si="70"/>
        <v>0</v>
      </c>
      <c r="CA15" s="4438">
        <f t="shared" si="71"/>
        <v>0</v>
      </c>
      <c r="CB15" s="4438">
        <f t="shared" si="72"/>
        <v>0</v>
      </c>
      <c r="CC15" s="4438">
        <f t="shared" si="73"/>
        <v>0</v>
      </c>
      <c r="CD15" s="4438">
        <f t="shared" si="74"/>
        <v>0</v>
      </c>
      <c r="CE15" s="4438">
        <f t="shared" si="75"/>
        <v>0</v>
      </c>
      <c r="CF15" s="4438">
        <f t="shared" si="76"/>
        <v>0</v>
      </c>
    </row>
    <row r="16" spans="1:84" ht="38.25">
      <c r="A16" s="2100"/>
      <c r="B16" s="2101">
        <v>2040205</v>
      </c>
      <c r="C16" s="2101" t="s">
        <v>1799</v>
      </c>
      <c r="D16" s="2102">
        <v>0.02</v>
      </c>
      <c r="E16" s="2103" t="s">
        <v>357</v>
      </c>
      <c r="F16" s="2105">
        <f t="shared" si="36"/>
        <v>468</v>
      </c>
      <c r="G16" s="4074">
        <f t="shared" si="37"/>
        <v>422</v>
      </c>
      <c r="H16" s="2104">
        <f t="shared" si="38"/>
        <v>400</v>
      </c>
      <c r="I16" s="2105">
        <f t="shared" si="39"/>
        <v>1021.859236</v>
      </c>
      <c r="J16" s="2106">
        <f t="shared" si="40"/>
        <v>1745.718472</v>
      </c>
      <c r="K16" s="2106">
        <f t="shared" si="41"/>
        <v>1783.718472</v>
      </c>
      <c r="L16" s="2106">
        <f t="shared" si="42"/>
        <v>300</v>
      </c>
      <c r="M16" s="2107">
        <f t="shared" si="43"/>
        <v>300</v>
      </c>
      <c r="N16" s="2108">
        <f t="shared" si="77"/>
        <v>5151.2961799999994</v>
      </c>
      <c r="O16" s="4584">
        <v>468</v>
      </c>
      <c r="P16" s="4630">
        <v>422</v>
      </c>
      <c r="Q16" s="1254">
        <v>400</v>
      </c>
      <c r="R16" s="1255">
        <v>378</v>
      </c>
      <c r="S16" s="1256">
        <v>458</v>
      </c>
      <c r="T16" s="1256">
        <v>496</v>
      </c>
      <c r="U16" s="1256">
        <v>300</v>
      </c>
      <c r="V16" s="1256">
        <v>300</v>
      </c>
      <c r="W16" s="1253"/>
      <c r="X16" s="1255"/>
      <c r="Y16" s="1254"/>
      <c r="Z16" s="1255"/>
      <c r="AA16" s="1256"/>
      <c r="AB16" s="1256"/>
      <c r="AC16" s="1256"/>
      <c r="AD16" s="1256"/>
      <c r="AE16" s="1253"/>
      <c r="AF16" s="1255"/>
      <c r="AG16" s="1254"/>
      <c r="AH16" s="1255">
        <f>1646/5*1*1.95583</f>
        <v>643.85923600000001</v>
      </c>
      <c r="AI16" s="1256">
        <f>1646/5*2*1.95583</f>
        <v>1287.718472</v>
      </c>
      <c r="AJ16" s="1256">
        <f>1646/5*2*1.95583</f>
        <v>1287.718472</v>
      </c>
      <c r="AK16" s="1256"/>
      <c r="AL16" s="1257"/>
      <c r="AM16" s="1258" t="s">
        <v>1951</v>
      </c>
      <c r="AN16" s="1259" t="s">
        <v>1954</v>
      </c>
      <c r="AO16" s="2109" t="s">
        <v>678</v>
      </c>
      <c r="AP16" s="1255">
        <v>5559</v>
      </c>
      <c r="AQ16" s="1255">
        <v>8173</v>
      </c>
      <c r="AR16" s="1254">
        <v>4000</v>
      </c>
      <c r="AS16" s="1255">
        <v>5000</v>
      </c>
      <c r="AT16" s="1255">
        <v>5500</v>
      </c>
      <c r="AU16" s="1255">
        <v>6000</v>
      </c>
      <c r="AV16" s="1255">
        <v>15500</v>
      </c>
      <c r="AW16" s="1255">
        <v>16530</v>
      </c>
      <c r="AX16" s="2110" t="s">
        <v>358</v>
      </c>
      <c r="AY16" s="4422"/>
      <c r="AZ16" s="4438">
        <f t="shared" si="44"/>
        <v>239.28460039983025</v>
      </c>
      <c r="BA16" s="4438">
        <f t="shared" si="45"/>
        <v>215.76517386480421</v>
      </c>
      <c r="BB16" s="4438">
        <f t="shared" si="46"/>
        <v>204.5167524784874</v>
      </c>
      <c r="BC16" s="4438">
        <f t="shared" si="47"/>
        <v>522.46833109217062</v>
      </c>
      <c r="BD16" s="4438">
        <f t="shared" si="48"/>
        <v>892.57168158786806</v>
      </c>
      <c r="BE16" s="4438">
        <f t="shared" si="49"/>
        <v>912.00077307332435</v>
      </c>
      <c r="BF16" s="4438">
        <f t="shared" si="50"/>
        <v>153.38756435886555</v>
      </c>
      <c r="BG16" s="4438">
        <f t="shared" si="51"/>
        <v>153.38756435886555</v>
      </c>
      <c r="BH16" s="4438">
        <f t="shared" si="52"/>
        <v>2633.8159144710939</v>
      </c>
      <c r="BI16" s="4438">
        <f t="shared" si="53"/>
        <v>239.28460039983025</v>
      </c>
      <c r="BJ16" s="4438">
        <f t="shared" si="54"/>
        <v>215.76517386480421</v>
      </c>
      <c r="BK16" s="4438">
        <f t="shared" si="55"/>
        <v>204.5167524784874</v>
      </c>
      <c r="BL16" s="4438">
        <f t="shared" si="56"/>
        <v>193.2683310921706</v>
      </c>
      <c r="BM16" s="4438">
        <f t="shared" si="57"/>
        <v>234.17168158786808</v>
      </c>
      <c r="BN16" s="4438">
        <f t="shared" si="58"/>
        <v>253.60077307332438</v>
      </c>
      <c r="BO16" s="4438">
        <f t="shared" si="59"/>
        <v>153.38756435886555</v>
      </c>
      <c r="BP16" s="4438">
        <f t="shared" si="60"/>
        <v>153.38756435886555</v>
      </c>
      <c r="BQ16" s="4438">
        <f t="shared" si="61"/>
        <v>0</v>
      </c>
      <c r="BR16" s="4438">
        <f t="shared" si="62"/>
        <v>0</v>
      </c>
      <c r="BS16" s="4438">
        <f t="shared" si="63"/>
        <v>0</v>
      </c>
      <c r="BT16" s="4438">
        <f t="shared" si="64"/>
        <v>0</v>
      </c>
      <c r="BU16" s="4438">
        <f t="shared" si="65"/>
        <v>0</v>
      </c>
      <c r="BV16" s="4438">
        <f t="shared" si="66"/>
        <v>0</v>
      </c>
      <c r="BW16" s="4438">
        <f t="shared" si="67"/>
        <v>0</v>
      </c>
      <c r="BX16" s="4438">
        <f t="shared" si="68"/>
        <v>0</v>
      </c>
      <c r="BY16" s="4438">
        <f t="shared" si="69"/>
        <v>0</v>
      </c>
      <c r="BZ16" s="4438">
        <f t="shared" si="70"/>
        <v>0</v>
      </c>
      <c r="CA16" s="4438">
        <f t="shared" si="71"/>
        <v>0</v>
      </c>
      <c r="CB16" s="4438">
        <f t="shared" si="72"/>
        <v>329.2</v>
      </c>
      <c r="CC16" s="4438">
        <f t="shared" si="73"/>
        <v>658.4</v>
      </c>
      <c r="CD16" s="4438">
        <f t="shared" si="74"/>
        <v>658.4</v>
      </c>
      <c r="CE16" s="4438">
        <f t="shared" si="75"/>
        <v>0</v>
      </c>
      <c r="CF16" s="4438">
        <f t="shared" si="76"/>
        <v>0</v>
      </c>
    </row>
    <row r="17" spans="1:84" ht="25.5">
      <c r="A17" s="2100"/>
      <c r="B17" s="2101">
        <v>2040207</v>
      </c>
      <c r="C17" s="2101" t="s">
        <v>1800</v>
      </c>
      <c r="D17" s="2102">
        <v>0.04</v>
      </c>
      <c r="E17" s="2103" t="s">
        <v>359</v>
      </c>
      <c r="F17" s="2105">
        <f t="shared" si="36"/>
        <v>0</v>
      </c>
      <c r="G17" s="4074">
        <f t="shared" si="37"/>
        <v>388</v>
      </c>
      <c r="H17" s="2104">
        <f t="shared" si="38"/>
        <v>0</v>
      </c>
      <c r="I17" s="2105">
        <f t="shared" si="39"/>
        <v>1710.5689179999999</v>
      </c>
      <c r="J17" s="2106">
        <f t="shared" si="40"/>
        <v>3421.1378359999999</v>
      </c>
      <c r="K17" s="2106">
        <f t="shared" si="41"/>
        <v>3227.1378359999999</v>
      </c>
      <c r="L17" s="2106">
        <f t="shared" si="42"/>
        <v>0</v>
      </c>
      <c r="M17" s="2107">
        <f t="shared" si="43"/>
        <v>0</v>
      </c>
      <c r="N17" s="2108">
        <f t="shared" si="77"/>
        <v>8358.8445900000006</v>
      </c>
      <c r="O17" s="4584">
        <v>0</v>
      </c>
      <c r="P17" s="4630">
        <v>194</v>
      </c>
      <c r="Q17" s="1254">
        <v>0</v>
      </c>
      <c r="R17" s="1255"/>
      <c r="S17" s="1256"/>
      <c r="T17" s="1256"/>
      <c r="U17" s="1256"/>
      <c r="V17" s="1256"/>
      <c r="W17" s="1253"/>
      <c r="X17" s="1255"/>
      <c r="Y17" s="1254"/>
      <c r="Z17" s="1255"/>
      <c r="AA17" s="1256"/>
      <c r="AB17" s="1256"/>
      <c r="AC17" s="1256"/>
      <c r="AD17" s="1256"/>
      <c r="AE17" s="1253"/>
      <c r="AF17" s="4630">
        <v>194</v>
      </c>
      <c r="AG17" s="1254"/>
      <c r="AH17" s="1255">
        <f>4373/5*1*1.95583</f>
        <v>1710.5689179999999</v>
      </c>
      <c r="AI17" s="1256">
        <f>4373/5*2*1.95583</f>
        <v>3421.1378359999999</v>
      </c>
      <c r="AJ17" s="1256">
        <f>4373/5*2*1.95583-AF17</f>
        <v>3227.1378359999999</v>
      </c>
      <c r="AK17" s="1256"/>
      <c r="AL17" s="1257"/>
      <c r="AM17" s="1258" t="s">
        <v>1951</v>
      </c>
      <c r="AN17" s="1259" t="s">
        <v>1955</v>
      </c>
      <c r="AO17" s="2109" t="s">
        <v>676</v>
      </c>
      <c r="AP17" s="1255"/>
      <c r="AQ17" s="1255"/>
      <c r="AR17" s="1254"/>
      <c r="AS17" s="1255"/>
      <c r="AT17" s="1256"/>
      <c r="AU17" s="1256"/>
      <c r="AV17" s="1256"/>
      <c r="AW17" s="1254"/>
      <c r="AX17" s="2110" t="s">
        <v>360</v>
      </c>
      <c r="AY17" s="4422"/>
      <c r="AZ17" s="4438">
        <f t="shared" si="44"/>
        <v>0</v>
      </c>
      <c r="BA17" s="4438">
        <f t="shared" si="45"/>
        <v>198.38124990413277</v>
      </c>
      <c r="BB17" s="4438">
        <f t="shared" si="46"/>
        <v>0</v>
      </c>
      <c r="BC17" s="4438">
        <f t="shared" si="47"/>
        <v>874.6</v>
      </c>
      <c r="BD17" s="4438">
        <f t="shared" si="48"/>
        <v>1749.2</v>
      </c>
      <c r="BE17" s="4438">
        <f t="shared" si="49"/>
        <v>1650.0093750479336</v>
      </c>
      <c r="BF17" s="4438">
        <f t="shared" si="50"/>
        <v>0</v>
      </c>
      <c r="BG17" s="4438">
        <f t="shared" si="51"/>
        <v>0</v>
      </c>
      <c r="BH17" s="4438">
        <f t="shared" si="52"/>
        <v>4273.8093750479338</v>
      </c>
      <c r="BI17" s="4438">
        <f t="shared" si="53"/>
        <v>0</v>
      </c>
      <c r="BJ17" s="4438">
        <f t="shared" si="54"/>
        <v>99.190624952066386</v>
      </c>
      <c r="BK17" s="4438">
        <f t="shared" si="55"/>
        <v>0</v>
      </c>
      <c r="BL17" s="4438">
        <f t="shared" si="56"/>
        <v>0</v>
      </c>
      <c r="BM17" s="4438">
        <f t="shared" si="57"/>
        <v>0</v>
      </c>
      <c r="BN17" s="4438">
        <f t="shared" si="58"/>
        <v>0</v>
      </c>
      <c r="BO17" s="4438">
        <f t="shared" si="59"/>
        <v>0</v>
      </c>
      <c r="BP17" s="4438">
        <f t="shared" si="60"/>
        <v>0</v>
      </c>
      <c r="BQ17" s="4438">
        <f t="shared" si="61"/>
        <v>0</v>
      </c>
      <c r="BR17" s="4438">
        <f t="shared" si="62"/>
        <v>0</v>
      </c>
      <c r="BS17" s="4438">
        <f t="shared" si="63"/>
        <v>0</v>
      </c>
      <c r="BT17" s="4438">
        <f t="shared" si="64"/>
        <v>0</v>
      </c>
      <c r="BU17" s="4438">
        <f t="shared" si="65"/>
        <v>0</v>
      </c>
      <c r="BV17" s="4438">
        <f t="shared" si="66"/>
        <v>0</v>
      </c>
      <c r="BW17" s="4438">
        <f t="shared" si="67"/>
        <v>0</v>
      </c>
      <c r="BX17" s="4438">
        <f t="shared" si="68"/>
        <v>0</v>
      </c>
      <c r="BY17" s="4438">
        <f t="shared" si="69"/>
        <v>0</v>
      </c>
      <c r="BZ17" s="4438">
        <f t="shared" si="70"/>
        <v>99.190624952066386</v>
      </c>
      <c r="CA17" s="4438">
        <f t="shared" si="71"/>
        <v>0</v>
      </c>
      <c r="CB17" s="4438">
        <f t="shared" si="72"/>
        <v>874.6</v>
      </c>
      <c r="CC17" s="4438">
        <f t="shared" si="73"/>
        <v>1749.2</v>
      </c>
      <c r="CD17" s="4438">
        <f t="shared" si="74"/>
        <v>1650.0093750479336</v>
      </c>
      <c r="CE17" s="4438">
        <f t="shared" si="75"/>
        <v>0</v>
      </c>
      <c r="CF17" s="4438">
        <f t="shared" si="76"/>
        <v>0</v>
      </c>
    </row>
    <row r="18" spans="1:84" ht="25.5">
      <c r="A18" s="2100"/>
      <c r="B18" s="2101">
        <v>2040207</v>
      </c>
      <c r="C18" s="2101" t="s">
        <v>1801</v>
      </c>
      <c r="D18" s="2102">
        <v>0.04</v>
      </c>
      <c r="E18" s="2112" t="s">
        <v>660</v>
      </c>
      <c r="F18" s="2105">
        <f t="shared" si="36"/>
        <v>12</v>
      </c>
      <c r="G18" s="4074">
        <f t="shared" si="37"/>
        <v>102</v>
      </c>
      <c r="H18" s="2104">
        <f t="shared" si="38"/>
        <v>50</v>
      </c>
      <c r="I18" s="2105">
        <f t="shared" si="39"/>
        <v>7</v>
      </c>
      <c r="J18" s="2106">
        <f t="shared" si="40"/>
        <v>7</v>
      </c>
      <c r="K18" s="2106">
        <f t="shared" si="41"/>
        <v>14</v>
      </c>
      <c r="L18" s="2106">
        <f t="shared" si="42"/>
        <v>13</v>
      </c>
      <c r="M18" s="2107">
        <f t="shared" si="43"/>
        <v>2</v>
      </c>
      <c r="N18" s="2108">
        <f t="shared" si="77"/>
        <v>43</v>
      </c>
      <c r="O18" s="4584">
        <v>12</v>
      </c>
      <c r="P18" s="4630">
        <v>102</v>
      </c>
      <c r="Q18" s="1254">
        <v>50</v>
      </c>
      <c r="R18" s="1255">
        <v>7</v>
      </c>
      <c r="S18" s="1256">
        <v>7</v>
      </c>
      <c r="T18" s="1256">
        <v>14</v>
      </c>
      <c r="U18" s="1256">
        <v>13</v>
      </c>
      <c r="V18" s="1256">
        <v>2</v>
      </c>
      <c r="W18" s="1253"/>
      <c r="X18" s="1255"/>
      <c r="Y18" s="1254"/>
      <c r="Z18" s="1255"/>
      <c r="AA18" s="1256"/>
      <c r="AB18" s="1256"/>
      <c r="AC18" s="1256"/>
      <c r="AD18" s="1256"/>
      <c r="AE18" s="1253"/>
      <c r="AF18" s="1255"/>
      <c r="AG18" s="1254"/>
      <c r="AH18" s="1255"/>
      <c r="AI18" s="1256"/>
      <c r="AJ18" s="1256"/>
      <c r="AK18" s="1256"/>
      <c r="AL18" s="1257"/>
      <c r="AM18" s="1258" t="s">
        <v>1951</v>
      </c>
      <c r="AN18" s="1259" t="s">
        <v>1956</v>
      </c>
      <c r="AO18" s="2109" t="s">
        <v>676</v>
      </c>
      <c r="AP18" s="1255">
        <v>6</v>
      </c>
      <c r="AQ18" s="1255">
        <v>20</v>
      </c>
      <c r="AR18" s="1254">
        <v>3</v>
      </c>
      <c r="AS18" s="1255">
        <v>2</v>
      </c>
      <c r="AT18" s="1256">
        <v>2</v>
      </c>
      <c r="AU18" s="1256">
        <v>3</v>
      </c>
      <c r="AV18" s="1256">
        <v>3</v>
      </c>
      <c r="AW18" s="1254">
        <v>2</v>
      </c>
      <c r="AX18" s="2110" t="s">
        <v>360</v>
      </c>
      <c r="AY18" s="4422"/>
      <c r="AZ18" s="4438">
        <f t="shared" si="44"/>
        <v>6.1355025743546223</v>
      </c>
      <c r="BA18" s="4438">
        <f t="shared" si="45"/>
        <v>52.151771882014287</v>
      </c>
      <c r="BB18" s="4438">
        <f t="shared" si="46"/>
        <v>25.564594059810926</v>
      </c>
      <c r="BC18" s="4438">
        <f t="shared" si="47"/>
        <v>3.5790431683735293</v>
      </c>
      <c r="BD18" s="4438">
        <f t="shared" si="48"/>
        <v>3.5790431683735293</v>
      </c>
      <c r="BE18" s="4438">
        <f t="shared" si="49"/>
        <v>7.1580863367470586</v>
      </c>
      <c r="BF18" s="4438">
        <f t="shared" si="50"/>
        <v>6.6467944555508405</v>
      </c>
      <c r="BG18" s="4438">
        <f t="shared" si="51"/>
        <v>1.022583762392437</v>
      </c>
      <c r="BH18" s="4438">
        <f t="shared" si="52"/>
        <v>21.985550891437395</v>
      </c>
      <c r="BI18" s="4438">
        <f t="shared" si="53"/>
        <v>6.1355025743546223</v>
      </c>
      <c r="BJ18" s="4438">
        <f t="shared" si="54"/>
        <v>52.151771882014287</v>
      </c>
      <c r="BK18" s="4438">
        <f t="shared" si="55"/>
        <v>25.564594059810926</v>
      </c>
      <c r="BL18" s="4438">
        <f t="shared" si="56"/>
        <v>3.5790431683735293</v>
      </c>
      <c r="BM18" s="4438">
        <f t="shared" si="57"/>
        <v>3.5790431683735293</v>
      </c>
      <c r="BN18" s="4438">
        <f t="shared" si="58"/>
        <v>7.1580863367470586</v>
      </c>
      <c r="BO18" s="4438">
        <f t="shared" si="59"/>
        <v>6.6467944555508405</v>
      </c>
      <c r="BP18" s="4438">
        <f t="shared" si="60"/>
        <v>1.022583762392437</v>
      </c>
      <c r="BQ18" s="4438">
        <f t="shared" si="61"/>
        <v>0</v>
      </c>
      <c r="BR18" s="4438">
        <f t="shared" si="62"/>
        <v>0</v>
      </c>
      <c r="BS18" s="4438">
        <f t="shared" si="63"/>
        <v>0</v>
      </c>
      <c r="BT18" s="4438">
        <f t="shared" si="64"/>
        <v>0</v>
      </c>
      <c r="BU18" s="4438">
        <f t="shared" si="65"/>
        <v>0</v>
      </c>
      <c r="BV18" s="4438">
        <f t="shared" si="66"/>
        <v>0</v>
      </c>
      <c r="BW18" s="4438">
        <f t="shared" si="67"/>
        <v>0</v>
      </c>
      <c r="BX18" s="4438">
        <f t="shared" si="68"/>
        <v>0</v>
      </c>
      <c r="BY18" s="4438">
        <f t="shared" si="69"/>
        <v>0</v>
      </c>
      <c r="BZ18" s="4438">
        <f t="shared" si="70"/>
        <v>0</v>
      </c>
      <c r="CA18" s="4438">
        <f t="shared" si="71"/>
        <v>0</v>
      </c>
      <c r="CB18" s="4438">
        <f t="shared" si="72"/>
        <v>0</v>
      </c>
      <c r="CC18" s="4438">
        <f t="shared" si="73"/>
        <v>0</v>
      </c>
      <c r="CD18" s="4438">
        <f t="shared" si="74"/>
        <v>0</v>
      </c>
      <c r="CE18" s="4438">
        <f t="shared" si="75"/>
        <v>0</v>
      </c>
      <c r="CF18" s="4438">
        <f t="shared" si="76"/>
        <v>0</v>
      </c>
    </row>
    <row r="19" spans="1:84" ht="38.25">
      <c r="A19" s="2100"/>
      <c r="B19" s="2101">
        <v>2040207</v>
      </c>
      <c r="C19" s="2101" t="s">
        <v>1802</v>
      </c>
      <c r="D19" s="2102">
        <v>0.04</v>
      </c>
      <c r="E19" s="2112" t="s">
        <v>661</v>
      </c>
      <c r="F19" s="2105">
        <f t="shared" si="36"/>
        <v>11</v>
      </c>
      <c r="G19" s="4074">
        <f t="shared" si="37"/>
        <v>14</v>
      </c>
      <c r="H19" s="2104">
        <f t="shared" si="38"/>
        <v>10</v>
      </c>
      <c r="I19" s="2105">
        <f t="shared" si="39"/>
        <v>4</v>
      </c>
      <c r="J19" s="2106">
        <f t="shared" si="40"/>
        <v>4</v>
      </c>
      <c r="K19" s="2106">
        <f t="shared" si="41"/>
        <v>3</v>
      </c>
      <c r="L19" s="2106">
        <f t="shared" si="42"/>
        <v>6</v>
      </c>
      <c r="M19" s="2107">
        <f t="shared" si="43"/>
        <v>6</v>
      </c>
      <c r="N19" s="2108">
        <f t="shared" si="77"/>
        <v>23</v>
      </c>
      <c r="O19" s="4584">
        <v>11</v>
      </c>
      <c r="P19" s="4630">
        <v>14</v>
      </c>
      <c r="Q19" s="1254">
        <v>10</v>
      </c>
      <c r="R19" s="1255">
        <v>4</v>
      </c>
      <c r="S19" s="1256">
        <v>4</v>
      </c>
      <c r="T19" s="1256">
        <v>3</v>
      </c>
      <c r="U19" s="1256">
        <v>6</v>
      </c>
      <c r="V19" s="1256">
        <v>6</v>
      </c>
      <c r="W19" s="1253"/>
      <c r="X19" s="1255"/>
      <c r="Y19" s="1254"/>
      <c r="Z19" s="1255"/>
      <c r="AA19" s="1256"/>
      <c r="AB19" s="1256"/>
      <c r="AC19" s="1256"/>
      <c r="AD19" s="1256"/>
      <c r="AE19" s="1253"/>
      <c r="AF19" s="1255"/>
      <c r="AG19" s="1254"/>
      <c r="AH19" s="1255"/>
      <c r="AI19" s="1256"/>
      <c r="AJ19" s="1256"/>
      <c r="AK19" s="1256"/>
      <c r="AL19" s="1257"/>
      <c r="AM19" s="1258" t="s">
        <v>1951</v>
      </c>
      <c r="AN19" s="1259" t="s">
        <v>1957</v>
      </c>
      <c r="AO19" s="2109" t="s">
        <v>676</v>
      </c>
      <c r="AP19" s="1255">
        <v>19</v>
      </c>
      <c r="AQ19" s="1255">
        <v>22</v>
      </c>
      <c r="AR19" s="1254"/>
      <c r="AS19" s="1255">
        <v>5</v>
      </c>
      <c r="AT19" s="1256">
        <v>5</v>
      </c>
      <c r="AU19" s="1256">
        <v>5</v>
      </c>
      <c r="AV19" s="1256">
        <v>6</v>
      </c>
      <c r="AW19" s="1254">
        <v>6</v>
      </c>
      <c r="AX19" s="2110" t="s">
        <v>360</v>
      </c>
      <c r="AY19" s="4422"/>
      <c r="AZ19" s="4438">
        <f t="shared" si="44"/>
        <v>5.6242106931584033</v>
      </c>
      <c r="BA19" s="4438">
        <f t="shared" si="45"/>
        <v>7.1580863367470586</v>
      </c>
      <c r="BB19" s="4438">
        <f t="shared" si="46"/>
        <v>5.1129188119621851</v>
      </c>
      <c r="BC19" s="4438">
        <f t="shared" si="47"/>
        <v>2.045167524784874</v>
      </c>
      <c r="BD19" s="4438">
        <f t="shared" si="48"/>
        <v>2.045167524784874</v>
      </c>
      <c r="BE19" s="4438">
        <f t="shared" si="49"/>
        <v>1.5338756435886556</v>
      </c>
      <c r="BF19" s="4438">
        <f t="shared" si="50"/>
        <v>3.0677512871773112</v>
      </c>
      <c r="BG19" s="4438">
        <f t="shared" si="51"/>
        <v>3.0677512871773112</v>
      </c>
      <c r="BH19" s="4438">
        <f t="shared" si="52"/>
        <v>11.759713267513025</v>
      </c>
      <c r="BI19" s="4438">
        <f t="shared" si="53"/>
        <v>5.6242106931584033</v>
      </c>
      <c r="BJ19" s="4438">
        <f t="shared" si="54"/>
        <v>7.1580863367470586</v>
      </c>
      <c r="BK19" s="4438">
        <f t="shared" si="55"/>
        <v>5.1129188119621851</v>
      </c>
      <c r="BL19" s="4438">
        <f t="shared" si="56"/>
        <v>2.045167524784874</v>
      </c>
      <c r="BM19" s="4438">
        <f t="shared" si="57"/>
        <v>2.045167524784874</v>
      </c>
      <c r="BN19" s="4438">
        <f t="shared" si="58"/>
        <v>1.5338756435886556</v>
      </c>
      <c r="BO19" s="4438">
        <f t="shared" si="59"/>
        <v>3.0677512871773112</v>
      </c>
      <c r="BP19" s="4438">
        <f t="shared" si="60"/>
        <v>3.0677512871773112</v>
      </c>
      <c r="BQ19" s="4438">
        <f t="shared" si="61"/>
        <v>0</v>
      </c>
      <c r="BR19" s="4438">
        <f t="shared" si="62"/>
        <v>0</v>
      </c>
      <c r="BS19" s="4438">
        <f t="shared" si="63"/>
        <v>0</v>
      </c>
      <c r="BT19" s="4438">
        <f t="shared" si="64"/>
        <v>0</v>
      </c>
      <c r="BU19" s="4438">
        <f t="shared" si="65"/>
        <v>0</v>
      </c>
      <c r="BV19" s="4438">
        <f t="shared" si="66"/>
        <v>0</v>
      </c>
      <c r="BW19" s="4438">
        <f t="shared" si="67"/>
        <v>0</v>
      </c>
      <c r="BX19" s="4438">
        <f t="shared" si="68"/>
        <v>0</v>
      </c>
      <c r="BY19" s="4438">
        <f t="shared" si="69"/>
        <v>0</v>
      </c>
      <c r="BZ19" s="4438">
        <f t="shared" si="70"/>
        <v>0</v>
      </c>
      <c r="CA19" s="4438">
        <f t="shared" si="71"/>
        <v>0</v>
      </c>
      <c r="CB19" s="4438">
        <f t="shared" si="72"/>
        <v>0</v>
      </c>
      <c r="CC19" s="4438">
        <f t="shared" si="73"/>
        <v>0</v>
      </c>
      <c r="CD19" s="4438">
        <f t="shared" si="74"/>
        <v>0</v>
      </c>
      <c r="CE19" s="4438">
        <f t="shared" si="75"/>
        <v>0</v>
      </c>
      <c r="CF19" s="4438">
        <f t="shared" si="76"/>
        <v>0</v>
      </c>
    </row>
    <row r="20" spans="1:84" ht="25.5">
      <c r="A20" s="2100"/>
      <c r="B20" s="2101">
        <v>2040207</v>
      </c>
      <c r="C20" s="2101" t="s">
        <v>1803</v>
      </c>
      <c r="D20" s="2102">
        <v>0.04</v>
      </c>
      <c r="E20" s="2112" t="s">
        <v>361</v>
      </c>
      <c r="F20" s="2105">
        <f t="shared" si="36"/>
        <v>43</v>
      </c>
      <c r="G20" s="4074">
        <f t="shared" si="37"/>
        <v>140</v>
      </c>
      <c r="H20" s="2104">
        <f t="shared" si="38"/>
        <v>50</v>
      </c>
      <c r="I20" s="2105">
        <f t="shared" si="39"/>
        <v>19</v>
      </c>
      <c r="J20" s="2106">
        <f t="shared" si="40"/>
        <v>2</v>
      </c>
      <c r="K20" s="2106">
        <f t="shared" si="41"/>
        <v>1</v>
      </c>
      <c r="L20" s="2106">
        <f t="shared" si="42"/>
        <v>10</v>
      </c>
      <c r="M20" s="2107">
        <f t="shared" si="43"/>
        <v>14</v>
      </c>
      <c r="N20" s="2108">
        <f t="shared" si="77"/>
        <v>46</v>
      </c>
      <c r="O20" s="4584">
        <v>43</v>
      </c>
      <c r="P20" s="4630">
        <v>140</v>
      </c>
      <c r="Q20" s="1254">
        <v>50</v>
      </c>
      <c r="R20" s="1255">
        <v>19</v>
      </c>
      <c r="S20" s="1256">
        <v>2</v>
      </c>
      <c r="T20" s="1256">
        <v>1</v>
      </c>
      <c r="U20" s="1256">
        <v>10</v>
      </c>
      <c r="V20" s="1256">
        <v>14</v>
      </c>
      <c r="W20" s="1253"/>
      <c r="X20" s="1255"/>
      <c r="Y20" s="1254"/>
      <c r="Z20" s="1255"/>
      <c r="AA20" s="1256"/>
      <c r="AB20" s="1256"/>
      <c r="AC20" s="1256"/>
      <c r="AD20" s="1256"/>
      <c r="AE20" s="1253"/>
      <c r="AF20" s="1255"/>
      <c r="AG20" s="1254"/>
      <c r="AH20" s="1255"/>
      <c r="AI20" s="1256"/>
      <c r="AJ20" s="1256"/>
      <c r="AK20" s="1256"/>
      <c r="AL20" s="1257"/>
      <c r="AM20" s="1258" t="s">
        <v>1951</v>
      </c>
      <c r="AN20" s="1259" t="s">
        <v>1958</v>
      </c>
      <c r="AO20" s="2109" t="s">
        <v>676</v>
      </c>
      <c r="AP20" s="1255">
        <v>45</v>
      </c>
      <c r="AQ20" s="1255">
        <v>83</v>
      </c>
      <c r="AR20" s="1254">
        <v>20</v>
      </c>
      <c r="AS20" s="1255">
        <v>4</v>
      </c>
      <c r="AT20" s="1256">
        <v>4</v>
      </c>
      <c r="AU20" s="1256">
        <v>4</v>
      </c>
      <c r="AV20" s="1256">
        <v>4</v>
      </c>
      <c r="AW20" s="1254">
        <v>4</v>
      </c>
      <c r="AX20" s="2110" t="s">
        <v>360</v>
      </c>
      <c r="AY20" s="4422"/>
      <c r="AZ20" s="4438">
        <f t="shared" si="44"/>
        <v>21.985550891437395</v>
      </c>
      <c r="BA20" s="4438">
        <f t="shared" si="45"/>
        <v>71.580863367470585</v>
      </c>
      <c r="BB20" s="4438">
        <f t="shared" si="46"/>
        <v>25.564594059810926</v>
      </c>
      <c r="BC20" s="4438">
        <f t="shared" si="47"/>
        <v>9.7145457427281521</v>
      </c>
      <c r="BD20" s="4438">
        <f t="shared" si="48"/>
        <v>1.022583762392437</v>
      </c>
      <c r="BE20" s="4438">
        <f t="shared" si="49"/>
        <v>0.51129188119621849</v>
      </c>
      <c r="BF20" s="4438">
        <f t="shared" si="50"/>
        <v>5.1129188119621851</v>
      </c>
      <c r="BG20" s="4438">
        <f t="shared" si="51"/>
        <v>7.1580863367470586</v>
      </c>
      <c r="BH20" s="4438">
        <f t="shared" si="52"/>
        <v>23.519426535026049</v>
      </c>
      <c r="BI20" s="4438">
        <f t="shared" si="53"/>
        <v>21.985550891437395</v>
      </c>
      <c r="BJ20" s="4438">
        <f t="shared" si="54"/>
        <v>71.580863367470585</v>
      </c>
      <c r="BK20" s="4438">
        <f t="shared" si="55"/>
        <v>25.564594059810926</v>
      </c>
      <c r="BL20" s="4438">
        <f t="shared" si="56"/>
        <v>9.7145457427281521</v>
      </c>
      <c r="BM20" s="4438">
        <f t="shared" si="57"/>
        <v>1.022583762392437</v>
      </c>
      <c r="BN20" s="4438">
        <f t="shared" si="58"/>
        <v>0.51129188119621849</v>
      </c>
      <c r="BO20" s="4438">
        <f t="shared" si="59"/>
        <v>5.1129188119621851</v>
      </c>
      <c r="BP20" s="4438">
        <f t="shared" si="60"/>
        <v>7.1580863367470586</v>
      </c>
      <c r="BQ20" s="4438">
        <f t="shared" si="61"/>
        <v>0</v>
      </c>
      <c r="BR20" s="4438">
        <f t="shared" si="62"/>
        <v>0</v>
      </c>
      <c r="BS20" s="4438">
        <f t="shared" si="63"/>
        <v>0</v>
      </c>
      <c r="BT20" s="4438">
        <f t="shared" si="64"/>
        <v>0</v>
      </c>
      <c r="BU20" s="4438">
        <f t="shared" si="65"/>
        <v>0</v>
      </c>
      <c r="BV20" s="4438">
        <f t="shared" si="66"/>
        <v>0</v>
      </c>
      <c r="BW20" s="4438">
        <f t="shared" si="67"/>
        <v>0</v>
      </c>
      <c r="BX20" s="4438">
        <f t="shared" si="68"/>
        <v>0</v>
      </c>
      <c r="BY20" s="4438">
        <f t="shared" si="69"/>
        <v>0</v>
      </c>
      <c r="BZ20" s="4438">
        <f t="shared" si="70"/>
        <v>0</v>
      </c>
      <c r="CA20" s="4438">
        <f t="shared" si="71"/>
        <v>0</v>
      </c>
      <c r="CB20" s="4438">
        <f t="shared" si="72"/>
        <v>0</v>
      </c>
      <c r="CC20" s="4438">
        <f t="shared" si="73"/>
        <v>0</v>
      </c>
      <c r="CD20" s="4438">
        <f t="shared" si="74"/>
        <v>0</v>
      </c>
      <c r="CE20" s="4438">
        <f t="shared" si="75"/>
        <v>0</v>
      </c>
      <c r="CF20" s="4438">
        <f t="shared" si="76"/>
        <v>0</v>
      </c>
    </row>
    <row r="21" spans="1:84" ht="38.25">
      <c r="A21" s="2100"/>
      <c r="B21" s="2101">
        <v>2030401</v>
      </c>
      <c r="C21" s="2101" t="s">
        <v>1804</v>
      </c>
      <c r="D21" s="2113">
        <v>0.1</v>
      </c>
      <c r="E21" s="2112" t="s">
        <v>362</v>
      </c>
      <c r="F21" s="2105">
        <f t="shared" si="36"/>
        <v>635</v>
      </c>
      <c r="G21" s="4074">
        <f t="shared" si="37"/>
        <v>112</v>
      </c>
      <c r="H21" s="2104">
        <f t="shared" si="38"/>
        <v>200</v>
      </c>
      <c r="I21" s="2105">
        <f t="shared" si="39"/>
        <v>101</v>
      </c>
      <c r="J21" s="2106">
        <f t="shared" si="40"/>
        <v>38</v>
      </c>
      <c r="K21" s="2106">
        <f t="shared" si="41"/>
        <v>121</v>
      </c>
      <c r="L21" s="2106">
        <f t="shared" si="42"/>
        <v>120</v>
      </c>
      <c r="M21" s="2107">
        <f t="shared" si="43"/>
        <v>120</v>
      </c>
      <c r="N21" s="2108">
        <f t="shared" si="77"/>
        <v>500</v>
      </c>
      <c r="O21" s="4584">
        <v>635</v>
      </c>
      <c r="P21" s="4630">
        <v>112</v>
      </c>
      <c r="Q21" s="1254">
        <v>200</v>
      </c>
      <c r="R21" s="1255">
        <v>101</v>
      </c>
      <c r="S21" s="1256">
        <v>38</v>
      </c>
      <c r="T21" s="1256">
        <v>121</v>
      </c>
      <c r="U21" s="1256">
        <v>120</v>
      </c>
      <c r="V21" s="1256">
        <v>120</v>
      </c>
      <c r="W21" s="1253"/>
      <c r="X21" s="1255"/>
      <c r="Y21" s="1254"/>
      <c r="Z21" s="1255"/>
      <c r="AA21" s="1256"/>
      <c r="AB21" s="1256"/>
      <c r="AC21" s="1256"/>
      <c r="AD21" s="1256"/>
      <c r="AE21" s="1253"/>
      <c r="AF21" s="1255"/>
      <c r="AG21" s="1254"/>
      <c r="AH21" s="1255"/>
      <c r="AI21" s="1256"/>
      <c r="AJ21" s="1256"/>
      <c r="AK21" s="1256"/>
      <c r="AL21" s="1257"/>
      <c r="AM21" s="1258" t="s">
        <v>1951</v>
      </c>
      <c r="AN21" s="1259" t="s">
        <v>1959</v>
      </c>
      <c r="AO21" s="2109" t="s">
        <v>676</v>
      </c>
      <c r="AP21" s="1255">
        <v>59</v>
      </c>
      <c r="AQ21" s="1255">
        <v>7</v>
      </c>
      <c r="AR21" s="1254">
        <v>20</v>
      </c>
      <c r="AS21" s="1255">
        <v>6</v>
      </c>
      <c r="AT21" s="1256">
        <v>6</v>
      </c>
      <c r="AU21" s="1256">
        <v>7</v>
      </c>
      <c r="AV21" s="1256">
        <v>7</v>
      </c>
      <c r="AW21" s="1254">
        <v>7</v>
      </c>
      <c r="AX21" s="2110" t="s">
        <v>360</v>
      </c>
      <c r="AY21" s="4422"/>
      <c r="AZ21" s="4438">
        <f t="shared" si="44"/>
        <v>324.67034455959873</v>
      </c>
      <c r="BA21" s="4438">
        <f t="shared" si="45"/>
        <v>57.264690693976469</v>
      </c>
      <c r="BB21" s="4438">
        <f t="shared" si="46"/>
        <v>102.2583762392437</v>
      </c>
      <c r="BC21" s="4438">
        <f t="shared" si="47"/>
        <v>51.640480000818066</v>
      </c>
      <c r="BD21" s="4438">
        <f t="shared" si="48"/>
        <v>19.429091485456304</v>
      </c>
      <c r="BE21" s="4438">
        <f t="shared" si="49"/>
        <v>61.866317624742436</v>
      </c>
      <c r="BF21" s="4438">
        <f t="shared" si="50"/>
        <v>61.355025743546221</v>
      </c>
      <c r="BG21" s="4438">
        <f t="shared" si="51"/>
        <v>61.355025743546221</v>
      </c>
      <c r="BH21" s="4438">
        <f t="shared" si="52"/>
        <v>255.64594059810923</v>
      </c>
      <c r="BI21" s="4438">
        <f t="shared" si="53"/>
        <v>324.67034455959873</v>
      </c>
      <c r="BJ21" s="4438">
        <f t="shared" si="54"/>
        <v>57.264690693976469</v>
      </c>
      <c r="BK21" s="4438">
        <f t="shared" si="55"/>
        <v>102.2583762392437</v>
      </c>
      <c r="BL21" s="4438">
        <f t="shared" si="56"/>
        <v>51.640480000818066</v>
      </c>
      <c r="BM21" s="4438">
        <f t="shared" si="57"/>
        <v>19.429091485456304</v>
      </c>
      <c r="BN21" s="4438">
        <f t="shared" si="58"/>
        <v>61.866317624742436</v>
      </c>
      <c r="BO21" s="4438">
        <f t="shared" si="59"/>
        <v>61.355025743546221</v>
      </c>
      <c r="BP21" s="4438">
        <f t="shared" si="60"/>
        <v>61.355025743546221</v>
      </c>
      <c r="BQ21" s="4438">
        <f t="shared" si="61"/>
        <v>0</v>
      </c>
      <c r="BR21" s="4438">
        <f t="shared" si="62"/>
        <v>0</v>
      </c>
      <c r="BS21" s="4438">
        <f t="shared" si="63"/>
        <v>0</v>
      </c>
      <c r="BT21" s="4438">
        <f t="shared" si="64"/>
        <v>0</v>
      </c>
      <c r="BU21" s="4438">
        <f t="shared" si="65"/>
        <v>0</v>
      </c>
      <c r="BV21" s="4438">
        <f t="shared" si="66"/>
        <v>0</v>
      </c>
      <c r="BW21" s="4438">
        <f t="shared" si="67"/>
        <v>0</v>
      </c>
      <c r="BX21" s="4438">
        <f t="shared" si="68"/>
        <v>0</v>
      </c>
      <c r="BY21" s="4438">
        <f t="shared" si="69"/>
        <v>0</v>
      </c>
      <c r="BZ21" s="4438">
        <f t="shared" si="70"/>
        <v>0</v>
      </c>
      <c r="CA21" s="4438">
        <f t="shared" si="71"/>
        <v>0</v>
      </c>
      <c r="CB21" s="4438">
        <f t="shared" si="72"/>
        <v>0</v>
      </c>
      <c r="CC21" s="4438">
        <f t="shared" si="73"/>
        <v>0</v>
      </c>
      <c r="CD21" s="4438">
        <f t="shared" si="74"/>
        <v>0</v>
      </c>
      <c r="CE21" s="4438">
        <f t="shared" si="75"/>
        <v>0</v>
      </c>
      <c r="CF21" s="4438">
        <f t="shared" si="76"/>
        <v>0</v>
      </c>
    </row>
    <row r="22" spans="1:84" ht="38.25">
      <c r="A22" s="2100"/>
      <c r="B22" s="2101">
        <v>2040205</v>
      </c>
      <c r="C22" s="2101" t="s">
        <v>1805</v>
      </c>
      <c r="D22" s="2102">
        <v>0.02</v>
      </c>
      <c r="E22" s="2103" t="s">
        <v>363</v>
      </c>
      <c r="F22" s="2105">
        <f t="shared" si="36"/>
        <v>513</v>
      </c>
      <c r="G22" s="4074">
        <f t="shared" si="37"/>
        <v>418</v>
      </c>
      <c r="H22" s="2104">
        <f t="shared" si="38"/>
        <v>150</v>
      </c>
      <c r="I22" s="2105">
        <f t="shared" si="39"/>
        <v>1630.7177160000001</v>
      </c>
      <c r="J22" s="2106">
        <f t="shared" si="40"/>
        <v>3142.4354320000002</v>
      </c>
      <c r="K22" s="2106">
        <f t="shared" si="41"/>
        <v>3317.4354320000002</v>
      </c>
      <c r="L22" s="2106">
        <f t="shared" si="42"/>
        <v>200</v>
      </c>
      <c r="M22" s="2107">
        <f t="shared" si="43"/>
        <v>200</v>
      </c>
      <c r="N22" s="2108">
        <f t="shared" si="77"/>
        <v>8490.5885799999996</v>
      </c>
      <c r="O22" s="4584">
        <v>513</v>
      </c>
      <c r="P22" s="4630">
        <v>418</v>
      </c>
      <c r="Q22" s="1254">
        <v>150</v>
      </c>
      <c r="R22" s="1255">
        <v>95</v>
      </c>
      <c r="S22" s="1256">
        <v>71</v>
      </c>
      <c r="T22" s="1256">
        <v>246</v>
      </c>
      <c r="U22" s="1256">
        <v>200</v>
      </c>
      <c r="V22" s="1256">
        <v>200</v>
      </c>
      <c r="W22" s="1253"/>
      <c r="X22" s="1255"/>
      <c r="Y22" s="1254"/>
      <c r="Z22" s="1255"/>
      <c r="AA22" s="1256"/>
      <c r="AB22" s="1256"/>
      <c r="AC22" s="1256"/>
      <c r="AD22" s="1256"/>
      <c r="AE22" s="1253"/>
      <c r="AF22" s="1255"/>
      <c r="AG22" s="1254"/>
      <c r="AH22" s="1255">
        <f>3926/5*1*1.95583</f>
        <v>1535.7177160000001</v>
      </c>
      <c r="AI22" s="1256">
        <f>3926/5*2*1.95583</f>
        <v>3071.4354320000002</v>
      </c>
      <c r="AJ22" s="1256">
        <f>3926/5*2*1.95583</f>
        <v>3071.4354320000002</v>
      </c>
      <c r="AK22" s="1256"/>
      <c r="AL22" s="1257"/>
      <c r="AM22" s="1258" t="s">
        <v>1951</v>
      </c>
      <c r="AN22" s="1259" t="s">
        <v>1960</v>
      </c>
      <c r="AO22" s="2109" t="s">
        <v>678</v>
      </c>
      <c r="AP22" s="1255">
        <v>4848</v>
      </c>
      <c r="AQ22" s="1255">
        <v>5680</v>
      </c>
      <c r="AR22" s="1254">
        <v>1000</v>
      </c>
      <c r="AS22" s="1255">
        <v>6500</v>
      </c>
      <c r="AT22" s="1256">
        <v>5500</v>
      </c>
      <c r="AU22" s="1256">
        <v>8500</v>
      </c>
      <c r="AV22" s="1256">
        <v>18700</v>
      </c>
      <c r="AW22" s="1254">
        <v>20700</v>
      </c>
      <c r="AX22" s="2110" t="s">
        <v>364</v>
      </c>
      <c r="AY22" s="4422"/>
      <c r="AZ22" s="4438">
        <f t="shared" si="44"/>
        <v>262.29273505366007</v>
      </c>
      <c r="BA22" s="4438">
        <f t="shared" si="45"/>
        <v>213.72000634001932</v>
      </c>
      <c r="BB22" s="4438">
        <f t="shared" si="46"/>
        <v>76.693782179432773</v>
      </c>
      <c r="BC22" s="4438">
        <f t="shared" si="47"/>
        <v>833.77272871364084</v>
      </c>
      <c r="BD22" s="4438">
        <f t="shared" si="48"/>
        <v>1606.7017235649316</v>
      </c>
      <c r="BE22" s="4438">
        <f t="shared" si="49"/>
        <v>1696.1778027742698</v>
      </c>
      <c r="BF22" s="4438">
        <f t="shared" si="50"/>
        <v>102.2583762392437</v>
      </c>
      <c r="BG22" s="4438">
        <f t="shared" si="51"/>
        <v>102.2583762392437</v>
      </c>
      <c r="BH22" s="4438">
        <f t="shared" si="52"/>
        <v>4341.169007531329</v>
      </c>
      <c r="BI22" s="4438">
        <f t="shared" si="53"/>
        <v>262.29273505366007</v>
      </c>
      <c r="BJ22" s="4438">
        <f t="shared" si="54"/>
        <v>213.72000634001932</v>
      </c>
      <c r="BK22" s="4438">
        <f t="shared" si="55"/>
        <v>76.693782179432773</v>
      </c>
      <c r="BL22" s="4438">
        <f t="shared" si="56"/>
        <v>48.572728713640757</v>
      </c>
      <c r="BM22" s="4438">
        <f t="shared" si="57"/>
        <v>36.301723564931514</v>
      </c>
      <c r="BN22" s="4438">
        <f t="shared" si="58"/>
        <v>125.77780277426974</v>
      </c>
      <c r="BO22" s="4438">
        <f t="shared" si="59"/>
        <v>102.2583762392437</v>
      </c>
      <c r="BP22" s="4438">
        <f t="shared" si="60"/>
        <v>102.2583762392437</v>
      </c>
      <c r="BQ22" s="4438">
        <f t="shared" si="61"/>
        <v>0</v>
      </c>
      <c r="BR22" s="4438">
        <f t="shared" si="62"/>
        <v>0</v>
      </c>
      <c r="BS22" s="4438">
        <f t="shared" si="63"/>
        <v>0</v>
      </c>
      <c r="BT22" s="4438">
        <f t="shared" si="64"/>
        <v>0</v>
      </c>
      <c r="BU22" s="4438">
        <f t="shared" si="65"/>
        <v>0</v>
      </c>
      <c r="BV22" s="4438">
        <f t="shared" si="66"/>
        <v>0</v>
      </c>
      <c r="BW22" s="4438">
        <f t="shared" si="67"/>
        <v>0</v>
      </c>
      <c r="BX22" s="4438">
        <f t="shared" si="68"/>
        <v>0</v>
      </c>
      <c r="BY22" s="4438">
        <f t="shared" si="69"/>
        <v>0</v>
      </c>
      <c r="BZ22" s="4438">
        <f t="shared" si="70"/>
        <v>0</v>
      </c>
      <c r="CA22" s="4438">
        <f t="shared" si="71"/>
        <v>0</v>
      </c>
      <c r="CB22" s="4438">
        <f t="shared" si="72"/>
        <v>785.2</v>
      </c>
      <c r="CC22" s="4438">
        <f t="shared" si="73"/>
        <v>1570.4</v>
      </c>
      <c r="CD22" s="4438">
        <f t="shared" si="74"/>
        <v>1570.4</v>
      </c>
      <c r="CE22" s="4438">
        <f t="shared" si="75"/>
        <v>0</v>
      </c>
      <c r="CF22" s="4438">
        <f t="shared" si="76"/>
        <v>0</v>
      </c>
    </row>
    <row r="23" spans="1:84" ht="38.25">
      <c r="A23" s="2100"/>
      <c r="B23" s="2101">
        <v>2040205</v>
      </c>
      <c r="C23" s="2101" t="s">
        <v>1806</v>
      </c>
      <c r="D23" s="2102">
        <v>0.02</v>
      </c>
      <c r="E23" s="2103" t="s">
        <v>365</v>
      </c>
      <c r="F23" s="2105">
        <f t="shared" si="36"/>
        <v>56</v>
      </c>
      <c r="G23" s="4074">
        <f t="shared" si="37"/>
        <v>49</v>
      </c>
      <c r="H23" s="2104">
        <f t="shared" si="38"/>
        <v>50</v>
      </c>
      <c r="I23" s="2105">
        <f t="shared" si="39"/>
        <v>30</v>
      </c>
      <c r="J23" s="2106">
        <f t="shared" si="40"/>
        <v>30</v>
      </c>
      <c r="K23" s="2106">
        <f t="shared" si="41"/>
        <v>30</v>
      </c>
      <c r="L23" s="2106">
        <f t="shared" si="42"/>
        <v>30</v>
      </c>
      <c r="M23" s="2107">
        <f t="shared" si="43"/>
        <v>30</v>
      </c>
      <c r="N23" s="2108">
        <f t="shared" si="77"/>
        <v>150</v>
      </c>
      <c r="O23" s="4584">
        <v>56</v>
      </c>
      <c r="P23" s="4630">
        <v>49</v>
      </c>
      <c r="Q23" s="1254">
        <v>50</v>
      </c>
      <c r="R23" s="1255">
        <v>30</v>
      </c>
      <c r="S23" s="1256">
        <v>30</v>
      </c>
      <c r="T23" s="1256">
        <v>30</v>
      </c>
      <c r="U23" s="1256">
        <v>30</v>
      </c>
      <c r="V23" s="1256">
        <v>30</v>
      </c>
      <c r="W23" s="1253"/>
      <c r="X23" s="1255"/>
      <c r="Y23" s="1254"/>
      <c r="Z23" s="1255"/>
      <c r="AA23" s="1256"/>
      <c r="AB23" s="1256"/>
      <c r="AC23" s="1256"/>
      <c r="AD23" s="1256"/>
      <c r="AE23" s="1253"/>
      <c r="AF23" s="1255"/>
      <c r="AG23" s="1254"/>
      <c r="AH23" s="1255"/>
      <c r="AI23" s="1256"/>
      <c r="AJ23" s="1256"/>
      <c r="AK23" s="1256"/>
      <c r="AL23" s="1257"/>
      <c r="AM23" s="1258" t="s">
        <v>1951</v>
      </c>
      <c r="AN23" s="1259" t="s">
        <v>1961</v>
      </c>
      <c r="AO23" s="2109" t="s">
        <v>676</v>
      </c>
      <c r="AP23" s="1255">
        <v>87</v>
      </c>
      <c r="AQ23" s="1255">
        <v>85</v>
      </c>
      <c r="AR23" s="1254">
        <v>90</v>
      </c>
      <c r="AS23" s="1255">
        <v>100</v>
      </c>
      <c r="AT23" s="1255">
        <v>100</v>
      </c>
      <c r="AU23" s="1255">
        <v>100</v>
      </c>
      <c r="AV23" s="1255">
        <v>100</v>
      </c>
      <c r="AW23" s="1255">
        <v>130</v>
      </c>
      <c r="AX23" s="2110" t="s">
        <v>366</v>
      </c>
      <c r="AY23" s="4422"/>
      <c r="AZ23" s="4438">
        <f t="shared" si="44"/>
        <v>28.632345346988235</v>
      </c>
      <c r="BA23" s="4438">
        <f t="shared" si="45"/>
        <v>25.053302178614707</v>
      </c>
      <c r="BB23" s="4438">
        <f t="shared" si="46"/>
        <v>25.564594059810926</v>
      </c>
      <c r="BC23" s="4438">
        <f t="shared" si="47"/>
        <v>15.338756435886555</v>
      </c>
      <c r="BD23" s="4438">
        <f t="shared" si="48"/>
        <v>15.338756435886555</v>
      </c>
      <c r="BE23" s="4438">
        <f t="shared" si="49"/>
        <v>15.338756435886555</v>
      </c>
      <c r="BF23" s="4438">
        <f t="shared" si="50"/>
        <v>15.338756435886555</v>
      </c>
      <c r="BG23" s="4438">
        <f t="shared" si="51"/>
        <v>15.338756435886555</v>
      </c>
      <c r="BH23" s="4438">
        <f t="shared" si="52"/>
        <v>76.693782179432773</v>
      </c>
      <c r="BI23" s="4438">
        <f t="shared" si="53"/>
        <v>28.632345346988235</v>
      </c>
      <c r="BJ23" s="4438">
        <f t="shared" si="54"/>
        <v>25.053302178614707</v>
      </c>
      <c r="BK23" s="4438">
        <f t="shared" si="55"/>
        <v>25.564594059810926</v>
      </c>
      <c r="BL23" s="4438">
        <f t="shared" si="56"/>
        <v>15.338756435886555</v>
      </c>
      <c r="BM23" s="4438">
        <f t="shared" si="57"/>
        <v>15.338756435886555</v>
      </c>
      <c r="BN23" s="4438">
        <f t="shared" si="58"/>
        <v>15.338756435886555</v>
      </c>
      <c r="BO23" s="4438">
        <f t="shared" si="59"/>
        <v>15.338756435886555</v>
      </c>
      <c r="BP23" s="4438">
        <f t="shared" si="60"/>
        <v>15.338756435886555</v>
      </c>
      <c r="BQ23" s="4438">
        <f t="shared" si="61"/>
        <v>0</v>
      </c>
      <c r="BR23" s="4438">
        <f t="shared" si="62"/>
        <v>0</v>
      </c>
      <c r="BS23" s="4438">
        <f t="shared" si="63"/>
        <v>0</v>
      </c>
      <c r="BT23" s="4438">
        <f t="shared" si="64"/>
        <v>0</v>
      </c>
      <c r="BU23" s="4438">
        <f t="shared" si="65"/>
        <v>0</v>
      </c>
      <c r="BV23" s="4438">
        <f t="shared" si="66"/>
        <v>0</v>
      </c>
      <c r="BW23" s="4438">
        <f t="shared" si="67"/>
        <v>0</v>
      </c>
      <c r="BX23" s="4438">
        <f t="shared" si="68"/>
        <v>0</v>
      </c>
      <c r="BY23" s="4438">
        <f t="shared" si="69"/>
        <v>0</v>
      </c>
      <c r="BZ23" s="4438">
        <f t="shared" si="70"/>
        <v>0</v>
      </c>
      <c r="CA23" s="4438">
        <f t="shared" si="71"/>
        <v>0</v>
      </c>
      <c r="CB23" s="4438">
        <f t="shared" si="72"/>
        <v>0</v>
      </c>
      <c r="CC23" s="4438">
        <f t="shared" si="73"/>
        <v>0</v>
      </c>
      <c r="CD23" s="4438">
        <f t="shared" si="74"/>
        <v>0</v>
      </c>
      <c r="CE23" s="4438">
        <f t="shared" si="75"/>
        <v>0</v>
      </c>
      <c r="CF23" s="4438">
        <f t="shared" si="76"/>
        <v>0</v>
      </c>
    </row>
    <row r="24" spans="1:84" ht="36">
      <c r="A24" s="2100"/>
      <c r="B24" s="2101">
        <v>2030502</v>
      </c>
      <c r="C24" s="2101" t="s">
        <v>1807</v>
      </c>
      <c r="D24" s="2102">
        <v>0.1</v>
      </c>
      <c r="E24" s="2103" t="s">
        <v>367</v>
      </c>
      <c r="F24" s="2105">
        <f t="shared" si="36"/>
        <v>102</v>
      </c>
      <c r="G24" s="4074">
        <f t="shared" si="37"/>
        <v>111</v>
      </c>
      <c r="H24" s="2104">
        <f t="shared" si="38"/>
        <v>50</v>
      </c>
      <c r="I24" s="2105">
        <f t="shared" si="39"/>
        <v>17</v>
      </c>
      <c r="J24" s="2106">
        <f t="shared" si="40"/>
        <v>12</v>
      </c>
      <c r="K24" s="2106">
        <f t="shared" si="41"/>
        <v>13</v>
      </c>
      <c r="L24" s="2106">
        <f t="shared" si="42"/>
        <v>12</v>
      </c>
      <c r="M24" s="2107">
        <f t="shared" si="43"/>
        <v>14</v>
      </c>
      <c r="N24" s="2108">
        <f t="shared" si="77"/>
        <v>68</v>
      </c>
      <c r="O24" s="4584">
        <v>102</v>
      </c>
      <c r="P24" s="4630">
        <v>111</v>
      </c>
      <c r="Q24" s="1254">
        <v>50</v>
      </c>
      <c r="R24" s="1255">
        <v>17</v>
      </c>
      <c r="S24" s="1256">
        <v>12</v>
      </c>
      <c r="T24" s="1256">
        <v>13</v>
      </c>
      <c r="U24" s="1256">
        <v>12</v>
      </c>
      <c r="V24" s="1256">
        <v>14</v>
      </c>
      <c r="W24" s="1253"/>
      <c r="X24" s="1255"/>
      <c r="Y24" s="1254"/>
      <c r="Z24" s="1255"/>
      <c r="AA24" s="1256"/>
      <c r="AB24" s="1256"/>
      <c r="AC24" s="1256"/>
      <c r="AD24" s="1256"/>
      <c r="AE24" s="1253"/>
      <c r="AF24" s="1255"/>
      <c r="AG24" s="1254"/>
      <c r="AH24" s="1255"/>
      <c r="AI24" s="1256"/>
      <c r="AJ24" s="1256"/>
      <c r="AK24" s="1256"/>
      <c r="AL24" s="1257"/>
      <c r="AM24" s="1258" t="s">
        <v>1951</v>
      </c>
      <c r="AN24" s="1259" t="s">
        <v>1962</v>
      </c>
      <c r="AO24" s="2109" t="s">
        <v>676</v>
      </c>
      <c r="AP24" s="1255">
        <v>127</v>
      </c>
      <c r="AQ24" s="1255">
        <v>136</v>
      </c>
      <c r="AR24" s="1254">
        <v>50</v>
      </c>
      <c r="AS24" s="1255">
        <v>30</v>
      </c>
      <c r="AT24" s="1255">
        <v>30</v>
      </c>
      <c r="AU24" s="1255">
        <v>30</v>
      </c>
      <c r="AV24" s="1255">
        <v>30</v>
      </c>
      <c r="AW24" s="1255">
        <v>30</v>
      </c>
      <c r="AX24" s="2114" t="s">
        <v>1030</v>
      </c>
      <c r="AY24" s="4422"/>
      <c r="AZ24" s="4438">
        <f t="shared" si="44"/>
        <v>52.151771882014287</v>
      </c>
      <c r="BA24" s="4438">
        <f t="shared" si="45"/>
        <v>56.753398812780254</v>
      </c>
      <c r="BB24" s="4438">
        <f t="shared" si="46"/>
        <v>25.564594059810926</v>
      </c>
      <c r="BC24" s="4438">
        <f t="shared" si="47"/>
        <v>8.691961980335714</v>
      </c>
      <c r="BD24" s="4438">
        <f t="shared" si="48"/>
        <v>6.1355025743546223</v>
      </c>
      <c r="BE24" s="4438">
        <f t="shared" si="49"/>
        <v>6.6467944555508405</v>
      </c>
      <c r="BF24" s="4438">
        <f t="shared" si="50"/>
        <v>6.1355025743546223</v>
      </c>
      <c r="BG24" s="4438">
        <f t="shared" si="51"/>
        <v>7.1580863367470586</v>
      </c>
      <c r="BH24" s="4438">
        <f t="shared" si="52"/>
        <v>34.767847921342856</v>
      </c>
      <c r="BI24" s="4438">
        <f t="shared" si="53"/>
        <v>52.151771882014287</v>
      </c>
      <c r="BJ24" s="4438">
        <f t="shared" si="54"/>
        <v>56.753398812780254</v>
      </c>
      <c r="BK24" s="4438">
        <f t="shared" si="55"/>
        <v>25.564594059810926</v>
      </c>
      <c r="BL24" s="4438">
        <f t="shared" si="56"/>
        <v>8.691961980335714</v>
      </c>
      <c r="BM24" s="4438">
        <f t="shared" si="57"/>
        <v>6.1355025743546223</v>
      </c>
      <c r="BN24" s="4438">
        <f t="shared" si="58"/>
        <v>6.6467944555508405</v>
      </c>
      <c r="BO24" s="4438">
        <f t="shared" si="59"/>
        <v>6.1355025743546223</v>
      </c>
      <c r="BP24" s="4438">
        <f t="shared" si="60"/>
        <v>7.1580863367470586</v>
      </c>
      <c r="BQ24" s="4438">
        <f t="shared" si="61"/>
        <v>0</v>
      </c>
      <c r="BR24" s="4438">
        <f t="shared" si="62"/>
        <v>0</v>
      </c>
      <c r="BS24" s="4438">
        <f t="shared" si="63"/>
        <v>0</v>
      </c>
      <c r="BT24" s="4438">
        <f t="shared" si="64"/>
        <v>0</v>
      </c>
      <c r="BU24" s="4438">
        <f t="shared" si="65"/>
        <v>0</v>
      </c>
      <c r="BV24" s="4438">
        <f t="shared" si="66"/>
        <v>0</v>
      </c>
      <c r="BW24" s="4438">
        <f t="shared" si="67"/>
        <v>0</v>
      </c>
      <c r="BX24" s="4438">
        <f t="shared" si="68"/>
        <v>0</v>
      </c>
      <c r="BY24" s="4438">
        <f t="shared" si="69"/>
        <v>0</v>
      </c>
      <c r="BZ24" s="4438">
        <f t="shared" si="70"/>
        <v>0</v>
      </c>
      <c r="CA24" s="4438">
        <f t="shared" si="71"/>
        <v>0</v>
      </c>
      <c r="CB24" s="4438">
        <f t="shared" si="72"/>
        <v>0</v>
      </c>
      <c r="CC24" s="4438">
        <f t="shared" si="73"/>
        <v>0</v>
      </c>
      <c r="CD24" s="4438">
        <f t="shared" si="74"/>
        <v>0</v>
      </c>
      <c r="CE24" s="4438">
        <f t="shared" si="75"/>
        <v>0</v>
      </c>
      <c r="CF24" s="4438">
        <f t="shared" si="76"/>
        <v>0</v>
      </c>
    </row>
    <row r="25" spans="1:84" ht="24">
      <c r="A25" s="2100"/>
      <c r="B25" s="2101">
        <v>2030501</v>
      </c>
      <c r="C25" s="2101" t="s">
        <v>1808</v>
      </c>
      <c r="D25" s="2113">
        <v>0.1</v>
      </c>
      <c r="E25" s="2112" t="s">
        <v>652</v>
      </c>
      <c r="F25" s="2105">
        <f t="shared" si="36"/>
        <v>0</v>
      </c>
      <c r="G25" s="4074">
        <f t="shared" si="37"/>
        <v>1</v>
      </c>
      <c r="H25" s="2104">
        <f t="shared" si="38"/>
        <v>50</v>
      </c>
      <c r="I25" s="2105">
        <f t="shared" si="39"/>
        <v>0</v>
      </c>
      <c r="J25" s="2106">
        <f t="shared" si="40"/>
        <v>0</v>
      </c>
      <c r="K25" s="2106">
        <f t="shared" si="41"/>
        <v>0</v>
      </c>
      <c r="L25" s="2106">
        <f t="shared" si="42"/>
        <v>0</v>
      </c>
      <c r="M25" s="2107">
        <f t="shared" si="43"/>
        <v>0</v>
      </c>
      <c r="N25" s="2108">
        <f t="shared" si="77"/>
        <v>0</v>
      </c>
      <c r="O25" s="4584">
        <v>0</v>
      </c>
      <c r="P25" s="4630">
        <v>1</v>
      </c>
      <c r="Q25" s="1254">
        <v>50</v>
      </c>
      <c r="R25" s="1255"/>
      <c r="S25" s="1256"/>
      <c r="T25" s="1256"/>
      <c r="U25" s="1256"/>
      <c r="V25" s="1256"/>
      <c r="W25" s="1253"/>
      <c r="X25" s="1255"/>
      <c r="Y25" s="1254"/>
      <c r="Z25" s="1255"/>
      <c r="AA25" s="1256"/>
      <c r="AB25" s="1256"/>
      <c r="AC25" s="1256"/>
      <c r="AD25" s="1256"/>
      <c r="AE25" s="1253"/>
      <c r="AF25" s="1255"/>
      <c r="AG25" s="1254"/>
      <c r="AH25" s="1255"/>
      <c r="AI25" s="1256"/>
      <c r="AJ25" s="1256"/>
      <c r="AK25" s="1256"/>
      <c r="AL25" s="1257"/>
      <c r="AM25" s="1258" t="s">
        <v>313</v>
      </c>
      <c r="AN25" s="1259" t="s">
        <v>313</v>
      </c>
      <c r="AO25" s="2109" t="s">
        <v>676</v>
      </c>
      <c r="AP25" s="1255"/>
      <c r="AQ25" s="1255">
        <v>1</v>
      </c>
      <c r="AR25" s="1254"/>
      <c r="AS25" s="1255"/>
      <c r="AT25" s="1256"/>
      <c r="AU25" s="1256"/>
      <c r="AV25" s="1256"/>
      <c r="AW25" s="1254"/>
      <c r="AX25" s="2115" t="s">
        <v>709</v>
      </c>
      <c r="AY25" s="4422"/>
      <c r="AZ25" s="4438">
        <f t="shared" si="44"/>
        <v>0</v>
      </c>
      <c r="BA25" s="4438">
        <f t="shared" si="45"/>
        <v>0.51129188119621849</v>
      </c>
      <c r="BB25" s="4438">
        <f t="shared" si="46"/>
        <v>25.564594059810926</v>
      </c>
      <c r="BC25" s="4438">
        <f t="shared" si="47"/>
        <v>0</v>
      </c>
      <c r="BD25" s="4438">
        <f t="shared" si="48"/>
        <v>0</v>
      </c>
      <c r="BE25" s="4438">
        <f t="shared" si="49"/>
        <v>0</v>
      </c>
      <c r="BF25" s="4438">
        <f t="shared" si="50"/>
        <v>0</v>
      </c>
      <c r="BG25" s="4438">
        <f t="shared" si="51"/>
        <v>0</v>
      </c>
      <c r="BH25" s="4438">
        <f t="shared" si="52"/>
        <v>0</v>
      </c>
      <c r="BI25" s="4438">
        <f t="shared" si="53"/>
        <v>0</v>
      </c>
      <c r="BJ25" s="4438">
        <f t="shared" si="54"/>
        <v>0.51129188119621849</v>
      </c>
      <c r="BK25" s="4438">
        <f t="shared" si="55"/>
        <v>25.564594059810926</v>
      </c>
      <c r="BL25" s="4438">
        <f t="shared" si="56"/>
        <v>0</v>
      </c>
      <c r="BM25" s="4438">
        <f t="shared" si="57"/>
        <v>0</v>
      </c>
      <c r="BN25" s="4438">
        <f t="shared" si="58"/>
        <v>0</v>
      </c>
      <c r="BO25" s="4438">
        <f t="shared" si="59"/>
        <v>0</v>
      </c>
      <c r="BP25" s="4438">
        <f t="shared" si="60"/>
        <v>0</v>
      </c>
      <c r="BQ25" s="4438">
        <f t="shared" si="61"/>
        <v>0</v>
      </c>
      <c r="BR25" s="4438">
        <f t="shared" si="62"/>
        <v>0</v>
      </c>
      <c r="BS25" s="4438">
        <f t="shared" si="63"/>
        <v>0</v>
      </c>
      <c r="BT25" s="4438">
        <f t="shared" si="64"/>
        <v>0</v>
      </c>
      <c r="BU25" s="4438">
        <f t="shared" si="65"/>
        <v>0</v>
      </c>
      <c r="BV25" s="4438">
        <f t="shared" si="66"/>
        <v>0</v>
      </c>
      <c r="BW25" s="4438">
        <f t="shared" si="67"/>
        <v>0</v>
      </c>
      <c r="BX25" s="4438">
        <f t="shared" si="68"/>
        <v>0</v>
      </c>
      <c r="BY25" s="4438">
        <f t="shared" si="69"/>
        <v>0</v>
      </c>
      <c r="BZ25" s="4438">
        <f t="shared" si="70"/>
        <v>0</v>
      </c>
      <c r="CA25" s="4438">
        <f t="shared" si="71"/>
        <v>0</v>
      </c>
      <c r="CB25" s="4438">
        <f t="shared" si="72"/>
        <v>0</v>
      </c>
      <c r="CC25" s="4438">
        <f t="shared" si="73"/>
        <v>0</v>
      </c>
      <c r="CD25" s="4438">
        <f t="shared" si="74"/>
        <v>0</v>
      </c>
      <c r="CE25" s="4438">
        <f t="shared" si="75"/>
        <v>0</v>
      </c>
      <c r="CF25" s="4438">
        <f t="shared" si="76"/>
        <v>0</v>
      </c>
    </row>
    <row r="26" spans="1:84" ht="25.5">
      <c r="A26" s="2100"/>
      <c r="B26" s="2101">
        <v>2030501</v>
      </c>
      <c r="C26" s="2101" t="s">
        <v>1809</v>
      </c>
      <c r="D26" s="2113">
        <v>0.1</v>
      </c>
      <c r="E26" s="2103" t="s">
        <v>653</v>
      </c>
      <c r="F26" s="2105">
        <f t="shared" si="36"/>
        <v>7</v>
      </c>
      <c r="G26" s="4074">
        <f t="shared" si="37"/>
        <v>10</v>
      </c>
      <c r="H26" s="2104">
        <f t="shared" si="38"/>
        <v>30</v>
      </c>
      <c r="I26" s="2105">
        <f t="shared" si="39"/>
        <v>4</v>
      </c>
      <c r="J26" s="2106">
        <f t="shared" si="40"/>
        <v>7</v>
      </c>
      <c r="K26" s="2106">
        <f t="shared" si="41"/>
        <v>18</v>
      </c>
      <c r="L26" s="2106">
        <f t="shared" si="42"/>
        <v>17</v>
      </c>
      <c r="M26" s="2107">
        <f t="shared" si="43"/>
        <v>24</v>
      </c>
      <c r="N26" s="2108">
        <f t="shared" si="77"/>
        <v>70</v>
      </c>
      <c r="O26" s="4584">
        <v>7</v>
      </c>
      <c r="P26" s="4630">
        <v>10</v>
      </c>
      <c r="Q26" s="1254">
        <v>30</v>
      </c>
      <c r="R26" s="1255">
        <v>4</v>
      </c>
      <c r="S26" s="1256">
        <v>7</v>
      </c>
      <c r="T26" s="1256">
        <v>18</v>
      </c>
      <c r="U26" s="1256">
        <v>17</v>
      </c>
      <c r="V26" s="1256">
        <v>24</v>
      </c>
      <c r="W26" s="1253"/>
      <c r="X26" s="1255"/>
      <c r="Y26" s="1254"/>
      <c r="Z26" s="1255"/>
      <c r="AA26" s="1256"/>
      <c r="AB26" s="1256"/>
      <c r="AC26" s="1256"/>
      <c r="AD26" s="1256"/>
      <c r="AE26" s="1253"/>
      <c r="AF26" s="1255"/>
      <c r="AG26" s="1254"/>
      <c r="AH26" s="1255"/>
      <c r="AI26" s="1256"/>
      <c r="AJ26" s="1256"/>
      <c r="AK26" s="1256"/>
      <c r="AL26" s="1257"/>
      <c r="AM26" s="1258" t="s">
        <v>1951</v>
      </c>
      <c r="AN26" s="1259" t="s">
        <v>1963</v>
      </c>
      <c r="AO26" s="2109" t="s">
        <v>676</v>
      </c>
      <c r="AP26" s="1255">
        <v>8</v>
      </c>
      <c r="AQ26" s="1255">
        <v>6</v>
      </c>
      <c r="AR26" s="1254">
        <v>30</v>
      </c>
      <c r="AS26" s="1255">
        <v>10</v>
      </c>
      <c r="AT26" s="1255">
        <v>10</v>
      </c>
      <c r="AU26" s="1255">
        <v>10</v>
      </c>
      <c r="AV26" s="1255">
        <v>10</v>
      </c>
      <c r="AW26" s="1255">
        <v>10</v>
      </c>
      <c r="AX26" s="2115" t="s">
        <v>654</v>
      </c>
      <c r="AY26" s="4422"/>
      <c r="AZ26" s="4438">
        <f t="shared" si="44"/>
        <v>3.5790431683735293</v>
      </c>
      <c r="BA26" s="4438">
        <f t="shared" si="45"/>
        <v>5.1129188119621851</v>
      </c>
      <c r="BB26" s="4438">
        <f t="shared" si="46"/>
        <v>15.338756435886555</v>
      </c>
      <c r="BC26" s="4438">
        <f t="shared" si="47"/>
        <v>2.045167524784874</v>
      </c>
      <c r="BD26" s="4438">
        <f t="shared" si="48"/>
        <v>3.5790431683735293</v>
      </c>
      <c r="BE26" s="4438">
        <f t="shared" si="49"/>
        <v>9.2032538615319321</v>
      </c>
      <c r="BF26" s="4438">
        <f t="shared" si="50"/>
        <v>8.691961980335714</v>
      </c>
      <c r="BG26" s="4438">
        <f t="shared" si="51"/>
        <v>12.271005148709245</v>
      </c>
      <c r="BH26" s="4438">
        <f t="shared" si="52"/>
        <v>35.790431683735292</v>
      </c>
      <c r="BI26" s="4438">
        <f t="shared" si="53"/>
        <v>3.5790431683735293</v>
      </c>
      <c r="BJ26" s="4438">
        <f t="shared" si="54"/>
        <v>5.1129188119621851</v>
      </c>
      <c r="BK26" s="4438">
        <f t="shared" si="55"/>
        <v>15.338756435886555</v>
      </c>
      <c r="BL26" s="4438">
        <f t="shared" si="56"/>
        <v>2.045167524784874</v>
      </c>
      <c r="BM26" s="4438">
        <f t="shared" si="57"/>
        <v>3.5790431683735293</v>
      </c>
      <c r="BN26" s="4438">
        <f t="shared" si="58"/>
        <v>9.2032538615319321</v>
      </c>
      <c r="BO26" s="4438">
        <f t="shared" si="59"/>
        <v>8.691961980335714</v>
      </c>
      <c r="BP26" s="4438">
        <f t="shared" si="60"/>
        <v>12.271005148709245</v>
      </c>
      <c r="BQ26" s="4438">
        <f t="shared" si="61"/>
        <v>0</v>
      </c>
      <c r="BR26" s="4438">
        <f t="shared" si="62"/>
        <v>0</v>
      </c>
      <c r="BS26" s="4438">
        <f t="shared" si="63"/>
        <v>0</v>
      </c>
      <c r="BT26" s="4438">
        <f t="shared" si="64"/>
        <v>0</v>
      </c>
      <c r="BU26" s="4438">
        <f t="shared" si="65"/>
        <v>0</v>
      </c>
      <c r="BV26" s="4438">
        <f t="shared" si="66"/>
        <v>0</v>
      </c>
      <c r="BW26" s="4438">
        <f t="shared" si="67"/>
        <v>0</v>
      </c>
      <c r="BX26" s="4438">
        <f t="shared" si="68"/>
        <v>0</v>
      </c>
      <c r="BY26" s="4438">
        <f t="shared" si="69"/>
        <v>0</v>
      </c>
      <c r="BZ26" s="4438">
        <f t="shared" si="70"/>
        <v>0</v>
      </c>
      <c r="CA26" s="4438">
        <f t="shared" si="71"/>
        <v>0</v>
      </c>
      <c r="CB26" s="4438">
        <f t="shared" si="72"/>
        <v>0</v>
      </c>
      <c r="CC26" s="4438">
        <f t="shared" si="73"/>
        <v>0</v>
      </c>
      <c r="CD26" s="4438">
        <f t="shared" si="74"/>
        <v>0</v>
      </c>
      <c r="CE26" s="4438">
        <f t="shared" si="75"/>
        <v>0</v>
      </c>
      <c r="CF26" s="4438">
        <f t="shared" si="76"/>
        <v>0</v>
      </c>
    </row>
    <row r="27" spans="1:84" ht="51">
      <c r="A27" s="2100"/>
      <c r="B27" s="2101">
        <v>2030502</v>
      </c>
      <c r="C27" s="2101" t="s">
        <v>1810</v>
      </c>
      <c r="D27" s="2113">
        <v>0.1</v>
      </c>
      <c r="E27" s="2112" t="s">
        <v>368</v>
      </c>
      <c r="F27" s="2105">
        <f t="shared" si="36"/>
        <v>32</v>
      </c>
      <c r="G27" s="4074">
        <f t="shared" si="37"/>
        <v>30</v>
      </c>
      <c r="H27" s="2104">
        <f t="shared" si="38"/>
        <v>100</v>
      </c>
      <c r="I27" s="2105">
        <f t="shared" si="39"/>
        <v>1</v>
      </c>
      <c r="J27" s="2106">
        <f t="shared" si="40"/>
        <v>0</v>
      </c>
      <c r="K27" s="2106">
        <f t="shared" si="41"/>
        <v>35</v>
      </c>
      <c r="L27" s="2106">
        <f t="shared" si="42"/>
        <v>45</v>
      </c>
      <c r="M27" s="2107">
        <f t="shared" si="43"/>
        <v>52</v>
      </c>
      <c r="N27" s="2108">
        <f t="shared" si="77"/>
        <v>133</v>
      </c>
      <c r="O27" s="4584">
        <v>32</v>
      </c>
      <c r="P27" s="4630">
        <v>30</v>
      </c>
      <c r="Q27" s="4679">
        <v>100</v>
      </c>
      <c r="R27" s="1255">
        <v>1</v>
      </c>
      <c r="S27" s="1256">
        <v>0</v>
      </c>
      <c r="T27" s="1256">
        <v>35</v>
      </c>
      <c r="U27" s="1256">
        <v>45</v>
      </c>
      <c r="V27" s="1256">
        <v>52</v>
      </c>
      <c r="W27" s="1253"/>
      <c r="X27" s="1255"/>
      <c r="Y27" s="1254"/>
      <c r="Z27" s="1255"/>
      <c r="AA27" s="1256"/>
      <c r="AB27" s="1256"/>
      <c r="AC27" s="1256"/>
      <c r="AD27" s="1256"/>
      <c r="AE27" s="1253"/>
      <c r="AF27" s="1255"/>
      <c r="AG27" s="1254"/>
      <c r="AH27" s="1255"/>
      <c r="AI27" s="1256"/>
      <c r="AJ27" s="1256"/>
      <c r="AK27" s="1256"/>
      <c r="AL27" s="1257"/>
      <c r="AM27" s="1258" t="s">
        <v>1951</v>
      </c>
      <c r="AN27" s="1259" t="s">
        <v>1964</v>
      </c>
      <c r="AO27" s="2109" t="s">
        <v>676</v>
      </c>
      <c r="AP27" s="1255">
        <v>53</v>
      </c>
      <c r="AQ27" s="1255">
        <v>29</v>
      </c>
      <c r="AR27" s="1254">
        <v>15</v>
      </c>
      <c r="AS27" s="1255">
        <v>5</v>
      </c>
      <c r="AT27" s="1256">
        <v>5</v>
      </c>
      <c r="AU27" s="1256">
        <v>5</v>
      </c>
      <c r="AV27" s="1256">
        <v>5</v>
      </c>
      <c r="AW27" s="1254">
        <v>5</v>
      </c>
      <c r="AX27" s="2115" t="s">
        <v>708</v>
      </c>
      <c r="AY27" s="4422"/>
      <c r="AZ27" s="4438">
        <f t="shared" si="44"/>
        <v>16.361340198278992</v>
      </c>
      <c r="BA27" s="4438">
        <f t="shared" si="45"/>
        <v>15.338756435886555</v>
      </c>
      <c r="BB27" s="4438">
        <f t="shared" si="46"/>
        <v>51.129188119621851</v>
      </c>
      <c r="BC27" s="4438">
        <f t="shared" si="47"/>
        <v>0.51129188119621849</v>
      </c>
      <c r="BD27" s="4438">
        <f t="shared" si="48"/>
        <v>0</v>
      </c>
      <c r="BE27" s="4438">
        <f t="shared" si="49"/>
        <v>17.895215841867646</v>
      </c>
      <c r="BF27" s="4438">
        <f t="shared" si="50"/>
        <v>23.008134653829831</v>
      </c>
      <c r="BG27" s="4438">
        <f t="shared" si="51"/>
        <v>26.587177822203362</v>
      </c>
      <c r="BH27" s="4438">
        <f t="shared" si="52"/>
        <v>68.001820199097054</v>
      </c>
      <c r="BI27" s="4438">
        <f t="shared" si="53"/>
        <v>16.361340198278992</v>
      </c>
      <c r="BJ27" s="4438">
        <f t="shared" si="54"/>
        <v>15.338756435886555</v>
      </c>
      <c r="BK27" s="4438">
        <f t="shared" si="55"/>
        <v>51.129188119621851</v>
      </c>
      <c r="BL27" s="4438">
        <f t="shared" si="56"/>
        <v>0.51129188119621849</v>
      </c>
      <c r="BM27" s="4438">
        <f t="shared" si="57"/>
        <v>0</v>
      </c>
      <c r="BN27" s="4438">
        <f t="shared" si="58"/>
        <v>17.895215841867646</v>
      </c>
      <c r="BO27" s="4438">
        <f t="shared" si="59"/>
        <v>23.008134653829831</v>
      </c>
      <c r="BP27" s="4438">
        <f t="shared" si="60"/>
        <v>26.587177822203362</v>
      </c>
      <c r="BQ27" s="4438">
        <f t="shared" si="61"/>
        <v>0</v>
      </c>
      <c r="BR27" s="4438">
        <f t="shared" si="62"/>
        <v>0</v>
      </c>
      <c r="BS27" s="4438">
        <f t="shared" si="63"/>
        <v>0</v>
      </c>
      <c r="BT27" s="4438">
        <f t="shared" si="64"/>
        <v>0</v>
      </c>
      <c r="BU27" s="4438">
        <f t="shared" si="65"/>
        <v>0</v>
      </c>
      <c r="BV27" s="4438">
        <f t="shared" si="66"/>
        <v>0</v>
      </c>
      <c r="BW27" s="4438">
        <f t="shared" si="67"/>
        <v>0</v>
      </c>
      <c r="BX27" s="4438">
        <f t="shared" si="68"/>
        <v>0</v>
      </c>
      <c r="BY27" s="4438">
        <f t="shared" si="69"/>
        <v>0</v>
      </c>
      <c r="BZ27" s="4438">
        <f t="shared" si="70"/>
        <v>0</v>
      </c>
      <c r="CA27" s="4438">
        <f t="shared" si="71"/>
        <v>0</v>
      </c>
      <c r="CB27" s="4438">
        <f t="shared" si="72"/>
        <v>0</v>
      </c>
      <c r="CC27" s="4438">
        <f t="shared" si="73"/>
        <v>0</v>
      </c>
      <c r="CD27" s="4438">
        <f t="shared" si="74"/>
        <v>0</v>
      </c>
      <c r="CE27" s="4438">
        <f t="shared" si="75"/>
        <v>0</v>
      </c>
      <c r="CF27" s="4438">
        <f t="shared" si="76"/>
        <v>0</v>
      </c>
    </row>
    <row r="28" spans="1:84" ht="24">
      <c r="A28" s="2100"/>
      <c r="B28" s="2101">
        <v>215</v>
      </c>
      <c r="C28" s="2101" t="s">
        <v>1811</v>
      </c>
      <c r="D28" s="2111">
        <v>0.2</v>
      </c>
      <c r="E28" s="2103" t="s">
        <v>369</v>
      </c>
      <c r="F28" s="2105">
        <f t="shared" si="36"/>
        <v>0</v>
      </c>
      <c r="G28" s="4074">
        <f t="shared" si="37"/>
        <v>0</v>
      </c>
      <c r="H28" s="2104">
        <f t="shared" si="38"/>
        <v>10</v>
      </c>
      <c r="I28" s="2105">
        <f t="shared" si="39"/>
        <v>0</v>
      </c>
      <c r="J28" s="2106">
        <f t="shared" si="40"/>
        <v>0</v>
      </c>
      <c r="K28" s="2106">
        <f t="shared" si="41"/>
        <v>0</v>
      </c>
      <c r="L28" s="2106">
        <f t="shared" si="42"/>
        <v>0</v>
      </c>
      <c r="M28" s="2107">
        <f t="shared" si="43"/>
        <v>0</v>
      </c>
      <c r="N28" s="2108">
        <f t="shared" si="77"/>
        <v>0</v>
      </c>
      <c r="O28" s="4584"/>
      <c r="P28" s="4630">
        <v>0</v>
      </c>
      <c r="Q28" s="1254">
        <v>10</v>
      </c>
      <c r="R28" s="1255"/>
      <c r="S28" s="1256"/>
      <c r="T28" s="1256"/>
      <c r="U28" s="1256"/>
      <c r="V28" s="1256"/>
      <c r="W28" s="1253"/>
      <c r="X28" s="1255"/>
      <c r="Y28" s="1254"/>
      <c r="Z28" s="1255"/>
      <c r="AA28" s="1256"/>
      <c r="AB28" s="1256"/>
      <c r="AC28" s="1256"/>
      <c r="AD28" s="1256"/>
      <c r="AE28" s="1253"/>
      <c r="AF28" s="1255"/>
      <c r="AG28" s="1254"/>
      <c r="AH28" s="1255"/>
      <c r="AI28" s="1256"/>
      <c r="AJ28" s="1256"/>
      <c r="AK28" s="1256"/>
      <c r="AL28" s="1257"/>
      <c r="AM28" s="1258" t="s">
        <v>313</v>
      </c>
      <c r="AN28" s="1260" t="s">
        <v>313</v>
      </c>
      <c r="AO28" s="2116" t="s">
        <v>313</v>
      </c>
      <c r="AP28" s="1255"/>
      <c r="AQ28" s="1255"/>
      <c r="AR28" s="1254"/>
      <c r="AS28" s="1255"/>
      <c r="AT28" s="1256"/>
      <c r="AU28" s="1256"/>
      <c r="AV28" s="1256"/>
      <c r="AW28" s="1254"/>
      <c r="AX28" s="2110" t="s">
        <v>370</v>
      </c>
      <c r="AY28" s="4422"/>
      <c r="AZ28" s="4438">
        <f t="shared" si="44"/>
        <v>0</v>
      </c>
      <c r="BA28" s="4438">
        <f t="shared" si="45"/>
        <v>0</v>
      </c>
      <c r="BB28" s="4438">
        <f t="shared" si="46"/>
        <v>5.1129188119621851</v>
      </c>
      <c r="BC28" s="4438">
        <f t="shared" si="47"/>
        <v>0</v>
      </c>
      <c r="BD28" s="4438">
        <f t="shared" si="48"/>
        <v>0</v>
      </c>
      <c r="BE28" s="4438">
        <f t="shared" si="49"/>
        <v>0</v>
      </c>
      <c r="BF28" s="4438">
        <f t="shared" si="50"/>
        <v>0</v>
      </c>
      <c r="BG28" s="4438">
        <f t="shared" si="51"/>
        <v>0</v>
      </c>
      <c r="BH28" s="4438">
        <f t="shared" si="52"/>
        <v>0</v>
      </c>
      <c r="BI28" s="4438">
        <f t="shared" si="53"/>
        <v>0</v>
      </c>
      <c r="BJ28" s="4438">
        <f t="shared" si="54"/>
        <v>0</v>
      </c>
      <c r="BK28" s="4438">
        <f t="shared" si="55"/>
        <v>5.1129188119621851</v>
      </c>
      <c r="BL28" s="4438">
        <f t="shared" si="56"/>
        <v>0</v>
      </c>
      <c r="BM28" s="4438">
        <f t="shared" si="57"/>
        <v>0</v>
      </c>
      <c r="BN28" s="4438">
        <f t="shared" si="58"/>
        <v>0</v>
      </c>
      <c r="BO28" s="4438">
        <f t="shared" si="59"/>
        <v>0</v>
      </c>
      <c r="BP28" s="4438">
        <f t="shared" si="60"/>
        <v>0</v>
      </c>
      <c r="BQ28" s="4438">
        <f t="shared" si="61"/>
        <v>0</v>
      </c>
      <c r="BR28" s="4438">
        <f t="shared" si="62"/>
        <v>0</v>
      </c>
      <c r="BS28" s="4438">
        <f t="shared" si="63"/>
        <v>0</v>
      </c>
      <c r="BT28" s="4438">
        <f t="shared" si="64"/>
        <v>0</v>
      </c>
      <c r="BU28" s="4438">
        <f t="shared" si="65"/>
        <v>0</v>
      </c>
      <c r="BV28" s="4438">
        <f t="shared" si="66"/>
        <v>0</v>
      </c>
      <c r="BW28" s="4438">
        <f t="shared" si="67"/>
        <v>0</v>
      </c>
      <c r="BX28" s="4438">
        <f t="shared" si="68"/>
        <v>0</v>
      </c>
      <c r="BY28" s="4438">
        <f t="shared" si="69"/>
        <v>0</v>
      </c>
      <c r="BZ28" s="4438">
        <f t="shared" si="70"/>
        <v>0</v>
      </c>
      <c r="CA28" s="4438">
        <f t="shared" si="71"/>
        <v>0</v>
      </c>
      <c r="CB28" s="4438">
        <f t="shared" si="72"/>
        <v>0</v>
      </c>
      <c r="CC28" s="4438">
        <f t="shared" si="73"/>
        <v>0</v>
      </c>
      <c r="CD28" s="4438">
        <f t="shared" si="74"/>
        <v>0</v>
      </c>
      <c r="CE28" s="4438">
        <f t="shared" si="75"/>
        <v>0</v>
      </c>
      <c r="CF28" s="4438">
        <f t="shared" si="76"/>
        <v>0</v>
      </c>
    </row>
    <row r="29" spans="1:84" ht="25.5">
      <c r="A29" s="2100"/>
      <c r="B29" s="2101">
        <v>2030503</v>
      </c>
      <c r="C29" s="2101" t="s">
        <v>1812</v>
      </c>
      <c r="D29" s="2102">
        <v>0.1</v>
      </c>
      <c r="E29" s="2103" t="s">
        <v>664</v>
      </c>
      <c r="F29" s="2105">
        <f t="shared" si="36"/>
        <v>52</v>
      </c>
      <c r="G29" s="4074">
        <f t="shared" si="37"/>
        <v>10</v>
      </c>
      <c r="H29" s="2104">
        <f t="shared" si="38"/>
        <v>100</v>
      </c>
      <c r="I29" s="2105">
        <f t="shared" si="39"/>
        <v>2</v>
      </c>
      <c r="J29" s="2106">
        <f t="shared" si="40"/>
        <v>30</v>
      </c>
      <c r="K29" s="2106">
        <f t="shared" si="41"/>
        <v>2</v>
      </c>
      <c r="L29" s="2106">
        <f t="shared" si="42"/>
        <v>88</v>
      </c>
      <c r="M29" s="2107">
        <f t="shared" si="43"/>
        <v>16</v>
      </c>
      <c r="N29" s="2108">
        <f t="shared" si="77"/>
        <v>138</v>
      </c>
      <c r="O29" s="4584">
        <v>52</v>
      </c>
      <c r="P29" s="4630">
        <v>10</v>
      </c>
      <c r="Q29" s="4679">
        <v>100</v>
      </c>
      <c r="R29" s="1255">
        <v>2</v>
      </c>
      <c r="S29" s="1256">
        <v>30</v>
      </c>
      <c r="T29" s="1256">
        <v>2</v>
      </c>
      <c r="U29" s="1256">
        <v>88</v>
      </c>
      <c r="V29" s="1256">
        <v>16</v>
      </c>
      <c r="W29" s="1253"/>
      <c r="X29" s="1255"/>
      <c r="Y29" s="1254"/>
      <c r="Z29" s="1255"/>
      <c r="AA29" s="1256"/>
      <c r="AB29" s="1256"/>
      <c r="AC29" s="1256"/>
      <c r="AD29" s="1256"/>
      <c r="AE29" s="1253"/>
      <c r="AF29" s="1255"/>
      <c r="AG29" s="1254"/>
      <c r="AH29" s="1255"/>
      <c r="AI29" s="1256"/>
      <c r="AJ29" s="1256"/>
      <c r="AK29" s="1256"/>
      <c r="AL29" s="1257"/>
      <c r="AM29" s="1258" t="s">
        <v>1951</v>
      </c>
      <c r="AN29" s="1259" t="s">
        <v>1965</v>
      </c>
      <c r="AO29" s="2109" t="s">
        <v>676</v>
      </c>
      <c r="AP29" s="1255">
        <v>25</v>
      </c>
      <c r="AQ29" s="1255">
        <v>8</v>
      </c>
      <c r="AR29" s="1254">
        <v>30</v>
      </c>
      <c r="AS29" s="1255">
        <v>15</v>
      </c>
      <c r="AT29" s="1256">
        <v>15</v>
      </c>
      <c r="AU29" s="1256">
        <v>15</v>
      </c>
      <c r="AV29" s="1256">
        <v>15</v>
      </c>
      <c r="AW29" s="1254">
        <v>15</v>
      </c>
      <c r="AX29" s="2110" t="s">
        <v>371</v>
      </c>
      <c r="AY29" s="4422"/>
      <c r="AZ29" s="4438">
        <f t="shared" si="44"/>
        <v>26.587177822203362</v>
      </c>
      <c r="BA29" s="4438">
        <f t="shared" si="45"/>
        <v>5.1129188119621851</v>
      </c>
      <c r="BB29" s="4438">
        <f t="shared" si="46"/>
        <v>51.129188119621851</v>
      </c>
      <c r="BC29" s="4438">
        <f t="shared" si="47"/>
        <v>1.022583762392437</v>
      </c>
      <c r="BD29" s="4438">
        <f t="shared" si="48"/>
        <v>15.338756435886555</v>
      </c>
      <c r="BE29" s="4438">
        <f t="shared" si="49"/>
        <v>1.022583762392437</v>
      </c>
      <c r="BF29" s="4438">
        <f t="shared" si="50"/>
        <v>44.993685545267226</v>
      </c>
      <c r="BG29" s="4438">
        <f t="shared" si="51"/>
        <v>8.1806700991394958</v>
      </c>
      <c r="BH29" s="4438">
        <f t="shared" si="52"/>
        <v>70.558279605078155</v>
      </c>
      <c r="BI29" s="4438">
        <f t="shared" si="53"/>
        <v>26.587177822203362</v>
      </c>
      <c r="BJ29" s="4438">
        <f t="shared" si="54"/>
        <v>5.1129188119621851</v>
      </c>
      <c r="BK29" s="4438">
        <f t="shared" si="55"/>
        <v>51.129188119621851</v>
      </c>
      <c r="BL29" s="4438">
        <f t="shared" si="56"/>
        <v>1.022583762392437</v>
      </c>
      <c r="BM29" s="4438">
        <f t="shared" si="57"/>
        <v>15.338756435886555</v>
      </c>
      <c r="BN29" s="4438">
        <f t="shared" si="58"/>
        <v>1.022583762392437</v>
      </c>
      <c r="BO29" s="4438">
        <f t="shared" si="59"/>
        <v>44.993685545267226</v>
      </c>
      <c r="BP29" s="4438">
        <f t="shared" si="60"/>
        <v>8.1806700991394958</v>
      </c>
      <c r="BQ29" s="4438">
        <f t="shared" si="61"/>
        <v>0</v>
      </c>
      <c r="BR29" s="4438">
        <f t="shared" si="62"/>
        <v>0</v>
      </c>
      <c r="BS29" s="4438">
        <f t="shared" si="63"/>
        <v>0</v>
      </c>
      <c r="BT29" s="4438">
        <f t="shared" si="64"/>
        <v>0</v>
      </c>
      <c r="BU29" s="4438">
        <f t="shared" si="65"/>
        <v>0</v>
      </c>
      <c r="BV29" s="4438">
        <f t="shared" si="66"/>
        <v>0</v>
      </c>
      <c r="BW29" s="4438">
        <f t="shared" si="67"/>
        <v>0</v>
      </c>
      <c r="BX29" s="4438">
        <f t="shared" si="68"/>
        <v>0</v>
      </c>
      <c r="BY29" s="4438">
        <f t="shared" si="69"/>
        <v>0</v>
      </c>
      <c r="BZ29" s="4438">
        <f t="shared" si="70"/>
        <v>0</v>
      </c>
      <c r="CA29" s="4438">
        <f t="shared" si="71"/>
        <v>0</v>
      </c>
      <c r="CB29" s="4438">
        <f t="shared" si="72"/>
        <v>0</v>
      </c>
      <c r="CC29" s="4438">
        <f t="shared" si="73"/>
        <v>0</v>
      </c>
      <c r="CD29" s="4438">
        <f t="shared" si="74"/>
        <v>0</v>
      </c>
      <c r="CE29" s="4438">
        <f t="shared" si="75"/>
        <v>0</v>
      </c>
      <c r="CF29" s="4438">
        <f t="shared" si="76"/>
        <v>0</v>
      </c>
    </row>
    <row r="30" spans="1:84">
      <c r="A30" s="2117"/>
      <c r="B30" s="2101">
        <v>20302</v>
      </c>
      <c r="C30" s="2101" t="s">
        <v>1813</v>
      </c>
      <c r="D30" s="2102">
        <v>0.1</v>
      </c>
      <c r="E30" s="2103" t="s">
        <v>372</v>
      </c>
      <c r="F30" s="2105">
        <f t="shared" si="36"/>
        <v>0</v>
      </c>
      <c r="G30" s="4074">
        <f t="shared" si="37"/>
        <v>0</v>
      </c>
      <c r="H30" s="2104">
        <f t="shared" si="38"/>
        <v>20</v>
      </c>
      <c r="I30" s="2105">
        <f t="shared" si="39"/>
        <v>0</v>
      </c>
      <c r="J30" s="2106">
        <f t="shared" si="40"/>
        <v>0</v>
      </c>
      <c r="K30" s="2106">
        <f t="shared" si="41"/>
        <v>0</v>
      </c>
      <c r="L30" s="2106">
        <f t="shared" si="42"/>
        <v>0</v>
      </c>
      <c r="M30" s="2107">
        <f t="shared" si="43"/>
        <v>0</v>
      </c>
      <c r="N30" s="2108">
        <f t="shared" si="77"/>
        <v>0</v>
      </c>
      <c r="O30" s="4584">
        <v>0</v>
      </c>
      <c r="P30" s="4630">
        <v>0</v>
      </c>
      <c r="Q30" s="1254">
        <v>20</v>
      </c>
      <c r="R30" s="1255"/>
      <c r="S30" s="1256"/>
      <c r="T30" s="1256"/>
      <c r="U30" s="1256"/>
      <c r="V30" s="1256"/>
      <c r="W30" s="1253"/>
      <c r="X30" s="1255"/>
      <c r="Y30" s="1254"/>
      <c r="Z30" s="1255"/>
      <c r="AA30" s="1256"/>
      <c r="AB30" s="1256"/>
      <c r="AC30" s="1256"/>
      <c r="AD30" s="1256"/>
      <c r="AE30" s="1253"/>
      <c r="AF30" s="1255"/>
      <c r="AG30" s="1254"/>
      <c r="AH30" s="1255"/>
      <c r="AI30" s="1256"/>
      <c r="AJ30" s="1256"/>
      <c r="AK30" s="1256"/>
      <c r="AL30" s="1257"/>
      <c r="AM30" s="1258" t="s">
        <v>1951</v>
      </c>
      <c r="AN30" s="1259" t="s">
        <v>1966</v>
      </c>
      <c r="AO30" s="2109" t="s">
        <v>676</v>
      </c>
      <c r="AP30" s="1255"/>
      <c r="AQ30" s="1255"/>
      <c r="AR30" s="1254"/>
      <c r="AS30" s="1255"/>
      <c r="AT30" s="1256"/>
      <c r="AU30" s="1256"/>
      <c r="AV30" s="1256"/>
      <c r="AW30" s="1254"/>
      <c r="AX30" s="2110" t="s">
        <v>373</v>
      </c>
      <c r="AY30" s="4422"/>
      <c r="AZ30" s="4438">
        <f t="shared" si="44"/>
        <v>0</v>
      </c>
      <c r="BA30" s="4438">
        <f t="shared" si="45"/>
        <v>0</v>
      </c>
      <c r="BB30" s="4438">
        <f t="shared" si="46"/>
        <v>10.22583762392437</v>
      </c>
      <c r="BC30" s="4438">
        <f t="shared" si="47"/>
        <v>0</v>
      </c>
      <c r="BD30" s="4438">
        <f t="shared" si="48"/>
        <v>0</v>
      </c>
      <c r="BE30" s="4438">
        <f t="shared" si="49"/>
        <v>0</v>
      </c>
      <c r="BF30" s="4438">
        <f t="shared" si="50"/>
        <v>0</v>
      </c>
      <c r="BG30" s="4438">
        <f t="shared" si="51"/>
        <v>0</v>
      </c>
      <c r="BH30" s="4438">
        <f t="shared" si="52"/>
        <v>0</v>
      </c>
      <c r="BI30" s="4438">
        <f t="shared" si="53"/>
        <v>0</v>
      </c>
      <c r="BJ30" s="4438">
        <f t="shared" si="54"/>
        <v>0</v>
      </c>
      <c r="BK30" s="4438">
        <f t="shared" si="55"/>
        <v>10.22583762392437</v>
      </c>
      <c r="BL30" s="4438">
        <f t="shared" si="56"/>
        <v>0</v>
      </c>
      <c r="BM30" s="4438">
        <f t="shared" si="57"/>
        <v>0</v>
      </c>
      <c r="BN30" s="4438">
        <f t="shared" si="58"/>
        <v>0</v>
      </c>
      <c r="BO30" s="4438">
        <f t="shared" si="59"/>
        <v>0</v>
      </c>
      <c r="BP30" s="4438">
        <f t="shared" si="60"/>
        <v>0</v>
      </c>
      <c r="BQ30" s="4438">
        <f t="shared" si="61"/>
        <v>0</v>
      </c>
      <c r="BR30" s="4438">
        <f t="shared" si="62"/>
        <v>0</v>
      </c>
      <c r="BS30" s="4438">
        <f t="shared" si="63"/>
        <v>0</v>
      </c>
      <c r="BT30" s="4438">
        <f t="shared" si="64"/>
        <v>0</v>
      </c>
      <c r="BU30" s="4438">
        <f t="shared" si="65"/>
        <v>0</v>
      </c>
      <c r="BV30" s="4438">
        <f t="shared" si="66"/>
        <v>0</v>
      </c>
      <c r="BW30" s="4438">
        <f t="shared" si="67"/>
        <v>0</v>
      </c>
      <c r="BX30" s="4438">
        <f t="shared" si="68"/>
        <v>0</v>
      </c>
      <c r="BY30" s="4438">
        <f t="shared" si="69"/>
        <v>0</v>
      </c>
      <c r="BZ30" s="4438">
        <f t="shared" si="70"/>
        <v>0</v>
      </c>
      <c r="CA30" s="4438">
        <f t="shared" si="71"/>
        <v>0</v>
      </c>
      <c r="CB30" s="4438">
        <f t="shared" si="72"/>
        <v>0</v>
      </c>
      <c r="CC30" s="4438">
        <f t="shared" si="73"/>
        <v>0</v>
      </c>
      <c r="CD30" s="4438">
        <f t="shared" si="74"/>
        <v>0</v>
      </c>
      <c r="CE30" s="4438">
        <f t="shared" si="75"/>
        <v>0</v>
      </c>
      <c r="CF30" s="4438">
        <f t="shared" si="76"/>
        <v>0</v>
      </c>
    </row>
    <row r="31" spans="1:84" ht="25.5">
      <c r="A31" s="2117"/>
      <c r="B31" s="2101">
        <v>20502</v>
      </c>
      <c r="C31" s="2101" t="s">
        <v>1814</v>
      </c>
      <c r="D31" s="2102">
        <v>0.1</v>
      </c>
      <c r="E31" s="2103" t="s">
        <v>374</v>
      </c>
      <c r="F31" s="2105">
        <f t="shared" si="36"/>
        <v>875</v>
      </c>
      <c r="G31" s="4074">
        <f t="shared" si="37"/>
        <v>0</v>
      </c>
      <c r="H31" s="2104">
        <f t="shared" si="38"/>
        <v>30</v>
      </c>
      <c r="I31" s="2105">
        <f t="shared" si="39"/>
        <v>0</v>
      </c>
      <c r="J31" s="2106">
        <f t="shared" si="40"/>
        <v>0</v>
      </c>
      <c r="K31" s="2106">
        <f t="shared" si="41"/>
        <v>0</v>
      </c>
      <c r="L31" s="2106">
        <f t="shared" si="42"/>
        <v>0</v>
      </c>
      <c r="M31" s="2107">
        <f t="shared" si="43"/>
        <v>0</v>
      </c>
      <c r="N31" s="2108">
        <f t="shared" si="77"/>
        <v>0</v>
      </c>
      <c r="O31" s="4584">
        <v>875</v>
      </c>
      <c r="P31" s="4630">
        <v>0</v>
      </c>
      <c r="Q31" s="1254">
        <v>30</v>
      </c>
      <c r="R31" s="1255"/>
      <c r="S31" s="1256"/>
      <c r="T31" s="1256"/>
      <c r="U31" s="1256"/>
      <c r="V31" s="1256"/>
      <c r="W31" s="1253"/>
      <c r="X31" s="1255"/>
      <c r="Y31" s="1254"/>
      <c r="Z31" s="1255"/>
      <c r="AA31" s="1256"/>
      <c r="AB31" s="1256"/>
      <c r="AC31" s="1256"/>
      <c r="AD31" s="1256"/>
      <c r="AE31" s="1253"/>
      <c r="AF31" s="1255"/>
      <c r="AG31" s="1254"/>
      <c r="AH31" s="1255"/>
      <c r="AI31" s="1256"/>
      <c r="AJ31" s="1256"/>
      <c r="AK31" s="1256"/>
      <c r="AL31" s="1257"/>
      <c r="AM31" s="1258" t="s">
        <v>1951</v>
      </c>
      <c r="AN31" s="1259" t="s">
        <v>1967</v>
      </c>
      <c r="AO31" s="2109" t="s">
        <v>676</v>
      </c>
      <c r="AP31" s="1255"/>
      <c r="AQ31" s="1255"/>
      <c r="AR31" s="1254"/>
      <c r="AS31" s="1255"/>
      <c r="AT31" s="1256"/>
      <c r="AU31" s="1256"/>
      <c r="AV31" s="1256"/>
      <c r="AW31" s="1254"/>
      <c r="AX31" s="2110" t="s">
        <v>375</v>
      </c>
      <c r="AY31" s="4422"/>
      <c r="AZ31" s="4438">
        <f t="shared" si="44"/>
        <v>447.3803960466912</v>
      </c>
      <c r="BA31" s="4438">
        <f t="shared" si="45"/>
        <v>0</v>
      </c>
      <c r="BB31" s="4438">
        <f t="shared" si="46"/>
        <v>15.338756435886555</v>
      </c>
      <c r="BC31" s="4438">
        <f t="shared" si="47"/>
        <v>0</v>
      </c>
      <c r="BD31" s="4438">
        <f t="shared" si="48"/>
        <v>0</v>
      </c>
      <c r="BE31" s="4438">
        <f t="shared" si="49"/>
        <v>0</v>
      </c>
      <c r="BF31" s="4438">
        <f t="shared" si="50"/>
        <v>0</v>
      </c>
      <c r="BG31" s="4438">
        <f t="shared" si="51"/>
        <v>0</v>
      </c>
      <c r="BH31" s="4438">
        <f t="shared" si="52"/>
        <v>0</v>
      </c>
      <c r="BI31" s="4438">
        <f t="shared" si="53"/>
        <v>447.3803960466912</v>
      </c>
      <c r="BJ31" s="4438">
        <f t="shared" si="54"/>
        <v>0</v>
      </c>
      <c r="BK31" s="4438">
        <f t="shared" si="55"/>
        <v>15.338756435886555</v>
      </c>
      <c r="BL31" s="4438">
        <f t="shared" si="56"/>
        <v>0</v>
      </c>
      <c r="BM31" s="4438">
        <f t="shared" si="57"/>
        <v>0</v>
      </c>
      <c r="BN31" s="4438">
        <f t="shared" si="58"/>
        <v>0</v>
      </c>
      <c r="BO31" s="4438">
        <f t="shared" si="59"/>
        <v>0</v>
      </c>
      <c r="BP31" s="4438">
        <f t="shared" si="60"/>
        <v>0</v>
      </c>
      <c r="BQ31" s="4438">
        <f t="shared" si="61"/>
        <v>0</v>
      </c>
      <c r="BR31" s="4438">
        <f t="shared" si="62"/>
        <v>0</v>
      </c>
      <c r="BS31" s="4438">
        <f t="shared" si="63"/>
        <v>0</v>
      </c>
      <c r="BT31" s="4438">
        <f t="shared" si="64"/>
        <v>0</v>
      </c>
      <c r="BU31" s="4438">
        <f t="shared" si="65"/>
        <v>0</v>
      </c>
      <c r="BV31" s="4438">
        <f t="shared" si="66"/>
        <v>0</v>
      </c>
      <c r="BW31" s="4438">
        <f t="shared" si="67"/>
        <v>0</v>
      </c>
      <c r="BX31" s="4438">
        <f t="shared" si="68"/>
        <v>0</v>
      </c>
      <c r="BY31" s="4438">
        <f t="shared" si="69"/>
        <v>0</v>
      </c>
      <c r="BZ31" s="4438">
        <f t="shared" si="70"/>
        <v>0</v>
      </c>
      <c r="CA31" s="4438">
        <f t="shared" si="71"/>
        <v>0</v>
      </c>
      <c r="CB31" s="4438">
        <f t="shared" si="72"/>
        <v>0</v>
      </c>
      <c r="CC31" s="4438">
        <f t="shared" si="73"/>
        <v>0</v>
      </c>
      <c r="CD31" s="4438">
        <f t="shared" si="74"/>
        <v>0</v>
      </c>
      <c r="CE31" s="4438">
        <f t="shared" si="75"/>
        <v>0</v>
      </c>
      <c r="CF31" s="4438">
        <f t="shared" si="76"/>
        <v>0</v>
      </c>
    </row>
    <row r="32" spans="1:84" ht="25.5">
      <c r="A32" s="2117"/>
      <c r="B32" s="2101">
        <v>20501</v>
      </c>
      <c r="C32" s="2101" t="s">
        <v>1815</v>
      </c>
      <c r="D32" s="2102">
        <v>0.08</v>
      </c>
      <c r="E32" s="2103" t="s">
        <v>376</v>
      </c>
      <c r="F32" s="2105">
        <f t="shared" si="36"/>
        <v>581</v>
      </c>
      <c r="G32" s="4074">
        <f t="shared" si="37"/>
        <v>797</v>
      </c>
      <c r="H32" s="2104">
        <f t="shared" si="38"/>
        <v>50</v>
      </c>
      <c r="I32" s="2105">
        <f t="shared" si="39"/>
        <v>990</v>
      </c>
      <c r="J32" s="2106">
        <f t="shared" si="40"/>
        <v>536</v>
      </c>
      <c r="K32" s="2106">
        <f t="shared" si="41"/>
        <v>536</v>
      </c>
      <c r="L32" s="2106">
        <f t="shared" si="42"/>
        <v>536</v>
      </c>
      <c r="M32" s="2107">
        <f t="shared" si="43"/>
        <v>536</v>
      </c>
      <c r="N32" s="2108">
        <f t="shared" si="77"/>
        <v>3134</v>
      </c>
      <c r="O32" s="4584">
        <v>581</v>
      </c>
      <c r="P32" s="4630">
        <v>797</v>
      </c>
      <c r="Q32" s="1254">
        <v>50</v>
      </c>
      <c r="R32" s="1255"/>
      <c r="S32" s="1256"/>
      <c r="T32" s="1256"/>
      <c r="U32" s="1256"/>
      <c r="V32" s="1256"/>
      <c r="W32" s="1253"/>
      <c r="X32" s="1255"/>
      <c r="Y32" s="1254"/>
      <c r="Z32" s="4677">
        <v>990</v>
      </c>
      <c r="AA32" s="4678">
        <v>536</v>
      </c>
      <c r="AB32" s="4678">
        <v>536</v>
      </c>
      <c r="AC32" s="4678">
        <v>536</v>
      </c>
      <c r="AD32" s="4678">
        <v>536</v>
      </c>
      <c r="AE32" s="1253"/>
      <c r="AF32" s="1255"/>
      <c r="AG32" s="1254"/>
      <c r="AH32" s="1255"/>
      <c r="AI32" s="1256"/>
      <c r="AJ32" s="1256"/>
      <c r="AK32" s="1256"/>
      <c r="AL32" s="1257"/>
      <c r="AM32" s="1258" t="s">
        <v>1951</v>
      </c>
      <c r="AN32" s="1259" t="s">
        <v>1968</v>
      </c>
      <c r="AO32" s="2109" t="s">
        <v>676</v>
      </c>
      <c r="AP32" s="1255"/>
      <c r="AQ32" s="1255"/>
      <c r="AR32" s="1254"/>
      <c r="AS32" s="1255"/>
      <c r="AT32" s="1256"/>
      <c r="AU32" s="1256"/>
      <c r="AV32" s="1256"/>
      <c r="AW32" s="1254"/>
      <c r="AX32" s="2110" t="s">
        <v>375</v>
      </c>
      <c r="AY32" s="4422"/>
      <c r="AZ32" s="4438">
        <f t="shared" si="44"/>
        <v>297.06058297500294</v>
      </c>
      <c r="BA32" s="4438">
        <f t="shared" si="45"/>
        <v>407.49962931338615</v>
      </c>
      <c r="BB32" s="4438">
        <f t="shared" si="46"/>
        <v>25.564594059810926</v>
      </c>
      <c r="BC32" s="4438">
        <f t="shared" si="47"/>
        <v>506.17896238425629</v>
      </c>
      <c r="BD32" s="4438">
        <f t="shared" si="48"/>
        <v>274.05244832117313</v>
      </c>
      <c r="BE32" s="4438">
        <f t="shared" si="49"/>
        <v>274.05244832117313</v>
      </c>
      <c r="BF32" s="4438">
        <f t="shared" si="50"/>
        <v>274.05244832117313</v>
      </c>
      <c r="BG32" s="4438">
        <f t="shared" si="51"/>
        <v>274.05244832117313</v>
      </c>
      <c r="BH32" s="4438">
        <f t="shared" si="52"/>
        <v>1602.3887556689488</v>
      </c>
      <c r="BI32" s="4438">
        <f t="shared" si="53"/>
        <v>297.06058297500294</v>
      </c>
      <c r="BJ32" s="4438">
        <f t="shared" si="54"/>
        <v>407.49962931338615</v>
      </c>
      <c r="BK32" s="4438">
        <f t="shared" si="55"/>
        <v>25.564594059810926</v>
      </c>
      <c r="BL32" s="4438">
        <f t="shared" si="56"/>
        <v>0</v>
      </c>
      <c r="BM32" s="4438">
        <f t="shared" si="57"/>
        <v>0</v>
      </c>
      <c r="BN32" s="4438">
        <f t="shared" si="58"/>
        <v>0</v>
      </c>
      <c r="BO32" s="4438">
        <f t="shared" si="59"/>
        <v>0</v>
      </c>
      <c r="BP32" s="4438">
        <f t="shared" si="60"/>
        <v>0</v>
      </c>
      <c r="BQ32" s="4438">
        <f t="shared" si="61"/>
        <v>0</v>
      </c>
      <c r="BR32" s="4438">
        <f t="shared" si="62"/>
        <v>0</v>
      </c>
      <c r="BS32" s="4438">
        <f t="shared" si="63"/>
        <v>0</v>
      </c>
      <c r="BT32" s="4438">
        <f t="shared" si="64"/>
        <v>506.17896238425629</v>
      </c>
      <c r="BU32" s="4438">
        <f t="shared" si="65"/>
        <v>274.05244832117313</v>
      </c>
      <c r="BV32" s="4438">
        <f t="shared" si="66"/>
        <v>274.05244832117313</v>
      </c>
      <c r="BW32" s="4438">
        <f t="shared" si="67"/>
        <v>274.05244832117313</v>
      </c>
      <c r="BX32" s="4438">
        <f t="shared" si="68"/>
        <v>274.05244832117313</v>
      </c>
      <c r="BY32" s="4438">
        <f t="shared" si="69"/>
        <v>0</v>
      </c>
      <c r="BZ32" s="4438">
        <f t="shared" si="70"/>
        <v>0</v>
      </c>
      <c r="CA32" s="4438">
        <f t="shared" si="71"/>
        <v>0</v>
      </c>
      <c r="CB32" s="4438">
        <f t="shared" si="72"/>
        <v>0</v>
      </c>
      <c r="CC32" s="4438">
        <f t="shared" si="73"/>
        <v>0</v>
      </c>
      <c r="CD32" s="4438">
        <f t="shared" si="74"/>
        <v>0</v>
      </c>
      <c r="CE32" s="4438">
        <f t="shared" si="75"/>
        <v>0</v>
      </c>
      <c r="CF32" s="4438">
        <f t="shared" si="76"/>
        <v>0</v>
      </c>
    </row>
    <row r="33" spans="1:84">
      <c r="A33" s="2117"/>
      <c r="B33" s="2101">
        <v>20503</v>
      </c>
      <c r="C33" s="2101" t="s">
        <v>1816</v>
      </c>
      <c r="D33" s="2102">
        <v>0.1</v>
      </c>
      <c r="E33" s="2112" t="s">
        <v>674</v>
      </c>
      <c r="F33" s="2105">
        <f t="shared" si="36"/>
        <v>49</v>
      </c>
      <c r="G33" s="4074">
        <f t="shared" si="37"/>
        <v>0</v>
      </c>
      <c r="H33" s="2104">
        <f t="shared" si="38"/>
        <v>0</v>
      </c>
      <c r="I33" s="2105">
        <f t="shared" si="39"/>
        <v>0</v>
      </c>
      <c r="J33" s="2106">
        <f t="shared" si="40"/>
        <v>0</v>
      </c>
      <c r="K33" s="2106">
        <f t="shared" si="41"/>
        <v>0</v>
      </c>
      <c r="L33" s="2106">
        <f t="shared" si="42"/>
        <v>0</v>
      </c>
      <c r="M33" s="2107">
        <f t="shared" si="43"/>
        <v>0</v>
      </c>
      <c r="N33" s="2108">
        <f t="shared" si="77"/>
        <v>0</v>
      </c>
      <c r="O33" s="4584">
        <v>49</v>
      </c>
      <c r="P33" s="4630">
        <v>0</v>
      </c>
      <c r="Q33" s="1254">
        <v>0</v>
      </c>
      <c r="R33" s="1255"/>
      <c r="S33" s="1256"/>
      <c r="T33" s="1256"/>
      <c r="U33" s="1256"/>
      <c r="V33" s="1256"/>
      <c r="W33" s="1253"/>
      <c r="X33" s="1255"/>
      <c r="Y33" s="1254"/>
      <c r="Z33" s="1255"/>
      <c r="AA33" s="1256"/>
      <c r="AB33" s="1256"/>
      <c r="AC33" s="1256"/>
      <c r="AD33" s="1256"/>
      <c r="AE33" s="1253"/>
      <c r="AF33" s="1255"/>
      <c r="AG33" s="1254"/>
      <c r="AH33" s="1255"/>
      <c r="AI33" s="1256"/>
      <c r="AJ33" s="1256"/>
      <c r="AK33" s="1256"/>
      <c r="AL33" s="1257"/>
      <c r="AM33" s="1258" t="s">
        <v>1951</v>
      </c>
      <c r="AN33" s="1259" t="s">
        <v>1969</v>
      </c>
      <c r="AO33" s="2109" t="s">
        <v>676</v>
      </c>
      <c r="AP33" s="1255"/>
      <c r="AQ33" s="1255"/>
      <c r="AR33" s="1254"/>
      <c r="AS33" s="1255"/>
      <c r="AT33" s="1256"/>
      <c r="AU33" s="1256"/>
      <c r="AV33" s="1256"/>
      <c r="AW33" s="1254"/>
      <c r="AX33" s="2110" t="s">
        <v>375</v>
      </c>
      <c r="AY33" s="4422"/>
      <c r="AZ33" s="4438">
        <f t="shared" si="44"/>
        <v>25.053302178614707</v>
      </c>
      <c r="BA33" s="4438">
        <f t="shared" si="45"/>
        <v>0</v>
      </c>
      <c r="BB33" s="4438">
        <f t="shared" si="46"/>
        <v>0</v>
      </c>
      <c r="BC33" s="4438">
        <f t="shared" si="47"/>
        <v>0</v>
      </c>
      <c r="BD33" s="4438">
        <f t="shared" si="48"/>
        <v>0</v>
      </c>
      <c r="BE33" s="4438">
        <f t="shared" si="49"/>
        <v>0</v>
      </c>
      <c r="BF33" s="4438">
        <f t="shared" si="50"/>
        <v>0</v>
      </c>
      <c r="BG33" s="4438">
        <f t="shared" si="51"/>
        <v>0</v>
      </c>
      <c r="BH33" s="4438">
        <f t="shared" si="52"/>
        <v>0</v>
      </c>
      <c r="BI33" s="4438">
        <f t="shared" si="53"/>
        <v>25.053302178614707</v>
      </c>
      <c r="BJ33" s="4438">
        <f t="shared" si="54"/>
        <v>0</v>
      </c>
      <c r="BK33" s="4438">
        <f t="shared" si="55"/>
        <v>0</v>
      </c>
      <c r="BL33" s="4438">
        <f t="shared" si="56"/>
        <v>0</v>
      </c>
      <c r="BM33" s="4438">
        <f t="shared" si="57"/>
        <v>0</v>
      </c>
      <c r="BN33" s="4438">
        <f t="shared" si="58"/>
        <v>0</v>
      </c>
      <c r="BO33" s="4438">
        <f t="shared" si="59"/>
        <v>0</v>
      </c>
      <c r="BP33" s="4438">
        <f t="shared" si="60"/>
        <v>0</v>
      </c>
      <c r="BQ33" s="4438">
        <f t="shared" si="61"/>
        <v>0</v>
      </c>
      <c r="BR33" s="4438">
        <f t="shared" si="62"/>
        <v>0</v>
      </c>
      <c r="BS33" s="4438">
        <f t="shared" si="63"/>
        <v>0</v>
      </c>
      <c r="BT33" s="4438">
        <f t="shared" si="64"/>
        <v>0</v>
      </c>
      <c r="BU33" s="4438">
        <f t="shared" si="65"/>
        <v>0</v>
      </c>
      <c r="BV33" s="4438">
        <f t="shared" si="66"/>
        <v>0</v>
      </c>
      <c r="BW33" s="4438">
        <f t="shared" si="67"/>
        <v>0</v>
      </c>
      <c r="BX33" s="4438">
        <f t="shared" si="68"/>
        <v>0</v>
      </c>
      <c r="BY33" s="4438">
        <f t="shared" si="69"/>
        <v>0</v>
      </c>
      <c r="BZ33" s="4438">
        <f t="shared" si="70"/>
        <v>0</v>
      </c>
      <c r="CA33" s="4438">
        <f t="shared" si="71"/>
        <v>0</v>
      </c>
      <c r="CB33" s="4438">
        <f t="shared" si="72"/>
        <v>0</v>
      </c>
      <c r="CC33" s="4438">
        <f t="shared" si="73"/>
        <v>0</v>
      </c>
      <c r="CD33" s="4438">
        <f t="shared" si="74"/>
        <v>0</v>
      </c>
      <c r="CE33" s="4438">
        <f t="shared" si="75"/>
        <v>0</v>
      </c>
      <c r="CF33" s="4438">
        <f t="shared" si="76"/>
        <v>0</v>
      </c>
    </row>
    <row r="34" spans="1:84" ht="24">
      <c r="A34" s="2117"/>
      <c r="B34" s="2101">
        <v>20303</v>
      </c>
      <c r="C34" s="2101" t="s">
        <v>1817</v>
      </c>
      <c r="D34" s="2102">
        <v>0.1</v>
      </c>
      <c r="E34" s="2103" t="s">
        <v>377</v>
      </c>
      <c r="F34" s="2105">
        <f t="shared" si="36"/>
        <v>586</v>
      </c>
      <c r="G34" s="4074">
        <f t="shared" si="37"/>
        <v>19</v>
      </c>
      <c r="H34" s="2104">
        <f t="shared" si="38"/>
        <v>176</v>
      </c>
      <c r="I34" s="2105">
        <f t="shared" si="39"/>
        <v>0</v>
      </c>
      <c r="J34" s="2106">
        <f t="shared" si="40"/>
        <v>0</v>
      </c>
      <c r="K34" s="2106">
        <f t="shared" si="41"/>
        <v>0</v>
      </c>
      <c r="L34" s="2106">
        <f t="shared" si="42"/>
        <v>0</v>
      </c>
      <c r="M34" s="2107">
        <f t="shared" si="43"/>
        <v>0</v>
      </c>
      <c r="N34" s="2108">
        <f t="shared" si="77"/>
        <v>0</v>
      </c>
      <c r="O34" s="4584">
        <v>586</v>
      </c>
      <c r="P34" s="4630">
        <v>19</v>
      </c>
      <c r="Q34" s="1254">
        <v>176</v>
      </c>
      <c r="R34" s="1255"/>
      <c r="S34" s="1256"/>
      <c r="T34" s="1256"/>
      <c r="U34" s="1256"/>
      <c r="V34" s="1256"/>
      <c r="W34" s="1253"/>
      <c r="X34" s="1255"/>
      <c r="Y34" s="1254"/>
      <c r="Z34" s="1255"/>
      <c r="AA34" s="1256"/>
      <c r="AB34" s="1256"/>
      <c r="AC34" s="1256"/>
      <c r="AD34" s="1256"/>
      <c r="AE34" s="1253"/>
      <c r="AF34" s="1255"/>
      <c r="AG34" s="1254"/>
      <c r="AH34" s="1255"/>
      <c r="AI34" s="1256"/>
      <c r="AJ34" s="1256"/>
      <c r="AK34" s="1256"/>
      <c r="AL34" s="1257"/>
      <c r="AM34" s="1258" t="s">
        <v>1951</v>
      </c>
      <c r="AN34" s="1259" t="s">
        <v>1969</v>
      </c>
      <c r="AO34" s="2109" t="s">
        <v>676</v>
      </c>
      <c r="AP34" s="1255"/>
      <c r="AQ34" s="1255"/>
      <c r="AR34" s="1254"/>
      <c r="AS34" s="1255"/>
      <c r="AT34" s="1256"/>
      <c r="AU34" s="1256"/>
      <c r="AV34" s="1256"/>
      <c r="AW34" s="1254"/>
      <c r="AX34" s="2110" t="s">
        <v>375</v>
      </c>
      <c r="AY34" s="4422"/>
      <c r="AZ34" s="4438">
        <f t="shared" si="44"/>
        <v>299.61704238098406</v>
      </c>
      <c r="BA34" s="4438">
        <f t="shared" si="45"/>
        <v>9.7145457427281521</v>
      </c>
      <c r="BB34" s="4438">
        <f t="shared" si="46"/>
        <v>89.987371090534452</v>
      </c>
      <c r="BC34" s="4438">
        <f t="shared" si="47"/>
        <v>0</v>
      </c>
      <c r="BD34" s="4438">
        <f t="shared" si="48"/>
        <v>0</v>
      </c>
      <c r="BE34" s="4438">
        <f t="shared" si="49"/>
        <v>0</v>
      </c>
      <c r="BF34" s="4438">
        <f t="shared" si="50"/>
        <v>0</v>
      </c>
      <c r="BG34" s="4438">
        <f t="shared" si="51"/>
        <v>0</v>
      </c>
      <c r="BH34" s="4438">
        <f t="shared" si="52"/>
        <v>0</v>
      </c>
      <c r="BI34" s="4438">
        <f t="shared" si="53"/>
        <v>299.61704238098406</v>
      </c>
      <c r="BJ34" s="4438">
        <f t="shared" si="54"/>
        <v>9.7145457427281521</v>
      </c>
      <c r="BK34" s="4438">
        <f t="shared" si="55"/>
        <v>89.987371090534452</v>
      </c>
      <c r="BL34" s="4438">
        <f t="shared" si="56"/>
        <v>0</v>
      </c>
      <c r="BM34" s="4438">
        <f t="shared" si="57"/>
        <v>0</v>
      </c>
      <c r="BN34" s="4438">
        <f t="shared" si="58"/>
        <v>0</v>
      </c>
      <c r="BO34" s="4438">
        <f t="shared" si="59"/>
        <v>0</v>
      </c>
      <c r="BP34" s="4438">
        <f t="shared" si="60"/>
        <v>0</v>
      </c>
      <c r="BQ34" s="4438">
        <f t="shared" si="61"/>
        <v>0</v>
      </c>
      <c r="BR34" s="4438">
        <f t="shared" si="62"/>
        <v>0</v>
      </c>
      <c r="BS34" s="4438">
        <f t="shared" si="63"/>
        <v>0</v>
      </c>
      <c r="BT34" s="4438">
        <f t="shared" si="64"/>
        <v>0</v>
      </c>
      <c r="BU34" s="4438">
        <f t="shared" si="65"/>
        <v>0</v>
      </c>
      <c r="BV34" s="4438">
        <f t="shared" si="66"/>
        <v>0</v>
      </c>
      <c r="BW34" s="4438">
        <f t="shared" si="67"/>
        <v>0</v>
      </c>
      <c r="BX34" s="4438">
        <f t="shared" si="68"/>
        <v>0</v>
      </c>
      <c r="BY34" s="4438">
        <f t="shared" si="69"/>
        <v>0</v>
      </c>
      <c r="BZ34" s="4438">
        <f t="shared" si="70"/>
        <v>0</v>
      </c>
      <c r="CA34" s="4438">
        <f t="shared" si="71"/>
        <v>0</v>
      </c>
      <c r="CB34" s="4438">
        <f t="shared" si="72"/>
        <v>0</v>
      </c>
      <c r="CC34" s="4438">
        <f t="shared" si="73"/>
        <v>0</v>
      </c>
      <c r="CD34" s="4438">
        <f t="shared" si="74"/>
        <v>0</v>
      </c>
      <c r="CE34" s="4438">
        <f t="shared" si="75"/>
        <v>0</v>
      </c>
      <c r="CF34" s="4438">
        <f t="shared" si="76"/>
        <v>0</v>
      </c>
    </row>
    <row r="35" spans="1:84" ht="24.75" thickBot="1">
      <c r="A35" s="3798"/>
      <c r="B35" s="3799">
        <v>20306</v>
      </c>
      <c r="C35" s="3799" t="s">
        <v>1818</v>
      </c>
      <c r="D35" s="3800">
        <v>0.1</v>
      </c>
      <c r="E35" s="3801" t="s">
        <v>712</v>
      </c>
      <c r="F35" s="3803">
        <f t="shared" si="36"/>
        <v>19</v>
      </c>
      <c r="G35" s="4075">
        <f t="shared" si="37"/>
        <v>66</v>
      </c>
      <c r="H35" s="3802">
        <f t="shared" si="38"/>
        <v>3</v>
      </c>
      <c r="I35" s="3803">
        <f t="shared" si="39"/>
        <v>0</v>
      </c>
      <c r="J35" s="3804">
        <f t="shared" si="40"/>
        <v>0</v>
      </c>
      <c r="K35" s="3804">
        <f t="shared" si="41"/>
        <v>0</v>
      </c>
      <c r="L35" s="3804">
        <f t="shared" si="42"/>
        <v>0</v>
      </c>
      <c r="M35" s="3805">
        <f t="shared" si="43"/>
        <v>0</v>
      </c>
      <c r="N35" s="2122">
        <f t="shared" si="77"/>
        <v>0</v>
      </c>
      <c r="O35" s="4584">
        <v>19</v>
      </c>
      <c r="P35" s="4631">
        <v>66</v>
      </c>
      <c r="Q35" s="1276">
        <v>3</v>
      </c>
      <c r="R35" s="1277"/>
      <c r="S35" s="3806"/>
      <c r="T35" s="3806"/>
      <c r="U35" s="3806"/>
      <c r="V35" s="3806"/>
      <c r="W35" s="1275"/>
      <c r="X35" s="1277"/>
      <c r="Y35" s="1276"/>
      <c r="Z35" s="1277"/>
      <c r="AA35" s="3806"/>
      <c r="AB35" s="3806"/>
      <c r="AC35" s="3806"/>
      <c r="AD35" s="3806"/>
      <c r="AE35" s="1275"/>
      <c r="AF35" s="1277"/>
      <c r="AG35" s="1276"/>
      <c r="AH35" s="1277"/>
      <c r="AI35" s="3806"/>
      <c r="AJ35" s="3806"/>
      <c r="AK35" s="3806"/>
      <c r="AL35" s="3807"/>
      <c r="AM35" s="1273" t="s">
        <v>1951</v>
      </c>
      <c r="AN35" s="3808" t="s">
        <v>1970</v>
      </c>
      <c r="AO35" s="2176" t="s">
        <v>676</v>
      </c>
      <c r="AP35" s="1277"/>
      <c r="AQ35" s="1277"/>
      <c r="AR35" s="1276"/>
      <c r="AS35" s="1277"/>
      <c r="AT35" s="3806"/>
      <c r="AU35" s="3806"/>
      <c r="AV35" s="3806"/>
      <c r="AW35" s="1276"/>
      <c r="AX35" s="3809" t="s">
        <v>666</v>
      </c>
      <c r="AY35" s="4422"/>
      <c r="AZ35" s="4438">
        <f t="shared" si="44"/>
        <v>9.7145457427281521</v>
      </c>
      <c r="BA35" s="4438">
        <f t="shared" si="45"/>
        <v>33.74526415895042</v>
      </c>
      <c r="BB35" s="4438">
        <f t="shared" si="46"/>
        <v>1.5338756435886556</v>
      </c>
      <c r="BC35" s="4438">
        <f t="shared" si="47"/>
        <v>0</v>
      </c>
      <c r="BD35" s="4438">
        <f t="shared" si="48"/>
        <v>0</v>
      </c>
      <c r="BE35" s="4438">
        <f t="shared" si="49"/>
        <v>0</v>
      </c>
      <c r="BF35" s="4438">
        <f t="shared" si="50"/>
        <v>0</v>
      </c>
      <c r="BG35" s="4438">
        <f t="shared" si="51"/>
        <v>0</v>
      </c>
      <c r="BH35" s="4438">
        <f t="shared" si="52"/>
        <v>0</v>
      </c>
      <c r="BI35" s="4438">
        <f t="shared" si="53"/>
        <v>9.7145457427281521</v>
      </c>
      <c r="BJ35" s="4438">
        <f t="shared" si="54"/>
        <v>33.74526415895042</v>
      </c>
      <c r="BK35" s="4438">
        <f t="shared" si="55"/>
        <v>1.5338756435886556</v>
      </c>
      <c r="BL35" s="4438">
        <f t="shared" si="56"/>
        <v>0</v>
      </c>
      <c r="BM35" s="4438">
        <f t="shared" si="57"/>
        <v>0</v>
      </c>
      <c r="BN35" s="4438">
        <f t="shared" si="58"/>
        <v>0</v>
      </c>
      <c r="BO35" s="4438">
        <f t="shared" si="59"/>
        <v>0</v>
      </c>
      <c r="BP35" s="4438">
        <f t="shared" si="60"/>
        <v>0</v>
      </c>
      <c r="BQ35" s="4438">
        <f t="shared" si="61"/>
        <v>0</v>
      </c>
      <c r="BR35" s="4438">
        <f t="shared" si="62"/>
        <v>0</v>
      </c>
      <c r="BS35" s="4438">
        <f t="shared" si="63"/>
        <v>0</v>
      </c>
      <c r="BT35" s="4438">
        <f t="shared" si="64"/>
        <v>0</v>
      </c>
      <c r="BU35" s="4438">
        <f t="shared" si="65"/>
        <v>0</v>
      </c>
      <c r="BV35" s="4438">
        <f t="shared" si="66"/>
        <v>0</v>
      </c>
      <c r="BW35" s="4438">
        <f t="shared" si="67"/>
        <v>0</v>
      </c>
      <c r="BX35" s="4438">
        <f t="shared" si="68"/>
        <v>0</v>
      </c>
      <c r="BY35" s="4438">
        <f t="shared" si="69"/>
        <v>0</v>
      </c>
      <c r="BZ35" s="4438">
        <f t="shared" si="70"/>
        <v>0</v>
      </c>
      <c r="CA35" s="4438">
        <f t="shared" si="71"/>
        <v>0</v>
      </c>
      <c r="CB35" s="4438">
        <f t="shared" si="72"/>
        <v>0</v>
      </c>
      <c r="CC35" s="4438">
        <f t="shared" si="73"/>
        <v>0</v>
      </c>
      <c r="CD35" s="4438">
        <f t="shared" si="74"/>
        <v>0</v>
      </c>
      <c r="CE35" s="4438">
        <f t="shared" si="75"/>
        <v>0</v>
      </c>
      <c r="CF35" s="4438">
        <f t="shared" si="76"/>
        <v>0</v>
      </c>
    </row>
    <row r="36" spans="1:84" ht="24.75" thickBot="1">
      <c r="A36" s="2068">
        <v>1.2</v>
      </c>
      <c r="B36" s="2068"/>
      <c r="C36" s="2068"/>
      <c r="D36" s="2069"/>
      <c r="E36" s="2070" t="s">
        <v>208</v>
      </c>
      <c r="F36" s="2071">
        <f t="shared" ref="F36" si="78">SUM(F37:F47)</f>
        <v>26</v>
      </c>
      <c r="G36" s="4072">
        <f t="shared" ref="G36:AL36" si="79">SUM(G37:G47)</f>
        <v>143</v>
      </c>
      <c r="H36" s="2072">
        <f t="shared" si="79"/>
        <v>257</v>
      </c>
      <c r="I36" s="2073">
        <f t="shared" si="79"/>
        <v>1025.26836</v>
      </c>
      <c r="J36" s="2074">
        <f t="shared" si="79"/>
        <v>1927.5367200000001</v>
      </c>
      <c r="K36" s="2074">
        <f t="shared" si="79"/>
        <v>1872.5367200000001</v>
      </c>
      <c r="L36" s="2074">
        <f t="shared" si="79"/>
        <v>20</v>
      </c>
      <c r="M36" s="2125">
        <f t="shared" si="79"/>
        <v>25</v>
      </c>
      <c r="N36" s="2126">
        <f t="shared" si="79"/>
        <v>4870.3418000000001</v>
      </c>
      <c r="O36" s="2077">
        <f t="shared" ref="O36" si="80">SUM(O37:O47)</f>
        <v>26</v>
      </c>
      <c r="P36" s="4088">
        <f t="shared" si="79"/>
        <v>85</v>
      </c>
      <c r="Q36" s="2078">
        <f t="shared" si="79"/>
        <v>257</v>
      </c>
      <c r="R36" s="2079">
        <f t="shared" si="79"/>
        <v>63</v>
      </c>
      <c r="S36" s="2080">
        <f t="shared" si="79"/>
        <v>3</v>
      </c>
      <c r="T36" s="2080">
        <f t="shared" si="79"/>
        <v>6</v>
      </c>
      <c r="U36" s="2080">
        <f t="shared" si="79"/>
        <v>20</v>
      </c>
      <c r="V36" s="2081">
        <f t="shared" si="79"/>
        <v>25</v>
      </c>
      <c r="W36" s="2077">
        <f t="shared" ref="W36" si="81">SUM(W37:W47)</f>
        <v>0</v>
      </c>
      <c r="X36" s="4088">
        <f t="shared" si="79"/>
        <v>0</v>
      </c>
      <c r="Y36" s="2078">
        <f t="shared" si="79"/>
        <v>0</v>
      </c>
      <c r="Z36" s="2079">
        <f t="shared" si="79"/>
        <v>0</v>
      </c>
      <c r="AA36" s="2080">
        <f t="shared" si="79"/>
        <v>0</v>
      </c>
      <c r="AB36" s="2080">
        <f t="shared" si="79"/>
        <v>0</v>
      </c>
      <c r="AC36" s="2080">
        <f t="shared" si="79"/>
        <v>0</v>
      </c>
      <c r="AD36" s="2081">
        <f t="shared" si="79"/>
        <v>0</v>
      </c>
      <c r="AE36" s="2077">
        <f t="shared" ref="AE36" si="82">SUM(AE37:AE47)</f>
        <v>0</v>
      </c>
      <c r="AF36" s="4088">
        <f t="shared" si="79"/>
        <v>58</v>
      </c>
      <c r="AG36" s="2078">
        <f t="shared" si="79"/>
        <v>0</v>
      </c>
      <c r="AH36" s="2079">
        <f t="shared" si="79"/>
        <v>962.26836000000003</v>
      </c>
      <c r="AI36" s="2080">
        <f t="shared" si="79"/>
        <v>1924.5367200000001</v>
      </c>
      <c r="AJ36" s="2080">
        <f t="shared" si="79"/>
        <v>1866.5367200000001</v>
      </c>
      <c r="AK36" s="2080">
        <f t="shared" si="79"/>
        <v>0</v>
      </c>
      <c r="AL36" s="2082">
        <f t="shared" si="79"/>
        <v>0</v>
      </c>
      <c r="AM36" s="2127"/>
      <c r="AN36" s="2128"/>
      <c r="AO36" s="2127"/>
      <c r="AP36" s="2129"/>
      <c r="AQ36" s="2129"/>
      <c r="AR36" s="2129"/>
      <c r="AS36" s="2130"/>
      <c r="AT36" s="2130"/>
      <c r="AU36" s="2130"/>
      <c r="AV36" s="2130"/>
      <c r="AW36" s="2131"/>
      <c r="AX36" s="2132"/>
      <c r="AY36" s="4422"/>
      <c r="AZ36" s="4438">
        <f t="shared" si="44"/>
        <v>13.293588911101681</v>
      </c>
      <c r="BA36" s="4438">
        <f t="shared" si="45"/>
        <v>73.114739011059243</v>
      </c>
      <c r="BB36" s="4438">
        <f t="shared" si="46"/>
        <v>131.40201346742816</v>
      </c>
      <c r="BC36" s="4438">
        <f t="shared" si="47"/>
        <v>524.21138851536182</v>
      </c>
      <c r="BD36" s="4438">
        <f t="shared" si="48"/>
        <v>985.53387564358866</v>
      </c>
      <c r="BE36" s="4438">
        <f t="shared" si="49"/>
        <v>957.41282217779667</v>
      </c>
      <c r="BF36" s="4438">
        <f t="shared" si="50"/>
        <v>10.22583762392437</v>
      </c>
      <c r="BG36" s="4438">
        <f t="shared" si="51"/>
        <v>12.782297029905463</v>
      </c>
      <c r="BH36" s="4438">
        <f t="shared" si="52"/>
        <v>2490.1662209905771</v>
      </c>
      <c r="BI36" s="4438">
        <f t="shared" si="53"/>
        <v>13.293588911101681</v>
      </c>
      <c r="BJ36" s="4438">
        <f t="shared" si="54"/>
        <v>43.459809901678575</v>
      </c>
      <c r="BK36" s="4438">
        <f t="shared" si="55"/>
        <v>131.40201346742816</v>
      </c>
      <c r="BL36" s="4438">
        <f t="shared" si="56"/>
        <v>32.211388515361769</v>
      </c>
      <c r="BM36" s="4438">
        <f t="shared" si="57"/>
        <v>1.5338756435886556</v>
      </c>
      <c r="BN36" s="4438">
        <f t="shared" si="58"/>
        <v>3.0677512871773112</v>
      </c>
      <c r="BO36" s="4438">
        <f t="shared" si="59"/>
        <v>10.22583762392437</v>
      </c>
      <c r="BP36" s="4438">
        <f t="shared" si="60"/>
        <v>12.782297029905463</v>
      </c>
      <c r="BQ36" s="4438">
        <f t="shared" si="61"/>
        <v>0</v>
      </c>
      <c r="BR36" s="4438">
        <f t="shared" si="62"/>
        <v>0</v>
      </c>
      <c r="BS36" s="4438">
        <f t="shared" si="63"/>
        <v>0</v>
      </c>
      <c r="BT36" s="4438">
        <f t="shared" si="64"/>
        <v>0</v>
      </c>
      <c r="BU36" s="4438">
        <f t="shared" si="65"/>
        <v>0</v>
      </c>
      <c r="BV36" s="4438">
        <f t="shared" si="66"/>
        <v>0</v>
      </c>
      <c r="BW36" s="4438">
        <f t="shared" si="67"/>
        <v>0</v>
      </c>
      <c r="BX36" s="4438">
        <f t="shared" si="68"/>
        <v>0</v>
      </c>
      <c r="BY36" s="4438">
        <f t="shared" si="69"/>
        <v>0</v>
      </c>
      <c r="BZ36" s="4438">
        <f t="shared" si="70"/>
        <v>29.654929109380674</v>
      </c>
      <c r="CA36" s="4438">
        <f t="shared" si="71"/>
        <v>0</v>
      </c>
      <c r="CB36" s="4438">
        <f t="shared" si="72"/>
        <v>492</v>
      </c>
      <c r="CC36" s="4438">
        <f t="shared" si="73"/>
        <v>984</v>
      </c>
      <c r="CD36" s="4438">
        <f t="shared" si="74"/>
        <v>954.34507089061935</v>
      </c>
      <c r="CE36" s="4438">
        <f t="shared" si="75"/>
        <v>0</v>
      </c>
      <c r="CF36" s="4438">
        <f t="shared" si="76"/>
        <v>0</v>
      </c>
    </row>
    <row r="37" spans="1:84">
      <c r="A37" s="2133"/>
      <c r="B37" s="2134">
        <v>2040207</v>
      </c>
      <c r="C37" s="2134" t="s">
        <v>1819</v>
      </c>
      <c r="D37" s="2091">
        <v>0.04</v>
      </c>
      <c r="E37" s="2135" t="s">
        <v>378</v>
      </c>
      <c r="F37" s="2105">
        <f t="shared" ref="F37:F47" si="83">O37+W37+AE37</f>
        <v>2</v>
      </c>
      <c r="G37" s="4074">
        <f t="shared" ref="G37:G47" si="84">P37+X37+AF37</f>
        <v>1</v>
      </c>
      <c r="H37" s="2104">
        <f t="shared" ref="H37:H47" si="85">Q37+Y37+AG37</f>
        <v>5</v>
      </c>
      <c r="I37" s="2105">
        <f t="shared" ref="I37:I47" si="86">R37+Z37+AH37</f>
        <v>55</v>
      </c>
      <c r="J37" s="2106">
        <f t="shared" ref="J37:J47" si="87">S37+AA37+AI37</f>
        <v>0</v>
      </c>
      <c r="K37" s="2106">
        <f t="shared" ref="K37:K47" si="88">T37+AB37+AJ37</f>
        <v>0</v>
      </c>
      <c r="L37" s="2106">
        <f t="shared" ref="L37:L47" si="89">U37+AC37+AK37</f>
        <v>0</v>
      </c>
      <c r="M37" s="2106">
        <f t="shared" ref="M37:M47" si="90">V37+AD37+AL37</f>
        <v>0</v>
      </c>
      <c r="N37" s="2136">
        <f t="shared" si="77"/>
        <v>55</v>
      </c>
      <c r="O37" s="4584">
        <v>2</v>
      </c>
      <c r="P37" s="4629">
        <v>1</v>
      </c>
      <c r="Q37" s="1247">
        <v>5</v>
      </c>
      <c r="R37" s="1248">
        <v>55</v>
      </c>
      <c r="S37" s="1249"/>
      <c r="T37" s="1249"/>
      <c r="U37" s="1249"/>
      <c r="V37" s="1249"/>
      <c r="W37" s="1246"/>
      <c r="X37" s="1248"/>
      <c r="Y37" s="1247"/>
      <c r="Z37" s="1248"/>
      <c r="AA37" s="1249"/>
      <c r="AB37" s="1249"/>
      <c r="AC37" s="1249"/>
      <c r="AD37" s="1249"/>
      <c r="AE37" s="1246"/>
      <c r="AF37" s="264"/>
      <c r="AG37" s="1247"/>
      <c r="AH37" s="1248"/>
      <c r="AI37" s="1249"/>
      <c r="AJ37" s="1249"/>
      <c r="AK37" s="1249"/>
      <c r="AL37" s="1250"/>
      <c r="AM37" s="1258" t="s">
        <v>1951</v>
      </c>
      <c r="AN37" s="1252" t="s">
        <v>1971</v>
      </c>
      <c r="AO37" s="2098" t="s">
        <v>676</v>
      </c>
      <c r="AP37" s="1248">
        <v>1</v>
      </c>
      <c r="AQ37" s="1248">
        <v>2</v>
      </c>
      <c r="AR37" s="1247">
        <v>1</v>
      </c>
      <c r="AS37" s="1248">
        <v>1</v>
      </c>
      <c r="AT37" s="1248">
        <v>1</v>
      </c>
      <c r="AU37" s="1248">
        <v>1</v>
      </c>
      <c r="AV37" s="1248">
        <v>1</v>
      </c>
      <c r="AW37" s="1248">
        <v>1</v>
      </c>
      <c r="AX37" s="2137" t="s">
        <v>1026</v>
      </c>
      <c r="AY37" s="4422"/>
      <c r="AZ37" s="4438">
        <f t="shared" si="44"/>
        <v>1.022583762392437</v>
      </c>
      <c r="BA37" s="4438">
        <f t="shared" si="45"/>
        <v>0.51129188119621849</v>
      </c>
      <c r="BB37" s="4438">
        <f t="shared" si="46"/>
        <v>2.5564594059810926</v>
      </c>
      <c r="BC37" s="4438">
        <f t="shared" si="47"/>
        <v>28.121053465792016</v>
      </c>
      <c r="BD37" s="4438">
        <f t="shared" si="48"/>
        <v>0</v>
      </c>
      <c r="BE37" s="4438">
        <f t="shared" si="49"/>
        <v>0</v>
      </c>
      <c r="BF37" s="4438">
        <f t="shared" si="50"/>
        <v>0</v>
      </c>
      <c r="BG37" s="4438">
        <f t="shared" si="51"/>
        <v>0</v>
      </c>
      <c r="BH37" s="4438">
        <f t="shared" si="52"/>
        <v>28.121053465792016</v>
      </c>
      <c r="BI37" s="4438">
        <f t="shared" si="53"/>
        <v>1.022583762392437</v>
      </c>
      <c r="BJ37" s="4438">
        <f t="shared" si="54"/>
        <v>0.51129188119621849</v>
      </c>
      <c r="BK37" s="4438">
        <f t="shared" si="55"/>
        <v>2.5564594059810926</v>
      </c>
      <c r="BL37" s="4438">
        <f t="shared" si="56"/>
        <v>28.121053465792016</v>
      </c>
      <c r="BM37" s="4438">
        <f t="shared" si="57"/>
        <v>0</v>
      </c>
      <c r="BN37" s="4438">
        <f t="shared" si="58"/>
        <v>0</v>
      </c>
      <c r="BO37" s="4438">
        <f t="shared" si="59"/>
        <v>0</v>
      </c>
      <c r="BP37" s="4438">
        <f t="shared" si="60"/>
        <v>0</v>
      </c>
      <c r="BQ37" s="4438">
        <f t="shared" si="61"/>
        <v>0</v>
      </c>
      <c r="BR37" s="4438">
        <f t="shared" si="62"/>
        <v>0</v>
      </c>
      <c r="BS37" s="4438">
        <f t="shared" si="63"/>
        <v>0</v>
      </c>
      <c r="BT37" s="4438">
        <f t="shared" si="64"/>
        <v>0</v>
      </c>
      <c r="BU37" s="4438">
        <f t="shared" si="65"/>
        <v>0</v>
      </c>
      <c r="BV37" s="4438">
        <f t="shared" si="66"/>
        <v>0</v>
      </c>
      <c r="BW37" s="4438">
        <f t="shared" si="67"/>
        <v>0</v>
      </c>
      <c r="BX37" s="4438">
        <f t="shared" si="68"/>
        <v>0</v>
      </c>
      <c r="BY37" s="4438">
        <f t="shared" si="69"/>
        <v>0</v>
      </c>
      <c r="BZ37" s="4438">
        <f t="shared" si="70"/>
        <v>0</v>
      </c>
      <c r="CA37" s="4438">
        <f t="shared" si="71"/>
        <v>0</v>
      </c>
      <c r="CB37" s="4438">
        <f t="shared" si="72"/>
        <v>0</v>
      </c>
      <c r="CC37" s="4438">
        <f t="shared" si="73"/>
        <v>0</v>
      </c>
      <c r="CD37" s="4438">
        <f t="shared" si="74"/>
        <v>0</v>
      </c>
      <c r="CE37" s="4438">
        <f t="shared" si="75"/>
        <v>0</v>
      </c>
      <c r="CF37" s="4438">
        <f t="shared" si="76"/>
        <v>0</v>
      </c>
    </row>
    <row r="38" spans="1:84" ht="36">
      <c r="A38" s="2138"/>
      <c r="B38" s="2139">
        <v>2040206</v>
      </c>
      <c r="C38" s="2139" t="s">
        <v>1820</v>
      </c>
      <c r="D38" s="2113">
        <v>0.02</v>
      </c>
      <c r="E38" s="2140" t="s">
        <v>655</v>
      </c>
      <c r="F38" s="2105">
        <f t="shared" si="83"/>
        <v>0</v>
      </c>
      <c r="G38" s="4074">
        <f t="shared" si="84"/>
        <v>90</v>
      </c>
      <c r="H38" s="2104">
        <f t="shared" si="85"/>
        <v>0</v>
      </c>
      <c r="I38" s="2105">
        <f t="shared" si="86"/>
        <v>962.26836000000003</v>
      </c>
      <c r="J38" s="2106">
        <f t="shared" si="87"/>
        <v>1924.5367200000001</v>
      </c>
      <c r="K38" s="2106">
        <f t="shared" si="88"/>
        <v>1866.5367200000001</v>
      </c>
      <c r="L38" s="2106">
        <f t="shared" si="89"/>
        <v>0</v>
      </c>
      <c r="M38" s="2106">
        <f t="shared" si="90"/>
        <v>0</v>
      </c>
      <c r="N38" s="2141">
        <f t="shared" si="77"/>
        <v>4753.3418000000001</v>
      </c>
      <c r="O38" s="4584">
        <v>0</v>
      </c>
      <c r="P38" s="4630">
        <v>45</v>
      </c>
      <c r="Q38" s="1254">
        <v>0</v>
      </c>
      <c r="R38" s="1255"/>
      <c r="S38" s="1256"/>
      <c r="T38" s="1256"/>
      <c r="U38" s="1256"/>
      <c r="V38" s="1256"/>
      <c r="W38" s="1253"/>
      <c r="X38" s="1255"/>
      <c r="Y38" s="1254"/>
      <c r="Z38" s="1255"/>
      <c r="AA38" s="1256"/>
      <c r="AB38" s="1256"/>
      <c r="AC38" s="1256"/>
      <c r="AD38" s="1256"/>
      <c r="AE38" s="1253"/>
      <c r="AF38" s="4584">
        <v>45</v>
      </c>
      <c r="AG38" s="1254"/>
      <c r="AH38" s="1255">
        <f>2460/5*1*1.95583</f>
        <v>962.26836000000003</v>
      </c>
      <c r="AI38" s="1256">
        <f>2460/5*2*1.95583</f>
        <v>1924.5367200000001</v>
      </c>
      <c r="AJ38" s="1256">
        <f>2460/5*2*1.95583-AF38-AF42</f>
        <v>1866.5367200000001</v>
      </c>
      <c r="AK38" s="1256"/>
      <c r="AL38" s="1257"/>
      <c r="AM38" s="1258" t="s">
        <v>1951</v>
      </c>
      <c r="AN38" s="1260" t="s">
        <v>1972</v>
      </c>
      <c r="AO38" s="2109" t="s">
        <v>677</v>
      </c>
      <c r="AP38" s="1255"/>
      <c r="AQ38" s="1255"/>
      <c r="AR38" s="1254"/>
      <c r="AS38" s="1255"/>
      <c r="AT38" s="1256"/>
      <c r="AU38" s="1256"/>
      <c r="AV38" s="1256">
        <v>3600</v>
      </c>
      <c r="AW38" s="1254">
        <v>3600</v>
      </c>
      <c r="AX38" s="2115" t="s">
        <v>665</v>
      </c>
      <c r="AY38" s="4422"/>
      <c r="AZ38" s="4438">
        <f t="shared" si="44"/>
        <v>0</v>
      </c>
      <c r="BA38" s="4438">
        <f t="shared" si="45"/>
        <v>46.016269307659663</v>
      </c>
      <c r="BB38" s="4438">
        <f t="shared" si="46"/>
        <v>0</v>
      </c>
      <c r="BC38" s="4438">
        <f t="shared" si="47"/>
        <v>492</v>
      </c>
      <c r="BD38" s="4438">
        <f t="shared" si="48"/>
        <v>984</v>
      </c>
      <c r="BE38" s="4438">
        <f t="shared" si="49"/>
        <v>954.34507089061935</v>
      </c>
      <c r="BF38" s="4438">
        <f t="shared" si="50"/>
        <v>0</v>
      </c>
      <c r="BG38" s="4438">
        <f t="shared" si="51"/>
        <v>0</v>
      </c>
      <c r="BH38" s="4438">
        <f t="shared" si="52"/>
        <v>2430.3450708906194</v>
      </c>
      <c r="BI38" s="4438">
        <f t="shared" si="53"/>
        <v>0</v>
      </c>
      <c r="BJ38" s="4438">
        <f t="shared" si="54"/>
        <v>23.008134653829831</v>
      </c>
      <c r="BK38" s="4438">
        <f t="shared" si="55"/>
        <v>0</v>
      </c>
      <c r="BL38" s="4438">
        <f t="shared" si="56"/>
        <v>0</v>
      </c>
      <c r="BM38" s="4438">
        <f t="shared" si="57"/>
        <v>0</v>
      </c>
      <c r="BN38" s="4438">
        <f t="shared" si="58"/>
        <v>0</v>
      </c>
      <c r="BO38" s="4438">
        <f t="shared" si="59"/>
        <v>0</v>
      </c>
      <c r="BP38" s="4438">
        <f t="shared" si="60"/>
        <v>0</v>
      </c>
      <c r="BQ38" s="4438">
        <f t="shared" si="61"/>
        <v>0</v>
      </c>
      <c r="BR38" s="4438">
        <f t="shared" si="62"/>
        <v>0</v>
      </c>
      <c r="BS38" s="4438">
        <f t="shared" si="63"/>
        <v>0</v>
      </c>
      <c r="BT38" s="4438">
        <f t="shared" si="64"/>
        <v>0</v>
      </c>
      <c r="BU38" s="4438">
        <f t="shared" si="65"/>
        <v>0</v>
      </c>
      <c r="BV38" s="4438">
        <f t="shared" si="66"/>
        <v>0</v>
      </c>
      <c r="BW38" s="4438">
        <f t="shared" si="67"/>
        <v>0</v>
      </c>
      <c r="BX38" s="4438">
        <f t="shared" si="68"/>
        <v>0</v>
      </c>
      <c r="BY38" s="4438">
        <f t="shared" si="69"/>
        <v>0</v>
      </c>
      <c r="BZ38" s="4438">
        <f t="shared" si="70"/>
        <v>23.008134653829831</v>
      </c>
      <c r="CA38" s="4438">
        <f t="shared" si="71"/>
        <v>0</v>
      </c>
      <c r="CB38" s="4438">
        <f t="shared" si="72"/>
        <v>492</v>
      </c>
      <c r="CC38" s="4438">
        <f t="shared" si="73"/>
        <v>984</v>
      </c>
      <c r="CD38" s="4438">
        <f t="shared" si="74"/>
        <v>954.34507089061935</v>
      </c>
      <c r="CE38" s="4438">
        <f t="shared" si="75"/>
        <v>0</v>
      </c>
      <c r="CF38" s="4438">
        <f t="shared" si="76"/>
        <v>0</v>
      </c>
    </row>
    <row r="39" spans="1:84" ht="24">
      <c r="A39" s="2138"/>
      <c r="B39" s="2139">
        <v>2040206</v>
      </c>
      <c r="C39" s="2139" t="s">
        <v>1821</v>
      </c>
      <c r="D39" s="2113">
        <v>0.02</v>
      </c>
      <c r="E39" s="2140" t="s">
        <v>379</v>
      </c>
      <c r="F39" s="2105">
        <f t="shared" si="83"/>
        <v>20</v>
      </c>
      <c r="G39" s="4074">
        <f t="shared" si="84"/>
        <v>25</v>
      </c>
      <c r="H39" s="2104">
        <f t="shared" si="85"/>
        <v>10</v>
      </c>
      <c r="I39" s="2105">
        <f t="shared" si="86"/>
        <v>4</v>
      </c>
      <c r="J39" s="2106">
        <f t="shared" si="87"/>
        <v>3</v>
      </c>
      <c r="K39" s="2106">
        <f t="shared" si="88"/>
        <v>6</v>
      </c>
      <c r="L39" s="2106">
        <f t="shared" si="89"/>
        <v>20</v>
      </c>
      <c r="M39" s="2106">
        <f t="shared" si="90"/>
        <v>25</v>
      </c>
      <c r="N39" s="2141">
        <f t="shared" si="77"/>
        <v>58</v>
      </c>
      <c r="O39" s="4584">
        <v>20</v>
      </c>
      <c r="P39" s="4630">
        <v>25</v>
      </c>
      <c r="Q39" s="1254">
        <v>10</v>
      </c>
      <c r="R39" s="1255">
        <v>4</v>
      </c>
      <c r="S39" s="1256">
        <v>3</v>
      </c>
      <c r="T39" s="1256">
        <v>6</v>
      </c>
      <c r="U39" s="1256">
        <v>20</v>
      </c>
      <c r="V39" s="1256">
        <v>25</v>
      </c>
      <c r="W39" s="1253"/>
      <c r="X39" s="1255"/>
      <c r="Y39" s="1254"/>
      <c r="Z39" s="1255"/>
      <c r="AA39" s="1256"/>
      <c r="AB39" s="1256"/>
      <c r="AC39" s="1256"/>
      <c r="AD39" s="1256"/>
      <c r="AE39" s="1253"/>
      <c r="AF39" s="264"/>
      <c r="AG39" s="1254"/>
      <c r="AH39" s="1255"/>
      <c r="AI39" s="1256"/>
      <c r="AJ39" s="1256"/>
      <c r="AK39" s="1256"/>
      <c r="AL39" s="1257"/>
      <c r="AM39" s="1258" t="s">
        <v>1951</v>
      </c>
      <c r="AN39" s="1260" t="s">
        <v>1973</v>
      </c>
      <c r="AO39" s="2109" t="s">
        <v>677</v>
      </c>
      <c r="AP39" s="1255">
        <v>78</v>
      </c>
      <c r="AQ39" s="1255">
        <v>205</v>
      </c>
      <c r="AR39" s="1254">
        <v>100</v>
      </c>
      <c r="AS39" s="1255">
        <v>60</v>
      </c>
      <c r="AT39" s="1255">
        <v>60</v>
      </c>
      <c r="AU39" s="1255">
        <v>60</v>
      </c>
      <c r="AV39" s="1255">
        <v>60</v>
      </c>
      <c r="AW39" s="1255">
        <v>60</v>
      </c>
      <c r="AX39" s="2110" t="s">
        <v>380</v>
      </c>
      <c r="AY39" s="4422"/>
      <c r="AZ39" s="4438">
        <f t="shared" si="44"/>
        <v>10.22583762392437</v>
      </c>
      <c r="BA39" s="4438">
        <f t="shared" si="45"/>
        <v>12.782297029905463</v>
      </c>
      <c r="BB39" s="4438">
        <f t="shared" si="46"/>
        <v>5.1129188119621851</v>
      </c>
      <c r="BC39" s="4438">
        <f t="shared" si="47"/>
        <v>2.045167524784874</v>
      </c>
      <c r="BD39" s="4438">
        <f t="shared" si="48"/>
        <v>1.5338756435886556</v>
      </c>
      <c r="BE39" s="4438">
        <f t="shared" si="49"/>
        <v>3.0677512871773112</v>
      </c>
      <c r="BF39" s="4438">
        <f t="shared" si="50"/>
        <v>10.22583762392437</v>
      </c>
      <c r="BG39" s="4438">
        <f t="shared" si="51"/>
        <v>12.782297029905463</v>
      </c>
      <c r="BH39" s="4438">
        <f t="shared" si="52"/>
        <v>29.654929109380674</v>
      </c>
      <c r="BI39" s="4438">
        <f t="shared" si="53"/>
        <v>10.22583762392437</v>
      </c>
      <c r="BJ39" s="4438">
        <f t="shared" si="54"/>
        <v>12.782297029905463</v>
      </c>
      <c r="BK39" s="4438">
        <f t="shared" si="55"/>
        <v>5.1129188119621851</v>
      </c>
      <c r="BL39" s="4438">
        <f t="shared" si="56"/>
        <v>2.045167524784874</v>
      </c>
      <c r="BM39" s="4438">
        <f t="shared" si="57"/>
        <v>1.5338756435886556</v>
      </c>
      <c r="BN39" s="4438">
        <f t="shared" si="58"/>
        <v>3.0677512871773112</v>
      </c>
      <c r="BO39" s="4438">
        <f t="shared" si="59"/>
        <v>10.22583762392437</v>
      </c>
      <c r="BP39" s="4438">
        <f t="shared" si="60"/>
        <v>12.782297029905463</v>
      </c>
      <c r="BQ39" s="4438">
        <f t="shared" si="61"/>
        <v>0</v>
      </c>
      <c r="BR39" s="4438">
        <f t="shared" si="62"/>
        <v>0</v>
      </c>
      <c r="BS39" s="4438">
        <f t="shared" si="63"/>
        <v>0</v>
      </c>
      <c r="BT39" s="4438">
        <f t="shared" si="64"/>
        <v>0</v>
      </c>
      <c r="BU39" s="4438">
        <f t="shared" si="65"/>
        <v>0</v>
      </c>
      <c r="BV39" s="4438">
        <f t="shared" si="66"/>
        <v>0</v>
      </c>
      <c r="BW39" s="4438">
        <f t="shared" si="67"/>
        <v>0</v>
      </c>
      <c r="BX39" s="4438">
        <f t="shared" si="68"/>
        <v>0</v>
      </c>
      <c r="BY39" s="4438">
        <f t="shared" si="69"/>
        <v>0</v>
      </c>
      <c r="BZ39" s="4438">
        <f t="shared" si="70"/>
        <v>0</v>
      </c>
      <c r="CA39" s="4438">
        <f t="shared" si="71"/>
        <v>0</v>
      </c>
      <c r="CB39" s="4438">
        <f t="shared" si="72"/>
        <v>0</v>
      </c>
      <c r="CC39" s="4438">
        <f t="shared" si="73"/>
        <v>0</v>
      </c>
      <c r="CD39" s="4438">
        <f t="shared" si="74"/>
        <v>0</v>
      </c>
      <c r="CE39" s="4438">
        <f t="shared" si="75"/>
        <v>0</v>
      </c>
      <c r="CF39" s="4438">
        <f t="shared" si="76"/>
        <v>0</v>
      </c>
    </row>
    <row r="40" spans="1:84" ht="25.5">
      <c r="A40" s="2138"/>
      <c r="B40" s="2139">
        <v>2040206</v>
      </c>
      <c r="C40" s="2139" t="s">
        <v>1822</v>
      </c>
      <c r="D40" s="2113">
        <v>0.02</v>
      </c>
      <c r="E40" s="2142" t="s">
        <v>381</v>
      </c>
      <c r="F40" s="2105">
        <f t="shared" si="83"/>
        <v>0</v>
      </c>
      <c r="G40" s="4074">
        <f t="shared" si="84"/>
        <v>1</v>
      </c>
      <c r="H40" s="2104">
        <f t="shared" si="85"/>
        <v>10</v>
      </c>
      <c r="I40" s="2105">
        <f t="shared" si="86"/>
        <v>0</v>
      </c>
      <c r="J40" s="2106">
        <f t="shared" si="87"/>
        <v>0</v>
      </c>
      <c r="K40" s="2106">
        <f t="shared" si="88"/>
        <v>0</v>
      </c>
      <c r="L40" s="2106">
        <f t="shared" si="89"/>
        <v>0</v>
      </c>
      <c r="M40" s="2106">
        <f t="shared" si="90"/>
        <v>0</v>
      </c>
      <c r="N40" s="2141">
        <f t="shared" si="77"/>
        <v>0</v>
      </c>
      <c r="O40" s="4584">
        <v>0</v>
      </c>
      <c r="P40" s="4630">
        <v>1</v>
      </c>
      <c r="Q40" s="1254">
        <v>10</v>
      </c>
      <c r="R40" s="1255"/>
      <c r="S40" s="1256"/>
      <c r="T40" s="1256"/>
      <c r="U40" s="1256"/>
      <c r="V40" s="1256"/>
      <c r="W40" s="1253"/>
      <c r="X40" s="1255"/>
      <c r="Y40" s="1254"/>
      <c r="Z40" s="1255"/>
      <c r="AA40" s="1256"/>
      <c r="AB40" s="1256"/>
      <c r="AC40" s="1256"/>
      <c r="AD40" s="1256"/>
      <c r="AE40" s="1253"/>
      <c r="AF40" s="264"/>
      <c r="AG40" s="1254"/>
      <c r="AH40" s="1255"/>
      <c r="AI40" s="1256"/>
      <c r="AJ40" s="1256"/>
      <c r="AK40" s="1256"/>
      <c r="AL40" s="1257"/>
      <c r="AM40" s="1258" t="s">
        <v>1951</v>
      </c>
      <c r="AN40" s="1259" t="s">
        <v>1974</v>
      </c>
      <c r="AO40" s="2109" t="s">
        <v>676</v>
      </c>
      <c r="AP40" s="1255"/>
      <c r="AQ40" s="1255"/>
      <c r="AR40" s="1254"/>
      <c r="AS40" s="1255"/>
      <c r="AT40" s="1256"/>
      <c r="AU40" s="1256"/>
      <c r="AV40" s="1256"/>
      <c r="AW40" s="1254"/>
      <c r="AX40" s="2110" t="s">
        <v>366</v>
      </c>
      <c r="AY40" s="4422"/>
      <c r="AZ40" s="4438">
        <f t="shared" si="44"/>
        <v>0</v>
      </c>
      <c r="BA40" s="4438">
        <f t="shared" si="45"/>
        <v>0.51129188119621849</v>
      </c>
      <c r="BB40" s="4438">
        <f t="shared" si="46"/>
        <v>5.1129188119621851</v>
      </c>
      <c r="BC40" s="4438">
        <f t="shared" si="47"/>
        <v>0</v>
      </c>
      <c r="BD40" s="4438">
        <f t="shared" si="48"/>
        <v>0</v>
      </c>
      <c r="BE40" s="4438">
        <f t="shared" si="49"/>
        <v>0</v>
      </c>
      <c r="BF40" s="4438">
        <f t="shared" si="50"/>
        <v>0</v>
      </c>
      <c r="BG40" s="4438">
        <f t="shared" si="51"/>
        <v>0</v>
      </c>
      <c r="BH40" s="4438">
        <f t="shared" si="52"/>
        <v>0</v>
      </c>
      <c r="BI40" s="4438">
        <f t="shared" si="53"/>
        <v>0</v>
      </c>
      <c r="BJ40" s="4438">
        <f t="shared" si="54"/>
        <v>0.51129188119621849</v>
      </c>
      <c r="BK40" s="4438">
        <f t="shared" si="55"/>
        <v>5.1129188119621851</v>
      </c>
      <c r="BL40" s="4438">
        <f t="shared" si="56"/>
        <v>0</v>
      </c>
      <c r="BM40" s="4438">
        <f t="shared" si="57"/>
        <v>0</v>
      </c>
      <c r="BN40" s="4438">
        <f t="shared" si="58"/>
        <v>0</v>
      </c>
      <c r="BO40" s="4438">
        <f t="shared" si="59"/>
        <v>0</v>
      </c>
      <c r="BP40" s="4438">
        <f t="shared" si="60"/>
        <v>0</v>
      </c>
      <c r="BQ40" s="4438">
        <f t="shared" si="61"/>
        <v>0</v>
      </c>
      <c r="BR40" s="4438">
        <f t="shared" si="62"/>
        <v>0</v>
      </c>
      <c r="BS40" s="4438">
        <f t="shared" si="63"/>
        <v>0</v>
      </c>
      <c r="BT40" s="4438">
        <f t="shared" si="64"/>
        <v>0</v>
      </c>
      <c r="BU40" s="4438">
        <f t="shared" si="65"/>
        <v>0</v>
      </c>
      <c r="BV40" s="4438">
        <f t="shared" si="66"/>
        <v>0</v>
      </c>
      <c r="BW40" s="4438">
        <f t="shared" si="67"/>
        <v>0</v>
      </c>
      <c r="BX40" s="4438">
        <f t="shared" si="68"/>
        <v>0</v>
      </c>
      <c r="BY40" s="4438">
        <f t="shared" si="69"/>
        <v>0</v>
      </c>
      <c r="BZ40" s="4438">
        <f t="shared" si="70"/>
        <v>0</v>
      </c>
      <c r="CA40" s="4438">
        <f t="shared" si="71"/>
        <v>0</v>
      </c>
      <c r="CB40" s="4438">
        <f t="shared" si="72"/>
        <v>0</v>
      </c>
      <c r="CC40" s="4438">
        <f t="shared" si="73"/>
        <v>0</v>
      </c>
      <c r="CD40" s="4438">
        <f t="shared" si="74"/>
        <v>0</v>
      </c>
      <c r="CE40" s="4438">
        <f t="shared" si="75"/>
        <v>0</v>
      </c>
      <c r="CF40" s="4438">
        <f t="shared" si="76"/>
        <v>0</v>
      </c>
    </row>
    <row r="41" spans="1:84" ht="24">
      <c r="A41" s="2138"/>
      <c r="B41" s="2101">
        <v>2030503</v>
      </c>
      <c r="C41" s="2101" t="s">
        <v>1823</v>
      </c>
      <c r="D41" s="2102">
        <v>0.1</v>
      </c>
      <c r="E41" s="2142" t="s">
        <v>663</v>
      </c>
      <c r="F41" s="2105">
        <f t="shared" si="83"/>
        <v>1</v>
      </c>
      <c r="G41" s="4074">
        <f t="shared" si="84"/>
        <v>0</v>
      </c>
      <c r="H41" s="2104">
        <f t="shared" si="85"/>
        <v>2</v>
      </c>
      <c r="I41" s="2105">
        <f t="shared" si="86"/>
        <v>0</v>
      </c>
      <c r="J41" s="2106">
        <f t="shared" si="87"/>
        <v>0</v>
      </c>
      <c r="K41" s="2106">
        <f t="shared" si="88"/>
        <v>0</v>
      </c>
      <c r="L41" s="2106">
        <f t="shared" si="89"/>
        <v>0</v>
      </c>
      <c r="M41" s="2106">
        <f t="shared" si="90"/>
        <v>0</v>
      </c>
      <c r="N41" s="2141">
        <f t="shared" si="77"/>
        <v>0</v>
      </c>
      <c r="O41" s="4584">
        <v>1</v>
      </c>
      <c r="P41" s="4630">
        <v>0</v>
      </c>
      <c r="Q41" s="1254">
        <v>2</v>
      </c>
      <c r="R41" s="1255"/>
      <c r="S41" s="1256"/>
      <c r="T41" s="1256"/>
      <c r="U41" s="1256"/>
      <c r="V41" s="1256"/>
      <c r="W41" s="1253"/>
      <c r="X41" s="1255"/>
      <c r="Y41" s="1254"/>
      <c r="Z41" s="1255"/>
      <c r="AA41" s="1256"/>
      <c r="AB41" s="1256"/>
      <c r="AC41" s="1256"/>
      <c r="AD41" s="1256"/>
      <c r="AE41" s="1253"/>
      <c r="AF41" s="264"/>
      <c r="AG41" s="1254"/>
      <c r="AH41" s="1255"/>
      <c r="AI41" s="1256"/>
      <c r="AJ41" s="1256"/>
      <c r="AK41" s="1256"/>
      <c r="AL41" s="1257"/>
      <c r="AM41" s="1258" t="s">
        <v>313</v>
      </c>
      <c r="AN41" s="1259" t="s">
        <v>313</v>
      </c>
      <c r="AO41" s="2109" t="s">
        <v>676</v>
      </c>
      <c r="AP41" s="1255">
        <v>1</v>
      </c>
      <c r="AQ41" s="1255">
        <v>1</v>
      </c>
      <c r="AR41" s="1254"/>
      <c r="AS41" s="1255"/>
      <c r="AT41" s="1256"/>
      <c r="AU41" s="1256"/>
      <c r="AV41" s="1256"/>
      <c r="AW41" s="1254"/>
      <c r="AX41" s="2110" t="s">
        <v>371</v>
      </c>
      <c r="AY41" s="4422"/>
      <c r="AZ41" s="4438">
        <f t="shared" si="44"/>
        <v>0.51129188119621849</v>
      </c>
      <c r="BA41" s="4438">
        <f t="shared" si="45"/>
        <v>0</v>
      </c>
      <c r="BB41" s="4438">
        <f t="shared" si="46"/>
        <v>1.022583762392437</v>
      </c>
      <c r="BC41" s="4438">
        <f t="shared" si="47"/>
        <v>0</v>
      </c>
      <c r="BD41" s="4438">
        <f t="shared" si="48"/>
        <v>0</v>
      </c>
      <c r="BE41" s="4438">
        <f t="shared" si="49"/>
        <v>0</v>
      </c>
      <c r="BF41" s="4438">
        <f t="shared" si="50"/>
        <v>0</v>
      </c>
      <c r="BG41" s="4438">
        <f t="shared" si="51"/>
        <v>0</v>
      </c>
      <c r="BH41" s="4438">
        <f t="shared" si="52"/>
        <v>0</v>
      </c>
      <c r="BI41" s="4438">
        <f t="shared" si="53"/>
        <v>0.51129188119621849</v>
      </c>
      <c r="BJ41" s="4438">
        <f t="shared" si="54"/>
        <v>0</v>
      </c>
      <c r="BK41" s="4438">
        <f t="shared" si="55"/>
        <v>1.022583762392437</v>
      </c>
      <c r="BL41" s="4438">
        <f t="shared" si="56"/>
        <v>0</v>
      </c>
      <c r="BM41" s="4438">
        <f t="shared" si="57"/>
        <v>0</v>
      </c>
      <c r="BN41" s="4438">
        <f t="shared" si="58"/>
        <v>0</v>
      </c>
      <c r="BO41" s="4438">
        <f t="shared" si="59"/>
        <v>0</v>
      </c>
      <c r="BP41" s="4438">
        <f t="shared" si="60"/>
        <v>0</v>
      </c>
      <c r="BQ41" s="4438">
        <f t="shared" si="61"/>
        <v>0</v>
      </c>
      <c r="BR41" s="4438">
        <f t="shared" si="62"/>
        <v>0</v>
      </c>
      <c r="BS41" s="4438">
        <f t="shared" si="63"/>
        <v>0</v>
      </c>
      <c r="BT41" s="4438">
        <f t="shared" si="64"/>
        <v>0</v>
      </c>
      <c r="BU41" s="4438">
        <f t="shared" si="65"/>
        <v>0</v>
      </c>
      <c r="BV41" s="4438">
        <f t="shared" si="66"/>
        <v>0</v>
      </c>
      <c r="BW41" s="4438">
        <f t="shared" si="67"/>
        <v>0</v>
      </c>
      <c r="BX41" s="4438">
        <f t="shared" si="68"/>
        <v>0</v>
      </c>
      <c r="BY41" s="4438">
        <f t="shared" si="69"/>
        <v>0</v>
      </c>
      <c r="BZ41" s="4438">
        <f t="shared" si="70"/>
        <v>0</v>
      </c>
      <c r="CA41" s="4438">
        <f t="shared" si="71"/>
        <v>0</v>
      </c>
      <c r="CB41" s="4438">
        <f t="shared" si="72"/>
        <v>0</v>
      </c>
      <c r="CC41" s="4438">
        <f t="shared" si="73"/>
        <v>0</v>
      </c>
      <c r="CD41" s="4438">
        <f t="shared" si="74"/>
        <v>0</v>
      </c>
      <c r="CE41" s="4438">
        <f t="shared" si="75"/>
        <v>0</v>
      </c>
      <c r="CF41" s="4438">
        <f t="shared" si="76"/>
        <v>0</v>
      </c>
    </row>
    <row r="42" spans="1:84" ht="24">
      <c r="A42" s="2138"/>
      <c r="B42" s="2101">
        <v>215</v>
      </c>
      <c r="C42" s="2101" t="s">
        <v>1824</v>
      </c>
      <c r="D42" s="2111">
        <v>0.2</v>
      </c>
      <c r="E42" s="2142" t="s">
        <v>382</v>
      </c>
      <c r="F42" s="2105">
        <f t="shared" si="83"/>
        <v>0</v>
      </c>
      <c r="G42" s="4074">
        <f t="shared" si="84"/>
        <v>26</v>
      </c>
      <c r="H42" s="2104">
        <f t="shared" si="85"/>
        <v>20</v>
      </c>
      <c r="I42" s="2105">
        <f t="shared" si="86"/>
        <v>0</v>
      </c>
      <c r="J42" s="2106">
        <f t="shared" si="87"/>
        <v>0</v>
      </c>
      <c r="K42" s="2106">
        <f t="shared" si="88"/>
        <v>0</v>
      </c>
      <c r="L42" s="2106">
        <f t="shared" si="89"/>
        <v>0</v>
      </c>
      <c r="M42" s="2106">
        <f t="shared" si="90"/>
        <v>0</v>
      </c>
      <c r="N42" s="2141">
        <f t="shared" si="77"/>
        <v>0</v>
      </c>
      <c r="O42" s="4584">
        <v>0</v>
      </c>
      <c r="P42" s="4630">
        <v>13</v>
      </c>
      <c r="Q42" s="1254">
        <v>20</v>
      </c>
      <c r="R42" s="1255"/>
      <c r="S42" s="1256"/>
      <c r="T42" s="1256"/>
      <c r="U42" s="1256"/>
      <c r="V42" s="1256"/>
      <c r="W42" s="1253"/>
      <c r="X42" s="1255"/>
      <c r="Y42" s="1254"/>
      <c r="Z42" s="1255"/>
      <c r="AA42" s="1256"/>
      <c r="AB42" s="1256"/>
      <c r="AC42" s="1256"/>
      <c r="AD42" s="1256"/>
      <c r="AE42" s="1253"/>
      <c r="AF42" s="4584">
        <v>13</v>
      </c>
      <c r="AG42" s="1254"/>
      <c r="AH42" s="1255"/>
      <c r="AI42" s="1256"/>
      <c r="AJ42" s="1256"/>
      <c r="AK42" s="1256"/>
      <c r="AL42" s="1257"/>
      <c r="AM42" s="1258" t="s">
        <v>1951</v>
      </c>
      <c r="AN42" s="1260" t="s">
        <v>1975</v>
      </c>
      <c r="AO42" s="2116" t="s">
        <v>313</v>
      </c>
      <c r="AP42" s="2143"/>
      <c r="AQ42" s="2143"/>
      <c r="AR42" s="2144"/>
      <c r="AS42" s="2145"/>
      <c r="AT42" s="2146"/>
      <c r="AU42" s="2146"/>
      <c r="AV42" s="2146"/>
      <c r="AW42" s="2147"/>
      <c r="AX42" s="2110" t="s">
        <v>370</v>
      </c>
      <c r="AY42" s="4422"/>
      <c r="AZ42" s="4438">
        <f t="shared" si="44"/>
        <v>0</v>
      </c>
      <c r="BA42" s="4438">
        <f t="shared" si="45"/>
        <v>13.293588911101681</v>
      </c>
      <c r="BB42" s="4438">
        <f t="shared" si="46"/>
        <v>10.22583762392437</v>
      </c>
      <c r="BC42" s="4438">
        <f t="shared" si="47"/>
        <v>0</v>
      </c>
      <c r="BD42" s="4438">
        <f t="shared" si="48"/>
        <v>0</v>
      </c>
      <c r="BE42" s="4438">
        <f t="shared" si="49"/>
        <v>0</v>
      </c>
      <c r="BF42" s="4438">
        <f t="shared" si="50"/>
        <v>0</v>
      </c>
      <c r="BG42" s="4438">
        <f t="shared" si="51"/>
        <v>0</v>
      </c>
      <c r="BH42" s="4438">
        <f t="shared" si="52"/>
        <v>0</v>
      </c>
      <c r="BI42" s="4438">
        <f t="shared" si="53"/>
        <v>0</v>
      </c>
      <c r="BJ42" s="4438">
        <f t="shared" si="54"/>
        <v>6.6467944555508405</v>
      </c>
      <c r="BK42" s="4438">
        <f t="shared" si="55"/>
        <v>10.22583762392437</v>
      </c>
      <c r="BL42" s="4438">
        <f t="shared" si="56"/>
        <v>0</v>
      </c>
      <c r="BM42" s="4438">
        <f t="shared" si="57"/>
        <v>0</v>
      </c>
      <c r="BN42" s="4438">
        <f t="shared" si="58"/>
        <v>0</v>
      </c>
      <c r="BO42" s="4438">
        <f t="shared" si="59"/>
        <v>0</v>
      </c>
      <c r="BP42" s="4438">
        <f t="shared" si="60"/>
        <v>0</v>
      </c>
      <c r="BQ42" s="4438">
        <f t="shared" si="61"/>
        <v>0</v>
      </c>
      <c r="BR42" s="4438">
        <f t="shared" si="62"/>
        <v>0</v>
      </c>
      <c r="BS42" s="4438">
        <f t="shared" si="63"/>
        <v>0</v>
      </c>
      <c r="BT42" s="4438">
        <f t="shared" si="64"/>
        <v>0</v>
      </c>
      <c r="BU42" s="4438">
        <f t="shared" si="65"/>
        <v>0</v>
      </c>
      <c r="BV42" s="4438">
        <f t="shared" si="66"/>
        <v>0</v>
      </c>
      <c r="BW42" s="4438">
        <f t="shared" si="67"/>
        <v>0</v>
      </c>
      <c r="BX42" s="4438">
        <f t="shared" si="68"/>
        <v>0</v>
      </c>
      <c r="BY42" s="4438">
        <f t="shared" si="69"/>
        <v>0</v>
      </c>
      <c r="BZ42" s="4438">
        <f t="shared" si="70"/>
        <v>6.6467944555508405</v>
      </c>
      <c r="CA42" s="4438">
        <f t="shared" si="71"/>
        <v>0</v>
      </c>
      <c r="CB42" s="4438">
        <f t="shared" si="72"/>
        <v>0</v>
      </c>
      <c r="CC42" s="4438">
        <f t="shared" si="73"/>
        <v>0</v>
      </c>
      <c r="CD42" s="4438">
        <f t="shared" si="74"/>
        <v>0</v>
      </c>
      <c r="CE42" s="4438">
        <f t="shared" si="75"/>
        <v>0</v>
      </c>
      <c r="CF42" s="4438">
        <f t="shared" si="76"/>
        <v>0</v>
      </c>
    </row>
    <row r="43" spans="1:84" ht="24">
      <c r="A43" s="2148"/>
      <c r="B43" s="2139">
        <v>20502</v>
      </c>
      <c r="C43" s="2139" t="s">
        <v>1825</v>
      </c>
      <c r="D43" s="2113">
        <v>0.1</v>
      </c>
      <c r="E43" s="2142" t="s">
        <v>383</v>
      </c>
      <c r="F43" s="2105">
        <f t="shared" si="83"/>
        <v>0</v>
      </c>
      <c r="G43" s="4074">
        <f t="shared" si="84"/>
        <v>0</v>
      </c>
      <c r="H43" s="2104">
        <f t="shared" si="85"/>
        <v>10</v>
      </c>
      <c r="I43" s="2105">
        <f t="shared" si="86"/>
        <v>0</v>
      </c>
      <c r="J43" s="2106">
        <f t="shared" si="87"/>
        <v>0</v>
      </c>
      <c r="K43" s="2106">
        <f t="shared" si="88"/>
        <v>0</v>
      </c>
      <c r="L43" s="2106">
        <f t="shared" si="89"/>
        <v>0</v>
      </c>
      <c r="M43" s="2106">
        <f t="shared" si="90"/>
        <v>0</v>
      </c>
      <c r="N43" s="2141">
        <f t="shared" si="77"/>
        <v>0</v>
      </c>
      <c r="O43" s="4584">
        <v>0</v>
      </c>
      <c r="P43" s="4630">
        <v>0</v>
      </c>
      <c r="Q43" s="1254">
        <v>10</v>
      </c>
      <c r="R43" s="1255"/>
      <c r="S43" s="1256"/>
      <c r="T43" s="1256"/>
      <c r="U43" s="1256"/>
      <c r="V43" s="1256"/>
      <c r="W43" s="1253"/>
      <c r="X43" s="1255"/>
      <c r="Y43" s="1254"/>
      <c r="Z43" s="1255"/>
      <c r="AA43" s="1256"/>
      <c r="AB43" s="1256"/>
      <c r="AC43" s="1256"/>
      <c r="AD43" s="1256"/>
      <c r="AE43" s="1253"/>
      <c r="AF43" s="264"/>
      <c r="AG43" s="1254"/>
      <c r="AH43" s="1255"/>
      <c r="AI43" s="1256"/>
      <c r="AJ43" s="1256"/>
      <c r="AK43" s="1256"/>
      <c r="AL43" s="1257"/>
      <c r="AM43" s="1258" t="s">
        <v>313</v>
      </c>
      <c r="AN43" s="1260" t="s">
        <v>313</v>
      </c>
      <c r="AO43" s="2109" t="s">
        <v>676</v>
      </c>
      <c r="AP43" s="1255"/>
      <c r="AQ43" s="1255"/>
      <c r="AR43" s="1254"/>
      <c r="AS43" s="1255"/>
      <c r="AT43" s="1256"/>
      <c r="AU43" s="1256"/>
      <c r="AV43" s="1256"/>
      <c r="AW43" s="1254"/>
      <c r="AX43" s="2110" t="s">
        <v>375</v>
      </c>
      <c r="AY43" s="4422"/>
      <c r="AZ43" s="4438">
        <f t="shared" si="44"/>
        <v>0</v>
      </c>
      <c r="BA43" s="4438">
        <f t="shared" si="45"/>
        <v>0</v>
      </c>
      <c r="BB43" s="4438">
        <f t="shared" si="46"/>
        <v>5.1129188119621851</v>
      </c>
      <c r="BC43" s="4438">
        <f t="shared" si="47"/>
        <v>0</v>
      </c>
      <c r="BD43" s="4438">
        <f t="shared" si="48"/>
        <v>0</v>
      </c>
      <c r="BE43" s="4438">
        <f t="shared" si="49"/>
        <v>0</v>
      </c>
      <c r="BF43" s="4438">
        <f t="shared" si="50"/>
        <v>0</v>
      </c>
      <c r="BG43" s="4438">
        <f t="shared" si="51"/>
        <v>0</v>
      </c>
      <c r="BH43" s="4438">
        <f t="shared" si="52"/>
        <v>0</v>
      </c>
      <c r="BI43" s="4438">
        <f t="shared" si="53"/>
        <v>0</v>
      </c>
      <c r="BJ43" s="4438">
        <f t="shared" si="54"/>
        <v>0</v>
      </c>
      <c r="BK43" s="4438">
        <f t="shared" si="55"/>
        <v>5.1129188119621851</v>
      </c>
      <c r="BL43" s="4438">
        <f t="shared" si="56"/>
        <v>0</v>
      </c>
      <c r="BM43" s="4438">
        <f t="shared" si="57"/>
        <v>0</v>
      </c>
      <c r="BN43" s="4438">
        <f t="shared" si="58"/>
        <v>0</v>
      </c>
      <c r="BO43" s="4438">
        <f t="shared" si="59"/>
        <v>0</v>
      </c>
      <c r="BP43" s="4438">
        <f t="shared" si="60"/>
        <v>0</v>
      </c>
      <c r="BQ43" s="4438">
        <f t="shared" si="61"/>
        <v>0</v>
      </c>
      <c r="BR43" s="4438">
        <f t="shared" si="62"/>
        <v>0</v>
      </c>
      <c r="BS43" s="4438">
        <f t="shared" si="63"/>
        <v>0</v>
      </c>
      <c r="BT43" s="4438">
        <f t="shared" si="64"/>
        <v>0</v>
      </c>
      <c r="BU43" s="4438">
        <f t="shared" si="65"/>
        <v>0</v>
      </c>
      <c r="BV43" s="4438">
        <f t="shared" si="66"/>
        <v>0</v>
      </c>
      <c r="BW43" s="4438">
        <f t="shared" si="67"/>
        <v>0</v>
      </c>
      <c r="BX43" s="4438">
        <f t="shared" si="68"/>
        <v>0</v>
      </c>
      <c r="BY43" s="4438">
        <f t="shared" si="69"/>
        <v>0</v>
      </c>
      <c r="BZ43" s="4438">
        <f t="shared" si="70"/>
        <v>0</v>
      </c>
      <c r="CA43" s="4438">
        <f t="shared" si="71"/>
        <v>0</v>
      </c>
      <c r="CB43" s="4438">
        <f t="shared" si="72"/>
        <v>0</v>
      </c>
      <c r="CC43" s="4438">
        <f t="shared" si="73"/>
        <v>0</v>
      </c>
      <c r="CD43" s="4438">
        <f t="shared" si="74"/>
        <v>0</v>
      </c>
      <c r="CE43" s="4438">
        <f t="shared" si="75"/>
        <v>0</v>
      </c>
      <c r="CF43" s="4438">
        <f t="shared" si="76"/>
        <v>0</v>
      </c>
    </row>
    <row r="44" spans="1:84" ht="24">
      <c r="A44" s="2148"/>
      <c r="B44" s="2139">
        <v>20501</v>
      </c>
      <c r="C44" s="2139" t="s">
        <v>1826</v>
      </c>
      <c r="D44" s="2113">
        <v>0.08</v>
      </c>
      <c r="E44" s="2142" t="s">
        <v>384</v>
      </c>
      <c r="F44" s="2105">
        <f t="shared" si="83"/>
        <v>3</v>
      </c>
      <c r="G44" s="4074">
        <f t="shared" si="84"/>
        <v>0</v>
      </c>
      <c r="H44" s="2104">
        <f t="shared" si="85"/>
        <v>0</v>
      </c>
      <c r="I44" s="2105">
        <f t="shared" si="86"/>
        <v>0</v>
      </c>
      <c r="J44" s="2106">
        <f t="shared" si="87"/>
        <v>0</v>
      </c>
      <c r="K44" s="2106">
        <f t="shared" si="88"/>
        <v>0</v>
      </c>
      <c r="L44" s="2106">
        <f t="shared" si="89"/>
        <v>0</v>
      </c>
      <c r="M44" s="2106">
        <f t="shared" si="90"/>
        <v>0</v>
      </c>
      <c r="N44" s="2141">
        <f t="shared" si="77"/>
        <v>0</v>
      </c>
      <c r="O44" s="4584">
        <v>3</v>
      </c>
      <c r="P44" s="4630">
        <v>0</v>
      </c>
      <c r="Q44" s="1254">
        <v>0</v>
      </c>
      <c r="R44" s="1255"/>
      <c r="S44" s="1256"/>
      <c r="T44" s="1256"/>
      <c r="U44" s="1256"/>
      <c r="V44" s="1256"/>
      <c r="W44" s="1253"/>
      <c r="X44" s="1255"/>
      <c r="Y44" s="1254"/>
      <c r="Z44" s="1255"/>
      <c r="AA44" s="1256"/>
      <c r="AB44" s="1256"/>
      <c r="AC44" s="1256"/>
      <c r="AD44" s="1256"/>
      <c r="AE44" s="1253"/>
      <c r="AF44" s="264"/>
      <c r="AG44" s="1254"/>
      <c r="AH44" s="1255"/>
      <c r="AI44" s="1256"/>
      <c r="AJ44" s="1256"/>
      <c r="AK44" s="1256"/>
      <c r="AL44" s="1257"/>
      <c r="AM44" s="1258" t="s">
        <v>313</v>
      </c>
      <c r="AN44" s="1260" t="s">
        <v>313</v>
      </c>
      <c r="AO44" s="2109" t="s">
        <v>676</v>
      </c>
      <c r="AP44" s="1255"/>
      <c r="AQ44" s="1255"/>
      <c r="AR44" s="1254"/>
      <c r="AS44" s="1255"/>
      <c r="AT44" s="1256"/>
      <c r="AU44" s="1256"/>
      <c r="AV44" s="1256"/>
      <c r="AW44" s="1254"/>
      <c r="AX44" s="2110" t="s">
        <v>375</v>
      </c>
      <c r="AY44" s="4422"/>
      <c r="AZ44" s="4438">
        <f t="shared" si="44"/>
        <v>1.5338756435886556</v>
      </c>
      <c r="BA44" s="4438">
        <f t="shared" si="45"/>
        <v>0</v>
      </c>
      <c r="BB44" s="4438">
        <f t="shared" si="46"/>
        <v>0</v>
      </c>
      <c r="BC44" s="4438">
        <f t="shared" si="47"/>
        <v>0</v>
      </c>
      <c r="BD44" s="4438">
        <f t="shared" si="48"/>
        <v>0</v>
      </c>
      <c r="BE44" s="4438">
        <f t="shared" si="49"/>
        <v>0</v>
      </c>
      <c r="BF44" s="4438">
        <f t="shared" si="50"/>
        <v>0</v>
      </c>
      <c r="BG44" s="4438">
        <f t="shared" si="51"/>
        <v>0</v>
      </c>
      <c r="BH44" s="4438">
        <f t="shared" si="52"/>
        <v>0</v>
      </c>
      <c r="BI44" s="4438">
        <f t="shared" si="53"/>
        <v>1.5338756435886556</v>
      </c>
      <c r="BJ44" s="4438">
        <f t="shared" si="54"/>
        <v>0</v>
      </c>
      <c r="BK44" s="4438">
        <f t="shared" si="55"/>
        <v>0</v>
      </c>
      <c r="BL44" s="4438">
        <f t="shared" si="56"/>
        <v>0</v>
      </c>
      <c r="BM44" s="4438">
        <f t="shared" si="57"/>
        <v>0</v>
      </c>
      <c r="BN44" s="4438">
        <f t="shared" si="58"/>
        <v>0</v>
      </c>
      <c r="BO44" s="4438">
        <f t="shared" si="59"/>
        <v>0</v>
      </c>
      <c r="BP44" s="4438">
        <f t="shared" si="60"/>
        <v>0</v>
      </c>
      <c r="BQ44" s="4438">
        <f t="shared" si="61"/>
        <v>0</v>
      </c>
      <c r="BR44" s="4438">
        <f t="shared" si="62"/>
        <v>0</v>
      </c>
      <c r="BS44" s="4438">
        <f t="shared" si="63"/>
        <v>0</v>
      </c>
      <c r="BT44" s="4438">
        <f t="shared" si="64"/>
        <v>0</v>
      </c>
      <c r="BU44" s="4438">
        <f t="shared" si="65"/>
        <v>0</v>
      </c>
      <c r="BV44" s="4438">
        <f t="shared" si="66"/>
        <v>0</v>
      </c>
      <c r="BW44" s="4438">
        <f t="shared" si="67"/>
        <v>0</v>
      </c>
      <c r="BX44" s="4438">
        <f t="shared" si="68"/>
        <v>0</v>
      </c>
      <c r="BY44" s="4438">
        <f t="shared" si="69"/>
        <v>0</v>
      </c>
      <c r="BZ44" s="4438">
        <f t="shared" si="70"/>
        <v>0</v>
      </c>
      <c r="CA44" s="4438">
        <f t="shared" si="71"/>
        <v>0</v>
      </c>
      <c r="CB44" s="4438">
        <f t="shared" si="72"/>
        <v>0</v>
      </c>
      <c r="CC44" s="4438">
        <f t="shared" si="73"/>
        <v>0</v>
      </c>
      <c r="CD44" s="4438">
        <f t="shared" si="74"/>
        <v>0</v>
      </c>
      <c r="CE44" s="4438">
        <f t="shared" si="75"/>
        <v>0</v>
      </c>
      <c r="CF44" s="4438">
        <f t="shared" si="76"/>
        <v>0</v>
      </c>
    </row>
    <row r="45" spans="1:84">
      <c r="A45" s="2148"/>
      <c r="B45" s="2139">
        <v>20503</v>
      </c>
      <c r="C45" s="2139" t="s">
        <v>1752</v>
      </c>
      <c r="D45" s="2113">
        <v>0.1</v>
      </c>
      <c r="E45" s="2142" t="s">
        <v>672</v>
      </c>
      <c r="F45" s="2105">
        <f t="shared" si="83"/>
        <v>0</v>
      </c>
      <c r="G45" s="4074">
        <f t="shared" si="84"/>
        <v>0</v>
      </c>
      <c r="H45" s="2104">
        <f t="shared" si="85"/>
        <v>0</v>
      </c>
      <c r="I45" s="2105">
        <f t="shared" si="86"/>
        <v>0</v>
      </c>
      <c r="J45" s="2106">
        <f t="shared" si="87"/>
        <v>0</v>
      </c>
      <c r="K45" s="2106">
        <f t="shared" si="88"/>
        <v>0</v>
      </c>
      <c r="L45" s="2106">
        <f t="shared" si="89"/>
        <v>0</v>
      </c>
      <c r="M45" s="2106">
        <f t="shared" si="90"/>
        <v>0</v>
      </c>
      <c r="N45" s="2141">
        <f t="shared" si="77"/>
        <v>0</v>
      </c>
      <c r="O45" s="4584">
        <v>0</v>
      </c>
      <c r="P45" s="4630">
        <v>0</v>
      </c>
      <c r="Q45" s="1254">
        <v>0</v>
      </c>
      <c r="R45" s="1255"/>
      <c r="S45" s="1256"/>
      <c r="T45" s="1256"/>
      <c r="U45" s="1256"/>
      <c r="V45" s="1256"/>
      <c r="W45" s="1253"/>
      <c r="X45" s="1255"/>
      <c r="Y45" s="1254"/>
      <c r="Z45" s="1255"/>
      <c r="AA45" s="1256"/>
      <c r="AB45" s="1256"/>
      <c r="AC45" s="1256"/>
      <c r="AD45" s="1256"/>
      <c r="AE45" s="1253"/>
      <c r="AF45" s="264"/>
      <c r="AG45" s="1254"/>
      <c r="AH45" s="1255"/>
      <c r="AI45" s="1256"/>
      <c r="AJ45" s="1256"/>
      <c r="AK45" s="1256"/>
      <c r="AL45" s="1257"/>
      <c r="AM45" s="1258" t="s">
        <v>313</v>
      </c>
      <c r="AN45" s="1260" t="s">
        <v>313</v>
      </c>
      <c r="AO45" s="2109" t="s">
        <v>676</v>
      </c>
      <c r="AP45" s="1255"/>
      <c r="AQ45" s="1255"/>
      <c r="AR45" s="1254"/>
      <c r="AS45" s="1255"/>
      <c r="AT45" s="1256"/>
      <c r="AU45" s="1256"/>
      <c r="AV45" s="1256"/>
      <c r="AW45" s="1254"/>
      <c r="AX45" s="2110" t="s">
        <v>375</v>
      </c>
      <c r="AY45" s="4422"/>
      <c r="AZ45" s="4438">
        <f t="shared" si="44"/>
        <v>0</v>
      </c>
      <c r="BA45" s="4438">
        <f t="shared" si="45"/>
        <v>0</v>
      </c>
      <c r="BB45" s="4438">
        <f t="shared" si="46"/>
        <v>0</v>
      </c>
      <c r="BC45" s="4438">
        <f t="shared" si="47"/>
        <v>0</v>
      </c>
      <c r="BD45" s="4438">
        <f t="shared" si="48"/>
        <v>0</v>
      </c>
      <c r="BE45" s="4438">
        <f t="shared" si="49"/>
        <v>0</v>
      </c>
      <c r="BF45" s="4438">
        <f t="shared" si="50"/>
        <v>0</v>
      </c>
      <c r="BG45" s="4438">
        <f t="shared" si="51"/>
        <v>0</v>
      </c>
      <c r="BH45" s="4438">
        <f t="shared" si="52"/>
        <v>0</v>
      </c>
      <c r="BI45" s="4438">
        <f t="shared" si="53"/>
        <v>0</v>
      </c>
      <c r="BJ45" s="4438">
        <f t="shared" si="54"/>
        <v>0</v>
      </c>
      <c r="BK45" s="4438">
        <f t="shared" si="55"/>
        <v>0</v>
      </c>
      <c r="BL45" s="4438">
        <f t="shared" si="56"/>
        <v>0</v>
      </c>
      <c r="BM45" s="4438">
        <f t="shared" si="57"/>
        <v>0</v>
      </c>
      <c r="BN45" s="4438">
        <f t="shared" si="58"/>
        <v>0</v>
      </c>
      <c r="BO45" s="4438">
        <f t="shared" si="59"/>
        <v>0</v>
      </c>
      <c r="BP45" s="4438">
        <f t="shared" si="60"/>
        <v>0</v>
      </c>
      <c r="BQ45" s="4438">
        <f t="shared" si="61"/>
        <v>0</v>
      </c>
      <c r="BR45" s="4438">
        <f t="shared" si="62"/>
        <v>0</v>
      </c>
      <c r="BS45" s="4438">
        <f t="shared" si="63"/>
        <v>0</v>
      </c>
      <c r="BT45" s="4438">
        <f t="shared" si="64"/>
        <v>0</v>
      </c>
      <c r="BU45" s="4438">
        <f t="shared" si="65"/>
        <v>0</v>
      </c>
      <c r="BV45" s="4438">
        <f t="shared" si="66"/>
        <v>0</v>
      </c>
      <c r="BW45" s="4438">
        <f t="shared" si="67"/>
        <v>0</v>
      </c>
      <c r="BX45" s="4438">
        <f t="shared" si="68"/>
        <v>0</v>
      </c>
      <c r="BY45" s="4438">
        <f t="shared" si="69"/>
        <v>0</v>
      </c>
      <c r="BZ45" s="4438">
        <f t="shared" si="70"/>
        <v>0</v>
      </c>
      <c r="CA45" s="4438">
        <f t="shared" si="71"/>
        <v>0</v>
      </c>
      <c r="CB45" s="4438">
        <f t="shared" si="72"/>
        <v>0</v>
      </c>
      <c r="CC45" s="4438">
        <f t="shared" si="73"/>
        <v>0</v>
      </c>
      <c r="CD45" s="4438">
        <f t="shared" si="74"/>
        <v>0</v>
      </c>
      <c r="CE45" s="4438">
        <f t="shared" si="75"/>
        <v>0</v>
      </c>
      <c r="CF45" s="4438">
        <f t="shared" si="76"/>
        <v>0</v>
      </c>
    </row>
    <row r="46" spans="1:84" ht="24">
      <c r="A46" s="2148"/>
      <c r="B46" s="2139">
        <v>20303</v>
      </c>
      <c r="C46" s="2139" t="s">
        <v>1827</v>
      </c>
      <c r="D46" s="2102">
        <v>0.1</v>
      </c>
      <c r="E46" s="2140" t="s">
        <v>656</v>
      </c>
      <c r="F46" s="2105">
        <f t="shared" si="83"/>
        <v>0</v>
      </c>
      <c r="G46" s="4074">
        <f t="shared" si="84"/>
        <v>0</v>
      </c>
      <c r="H46" s="2104">
        <f t="shared" si="85"/>
        <v>200</v>
      </c>
      <c r="I46" s="2105">
        <f t="shared" si="86"/>
        <v>0</v>
      </c>
      <c r="J46" s="2106">
        <f t="shared" si="87"/>
        <v>0</v>
      </c>
      <c r="K46" s="2106">
        <f t="shared" si="88"/>
        <v>0</v>
      </c>
      <c r="L46" s="2106">
        <f t="shared" si="89"/>
        <v>0</v>
      </c>
      <c r="M46" s="2106">
        <f t="shared" si="90"/>
        <v>0</v>
      </c>
      <c r="N46" s="2141">
        <f t="shared" si="77"/>
        <v>0</v>
      </c>
      <c r="O46" s="4584">
        <v>0</v>
      </c>
      <c r="P46" s="4630">
        <v>0</v>
      </c>
      <c r="Q46" s="1254">
        <v>200</v>
      </c>
      <c r="R46" s="1255"/>
      <c r="S46" s="1256"/>
      <c r="T46" s="1256"/>
      <c r="U46" s="1256"/>
      <c r="V46" s="1256">
        <v>0</v>
      </c>
      <c r="W46" s="1253"/>
      <c r="X46" s="1255"/>
      <c r="Y46" s="1254"/>
      <c r="Z46" s="1255"/>
      <c r="AA46" s="1256"/>
      <c r="AB46" s="1256"/>
      <c r="AC46" s="1256"/>
      <c r="AD46" s="1256"/>
      <c r="AE46" s="1253"/>
      <c r="AF46" s="264"/>
      <c r="AG46" s="1254"/>
      <c r="AH46" s="1255"/>
      <c r="AI46" s="1256"/>
      <c r="AJ46" s="1256"/>
      <c r="AK46" s="1256"/>
      <c r="AL46" s="1257"/>
      <c r="AM46" s="1258" t="s">
        <v>313</v>
      </c>
      <c r="AN46" s="1260" t="s">
        <v>313</v>
      </c>
      <c r="AO46" s="2109" t="s">
        <v>676</v>
      </c>
      <c r="AP46" s="1255"/>
      <c r="AQ46" s="1255"/>
      <c r="AR46" s="1254"/>
      <c r="AS46" s="1255"/>
      <c r="AT46" s="1256"/>
      <c r="AU46" s="1256"/>
      <c r="AV46" s="1256"/>
      <c r="AW46" s="1254"/>
      <c r="AX46" s="2115" t="s">
        <v>1025</v>
      </c>
      <c r="AY46" s="4422"/>
      <c r="AZ46" s="4438">
        <f t="shared" si="44"/>
        <v>0</v>
      </c>
      <c r="BA46" s="4438">
        <f t="shared" si="45"/>
        <v>0</v>
      </c>
      <c r="BB46" s="4438">
        <f t="shared" si="46"/>
        <v>102.2583762392437</v>
      </c>
      <c r="BC46" s="4438">
        <f t="shared" si="47"/>
        <v>0</v>
      </c>
      <c r="BD46" s="4438">
        <f t="shared" si="48"/>
        <v>0</v>
      </c>
      <c r="BE46" s="4438">
        <f t="shared" si="49"/>
        <v>0</v>
      </c>
      <c r="BF46" s="4438">
        <f t="shared" si="50"/>
        <v>0</v>
      </c>
      <c r="BG46" s="4438">
        <f t="shared" si="51"/>
        <v>0</v>
      </c>
      <c r="BH46" s="4438">
        <f t="shared" si="52"/>
        <v>0</v>
      </c>
      <c r="BI46" s="4438">
        <f t="shared" si="53"/>
        <v>0</v>
      </c>
      <c r="BJ46" s="4438">
        <f t="shared" si="54"/>
        <v>0</v>
      </c>
      <c r="BK46" s="4438">
        <f t="shared" si="55"/>
        <v>102.2583762392437</v>
      </c>
      <c r="BL46" s="4438">
        <f t="shared" si="56"/>
        <v>0</v>
      </c>
      <c r="BM46" s="4438">
        <f t="shared" si="57"/>
        <v>0</v>
      </c>
      <c r="BN46" s="4438">
        <f t="shared" si="58"/>
        <v>0</v>
      </c>
      <c r="BO46" s="4438">
        <f t="shared" si="59"/>
        <v>0</v>
      </c>
      <c r="BP46" s="4438">
        <f t="shared" si="60"/>
        <v>0</v>
      </c>
      <c r="BQ46" s="4438">
        <f t="shared" si="61"/>
        <v>0</v>
      </c>
      <c r="BR46" s="4438">
        <f t="shared" si="62"/>
        <v>0</v>
      </c>
      <c r="BS46" s="4438">
        <f t="shared" si="63"/>
        <v>0</v>
      </c>
      <c r="BT46" s="4438">
        <f t="shared" si="64"/>
        <v>0</v>
      </c>
      <c r="BU46" s="4438">
        <f t="shared" si="65"/>
        <v>0</v>
      </c>
      <c r="BV46" s="4438">
        <f t="shared" si="66"/>
        <v>0</v>
      </c>
      <c r="BW46" s="4438">
        <f t="shared" si="67"/>
        <v>0</v>
      </c>
      <c r="BX46" s="4438">
        <f t="shared" si="68"/>
        <v>0</v>
      </c>
      <c r="BY46" s="4438">
        <f t="shared" si="69"/>
        <v>0</v>
      </c>
      <c r="BZ46" s="4438">
        <f t="shared" si="70"/>
        <v>0</v>
      </c>
      <c r="CA46" s="4438">
        <f t="shared" si="71"/>
        <v>0</v>
      </c>
      <c r="CB46" s="4438">
        <f t="shared" si="72"/>
        <v>0</v>
      </c>
      <c r="CC46" s="4438">
        <f t="shared" si="73"/>
        <v>0</v>
      </c>
      <c r="CD46" s="4438">
        <f t="shared" si="74"/>
        <v>0</v>
      </c>
      <c r="CE46" s="4438">
        <f t="shared" si="75"/>
        <v>0</v>
      </c>
      <c r="CF46" s="4438">
        <f t="shared" si="76"/>
        <v>0</v>
      </c>
    </row>
    <row r="47" spans="1:84" ht="24.75" thickBot="1">
      <c r="A47" s="3810"/>
      <c r="B47" s="3811">
        <v>20306</v>
      </c>
      <c r="C47" s="3811" t="s">
        <v>1828</v>
      </c>
      <c r="D47" s="3800">
        <v>0.1</v>
      </c>
      <c r="E47" s="3812" t="s">
        <v>711</v>
      </c>
      <c r="F47" s="3803">
        <f t="shared" si="83"/>
        <v>0</v>
      </c>
      <c r="G47" s="4075">
        <f t="shared" si="84"/>
        <v>0</v>
      </c>
      <c r="H47" s="3802">
        <f t="shared" si="85"/>
        <v>0</v>
      </c>
      <c r="I47" s="3803">
        <f t="shared" si="86"/>
        <v>4</v>
      </c>
      <c r="J47" s="3804">
        <f t="shared" si="87"/>
        <v>0</v>
      </c>
      <c r="K47" s="3804">
        <f t="shared" si="88"/>
        <v>0</v>
      </c>
      <c r="L47" s="3804">
        <f t="shared" si="89"/>
        <v>0</v>
      </c>
      <c r="M47" s="3804">
        <f t="shared" si="90"/>
        <v>0</v>
      </c>
      <c r="N47" s="2318">
        <f t="shared" si="77"/>
        <v>4</v>
      </c>
      <c r="O47" s="4584">
        <v>0</v>
      </c>
      <c r="P47" s="4631">
        <v>0</v>
      </c>
      <c r="Q47" s="1276">
        <v>0</v>
      </c>
      <c r="R47" s="1277">
        <v>4</v>
      </c>
      <c r="S47" s="3806"/>
      <c r="T47" s="3806"/>
      <c r="U47" s="3806"/>
      <c r="V47" s="3806"/>
      <c r="W47" s="1275"/>
      <c r="X47" s="1277"/>
      <c r="Y47" s="1276"/>
      <c r="Z47" s="1277"/>
      <c r="AA47" s="3806"/>
      <c r="AB47" s="3806"/>
      <c r="AC47" s="3806"/>
      <c r="AD47" s="3806"/>
      <c r="AE47" s="1275"/>
      <c r="AF47" s="264"/>
      <c r="AG47" s="1276"/>
      <c r="AH47" s="1277"/>
      <c r="AI47" s="3806"/>
      <c r="AJ47" s="3806"/>
      <c r="AK47" s="3806"/>
      <c r="AL47" s="3807"/>
      <c r="AM47" s="1258" t="s">
        <v>1951</v>
      </c>
      <c r="AN47" s="1274" t="s">
        <v>1970</v>
      </c>
      <c r="AO47" s="2176" t="s">
        <v>676</v>
      </c>
      <c r="AP47" s="1277"/>
      <c r="AQ47" s="1277"/>
      <c r="AR47" s="1276"/>
      <c r="AS47" s="1277"/>
      <c r="AT47" s="3806"/>
      <c r="AU47" s="3806"/>
      <c r="AV47" s="3806"/>
      <c r="AW47" s="1276"/>
      <c r="AX47" s="3809" t="s">
        <v>1024</v>
      </c>
      <c r="AY47" s="4422"/>
      <c r="AZ47" s="4438">
        <f t="shared" si="44"/>
        <v>0</v>
      </c>
      <c r="BA47" s="4438">
        <f t="shared" si="45"/>
        <v>0</v>
      </c>
      <c r="BB47" s="4438">
        <f t="shared" si="46"/>
        <v>0</v>
      </c>
      <c r="BC47" s="4438">
        <f t="shared" si="47"/>
        <v>2.045167524784874</v>
      </c>
      <c r="BD47" s="4438">
        <f t="shared" si="48"/>
        <v>0</v>
      </c>
      <c r="BE47" s="4438">
        <f t="shared" si="49"/>
        <v>0</v>
      </c>
      <c r="BF47" s="4438">
        <f t="shared" si="50"/>
        <v>0</v>
      </c>
      <c r="BG47" s="4438">
        <f t="shared" si="51"/>
        <v>0</v>
      </c>
      <c r="BH47" s="4438">
        <f t="shared" si="52"/>
        <v>2.045167524784874</v>
      </c>
      <c r="BI47" s="4438">
        <f t="shared" si="53"/>
        <v>0</v>
      </c>
      <c r="BJ47" s="4438">
        <f t="shared" si="54"/>
        <v>0</v>
      </c>
      <c r="BK47" s="4438">
        <f t="shared" si="55"/>
        <v>0</v>
      </c>
      <c r="BL47" s="4438">
        <f t="shared" si="56"/>
        <v>2.045167524784874</v>
      </c>
      <c r="BM47" s="4438">
        <f t="shared" si="57"/>
        <v>0</v>
      </c>
      <c r="BN47" s="4438">
        <f t="shared" si="58"/>
        <v>0</v>
      </c>
      <c r="BO47" s="4438">
        <f t="shared" si="59"/>
        <v>0</v>
      </c>
      <c r="BP47" s="4438">
        <f t="shared" si="60"/>
        <v>0</v>
      </c>
      <c r="BQ47" s="4438">
        <f t="shared" si="61"/>
        <v>0</v>
      </c>
      <c r="BR47" s="4438">
        <f t="shared" si="62"/>
        <v>0</v>
      </c>
      <c r="BS47" s="4438">
        <f t="shared" si="63"/>
        <v>0</v>
      </c>
      <c r="BT47" s="4438">
        <f t="shared" si="64"/>
        <v>0</v>
      </c>
      <c r="BU47" s="4438">
        <f t="shared" si="65"/>
        <v>0</v>
      </c>
      <c r="BV47" s="4438">
        <f t="shared" si="66"/>
        <v>0</v>
      </c>
      <c r="BW47" s="4438">
        <f t="shared" si="67"/>
        <v>0</v>
      </c>
      <c r="BX47" s="4438">
        <f t="shared" si="68"/>
        <v>0</v>
      </c>
      <c r="BY47" s="4438">
        <f t="shared" si="69"/>
        <v>0</v>
      </c>
      <c r="BZ47" s="4438">
        <f t="shared" si="70"/>
        <v>0</v>
      </c>
      <c r="CA47" s="4438">
        <f t="shared" si="71"/>
        <v>0</v>
      </c>
      <c r="CB47" s="4438">
        <f t="shared" si="72"/>
        <v>0</v>
      </c>
      <c r="CC47" s="4438">
        <f t="shared" si="73"/>
        <v>0</v>
      </c>
      <c r="CD47" s="4438">
        <f t="shared" si="74"/>
        <v>0</v>
      </c>
      <c r="CE47" s="4438">
        <f t="shared" si="75"/>
        <v>0</v>
      </c>
      <c r="CF47" s="4438">
        <f t="shared" si="76"/>
        <v>0</v>
      </c>
    </row>
    <row r="48" spans="1:84" ht="24.75" thickBot="1">
      <c r="A48" s="2068">
        <v>1.3</v>
      </c>
      <c r="B48" s="2068"/>
      <c r="C48" s="2068"/>
      <c r="D48" s="2069"/>
      <c r="E48" s="2070" t="s">
        <v>209</v>
      </c>
      <c r="F48" s="2071">
        <f t="shared" ref="F48" si="91">SUM(F49:F56)</f>
        <v>3</v>
      </c>
      <c r="G48" s="4072">
        <f t="shared" ref="G48:AL48" si="92">SUM(G49:G56)</f>
        <v>179</v>
      </c>
      <c r="H48" s="2072">
        <f t="shared" si="92"/>
        <v>36</v>
      </c>
      <c r="I48" s="2073">
        <f t="shared" si="92"/>
        <v>1051.8895439999999</v>
      </c>
      <c r="J48" s="2074">
        <f t="shared" si="92"/>
        <v>2099.7790879999998</v>
      </c>
      <c r="K48" s="2074">
        <f t="shared" si="92"/>
        <v>2116.7790879999998</v>
      </c>
      <c r="L48" s="2074">
        <f t="shared" si="92"/>
        <v>2</v>
      </c>
      <c r="M48" s="2125">
        <f t="shared" si="92"/>
        <v>0</v>
      </c>
      <c r="N48" s="2126">
        <f t="shared" si="92"/>
        <v>5270.4477200000001</v>
      </c>
      <c r="O48" s="2077">
        <f t="shared" ref="O48" si="93">SUM(O49:O56)</f>
        <v>3</v>
      </c>
      <c r="P48" s="4088">
        <f t="shared" si="92"/>
        <v>123</v>
      </c>
      <c r="Q48" s="2078">
        <f t="shared" si="92"/>
        <v>36</v>
      </c>
      <c r="R48" s="2079">
        <f t="shared" si="92"/>
        <v>2</v>
      </c>
      <c r="S48" s="2080">
        <f t="shared" si="92"/>
        <v>0</v>
      </c>
      <c r="T48" s="2080">
        <f t="shared" si="92"/>
        <v>73</v>
      </c>
      <c r="U48" s="2080">
        <f t="shared" si="92"/>
        <v>2</v>
      </c>
      <c r="V48" s="2081">
        <f t="shared" si="92"/>
        <v>0</v>
      </c>
      <c r="W48" s="2077">
        <f t="shared" ref="W48" si="94">SUM(W49:W56)</f>
        <v>0</v>
      </c>
      <c r="X48" s="4088">
        <f t="shared" si="92"/>
        <v>0</v>
      </c>
      <c r="Y48" s="2078">
        <f t="shared" si="92"/>
        <v>0</v>
      </c>
      <c r="Z48" s="2079">
        <f t="shared" si="92"/>
        <v>0</v>
      </c>
      <c r="AA48" s="2080">
        <f t="shared" si="92"/>
        <v>0</v>
      </c>
      <c r="AB48" s="2080">
        <f t="shared" si="92"/>
        <v>0</v>
      </c>
      <c r="AC48" s="2080">
        <f t="shared" si="92"/>
        <v>0</v>
      </c>
      <c r="AD48" s="2081">
        <f t="shared" si="92"/>
        <v>0</v>
      </c>
      <c r="AE48" s="2077">
        <f t="shared" ref="AE48" si="95">SUM(AE49:AE56)</f>
        <v>0</v>
      </c>
      <c r="AF48" s="4088">
        <f t="shared" si="92"/>
        <v>56</v>
      </c>
      <c r="AG48" s="2078">
        <f t="shared" si="92"/>
        <v>0</v>
      </c>
      <c r="AH48" s="2079">
        <f t="shared" si="92"/>
        <v>1049.8895439999999</v>
      </c>
      <c r="AI48" s="2080">
        <f t="shared" si="92"/>
        <v>2099.7790879999998</v>
      </c>
      <c r="AJ48" s="2080">
        <f t="shared" si="92"/>
        <v>2043.7790879999998</v>
      </c>
      <c r="AK48" s="2080">
        <f t="shared" si="92"/>
        <v>0</v>
      </c>
      <c r="AL48" s="2082">
        <f t="shared" si="92"/>
        <v>0</v>
      </c>
      <c r="AM48" s="2127"/>
      <c r="AN48" s="2128"/>
      <c r="AO48" s="2127"/>
      <c r="AP48" s="2129"/>
      <c r="AQ48" s="2129"/>
      <c r="AR48" s="2129"/>
      <c r="AS48" s="2130"/>
      <c r="AT48" s="2130"/>
      <c r="AU48" s="2130"/>
      <c r="AV48" s="2130"/>
      <c r="AW48" s="2131"/>
      <c r="AX48" s="2132"/>
      <c r="AY48" s="4422"/>
      <c r="AZ48" s="4438">
        <f t="shared" si="44"/>
        <v>1.5338756435886556</v>
      </c>
      <c r="BA48" s="4438">
        <f t="shared" si="45"/>
        <v>91.52124673412311</v>
      </c>
      <c r="BB48" s="4438">
        <f t="shared" si="46"/>
        <v>18.406507723063864</v>
      </c>
      <c r="BC48" s="4438">
        <f t="shared" si="47"/>
        <v>537.82258376239236</v>
      </c>
      <c r="BD48" s="4438">
        <f t="shared" si="48"/>
        <v>1073.5999999999999</v>
      </c>
      <c r="BE48" s="4438">
        <f t="shared" si="49"/>
        <v>1082.2919619803356</v>
      </c>
      <c r="BF48" s="4438">
        <f t="shared" si="50"/>
        <v>1.022583762392437</v>
      </c>
      <c r="BG48" s="4438">
        <f t="shared" si="51"/>
        <v>0</v>
      </c>
      <c r="BH48" s="4438">
        <f t="shared" si="52"/>
        <v>2694.7371295051207</v>
      </c>
      <c r="BI48" s="4438">
        <f t="shared" si="53"/>
        <v>1.5338756435886556</v>
      </c>
      <c r="BJ48" s="4438">
        <f t="shared" si="54"/>
        <v>62.888901387134872</v>
      </c>
      <c r="BK48" s="4438">
        <f t="shared" si="55"/>
        <v>18.406507723063864</v>
      </c>
      <c r="BL48" s="4438">
        <f t="shared" si="56"/>
        <v>1.022583762392437</v>
      </c>
      <c r="BM48" s="4438">
        <f t="shared" si="57"/>
        <v>0</v>
      </c>
      <c r="BN48" s="4438">
        <f t="shared" si="58"/>
        <v>37.32430732732395</v>
      </c>
      <c r="BO48" s="4438">
        <f t="shared" si="59"/>
        <v>1.022583762392437</v>
      </c>
      <c r="BP48" s="4438">
        <f t="shared" si="60"/>
        <v>0</v>
      </c>
      <c r="BQ48" s="4438">
        <f t="shared" si="61"/>
        <v>0</v>
      </c>
      <c r="BR48" s="4438">
        <f t="shared" si="62"/>
        <v>0</v>
      </c>
      <c r="BS48" s="4438">
        <f t="shared" si="63"/>
        <v>0</v>
      </c>
      <c r="BT48" s="4438">
        <f t="shared" si="64"/>
        <v>0</v>
      </c>
      <c r="BU48" s="4438">
        <f t="shared" si="65"/>
        <v>0</v>
      </c>
      <c r="BV48" s="4438">
        <f t="shared" si="66"/>
        <v>0</v>
      </c>
      <c r="BW48" s="4438">
        <f t="shared" si="67"/>
        <v>0</v>
      </c>
      <c r="BX48" s="4438">
        <f t="shared" si="68"/>
        <v>0</v>
      </c>
      <c r="BY48" s="4438">
        <f t="shared" si="69"/>
        <v>0</v>
      </c>
      <c r="BZ48" s="4438">
        <f t="shared" si="70"/>
        <v>28.632345346988235</v>
      </c>
      <c r="CA48" s="4438">
        <f t="shared" si="71"/>
        <v>0</v>
      </c>
      <c r="CB48" s="4438">
        <f t="shared" si="72"/>
        <v>536.79999999999995</v>
      </c>
      <c r="CC48" s="4438">
        <f t="shared" si="73"/>
        <v>1073.5999999999999</v>
      </c>
      <c r="CD48" s="4438">
        <f t="shared" si="74"/>
        <v>1044.9676546530118</v>
      </c>
      <c r="CE48" s="4438">
        <f t="shared" si="75"/>
        <v>0</v>
      </c>
      <c r="CF48" s="4438">
        <f t="shared" si="76"/>
        <v>0</v>
      </c>
    </row>
    <row r="49" spans="1:84" ht="25.5">
      <c r="A49" s="2089"/>
      <c r="B49" s="2134">
        <v>2040207</v>
      </c>
      <c r="C49" s="2134" t="s">
        <v>1829</v>
      </c>
      <c r="D49" s="2091">
        <v>0.04</v>
      </c>
      <c r="E49" s="2153" t="s">
        <v>385</v>
      </c>
      <c r="F49" s="2154">
        <f t="shared" ref="F49:M56" si="96">O49+W49+AE49</f>
        <v>1</v>
      </c>
      <c r="G49" s="2156">
        <f t="shared" si="96"/>
        <v>122</v>
      </c>
      <c r="H49" s="2155">
        <f t="shared" si="96"/>
        <v>5</v>
      </c>
      <c r="I49" s="2156">
        <f t="shared" si="96"/>
        <v>1051.8895439999999</v>
      </c>
      <c r="J49" s="2157">
        <f t="shared" si="96"/>
        <v>2099.7790879999998</v>
      </c>
      <c r="K49" s="2157">
        <f t="shared" si="96"/>
        <v>2116.7790879999998</v>
      </c>
      <c r="L49" s="2157">
        <f t="shared" si="96"/>
        <v>2</v>
      </c>
      <c r="M49" s="2157">
        <f t="shared" si="96"/>
        <v>0</v>
      </c>
      <c r="N49" s="2136">
        <f t="shared" si="77"/>
        <v>5270.4477200000001</v>
      </c>
      <c r="O49" s="4584">
        <v>1</v>
      </c>
      <c r="P49" s="4584">
        <f>10+56</f>
        <v>66</v>
      </c>
      <c r="Q49" s="1247">
        <v>5</v>
      </c>
      <c r="R49" s="1248">
        <v>2</v>
      </c>
      <c r="S49" s="1249"/>
      <c r="T49" s="1249">
        <v>73</v>
      </c>
      <c r="U49" s="1249">
        <v>2</v>
      </c>
      <c r="V49" s="1249"/>
      <c r="W49" s="1246"/>
      <c r="X49" s="1248"/>
      <c r="Y49" s="1247"/>
      <c r="Z49" s="1248"/>
      <c r="AA49" s="1249"/>
      <c r="AB49" s="1249"/>
      <c r="AC49" s="1249"/>
      <c r="AD49" s="1249"/>
      <c r="AE49" s="1246"/>
      <c r="AF49" s="4629">
        <v>56</v>
      </c>
      <c r="AG49" s="1247"/>
      <c r="AH49" s="1248">
        <f>2684/5*1*1.95583</f>
        <v>1049.8895439999999</v>
      </c>
      <c r="AI49" s="1249">
        <f>2684/5*2*1.95583</f>
        <v>2099.7790879999998</v>
      </c>
      <c r="AJ49" s="1249">
        <f>2684/5*2*1.95583-AF49</f>
        <v>2043.7790879999998</v>
      </c>
      <c r="AK49" s="1249"/>
      <c r="AL49" s="1250"/>
      <c r="AM49" s="1258" t="s">
        <v>1951</v>
      </c>
      <c r="AN49" s="1268" t="s">
        <v>1976</v>
      </c>
      <c r="AO49" s="2098" t="s">
        <v>676</v>
      </c>
      <c r="AP49" s="1248">
        <v>1</v>
      </c>
      <c r="AQ49" s="1248">
        <v>3</v>
      </c>
      <c r="AR49" s="1247">
        <v>1</v>
      </c>
      <c r="AS49" s="1248">
        <v>1</v>
      </c>
      <c r="AT49" s="1248">
        <v>1</v>
      </c>
      <c r="AU49" s="1248">
        <v>1</v>
      </c>
      <c r="AV49" s="1248">
        <v>1</v>
      </c>
      <c r="AW49" s="1248">
        <v>1</v>
      </c>
      <c r="AX49" s="2137" t="s">
        <v>1027</v>
      </c>
      <c r="AY49" s="4422"/>
      <c r="AZ49" s="4438">
        <f t="shared" si="44"/>
        <v>0.51129188119621849</v>
      </c>
      <c r="BA49" s="4438">
        <f t="shared" si="45"/>
        <v>62.377609505938658</v>
      </c>
      <c r="BB49" s="4438">
        <f t="shared" si="46"/>
        <v>2.5564594059810926</v>
      </c>
      <c r="BC49" s="4438">
        <f t="shared" si="47"/>
        <v>537.82258376239236</v>
      </c>
      <c r="BD49" s="4438">
        <f t="shared" si="48"/>
        <v>1073.5999999999999</v>
      </c>
      <c r="BE49" s="4438">
        <f t="shared" si="49"/>
        <v>1082.2919619803356</v>
      </c>
      <c r="BF49" s="4438">
        <f t="shared" si="50"/>
        <v>1.022583762392437</v>
      </c>
      <c r="BG49" s="4438">
        <f t="shared" si="51"/>
        <v>0</v>
      </c>
      <c r="BH49" s="4438">
        <f t="shared" si="52"/>
        <v>2694.7371295051207</v>
      </c>
      <c r="BI49" s="4438">
        <f t="shared" si="53"/>
        <v>0.51129188119621849</v>
      </c>
      <c r="BJ49" s="4438">
        <f t="shared" si="54"/>
        <v>33.74526415895042</v>
      </c>
      <c r="BK49" s="4438">
        <f t="shared" si="55"/>
        <v>2.5564594059810926</v>
      </c>
      <c r="BL49" s="4438">
        <f t="shared" si="56"/>
        <v>1.022583762392437</v>
      </c>
      <c r="BM49" s="4438">
        <f t="shared" si="57"/>
        <v>0</v>
      </c>
      <c r="BN49" s="4438">
        <f t="shared" si="58"/>
        <v>37.32430732732395</v>
      </c>
      <c r="BO49" s="4438">
        <f t="shared" si="59"/>
        <v>1.022583762392437</v>
      </c>
      <c r="BP49" s="4438">
        <f t="shared" si="60"/>
        <v>0</v>
      </c>
      <c r="BQ49" s="4438">
        <f t="shared" si="61"/>
        <v>0</v>
      </c>
      <c r="BR49" s="4438">
        <f t="shared" si="62"/>
        <v>0</v>
      </c>
      <c r="BS49" s="4438">
        <f t="shared" si="63"/>
        <v>0</v>
      </c>
      <c r="BT49" s="4438">
        <f t="shared" si="64"/>
        <v>0</v>
      </c>
      <c r="BU49" s="4438">
        <f t="shared" si="65"/>
        <v>0</v>
      </c>
      <c r="BV49" s="4438">
        <f t="shared" si="66"/>
        <v>0</v>
      </c>
      <c r="BW49" s="4438">
        <f t="shared" si="67"/>
        <v>0</v>
      </c>
      <c r="BX49" s="4438">
        <f t="shared" si="68"/>
        <v>0</v>
      </c>
      <c r="BY49" s="4438">
        <f t="shared" si="69"/>
        <v>0</v>
      </c>
      <c r="BZ49" s="4438">
        <f t="shared" si="70"/>
        <v>28.632345346988235</v>
      </c>
      <c r="CA49" s="4438">
        <f t="shared" si="71"/>
        <v>0</v>
      </c>
      <c r="CB49" s="4438">
        <f t="shared" si="72"/>
        <v>536.79999999999995</v>
      </c>
      <c r="CC49" s="4438">
        <f t="shared" si="73"/>
        <v>1073.5999999999999</v>
      </c>
      <c r="CD49" s="4438">
        <f t="shared" si="74"/>
        <v>1044.9676546530118</v>
      </c>
      <c r="CE49" s="4438">
        <f t="shared" si="75"/>
        <v>0</v>
      </c>
      <c r="CF49" s="4438">
        <f t="shared" si="76"/>
        <v>0</v>
      </c>
    </row>
    <row r="50" spans="1:84">
      <c r="A50" s="2117"/>
      <c r="B50" s="2139">
        <v>20302</v>
      </c>
      <c r="C50" s="2139" t="s">
        <v>1830</v>
      </c>
      <c r="D50" s="2102">
        <v>0.1</v>
      </c>
      <c r="E50" s="2142" t="s">
        <v>386</v>
      </c>
      <c r="F50" s="2158">
        <f t="shared" si="96"/>
        <v>0</v>
      </c>
      <c r="G50" s="2160">
        <f t="shared" si="96"/>
        <v>0</v>
      </c>
      <c r="H50" s="2159">
        <f t="shared" si="96"/>
        <v>20</v>
      </c>
      <c r="I50" s="2160">
        <f t="shared" si="96"/>
        <v>0</v>
      </c>
      <c r="J50" s="2161">
        <f t="shared" si="96"/>
        <v>0</v>
      </c>
      <c r="K50" s="2161">
        <f t="shared" si="96"/>
        <v>0</v>
      </c>
      <c r="L50" s="2161">
        <f t="shared" si="96"/>
        <v>0</v>
      </c>
      <c r="M50" s="2161">
        <f t="shared" si="96"/>
        <v>0</v>
      </c>
      <c r="N50" s="2141">
        <f t="shared" si="77"/>
        <v>0</v>
      </c>
      <c r="O50" s="4584">
        <v>0</v>
      </c>
      <c r="P50" s="4584">
        <v>0</v>
      </c>
      <c r="Q50" s="1254">
        <v>20</v>
      </c>
      <c r="R50" s="1255"/>
      <c r="S50" s="1256"/>
      <c r="T50" s="1256"/>
      <c r="U50" s="1256"/>
      <c r="V50" s="1256"/>
      <c r="W50" s="1253"/>
      <c r="X50" s="1255"/>
      <c r="Y50" s="1254"/>
      <c r="Z50" s="1255"/>
      <c r="AA50" s="1256"/>
      <c r="AB50" s="1256"/>
      <c r="AC50" s="1256"/>
      <c r="AD50" s="1256"/>
      <c r="AE50" s="1253"/>
      <c r="AF50" s="1255"/>
      <c r="AG50" s="1254"/>
      <c r="AH50" s="1255"/>
      <c r="AI50" s="1256"/>
      <c r="AJ50" s="1256"/>
      <c r="AK50" s="1256"/>
      <c r="AL50" s="1257"/>
      <c r="AM50" s="1258"/>
      <c r="AN50" s="1259"/>
      <c r="AO50" s="2109" t="s">
        <v>676</v>
      </c>
      <c r="AP50" s="1255"/>
      <c r="AQ50" s="1255">
        <v>3</v>
      </c>
      <c r="AR50" s="1254"/>
      <c r="AS50" s="1255"/>
      <c r="AT50" s="1256"/>
      <c r="AU50" s="1256"/>
      <c r="AV50" s="1256"/>
      <c r="AW50" s="1254"/>
      <c r="AX50" s="2115" t="s">
        <v>373</v>
      </c>
      <c r="AY50" s="4422"/>
      <c r="AZ50" s="4438">
        <f t="shared" si="44"/>
        <v>0</v>
      </c>
      <c r="BA50" s="4438">
        <f t="shared" si="45"/>
        <v>0</v>
      </c>
      <c r="BB50" s="4438">
        <f t="shared" si="46"/>
        <v>10.22583762392437</v>
      </c>
      <c r="BC50" s="4438">
        <f t="shared" si="47"/>
        <v>0</v>
      </c>
      <c r="BD50" s="4438">
        <f t="shared" si="48"/>
        <v>0</v>
      </c>
      <c r="BE50" s="4438">
        <f t="shared" si="49"/>
        <v>0</v>
      </c>
      <c r="BF50" s="4438">
        <f t="shared" si="50"/>
        <v>0</v>
      </c>
      <c r="BG50" s="4438">
        <f t="shared" si="51"/>
        <v>0</v>
      </c>
      <c r="BH50" s="4438">
        <f t="shared" si="52"/>
        <v>0</v>
      </c>
      <c r="BI50" s="4438">
        <f t="shared" si="53"/>
        <v>0</v>
      </c>
      <c r="BJ50" s="4438">
        <f t="shared" si="54"/>
        <v>0</v>
      </c>
      <c r="BK50" s="4438">
        <f t="shared" si="55"/>
        <v>10.22583762392437</v>
      </c>
      <c r="BL50" s="4438">
        <f t="shared" si="56"/>
        <v>0</v>
      </c>
      <c r="BM50" s="4438">
        <f t="shared" si="57"/>
        <v>0</v>
      </c>
      <c r="BN50" s="4438">
        <f t="shared" si="58"/>
        <v>0</v>
      </c>
      <c r="BO50" s="4438">
        <f t="shared" si="59"/>
        <v>0</v>
      </c>
      <c r="BP50" s="4438">
        <f t="shared" si="60"/>
        <v>0</v>
      </c>
      <c r="BQ50" s="4438">
        <f t="shared" si="61"/>
        <v>0</v>
      </c>
      <c r="BR50" s="4438">
        <f t="shared" si="62"/>
        <v>0</v>
      </c>
      <c r="BS50" s="4438">
        <f t="shared" si="63"/>
        <v>0</v>
      </c>
      <c r="BT50" s="4438">
        <f t="shared" si="64"/>
        <v>0</v>
      </c>
      <c r="BU50" s="4438">
        <f t="shared" si="65"/>
        <v>0</v>
      </c>
      <c r="BV50" s="4438">
        <f t="shared" si="66"/>
        <v>0</v>
      </c>
      <c r="BW50" s="4438">
        <f t="shared" si="67"/>
        <v>0</v>
      </c>
      <c r="BX50" s="4438">
        <f t="shared" si="68"/>
        <v>0</v>
      </c>
      <c r="BY50" s="4438">
        <f t="shared" si="69"/>
        <v>0</v>
      </c>
      <c r="BZ50" s="4438">
        <f t="shared" si="70"/>
        <v>0</v>
      </c>
      <c r="CA50" s="4438">
        <f t="shared" si="71"/>
        <v>0</v>
      </c>
      <c r="CB50" s="4438">
        <f t="shared" si="72"/>
        <v>0</v>
      </c>
      <c r="CC50" s="4438">
        <f t="shared" si="73"/>
        <v>0</v>
      </c>
      <c r="CD50" s="4438">
        <f t="shared" si="74"/>
        <v>0</v>
      </c>
      <c r="CE50" s="4438">
        <f t="shared" si="75"/>
        <v>0</v>
      </c>
      <c r="CF50" s="4438">
        <f t="shared" si="76"/>
        <v>0</v>
      </c>
    </row>
    <row r="51" spans="1:84" ht="24">
      <c r="A51" s="2100"/>
      <c r="B51" s="2101">
        <v>2030503</v>
      </c>
      <c r="C51" s="2101" t="s">
        <v>1831</v>
      </c>
      <c r="D51" s="2102">
        <v>0.1</v>
      </c>
      <c r="E51" s="2142" t="s">
        <v>667</v>
      </c>
      <c r="F51" s="2158">
        <f t="shared" si="96"/>
        <v>1</v>
      </c>
      <c r="G51" s="2160">
        <f t="shared" si="96"/>
        <v>7</v>
      </c>
      <c r="H51" s="2159">
        <f t="shared" si="96"/>
        <v>10</v>
      </c>
      <c r="I51" s="2160">
        <f t="shared" si="96"/>
        <v>0</v>
      </c>
      <c r="J51" s="2161">
        <f t="shared" si="96"/>
        <v>0</v>
      </c>
      <c r="K51" s="2161">
        <f t="shared" si="96"/>
        <v>0</v>
      </c>
      <c r="L51" s="2161">
        <f t="shared" si="96"/>
        <v>0</v>
      </c>
      <c r="M51" s="2161">
        <f t="shared" si="96"/>
        <v>0</v>
      </c>
      <c r="N51" s="2141">
        <f t="shared" si="77"/>
        <v>0</v>
      </c>
      <c r="O51" s="4584">
        <v>1</v>
      </c>
      <c r="P51" s="4584">
        <v>7</v>
      </c>
      <c r="Q51" s="1254">
        <v>10</v>
      </c>
      <c r="R51" s="1255"/>
      <c r="S51" s="1256"/>
      <c r="T51" s="1256"/>
      <c r="U51" s="1256"/>
      <c r="V51" s="1256"/>
      <c r="W51" s="1253"/>
      <c r="X51" s="1255"/>
      <c r="Y51" s="1254"/>
      <c r="Z51" s="1255"/>
      <c r="AA51" s="1256"/>
      <c r="AB51" s="1256"/>
      <c r="AC51" s="1256"/>
      <c r="AD51" s="1256"/>
      <c r="AE51" s="1253"/>
      <c r="AF51" s="1255"/>
      <c r="AG51" s="1254"/>
      <c r="AH51" s="1255"/>
      <c r="AI51" s="1256"/>
      <c r="AJ51" s="1256"/>
      <c r="AK51" s="1256"/>
      <c r="AL51" s="1257"/>
      <c r="AM51" s="1258"/>
      <c r="AN51" s="1259"/>
      <c r="AO51" s="2109" t="s">
        <v>676</v>
      </c>
      <c r="AP51" s="1255">
        <v>1</v>
      </c>
      <c r="AQ51" s="1255"/>
      <c r="AR51" s="1254"/>
      <c r="AS51" s="1255"/>
      <c r="AT51" s="1256"/>
      <c r="AU51" s="1256"/>
      <c r="AV51" s="1256"/>
      <c r="AW51" s="1254"/>
      <c r="AX51" s="2115" t="s">
        <v>371</v>
      </c>
      <c r="AY51" s="4422"/>
      <c r="AZ51" s="4438">
        <f t="shared" si="44"/>
        <v>0.51129188119621849</v>
      </c>
      <c r="BA51" s="4438">
        <f t="shared" si="45"/>
        <v>3.5790431683735293</v>
      </c>
      <c r="BB51" s="4438">
        <f t="shared" si="46"/>
        <v>5.1129188119621851</v>
      </c>
      <c r="BC51" s="4438">
        <f t="shared" si="47"/>
        <v>0</v>
      </c>
      <c r="BD51" s="4438">
        <f t="shared" si="48"/>
        <v>0</v>
      </c>
      <c r="BE51" s="4438">
        <f t="shared" si="49"/>
        <v>0</v>
      </c>
      <c r="BF51" s="4438">
        <f t="shared" si="50"/>
        <v>0</v>
      </c>
      <c r="BG51" s="4438">
        <f t="shared" si="51"/>
        <v>0</v>
      </c>
      <c r="BH51" s="4438">
        <f t="shared" si="52"/>
        <v>0</v>
      </c>
      <c r="BI51" s="4438">
        <f t="shared" si="53"/>
        <v>0.51129188119621849</v>
      </c>
      <c r="BJ51" s="4438">
        <f t="shared" si="54"/>
        <v>3.5790431683735293</v>
      </c>
      <c r="BK51" s="4438">
        <f t="shared" si="55"/>
        <v>5.1129188119621851</v>
      </c>
      <c r="BL51" s="4438">
        <f t="shared" si="56"/>
        <v>0</v>
      </c>
      <c r="BM51" s="4438">
        <f t="shared" si="57"/>
        <v>0</v>
      </c>
      <c r="BN51" s="4438">
        <f t="shared" si="58"/>
        <v>0</v>
      </c>
      <c r="BO51" s="4438">
        <f t="shared" si="59"/>
        <v>0</v>
      </c>
      <c r="BP51" s="4438">
        <f t="shared" si="60"/>
        <v>0</v>
      </c>
      <c r="BQ51" s="4438">
        <f t="shared" si="61"/>
        <v>0</v>
      </c>
      <c r="BR51" s="4438">
        <f t="shared" si="62"/>
        <v>0</v>
      </c>
      <c r="BS51" s="4438">
        <f t="shared" si="63"/>
        <v>0</v>
      </c>
      <c r="BT51" s="4438">
        <f t="shared" si="64"/>
        <v>0</v>
      </c>
      <c r="BU51" s="4438">
        <f t="shared" si="65"/>
        <v>0</v>
      </c>
      <c r="BV51" s="4438">
        <f t="shared" si="66"/>
        <v>0</v>
      </c>
      <c r="BW51" s="4438">
        <f t="shared" si="67"/>
        <v>0</v>
      </c>
      <c r="BX51" s="4438">
        <f t="shared" si="68"/>
        <v>0</v>
      </c>
      <c r="BY51" s="4438">
        <f t="shared" si="69"/>
        <v>0</v>
      </c>
      <c r="BZ51" s="4438">
        <f t="shared" si="70"/>
        <v>0</v>
      </c>
      <c r="CA51" s="4438">
        <f t="shared" si="71"/>
        <v>0</v>
      </c>
      <c r="CB51" s="4438">
        <f t="shared" si="72"/>
        <v>0</v>
      </c>
      <c r="CC51" s="4438">
        <f t="shared" si="73"/>
        <v>0</v>
      </c>
      <c r="CD51" s="4438">
        <f t="shared" si="74"/>
        <v>0</v>
      </c>
      <c r="CE51" s="4438">
        <f t="shared" si="75"/>
        <v>0</v>
      </c>
      <c r="CF51" s="4438">
        <f t="shared" si="76"/>
        <v>0</v>
      </c>
    </row>
    <row r="52" spans="1:84" ht="24">
      <c r="A52" s="2117"/>
      <c r="B52" s="2139">
        <v>20502</v>
      </c>
      <c r="C52" s="2139" t="s">
        <v>1832</v>
      </c>
      <c r="D52" s="2102">
        <v>0.1</v>
      </c>
      <c r="E52" s="2142" t="s">
        <v>387</v>
      </c>
      <c r="F52" s="2158">
        <f t="shared" si="96"/>
        <v>0</v>
      </c>
      <c r="G52" s="2160">
        <f t="shared" si="96"/>
        <v>0</v>
      </c>
      <c r="H52" s="2159">
        <f t="shared" si="96"/>
        <v>0</v>
      </c>
      <c r="I52" s="2160">
        <f t="shared" si="96"/>
        <v>0</v>
      </c>
      <c r="J52" s="2161">
        <f t="shared" si="96"/>
        <v>0</v>
      </c>
      <c r="K52" s="2161">
        <f t="shared" si="96"/>
        <v>0</v>
      </c>
      <c r="L52" s="2161">
        <f t="shared" si="96"/>
        <v>0</v>
      </c>
      <c r="M52" s="2161">
        <f t="shared" si="96"/>
        <v>0</v>
      </c>
      <c r="N52" s="2141">
        <f t="shared" si="77"/>
        <v>0</v>
      </c>
      <c r="O52" s="4584">
        <v>0</v>
      </c>
      <c r="P52" s="264">
        <v>0</v>
      </c>
      <c r="Q52" s="1254">
        <v>0</v>
      </c>
      <c r="R52" s="1255"/>
      <c r="S52" s="1256"/>
      <c r="T52" s="1256"/>
      <c r="U52" s="1256"/>
      <c r="V52" s="1256"/>
      <c r="W52" s="1253"/>
      <c r="X52" s="1255"/>
      <c r="Y52" s="1254"/>
      <c r="Z52" s="1255"/>
      <c r="AA52" s="1256"/>
      <c r="AB52" s="1256"/>
      <c r="AC52" s="1256"/>
      <c r="AD52" s="1256"/>
      <c r="AE52" s="1253"/>
      <c r="AF52" s="1255"/>
      <c r="AG52" s="1254"/>
      <c r="AH52" s="1255"/>
      <c r="AI52" s="1256"/>
      <c r="AJ52" s="1256"/>
      <c r="AK52" s="1256"/>
      <c r="AL52" s="1257"/>
      <c r="AM52" s="1258"/>
      <c r="AN52" s="1260"/>
      <c r="AO52" s="2109" t="s">
        <v>676</v>
      </c>
      <c r="AP52" s="1255"/>
      <c r="AQ52" s="1255"/>
      <c r="AR52" s="1254"/>
      <c r="AS52" s="1255"/>
      <c r="AT52" s="1256"/>
      <c r="AU52" s="1256"/>
      <c r="AV52" s="1256"/>
      <c r="AW52" s="1254"/>
      <c r="AX52" s="2115" t="s">
        <v>375</v>
      </c>
      <c r="AY52" s="4422"/>
      <c r="AZ52" s="4438">
        <f t="shared" si="44"/>
        <v>0</v>
      </c>
      <c r="BA52" s="4438">
        <f t="shared" si="45"/>
        <v>0</v>
      </c>
      <c r="BB52" s="4438">
        <f t="shared" si="46"/>
        <v>0</v>
      </c>
      <c r="BC52" s="4438">
        <f t="shared" si="47"/>
        <v>0</v>
      </c>
      <c r="BD52" s="4438">
        <f t="shared" si="48"/>
        <v>0</v>
      </c>
      <c r="BE52" s="4438">
        <f t="shared" si="49"/>
        <v>0</v>
      </c>
      <c r="BF52" s="4438">
        <f t="shared" si="50"/>
        <v>0</v>
      </c>
      <c r="BG52" s="4438">
        <f t="shared" si="51"/>
        <v>0</v>
      </c>
      <c r="BH52" s="4438">
        <f t="shared" si="52"/>
        <v>0</v>
      </c>
      <c r="BI52" s="4438">
        <f t="shared" si="53"/>
        <v>0</v>
      </c>
      <c r="BJ52" s="4438">
        <f t="shared" si="54"/>
        <v>0</v>
      </c>
      <c r="BK52" s="4438">
        <f t="shared" si="55"/>
        <v>0</v>
      </c>
      <c r="BL52" s="4438">
        <f t="shared" si="56"/>
        <v>0</v>
      </c>
      <c r="BM52" s="4438">
        <f t="shared" si="57"/>
        <v>0</v>
      </c>
      <c r="BN52" s="4438">
        <f t="shared" si="58"/>
        <v>0</v>
      </c>
      <c r="BO52" s="4438">
        <f t="shared" si="59"/>
        <v>0</v>
      </c>
      <c r="BP52" s="4438">
        <f t="shared" si="60"/>
        <v>0</v>
      </c>
      <c r="BQ52" s="4438">
        <f t="shared" si="61"/>
        <v>0</v>
      </c>
      <c r="BR52" s="4438">
        <f t="shared" si="62"/>
        <v>0</v>
      </c>
      <c r="BS52" s="4438">
        <f t="shared" si="63"/>
        <v>0</v>
      </c>
      <c r="BT52" s="4438">
        <f t="shared" si="64"/>
        <v>0</v>
      </c>
      <c r="BU52" s="4438">
        <f t="shared" si="65"/>
        <v>0</v>
      </c>
      <c r="BV52" s="4438">
        <f t="shared" si="66"/>
        <v>0</v>
      </c>
      <c r="BW52" s="4438">
        <f t="shared" si="67"/>
        <v>0</v>
      </c>
      <c r="BX52" s="4438">
        <f t="shared" si="68"/>
        <v>0</v>
      </c>
      <c r="BY52" s="4438">
        <f t="shared" si="69"/>
        <v>0</v>
      </c>
      <c r="BZ52" s="4438">
        <f t="shared" si="70"/>
        <v>0</v>
      </c>
      <c r="CA52" s="4438">
        <f t="shared" si="71"/>
        <v>0</v>
      </c>
      <c r="CB52" s="4438">
        <f t="shared" si="72"/>
        <v>0</v>
      </c>
      <c r="CC52" s="4438">
        <f t="shared" si="73"/>
        <v>0</v>
      </c>
      <c r="CD52" s="4438">
        <f t="shared" si="74"/>
        <v>0</v>
      </c>
      <c r="CE52" s="4438">
        <f t="shared" si="75"/>
        <v>0</v>
      </c>
      <c r="CF52" s="4438">
        <f t="shared" si="76"/>
        <v>0</v>
      </c>
    </row>
    <row r="53" spans="1:84" ht="24">
      <c r="A53" s="2117"/>
      <c r="B53" s="2139">
        <v>20501</v>
      </c>
      <c r="C53" s="2139" t="s">
        <v>1833</v>
      </c>
      <c r="D53" s="2102">
        <v>0.08</v>
      </c>
      <c r="E53" s="2140" t="s">
        <v>388</v>
      </c>
      <c r="F53" s="2158">
        <f t="shared" si="96"/>
        <v>0</v>
      </c>
      <c r="G53" s="2160">
        <f t="shared" si="96"/>
        <v>0</v>
      </c>
      <c r="H53" s="2159">
        <f t="shared" si="96"/>
        <v>0</v>
      </c>
      <c r="I53" s="2160">
        <f t="shared" si="96"/>
        <v>0</v>
      </c>
      <c r="J53" s="2161">
        <f t="shared" si="96"/>
        <v>0</v>
      </c>
      <c r="K53" s="2161">
        <f t="shared" si="96"/>
        <v>0</v>
      </c>
      <c r="L53" s="2161">
        <f t="shared" si="96"/>
        <v>0</v>
      </c>
      <c r="M53" s="2161">
        <f t="shared" si="96"/>
        <v>0</v>
      </c>
      <c r="N53" s="2141">
        <f t="shared" si="77"/>
        <v>0</v>
      </c>
      <c r="O53" s="4584">
        <v>0</v>
      </c>
      <c r="P53" s="264">
        <v>0</v>
      </c>
      <c r="Q53" s="1254">
        <v>0</v>
      </c>
      <c r="R53" s="1255"/>
      <c r="S53" s="1256"/>
      <c r="T53" s="1256"/>
      <c r="U53" s="1256"/>
      <c r="V53" s="1256"/>
      <c r="W53" s="1253"/>
      <c r="X53" s="1255"/>
      <c r="Y53" s="1254"/>
      <c r="Z53" s="1255"/>
      <c r="AA53" s="1256"/>
      <c r="AB53" s="1256"/>
      <c r="AC53" s="1256"/>
      <c r="AD53" s="1256"/>
      <c r="AE53" s="1253"/>
      <c r="AF53" s="1255"/>
      <c r="AG53" s="1254"/>
      <c r="AH53" s="1255"/>
      <c r="AI53" s="1256"/>
      <c r="AJ53" s="1256"/>
      <c r="AK53" s="1256"/>
      <c r="AL53" s="1257"/>
      <c r="AM53" s="1258"/>
      <c r="AN53" s="1260"/>
      <c r="AO53" s="2109" t="s">
        <v>676</v>
      </c>
      <c r="AP53" s="1255"/>
      <c r="AQ53" s="1255"/>
      <c r="AR53" s="1254"/>
      <c r="AS53" s="1255"/>
      <c r="AT53" s="1256"/>
      <c r="AU53" s="1256"/>
      <c r="AV53" s="1256"/>
      <c r="AW53" s="1254"/>
      <c r="AX53" s="2110" t="s">
        <v>375</v>
      </c>
      <c r="AY53" s="4422"/>
      <c r="AZ53" s="4438">
        <f t="shared" si="44"/>
        <v>0</v>
      </c>
      <c r="BA53" s="4438">
        <f t="shared" si="45"/>
        <v>0</v>
      </c>
      <c r="BB53" s="4438">
        <f t="shared" si="46"/>
        <v>0</v>
      </c>
      <c r="BC53" s="4438">
        <f t="shared" si="47"/>
        <v>0</v>
      </c>
      <c r="BD53" s="4438">
        <f t="shared" si="48"/>
        <v>0</v>
      </c>
      <c r="BE53" s="4438">
        <f t="shared" si="49"/>
        <v>0</v>
      </c>
      <c r="BF53" s="4438">
        <f t="shared" si="50"/>
        <v>0</v>
      </c>
      <c r="BG53" s="4438">
        <f t="shared" si="51"/>
        <v>0</v>
      </c>
      <c r="BH53" s="4438">
        <f t="shared" si="52"/>
        <v>0</v>
      </c>
      <c r="BI53" s="4438">
        <f t="shared" si="53"/>
        <v>0</v>
      </c>
      <c r="BJ53" s="4438">
        <f t="shared" si="54"/>
        <v>0</v>
      </c>
      <c r="BK53" s="4438">
        <f t="shared" si="55"/>
        <v>0</v>
      </c>
      <c r="BL53" s="4438">
        <f t="shared" si="56"/>
        <v>0</v>
      </c>
      <c r="BM53" s="4438">
        <f t="shared" si="57"/>
        <v>0</v>
      </c>
      <c r="BN53" s="4438">
        <f t="shared" si="58"/>
        <v>0</v>
      </c>
      <c r="BO53" s="4438">
        <f t="shared" si="59"/>
        <v>0</v>
      </c>
      <c r="BP53" s="4438">
        <f t="shared" si="60"/>
        <v>0</v>
      </c>
      <c r="BQ53" s="4438">
        <f t="shared" si="61"/>
        <v>0</v>
      </c>
      <c r="BR53" s="4438">
        <f t="shared" si="62"/>
        <v>0</v>
      </c>
      <c r="BS53" s="4438">
        <f t="shared" si="63"/>
        <v>0</v>
      </c>
      <c r="BT53" s="4438">
        <f t="shared" si="64"/>
        <v>0</v>
      </c>
      <c r="BU53" s="4438">
        <f t="shared" si="65"/>
        <v>0</v>
      </c>
      <c r="BV53" s="4438">
        <f t="shared" si="66"/>
        <v>0</v>
      </c>
      <c r="BW53" s="4438">
        <f t="shared" si="67"/>
        <v>0</v>
      </c>
      <c r="BX53" s="4438">
        <f t="shared" si="68"/>
        <v>0</v>
      </c>
      <c r="BY53" s="4438">
        <f t="shared" si="69"/>
        <v>0</v>
      </c>
      <c r="BZ53" s="4438">
        <f t="shared" si="70"/>
        <v>0</v>
      </c>
      <c r="CA53" s="4438">
        <f t="shared" si="71"/>
        <v>0</v>
      </c>
      <c r="CB53" s="4438">
        <f t="shared" si="72"/>
        <v>0</v>
      </c>
      <c r="CC53" s="4438">
        <f t="shared" si="73"/>
        <v>0</v>
      </c>
      <c r="CD53" s="4438">
        <f t="shared" si="74"/>
        <v>0</v>
      </c>
      <c r="CE53" s="4438">
        <f t="shared" si="75"/>
        <v>0</v>
      </c>
      <c r="CF53" s="4438">
        <f t="shared" si="76"/>
        <v>0</v>
      </c>
    </row>
    <row r="54" spans="1:84">
      <c r="A54" s="2117"/>
      <c r="B54" s="2139">
        <v>20503</v>
      </c>
      <c r="C54" s="2139" t="s">
        <v>1834</v>
      </c>
      <c r="D54" s="2102">
        <v>0.1</v>
      </c>
      <c r="E54" s="2140" t="s">
        <v>673</v>
      </c>
      <c r="F54" s="2158">
        <f t="shared" si="96"/>
        <v>0</v>
      </c>
      <c r="G54" s="2160">
        <f t="shared" si="96"/>
        <v>0</v>
      </c>
      <c r="H54" s="2159">
        <f t="shared" si="96"/>
        <v>0</v>
      </c>
      <c r="I54" s="2160">
        <f t="shared" si="96"/>
        <v>0</v>
      </c>
      <c r="J54" s="2161">
        <f t="shared" si="96"/>
        <v>0</v>
      </c>
      <c r="K54" s="2161">
        <f t="shared" si="96"/>
        <v>0</v>
      </c>
      <c r="L54" s="2161">
        <f t="shared" si="96"/>
        <v>0</v>
      </c>
      <c r="M54" s="2161">
        <f t="shared" si="96"/>
        <v>0</v>
      </c>
      <c r="N54" s="2141">
        <f t="shared" si="77"/>
        <v>0</v>
      </c>
      <c r="O54" s="4584">
        <v>0</v>
      </c>
      <c r="P54" s="264">
        <v>0</v>
      </c>
      <c r="Q54" s="1254">
        <v>0</v>
      </c>
      <c r="R54" s="1255"/>
      <c r="S54" s="1256"/>
      <c r="T54" s="1256"/>
      <c r="U54" s="1256"/>
      <c r="V54" s="1256"/>
      <c r="W54" s="1253"/>
      <c r="X54" s="1255"/>
      <c r="Y54" s="1254"/>
      <c r="Z54" s="1255"/>
      <c r="AA54" s="1256"/>
      <c r="AB54" s="1256"/>
      <c r="AC54" s="1256"/>
      <c r="AD54" s="1256"/>
      <c r="AE54" s="1253"/>
      <c r="AF54" s="1255"/>
      <c r="AG54" s="1254"/>
      <c r="AH54" s="1255"/>
      <c r="AI54" s="1256"/>
      <c r="AJ54" s="1256"/>
      <c r="AK54" s="1256"/>
      <c r="AL54" s="1257"/>
      <c r="AM54" s="1258"/>
      <c r="AN54" s="1260"/>
      <c r="AO54" s="2109" t="s">
        <v>676</v>
      </c>
      <c r="AP54" s="1255"/>
      <c r="AQ54" s="1255"/>
      <c r="AR54" s="1254"/>
      <c r="AS54" s="1255"/>
      <c r="AT54" s="1256"/>
      <c r="AU54" s="1256"/>
      <c r="AV54" s="1256"/>
      <c r="AW54" s="1254"/>
      <c r="AX54" s="2110" t="s">
        <v>375</v>
      </c>
      <c r="AY54" s="4422"/>
      <c r="AZ54" s="4438">
        <f t="shared" si="44"/>
        <v>0</v>
      </c>
      <c r="BA54" s="4438">
        <f t="shared" si="45"/>
        <v>0</v>
      </c>
      <c r="BB54" s="4438">
        <f t="shared" si="46"/>
        <v>0</v>
      </c>
      <c r="BC54" s="4438">
        <f t="shared" si="47"/>
        <v>0</v>
      </c>
      <c r="BD54" s="4438">
        <f t="shared" si="48"/>
        <v>0</v>
      </c>
      <c r="BE54" s="4438">
        <f t="shared" si="49"/>
        <v>0</v>
      </c>
      <c r="BF54" s="4438">
        <f t="shared" si="50"/>
        <v>0</v>
      </c>
      <c r="BG54" s="4438">
        <f t="shared" si="51"/>
        <v>0</v>
      </c>
      <c r="BH54" s="4438">
        <f t="shared" si="52"/>
        <v>0</v>
      </c>
      <c r="BI54" s="4438">
        <f t="shared" si="53"/>
        <v>0</v>
      </c>
      <c r="BJ54" s="4438">
        <f t="shared" si="54"/>
        <v>0</v>
      </c>
      <c r="BK54" s="4438">
        <f t="shared" si="55"/>
        <v>0</v>
      </c>
      <c r="BL54" s="4438">
        <f t="shared" si="56"/>
        <v>0</v>
      </c>
      <c r="BM54" s="4438">
        <f t="shared" si="57"/>
        <v>0</v>
      </c>
      <c r="BN54" s="4438">
        <f t="shared" si="58"/>
        <v>0</v>
      </c>
      <c r="BO54" s="4438">
        <f t="shared" si="59"/>
        <v>0</v>
      </c>
      <c r="BP54" s="4438">
        <f t="shared" si="60"/>
        <v>0</v>
      </c>
      <c r="BQ54" s="4438">
        <f t="shared" si="61"/>
        <v>0</v>
      </c>
      <c r="BR54" s="4438">
        <f t="shared" si="62"/>
        <v>0</v>
      </c>
      <c r="BS54" s="4438">
        <f t="shared" si="63"/>
        <v>0</v>
      </c>
      <c r="BT54" s="4438">
        <f t="shared" si="64"/>
        <v>0</v>
      </c>
      <c r="BU54" s="4438">
        <f t="shared" si="65"/>
        <v>0</v>
      </c>
      <c r="BV54" s="4438">
        <f t="shared" si="66"/>
        <v>0</v>
      </c>
      <c r="BW54" s="4438">
        <f t="shared" si="67"/>
        <v>0</v>
      </c>
      <c r="BX54" s="4438">
        <f t="shared" si="68"/>
        <v>0</v>
      </c>
      <c r="BY54" s="4438">
        <f t="shared" si="69"/>
        <v>0</v>
      </c>
      <c r="BZ54" s="4438">
        <f t="shared" si="70"/>
        <v>0</v>
      </c>
      <c r="CA54" s="4438">
        <f t="shared" si="71"/>
        <v>0</v>
      </c>
      <c r="CB54" s="4438">
        <f t="shared" si="72"/>
        <v>0</v>
      </c>
      <c r="CC54" s="4438">
        <f t="shared" si="73"/>
        <v>0</v>
      </c>
      <c r="CD54" s="4438">
        <f t="shared" si="74"/>
        <v>0</v>
      </c>
      <c r="CE54" s="4438">
        <f t="shared" si="75"/>
        <v>0</v>
      </c>
      <c r="CF54" s="4438">
        <f t="shared" si="76"/>
        <v>0</v>
      </c>
    </row>
    <row r="55" spans="1:84" ht="24">
      <c r="A55" s="2117"/>
      <c r="B55" s="2139">
        <v>20303</v>
      </c>
      <c r="C55" s="2139" t="s">
        <v>1835</v>
      </c>
      <c r="D55" s="2102">
        <v>0.1</v>
      </c>
      <c r="E55" s="2140" t="s">
        <v>389</v>
      </c>
      <c r="F55" s="2158">
        <f t="shared" si="96"/>
        <v>0</v>
      </c>
      <c r="G55" s="2160">
        <f t="shared" si="96"/>
        <v>0</v>
      </c>
      <c r="H55" s="2159">
        <f t="shared" si="96"/>
        <v>0</v>
      </c>
      <c r="I55" s="2160">
        <f t="shared" si="96"/>
        <v>0</v>
      </c>
      <c r="J55" s="2161">
        <f t="shared" si="96"/>
        <v>0</v>
      </c>
      <c r="K55" s="2161">
        <f t="shared" si="96"/>
        <v>0</v>
      </c>
      <c r="L55" s="2161">
        <f t="shared" si="96"/>
        <v>0</v>
      </c>
      <c r="M55" s="2161">
        <f t="shared" si="96"/>
        <v>0</v>
      </c>
      <c r="N55" s="2141">
        <f t="shared" si="77"/>
        <v>0</v>
      </c>
      <c r="O55" s="4584">
        <v>0</v>
      </c>
      <c r="P55" s="264">
        <v>0</v>
      </c>
      <c r="Q55" s="1254">
        <v>0</v>
      </c>
      <c r="R55" s="1255"/>
      <c r="S55" s="1256"/>
      <c r="T55" s="1256"/>
      <c r="U55" s="1256"/>
      <c r="V55" s="1256"/>
      <c r="W55" s="1253"/>
      <c r="X55" s="1255"/>
      <c r="Y55" s="1254"/>
      <c r="Z55" s="1255"/>
      <c r="AA55" s="1256"/>
      <c r="AB55" s="1256"/>
      <c r="AC55" s="1256"/>
      <c r="AD55" s="1256"/>
      <c r="AE55" s="1253"/>
      <c r="AF55" s="1255"/>
      <c r="AG55" s="1254"/>
      <c r="AH55" s="1255"/>
      <c r="AI55" s="1256"/>
      <c r="AJ55" s="1256"/>
      <c r="AK55" s="1256"/>
      <c r="AL55" s="1257"/>
      <c r="AM55" s="1258"/>
      <c r="AN55" s="1260"/>
      <c r="AO55" s="2109" t="s">
        <v>676</v>
      </c>
      <c r="AP55" s="1255"/>
      <c r="AQ55" s="1255"/>
      <c r="AR55" s="1254"/>
      <c r="AS55" s="1255"/>
      <c r="AT55" s="1256"/>
      <c r="AU55" s="1256"/>
      <c r="AV55" s="1256"/>
      <c r="AW55" s="1254"/>
      <c r="AX55" s="2110" t="s">
        <v>375</v>
      </c>
      <c r="AY55" s="4422"/>
      <c r="AZ55" s="4438">
        <f t="shared" si="44"/>
        <v>0</v>
      </c>
      <c r="BA55" s="4438">
        <f t="shared" si="45"/>
        <v>0</v>
      </c>
      <c r="BB55" s="4438">
        <f t="shared" si="46"/>
        <v>0</v>
      </c>
      <c r="BC55" s="4438">
        <f t="shared" si="47"/>
        <v>0</v>
      </c>
      <c r="BD55" s="4438">
        <f t="shared" si="48"/>
        <v>0</v>
      </c>
      <c r="BE55" s="4438">
        <f t="shared" si="49"/>
        <v>0</v>
      </c>
      <c r="BF55" s="4438">
        <f t="shared" si="50"/>
        <v>0</v>
      </c>
      <c r="BG55" s="4438">
        <f t="shared" si="51"/>
        <v>0</v>
      </c>
      <c r="BH55" s="4438">
        <f t="shared" si="52"/>
        <v>0</v>
      </c>
      <c r="BI55" s="4438">
        <f t="shared" si="53"/>
        <v>0</v>
      </c>
      <c r="BJ55" s="4438">
        <f t="shared" si="54"/>
        <v>0</v>
      </c>
      <c r="BK55" s="4438">
        <f t="shared" si="55"/>
        <v>0</v>
      </c>
      <c r="BL55" s="4438">
        <f t="shared" si="56"/>
        <v>0</v>
      </c>
      <c r="BM55" s="4438">
        <f t="shared" si="57"/>
        <v>0</v>
      </c>
      <c r="BN55" s="4438">
        <f t="shared" si="58"/>
        <v>0</v>
      </c>
      <c r="BO55" s="4438">
        <f t="shared" si="59"/>
        <v>0</v>
      </c>
      <c r="BP55" s="4438">
        <f t="shared" si="60"/>
        <v>0</v>
      </c>
      <c r="BQ55" s="4438">
        <f t="shared" si="61"/>
        <v>0</v>
      </c>
      <c r="BR55" s="4438">
        <f t="shared" si="62"/>
        <v>0</v>
      </c>
      <c r="BS55" s="4438">
        <f t="shared" si="63"/>
        <v>0</v>
      </c>
      <c r="BT55" s="4438">
        <f t="shared" si="64"/>
        <v>0</v>
      </c>
      <c r="BU55" s="4438">
        <f t="shared" si="65"/>
        <v>0</v>
      </c>
      <c r="BV55" s="4438">
        <f t="shared" si="66"/>
        <v>0</v>
      </c>
      <c r="BW55" s="4438">
        <f t="shared" si="67"/>
        <v>0</v>
      </c>
      <c r="BX55" s="4438">
        <f t="shared" si="68"/>
        <v>0</v>
      </c>
      <c r="BY55" s="4438">
        <f t="shared" si="69"/>
        <v>0</v>
      </c>
      <c r="BZ55" s="4438">
        <f t="shared" si="70"/>
        <v>0</v>
      </c>
      <c r="CA55" s="4438">
        <f t="shared" si="71"/>
        <v>0</v>
      </c>
      <c r="CB55" s="4438">
        <f t="shared" si="72"/>
        <v>0</v>
      </c>
      <c r="CC55" s="4438">
        <f t="shared" si="73"/>
        <v>0</v>
      </c>
      <c r="CD55" s="4438">
        <f t="shared" si="74"/>
        <v>0</v>
      </c>
      <c r="CE55" s="4438">
        <f t="shared" si="75"/>
        <v>0</v>
      </c>
      <c r="CF55" s="4438">
        <f t="shared" si="76"/>
        <v>0</v>
      </c>
    </row>
    <row r="56" spans="1:84" ht="24.75" thickBot="1">
      <c r="A56" s="2118"/>
      <c r="B56" s="2150">
        <v>20306</v>
      </c>
      <c r="C56" s="2150" t="s">
        <v>1836</v>
      </c>
      <c r="D56" s="2120">
        <v>0.1</v>
      </c>
      <c r="E56" s="2151" t="s">
        <v>710</v>
      </c>
      <c r="F56" s="2162">
        <f t="shared" si="96"/>
        <v>1</v>
      </c>
      <c r="G56" s="2164">
        <f t="shared" si="96"/>
        <v>50</v>
      </c>
      <c r="H56" s="2163">
        <f t="shared" si="96"/>
        <v>1</v>
      </c>
      <c r="I56" s="2164">
        <f t="shared" si="96"/>
        <v>0</v>
      </c>
      <c r="J56" s="2165">
        <f t="shared" si="96"/>
        <v>0</v>
      </c>
      <c r="K56" s="2165">
        <f t="shared" si="96"/>
        <v>0</v>
      </c>
      <c r="L56" s="2165">
        <f t="shared" si="96"/>
        <v>0</v>
      </c>
      <c r="M56" s="2165">
        <f t="shared" si="96"/>
        <v>0</v>
      </c>
      <c r="N56" s="2152">
        <f t="shared" si="77"/>
        <v>0</v>
      </c>
      <c r="O56" s="4584">
        <v>1</v>
      </c>
      <c r="P56" s="4584">
        <v>50</v>
      </c>
      <c r="Q56" s="1262">
        <v>1</v>
      </c>
      <c r="R56" s="1263"/>
      <c r="S56" s="1264"/>
      <c r="T56" s="1264"/>
      <c r="U56" s="1264"/>
      <c r="V56" s="1264"/>
      <c r="W56" s="1261"/>
      <c r="X56" s="1263"/>
      <c r="Y56" s="1262"/>
      <c r="Z56" s="1263"/>
      <c r="AA56" s="1264"/>
      <c r="AB56" s="1264"/>
      <c r="AC56" s="1264"/>
      <c r="AD56" s="1264"/>
      <c r="AE56" s="1261"/>
      <c r="AF56" s="1263"/>
      <c r="AG56" s="1262"/>
      <c r="AH56" s="1263"/>
      <c r="AI56" s="1264"/>
      <c r="AJ56" s="1264"/>
      <c r="AK56" s="1264"/>
      <c r="AL56" s="1265"/>
      <c r="AM56" s="1266"/>
      <c r="AN56" s="1267"/>
      <c r="AO56" s="2123" t="s">
        <v>676</v>
      </c>
      <c r="AP56" s="1263">
        <v>1</v>
      </c>
      <c r="AQ56" s="1263">
        <v>1</v>
      </c>
      <c r="AR56" s="1262"/>
      <c r="AS56" s="1263"/>
      <c r="AT56" s="1264"/>
      <c r="AU56" s="1264"/>
      <c r="AV56" s="1264"/>
      <c r="AW56" s="1262"/>
      <c r="AX56" s="2124" t="s">
        <v>375</v>
      </c>
      <c r="AY56" s="4422"/>
      <c r="AZ56" s="4438">
        <f t="shared" si="44"/>
        <v>0.51129188119621849</v>
      </c>
      <c r="BA56" s="4438">
        <f t="shared" si="45"/>
        <v>25.564594059810926</v>
      </c>
      <c r="BB56" s="4438">
        <f t="shared" si="46"/>
        <v>0.51129188119621849</v>
      </c>
      <c r="BC56" s="4438">
        <f t="shared" si="47"/>
        <v>0</v>
      </c>
      <c r="BD56" s="4438">
        <f t="shared" si="48"/>
        <v>0</v>
      </c>
      <c r="BE56" s="4438">
        <f t="shared" si="49"/>
        <v>0</v>
      </c>
      <c r="BF56" s="4438">
        <f t="shared" si="50"/>
        <v>0</v>
      </c>
      <c r="BG56" s="4438">
        <f t="shared" si="51"/>
        <v>0</v>
      </c>
      <c r="BH56" s="4438">
        <f t="shared" si="52"/>
        <v>0</v>
      </c>
      <c r="BI56" s="4438">
        <f t="shared" si="53"/>
        <v>0.51129188119621849</v>
      </c>
      <c r="BJ56" s="4438">
        <f t="shared" si="54"/>
        <v>25.564594059810926</v>
      </c>
      <c r="BK56" s="4438">
        <f t="shared" si="55"/>
        <v>0.51129188119621849</v>
      </c>
      <c r="BL56" s="4438">
        <f t="shared" si="56"/>
        <v>0</v>
      </c>
      <c r="BM56" s="4438">
        <f t="shared" si="57"/>
        <v>0</v>
      </c>
      <c r="BN56" s="4438">
        <f t="shared" si="58"/>
        <v>0</v>
      </c>
      <c r="BO56" s="4438">
        <f t="shared" si="59"/>
        <v>0</v>
      </c>
      <c r="BP56" s="4438">
        <f t="shared" si="60"/>
        <v>0</v>
      </c>
      <c r="BQ56" s="4438">
        <f t="shared" si="61"/>
        <v>0</v>
      </c>
      <c r="BR56" s="4438">
        <f t="shared" si="62"/>
        <v>0</v>
      </c>
      <c r="BS56" s="4438">
        <f t="shared" si="63"/>
        <v>0</v>
      </c>
      <c r="BT56" s="4438">
        <f t="shared" si="64"/>
        <v>0</v>
      </c>
      <c r="BU56" s="4438">
        <f t="shared" si="65"/>
        <v>0</v>
      </c>
      <c r="BV56" s="4438">
        <f t="shared" si="66"/>
        <v>0</v>
      </c>
      <c r="BW56" s="4438">
        <f t="shared" si="67"/>
        <v>0</v>
      </c>
      <c r="BX56" s="4438">
        <f t="shared" si="68"/>
        <v>0</v>
      </c>
      <c r="BY56" s="4438">
        <f t="shared" si="69"/>
        <v>0</v>
      </c>
      <c r="BZ56" s="4438">
        <f t="shared" si="70"/>
        <v>0</v>
      </c>
      <c r="CA56" s="4438">
        <f t="shared" si="71"/>
        <v>0</v>
      </c>
      <c r="CB56" s="4438">
        <f t="shared" si="72"/>
        <v>0</v>
      </c>
      <c r="CC56" s="4438">
        <f t="shared" si="73"/>
        <v>0</v>
      </c>
      <c r="CD56" s="4438">
        <f t="shared" si="74"/>
        <v>0</v>
      </c>
      <c r="CE56" s="4438">
        <f t="shared" si="75"/>
        <v>0</v>
      </c>
      <c r="CF56" s="4438">
        <f t="shared" si="76"/>
        <v>0</v>
      </c>
    </row>
    <row r="57" spans="1:84" ht="13.5" thickBot="1">
      <c r="A57" s="2068">
        <v>1.4</v>
      </c>
      <c r="B57" s="2068"/>
      <c r="C57" s="2068"/>
      <c r="D57" s="2069"/>
      <c r="E57" s="2070" t="s">
        <v>1212</v>
      </c>
      <c r="F57" s="2071">
        <f t="shared" ref="F57" si="97">SUM(F58:F59)</f>
        <v>284</v>
      </c>
      <c r="G57" s="4072">
        <f t="shared" ref="G57:AL57" si="98">SUM(G58:G59)</f>
        <v>622</v>
      </c>
      <c r="H57" s="2072">
        <f t="shared" si="98"/>
        <v>252</v>
      </c>
      <c r="I57" s="2073">
        <f t="shared" si="98"/>
        <v>1216</v>
      </c>
      <c r="J57" s="2074">
        <f t="shared" si="98"/>
        <v>1459</v>
      </c>
      <c r="K57" s="2074">
        <f t="shared" si="98"/>
        <v>1079</v>
      </c>
      <c r="L57" s="2074">
        <f t="shared" si="98"/>
        <v>935.2</v>
      </c>
      <c r="M57" s="2125">
        <f t="shared" si="98"/>
        <v>962</v>
      </c>
      <c r="N57" s="2126">
        <f t="shared" si="98"/>
        <v>5651.2000000000007</v>
      </c>
      <c r="O57" s="2077">
        <f t="shared" ref="O57" si="99">SUM(O58:O59)</f>
        <v>284</v>
      </c>
      <c r="P57" s="4088">
        <f t="shared" si="98"/>
        <v>622</v>
      </c>
      <c r="Q57" s="2078">
        <f t="shared" si="98"/>
        <v>252</v>
      </c>
      <c r="R57" s="2079">
        <f t="shared" si="98"/>
        <v>1216</v>
      </c>
      <c r="S57" s="2080">
        <f t="shared" si="98"/>
        <v>1459</v>
      </c>
      <c r="T57" s="2080">
        <f t="shared" si="98"/>
        <v>1079</v>
      </c>
      <c r="U57" s="2080">
        <f t="shared" si="98"/>
        <v>935.2</v>
      </c>
      <c r="V57" s="2081">
        <f t="shared" si="98"/>
        <v>962</v>
      </c>
      <c r="W57" s="2077">
        <f t="shared" ref="W57" si="100">SUM(W58:W59)</f>
        <v>0</v>
      </c>
      <c r="X57" s="4088">
        <f t="shared" si="98"/>
        <v>0</v>
      </c>
      <c r="Y57" s="2078">
        <f t="shared" si="98"/>
        <v>0</v>
      </c>
      <c r="Z57" s="2079">
        <f t="shared" si="98"/>
        <v>0</v>
      </c>
      <c r="AA57" s="2080">
        <f t="shared" si="98"/>
        <v>0</v>
      </c>
      <c r="AB57" s="2080">
        <f t="shared" si="98"/>
        <v>0</v>
      </c>
      <c r="AC57" s="2080">
        <f t="shared" si="98"/>
        <v>0</v>
      </c>
      <c r="AD57" s="2081">
        <f t="shared" si="98"/>
        <v>0</v>
      </c>
      <c r="AE57" s="2077">
        <f t="shared" ref="AE57" si="101">SUM(AE58:AE59)</f>
        <v>0</v>
      </c>
      <c r="AF57" s="4088">
        <f t="shared" si="98"/>
        <v>0</v>
      </c>
      <c r="AG57" s="2078">
        <f t="shared" si="98"/>
        <v>0</v>
      </c>
      <c r="AH57" s="2079">
        <f t="shared" si="98"/>
        <v>0</v>
      </c>
      <c r="AI57" s="2080">
        <f t="shared" si="98"/>
        <v>0</v>
      </c>
      <c r="AJ57" s="2080">
        <f t="shared" si="98"/>
        <v>0</v>
      </c>
      <c r="AK57" s="2080">
        <f t="shared" si="98"/>
        <v>0</v>
      </c>
      <c r="AL57" s="2082">
        <f t="shared" si="98"/>
        <v>0</v>
      </c>
      <c r="AM57" s="2127"/>
      <c r="AN57" s="2128"/>
      <c r="AO57" s="2127"/>
      <c r="AP57" s="2129"/>
      <c r="AQ57" s="2129"/>
      <c r="AR57" s="2129"/>
      <c r="AS57" s="2130"/>
      <c r="AT57" s="2130"/>
      <c r="AU57" s="2130"/>
      <c r="AV57" s="2130"/>
      <c r="AW57" s="2131"/>
      <c r="AX57" s="2132"/>
      <c r="AY57" s="4422"/>
      <c r="AZ57" s="4438">
        <f t="shared" si="44"/>
        <v>145.20689425972606</v>
      </c>
      <c r="BA57" s="4438">
        <f t="shared" si="45"/>
        <v>318.0235501040479</v>
      </c>
      <c r="BB57" s="4438">
        <f t="shared" si="46"/>
        <v>128.84555406144707</v>
      </c>
      <c r="BC57" s="4438">
        <f t="shared" si="47"/>
        <v>621.73092753460173</v>
      </c>
      <c r="BD57" s="4438">
        <f t="shared" si="48"/>
        <v>745.97485466528281</v>
      </c>
      <c r="BE57" s="4438">
        <f t="shared" si="49"/>
        <v>551.68393981071972</v>
      </c>
      <c r="BF57" s="4438">
        <f t="shared" si="50"/>
        <v>478.16016729470357</v>
      </c>
      <c r="BG57" s="4438">
        <f t="shared" si="51"/>
        <v>491.86278971076217</v>
      </c>
      <c r="BH57" s="4438">
        <f t="shared" si="52"/>
        <v>2889.4126790160703</v>
      </c>
      <c r="BI57" s="4438">
        <f t="shared" si="53"/>
        <v>145.20689425972606</v>
      </c>
      <c r="BJ57" s="4438">
        <f t="shared" si="54"/>
        <v>318.0235501040479</v>
      </c>
      <c r="BK57" s="4438">
        <f t="shared" si="55"/>
        <v>128.84555406144707</v>
      </c>
      <c r="BL57" s="4438">
        <f t="shared" si="56"/>
        <v>621.73092753460173</v>
      </c>
      <c r="BM57" s="4438">
        <f t="shared" si="57"/>
        <v>745.97485466528281</v>
      </c>
      <c r="BN57" s="4438">
        <f t="shared" si="58"/>
        <v>551.68393981071972</v>
      </c>
      <c r="BO57" s="4438">
        <f t="shared" si="59"/>
        <v>478.16016729470357</v>
      </c>
      <c r="BP57" s="4438">
        <f t="shared" si="60"/>
        <v>491.86278971076217</v>
      </c>
      <c r="BQ57" s="4438">
        <f t="shared" si="61"/>
        <v>0</v>
      </c>
      <c r="BR57" s="4438">
        <f t="shared" si="62"/>
        <v>0</v>
      </c>
      <c r="BS57" s="4438">
        <f t="shared" si="63"/>
        <v>0</v>
      </c>
      <c r="BT57" s="4438">
        <f t="shared" si="64"/>
        <v>0</v>
      </c>
      <c r="BU57" s="4438">
        <f t="shared" si="65"/>
        <v>0</v>
      </c>
      <c r="BV57" s="4438">
        <f t="shared" si="66"/>
        <v>0</v>
      </c>
      <c r="BW57" s="4438">
        <f t="shared" si="67"/>
        <v>0</v>
      </c>
      <c r="BX57" s="4438">
        <f t="shared" si="68"/>
        <v>0</v>
      </c>
      <c r="BY57" s="4438">
        <f t="shared" si="69"/>
        <v>0</v>
      </c>
      <c r="BZ57" s="4438">
        <f t="shared" si="70"/>
        <v>0</v>
      </c>
      <c r="CA57" s="4438">
        <f t="shared" si="71"/>
        <v>0</v>
      </c>
      <c r="CB57" s="4438">
        <f t="shared" si="72"/>
        <v>0</v>
      </c>
      <c r="CC57" s="4438">
        <f t="shared" si="73"/>
        <v>0</v>
      </c>
      <c r="CD57" s="4438">
        <f t="shared" si="74"/>
        <v>0</v>
      </c>
      <c r="CE57" s="4438">
        <f t="shared" si="75"/>
        <v>0</v>
      </c>
      <c r="CF57" s="4438">
        <f t="shared" si="76"/>
        <v>0</v>
      </c>
    </row>
    <row r="58" spans="1:84" ht="25.5">
      <c r="A58" s="2133"/>
      <c r="B58" s="2134">
        <v>2030501</v>
      </c>
      <c r="C58" s="2134" t="s">
        <v>1837</v>
      </c>
      <c r="D58" s="2166">
        <v>0.1</v>
      </c>
      <c r="E58" s="2153" t="s">
        <v>390</v>
      </c>
      <c r="F58" s="2105">
        <f t="shared" ref="F58:M59" si="102">O58+W58+AE58</f>
        <v>267</v>
      </c>
      <c r="G58" s="4074">
        <f t="shared" si="102"/>
        <v>354</v>
      </c>
      <c r="H58" s="2104">
        <f t="shared" si="102"/>
        <v>252</v>
      </c>
      <c r="I58" s="2105">
        <f t="shared" si="102"/>
        <v>486.4</v>
      </c>
      <c r="J58" s="2106">
        <f t="shared" si="102"/>
        <v>583.6</v>
      </c>
      <c r="K58" s="2106">
        <f t="shared" si="102"/>
        <v>431.6</v>
      </c>
      <c r="L58" s="2106">
        <f t="shared" si="102"/>
        <v>435.2</v>
      </c>
      <c r="M58" s="2106">
        <f t="shared" si="102"/>
        <v>462</v>
      </c>
      <c r="N58" s="2136">
        <f t="shared" si="77"/>
        <v>2398.8000000000002</v>
      </c>
      <c r="O58" s="4584">
        <v>267</v>
      </c>
      <c r="P58" s="4629">
        <v>354</v>
      </c>
      <c r="Q58" s="1247">
        <v>252</v>
      </c>
      <c r="R58" s="1248">
        <v>486.4</v>
      </c>
      <c r="S58" s="1249">
        <v>583.6</v>
      </c>
      <c r="T58" s="1249">
        <v>431.6</v>
      </c>
      <c r="U58" s="1249">
        <v>435.2</v>
      </c>
      <c r="V58" s="1249">
        <v>462</v>
      </c>
      <c r="W58" s="1246"/>
      <c r="X58" s="1248"/>
      <c r="Y58" s="1247"/>
      <c r="Z58" s="1248"/>
      <c r="AA58" s="1249"/>
      <c r="AB58" s="1249"/>
      <c r="AC58" s="1249"/>
      <c r="AD58" s="1249"/>
      <c r="AE58" s="1246"/>
      <c r="AF58" s="1248"/>
      <c r="AG58" s="1247"/>
      <c r="AH58" s="1248"/>
      <c r="AI58" s="1249"/>
      <c r="AJ58" s="1249"/>
      <c r="AK58" s="1249"/>
      <c r="AL58" s="1250"/>
      <c r="AM58" s="1251"/>
      <c r="AN58" s="1268" t="s">
        <v>1977</v>
      </c>
      <c r="AO58" s="2098" t="s">
        <v>676</v>
      </c>
      <c r="AP58" s="1248">
        <v>2245</v>
      </c>
      <c r="AQ58" s="1248">
        <v>2385</v>
      </c>
      <c r="AR58" s="1269">
        <v>12600</v>
      </c>
      <c r="AS58" s="1248">
        <v>1500</v>
      </c>
      <c r="AT58" s="1249">
        <v>1600</v>
      </c>
      <c r="AU58" s="1249">
        <v>2000</v>
      </c>
      <c r="AV58" s="1249">
        <v>2000</v>
      </c>
      <c r="AW58" s="1247">
        <v>2500</v>
      </c>
      <c r="AX58" s="2167" t="s">
        <v>657</v>
      </c>
      <c r="AY58" s="4422"/>
      <c r="AZ58" s="4438">
        <f t="shared" si="44"/>
        <v>136.51493227939034</v>
      </c>
      <c r="BA58" s="4438">
        <f t="shared" si="45"/>
        <v>180.99732594346133</v>
      </c>
      <c r="BB58" s="4438">
        <f t="shared" si="46"/>
        <v>128.84555406144707</v>
      </c>
      <c r="BC58" s="4438">
        <f t="shared" si="47"/>
        <v>248.69237101384067</v>
      </c>
      <c r="BD58" s="4438">
        <f t="shared" si="48"/>
        <v>298.38994186611313</v>
      </c>
      <c r="BE58" s="4438">
        <f t="shared" si="49"/>
        <v>220.67357592428792</v>
      </c>
      <c r="BF58" s="4438">
        <f t="shared" si="50"/>
        <v>222.51422669659428</v>
      </c>
      <c r="BG58" s="4438">
        <f t="shared" si="51"/>
        <v>236.21684911265294</v>
      </c>
      <c r="BH58" s="4438">
        <f t="shared" si="52"/>
        <v>1226.4869646134891</v>
      </c>
      <c r="BI58" s="4438">
        <f t="shared" si="53"/>
        <v>136.51493227939034</v>
      </c>
      <c r="BJ58" s="4438">
        <f t="shared" si="54"/>
        <v>180.99732594346133</v>
      </c>
      <c r="BK58" s="4438">
        <f t="shared" si="55"/>
        <v>128.84555406144707</v>
      </c>
      <c r="BL58" s="4438">
        <f t="shared" si="56"/>
        <v>248.69237101384067</v>
      </c>
      <c r="BM58" s="4438">
        <f t="shared" si="57"/>
        <v>298.38994186611313</v>
      </c>
      <c r="BN58" s="4438">
        <f t="shared" si="58"/>
        <v>220.67357592428792</v>
      </c>
      <c r="BO58" s="4438">
        <f t="shared" si="59"/>
        <v>222.51422669659428</v>
      </c>
      <c r="BP58" s="4438">
        <f t="shared" si="60"/>
        <v>236.21684911265294</v>
      </c>
      <c r="BQ58" s="4438">
        <f t="shared" si="61"/>
        <v>0</v>
      </c>
      <c r="BR58" s="4438">
        <f t="shared" si="62"/>
        <v>0</v>
      </c>
      <c r="BS58" s="4438">
        <f t="shared" si="63"/>
        <v>0</v>
      </c>
      <c r="BT58" s="4438">
        <f t="shared" si="64"/>
        <v>0</v>
      </c>
      <c r="BU58" s="4438">
        <f t="shared" si="65"/>
        <v>0</v>
      </c>
      <c r="BV58" s="4438">
        <f t="shared" si="66"/>
        <v>0</v>
      </c>
      <c r="BW58" s="4438">
        <f t="shared" si="67"/>
        <v>0</v>
      </c>
      <c r="BX58" s="4438">
        <f t="shared" si="68"/>
        <v>0</v>
      </c>
      <c r="BY58" s="4438">
        <f t="shared" si="69"/>
        <v>0</v>
      </c>
      <c r="BZ58" s="4438">
        <f t="shared" si="70"/>
        <v>0</v>
      </c>
      <c r="CA58" s="4438">
        <f t="shared" si="71"/>
        <v>0</v>
      </c>
      <c r="CB58" s="4438">
        <f t="shared" si="72"/>
        <v>0</v>
      </c>
      <c r="CC58" s="4438">
        <f t="shared" si="73"/>
        <v>0</v>
      </c>
      <c r="CD58" s="4438">
        <f t="shared" si="74"/>
        <v>0</v>
      </c>
      <c r="CE58" s="4438">
        <f t="shared" si="75"/>
        <v>0</v>
      </c>
      <c r="CF58" s="4438">
        <f t="shared" si="76"/>
        <v>0</v>
      </c>
    </row>
    <row r="59" spans="1:84" ht="26.25" thickBot="1">
      <c r="A59" s="2168"/>
      <c r="B59" s="2150">
        <v>2030501</v>
      </c>
      <c r="C59" s="2150" t="s">
        <v>1838</v>
      </c>
      <c r="D59" s="2169">
        <v>0.1</v>
      </c>
      <c r="E59" s="2170" t="s">
        <v>391</v>
      </c>
      <c r="F59" s="2105">
        <f t="shared" si="102"/>
        <v>17</v>
      </c>
      <c r="G59" s="4074">
        <f t="shared" si="102"/>
        <v>268</v>
      </c>
      <c r="H59" s="2104">
        <f t="shared" si="102"/>
        <v>0</v>
      </c>
      <c r="I59" s="2105">
        <f t="shared" si="102"/>
        <v>729.6</v>
      </c>
      <c r="J59" s="2106">
        <f t="shared" si="102"/>
        <v>875.4</v>
      </c>
      <c r="K59" s="2106">
        <f t="shared" si="102"/>
        <v>647.4</v>
      </c>
      <c r="L59" s="2106">
        <f t="shared" si="102"/>
        <v>500</v>
      </c>
      <c r="M59" s="2106">
        <f t="shared" si="102"/>
        <v>500</v>
      </c>
      <c r="N59" s="2152">
        <f t="shared" si="77"/>
        <v>3252.4</v>
      </c>
      <c r="O59" s="4584">
        <v>17</v>
      </c>
      <c r="P59" s="4632">
        <v>268</v>
      </c>
      <c r="Q59" s="1262">
        <v>0</v>
      </c>
      <c r="R59" s="1263">
        <v>729.6</v>
      </c>
      <c r="S59" s="1263">
        <v>875.4</v>
      </c>
      <c r="T59" s="1263">
        <v>647.4</v>
      </c>
      <c r="U59" s="1263">
        <v>500</v>
      </c>
      <c r="V59" s="1263">
        <v>500</v>
      </c>
      <c r="W59" s="1261"/>
      <c r="X59" s="1263"/>
      <c r="Y59" s="1262"/>
      <c r="Z59" s="1263"/>
      <c r="AA59" s="1263"/>
      <c r="AB59" s="1263"/>
      <c r="AC59" s="1263"/>
      <c r="AD59" s="1263"/>
      <c r="AE59" s="1261"/>
      <c r="AF59" s="1263"/>
      <c r="AG59" s="1262"/>
      <c r="AH59" s="1263"/>
      <c r="AI59" s="1264"/>
      <c r="AJ59" s="1264"/>
      <c r="AK59" s="1264"/>
      <c r="AL59" s="1265"/>
      <c r="AM59" s="1266"/>
      <c r="AN59" s="1267" t="s">
        <v>1977</v>
      </c>
      <c r="AO59" s="2123" t="s">
        <v>676</v>
      </c>
      <c r="AP59" s="1263">
        <v>27</v>
      </c>
      <c r="AQ59" s="1263">
        <v>471</v>
      </c>
      <c r="AR59" s="1270"/>
      <c r="AS59" s="1248">
        <v>2100</v>
      </c>
      <c r="AT59" s="1264">
        <v>2400</v>
      </c>
      <c r="AU59" s="1264">
        <v>2500</v>
      </c>
      <c r="AV59" s="1264">
        <v>2500</v>
      </c>
      <c r="AW59" s="1262">
        <v>3000</v>
      </c>
      <c r="AX59" s="2124" t="s">
        <v>658</v>
      </c>
      <c r="AY59" s="4422"/>
      <c r="AZ59" s="4438">
        <f t="shared" si="44"/>
        <v>8.691961980335714</v>
      </c>
      <c r="BA59" s="4438">
        <f t="shared" si="45"/>
        <v>137.02622416058657</v>
      </c>
      <c r="BB59" s="4438">
        <f t="shared" si="46"/>
        <v>0</v>
      </c>
      <c r="BC59" s="4438">
        <f t="shared" si="47"/>
        <v>373.03855652076101</v>
      </c>
      <c r="BD59" s="4438">
        <f t="shared" si="48"/>
        <v>447.58491279916967</v>
      </c>
      <c r="BE59" s="4438">
        <f t="shared" si="49"/>
        <v>331.01036388643183</v>
      </c>
      <c r="BF59" s="4438">
        <f t="shared" si="50"/>
        <v>255.64594059810923</v>
      </c>
      <c r="BG59" s="4438">
        <f t="shared" si="51"/>
        <v>255.64594059810923</v>
      </c>
      <c r="BH59" s="4438">
        <f t="shared" si="52"/>
        <v>1662.925714402581</v>
      </c>
      <c r="BI59" s="4438">
        <f t="shared" si="53"/>
        <v>8.691961980335714</v>
      </c>
      <c r="BJ59" s="4438">
        <f t="shared" si="54"/>
        <v>137.02622416058657</v>
      </c>
      <c r="BK59" s="4438">
        <f t="shared" si="55"/>
        <v>0</v>
      </c>
      <c r="BL59" s="4438">
        <f t="shared" si="56"/>
        <v>373.03855652076101</v>
      </c>
      <c r="BM59" s="4438">
        <f t="shared" si="57"/>
        <v>447.58491279916967</v>
      </c>
      <c r="BN59" s="4438">
        <f t="shared" si="58"/>
        <v>331.01036388643183</v>
      </c>
      <c r="BO59" s="4438">
        <f t="shared" si="59"/>
        <v>255.64594059810923</v>
      </c>
      <c r="BP59" s="4438">
        <f t="shared" si="60"/>
        <v>255.64594059810923</v>
      </c>
      <c r="BQ59" s="4438">
        <f t="shared" si="61"/>
        <v>0</v>
      </c>
      <c r="BR59" s="4438">
        <f t="shared" si="62"/>
        <v>0</v>
      </c>
      <c r="BS59" s="4438">
        <f t="shared" si="63"/>
        <v>0</v>
      </c>
      <c r="BT59" s="4438">
        <f t="shared" si="64"/>
        <v>0</v>
      </c>
      <c r="BU59" s="4438">
        <f t="shared" si="65"/>
        <v>0</v>
      </c>
      <c r="BV59" s="4438">
        <f t="shared" si="66"/>
        <v>0</v>
      </c>
      <c r="BW59" s="4438">
        <f t="shared" si="67"/>
        <v>0</v>
      </c>
      <c r="BX59" s="4438">
        <f t="shared" si="68"/>
        <v>0</v>
      </c>
      <c r="BY59" s="4438">
        <f t="shared" si="69"/>
        <v>0</v>
      </c>
      <c r="BZ59" s="4438">
        <f t="shared" si="70"/>
        <v>0</v>
      </c>
      <c r="CA59" s="4438">
        <f t="shared" si="71"/>
        <v>0</v>
      </c>
      <c r="CB59" s="4438">
        <f t="shared" si="72"/>
        <v>0</v>
      </c>
      <c r="CC59" s="4438">
        <f t="shared" si="73"/>
        <v>0</v>
      </c>
      <c r="CD59" s="4438">
        <f t="shared" si="74"/>
        <v>0</v>
      </c>
      <c r="CE59" s="4438">
        <f t="shared" si="75"/>
        <v>0</v>
      </c>
      <c r="CF59" s="4438">
        <f t="shared" si="76"/>
        <v>0</v>
      </c>
    </row>
    <row r="60" spans="1:84" ht="24.75" thickBot="1">
      <c r="A60" s="2068">
        <v>1.5</v>
      </c>
      <c r="B60" s="2068"/>
      <c r="C60" s="2068"/>
      <c r="D60" s="2069"/>
      <c r="E60" s="2070" t="s">
        <v>1213</v>
      </c>
      <c r="F60" s="2071">
        <f t="shared" ref="F60" si="103">SUM(F61:F71)</f>
        <v>94</v>
      </c>
      <c r="G60" s="4072">
        <f t="shared" ref="G60:AL60" si="104">SUM(G61:G71)</f>
        <v>102</v>
      </c>
      <c r="H60" s="2072">
        <f t="shared" si="104"/>
        <v>155</v>
      </c>
      <c r="I60" s="2073">
        <f t="shared" si="104"/>
        <v>68</v>
      </c>
      <c r="J60" s="2074">
        <f t="shared" si="104"/>
        <v>23</v>
      </c>
      <c r="K60" s="2074">
        <f t="shared" si="104"/>
        <v>23</v>
      </c>
      <c r="L60" s="2074">
        <f t="shared" si="104"/>
        <v>23</v>
      </c>
      <c r="M60" s="2125">
        <f t="shared" si="104"/>
        <v>23</v>
      </c>
      <c r="N60" s="2126">
        <f t="shared" si="104"/>
        <v>160</v>
      </c>
      <c r="O60" s="2077">
        <f t="shared" ref="O60" si="105">SUM(O61:O71)</f>
        <v>94</v>
      </c>
      <c r="P60" s="4088">
        <f t="shared" si="104"/>
        <v>102</v>
      </c>
      <c r="Q60" s="2078">
        <f t="shared" si="104"/>
        <v>155</v>
      </c>
      <c r="R60" s="2079">
        <f t="shared" si="104"/>
        <v>68</v>
      </c>
      <c r="S60" s="2080">
        <f t="shared" si="104"/>
        <v>23</v>
      </c>
      <c r="T60" s="2080">
        <f t="shared" si="104"/>
        <v>23</v>
      </c>
      <c r="U60" s="2080">
        <f t="shared" si="104"/>
        <v>23</v>
      </c>
      <c r="V60" s="2081">
        <f t="shared" si="104"/>
        <v>23</v>
      </c>
      <c r="W60" s="2077">
        <f t="shared" ref="W60" si="106">SUM(W61:W71)</f>
        <v>0</v>
      </c>
      <c r="X60" s="4088">
        <f t="shared" si="104"/>
        <v>0</v>
      </c>
      <c r="Y60" s="2078">
        <f t="shared" si="104"/>
        <v>0</v>
      </c>
      <c r="Z60" s="2079">
        <f t="shared" si="104"/>
        <v>0</v>
      </c>
      <c r="AA60" s="2080">
        <f t="shared" si="104"/>
        <v>0</v>
      </c>
      <c r="AB60" s="2080">
        <f t="shared" si="104"/>
        <v>0</v>
      </c>
      <c r="AC60" s="2080">
        <f t="shared" si="104"/>
        <v>0</v>
      </c>
      <c r="AD60" s="2081">
        <f t="shared" si="104"/>
        <v>0</v>
      </c>
      <c r="AE60" s="2077">
        <f t="shared" ref="AE60" si="107">SUM(AE61:AE71)</f>
        <v>0</v>
      </c>
      <c r="AF60" s="4088">
        <f t="shared" si="104"/>
        <v>0</v>
      </c>
      <c r="AG60" s="2078">
        <f t="shared" si="104"/>
        <v>0</v>
      </c>
      <c r="AH60" s="2079">
        <f t="shared" si="104"/>
        <v>0</v>
      </c>
      <c r="AI60" s="2080">
        <f t="shared" si="104"/>
        <v>0</v>
      </c>
      <c r="AJ60" s="2080">
        <f t="shared" si="104"/>
        <v>0</v>
      </c>
      <c r="AK60" s="2080">
        <f t="shared" si="104"/>
        <v>0</v>
      </c>
      <c r="AL60" s="2082">
        <f t="shared" si="104"/>
        <v>0</v>
      </c>
      <c r="AM60" s="2127"/>
      <c r="AN60" s="2128"/>
      <c r="AO60" s="2127"/>
      <c r="AP60" s="2129"/>
      <c r="AQ60" s="2129"/>
      <c r="AR60" s="2129"/>
      <c r="AS60" s="2130"/>
      <c r="AT60" s="2130"/>
      <c r="AU60" s="2130"/>
      <c r="AV60" s="2130"/>
      <c r="AW60" s="2131"/>
      <c r="AX60" s="2132"/>
      <c r="AY60" s="4422"/>
      <c r="AZ60" s="4438">
        <f t="shared" si="44"/>
        <v>48.061436832444535</v>
      </c>
      <c r="BA60" s="4438">
        <f t="shared" si="45"/>
        <v>52.151771882014287</v>
      </c>
      <c r="BB60" s="4438">
        <f t="shared" si="46"/>
        <v>79.25024158541386</v>
      </c>
      <c r="BC60" s="4438">
        <f t="shared" si="47"/>
        <v>34.767847921342856</v>
      </c>
      <c r="BD60" s="4438">
        <f t="shared" si="48"/>
        <v>11.759713267513025</v>
      </c>
      <c r="BE60" s="4438">
        <f t="shared" si="49"/>
        <v>11.759713267513025</v>
      </c>
      <c r="BF60" s="4438">
        <f t="shared" si="50"/>
        <v>11.759713267513025</v>
      </c>
      <c r="BG60" s="4438">
        <f t="shared" si="51"/>
        <v>11.759713267513025</v>
      </c>
      <c r="BH60" s="4438">
        <f t="shared" si="52"/>
        <v>81.806700991394962</v>
      </c>
      <c r="BI60" s="4438">
        <f t="shared" si="53"/>
        <v>48.061436832444535</v>
      </c>
      <c r="BJ60" s="4438">
        <f t="shared" si="54"/>
        <v>52.151771882014287</v>
      </c>
      <c r="BK60" s="4438">
        <f t="shared" si="55"/>
        <v>79.25024158541386</v>
      </c>
      <c r="BL60" s="4438">
        <f t="shared" si="56"/>
        <v>34.767847921342856</v>
      </c>
      <c r="BM60" s="4438">
        <f t="shared" si="57"/>
        <v>11.759713267513025</v>
      </c>
      <c r="BN60" s="4438">
        <f t="shared" si="58"/>
        <v>11.759713267513025</v>
      </c>
      <c r="BO60" s="4438">
        <f t="shared" si="59"/>
        <v>11.759713267513025</v>
      </c>
      <c r="BP60" s="4438">
        <f t="shared" si="60"/>
        <v>11.759713267513025</v>
      </c>
      <c r="BQ60" s="4438">
        <f t="shared" si="61"/>
        <v>0</v>
      </c>
      <c r="BR60" s="4438">
        <f t="shared" si="62"/>
        <v>0</v>
      </c>
      <c r="BS60" s="4438">
        <f t="shared" si="63"/>
        <v>0</v>
      </c>
      <c r="BT60" s="4438">
        <f t="shared" si="64"/>
        <v>0</v>
      </c>
      <c r="BU60" s="4438">
        <f t="shared" si="65"/>
        <v>0</v>
      </c>
      <c r="BV60" s="4438">
        <f t="shared" si="66"/>
        <v>0</v>
      </c>
      <c r="BW60" s="4438">
        <f t="shared" si="67"/>
        <v>0</v>
      </c>
      <c r="BX60" s="4438">
        <f t="shared" si="68"/>
        <v>0</v>
      </c>
      <c r="BY60" s="4438">
        <f t="shared" si="69"/>
        <v>0</v>
      </c>
      <c r="BZ60" s="4438">
        <f t="shared" si="70"/>
        <v>0</v>
      </c>
      <c r="CA60" s="4438">
        <f t="shared" si="71"/>
        <v>0</v>
      </c>
      <c r="CB60" s="4438">
        <f t="shared" si="72"/>
        <v>0</v>
      </c>
      <c r="CC60" s="4438">
        <f t="shared" si="73"/>
        <v>0</v>
      </c>
      <c r="CD60" s="4438">
        <f t="shared" si="74"/>
        <v>0</v>
      </c>
      <c r="CE60" s="4438">
        <f t="shared" si="75"/>
        <v>0</v>
      </c>
      <c r="CF60" s="4438">
        <f t="shared" si="76"/>
        <v>0</v>
      </c>
    </row>
    <row r="61" spans="1:84" ht="24">
      <c r="A61" s="2171"/>
      <c r="B61" s="2134">
        <v>20201</v>
      </c>
      <c r="C61" s="2134" t="s">
        <v>1839</v>
      </c>
      <c r="D61" s="2172">
        <v>0.03</v>
      </c>
      <c r="E61" s="2135" t="s">
        <v>392</v>
      </c>
      <c r="F61" s="2105">
        <f t="shared" ref="F61:F71" si="108">O61+W61+AE61</f>
        <v>13</v>
      </c>
      <c r="G61" s="4074">
        <f t="shared" ref="G61:G71" si="109">P61+X61+AF61</f>
        <v>15</v>
      </c>
      <c r="H61" s="2104">
        <f t="shared" ref="H61:H71" si="110">Q61+Y61+AG61</f>
        <v>50</v>
      </c>
      <c r="I61" s="2105">
        <f t="shared" ref="I61:I71" si="111">R61+Z61+AH61</f>
        <v>0</v>
      </c>
      <c r="J61" s="2106">
        <f t="shared" ref="J61:J71" si="112">S61+AA61+AI61</f>
        <v>0</v>
      </c>
      <c r="K61" s="2106">
        <f t="shared" ref="K61:K71" si="113">T61+AB61+AJ61</f>
        <v>0</v>
      </c>
      <c r="L61" s="2106">
        <f t="shared" ref="L61:L71" si="114">U61+AC61+AK61</f>
        <v>0</v>
      </c>
      <c r="M61" s="2106">
        <f t="shared" ref="M61:M71" si="115">V61+AD61+AL61</f>
        <v>0</v>
      </c>
      <c r="N61" s="2136">
        <f t="shared" si="77"/>
        <v>0</v>
      </c>
      <c r="O61" s="4584">
        <v>13</v>
      </c>
      <c r="P61" s="4584">
        <v>15</v>
      </c>
      <c r="Q61" s="1247">
        <v>50</v>
      </c>
      <c r="R61" s="1248"/>
      <c r="S61" s="1249"/>
      <c r="T61" s="1249"/>
      <c r="U61" s="1249"/>
      <c r="V61" s="1249"/>
      <c r="W61" s="1246"/>
      <c r="X61" s="1248"/>
      <c r="Y61" s="1247"/>
      <c r="Z61" s="1248"/>
      <c r="AA61" s="1249"/>
      <c r="AB61" s="1249"/>
      <c r="AC61" s="1249"/>
      <c r="AD61" s="1249"/>
      <c r="AE61" s="1246"/>
      <c r="AF61" s="1248"/>
      <c r="AG61" s="1247"/>
      <c r="AH61" s="1248"/>
      <c r="AI61" s="1249"/>
      <c r="AJ61" s="1249"/>
      <c r="AK61" s="1249"/>
      <c r="AL61" s="1250"/>
      <c r="AM61" s="1251"/>
      <c r="AN61" s="1252" t="s">
        <v>313</v>
      </c>
      <c r="AO61" s="2098" t="s">
        <v>676</v>
      </c>
      <c r="AP61" s="1248"/>
      <c r="AQ61" s="1248"/>
      <c r="AR61" s="1247"/>
      <c r="AS61" s="1248"/>
      <c r="AT61" s="1249"/>
      <c r="AU61" s="1249"/>
      <c r="AV61" s="1249"/>
      <c r="AW61" s="1247"/>
      <c r="AX61" s="2099" t="s">
        <v>393</v>
      </c>
      <c r="AY61" s="4422"/>
      <c r="AZ61" s="4438">
        <f t="shared" si="44"/>
        <v>6.6467944555508405</v>
      </c>
      <c r="BA61" s="4438">
        <f t="shared" si="45"/>
        <v>7.6693782179432777</v>
      </c>
      <c r="BB61" s="4438">
        <f t="shared" si="46"/>
        <v>25.564594059810926</v>
      </c>
      <c r="BC61" s="4438">
        <f t="shared" si="47"/>
        <v>0</v>
      </c>
      <c r="BD61" s="4438">
        <f t="shared" si="48"/>
        <v>0</v>
      </c>
      <c r="BE61" s="4438">
        <f t="shared" si="49"/>
        <v>0</v>
      </c>
      <c r="BF61" s="4438">
        <f t="shared" si="50"/>
        <v>0</v>
      </c>
      <c r="BG61" s="4438">
        <f t="shared" si="51"/>
        <v>0</v>
      </c>
      <c r="BH61" s="4438">
        <f t="shared" si="52"/>
        <v>0</v>
      </c>
      <c r="BI61" s="4438">
        <f t="shared" si="53"/>
        <v>6.6467944555508405</v>
      </c>
      <c r="BJ61" s="4438">
        <f t="shared" si="54"/>
        <v>7.6693782179432777</v>
      </c>
      <c r="BK61" s="4438">
        <f t="shared" si="55"/>
        <v>25.564594059810926</v>
      </c>
      <c r="BL61" s="4438">
        <f t="shared" si="56"/>
        <v>0</v>
      </c>
      <c r="BM61" s="4438">
        <f t="shared" si="57"/>
        <v>0</v>
      </c>
      <c r="BN61" s="4438">
        <f t="shared" si="58"/>
        <v>0</v>
      </c>
      <c r="BO61" s="4438">
        <f t="shared" si="59"/>
        <v>0</v>
      </c>
      <c r="BP61" s="4438">
        <f t="shared" si="60"/>
        <v>0</v>
      </c>
      <c r="BQ61" s="4438">
        <f t="shared" si="61"/>
        <v>0</v>
      </c>
      <c r="BR61" s="4438">
        <f t="shared" si="62"/>
        <v>0</v>
      </c>
      <c r="BS61" s="4438">
        <f t="shared" si="63"/>
        <v>0</v>
      </c>
      <c r="BT61" s="4438">
        <f t="shared" si="64"/>
        <v>0</v>
      </c>
      <c r="BU61" s="4438">
        <f t="shared" si="65"/>
        <v>0</v>
      </c>
      <c r="BV61" s="4438">
        <f t="shared" si="66"/>
        <v>0</v>
      </c>
      <c r="BW61" s="4438">
        <f t="shared" si="67"/>
        <v>0</v>
      </c>
      <c r="BX61" s="4438">
        <f t="shared" si="68"/>
        <v>0</v>
      </c>
      <c r="BY61" s="4438">
        <f t="shared" si="69"/>
        <v>0</v>
      </c>
      <c r="BZ61" s="4438">
        <f t="shared" si="70"/>
        <v>0</v>
      </c>
      <c r="CA61" s="4438">
        <f t="shared" si="71"/>
        <v>0</v>
      </c>
      <c r="CB61" s="4438">
        <f t="shared" si="72"/>
        <v>0</v>
      </c>
      <c r="CC61" s="4438">
        <f t="shared" si="73"/>
        <v>0</v>
      </c>
      <c r="CD61" s="4438">
        <f t="shared" si="74"/>
        <v>0</v>
      </c>
      <c r="CE61" s="4438">
        <f t="shared" si="75"/>
        <v>0</v>
      </c>
      <c r="CF61" s="4438">
        <f t="shared" si="76"/>
        <v>0</v>
      </c>
    </row>
    <row r="62" spans="1:84" ht="25.5">
      <c r="A62" s="2148"/>
      <c r="B62" s="2139">
        <v>20601</v>
      </c>
      <c r="C62" s="2139" t="s">
        <v>1840</v>
      </c>
      <c r="D62" s="2111">
        <v>0.1</v>
      </c>
      <c r="E62" s="2140" t="s">
        <v>394</v>
      </c>
      <c r="F62" s="2105">
        <f t="shared" si="108"/>
        <v>59</v>
      </c>
      <c r="G62" s="4074">
        <f t="shared" si="109"/>
        <v>54</v>
      </c>
      <c r="H62" s="2104">
        <f t="shared" si="110"/>
        <v>20</v>
      </c>
      <c r="I62" s="2105">
        <f t="shared" si="111"/>
        <v>15</v>
      </c>
      <c r="J62" s="2106">
        <f t="shared" si="112"/>
        <v>15</v>
      </c>
      <c r="K62" s="2106">
        <f t="shared" si="113"/>
        <v>15</v>
      </c>
      <c r="L62" s="2106">
        <f t="shared" si="114"/>
        <v>15</v>
      </c>
      <c r="M62" s="2106">
        <f t="shared" si="115"/>
        <v>15</v>
      </c>
      <c r="N62" s="2141">
        <f t="shared" si="77"/>
        <v>75</v>
      </c>
      <c r="O62" s="4584">
        <v>59</v>
      </c>
      <c r="P62" s="4584">
        <v>54</v>
      </c>
      <c r="Q62" s="1254">
        <v>20</v>
      </c>
      <c r="R62" s="1255">
        <v>15</v>
      </c>
      <c r="S62" s="1255">
        <v>15</v>
      </c>
      <c r="T62" s="1255">
        <v>15</v>
      </c>
      <c r="U62" s="1255">
        <v>15</v>
      </c>
      <c r="V62" s="1255">
        <v>15</v>
      </c>
      <c r="W62" s="1253"/>
      <c r="X62" s="1255"/>
      <c r="Y62" s="1254"/>
      <c r="Z62" s="1255"/>
      <c r="AA62" s="1256"/>
      <c r="AB62" s="1256"/>
      <c r="AC62" s="1256"/>
      <c r="AD62" s="1256"/>
      <c r="AE62" s="1253"/>
      <c r="AF62" s="1255"/>
      <c r="AG62" s="1254"/>
      <c r="AH62" s="1255"/>
      <c r="AI62" s="1256"/>
      <c r="AJ62" s="1256"/>
      <c r="AK62" s="1256"/>
      <c r="AL62" s="1257"/>
      <c r="AM62" s="1258"/>
      <c r="AN62" s="1259" t="s">
        <v>1978</v>
      </c>
      <c r="AO62" s="2109" t="s">
        <v>676</v>
      </c>
      <c r="AP62" s="1255"/>
      <c r="AQ62" s="1255"/>
      <c r="AR62" s="1254">
        <v>15</v>
      </c>
      <c r="AS62" s="1255">
        <v>10</v>
      </c>
      <c r="AT62" s="1255">
        <v>10</v>
      </c>
      <c r="AU62" s="1255">
        <v>10</v>
      </c>
      <c r="AV62" s="1255">
        <v>10</v>
      </c>
      <c r="AW62" s="1255">
        <v>10</v>
      </c>
      <c r="AX62" s="2110" t="s">
        <v>395</v>
      </c>
      <c r="AY62" s="4422"/>
      <c r="AZ62" s="4438">
        <f t="shared" si="44"/>
        <v>30.166220990576893</v>
      </c>
      <c r="BA62" s="4438">
        <f t="shared" si="45"/>
        <v>27.609761584595798</v>
      </c>
      <c r="BB62" s="4438">
        <f t="shared" si="46"/>
        <v>10.22583762392437</v>
      </c>
      <c r="BC62" s="4438">
        <f t="shared" si="47"/>
        <v>7.6693782179432777</v>
      </c>
      <c r="BD62" s="4438">
        <f t="shared" si="48"/>
        <v>7.6693782179432777</v>
      </c>
      <c r="BE62" s="4438">
        <f t="shared" si="49"/>
        <v>7.6693782179432777</v>
      </c>
      <c r="BF62" s="4438">
        <f t="shared" si="50"/>
        <v>7.6693782179432777</v>
      </c>
      <c r="BG62" s="4438">
        <f t="shared" si="51"/>
        <v>7.6693782179432777</v>
      </c>
      <c r="BH62" s="4438">
        <f t="shared" si="52"/>
        <v>38.346891089716387</v>
      </c>
      <c r="BI62" s="4438">
        <f t="shared" si="53"/>
        <v>30.166220990576893</v>
      </c>
      <c r="BJ62" s="4438">
        <f t="shared" si="54"/>
        <v>27.609761584595798</v>
      </c>
      <c r="BK62" s="4438">
        <f t="shared" si="55"/>
        <v>10.22583762392437</v>
      </c>
      <c r="BL62" s="4438">
        <f t="shared" si="56"/>
        <v>7.6693782179432777</v>
      </c>
      <c r="BM62" s="4438">
        <f t="shared" si="57"/>
        <v>7.6693782179432777</v>
      </c>
      <c r="BN62" s="4438">
        <f t="shared" si="58"/>
        <v>7.6693782179432777</v>
      </c>
      <c r="BO62" s="4438">
        <f t="shared" si="59"/>
        <v>7.6693782179432777</v>
      </c>
      <c r="BP62" s="4438">
        <f t="shared" si="60"/>
        <v>7.6693782179432777</v>
      </c>
      <c r="BQ62" s="4438">
        <f t="shared" si="61"/>
        <v>0</v>
      </c>
      <c r="BR62" s="4438">
        <f t="shared" si="62"/>
        <v>0</v>
      </c>
      <c r="BS62" s="4438">
        <f t="shared" si="63"/>
        <v>0</v>
      </c>
      <c r="BT62" s="4438">
        <f t="shared" si="64"/>
        <v>0</v>
      </c>
      <c r="BU62" s="4438">
        <f t="shared" si="65"/>
        <v>0</v>
      </c>
      <c r="BV62" s="4438">
        <f t="shared" si="66"/>
        <v>0</v>
      </c>
      <c r="BW62" s="4438">
        <f t="shared" si="67"/>
        <v>0</v>
      </c>
      <c r="BX62" s="4438">
        <f t="shared" si="68"/>
        <v>0</v>
      </c>
      <c r="BY62" s="4438">
        <f t="shared" si="69"/>
        <v>0</v>
      </c>
      <c r="BZ62" s="4438">
        <f t="shared" si="70"/>
        <v>0</v>
      </c>
      <c r="CA62" s="4438">
        <f t="shared" si="71"/>
        <v>0</v>
      </c>
      <c r="CB62" s="4438">
        <f t="shared" si="72"/>
        <v>0</v>
      </c>
      <c r="CC62" s="4438">
        <f t="shared" si="73"/>
        <v>0</v>
      </c>
      <c r="CD62" s="4438">
        <f t="shared" si="74"/>
        <v>0</v>
      </c>
      <c r="CE62" s="4438">
        <f t="shared" si="75"/>
        <v>0</v>
      </c>
      <c r="CF62" s="4438">
        <f t="shared" si="76"/>
        <v>0</v>
      </c>
    </row>
    <row r="63" spans="1:84">
      <c r="A63" s="2148"/>
      <c r="B63" s="2139">
        <v>20502</v>
      </c>
      <c r="C63" s="2139" t="s">
        <v>1841</v>
      </c>
      <c r="D63" s="2111">
        <v>0.1</v>
      </c>
      <c r="E63" s="2142" t="s">
        <v>669</v>
      </c>
      <c r="F63" s="2105">
        <f t="shared" si="108"/>
        <v>0</v>
      </c>
      <c r="G63" s="4074">
        <f t="shared" si="109"/>
        <v>0</v>
      </c>
      <c r="H63" s="2104">
        <f t="shared" si="110"/>
        <v>10</v>
      </c>
      <c r="I63" s="2105">
        <f t="shared" si="111"/>
        <v>0</v>
      </c>
      <c r="J63" s="2106">
        <f t="shared" si="112"/>
        <v>0</v>
      </c>
      <c r="K63" s="2106">
        <f t="shared" si="113"/>
        <v>0</v>
      </c>
      <c r="L63" s="2106">
        <f t="shared" si="114"/>
        <v>0</v>
      </c>
      <c r="M63" s="2106">
        <f t="shared" si="115"/>
        <v>0</v>
      </c>
      <c r="N63" s="2141">
        <f t="shared" si="77"/>
        <v>0</v>
      </c>
      <c r="O63" s="4584">
        <v>0</v>
      </c>
      <c r="P63" s="4584">
        <v>0</v>
      </c>
      <c r="Q63" s="1254">
        <v>10</v>
      </c>
      <c r="R63" s="1255"/>
      <c r="S63" s="1256"/>
      <c r="T63" s="1256"/>
      <c r="U63" s="1256"/>
      <c r="V63" s="1256"/>
      <c r="W63" s="1253"/>
      <c r="X63" s="1255"/>
      <c r="Y63" s="1254"/>
      <c r="Z63" s="1255"/>
      <c r="AA63" s="1256"/>
      <c r="AB63" s="1256"/>
      <c r="AC63" s="1256"/>
      <c r="AD63" s="1256"/>
      <c r="AE63" s="1253"/>
      <c r="AF63" s="1255"/>
      <c r="AG63" s="1254"/>
      <c r="AH63" s="1255"/>
      <c r="AI63" s="1256"/>
      <c r="AJ63" s="1256"/>
      <c r="AK63" s="1256"/>
      <c r="AL63" s="1257"/>
      <c r="AM63" s="1258"/>
      <c r="AN63" s="1260" t="s">
        <v>313</v>
      </c>
      <c r="AO63" s="2109" t="s">
        <v>676</v>
      </c>
      <c r="AP63" s="1271"/>
      <c r="AQ63" s="1256"/>
      <c r="AR63" s="1254"/>
      <c r="AS63" s="1255"/>
      <c r="AT63" s="1256"/>
      <c r="AU63" s="1256"/>
      <c r="AV63" s="1256"/>
      <c r="AW63" s="1254"/>
      <c r="AX63" s="2110" t="s">
        <v>375</v>
      </c>
      <c r="AY63" s="4422"/>
      <c r="AZ63" s="4438">
        <f t="shared" si="44"/>
        <v>0</v>
      </c>
      <c r="BA63" s="4438">
        <f t="shared" si="45"/>
        <v>0</v>
      </c>
      <c r="BB63" s="4438">
        <f t="shared" si="46"/>
        <v>5.1129188119621851</v>
      </c>
      <c r="BC63" s="4438">
        <f t="shared" si="47"/>
        <v>0</v>
      </c>
      <c r="BD63" s="4438">
        <f t="shared" si="48"/>
        <v>0</v>
      </c>
      <c r="BE63" s="4438">
        <f t="shared" si="49"/>
        <v>0</v>
      </c>
      <c r="BF63" s="4438">
        <f t="shared" si="50"/>
        <v>0</v>
      </c>
      <c r="BG63" s="4438">
        <f t="shared" si="51"/>
        <v>0</v>
      </c>
      <c r="BH63" s="4438">
        <f t="shared" si="52"/>
        <v>0</v>
      </c>
      <c r="BI63" s="4438">
        <f t="shared" si="53"/>
        <v>0</v>
      </c>
      <c r="BJ63" s="4438">
        <f t="shared" si="54"/>
        <v>0</v>
      </c>
      <c r="BK63" s="4438">
        <f t="shared" si="55"/>
        <v>5.1129188119621851</v>
      </c>
      <c r="BL63" s="4438">
        <f t="shared" si="56"/>
        <v>0</v>
      </c>
      <c r="BM63" s="4438">
        <f t="shared" si="57"/>
        <v>0</v>
      </c>
      <c r="BN63" s="4438">
        <f t="shared" si="58"/>
        <v>0</v>
      </c>
      <c r="BO63" s="4438">
        <f t="shared" si="59"/>
        <v>0</v>
      </c>
      <c r="BP63" s="4438">
        <f t="shared" si="60"/>
        <v>0</v>
      </c>
      <c r="BQ63" s="4438">
        <f t="shared" si="61"/>
        <v>0</v>
      </c>
      <c r="BR63" s="4438">
        <f t="shared" si="62"/>
        <v>0</v>
      </c>
      <c r="BS63" s="4438">
        <f t="shared" si="63"/>
        <v>0</v>
      </c>
      <c r="BT63" s="4438">
        <f t="shared" si="64"/>
        <v>0</v>
      </c>
      <c r="BU63" s="4438">
        <f t="shared" si="65"/>
        <v>0</v>
      </c>
      <c r="BV63" s="4438">
        <f t="shared" si="66"/>
        <v>0</v>
      </c>
      <c r="BW63" s="4438">
        <f t="shared" si="67"/>
        <v>0</v>
      </c>
      <c r="BX63" s="4438">
        <f t="shared" si="68"/>
        <v>0</v>
      </c>
      <c r="BY63" s="4438">
        <f t="shared" si="69"/>
        <v>0</v>
      </c>
      <c r="BZ63" s="4438">
        <f t="shared" si="70"/>
        <v>0</v>
      </c>
      <c r="CA63" s="4438">
        <f t="shared" si="71"/>
        <v>0</v>
      </c>
      <c r="CB63" s="4438">
        <f t="shared" si="72"/>
        <v>0</v>
      </c>
      <c r="CC63" s="4438">
        <f t="shared" si="73"/>
        <v>0</v>
      </c>
      <c r="CD63" s="4438">
        <f t="shared" si="74"/>
        <v>0</v>
      </c>
      <c r="CE63" s="4438">
        <f t="shared" si="75"/>
        <v>0</v>
      </c>
      <c r="CF63" s="4438">
        <f t="shared" si="76"/>
        <v>0</v>
      </c>
    </row>
    <row r="64" spans="1:84" ht="25.5">
      <c r="A64" s="2148"/>
      <c r="B64" s="2173">
        <v>20501</v>
      </c>
      <c r="C64" s="2173" t="s">
        <v>1842</v>
      </c>
      <c r="D64" s="2174">
        <v>0.08</v>
      </c>
      <c r="E64" s="2175" t="s">
        <v>1215</v>
      </c>
      <c r="F64" s="2105">
        <f t="shared" si="108"/>
        <v>0</v>
      </c>
      <c r="G64" s="4074">
        <f t="shared" si="109"/>
        <v>0</v>
      </c>
      <c r="H64" s="2104">
        <f t="shared" si="110"/>
        <v>0</v>
      </c>
      <c r="I64" s="2105">
        <f t="shared" si="111"/>
        <v>0</v>
      </c>
      <c r="J64" s="2106">
        <f t="shared" si="112"/>
        <v>0</v>
      </c>
      <c r="K64" s="2106">
        <f t="shared" si="113"/>
        <v>0</v>
      </c>
      <c r="L64" s="2106">
        <f t="shared" si="114"/>
        <v>0</v>
      </c>
      <c r="M64" s="2106">
        <f t="shared" si="115"/>
        <v>0</v>
      </c>
      <c r="N64" s="2141">
        <f t="shared" si="77"/>
        <v>0</v>
      </c>
      <c r="O64" s="4584">
        <v>0</v>
      </c>
      <c r="P64" s="4584"/>
      <c r="Q64" s="1254">
        <v>0</v>
      </c>
      <c r="R64" s="4677">
        <v>0</v>
      </c>
      <c r="S64" s="4678">
        <v>0</v>
      </c>
      <c r="T64" s="4678">
        <v>0</v>
      </c>
      <c r="U64" s="4678">
        <v>0</v>
      </c>
      <c r="V64" s="4678">
        <v>0</v>
      </c>
      <c r="W64" s="1253"/>
      <c r="X64" s="1255"/>
      <c r="Y64" s="1254"/>
      <c r="Z64" s="4677"/>
      <c r="AA64" s="4678"/>
      <c r="AB64" s="4678"/>
      <c r="AC64" s="4678"/>
      <c r="AD64" s="4678"/>
      <c r="AE64" s="1253"/>
      <c r="AF64" s="1255"/>
      <c r="AG64" s="1254"/>
      <c r="AH64" s="1255"/>
      <c r="AI64" s="1256"/>
      <c r="AJ64" s="1256"/>
      <c r="AK64" s="1256"/>
      <c r="AL64" s="1257"/>
      <c r="AM64" s="1258"/>
      <c r="AN64" s="1259" t="s">
        <v>1979</v>
      </c>
      <c r="AO64" s="2109"/>
      <c r="AP64" s="1271"/>
      <c r="AQ64" s="1256"/>
      <c r="AR64" s="1272"/>
      <c r="AS64" s="1255">
        <v>5</v>
      </c>
      <c r="AT64" s="1256">
        <v>3</v>
      </c>
      <c r="AU64" s="1256">
        <v>3</v>
      </c>
      <c r="AV64" s="1256">
        <v>3</v>
      </c>
      <c r="AW64" s="1254">
        <v>3</v>
      </c>
      <c r="AX64" s="2110"/>
      <c r="AY64" s="4422"/>
      <c r="AZ64" s="4438">
        <f t="shared" si="44"/>
        <v>0</v>
      </c>
      <c r="BA64" s="4438">
        <f t="shared" si="45"/>
        <v>0</v>
      </c>
      <c r="BB64" s="4438">
        <f t="shared" si="46"/>
        <v>0</v>
      </c>
      <c r="BC64" s="4438">
        <f t="shared" si="47"/>
        <v>0</v>
      </c>
      <c r="BD64" s="4438">
        <f t="shared" si="48"/>
        <v>0</v>
      </c>
      <c r="BE64" s="4438">
        <f t="shared" si="49"/>
        <v>0</v>
      </c>
      <c r="BF64" s="4438">
        <f t="shared" si="50"/>
        <v>0</v>
      </c>
      <c r="BG64" s="4438">
        <f t="shared" si="51"/>
        <v>0</v>
      </c>
      <c r="BH64" s="4438">
        <f t="shared" si="52"/>
        <v>0</v>
      </c>
      <c r="BI64" s="4438">
        <f t="shared" si="53"/>
        <v>0</v>
      </c>
      <c r="BJ64" s="4438">
        <f t="shared" si="54"/>
        <v>0</v>
      </c>
      <c r="BK64" s="4438">
        <f t="shared" si="55"/>
        <v>0</v>
      </c>
      <c r="BL64" s="4438">
        <f t="shared" si="56"/>
        <v>0</v>
      </c>
      <c r="BM64" s="4438">
        <f t="shared" si="57"/>
        <v>0</v>
      </c>
      <c r="BN64" s="4438">
        <f t="shared" si="58"/>
        <v>0</v>
      </c>
      <c r="BO64" s="4438">
        <f t="shared" si="59"/>
        <v>0</v>
      </c>
      <c r="BP64" s="4438">
        <f t="shared" si="60"/>
        <v>0</v>
      </c>
      <c r="BQ64" s="4438">
        <f t="shared" si="61"/>
        <v>0</v>
      </c>
      <c r="BR64" s="4438">
        <f t="shared" si="62"/>
        <v>0</v>
      </c>
      <c r="BS64" s="4438">
        <f t="shared" si="63"/>
        <v>0</v>
      </c>
      <c r="BT64" s="4438">
        <f t="shared" si="64"/>
        <v>0</v>
      </c>
      <c r="BU64" s="4438">
        <f t="shared" si="65"/>
        <v>0</v>
      </c>
      <c r="BV64" s="4438">
        <f t="shared" si="66"/>
        <v>0</v>
      </c>
      <c r="BW64" s="4438">
        <f t="shared" si="67"/>
        <v>0</v>
      </c>
      <c r="BX64" s="4438">
        <f t="shared" si="68"/>
        <v>0</v>
      </c>
      <c r="BY64" s="4438">
        <f t="shared" si="69"/>
        <v>0</v>
      </c>
      <c r="BZ64" s="4438">
        <f t="shared" si="70"/>
        <v>0</v>
      </c>
      <c r="CA64" s="4438">
        <f t="shared" si="71"/>
        <v>0</v>
      </c>
      <c r="CB64" s="4438">
        <f t="shared" si="72"/>
        <v>0</v>
      </c>
      <c r="CC64" s="4438">
        <f t="shared" si="73"/>
        <v>0</v>
      </c>
      <c r="CD64" s="4438">
        <f t="shared" si="74"/>
        <v>0</v>
      </c>
      <c r="CE64" s="4438">
        <f t="shared" si="75"/>
        <v>0</v>
      </c>
      <c r="CF64" s="4438">
        <f t="shared" si="76"/>
        <v>0</v>
      </c>
    </row>
    <row r="65" spans="1:84">
      <c r="A65" s="2148"/>
      <c r="B65" s="2173">
        <v>20503</v>
      </c>
      <c r="C65" s="2173" t="s">
        <v>1843</v>
      </c>
      <c r="D65" s="2111">
        <v>0.1</v>
      </c>
      <c r="E65" s="2142" t="s">
        <v>668</v>
      </c>
      <c r="F65" s="2105">
        <f t="shared" si="108"/>
        <v>0</v>
      </c>
      <c r="G65" s="4074">
        <f t="shared" si="109"/>
        <v>0</v>
      </c>
      <c r="H65" s="2104">
        <f t="shared" si="110"/>
        <v>20</v>
      </c>
      <c r="I65" s="2105">
        <f t="shared" si="111"/>
        <v>0</v>
      </c>
      <c r="J65" s="2106">
        <f t="shared" si="112"/>
        <v>0</v>
      </c>
      <c r="K65" s="2106">
        <f t="shared" si="113"/>
        <v>0</v>
      </c>
      <c r="L65" s="2106">
        <f t="shared" si="114"/>
        <v>0</v>
      </c>
      <c r="M65" s="2106">
        <f t="shared" si="115"/>
        <v>0</v>
      </c>
      <c r="N65" s="2141">
        <f t="shared" si="77"/>
        <v>0</v>
      </c>
      <c r="O65" s="4584">
        <v>0</v>
      </c>
      <c r="P65" s="4584">
        <v>0</v>
      </c>
      <c r="Q65" s="1254">
        <v>20</v>
      </c>
      <c r="R65" s="1255"/>
      <c r="S65" s="1256"/>
      <c r="T65" s="1256"/>
      <c r="U65" s="1256"/>
      <c r="V65" s="1256"/>
      <c r="W65" s="1253"/>
      <c r="X65" s="1255"/>
      <c r="Y65" s="1254"/>
      <c r="Z65" s="1255"/>
      <c r="AA65" s="1256"/>
      <c r="AB65" s="1256"/>
      <c r="AC65" s="1256"/>
      <c r="AD65" s="1256"/>
      <c r="AE65" s="1253"/>
      <c r="AF65" s="1255"/>
      <c r="AG65" s="1254"/>
      <c r="AH65" s="1255"/>
      <c r="AI65" s="1256"/>
      <c r="AJ65" s="1256"/>
      <c r="AK65" s="1256"/>
      <c r="AL65" s="1257"/>
      <c r="AM65" s="1258"/>
      <c r="AN65" s="1260" t="s">
        <v>313</v>
      </c>
      <c r="AO65" s="2109" t="s">
        <v>676</v>
      </c>
      <c r="AP65" s="1271"/>
      <c r="AQ65" s="1256"/>
      <c r="AR65" s="1254"/>
      <c r="AS65" s="1255"/>
      <c r="AT65" s="1256"/>
      <c r="AU65" s="1256"/>
      <c r="AV65" s="1256"/>
      <c r="AW65" s="1254"/>
      <c r="AX65" s="2115" t="s">
        <v>375</v>
      </c>
      <c r="AY65" s="4422"/>
      <c r="AZ65" s="4438">
        <f t="shared" si="44"/>
        <v>0</v>
      </c>
      <c r="BA65" s="4438">
        <f t="shared" si="45"/>
        <v>0</v>
      </c>
      <c r="BB65" s="4438">
        <f t="shared" si="46"/>
        <v>10.22583762392437</v>
      </c>
      <c r="BC65" s="4438">
        <f t="shared" si="47"/>
        <v>0</v>
      </c>
      <c r="BD65" s="4438">
        <f t="shared" si="48"/>
        <v>0</v>
      </c>
      <c r="BE65" s="4438">
        <f t="shared" si="49"/>
        <v>0</v>
      </c>
      <c r="BF65" s="4438">
        <f t="shared" si="50"/>
        <v>0</v>
      </c>
      <c r="BG65" s="4438">
        <f t="shared" si="51"/>
        <v>0</v>
      </c>
      <c r="BH65" s="4438">
        <f t="shared" si="52"/>
        <v>0</v>
      </c>
      <c r="BI65" s="4438">
        <f t="shared" si="53"/>
        <v>0</v>
      </c>
      <c r="BJ65" s="4438">
        <f t="shared" si="54"/>
        <v>0</v>
      </c>
      <c r="BK65" s="4438">
        <f t="shared" si="55"/>
        <v>10.22583762392437</v>
      </c>
      <c r="BL65" s="4438">
        <f t="shared" si="56"/>
        <v>0</v>
      </c>
      <c r="BM65" s="4438">
        <f t="shared" si="57"/>
        <v>0</v>
      </c>
      <c r="BN65" s="4438">
        <f t="shared" si="58"/>
        <v>0</v>
      </c>
      <c r="BO65" s="4438">
        <f t="shared" si="59"/>
        <v>0</v>
      </c>
      <c r="BP65" s="4438">
        <f t="shared" si="60"/>
        <v>0</v>
      </c>
      <c r="BQ65" s="4438">
        <f t="shared" si="61"/>
        <v>0</v>
      </c>
      <c r="BR65" s="4438">
        <f t="shared" si="62"/>
        <v>0</v>
      </c>
      <c r="BS65" s="4438">
        <f t="shared" si="63"/>
        <v>0</v>
      </c>
      <c r="BT65" s="4438">
        <f t="shared" si="64"/>
        <v>0</v>
      </c>
      <c r="BU65" s="4438">
        <f t="shared" si="65"/>
        <v>0</v>
      </c>
      <c r="BV65" s="4438">
        <f t="shared" si="66"/>
        <v>0</v>
      </c>
      <c r="BW65" s="4438">
        <f t="shared" si="67"/>
        <v>0</v>
      </c>
      <c r="BX65" s="4438">
        <f t="shared" si="68"/>
        <v>0</v>
      </c>
      <c r="BY65" s="4438">
        <f t="shared" si="69"/>
        <v>0</v>
      </c>
      <c r="BZ65" s="4438">
        <f t="shared" si="70"/>
        <v>0</v>
      </c>
      <c r="CA65" s="4438">
        <f t="shared" si="71"/>
        <v>0</v>
      </c>
      <c r="CB65" s="4438">
        <f t="shared" si="72"/>
        <v>0</v>
      </c>
      <c r="CC65" s="4438">
        <f t="shared" si="73"/>
        <v>0</v>
      </c>
      <c r="CD65" s="4438">
        <f t="shared" si="74"/>
        <v>0</v>
      </c>
      <c r="CE65" s="4438">
        <f t="shared" si="75"/>
        <v>0</v>
      </c>
      <c r="CF65" s="4438">
        <f t="shared" si="76"/>
        <v>0</v>
      </c>
    </row>
    <row r="66" spans="1:84" ht="24">
      <c r="A66" s="2148"/>
      <c r="B66" s="2173">
        <v>20303</v>
      </c>
      <c r="C66" s="2173" t="s">
        <v>1844</v>
      </c>
      <c r="D66" s="2174">
        <v>0.1</v>
      </c>
      <c r="E66" s="2140" t="s">
        <v>406</v>
      </c>
      <c r="F66" s="2105">
        <f t="shared" si="108"/>
        <v>0</v>
      </c>
      <c r="G66" s="4074">
        <f t="shared" si="109"/>
        <v>0</v>
      </c>
      <c r="H66" s="2104">
        <f t="shared" si="110"/>
        <v>0</v>
      </c>
      <c r="I66" s="2105">
        <f t="shared" si="111"/>
        <v>0</v>
      </c>
      <c r="J66" s="2106">
        <f t="shared" si="112"/>
        <v>0</v>
      </c>
      <c r="K66" s="2106">
        <f t="shared" si="113"/>
        <v>0</v>
      </c>
      <c r="L66" s="2106">
        <f t="shared" si="114"/>
        <v>0</v>
      </c>
      <c r="M66" s="2106">
        <f t="shared" si="115"/>
        <v>0</v>
      </c>
      <c r="N66" s="2141">
        <f t="shared" si="77"/>
        <v>0</v>
      </c>
      <c r="O66" s="4584">
        <v>0</v>
      </c>
      <c r="P66" s="4584"/>
      <c r="Q66" s="1254">
        <v>0</v>
      </c>
      <c r="R66" s="1255"/>
      <c r="S66" s="1256"/>
      <c r="T66" s="1256"/>
      <c r="U66" s="1256"/>
      <c r="V66" s="1256"/>
      <c r="W66" s="1253"/>
      <c r="X66" s="1255"/>
      <c r="Y66" s="1254"/>
      <c r="Z66" s="1255"/>
      <c r="AA66" s="1256"/>
      <c r="AB66" s="1256"/>
      <c r="AC66" s="1256"/>
      <c r="AD66" s="1256"/>
      <c r="AE66" s="1253"/>
      <c r="AF66" s="1255"/>
      <c r="AG66" s="1254"/>
      <c r="AH66" s="1255"/>
      <c r="AI66" s="1256"/>
      <c r="AJ66" s="1256"/>
      <c r="AK66" s="1256"/>
      <c r="AL66" s="1257"/>
      <c r="AM66" s="1258"/>
      <c r="AN66" s="1260" t="s">
        <v>313</v>
      </c>
      <c r="AO66" s="2109"/>
      <c r="AP66" s="1271"/>
      <c r="AQ66" s="1256"/>
      <c r="AR66" s="1272"/>
      <c r="AS66" s="1255"/>
      <c r="AT66" s="1256"/>
      <c r="AU66" s="1256"/>
      <c r="AV66" s="1256"/>
      <c r="AW66" s="1254"/>
      <c r="AX66" s="2115"/>
      <c r="AY66" s="4422"/>
      <c r="AZ66" s="4438">
        <f t="shared" si="44"/>
        <v>0</v>
      </c>
      <c r="BA66" s="4438">
        <f t="shared" si="45"/>
        <v>0</v>
      </c>
      <c r="BB66" s="4438">
        <f t="shared" si="46"/>
        <v>0</v>
      </c>
      <c r="BC66" s="4438">
        <f t="shared" si="47"/>
        <v>0</v>
      </c>
      <c r="BD66" s="4438">
        <f t="shared" si="48"/>
        <v>0</v>
      </c>
      <c r="BE66" s="4438">
        <f t="shared" si="49"/>
        <v>0</v>
      </c>
      <c r="BF66" s="4438">
        <f t="shared" si="50"/>
        <v>0</v>
      </c>
      <c r="BG66" s="4438">
        <f t="shared" si="51"/>
        <v>0</v>
      </c>
      <c r="BH66" s="4438">
        <f t="shared" si="52"/>
        <v>0</v>
      </c>
      <c r="BI66" s="4438">
        <f t="shared" si="53"/>
        <v>0</v>
      </c>
      <c r="BJ66" s="4438">
        <f t="shared" si="54"/>
        <v>0</v>
      </c>
      <c r="BK66" s="4438">
        <f t="shared" si="55"/>
        <v>0</v>
      </c>
      <c r="BL66" s="4438">
        <f t="shared" si="56"/>
        <v>0</v>
      </c>
      <c r="BM66" s="4438">
        <f t="shared" si="57"/>
        <v>0</v>
      </c>
      <c r="BN66" s="4438">
        <f t="shared" si="58"/>
        <v>0</v>
      </c>
      <c r="BO66" s="4438">
        <f t="shared" si="59"/>
        <v>0</v>
      </c>
      <c r="BP66" s="4438">
        <f t="shared" si="60"/>
        <v>0</v>
      </c>
      <c r="BQ66" s="4438">
        <f t="shared" si="61"/>
        <v>0</v>
      </c>
      <c r="BR66" s="4438">
        <f t="shared" si="62"/>
        <v>0</v>
      </c>
      <c r="BS66" s="4438">
        <f t="shared" si="63"/>
        <v>0</v>
      </c>
      <c r="BT66" s="4438">
        <f t="shared" si="64"/>
        <v>0</v>
      </c>
      <c r="BU66" s="4438">
        <f t="shared" si="65"/>
        <v>0</v>
      </c>
      <c r="BV66" s="4438">
        <f t="shared" si="66"/>
        <v>0</v>
      </c>
      <c r="BW66" s="4438">
        <f t="shared" si="67"/>
        <v>0</v>
      </c>
      <c r="BX66" s="4438">
        <f t="shared" si="68"/>
        <v>0</v>
      </c>
      <c r="BY66" s="4438">
        <f t="shared" si="69"/>
        <v>0</v>
      </c>
      <c r="BZ66" s="4438">
        <f t="shared" si="70"/>
        <v>0</v>
      </c>
      <c r="CA66" s="4438">
        <f t="shared" si="71"/>
        <v>0</v>
      </c>
      <c r="CB66" s="4438">
        <f t="shared" si="72"/>
        <v>0</v>
      </c>
      <c r="CC66" s="4438">
        <f t="shared" si="73"/>
        <v>0</v>
      </c>
      <c r="CD66" s="4438">
        <f t="shared" si="74"/>
        <v>0</v>
      </c>
      <c r="CE66" s="4438">
        <f t="shared" si="75"/>
        <v>0</v>
      </c>
      <c r="CF66" s="4438">
        <f t="shared" si="76"/>
        <v>0</v>
      </c>
    </row>
    <row r="67" spans="1:84">
      <c r="A67" s="2148"/>
      <c r="B67" s="2173">
        <v>20306</v>
      </c>
      <c r="C67" s="2173" t="s">
        <v>1845</v>
      </c>
      <c r="D67" s="2174">
        <v>0.1</v>
      </c>
      <c r="E67" s="2175" t="s">
        <v>1032</v>
      </c>
      <c r="F67" s="2105">
        <f t="shared" si="108"/>
        <v>0</v>
      </c>
      <c r="G67" s="4074">
        <f t="shared" si="109"/>
        <v>0</v>
      </c>
      <c r="H67" s="2104">
        <f t="shared" si="110"/>
        <v>0</v>
      </c>
      <c r="I67" s="2105">
        <f t="shared" si="111"/>
        <v>53</v>
      </c>
      <c r="J67" s="2106">
        <f t="shared" si="112"/>
        <v>8</v>
      </c>
      <c r="K67" s="2106">
        <f t="shared" si="113"/>
        <v>8</v>
      </c>
      <c r="L67" s="2106">
        <f t="shared" si="114"/>
        <v>8</v>
      </c>
      <c r="M67" s="2106">
        <f t="shared" si="115"/>
        <v>8</v>
      </c>
      <c r="N67" s="2141">
        <f t="shared" si="77"/>
        <v>85</v>
      </c>
      <c r="O67" s="4584">
        <v>0</v>
      </c>
      <c r="P67" s="4584"/>
      <c r="Q67" s="1254">
        <v>0</v>
      </c>
      <c r="R67" s="1255">
        <v>53</v>
      </c>
      <c r="S67" s="1256">
        <v>8</v>
      </c>
      <c r="T67" s="1256">
        <v>8</v>
      </c>
      <c r="U67" s="1256">
        <v>8</v>
      </c>
      <c r="V67" s="1256">
        <v>8</v>
      </c>
      <c r="W67" s="1253"/>
      <c r="X67" s="1255"/>
      <c r="Y67" s="1254"/>
      <c r="Z67" s="1255"/>
      <c r="AA67" s="1256"/>
      <c r="AB67" s="1256"/>
      <c r="AC67" s="1256"/>
      <c r="AD67" s="1256"/>
      <c r="AE67" s="1253"/>
      <c r="AF67" s="1255"/>
      <c r="AG67" s="1254"/>
      <c r="AH67" s="1255"/>
      <c r="AI67" s="1256"/>
      <c r="AJ67" s="1256"/>
      <c r="AK67" s="1256"/>
      <c r="AL67" s="1257"/>
      <c r="AM67" s="1258"/>
      <c r="AN67" s="1260" t="s">
        <v>1970</v>
      </c>
      <c r="AO67" s="2109"/>
      <c r="AP67" s="1271"/>
      <c r="AQ67" s="1256"/>
      <c r="AR67" s="1272"/>
      <c r="AS67" s="1255">
        <v>20</v>
      </c>
      <c r="AT67" s="1256">
        <v>10</v>
      </c>
      <c r="AU67" s="1256">
        <v>10</v>
      </c>
      <c r="AV67" s="1256">
        <v>10</v>
      </c>
      <c r="AW67" s="1254">
        <v>10</v>
      </c>
      <c r="AX67" s="2115"/>
      <c r="AY67" s="4422"/>
      <c r="AZ67" s="4438">
        <f t="shared" si="44"/>
        <v>0</v>
      </c>
      <c r="BA67" s="4438">
        <f t="shared" si="45"/>
        <v>0</v>
      </c>
      <c r="BB67" s="4438">
        <f t="shared" si="46"/>
        <v>0</v>
      </c>
      <c r="BC67" s="4438">
        <f t="shared" si="47"/>
        <v>27.09846970339958</v>
      </c>
      <c r="BD67" s="4438">
        <f t="shared" si="48"/>
        <v>4.0903350495697479</v>
      </c>
      <c r="BE67" s="4438">
        <f t="shared" si="49"/>
        <v>4.0903350495697479</v>
      </c>
      <c r="BF67" s="4438">
        <f t="shared" si="50"/>
        <v>4.0903350495697479</v>
      </c>
      <c r="BG67" s="4438">
        <f t="shared" si="51"/>
        <v>4.0903350495697479</v>
      </c>
      <c r="BH67" s="4438">
        <f t="shared" si="52"/>
        <v>43.459809901678575</v>
      </c>
      <c r="BI67" s="4438">
        <f t="shared" si="53"/>
        <v>0</v>
      </c>
      <c r="BJ67" s="4438">
        <f t="shared" si="54"/>
        <v>0</v>
      </c>
      <c r="BK67" s="4438">
        <f t="shared" si="55"/>
        <v>0</v>
      </c>
      <c r="BL67" s="4438">
        <f t="shared" si="56"/>
        <v>27.09846970339958</v>
      </c>
      <c r="BM67" s="4438">
        <f t="shared" si="57"/>
        <v>4.0903350495697479</v>
      </c>
      <c r="BN67" s="4438">
        <f t="shared" si="58"/>
        <v>4.0903350495697479</v>
      </c>
      <c r="BO67" s="4438">
        <f t="shared" si="59"/>
        <v>4.0903350495697479</v>
      </c>
      <c r="BP67" s="4438">
        <f t="shared" si="60"/>
        <v>4.0903350495697479</v>
      </c>
      <c r="BQ67" s="4438">
        <f t="shared" si="61"/>
        <v>0</v>
      </c>
      <c r="BR67" s="4438">
        <f t="shared" si="62"/>
        <v>0</v>
      </c>
      <c r="BS67" s="4438">
        <f t="shared" si="63"/>
        <v>0</v>
      </c>
      <c r="BT67" s="4438">
        <f t="shared" si="64"/>
        <v>0</v>
      </c>
      <c r="BU67" s="4438">
        <f t="shared" si="65"/>
        <v>0</v>
      </c>
      <c r="BV67" s="4438">
        <f t="shared" si="66"/>
        <v>0</v>
      </c>
      <c r="BW67" s="4438">
        <f t="shared" si="67"/>
        <v>0</v>
      </c>
      <c r="BX67" s="4438">
        <f t="shared" si="68"/>
        <v>0</v>
      </c>
      <c r="BY67" s="4438">
        <f t="shared" si="69"/>
        <v>0</v>
      </c>
      <c r="BZ67" s="4438">
        <f t="shared" si="70"/>
        <v>0</v>
      </c>
      <c r="CA67" s="4438">
        <f t="shared" si="71"/>
        <v>0</v>
      </c>
      <c r="CB67" s="4438">
        <f t="shared" si="72"/>
        <v>0</v>
      </c>
      <c r="CC67" s="4438">
        <f t="shared" si="73"/>
        <v>0</v>
      </c>
      <c r="CD67" s="4438">
        <f t="shared" si="74"/>
        <v>0</v>
      </c>
      <c r="CE67" s="4438">
        <f t="shared" si="75"/>
        <v>0</v>
      </c>
      <c r="CF67" s="4438">
        <f t="shared" si="76"/>
        <v>0</v>
      </c>
    </row>
    <row r="68" spans="1:84" ht="24">
      <c r="A68" s="2148"/>
      <c r="B68" s="2139">
        <v>212</v>
      </c>
      <c r="C68" s="2139" t="s">
        <v>1846</v>
      </c>
      <c r="D68" s="2111">
        <v>0.2</v>
      </c>
      <c r="E68" s="2142" t="s">
        <v>984</v>
      </c>
      <c r="F68" s="2105">
        <f t="shared" si="108"/>
        <v>6</v>
      </c>
      <c r="G68" s="4074">
        <f t="shared" si="109"/>
        <v>13</v>
      </c>
      <c r="H68" s="2104">
        <f t="shared" si="110"/>
        <v>20</v>
      </c>
      <c r="I68" s="2105">
        <f t="shared" si="111"/>
        <v>0</v>
      </c>
      <c r="J68" s="2106">
        <f t="shared" si="112"/>
        <v>0</v>
      </c>
      <c r="K68" s="2106">
        <f t="shared" si="113"/>
        <v>0</v>
      </c>
      <c r="L68" s="2106">
        <f t="shared" si="114"/>
        <v>0</v>
      </c>
      <c r="M68" s="2106">
        <f t="shared" si="115"/>
        <v>0</v>
      </c>
      <c r="N68" s="2141">
        <f t="shared" si="77"/>
        <v>0</v>
      </c>
      <c r="O68" s="4584">
        <v>6</v>
      </c>
      <c r="P68" s="4584">
        <v>13</v>
      </c>
      <c r="Q68" s="1254">
        <v>20</v>
      </c>
      <c r="R68" s="1255"/>
      <c r="S68" s="1256"/>
      <c r="T68" s="1256"/>
      <c r="U68" s="1256"/>
      <c r="V68" s="1256"/>
      <c r="W68" s="1253"/>
      <c r="X68" s="1255"/>
      <c r="Y68" s="1254"/>
      <c r="Z68" s="1255"/>
      <c r="AA68" s="1256"/>
      <c r="AB68" s="1256"/>
      <c r="AC68" s="1256"/>
      <c r="AD68" s="1256"/>
      <c r="AE68" s="1253"/>
      <c r="AF68" s="1255"/>
      <c r="AG68" s="1254"/>
      <c r="AH68" s="1255"/>
      <c r="AI68" s="1256"/>
      <c r="AJ68" s="1256"/>
      <c r="AK68" s="1256"/>
      <c r="AL68" s="1257"/>
      <c r="AM68" s="1258"/>
      <c r="AN68" s="1259" t="s">
        <v>313</v>
      </c>
      <c r="AO68" s="2109" t="s">
        <v>676</v>
      </c>
      <c r="AP68" s="1271"/>
      <c r="AQ68" s="1256"/>
      <c r="AR68" s="1254"/>
      <c r="AS68" s="1255"/>
      <c r="AT68" s="1256"/>
      <c r="AU68" s="1256"/>
      <c r="AV68" s="1256"/>
      <c r="AW68" s="1254"/>
      <c r="AX68" s="2115" t="s">
        <v>396</v>
      </c>
      <c r="AY68" s="4422"/>
      <c r="AZ68" s="4438">
        <f t="shared" si="44"/>
        <v>3.0677512871773112</v>
      </c>
      <c r="BA68" s="4438">
        <f t="shared" si="45"/>
        <v>6.6467944555508405</v>
      </c>
      <c r="BB68" s="4438">
        <f t="shared" si="46"/>
        <v>10.22583762392437</v>
      </c>
      <c r="BC68" s="4438">
        <f t="shared" si="47"/>
        <v>0</v>
      </c>
      <c r="BD68" s="4438">
        <f t="shared" si="48"/>
        <v>0</v>
      </c>
      <c r="BE68" s="4438">
        <f t="shared" si="49"/>
        <v>0</v>
      </c>
      <c r="BF68" s="4438">
        <f t="shared" si="50"/>
        <v>0</v>
      </c>
      <c r="BG68" s="4438">
        <f t="shared" si="51"/>
        <v>0</v>
      </c>
      <c r="BH68" s="4438">
        <f t="shared" si="52"/>
        <v>0</v>
      </c>
      <c r="BI68" s="4438">
        <f t="shared" si="53"/>
        <v>3.0677512871773112</v>
      </c>
      <c r="BJ68" s="4438">
        <f t="shared" si="54"/>
        <v>6.6467944555508405</v>
      </c>
      <c r="BK68" s="4438">
        <f t="shared" si="55"/>
        <v>10.22583762392437</v>
      </c>
      <c r="BL68" s="4438">
        <f t="shared" si="56"/>
        <v>0</v>
      </c>
      <c r="BM68" s="4438">
        <f t="shared" si="57"/>
        <v>0</v>
      </c>
      <c r="BN68" s="4438">
        <f t="shared" si="58"/>
        <v>0</v>
      </c>
      <c r="BO68" s="4438">
        <f t="shared" si="59"/>
        <v>0</v>
      </c>
      <c r="BP68" s="4438">
        <f t="shared" si="60"/>
        <v>0</v>
      </c>
      <c r="BQ68" s="4438">
        <f t="shared" si="61"/>
        <v>0</v>
      </c>
      <c r="BR68" s="4438">
        <f t="shared" si="62"/>
        <v>0</v>
      </c>
      <c r="BS68" s="4438">
        <f t="shared" si="63"/>
        <v>0</v>
      </c>
      <c r="BT68" s="4438">
        <f t="shared" si="64"/>
        <v>0</v>
      </c>
      <c r="BU68" s="4438">
        <f t="shared" si="65"/>
        <v>0</v>
      </c>
      <c r="BV68" s="4438">
        <f t="shared" si="66"/>
        <v>0</v>
      </c>
      <c r="BW68" s="4438">
        <f t="shared" si="67"/>
        <v>0</v>
      </c>
      <c r="BX68" s="4438">
        <f t="shared" si="68"/>
        <v>0</v>
      </c>
      <c r="BY68" s="4438">
        <f t="shared" si="69"/>
        <v>0</v>
      </c>
      <c r="BZ68" s="4438">
        <f t="shared" si="70"/>
        <v>0</v>
      </c>
      <c r="CA68" s="4438">
        <f t="shared" si="71"/>
        <v>0</v>
      </c>
      <c r="CB68" s="4438">
        <f t="shared" si="72"/>
        <v>0</v>
      </c>
      <c r="CC68" s="4438">
        <f t="shared" si="73"/>
        <v>0</v>
      </c>
      <c r="CD68" s="4438">
        <f t="shared" si="74"/>
        <v>0</v>
      </c>
      <c r="CE68" s="4438">
        <f t="shared" si="75"/>
        <v>0</v>
      </c>
      <c r="CF68" s="4438">
        <f t="shared" si="76"/>
        <v>0</v>
      </c>
    </row>
    <row r="69" spans="1:84" ht="24.75" thickBot="1">
      <c r="A69" s="2138"/>
      <c r="B69" s="2139">
        <v>215</v>
      </c>
      <c r="C69" s="2139" t="s">
        <v>1847</v>
      </c>
      <c r="D69" s="2111">
        <v>0.2</v>
      </c>
      <c r="E69" s="2142" t="s">
        <v>985</v>
      </c>
      <c r="F69" s="2105">
        <f t="shared" si="108"/>
        <v>0</v>
      </c>
      <c r="G69" s="4074">
        <f t="shared" si="109"/>
        <v>0</v>
      </c>
      <c r="H69" s="2104">
        <f t="shared" si="110"/>
        <v>10</v>
      </c>
      <c r="I69" s="2105">
        <f t="shared" si="111"/>
        <v>0</v>
      </c>
      <c r="J69" s="2106">
        <f t="shared" si="112"/>
        <v>0</v>
      </c>
      <c r="K69" s="2106">
        <f t="shared" si="113"/>
        <v>0</v>
      </c>
      <c r="L69" s="2106">
        <f t="shared" si="114"/>
        <v>0</v>
      </c>
      <c r="M69" s="2106">
        <f t="shared" si="115"/>
        <v>0</v>
      </c>
      <c r="N69" s="2141">
        <f t="shared" si="77"/>
        <v>0</v>
      </c>
      <c r="O69" s="4585">
        <v>0</v>
      </c>
      <c r="P69" s="4585">
        <v>0</v>
      </c>
      <c r="Q69" s="1254">
        <v>10</v>
      </c>
      <c r="R69" s="1255"/>
      <c r="S69" s="1256"/>
      <c r="T69" s="1256"/>
      <c r="U69" s="1256"/>
      <c r="V69" s="1256"/>
      <c r="W69" s="1253"/>
      <c r="X69" s="1255"/>
      <c r="Y69" s="1254"/>
      <c r="Z69" s="1255"/>
      <c r="AA69" s="1256"/>
      <c r="AB69" s="1256"/>
      <c r="AC69" s="1256"/>
      <c r="AD69" s="1256"/>
      <c r="AE69" s="1253"/>
      <c r="AF69" s="1255"/>
      <c r="AG69" s="1254"/>
      <c r="AH69" s="1255"/>
      <c r="AI69" s="1256"/>
      <c r="AJ69" s="1256"/>
      <c r="AK69" s="1256"/>
      <c r="AL69" s="1257"/>
      <c r="AM69" s="1258"/>
      <c r="AN69" s="1259" t="s">
        <v>313</v>
      </c>
      <c r="AO69" s="2176" t="s">
        <v>676</v>
      </c>
      <c r="AP69" s="1255"/>
      <c r="AQ69" s="1255"/>
      <c r="AR69" s="1254"/>
      <c r="AS69" s="1255"/>
      <c r="AT69" s="1256"/>
      <c r="AU69" s="1256"/>
      <c r="AV69" s="1256"/>
      <c r="AW69" s="1254"/>
      <c r="AX69" s="2115" t="s">
        <v>670</v>
      </c>
      <c r="AY69" s="4422"/>
      <c r="AZ69" s="4438">
        <f t="shared" si="44"/>
        <v>0</v>
      </c>
      <c r="BA69" s="4438">
        <f t="shared" si="45"/>
        <v>0</v>
      </c>
      <c r="BB69" s="4438">
        <f t="shared" si="46"/>
        <v>5.1129188119621851</v>
      </c>
      <c r="BC69" s="4438">
        <f t="shared" si="47"/>
        <v>0</v>
      </c>
      <c r="BD69" s="4438">
        <f t="shared" si="48"/>
        <v>0</v>
      </c>
      <c r="BE69" s="4438">
        <f t="shared" si="49"/>
        <v>0</v>
      </c>
      <c r="BF69" s="4438">
        <f t="shared" si="50"/>
        <v>0</v>
      </c>
      <c r="BG69" s="4438">
        <f t="shared" si="51"/>
        <v>0</v>
      </c>
      <c r="BH69" s="4438">
        <f t="shared" si="52"/>
        <v>0</v>
      </c>
      <c r="BI69" s="4438">
        <f t="shared" si="53"/>
        <v>0</v>
      </c>
      <c r="BJ69" s="4438">
        <f t="shared" si="54"/>
        <v>0</v>
      </c>
      <c r="BK69" s="4438">
        <f t="shared" si="55"/>
        <v>5.1129188119621851</v>
      </c>
      <c r="BL69" s="4438">
        <f t="shared" si="56"/>
        <v>0</v>
      </c>
      <c r="BM69" s="4438">
        <f t="shared" si="57"/>
        <v>0</v>
      </c>
      <c r="BN69" s="4438">
        <f t="shared" si="58"/>
        <v>0</v>
      </c>
      <c r="BO69" s="4438">
        <f t="shared" si="59"/>
        <v>0</v>
      </c>
      <c r="BP69" s="4438">
        <f t="shared" si="60"/>
        <v>0</v>
      </c>
      <c r="BQ69" s="4438">
        <f t="shared" si="61"/>
        <v>0</v>
      </c>
      <c r="BR69" s="4438">
        <f t="shared" si="62"/>
        <v>0</v>
      </c>
      <c r="BS69" s="4438">
        <f t="shared" si="63"/>
        <v>0</v>
      </c>
      <c r="BT69" s="4438">
        <f t="shared" si="64"/>
        <v>0</v>
      </c>
      <c r="BU69" s="4438">
        <f t="shared" si="65"/>
        <v>0</v>
      </c>
      <c r="BV69" s="4438">
        <f t="shared" si="66"/>
        <v>0</v>
      </c>
      <c r="BW69" s="4438">
        <f t="shared" si="67"/>
        <v>0</v>
      </c>
      <c r="BX69" s="4438">
        <f t="shared" si="68"/>
        <v>0</v>
      </c>
      <c r="BY69" s="4438">
        <f t="shared" si="69"/>
        <v>0</v>
      </c>
      <c r="BZ69" s="4438">
        <f t="shared" si="70"/>
        <v>0</v>
      </c>
      <c r="CA69" s="4438">
        <f t="shared" si="71"/>
        <v>0</v>
      </c>
      <c r="CB69" s="4438">
        <f t="shared" si="72"/>
        <v>0</v>
      </c>
      <c r="CC69" s="4438">
        <f t="shared" si="73"/>
        <v>0</v>
      </c>
      <c r="CD69" s="4438">
        <f t="shared" si="74"/>
        <v>0</v>
      </c>
      <c r="CE69" s="4438">
        <f t="shared" si="75"/>
        <v>0</v>
      </c>
      <c r="CF69" s="4438">
        <f t="shared" si="76"/>
        <v>0</v>
      </c>
    </row>
    <row r="70" spans="1:84" ht="24">
      <c r="A70" s="2138"/>
      <c r="B70" s="2139">
        <v>215</v>
      </c>
      <c r="C70" s="2139" t="s">
        <v>1848</v>
      </c>
      <c r="D70" s="2111">
        <v>0.2</v>
      </c>
      <c r="E70" s="2142" t="s">
        <v>659</v>
      </c>
      <c r="F70" s="2105">
        <f t="shared" si="108"/>
        <v>0</v>
      </c>
      <c r="G70" s="4074">
        <f t="shared" si="109"/>
        <v>0</v>
      </c>
      <c r="H70" s="2104">
        <f t="shared" si="110"/>
        <v>5</v>
      </c>
      <c r="I70" s="2105">
        <f t="shared" si="111"/>
        <v>0</v>
      </c>
      <c r="J70" s="2106">
        <f t="shared" si="112"/>
        <v>0</v>
      </c>
      <c r="K70" s="2106">
        <f t="shared" si="113"/>
        <v>0</v>
      </c>
      <c r="L70" s="2106">
        <f t="shared" si="114"/>
        <v>0</v>
      </c>
      <c r="M70" s="2106">
        <f t="shared" si="115"/>
        <v>0</v>
      </c>
      <c r="N70" s="2141">
        <f t="shared" si="77"/>
        <v>0</v>
      </c>
      <c r="O70" s="4585">
        <v>0</v>
      </c>
      <c r="P70" s="4585">
        <v>0</v>
      </c>
      <c r="Q70" s="1254">
        <v>5</v>
      </c>
      <c r="R70" s="1255"/>
      <c r="S70" s="1256"/>
      <c r="T70" s="1256"/>
      <c r="U70" s="1256"/>
      <c r="V70" s="1256"/>
      <c r="W70" s="1253"/>
      <c r="X70" s="1255"/>
      <c r="Y70" s="1254"/>
      <c r="Z70" s="1255"/>
      <c r="AA70" s="1256"/>
      <c r="AB70" s="1256"/>
      <c r="AC70" s="1256"/>
      <c r="AD70" s="1256"/>
      <c r="AE70" s="1253"/>
      <c r="AF70" s="1255"/>
      <c r="AG70" s="1254"/>
      <c r="AH70" s="1255"/>
      <c r="AI70" s="1256"/>
      <c r="AJ70" s="1256"/>
      <c r="AK70" s="1256"/>
      <c r="AL70" s="1257"/>
      <c r="AM70" s="1258"/>
      <c r="AN70" s="1259" t="s">
        <v>313</v>
      </c>
      <c r="AO70" s="2177" t="s">
        <v>313</v>
      </c>
      <c r="AP70" s="2145"/>
      <c r="AQ70" s="2145"/>
      <c r="AR70" s="2144"/>
      <c r="AS70" s="2145"/>
      <c r="AT70" s="2146"/>
      <c r="AU70" s="2146"/>
      <c r="AV70" s="2146"/>
      <c r="AW70" s="2147"/>
      <c r="AX70" s="2115" t="s">
        <v>671</v>
      </c>
      <c r="AY70" s="4422"/>
      <c r="AZ70" s="4438">
        <f t="shared" si="44"/>
        <v>0</v>
      </c>
      <c r="BA70" s="4438">
        <f t="shared" si="45"/>
        <v>0</v>
      </c>
      <c r="BB70" s="4438">
        <f t="shared" si="46"/>
        <v>2.5564594059810926</v>
      </c>
      <c r="BC70" s="4438">
        <f t="shared" si="47"/>
        <v>0</v>
      </c>
      <c r="BD70" s="4438">
        <f t="shared" si="48"/>
        <v>0</v>
      </c>
      <c r="BE70" s="4438">
        <f t="shared" si="49"/>
        <v>0</v>
      </c>
      <c r="BF70" s="4438">
        <f t="shared" si="50"/>
        <v>0</v>
      </c>
      <c r="BG70" s="4438">
        <f t="shared" si="51"/>
        <v>0</v>
      </c>
      <c r="BH70" s="4438">
        <f t="shared" si="52"/>
        <v>0</v>
      </c>
      <c r="BI70" s="4438">
        <f t="shared" si="53"/>
        <v>0</v>
      </c>
      <c r="BJ70" s="4438">
        <f t="shared" si="54"/>
        <v>0</v>
      </c>
      <c r="BK70" s="4438">
        <f t="shared" si="55"/>
        <v>2.5564594059810926</v>
      </c>
      <c r="BL70" s="4438">
        <f t="shared" si="56"/>
        <v>0</v>
      </c>
      <c r="BM70" s="4438">
        <f t="shared" si="57"/>
        <v>0</v>
      </c>
      <c r="BN70" s="4438">
        <f t="shared" si="58"/>
        <v>0</v>
      </c>
      <c r="BO70" s="4438">
        <f t="shared" si="59"/>
        <v>0</v>
      </c>
      <c r="BP70" s="4438">
        <f t="shared" si="60"/>
        <v>0</v>
      </c>
      <c r="BQ70" s="4438">
        <f t="shared" si="61"/>
        <v>0</v>
      </c>
      <c r="BR70" s="4438">
        <f t="shared" si="62"/>
        <v>0</v>
      </c>
      <c r="BS70" s="4438">
        <f t="shared" si="63"/>
        <v>0</v>
      </c>
      <c r="BT70" s="4438">
        <f t="shared" si="64"/>
        <v>0</v>
      </c>
      <c r="BU70" s="4438">
        <f t="shared" si="65"/>
        <v>0</v>
      </c>
      <c r="BV70" s="4438">
        <f t="shared" si="66"/>
        <v>0</v>
      </c>
      <c r="BW70" s="4438">
        <f t="shared" si="67"/>
        <v>0</v>
      </c>
      <c r="BX70" s="4438">
        <f t="shared" si="68"/>
        <v>0</v>
      </c>
      <c r="BY70" s="4438">
        <f t="shared" si="69"/>
        <v>0</v>
      </c>
      <c r="BZ70" s="4438">
        <f t="shared" si="70"/>
        <v>0</v>
      </c>
      <c r="CA70" s="4438">
        <f t="shared" si="71"/>
        <v>0</v>
      </c>
      <c r="CB70" s="4438">
        <f t="shared" si="72"/>
        <v>0</v>
      </c>
      <c r="CC70" s="4438">
        <f t="shared" si="73"/>
        <v>0</v>
      </c>
      <c r="CD70" s="4438">
        <f t="shared" si="74"/>
        <v>0</v>
      </c>
      <c r="CE70" s="4438">
        <f t="shared" si="75"/>
        <v>0</v>
      </c>
      <c r="CF70" s="4438">
        <f t="shared" si="76"/>
        <v>0</v>
      </c>
    </row>
    <row r="71" spans="1:84" ht="13.5" thickBot="1">
      <c r="A71" s="2149"/>
      <c r="B71" s="2150">
        <v>208</v>
      </c>
      <c r="C71" s="2150" t="s">
        <v>1849</v>
      </c>
      <c r="D71" s="2120">
        <v>0.2</v>
      </c>
      <c r="E71" s="2151" t="s">
        <v>397</v>
      </c>
      <c r="F71" s="3803">
        <f t="shared" si="108"/>
        <v>16</v>
      </c>
      <c r="G71" s="4074">
        <f t="shared" si="109"/>
        <v>20</v>
      </c>
      <c r="H71" s="2104">
        <f t="shared" si="110"/>
        <v>20</v>
      </c>
      <c r="I71" s="2105">
        <f t="shared" si="111"/>
        <v>0</v>
      </c>
      <c r="J71" s="2106">
        <f t="shared" si="112"/>
        <v>0</v>
      </c>
      <c r="K71" s="2106">
        <f t="shared" si="113"/>
        <v>0</v>
      </c>
      <c r="L71" s="2106">
        <f t="shared" si="114"/>
        <v>0</v>
      </c>
      <c r="M71" s="2106">
        <f t="shared" si="115"/>
        <v>0</v>
      </c>
      <c r="N71" s="2152">
        <f>SUM(I71:M71)</f>
        <v>0</v>
      </c>
      <c r="O71" s="4584">
        <v>16</v>
      </c>
      <c r="P71" s="4584">
        <v>20</v>
      </c>
      <c r="Q71" s="1262">
        <v>20</v>
      </c>
      <c r="R71" s="1263"/>
      <c r="S71" s="1264"/>
      <c r="T71" s="1264"/>
      <c r="U71" s="1264"/>
      <c r="V71" s="1264"/>
      <c r="W71" s="1275"/>
      <c r="X71" s="1263"/>
      <c r="Y71" s="1262"/>
      <c r="Z71" s="1263"/>
      <c r="AA71" s="1264"/>
      <c r="AB71" s="1264"/>
      <c r="AC71" s="1264"/>
      <c r="AD71" s="1264"/>
      <c r="AE71" s="1275"/>
      <c r="AF71" s="1263"/>
      <c r="AG71" s="1262"/>
      <c r="AH71" s="1263"/>
      <c r="AI71" s="1264"/>
      <c r="AJ71" s="1264"/>
      <c r="AK71" s="1264"/>
      <c r="AL71" s="1265"/>
      <c r="AM71" s="1273"/>
      <c r="AN71" s="1259" t="s">
        <v>313</v>
      </c>
      <c r="AO71" s="2176" t="s">
        <v>676</v>
      </c>
      <c r="AP71" s="1275"/>
      <c r="AQ71" s="1275"/>
      <c r="AR71" s="1276"/>
      <c r="AS71" s="1277"/>
      <c r="AT71" s="1277"/>
      <c r="AU71" s="1277"/>
      <c r="AV71" s="1277"/>
      <c r="AW71" s="1277"/>
      <c r="AX71" s="2178" t="s">
        <v>395</v>
      </c>
      <c r="AY71" s="4422"/>
      <c r="AZ71" s="4438">
        <f t="shared" si="44"/>
        <v>8.1806700991394958</v>
      </c>
      <c r="BA71" s="4438">
        <f t="shared" si="45"/>
        <v>10.22583762392437</v>
      </c>
      <c r="BB71" s="4438">
        <f t="shared" si="46"/>
        <v>10.22583762392437</v>
      </c>
      <c r="BC71" s="4438">
        <f t="shared" si="47"/>
        <v>0</v>
      </c>
      <c r="BD71" s="4438">
        <f t="shared" si="48"/>
        <v>0</v>
      </c>
      <c r="BE71" s="4438">
        <f t="shared" si="49"/>
        <v>0</v>
      </c>
      <c r="BF71" s="4438">
        <f t="shared" si="50"/>
        <v>0</v>
      </c>
      <c r="BG71" s="4438">
        <f t="shared" si="51"/>
        <v>0</v>
      </c>
      <c r="BH71" s="4438">
        <f t="shared" si="52"/>
        <v>0</v>
      </c>
      <c r="BI71" s="4438">
        <f t="shared" si="53"/>
        <v>8.1806700991394958</v>
      </c>
      <c r="BJ71" s="4438">
        <f t="shared" si="54"/>
        <v>10.22583762392437</v>
      </c>
      <c r="BK71" s="4438">
        <f t="shared" si="55"/>
        <v>10.22583762392437</v>
      </c>
      <c r="BL71" s="4438">
        <f t="shared" si="56"/>
        <v>0</v>
      </c>
      <c r="BM71" s="4438">
        <f t="shared" si="57"/>
        <v>0</v>
      </c>
      <c r="BN71" s="4438">
        <f t="shared" si="58"/>
        <v>0</v>
      </c>
      <c r="BO71" s="4438">
        <f t="shared" si="59"/>
        <v>0</v>
      </c>
      <c r="BP71" s="4438">
        <f t="shared" si="60"/>
        <v>0</v>
      </c>
      <c r="BQ71" s="4438">
        <f t="shared" si="61"/>
        <v>0</v>
      </c>
      <c r="BR71" s="4438">
        <f t="shared" si="62"/>
        <v>0</v>
      </c>
      <c r="BS71" s="4438">
        <f t="shared" si="63"/>
        <v>0</v>
      </c>
      <c r="BT71" s="4438">
        <f t="shared" si="64"/>
        <v>0</v>
      </c>
      <c r="BU71" s="4438">
        <f t="shared" si="65"/>
        <v>0</v>
      </c>
      <c r="BV71" s="4438">
        <f t="shared" si="66"/>
        <v>0</v>
      </c>
      <c r="BW71" s="4438">
        <f t="shared" si="67"/>
        <v>0</v>
      </c>
      <c r="BX71" s="4438">
        <f t="shared" si="68"/>
        <v>0</v>
      </c>
      <c r="BY71" s="4438">
        <f t="shared" si="69"/>
        <v>0</v>
      </c>
      <c r="BZ71" s="4438">
        <f t="shared" si="70"/>
        <v>0</v>
      </c>
      <c r="CA71" s="4438">
        <f t="shared" si="71"/>
        <v>0</v>
      </c>
      <c r="CB71" s="4438">
        <f t="shared" si="72"/>
        <v>0</v>
      </c>
      <c r="CC71" s="4438">
        <f t="shared" si="73"/>
        <v>0</v>
      </c>
      <c r="CD71" s="4438">
        <f t="shared" si="74"/>
        <v>0</v>
      </c>
      <c r="CE71" s="4438">
        <f t="shared" si="75"/>
        <v>0</v>
      </c>
      <c r="CF71" s="4438">
        <f t="shared" si="76"/>
        <v>0</v>
      </c>
    </row>
    <row r="72" spans="1:84" ht="16.5" thickBot="1">
      <c r="A72" s="5110" t="s">
        <v>1214</v>
      </c>
      <c r="B72" s="5111"/>
      <c r="C72" s="5111"/>
      <c r="D72" s="5111"/>
      <c r="E72" s="5111"/>
      <c r="F72" s="5111"/>
      <c r="G72" s="5111"/>
      <c r="H72" s="5111"/>
      <c r="I72" s="5111"/>
      <c r="J72" s="5111"/>
      <c r="K72" s="5111"/>
      <c r="L72" s="5111"/>
      <c r="M72" s="5111"/>
      <c r="N72" s="5111"/>
      <c r="O72" s="5111"/>
      <c r="P72" s="5111"/>
      <c r="Q72" s="5111"/>
      <c r="R72" s="5111"/>
      <c r="S72" s="5111"/>
      <c r="T72" s="5111"/>
      <c r="U72" s="5111"/>
      <c r="V72" s="5111"/>
      <c r="W72" s="5111"/>
      <c r="X72" s="5111"/>
      <c r="Y72" s="5111"/>
      <c r="Z72" s="5111"/>
      <c r="AA72" s="5111"/>
      <c r="AB72" s="5111"/>
      <c r="AC72" s="5111"/>
      <c r="AD72" s="5111"/>
      <c r="AE72" s="5111"/>
      <c r="AF72" s="5111"/>
      <c r="AG72" s="5111"/>
      <c r="AH72" s="5111"/>
      <c r="AI72" s="5111"/>
      <c r="AJ72" s="5111"/>
      <c r="AK72" s="5111"/>
      <c r="AL72" s="5111"/>
      <c r="AM72" s="5111"/>
      <c r="AN72" s="5111"/>
      <c r="AO72" s="5111"/>
      <c r="AP72" s="5111"/>
      <c r="AQ72" s="5111"/>
      <c r="AR72" s="5111"/>
      <c r="AS72" s="5111"/>
      <c r="AT72" s="5111"/>
      <c r="AU72" s="5111"/>
      <c r="AV72" s="5111"/>
      <c r="AW72" s="5111"/>
      <c r="AX72" s="5112"/>
      <c r="AY72" s="4422"/>
      <c r="AZ72" s="4438">
        <f t="shared" si="44"/>
        <v>0</v>
      </c>
      <c r="BA72" s="4438">
        <f t="shared" si="45"/>
        <v>0</v>
      </c>
      <c r="BB72" s="4438">
        <f t="shared" si="46"/>
        <v>0</v>
      </c>
      <c r="BC72" s="4438">
        <f t="shared" si="47"/>
        <v>0</v>
      </c>
      <c r="BD72" s="4438">
        <f t="shared" si="48"/>
        <v>0</v>
      </c>
      <c r="BE72" s="4438">
        <f t="shared" si="49"/>
        <v>0</v>
      </c>
      <c r="BF72" s="4438">
        <f t="shared" si="50"/>
        <v>0</v>
      </c>
      <c r="BG72" s="4438">
        <f t="shared" si="51"/>
        <v>0</v>
      </c>
      <c r="BH72" s="4438">
        <f t="shared" si="52"/>
        <v>0</v>
      </c>
      <c r="BI72" s="4438">
        <f t="shared" si="53"/>
        <v>0</v>
      </c>
      <c r="BJ72" s="4438">
        <f t="shared" si="54"/>
        <v>0</v>
      </c>
      <c r="BK72" s="4438">
        <f t="shared" si="55"/>
        <v>0</v>
      </c>
      <c r="BL72" s="4438">
        <f t="shared" si="56"/>
        <v>0</v>
      </c>
      <c r="BM72" s="4438">
        <f t="shared" si="57"/>
        <v>0</v>
      </c>
      <c r="BN72" s="4438">
        <f t="shared" si="58"/>
        <v>0</v>
      </c>
      <c r="BO72" s="4438">
        <f t="shared" si="59"/>
        <v>0</v>
      </c>
      <c r="BP72" s="4438">
        <f t="shared" si="60"/>
        <v>0</v>
      </c>
      <c r="BQ72" s="4438">
        <f t="shared" si="61"/>
        <v>0</v>
      </c>
      <c r="BR72" s="4438">
        <f t="shared" si="62"/>
        <v>0</v>
      </c>
      <c r="BS72" s="4438">
        <f t="shared" si="63"/>
        <v>0</v>
      </c>
      <c r="BT72" s="4438">
        <f t="shared" si="64"/>
        <v>0</v>
      </c>
      <c r="BU72" s="4438">
        <f t="shared" si="65"/>
        <v>0</v>
      </c>
      <c r="BV72" s="4438">
        <f t="shared" si="66"/>
        <v>0</v>
      </c>
      <c r="BW72" s="4438">
        <f t="shared" si="67"/>
        <v>0</v>
      </c>
      <c r="BX72" s="4438">
        <f t="shared" si="68"/>
        <v>0</v>
      </c>
      <c r="BY72" s="4438">
        <f t="shared" si="69"/>
        <v>0</v>
      </c>
      <c r="BZ72" s="4438">
        <f t="shared" si="70"/>
        <v>0</v>
      </c>
      <c r="CA72" s="4438">
        <f t="shared" si="71"/>
        <v>0</v>
      </c>
      <c r="CB72" s="4438">
        <f t="shared" si="72"/>
        <v>0</v>
      </c>
      <c r="CC72" s="4438">
        <f t="shared" si="73"/>
        <v>0</v>
      </c>
      <c r="CD72" s="4438">
        <f t="shared" si="74"/>
        <v>0</v>
      </c>
      <c r="CE72" s="4438">
        <f t="shared" si="75"/>
        <v>0</v>
      </c>
      <c r="CF72" s="4438">
        <f t="shared" si="76"/>
        <v>0</v>
      </c>
    </row>
    <row r="73" spans="1:84" ht="24.75" thickBot="1">
      <c r="A73" s="2068">
        <v>1.6</v>
      </c>
      <c r="B73" s="2068"/>
      <c r="C73" s="2068"/>
      <c r="D73" s="2069"/>
      <c r="E73" s="2070" t="s">
        <v>1029</v>
      </c>
      <c r="F73" s="2179">
        <f>SUM(F74:F97)</f>
        <v>0</v>
      </c>
      <c r="G73" s="4077">
        <f>SUM(G74:G97)</f>
        <v>0</v>
      </c>
      <c r="H73" s="2180">
        <f t="shared" ref="H73:AL73" si="116">SUM(H74:H97)</f>
        <v>0</v>
      </c>
      <c r="I73" s="2181">
        <f t="shared" si="116"/>
        <v>0</v>
      </c>
      <c r="J73" s="2182">
        <f t="shared" si="116"/>
        <v>0</v>
      </c>
      <c r="K73" s="2182">
        <f t="shared" si="116"/>
        <v>0</v>
      </c>
      <c r="L73" s="2182">
        <f t="shared" si="116"/>
        <v>0</v>
      </c>
      <c r="M73" s="2183">
        <f t="shared" si="116"/>
        <v>0</v>
      </c>
      <c r="N73" s="2076">
        <f t="shared" si="116"/>
        <v>0</v>
      </c>
      <c r="O73" s="2077">
        <f t="shared" ref="O73" si="117">SUM(O74:O97)</f>
        <v>0</v>
      </c>
      <c r="P73" s="4088">
        <f t="shared" si="116"/>
        <v>0</v>
      </c>
      <c r="Q73" s="2078">
        <f t="shared" si="116"/>
        <v>0</v>
      </c>
      <c r="R73" s="2079">
        <f t="shared" si="116"/>
        <v>0</v>
      </c>
      <c r="S73" s="2080">
        <f t="shared" si="116"/>
        <v>0</v>
      </c>
      <c r="T73" s="2080">
        <f t="shared" si="116"/>
        <v>0</v>
      </c>
      <c r="U73" s="2080">
        <f t="shared" si="116"/>
        <v>0</v>
      </c>
      <c r="V73" s="2081">
        <f t="shared" si="116"/>
        <v>0</v>
      </c>
      <c r="W73" s="2077">
        <f t="shared" ref="W73" si="118">SUM(W74:W97)</f>
        <v>0</v>
      </c>
      <c r="X73" s="4088">
        <f t="shared" si="116"/>
        <v>0</v>
      </c>
      <c r="Y73" s="2078">
        <f t="shared" si="116"/>
        <v>0</v>
      </c>
      <c r="Z73" s="2079">
        <f t="shared" si="116"/>
        <v>0</v>
      </c>
      <c r="AA73" s="2080">
        <f t="shared" si="116"/>
        <v>0</v>
      </c>
      <c r="AB73" s="2080">
        <f t="shared" si="116"/>
        <v>0</v>
      </c>
      <c r="AC73" s="2080">
        <f t="shared" si="116"/>
        <v>0</v>
      </c>
      <c r="AD73" s="2081">
        <f t="shared" si="116"/>
        <v>0</v>
      </c>
      <c r="AE73" s="2077">
        <f t="shared" ref="AE73" si="119">SUM(AE74:AE97)</f>
        <v>0</v>
      </c>
      <c r="AF73" s="4088">
        <f t="shared" si="116"/>
        <v>0</v>
      </c>
      <c r="AG73" s="2078">
        <f t="shared" si="116"/>
        <v>0</v>
      </c>
      <c r="AH73" s="2079">
        <f t="shared" si="116"/>
        <v>0</v>
      </c>
      <c r="AI73" s="2080">
        <f t="shared" si="116"/>
        <v>0</v>
      </c>
      <c r="AJ73" s="2080">
        <f t="shared" si="116"/>
        <v>0</v>
      </c>
      <c r="AK73" s="2080">
        <f t="shared" si="116"/>
        <v>0</v>
      </c>
      <c r="AL73" s="2082">
        <f t="shared" si="116"/>
        <v>0</v>
      </c>
      <c r="AM73" s="2083"/>
      <c r="AN73" s="2084"/>
      <c r="AO73" s="2085"/>
      <c r="AP73" s="2184"/>
      <c r="AQ73" s="2184"/>
      <c r="AR73" s="2185"/>
      <c r="AS73" s="2086"/>
      <c r="AT73" s="2086"/>
      <c r="AU73" s="2086"/>
      <c r="AV73" s="2086"/>
      <c r="AW73" s="2087"/>
      <c r="AX73" s="2088"/>
      <c r="AY73" s="4422"/>
      <c r="AZ73" s="4438">
        <f t="shared" si="44"/>
        <v>0</v>
      </c>
      <c r="BA73" s="4438">
        <f t="shared" si="45"/>
        <v>0</v>
      </c>
      <c r="BB73" s="4438">
        <f t="shared" si="46"/>
        <v>0</v>
      </c>
      <c r="BC73" s="4438">
        <f t="shared" si="47"/>
        <v>0</v>
      </c>
      <c r="BD73" s="4438">
        <f t="shared" si="48"/>
        <v>0</v>
      </c>
      <c r="BE73" s="4438">
        <f t="shared" si="49"/>
        <v>0</v>
      </c>
      <c r="BF73" s="4438">
        <f t="shared" si="50"/>
        <v>0</v>
      </c>
      <c r="BG73" s="4438">
        <f t="shared" si="51"/>
        <v>0</v>
      </c>
      <c r="BH73" s="4438">
        <f t="shared" si="52"/>
        <v>0</v>
      </c>
      <c r="BI73" s="4438">
        <f t="shared" si="53"/>
        <v>0</v>
      </c>
      <c r="BJ73" s="4438">
        <f t="shared" si="54"/>
        <v>0</v>
      </c>
      <c r="BK73" s="4438">
        <f t="shared" si="55"/>
        <v>0</v>
      </c>
      <c r="BL73" s="4438">
        <f t="shared" si="56"/>
        <v>0</v>
      </c>
      <c r="BM73" s="4438">
        <f t="shared" si="57"/>
        <v>0</v>
      </c>
      <c r="BN73" s="4438">
        <f t="shared" si="58"/>
        <v>0</v>
      </c>
      <c r="BO73" s="4438">
        <f t="shared" si="59"/>
        <v>0</v>
      </c>
      <c r="BP73" s="4438">
        <f t="shared" si="60"/>
        <v>0</v>
      </c>
      <c r="BQ73" s="4438">
        <f t="shared" si="61"/>
        <v>0</v>
      </c>
      <c r="BR73" s="4438">
        <f t="shared" si="62"/>
        <v>0</v>
      </c>
      <c r="BS73" s="4438">
        <f t="shared" si="63"/>
        <v>0</v>
      </c>
      <c r="BT73" s="4438">
        <f t="shared" si="64"/>
        <v>0</v>
      </c>
      <c r="BU73" s="4438">
        <f t="shared" si="65"/>
        <v>0</v>
      </c>
      <c r="BV73" s="4438">
        <f t="shared" si="66"/>
        <v>0</v>
      </c>
      <c r="BW73" s="4438">
        <f t="shared" si="67"/>
        <v>0</v>
      </c>
      <c r="BX73" s="4438">
        <f t="shared" si="68"/>
        <v>0</v>
      </c>
      <c r="BY73" s="4438">
        <f t="shared" si="69"/>
        <v>0</v>
      </c>
      <c r="BZ73" s="4438">
        <f t="shared" si="70"/>
        <v>0</v>
      </c>
      <c r="CA73" s="4438">
        <f t="shared" si="71"/>
        <v>0</v>
      </c>
      <c r="CB73" s="4438">
        <f t="shared" si="72"/>
        <v>0</v>
      </c>
      <c r="CC73" s="4438">
        <f t="shared" si="73"/>
        <v>0</v>
      </c>
      <c r="CD73" s="4438">
        <f t="shared" si="74"/>
        <v>0</v>
      </c>
      <c r="CE73" s="4438">
        <f t="shared" si="75"/>
        <v>0</v>
      </c>
      <c r="CF73" s="4438">
        <f t="shared" si="76"/>
        <v>0</v>
      </c>
    </row>
    <row r="74" spans="1:84">
      <c r="A74" s="2089"/>
      <c r="B74" s="2090">
        <v>2040201</v>
      </c>
      <c r="C74" s="2090">
        <v>2070101</v>
      </c>
      <c r="D74" s="2091">
        <v>0.02</v>
      </c>
      <c r="E74" s="2092" t="s">
        <v>738</v>
      </c>
      <c r="F74" s="4076">
        <f t="shared" ref="F74:F97" si="120">O74+W74+AE74</f>
        <v>0</v>
      </c>
      <c r="G74" s="4073">
        <f t="shared" ref="G74:G97" si="121">P74+X74+AF74</f>
        <v>0</v>
      </c>
      <c r="H74" s="2093">
        <f t="shared" ref="H74:H97" si="122">Q74+Y74+AG74</f>
        <v>0</v>
      </c>
      <c r="I74" s="2094">
        <f t="shared" ref="I74:I97" si="123">R74+Z74+AH74</f>
        <v>0</v>
      </c>
      <c r="J74" s="2095">
        <f t="shared" ref="J74:J97" si="124">S74+AA74+AI74</f>
        <v>0</v>
      </c>
      <c r="K74" s="2095">
        <f t="shared" ref="K74:K97" si="125">T74+AB74+AJ74</f>
        <v>0</v>
      </c>
      <c r="L74" s="2095">
        <f t="shared" ref="L74:L97" si="126">U74+AC74+AK74</f>
        <v>0</v>
      </c>
      <c r="M74" s="2096">
        <f t="shared" ref="M74:M97" si="127">V74+AD74+AL74</f>
        <v>0</v>
      </c>
      <c r="N74" s="2097">
        <f>SUM(I74:M74)</f>
        <v>0</v>
      </c>
      <c r="O74" s="1246"/>
      <c r="P74" s="1248"/>
      <c r="Q74" s="1247"/>
      <c r="R74" s="1248"/>
      <c r="S74" s="1249"/>
      <c r="T74" s="1249"/>
      <c r="U74" s="1249"/>
      <c r="V74" s="1249"/>
      <c r="W74" s="1246"/>
      <c r="X74" s="1248"/>
      <c r="Y74" s="1247"/>
      <c r="Z74" s="1248"/>
      <c r="AA74" s="1249"/>
      <c r="AB74" s="1249"/>
      <c r="AC74" s="1249"/>
      <c r="AD74" s="1249"/>
      <c r="AE74" s="1246"/>
      <c r="AF74" s="1248"/>
      <c r="AG74" s="1247"/>
      <c r="AH74" s="1248"/>
      <c r="AI74" s="1249"/>
      <c r="AJ74" s="1249"/>
      <c r="AK74" s="1249"/>
      <c r="AL74" s="1250"/>
      <c r="AM74" s="1251"/>
      <c r="AN74" s="1252"/>
      <c r="AO74" s="2098" t="s">
        <v>676</v>
      </c>
      <c r="AP74" s="1248"/>
      <c r="AQ74" s="1248"/>
      <c r="AR74" s="1247"/>
      <c r="AS74" s="1248"/>
      <c r="AT74" s="1249"/>
      <c r="AU74" s="1249"/>
      <c r="AV74" s="1249"/>
      <c r="AW74" s="1247"/>
      <c r="AX74" s="2099" t="s">
        <v>354</v>
      </c>
      <c r="AY74" s="4422"/>
      <c r="AZ74" s="4438">
        <f t="shared" si="44"/>
        <v>0</v>
      </c>
      <c r="BA74" s="4438">
        <f t="shared" si="45"/>
        <v>0</v>
      </c>
      <c r="BB74" s="4438">
        <f t="shared" si="46"/>
        <v>0</v>
      </c>
      <c r="BC74" s="4438">
        <f t="shared" si="47"/>
        <v>0</v>
      </c>
      <c r="BD74" s="4438">
        <f t="shared" si="48"/>
        <v>0</v>
      </c>
      <c r="BE74" s="4438">
        <f t="shared" si="49"/>
        <v>0</v>
      </c>
      <c r="BF74" s="4438">
        <f t="shared" si="50"/>
        <v>0</v>
      </c>
      <c r="BG74" s="4438">
        <f t="shared" si="51"/>
        <v>0</v>
      </c>
      <c r="BH74" s="4438">
        <f t="shared" si="52"/>
        <v>0</v>
      </c>
      <c r="BI74" s="4438">
        <f t="shared" si="53"/>
        <v>0</v>
      </c>
      <c r="BJ74" s="4438">
        <f t="shared" si="54"/>
        <v>0</v>
      </c>
      <c r="BK74" s="4438">
        <f t="shared" si="55"/>
        <v>0</v>
      </c>
      <c r="BL74" s="4438">
        <f t="shared" si="56"/>
        <v>0</v>
      </c>
      <c r="BM74" s="4438">
        <f t="shared" si="57"/>
        <v>0</v>
      </c>
      <c r="BN74" s="4438">
        <f t="shared" si="58"/>
        <v>0</v>
      </c>
      <c r="BO74" s="4438">
        <f t="shared" si="59"/>
        <v>0</v>
      </c>
      <c r="BP74" s="4438">
        <f t="shared" si="60"/>
        <v>0</v>
      </c>
      <c r="BQ74" s="4438">
        <f t="shared" si="61"/>
        <v>0</v>
      </c>
      <c r="BR74" s="4438">
        <f t="shared" si="62"/>
        <v>0</v>
      </c>
      <c r="BS74" s="4438">
        <f t="shared" si="63"/>
        <v>0</v>
      </c>
      <c r="BT74" s="4438">
        <f t="shared" si="64"/>
        <v>0</v>
      </c>
      <c r="BU74" s="4438">
        <f t="shared" si="65"/>
        <v>0</v>
      </c>
      <c r="BV74" s="4438">
        <f t="shared" si="66"/>
        <v>0</v>
      </c>
      <c r="BW74" s="4438">
        <f t="shared" si="67"/>
        <v>0</v>
      </c>
      <c r="BX74" s="4438">
        <f t="shared" si="68"/>
        <v>0</v>
      </c>
      <c r="BY74" s="4438">
        <f t="shared" si="69"/>
        <v>0</v>
      </c>
      <c r="BZ74" s="4438">
        <f t="shared" si="70"/>
        <v>0</v>
      </c>
      <c r="CA74" s="4438">
        <f t="shared" si="71"/>
        <v>0</v>
      </c>
      <c r="CB74" s="4438">
        <f t="shared" si="72"/>
        <v>0</v>
      </c>
      <c r="CC74" s="4438">
        <f t="shared" si="73"/>
        <v>0</v>
      </c>
      <c r="CD74" s="4438">
        <f t="shared" si="74"/>
        <v>0</v>
      </c>
      <c r="CE74" s="4438">
        <f t="shared" si="75"/>
        <v>0</v>
      </c>
      <c r="CF74" s="4438">
        <f t="shared" si="76"/>
        <v>0</v>
      </c>
    </row>
    <row r="75" spans="1:84">
      <c r="A75" s="2100"/>
      <c r="B75" s="2101">
        <v>2040202</v>
      </c>
      <c r="C75" s="2101">
        <v>2070102</v>
      </c>
      <c r="D75" s="2102">
        <v>0.02</v>
      </c>
      <c r="E75" s="2103" t="s">
        <v>741</v>
      </c>
      <c r="F75" s="2105">
        <f t="shared" si="120"/>
        <v>0</v>
      </c>
      <c r="G75" s="4074">
        <f t="shared" si="121"/>
        <v>0</v>
      </c>
      <c r="H75" s="2104">
        <f t="shared" si="122"/>
        <v>0</v>
      </c>
      <c r="I75" s="2105">
        <f t="shared" si="123"/>
        <v>0</v>
      </c>
      <c r="J75" s="2106">
        <f t="shared" si="124"/>
        <v>0</v>
      </c>
      <c r="K75" s="2106">
        <f t="shared" si="125"/>
        <v>0</v>
      </c>
      <c r="L75" s="2106">
        <f t="shared" si="126"/>
        <v>0</v>
      </c>
      <c r="M75" s="2107">
        <f t="shared" si="127"/>
        <v>0</v>
      </c>
      <c r="N75" s="2108">
        <f>SUM(I75:M75)</f>
        <v>0</v>
      </c>
      <c r="O75" s="1253"/>
      <c r="P75" s="1255"/>
      <c r="Q75" s="1254"/>
      <c r="R75" s="1255"/>
      <c r="S75" s="1256"/>
      <c r="T75" s="1256"/>
      <c r="U75" s="1256"/>
      <c r="V75" s="1256"/>
      <c r="W75" s="1253"/>
      <c r="X75" s="1255"/>
      <c r="Y75" s="1254"/>
      <c r="Z75" s="1255"/>
      <c r="AA75" s="1256"/>
      <c r="AB75" s="1256"/>
      <c r="AC75" s="1256"/>
      <c r="AD75" s="1256"/>
      <c r="AE75" s="1253"/>
      <c r="AF75" s="1255"/>
      <c r="AG75" s="1254"/>
      <c r="AH75" s="1255"/>
      <c r="AI75" s="1256"/>
      <c r="AJ75" s="1256"/>
      <c r="AK75" s="1256"/>
      <c r="AL75" s="1257"/>
      <c r="AM75" s="1258"/>
      <c r="AN75" s="1259"/>
      <c r="AO75" s="2109" t="s">
        <v>676</v>
      </c>
      <c r="AP75" s="1255"/>
      <c r="AQ75" s="1255"/>
      <c r="AR75" s="1254"/>
      <c r="AS75" s="1255"/>
      <c r="AT75" s="1256"/>
      <c r="AU75" s="1256"/>
      <c r="AV75" s="1256"/>
      <c r="AW75" s="1254"/>
      <c r="AX75" s="2110" t="s">
        <v>354</v>
      </c>
      <c r="AY75" s="4422"/>
      <c r="AZ75" s="4438">
        <f t="shared" si="44"/>
        <v>0</v>
      </c>
      <c r="BA75" s="4438">
        <f t="shared" si="45"/>
        <v>0</v>
      </c>
      <c r="BB75" s="4438">
        <f t="shared" si="46"/>
        <v>0</v>
      </c>
      <c r="BC75" s="4438">
        <f t="shared" si="47"/>
        <v>0</v>
      </c>
      <c r="BD75" s="4438">
        <f t="shared" si="48"/>
        <v>0</v>
      </c>
      <c r="BE75" s="4438">
        <f t="shared" si="49"/>
        <v>0</v>
      </c>
      <c r="BF75" s="4438">
        <f t="shared" si="50"/>
        <v>0</v>
      </c>
      <c r="BG75" s="4438">
        <f t="shared" si="51"/>
        <v>0</v>
      </c>
      <c r="BH75" s="4438">
        <f t="shared" si="52"/>
        <v>0</v>
      </c>
      <c r="BI75" s="4438">
        <f t="shared" si="53"/>
        <v>0</v>
      </c>
      <c r="BJ75" s="4438">
        <f t="shared" si="54"/>
        <v>0</v>
      </c>
      <c r="BK75" s="4438">
        <f t="shared" si="55"/>
        <v>0</v>
      </c>
      <c r="BL75" s="4438">
        <f t="shared" si="56"/>
        <v>0</v>
      </c>
      <c r="BM75" s="4438">
        <f t="shared" si="57"/>
        <v>0</v>
      </c>
      <c r="BN75" s="4438">
        <f t="shared" si="58"/>
        <v>0</v>
      </c>
      <c r="BO75" s="4438">
        <f t="shared" si="59"/>
        <v>0</v>
      </c>
      <c r="BP75" s="4438">
        <f t="shared" si="60"/>
        <v>0</v>
      </c>
      <c r="BQ75" s="4438">
        <f t="shared" si="61"/>
        <v>0</v>
      </c>
      <c r="BR75" s="4438">
        <f t="shared" si="62"/>
        <v>0</v>
      </c>
      <c r="BS75" s="4438">
        <f t="shared" si="63"/>
        <v>0</v>
      </c>
      <c r="BT75" s="4438">
        <f t="shared" si="64"/>
        <v>0</v>
      </c>
      <c r="BU75" s="4438">
        <f t="shared" si="65"/>
        <v>0</v>
      </c>
      <c r="BV75" s="4438">
        <f t="shared" si="66"/>
        <v>0</v>
      </c>
      <c r="BW75" s="4438">
        <f t="shared" si="67"/>
        <v>0</v>
      </c>
      <c r="BX75" s="4438">
        <f t="shared" si="68"/>
        <v>0</v>
      </c>
      <c r="BY75" s="4438">
        <f t="shared" si="69"/>
        <v>0</v>
      </c>
      <c r="BZ75" s="4438">
        <f t="shared" si="70"/>
        <v>0</v>
      </c>
      <c r="CA75" s="4438">
        <f t="shared" si="71"/>
        <v>0</v>
      </c>
      <c r="CB75" s="4438">
        <f t="shared" si="72"/>
        <v>0</v>
      </c>
      <c r="CC75" s="4438">
        <f t="shared" si="73"/>
        <v>0</v>
      </c>
      <c r="CD75" s="4438">
        <f t="shared" si="74"/>
        <v>0</v>
      </c>
      <c r="CE75" s="4438">
        <f t="shared" si="75"/>
        <v>0</v>
      </c>
      <c r="CF75" s="4438">
        <f t="shared" si="76"/>
        <v>0</v>
      </c>
    </row>
    <row r="76" spans="1:84">
      <c r="A76" s="2100"/>
      <c r="B76" s="2101">
        <v>2040204</v>
      </c>
      <c r="C76" s="2090">
        <v>2070103</v>
      </c>
      <c r="D76" s="2102">
        <v>0.02</v>
      </c>
      <c r="E76" s="2103" t="s">
        <v>355</v>
      </c>
      <c r="F76" s="2105">
        <f t="shared" si="120"/>
        <v>0</v>
      </c>
      <c r="G76" s="4074">
        <f t="shared" si="121"/>
        <v>0</v>
      </c>
      <c r="H76" s="2104">
        <f t="shared" si="122"/>
        <v>0</v>
      </c>
      <c r="I76" s="2105">
        <f t="shared" si="123"/>
        <v>0</v>
      </c>
      <c r="J76" s="2106">
        <f t="shared" si="124"/>
        <v>0</v>
      </c>
      <c r="K76" s="2106">
        <f t="shared" si="125"/>
        <v>0</v>
      </c>
      <c r="L76" s="2106">
        <f t="shared" si="126"/>
        <v>0</v>
      </c>
      <c r="M76" s="2107">
        <f t="shared" si="127"/>
        <v>0</v>
      </c>
      <c r="N76" s="2108">
        <f t="shared" ref="N76:N97" si="128">SUM(I76:M76)</f>
        <v>0</v>
      </c>
      <c r="O76" s="1253"/>
      <c r="P76" s="1255"/>
      <c r="Q76" s="1254"/>
      <c r="R76" s="1255"/>
      <c r="S76" s="1256"/>
      <c r="T76" s="1256"/>
      <c r="U76" s="1256"/>
      <c r="V76" s="1256"/>
      <c r="W76" s="1253"/>
      <c r="X76" s="1255"/>
      <c r="Y76" s="1254"/>
      <c r="Z76" s="1255"/>
      <c r="AA76" s="1256"/>
      <c r="AB76" s="1256"/>
      <c r="AC76" s="1256"/>
      <c r="AD76" s="1256"/>
      <c r="AE76" s="1253"/>
      <c r="AF76" s="1255"/>
      <c r="AG76" s="1254"/>
      <c r="AH76" s="1255"/>
      <c r="AI76" s="1256"/>
      <c r="AJ76" s="1256"/>
      <c r="AK76" s="1256"/>
      <c r="AL76" s="1257"/>
      <c r="AM76" s="1258"/>
      <c r="AN76" s="1259"/>
      <c r="AO76" s="2109" t="s">
        <v>676</v>
      </c>
      <c r="AP76" s="1255"/>
      <c r="AQ76" s="1255"/>
      <c r="AR76" s="1254"/>
      <c r="AS76" s="1255"/>
      <c r="AT76" s="1256"/>
      <c r="AU76" s="1256"/>
      <c r="AV76" s="1256"/>
      <c r="AW76" s="1254"/>
      <c r="AX76" s="2110" t="s">
        <v>354</v>
      </c>
      <c r="AY76" s="4422"/>
      <c r="AZ76" s="4438">
        <f t="shared" ref="AZ76:AZ126" si="129">IFERROR(F76/$E$1,0)</f>
        <v>0</v>
      </c>
      <c r="BA76" s="4438">
        <f t="shared" ref="BA76:BA126" si="130">IFERROR(G76/$E$1,0)</f>
        <v>0</v>
      </c>
      <c r="BB76" s="4438">
        <f t="shared" ref="BB76:BB126" si="131">IFERROR(H76/$E$1,0)</f>
        <v>0</v>
      </c>
      <c r="BC76" s="4438">
        <f t="shared" ref="BC76:BC126" si="132">IFERROR(I76/$E$1,0)</f>
        <v>0</v>
      </c>
      <c r="BD76" s="4438">
        <f t="shared" ref="BD76:BD126" si="133">IFERROR(J76/$E$1,0)</f>
        <v>0</v>
      </c>
      <c r="BE76" s="4438">
        <f t="shared" ref="BE76:BE126" si="134">IFERROR(K76/$E$1,0)</f>
        <v>0</v>
      </c>
      <c r="BF76" s="4438">
        <f t="shared" ref="BF76:BF126" si="135">IFERROR(L76/$E$1,0)</f>
        <v>0</v>
      </c>
      <c r="BG76" s="4438">
        <f t="shared" ref="BG76:BG126" si="136">IFERROR(M76/$E$1,0)</f>
        <v>0</v>
      </c>
      <c r="BH76" s="4438">
        <f t="shared" ref="BH76:BH126" si="137">IFERROR(N76/$E$1,0)</f>
        <v>0</v>
      </c>
      <c r="BI76" s="4438">
        <f t="shared" ref="BI76:BI126" si="138">IFERROR(O76/$E$1,0)</f>
        <v>0</v>
      </c>
      <c r="BJ76" s="4438">
        <f t="shared" ref="BJ76:BJ126" si="139">IFERROR(P76/$E$1,0)</f>
        <v>0</v>
      </c>
      <c r="BK76" s="4438">
        <f t="shared" ref="BK76:BK126" si="140">IFERROR(Q76/$E$1,0)</f>
        <v>0</v>
      </c>
      <c r="BL76" s="4438">
        <f t="shared" ref="BL76:BL126" si="141">IFERROR(R76/$E$1,0)</f>
        <v>0</v>
      </c>
      <c r="BM76" s="4438">
        <f t="shared" ref="BM76:BM126" si="142">IFERROR(S76/$E$1,0)</f>
        <v>0</v>
      </c>
      <c r="BN76" s="4438">
        <f t="shared" ref="BN76:BN126" si="143">IFERROR(T76/$E$1,0)</f>
        <v>0</v>
      </c>
      <c r="BO76" s="4438">
        <f t="shared" ref="BO76:BO126" si="144">IFERROR(U76/$E$1,0)</f>
        <v>0</v>
      </c>
      <c r="BP76" s="4438">
        <f t="shared" ref="BP76:BP126" si="145">IFERROR(V76/$E$1,0)</f>
        <v>0</v>
      </c>
      <c r="BQ76" s="4438">
        <f t="shared" ref="BQ76:BQ126" si="146">IFERROR(W76/$E$1,0)</f>
        <v>0</v>
      </c>
      <c r="BR76" s="4438">
        <f t="shared" ref="BR76:BR126" si="147">IFERROR(X76/$E$1,0)</f>
        <v>0</v>
      </c>
      <c r="BS76" s="4438">
        <f t="shared" ref="BS76:BS126" si="148">IFERROR(Y76/$E$1,0)</f>
        <v>0</v>
      </c>
      <c r="BT76" s="4438">
        <f t="shared" ref="BT76:BT126" si="149">IFERROR(Z76/$E$1,0)</f>
        <v>0</v>
      </c>
      <c r="BU76" s="4438">
        <f t="shared" ref="BU76:BU126" si="150">IFERROR(AA76/$E$1,0)</f>
        <v>0</v>
      </c>
      <c r="BV76" s="4438">
        <f t="shared" ref="BV76:BV126" si="151">IFERROR(AB76/$E$1,0)</f>
        <v>0</v>
      </c>
      <c r="BW76" s="4438">
        <f t="shared" ref="BW76:BW126" si="152">IFERROR(AC76/$E$1,0)</f>
        <v>0</v>
      </c>
      <c r="BX76" s="4438">
        <f t="shared" ref="BX76:BX126" si="153">IFERROR(AD76/$E$1,0)</f>
        <v>0</v>
      </c>
      <c r="BY76" s="4438">
        <f t="shared" ref="BY76:BY126" si="154">IFERROR(AE76/$E$1,0)</f>
        <v>0</v>
      </c>
      <c r="BZ76" s="4438">
        <f t="shared" ref="BZ76:BZ126" si="155">IFERROR(AF76/$E$1,0)</f>
        <v>0</v>
      </c>
      <c r="CA76" s="4438">
        <f t="shared" ref="CA76:CA126" si="156">IFERROR(AG76/$E$1,0)</f>
        <v>0</v>
      </c>
      <c r="CB76" s="4438">
        <f t="shared" ref="CB76:CB126" si="157">IFERROR(AH76/$E$1,0)</f>
        <v>0</v>
      </c>
      <c r="CC76" s="4438">
        <f t="shared" ref="CC76:CC126" si="158">IFERROR(AI76/$E$1,0)</f>
        <v>0</v>
      </c>
      <c r="CD76" s="4438">
        <f t="shared" ref="CD76:CD126" si="159">IFERROR(AJ76/$E$1,0)</f>
        <v>0</v>
      </c>
      <c r="CE76" s="4438">
        <f t="shared" ref="CE76:CE126" si="160">IFERROR(AK76/$E$1,0)</f>
        <v>0</v>
      </c>
      <c r="CF76" s="4438">
        <f t="shared" ref="CF76:CF126" si="161">IFERROR(AL76/$E$1,0)</f>
        <v>0</v>
      </c>
    </row>
    <row r="77" spans="1:84">
      <c r="A77" s="2100"/>
      <c r="B77" s="2101">
        <v>20202</v>
      </c>
      <c r="C77" s="2101">
        <v>2070104</v>
      </c>
      <c r="D77" s="2111">
        <v>0.03</v>
      </c>
      <c r="E77" s="2103" t="s">
        <v>356</v>
      </c>
      <c r="F77" s="2105">
        <f t="shared" si="120"/>
        <v>0</v>
      </c>
      <c r="G77" s="4074">
        <f t="shared" si="121"/>
        <v>0</v>
      </c>
      <c r="H77" s="2104">
        <f t="shared" si="122"/>
        <v>0</v>
      </c>
      <c r="I77" s="2105">
        <f t="shared" si="123"/>
        <v>0</v>
      </c>
      <c r="J77" s="2106">
        <f t="shared" si="124"/>
        <v>0</v>
      </c>
      <c r="K77" s="2106">
        <f t="shared" si="125"/>
        <v>0</v>
      </c>
      <c r="L77" s="2106">
        <f t="shared" si="126"/>
        <v>0</v>
      </c>
      <c r="M77" s="2107">
        <f t="shared" si="127"/>
        <v>0</v>
      </c>
      <c r="N77" s="2108">
        <f t="shared" si="128"/>
        <v>0</v>
      </c>
      <c r="O77" s="1253"/>
      <c r="P77" s="1255"/>
      <c r="Q77" s="1254"/>
      <c r="R77" s="1255"/>
      <c r="S77" s="1256"/>
      <c r="T77" s="1256"/>
      <c r="U77" s="1256"/>
      <c r="V77" s="1256"/>
      <c r="W77" s="1253"/>
      <c r="X77" s="1255"/>
      <c r="Y77" s="1254"/>
      <c r="Z77" s="1255"/>
      <c r="AA77" s="1256"/>
      <c r="AB77" s="1256"/>
      <c r="AC77" s="1256"/>
      <c r="AD77" s="1256"/>
      <c r="AE77" s="1253"/>
      <c r="AF77" s="1255"/>
      <c r="AG77" s="1254"/>
      <c r="AH77" s="1255"/>
      <c r="AI77" s="1256"/>
      <c r="AJ77" s="1256"/>
      <c r="AK77" s="1256"/>
      <c r="AL77" s="1257"/>
      <c r="AM77" s="1258"/>
      <c r="AN77" s="1259"/>
      <c r="AO77" s="2109" t="s">
        <v>676</v>
      </c>
      <c r="AP77" s="1255"/>
      <c r="AQ77" s="1255"/>
      <c r="AR77" s="1254"/>
      <c r="AS77" s="1255"/>
      <c r="AT77" s="1256"/>
      <c r="AU77" s="1256"/>
      <c r="AV77" s="1256"/>
      <c r="AW77" s="1254"/>
      <c r="AX77" s="2110" t="s">
        <v>354</v>
      </c>
      <c r="AY77" s="4422"/>
      <c r="AZ77" s="4438">
        <f t="shared" si="129"/>
        <v>0</v>
      </c>
      <c r="BA77" s="4438">
        <f t="shared" si="130"/>
        <v>0</v>
      </c>
      <c r="BB77" s="4438">
        <f t="shared" si="131"/>
        <v>0</v>
      </c>
      <c r="BC77" s="4438">
        <f t="shared" si="132"/>
        <v>0</v>
      </c>
      <c r="BD77" s="4438">
        <f t="shared" si="133"/>
        <v>0</v>
      </c>
      <c r="BE77" s="4438">
        <f t="shared" si="134"/>
        <v>0</v>
      </c>
      <c r="BF77" s="4438">
        <f t="shared" si="135"/>
        <v>0</v>
      </c>
      <c r="BG77" s="4438">
        <f t="shared" si="136"/>
        <v>0</v>
      </c>
      <c r="BH77" s="4438">
        <f t="shared" si="137"/>
        <v>0</v>
      </c>
      <c r="BI77" s="4438">
        <f t="shared" si="138"/>
        <v>0</v>
      </c>
      <c r="BJ77" s="4438">
        <f t="shared" si="139"/>
        <v>0</v>
      </c>
      <c r="BK77" s="4438">
        <f t="shared" si="140"/>
        <v>0</v>
      </c>
      <c r="BL77" s="4438">
        <f t="shared" si="141"/>
        <v>0</v>
      </c>
      <c r="BM77" s="4438">
        <f t="shared" si="142"/>
        <v>0</v>
      </c>
      <c r="BN77" s="4438">
        <f t="shared" si="143"/>
        <v>0</v>
      </c>
      <c r="BO77" s="4438">
        <f t="shared" si="144"/>
        <v>0</v>
      </c>
      <c r="BP77" s="4438">
        <f t="shared" si="145"/>
        <v>0</v>
      </c>
      <c r="BQ77" s="4438">
        <f t="shared" si="146"/>
        <v>0</v>
      </c>
      <c r="BR77" s="4438">
        <f t="shared" si="147"/>
        <v>0</v>
      </c>
      <c r="BS77" s="4438">
        <f t="shared" si="148"/>
        <v>0</v>
      </c>
      <c r="BT77" s="4438">
        <f t="shared" si="149"/>
        <v>0</v>
      </c>
      <c r="BU77" s="4438">
        <f t="shared" si="150"/>
        <v>0</v>
      </c>
      <c r="BV77" s="4438">
        <f t="shared" si="151"/>
        <v>0</v>
      </c>
      <c r="BW77" s="4438">
        <f t="shared" si="152"/>
        <v>0</v>
      </c>
      <c r="BX77" s="4438">
        <f t="shared" si="153"/>
        <v>0</v>
      </c>
      <c r="BY77" s="4438">
        <f t="shared" si="154"/>
        <v>0</v>
      </c>
      <c r="BZ77" s="4438">
        <f t="shared" si="155"/>
        <v>0</v>
      </c>
      <c r="CA77" s="4438">
        <f t="shared" si="156"/>
        <v>0</v>
      </c>
      <c r="CB77" s="4438">
        <f t="shared" si="157"/>
        <v>0</v>
      </c>
      <c r="CC77" s="4438">
        <f t="shared" si="158"/>
        <v>0</v>
      </c>
      <c r="CD77" s="4438">
        <f t="shared" si="159"/>
        <v>0</v>
      </c>
      <c r="CE77" s="4438">
        <f t="shared" si="160"/>
        <v>0</v>
      </c>
      <c r="CF77" s="4438">
        <f t="shared" si="161"/>
        <v>0</v>
      </c>
    </row>
    <row r="78" spans="1:84">
      <c r="A78" s="2100"/>
      <c r="B78" s="2101">
        <v>2040205</v>
      </c>
      <c r="C78" s="2090">
        <v>2070105</v>
      </c>
      <c r="D78" s="2102">
        <v>0.02</v>
      </c>
      <c r="E78" s="2103" t="s">
        <v>357</v>
      </c>
      <c r="F78" s="2105">
        <f t="shared" si="120"/>
        <v>0</v>
      </c>
      <c r="G78" s="4074">
        <f t="shared" si="121"/>
        <v>0</v>
      </c>
      <c r="H78" s="2104">
        <f t="shared" si="122"/>
        <v>0</v>
      </c>
      <c r="I78" s="2105">
        <f t="shared" si="123"/>
        <v>0</v>
      </c>
      <c r="J78" s="2106">
        <f t="shared" si="124"/>
        <v>0</v>
      </c>
      <c r="K78" s="2106">
        <f t="shared" si="125"/>
        <v>0</v>
      </c>
      <c r="L78" s="2106">
        <f t="shared" si="126"/>
        <v>0</v>
      </c>
      <c r="M78" s="2107">
        <f t="shared" si="127"/>
        <v>0</v>
      </c>
      <c r="N78" s="2108">
        <f t="shared" si="128"/>
        <v>0</v>
      </c>
      <c r="O78" s="1253"/>
      <c r="P78" s="1255"/>
      <c r="Q78" s="1254"/>
      <c r="R78" s="1255"/>
      <c r="S78" s="1256"/>
      <c r="T78" s="1256"/>
      <c r="U78" s="1256"/>
      <c r="V78" s="1256"/>
      <c r="W78" s="1253"/>
      <c r="X78" s="1255"/>
      <c r="Y78" s="1254"/>
      <c r="Z78" s="1255"/>
      <c r="AA78" s="1256"/>
      <c r="AB78" s="1256"/>
      <c r="AC78" s="1256"/>
      <c r="AD78" s="1256"/>
      <c r="AE78" s="1253"/>
      <c r="AF78" s="1255"/>
      <c r="AG78" s="1254"/>
      <c r="AH78" s="1255"/>
      <c r="AI78" s="1256"/>
      <c r="AJ78" s="1256"/>
      <c r="AK78" s="1256"/>
      <c r="AL78" s="1257"/>
      <c r="AM78" s="1258"/>
      <c r="AN78" s="1260"/>
      <c r="AO78" s="2109" t="s">
        <v>678</v>
      </c>
      <c r="AP78" s="1255"/>
      <c r="AQ78" s="1255"/>
      <c r="AR78" s="1254"/>
      <c r="AS78" s="1255"/>
      <c r="AT78" s="1256"/>
      <c r="AU78" s="1256"/>
      <c r="AV78" s="1256"/>
      <c r="AW78" s="1254"/>
      <c r="AX78" s="2110" t="s">
        <v>358</v>
      </c>
      <c r="AY78" s="4422"/>
      <c r="AZ78" s="4438">
        <f t="shared" si="129"/>
        <v>0</v>
      </c>
      <c r="BA78" s="4438">
        <f t="shared" si="130"/>
        <v>0</v>
      </c>
      <c r="BB78" s="4438">
        <f t="shared" si="131"/>
        <v>0</v>
      </c>
      <c r="BC78" s="4438">
        <f t="shared" si="132"/>
        <v>0</v>
      </c>
      <c r="BD78" s="4438">
        <f t="shared" si="133"/>
        <v>0</v>
      </c>
      <c r="BE78" s="4438">
        <f t="shared" si="134"/>
        <v>0</v>
      </c>
      <c r="BF78" s="4438">
        <f t="shared" si="135"/>
        <v>0</v>
      </c>
      <c r="BG78" s="4438">
        <f t="shared" si="136"/>
        <v>0</v>
      </c>
      <c r="BH78" s="4438">
        <f t="shared" si="137"/>
        <v>0</v>
      </c>
      <c r="BI78" s="4438">
        <f t="shared" si="138"/>
        <v>0</v>
      </c>
      <c r="BJ78" s="4438">
        <f t="shared" si="139"/>
        <v>0</v>
      </c>
      <c r="BK78" s="4438">
        <f t="shared" si="140"/>
        <v>0</v>
      </c>
      <c r="BL78" s="4438">
        <f t="shared" si="141"/>
        <v>0</v>
      </c>
      <c r="BM78" s="4438">
        <f t="shared" si="142"/>
        <v>0</v>
      </c>
      <c r="BN78" s="4438">
        <f t="shared" si="143"/>
        <v>0</v>
      </c>
      <c r="BO78" s="4438">
        <f t="shared" si="144"/>
        <v>0</v>
      </c>
      <c r="BP78" s="4438">
        <f t="shared" si="145"/>
        <v>0</v>
      </c>
      <c r="BQ78" s="4438">
        <f t="shared" si="146"/>
        <v>0</v>
      </c>
      <c r="BR78" s="4438">
        <f t="shared" si="147"/>
        <v>0</v>
      </c>
      <c r="BS78" s="4438">
        <f t="shared" si="148"/>
        <v>0</v>
      </c>
      <c r="BT78" s="4438">
        <f t="shared" si="149"/>
        <v>0</v>
      </c>
      <c r="BU78" s="4438">
        <f t="shared" si="150"/>
        <v>0</v>
      </c>
      <c r="BV78" s="4438">
        <f t="shared" si="151"/>
        <v>0</v>
      </c>
      <c r="BW78" s="4438">
        <f t="shared" si="152"/>
        <v>0</v>
      </c>
      <c r="BX78" s="4438">
        <f t="shared" si="153"/>
        <v>0</v>
      </c>
      <c r="BY78" s="4438">
        <f t="shared" si="154"/>
        <v>0</v>
      </c>
      <c r="BZ78" s="4438">
        <f t="shared" si="155"/>
        <v>0</v>
      </c>
      <c r="CA78" s="4438">
        <f t="shared" si="156"/>
        <v>0</v>
      </c>
      <c r="CB78" s="4438">
        <f t="shared" si="157"/>
        <v>0</v>
      </c>
      <c r="CC78" s="4438">
        <f t="shared" si="158"/>
        <v>0</v>
      </c>
      <c r="CD78" s="4438">
        <f t="shared" si="159"/>
        <v>0</v>
      </c>
      <c r="CE78" s="4438">
        <f t="shared" si="160"/>
        <v>0</v>
      </c>
      <c r="CF78" s="4438">
        <f t="shared" si="161"/>
        <v>0</v>
      </c>
    </row>
    <row r="79" spans="1:84" ht="24">
      <c r="A79" s="2100"/>
      <c r="B79" s="2101">
        <v>2040207</v>
      </c>
      <c r="C79" s="2101">
        <v>2070106</v>
      </c>
      <c r="D79" s="2102">
        <v>0.04</v>
      </c>
      <c r="E79" s="2103" t="s">
        <v>359</v>
      </c>
      <c r="F79" s="2105">
        <f t="shared" si="120"/>
        <v>0</v>
      </c>
      <c r="G79" s="4074">
        <f t="shared" si="121"/>
        <v>0</v>
      </c>
      <c r="H79" s="2104">
        <f t="shared" si="122"/>
        <v>0</v>
      </c>
      <c r="I79" s="2105">
        <f t="shared" si="123"/>
        <v>0</v>
      </c>
      <c r="J79" s="2106">
        <f t="shared" si="124"/>
        <v>0</v>
      </c>
      <c r="K79" s="2106">
        <f t="shared" si="125"/>
        <v>0</v>
      </c>
      <c r="L79" s="2106">
        <f t="shared" si="126"/>
        <v>0</v>
      </c>
      <c r="M79" s="2107">
        <f t="shared" si="127"/>
        <v>0</v>
      </c>
      <c r="N79" s="2108">
        <f t="shared" si="128"/>
        <v>0</v>
      </c>
      <c r="O79" s="1253"/>
      <c r="P79" s="1255"/>
      <c r="Q79" s="1254"/>
      <c r="R79" s="1255"/>
      <c r="S79" s="1256"/>
      <c r="T79" s="1256"/>
      <c r="U79" s="1256"/>
      <c r="V79" s="1256"/>
      <c r="W79" s="1253"/>
      <c r="X79" s="1255"/>
      <c r="Y79" s="1254"/>
      <c r="Z79" s="1255"/>
      <c r="AA79" s="1256"/>
      <c r="AB79" s="1256"/>
      <c r="AC79" s="1256"/>
      <c r="AD79" s="1256"/>
      <c r="AE79" s="1253"/>
      <c r="AF79" s="1255"/>
      <c r="AG79" s="1254"/>
      <c r="AH79" s="1255"/>
      <c r="AI79" s="1256"/>
      <c r="AJ79" s="1256"/>
      <c r="AK79" s="1256"/>
      <c r="AL79" s="1257"/>
      <c r="AM79" s="1258"/>
      <c r="AN79" s="1260"/>
      <c r="AO79" s="2109" t="s">
        <v>676</v>
      </c>
      <c r="AP79" s="1255"/>
      <c r="AQ79" s="1255"/>
      <c r="AR79" s="1254"/>
      <c r="AS79" s="1255"/>
      <c r="AT79" s="1256"/>
      <c r="AU79" s="1256"/>
      <c r="AV79" s="1256"/>
      <c r="AW79" s="1254"/>
      <c r="AX79" s="2110" t="s">
        <v>360</v>
      </c>
      <c r="AY79" s="4422"/>
      <c r="AZ79" s="4438">
        <f t="shared" si="129"/>
        <v>0</v>
      </c>
      <c r="BA79" s="4438">
        <f t="shared" si="130"/>
        <v>0</v>
      </c>
      <c r="BB79" s="4438">
        <f t="shared" si="131"/>
        <v>0</v>
      </c>
      <c r="BC79" s="4438">
        <f t="shared" si="132"/>
        <v>0</v>
      </c>
      <c r="BD79" s="4438">
        <f t="shared" si="133"/>
        <v>0</v>
      </c>
      <c r="BE79" s="4438">
        <f t="shared" si="134"/>
        <v>0</v>
      </c>
      <c r="BF79" s="4438">
        <f t="shared" si="135"/>
        <v>0</v>
      </c>
      <c r="BG79" s="4438">
        <f t="shared" si="136"/>
        <v>0</v>
      </c>
      <c r="BH79" s="4438">
        <f t="shared" si="137"/>
        <v>0</v>
      </c>
      <c r="BI79" s="4438">
        <f t="shared" si="138"/>
        <v>0</v>
      </c>
      <c r="BJ79" s="4438">
        <f t="shared" si="139"/>
        <v>0</v>
      </c>
      <c r="BK79" s="4438">
        <f t="shared" si="140"/>
        <v>0</v>
      </c>
      <c r="BL79" s="4438">
        <f t="shared" si="141"/>
        <v>0</v>
      </c>
      <c r="BM79" s="4438">
        <f t="shared" si="142"/>
        <v>0</v>
      </c>
      <c r="BN79" s="4438">
        <f t="shared" si="143"/>
        <v>0</v>
      </c>
      <c r="BO79" s="4438">
        <f t="shared" si="144"/>
        <v>0</v>
      </c>
      <c r="BP79" s="4438">
        <f t="shared" si="145"/>
        <v>0</v>
      </c>
      <c r="BQ79" s="4438">
        <f t="shared" si="146"/>
        <v>0</v>
      </c>
      <c r="BR79" s="4438">
        <f t="shared" si="147"/>
        <v>0</v>
      </c>
      <c r="BS79" s="4438">
        <f t="shared" si="148"/>
        <v>0</v>
      </c>
      <c r="BT79" s="4438">
        <f t="shared" si="149"/>
        <v>0</v>
      </c>
      <c r="BU79" s="4438">
        <f t="shared" si="150"/>
        <v>0</v>
      </c>
      <c r="BV79" s="4438">
        <f t="shared" si="151"/>
        <v>0</v>
      </c>
      <c r="BW79" s="4438">
        <f t="shared" si="152"/>
        <v>0</v>
      </c>
      <c r="BX79" s="4438">
        <f t="shared" si="153"/>
        <v>0</v>
      </c>
      <c r="BY79" s="4438">
        <f t="shared" si="154"/>
        <v>0</v>
      </c>
      <c r="BZ79" s="4438">
        <f t="shared" si="155"/>
        <v>0</v>
      </c>
      <c r="CA79" s="4438">
        <f t="shared" si="156"/>
        <v>0</v>
      </c>
      <c r="CB79" s="4438">
        <f t="shared" si="157"/>
        <v>0</v>
      </c>
      <c r="CC79" s="4438">
        <f t="shared" si="158"/>
        <v>0</v>
      </c>
      <c r="CD79" s="4438">
        <f t="shared" si="159"/>
        <v>0</v>
      </c>
      <c r="CE79" s="4438">
        <f t="shared" si="160"/>
        <v>0</v>
      </c>
      <c r="CF79" s="4438">
        <f t="shared" si="161"/>
        <v>0</v>
      </c>
    </row>
    <row r="80" spans="1:84">
      <c r="A80" s="2100"/>
      <c r="B80" s="2101">
        <v>2040207</v>
      </c>
      <c r="C80" s="2090">
        <v>2070107</v>
      </c>
      <c r="D80" s="2102">
        <v>0.04</v>
      </c>
      <c r="E80" s="2112" t="s">
        <v>660</v>
      </c>
      <c r="F80" s="2105">
        <f t="shared" si="120"/>
        <v>0</v>
      </c>
      <c r="G80" s="4074">
        <f t="shared" si="121"/>
        <v>0</v>
      </c>
      <c r="H80" s="2104">
        <f t="shared" si="122"/>
        <v>0</v>
      </c>
      <c r="I80" s="2105">
        <f t="shared" si="123"/>
        <v>0</v>
      </c>
      <c r="J80" s="2106">
        <f t="shared" si="124"/>
        <v>0</v>
      </c>
      <c r="K80" s="2106">
        <f t="shared" si="125"/>
        <v>0</v>
      </c>
      <c r="L80" s="2106">
        <f t="shared" si="126"/>
        <v>0</v>
      </c>
      <c r="M80" s="2107">
        <f t="shared" si="127"/>
        <v>0</v>
      </c>
      <c r="N80" s="2108">
        <f t="shared" si="128"/>
        <v>0</v>
      </c>
      <c r="O80" s="1253"/>
      <c r="P80" s="1255"/>
      <c r="Q80" s="1254"/>
      <c r="R80" s="1255"/>
      <c r="S80" s="1256"/>
      <c r="T80" s="1256"/>
      <c r="U80" s="1256"/>
      <c r="V80" s="1256"/>
      <c r="W80" s="1253"/>
      <c r="X80" s="1255"/>
      <c r="Y80" s="1254"/>
      <c r="Z80" s="1255"/>
      <c r="AA80" s="1256"/>
      <c r="AB80" s="1256"/>
      <c r="AC80" s="1256"/>
      <c r="AD80" s="1256"/>
      <c r="AE80" s="1253"/>
      <c r="AF80" s="1255"/>
      <c r="AG80" s="1254"/>
      <c r="AH80" s="1255"/>
      <c r="AI80" s="1256"/>
      <c r="AJ80" s="1256"/>
      <c r="AK80" s="1256"/>
      <c r="AL80" s="1257"/>
      <c r="AM80" s="1258"/>
      <c r="AN80" s="1260"/>
      <c r="AO80" s="2109" t="s">
        <v>676</v>
      </c>
      <c r="AP80" s="1255"/>
      <c r="AQ80" s="1255"/>
      <c r="AR80" s="1254"/>
      <c r="AS80" s="1255"/>
      <c r="AT80" s="1256"/>
      <c r="AU80" s="1256"/>
      <c r="AV80" s="1256"/>
      <c r="AW80" s="1254"/>
      <c r="AX80" s="2110" t="s">
        <v>360</v>
      </c>
      <c r="AY80" s="4422"/>
      <c r="AZ80" s="4438">
        <f t="shared" si="129"/>
        <v>0</v>
      </c>
      <c r="BA80" s="4438">
        <f t="shared" si="130"/>
        <v>0</v>
      </c>
      <c r="BB80" s="4438">
        <f t="shared" si="131"/>
        <v>0</v>
      </c>
      <c r="BC80" s="4438">
        <f t="shared" si="132"/>
        <v>0</v>
      </c>
      <c r="BD80" s="4438">
        <f t="shared" si="133"/>
        <v>0</v>
      </c>
      <c r="BE80" s="4438">
        <f t="shared" si="134"/>
        <v>0</v>
      </c>
      <c r="BF80" s="4438">
        <f t="shared" si="135"/>
        <v>0</v>
      </c>
      <c r="BG80" s="4438">
        <f t="shared" si="136"/>
        <v>0</v>
      </c>
      <c r="BH80" s="4438">
        <f t="shared" si="137"/>
        <v>0</v>
      </c>
      <c r="BI80" s="4438">
        <f t="shared" si="138"/>
        <v>0</v>
      </c>
      <c r="BJ80" s="4438">
        <f t="shared" si="139"/>
        <v>0</v>
      </c>
      <c r="BK80" s="4438">
        <f t="shared" si="140"/>
        <v>0</v>
      </c>
      <c r="BL80" s="4438">
        <f t="shared" si="141"/>
        <v>0</v>
      </c>
      <c r="BM80" s="4438">
        <f t="shared" si="142"/>
        <v>0</v>
      </c>
      <c r="BN80" s="4438">
        <f t="shared" si="143"/>
        <v>0</v>
      </c>
      <c r="BO80" s="4438">
        <f t="shared" si="144"/>
        <v>0</v>
      </c>
      <c r="BP80" s="4438">
        <f t="shared" si="145"/>
        <v>0</v>
      </c>
      <c r="BQ80" s="4438">
        <f t="shared" si="146"/>
        <v>0</v>
      </c>
      <c r="BR80" s="4438">
        <f t="shared" si="147"/>
        <v>0</v>
      </c>
      <c r="BS80" s="4438">
        <f t="shared" si="148"/>
        <v>0</v>
      </c>
      <c r="BT80" s="4438">
        <f t="shared" si="149"/>
        <v>0</v>
      </c>
      <c r="BU80" s="4438">
        <f t="shared" si="150"/>
        <v>0</v>
      </c>
      <c r="BV80" s="4438">
        <f t="shared" si="151"/>
        <v>0</v>
      </c>
      <c r="BW80" s="4438">
        <f t="shared" si="152"/>
        <v>0</v>
      </c>
      <c r="BX80" s="4438">
        <f t="shared" si="153"/>
        <v>0</v>
      </c>
      <c r="BY80" s="4438">
        <f t="shared" si="154"/>
        <v>0</v>
      </c>
      <c r="BZ80" s="4438">
        <f t="shared" si="155"/>
        <v>0</v>
      </c>
      <c r="CA80" s="4438">
        <f t="shared" si="156"/>
        <v>0</v>
      </c>
      <c r="CB80" s="4438">
        <f t="shared" si="157"/>
        <v>0</v>
      </c>
      <c r="CC80" s="4438">
        <f t="shared" si="158"/>
        <v>0</v>
      </c>
      <c r="CD80" s="4438">
        <f t="shared" si="159"/>
        <v>0</v>
      </c>
      <c r="CE80" s="4438">
        <f t="shared" si="160"/>
        <v>0</v>
      </c>
      <c r="CF80" s="4438">
        <f t="shared" si="161"/>
        <v>0</v>
      </c>
    </row>
    <row r="81" spans="1:84">
      <c r="A81" s="2100"/>
      <c r="B81" s="2101">
        <v>2040207</v>
      </c>
      <c r="C81" s="2101">
        <v>2070108</v>
      </c>
      <c r="D81" s="2102">
        <v>0.04</v>
      </c>
      <c r="E81" s="2112" t="s">
        <v>661</v>
      </c>
      <c r="F81" s="2105">
        <f t="shared" si="120"/>
        <v>0</v>
      </c>
      <c r="G81" s="4074">
        <f t="shared" si="121"/>
        <v>0</v>
      </c>
      <c r="H81" s="2104">
        <f t="shared" si="122"/>
        <v>0</v>
      </c>
      <c r="I81" s="2105">
        <f t="shared" si="123"/>
        <v>0</v>
      </c>
      <c r="J81" s="2106">
        <f t="shared" si="124"/>
        <v>0</v>
      </c>
      <c r="K81" s="2106">
        <f t="shared" si="125"/>
        <v>0</v>
      </c>
      <c r="L81" s="2106">
        <f t="shared" si="126"/>
        <v>0</v>
      </c>
      <c r="M81" s="2107">
        <f t="shared" si="127"/>
        <v>0</v>
      </c>
      <c r="N81" s="2108">
        <f t="shared" si="128"/>
        <v>0</v>
      </c>
      <c r="O81" s="1253"/>
      <c r="P81" s="1255"/>
      <c r="Q81" s="1254"/>
      <c r="R81" s="1255"/>
      <c r="S81" s="1256"/>
      <c r="T81" s="1256"/>
      <c r="U81" s="1256"/>
      <c r="V81" s="1256"/>
      <c r="W81" s="1253"/>
      <c r="X81" s="1255"/>
      <c r="Y81" s="1254"/>
      <c r="Z81" s="1255"/>
      <c r="AA81" s="1256"/>
      <c r="AB81" s="1256"/>
      <c r="AC81" s="1256"/>
      <c r="AD81" s="1256"/>
      <c r="AE81" s="1253"/>
      <c r="AF81" s="1255"/>
      <c r="AG81" s="1254"/>
      <c r="AH81" s="1255"/>
      <c r="AI81" s="1256"/>
      <c r="AJ81" s="1256"/>
      <c r="AK81" s="1256"/>
      <c r="AL81" s="1257"/>
      <c r="AM81" s="1258"/>
      <c r="AN81" s="1260"/>
      <c r="AO81" s="2109" t="s">
        <v>676</v>
      </c>
      <c r="AP81" s="1255"/>
      <c r="AQ81" s="1255"/>
      <c r="AR81" s="1254"/>
      <c r="AS81" s="1255"/>
      <c r="AT81" s="1256"/>
      <c r="AU81" s="1256"/>
      <c r="AV81" s="1256"/>
      <c r="AW81" s="1254"/>
      <c r="AX81" s="2110" t="s">
        <v>360</v>
      </c>
      <c r="AY81" s="4422"/>
      <c r="AZ81" s="4438">
        <f t="shared" si="129"/>
        <v>0</v>
      </c>
      <c r="BA81" s="4438">
        <f t="shared" si="130"/>
        <v>0</v>
      </c>
      <c r="BB81" s="4438">
        <f t="shared" si="131"/>
        <v>0</v>
      </c>
      <c r="BC81" s="4438">
        <f t="shared" si="132"/>
        <v>0</v>
      </c>
      <c r="BD81" s="4438">
        <f t="shared" si="133"/>
        <v>0</v>
      </c>
      <c r="BE81" s="4438">
        <f t="shared" si="134"/>
        <v>0</v>
      </c>
      <c r="BF81" s="4438">
        <f t="shared" si="135"/>
        <v>0</v>
      </c>
      <c r="BG81" s="4438">
        <f t="shared" si="136"/>
        <v>0</v>
      </c>
      <c r="BH81" s="4438">
        <f t="shared" si="137"/>
        <v>0</v>
      </c>
      <c r="BI81" s="4438">
        <f t="shared" si="138"/>
        <v>0</v>
      </c>
      <c r="BJ81" s="4438">
        <f t="shared" si="139"/>
        <v>0</v>
      </c>
      <c r="BK81" s="4438">
        <f t="shared" si="140"/>
        <v>0</v>
      </c>
      <c r="BL81" s="4438">
        <f t="shared" si="141"/>
        <v>0</v>
      </c>
      <c r="BM81" s="4438">
        <f t="shared" si="142"/>
        <v>0</v>
      </c>
      <c r="BN81" s="4438">
        <f t="shared" si="143"/>
        <v>0</v>
      </c>
      <c r="BO81" s="4438">
        <f t="shared" si="144"/>
        <v>0</v>
      </c>
      <c r="BP81" s="4438">
        <f t="shared" si="145"/>
        <v>0</v>
      </c>
      <c r="BQ81" s="4438">
        <f t="shared" si="146"/>
        <v>0</v>
      </c>
      <c r="BR81" s="4438">
        <f t="shared" si="147"/>
        <v>0</v>
      </c>
      <c r="BS81" s="4438">
        <f t="shared" si="148"/>
        <v>0</v>
      </c>
      <c r="BT81" s="4438">
        <f t="shared" si="149"/>
        <v>0</v>
      </c>
      <c r="BU81" s="4438">
        <f t="shared" si="150"/>
        <v>0</v>
      </c>
      <c r="BV81" s="4438">
        <f t="shared" si="151"/>
        <v>0</v>
      </c>
      <c r="BW81" s="4438">
        <f t="shared" si="152"/>
        <v>0</v>
      </c>
      <c r="BX81" s="4438">
        <f t="shared" si="153"/>
        <v>0</v>
      </c>
      <c r="BY81" s="4438">
        <f t="shared" si="154"/>
        <v>0</v>
      </c>
      <c r="BZ81" s="4438">
        <f t="shared" si="155"/>
        <v>0</v>
      </c>
      <c r="CA81" s="4438">
        <f t="shared" si="156"/>
        <v>0</v>
      </c>
      <c r="CB81" s="4438">
        <f t="shared" si="157"/>
        <v>0</v>
      </c>
      <c r="CC81" s="4438">
        <f t="shared" si="158"/>
        <v>0</v>
      </c>
      <c r="CD81" s="4438">
        <f t="shared" si="159"/>
        <v>0</v>
      </c>
      <c r="CE81" s="4438">
        <f t="shared" si="160"/>
        <v>0</v>
      </c>
      <c r="CF81" s="4438">
        <f t="shared" si="161"/>
        <v>0</v>
      </c>
    </row>
    <row r="82" spans="1:84">
      <c r="A82" s="2100"/>
      <c r="B82" s="2101">
        <v>2040207</v>
      </c>
      <c r="C82" s="2090">
        <v>2070109</v>
      </c>
      <c r="D82" s="2102">
        <v>0.04</v>
      </c>
      <c r="E82" s="2112" t="s">
        <v>361</v>
      </c>
      <c r="F82" s="2105">
        <f t="shared" si="120"/>
        <v>0</v>
      </c>
      <c r="G82" s="4074">
        <f t="shared" si="121"/>
        <v>0</v>
      </c>
      <c r="H82" s="2104">
        <f t="shared" si="122"/>
        <v>0</v>
      </c>
      <c r="I82" s="2105">
        <f t="shared" si="123"/>
        <v>0</v>
      </c>
      <c r="J82" s="2106">
        <f t="shared" si="124"/>
        <v>0</v>
      </c>
      <c r="K82" s="2106">
        <f t="shared" si="125"/>
        <v>0</v>
      </c>
      <c r="L82" s="2106">
        <f t="shared" si="126"/>
        <v>0</v>
      </c>
      <c r="M82" s="2107">
        <f t="shared" si="127"/>
        <v>0</v>
      </c>
      <c r="N82" s="2108">
        <f t="shared" si="128"/>
        <v>0</v>
      </c>
      <c r="O82" s="1253"/>
      <c r="P82" s="1255"/>
      <c r="Q82" s="1254"/>
      <c r="R82" s="1255"/>
      <c r="S82" s="1256"/>
      <c r="T82" s="1256"/>
      <c r="U82" s="1256"/>
      <c r="V82" s="1256"/>
      <c r="W82" s="1253"/>
      <c r="X82" s="1255"/>
      <c r="Y82" s="1254"/>
      <c r="Z82" s="1255"/>
      <c r="AA82" s="1256"/>
      <c r="AB82" s="1256"/>
      <c r="AC82" s="1256"/>
      <c r="AD82" s="1256"/>
      <c r="AE82" s="1253"/>
      <c r="AF82" s="1255"/>
      <c r="AG82" s="1254"/>
      <c r="AH82" s="1255"/>
      <c r="AI82" s="1256"/>
      <c r="AJ82" s="1256"/>
      <c r="AK82" s="1256"/>
      <c r="AL82" s="1257"/>
      <c r="AM82" s="1258"/>
      <c r="AN82" s="1259"/>
      <c r="AO82" s="2109" t="s">
        <v>676</v>
      </c>
      <c r="AP82" s="1255"/>
      <c r="AQ82" s="1255"/>
      <c r="AR82" s="1254"/>
      <c r="AS82" s="1255"/>
      <c r="AT82" s="1256"/>
      <c r="AU82" s="1256"/>
      <c r="AV82" s="1256"/>
      <c r="AW82" s="1254"/>
      <c r="AX82" s="2110" t="s">
        <v>360</v>
      </c>
      <c r="AY82" s="4422"/>
      <c r="AZ82" s="4438">
        <f t="shared" si="129"/>
        <v>0</v>
      </c>
      <c r="BA82" s="4438">
        <f t="shared" si="130"/>
        <v>0</v>
      </c>
      <c r="BB82" s="4438">
        <f t="shared" si="131"/>
        <v>0</v>
      </c>
      <c r="BC82" s="4438">
        <f t="shared" si="132"/>
        <v>0</v>
      </c>
      <c r="BD82" s="4438">
        <f t="shared" si="133"/>
        <v>0</v>
      </c>
      <c r="BE82" s="4438">
        <f t="shared" si="134"/>
        <v>0</v>
      </c>
      <c r="BF82" s="4438">
        <f t="shared" si="135"/>
        <v>0</v>
      </c>
      <c r="BG82" s="4438">
        <f t="shared" si="136"/>
        <v>0</v>
      </c>
      <c r="BH82" s="4438">
        <f t="shared" si="137"/>
        <v>0</v>
      </c>
      <c r="BI82" s="4438">
        <f t="shared" si="138"/>
        <v>0</v>
      </c>
      <c r="BJ82" s="4438">
        <f t="shared" si="139"/>
        <v>0</v>
      </c>
      <c r="BK82" s="4438">
        <f t="shared" si="140"/>
        <v>0</v>
      </c>
      <c r="BL82" s="4438">
        <f t="shared" si="141"/>
        <v>0</v>
      </c>
      <c r="BM82" s="4438">
        <f t="shared" si="142"/>
        <v>0</v>
      </c>
      <c r="BN82" s="4438">
        <f t="shared" si="143"/>
        <v>0</v>
      </c>
      <c r="BO82" s="4438">
        <f t="shared" si="144"/>
        <v>0</v>
      </c>
      <c r="BP82" s="4438">
        <f t="shared" si="145"/>
        <v>0</v>
      </c>
      <c r="BQ82" s="4438">
        <f t="shared" si="146"/>
        <v>0</v>
      </c>
      <c r="BR82" s="4438">
        <f t="shared" si="147"/>
        <v>0</v>
      </c>
      <c r="BS82" s="4438">
        <f t="shared" si="148"/>
        <v>0</v>
      </c>
      <c r="BT82" s="4438">
        <f t="shared" si="149"/>
        <v>0</v>
      </c>
      <c r="BU82" s="4438">
        <f t="shared" si="150"/>
        <v>0</v>
      </c>
      <c r="BV82" s="4438">
        <f t="shared" si="151"/>
        <v>0</v>
      </c>
      <c r="BW82" s="4438">
        <f t="shared" si="152"/>
        <v>0</v>
      </c>
      <c r="BX82" s="4438">
        <f t="shared" si="153"/>
        <v>0</v>
      </c>
      <c r="BY82" s="4438">
        <f t="shared" si="154"/>
        <v>0</v>
      </c>
      <c r="BZ82" s="4438">
        <f t="shared" si="155"/>
        <v>0</v>
      </c>
      <c r="CA82" s="4438">
        <f t="shared" si="156"/>
        <v>0</v>
      </c>
      <c r="CB82" s="4438">
        <f t="shared" si="157"/>
        <v>0</v>
      </c>
      <c r="CC82" s="4438">
        <f t="shared" si="158"/>
        <v>0</v>
      </c>
      <c r="CD82" s="4438">
        <f t="shared" si="159"/>
        <v>0</v>
      </c>
      <c r="CE82" s="4438">
        <f t="shared" si="160"/>
        <v>0</v>
      </c>
      <c r="CF82" s="4438">
        <f t="shared" si="161"/>
        <v>0</v>
      </c>
    </row>
    <row r="83" spans="1:84">
      <c r="A83" s="2100"/>
      <c r="B83" s="2101">
        <v>2030401</v>
      </c>
      <c r="C83" s="2101">
        <v>2070110</v>
      </c>
      <c r="D83" s="2113">
        <v>0.1</v>
      </c>
      <c r="E83" s="2112" t="s">
        <v>362</v>
      </c>
      <c r="F83" s="2105">
        <f t="shared" si="120"/>
        <v>0</v>
      </c>
      <c r="G83" s="4074">
        <f t="shared" si="121"/>
        <v>0</v>
      </c>
      <c r="H83" s="2104">
        <f t="shared" si="122"/>
        <v>0</v>
      </c>
      <c r="I83" s="2105">
        <f t="shared" si="123"/>
        <v>0</v>
      </c>
      <c r="J83" s="2106">
        <f t="shared" si="124"/>
        <v>0</v>
      </c>
      <c r="K83" s="2106">
        <f t="shared" si="125"/>
        <v>0</v>
      </c>
      <c r="L83" s="2106">
        <f t="shared" si="126"/>
        <v>0</v>
      </c>
      <c r="M83" s="2107">
        <f t="shared" si="127"/>
        <v>0</v>
      </c>
      <c r="N83" s="2108">
        <f t="shared" si="128"/>
        <v>0</v>
      </c>
      <c r="O83" s="1253"/>
      <c r="P83" s="1255"/>
      <c r="Q83" s="1254"/>
      <c r="R83" s="1255"/>
      <c r="S83" s="1256"/>
      <c r="T83" s="1256"/>
      <c r="U83" s="1256"/>
      <c r="V83" s="1256"/>
      <c r="W83" s="1253"/>
      <c r="X83" s="1255"/>
      <c r="Y83" s="1254"/>
      <c r="Z83" s="1255"/>
      <c r="AA83" s="1256"/>
      <c r="AB83" s="1256"/>
      <c r="AC83" s="1256"/>
      <c r="AD83" s="1256"/>
      <c r="AE83" s="1253"/>
      <c r="AF83" s="1255"/>
      <c r="AG83" s="1254"/>
      <c r="AH83" s="1255"/>
      <c r="AI83" s="1256"/>
      <c r="AJ83" s="1256"/>
      <c r="AK83" s="1256"/>
      <c r="AL83" s="1257"/>
      <c r="AM83" s="1258"/>
      <c r="AN83" s="1260"/>
      <c r="AO83" s="2109" t="s">
        <v>676</v>
      </c>
      <c r="AP83" s="1255"/>
      <c r="AQ83" s="1255"/>
      <c r="AR83" s="1254"/>
      <c r="AS83" s="1255"/>
      <c r="AT83" s="1256"/>
      <c r="AU83" s="1256"/>
      <c r="AV83" s="1256"/>
      <c r="AW83" s="1254"/>
      <c r="AX83" s="2110" t="s">
        <v>360</v>
      </c>
      <c r="AY83" s="4422"/>
      <c r="AZ83" s="4438">
        <f t="shared" si="129"/>
        <v>0</v>
      </c>
      <c r="BA83" s="4438">
        <f t="shared" si="130"/>
        <v>0</v>
      </c>
      <c r="BB83" s="4438">
        <f t="shared" si="131"/>
        <v>0</v>
      </c>
      <c r="BC83" s="4438">
        <f t="shared" si="132"/>
        <v>0</v>
      </c>
      <c r="BD83" s="4438">
        <f t="shared" si="133"/>
        <v>0</v>
      </c>
      <c r="BE83" s="4438">
        <f t="shared" si="134"/>
        <v>0</v>
      </c>
      <c r="BF83" s="4438">
        <f t="shared" si="135"/>
        <v>0</v>
      </c>
      <c r="BG83" s="4438">
        <f t="shared" si="136"/>
        <v>0</v>
      </c>
      <c r="BH83" s="4438">
        <f t="shared" si="137"/>
        <v>0</v>
      </c>
      <c r="BI83" s="4438">
        <f t="shared" si="138"/>
        <v>0</v>
      </c>
      <c r="BJ83" s="4438">
        <f t="shared" si="139"/>
        <v>0</v>
      </c>
      <c r="BK83" s="4438">
        <f t="shared" si="140"/>
        <v>0</v>
      </c>
      <c r="BL83" s="4438">
        <f t="shared" si="141"/>
        <v>0</v>
      </c>
      <c r="BM83" s="4438">
        <f t="shared" si="142"/>
        <v>0</v>
      </c>
      <c r="BN83" s="4438">
        <f t="shared" si="143"/>
        <v>0</v>
      </c>
      <c r="BO83" s="4438">
        <f t="shared" si="144"/>
        <v>0</v>
      </c>
      <c r="BP83" s="4438">
        <f t="shared" si="145"/>
        <v>0</v>
      </c>
      <c r="BQ83" s="4438">
        <f t="shared" si="146"/>
        <v>0</v>
      </c>
      <c r="BR83" s="4438">
        <f t="shared" si="147"/>
        <v>0</v>
      </c>
      <c r="BS83" s="4438">
        <f t="shared" si="148"/>
        <v>0</v>
      </c>
      <c r="BT83" s="4438">
        <f t="shared" si="149"/>
        <v>0</v>
      </c>
      <c r="BU83" s="4438">
        <f t="shared" si="150"/>
        <v>0</v>
      </c>
      <c r="BV83" s="4438">
        <f t="shared" si="151"/>
        <v>0</v>
      </c>
      <c r="BW83" s="4438">
        <f t="shared" si="152"/>
        <v>0</v>
      </c>
      <c r="BX83" s="4438">
        <f t="shared" si="153"/>
        <v>0</v>
      </c>
      <c r="BY83" s="4438">
        <f t="shared" si="154"/>
        <v>0</v>
      </c>
      <c r="BZ83" s="4438">
        <f t="shared" si="155"/>
        <v>0</v>
      </c>
      <c r="CA83" s="4438">
        <f t="shared" si="156"/>
        <v>0</v>
      </c>
      <c r="CB83" s="4438">
        <f t="shared" si="157"/>
        <v>0</v>
      </c>
      <c r="CC83" s="4438">
        <f t="shared" si="158"/>
        <v>0</v>
      </c>
      <c r="CD83" s="4438">
        <f t="shared" si="159"/>
        <v>0</v>
      </c>
      <c r="CE83" s="4438">
        <f t="shared" si="160"/>
        <v>0</v>
      </c>
      <c r="CF83" s="4438">
        <f t="shared" si="161"/>
        <v>0</v>
      </c>
    </row>
    <row r="84" spans="1:84" ht="24">
      <c r="A84" s="2100"/>
      <c r="B84" s="2101">
        <v>2040205</v>
      </c>
      <c r="C84" s="2090">
        <v>2070111</v>
      </c>
      <c r="D84" s="2102">
        <v>0.02</v>
      </c>
      <c r="E84" s="2103" t="s">
        <v>363</v>
      </c>
      <c r="F84" s="2105">
        <f t="shared" si="120"/>
        <v>0</v>
      </c>
      <c r="G84" s="4074">
        <f t="shared" si="121"/>
        <v>0</v>
      </c>
      <c r="H84" s="2104">
        <f t="shared" si="122"/>
        <v>0</v>
      </c>
      <c r="I84" s="2105">
        <f t="shared" si="123"/>
        <v>0</v>
      </c>
      <c r="J84" s="2106">
        <f t="shared" si="124"/>
        <v>0</v>
      </c>
      <c r="K84" s="2106">
        <f t="shared" si="125"/>
        <v>0</v>
      </c>
      <c r="L84" s="2106">
        <f t="shared" si="126"/>
        <v>0</v>
      </c>
      <c r="M84" s="2107">
        <f t="shared" si="127"/>
        <v>0</v>
      </c>
      <c r="N84" s="2108">
        <f t="shared" si="128"/>
        <v>0</v>
      </c>
      <c r="O84" s="1253"/>
      <c r="P84" s="1255"/>
      <c r="Q84" s="1254"/>
      <c r="R84" s="1255"/>
      <c r="S84" s="1256"/>
      <c r="T84" s="1256"/>
      <c r="U84" s="1256"/>
      <c r="V84" s="1256"/>
      <c r="W84" s="1253"/>
      <c r="X84" s="1255"/>
      <c r="Y84" s="1254"/>
      <c r="Z84" s="1255"/>
      <c r="AA84" s="1256"/>
      <c r="AB84" s="1256"/>
      <c r="AC84" s="1256"/>
      <c r="AD84" s="1256"/>
      <c r="AE84" s="1253"/>
      <c r="AF84" s="1255"/>
      <c r="AG84" s="1254"/>
      <c r="AH84" s="1255"/>
      <c r="AI84" s="1256"/>
      <c r="AJ84" s="1256"/>
      <c r="AK84" s="1256"/>
      <c r="AL84" s="1257"/>
      <c r="AM84" s="1258"/>
      <c r="AN84" s="1260"/>
      <c r="AO84" s="2109" t="s">
        <v>678</v>
      </c>
      <c r="AP84" s="1255"/>
      <c r="AQ84" s="1255"/>
      <c r="AR84" s="1254"/>
      <c r="AS84" s="1255"/>
      <c r="AT84" s="1256"/>
      <c r="AU84" s="1256"/>
      <c r="AV84" s="1256"/>
      <c r="AW84" s="1254"/>
      <c r="AX84" s="2110" t="s">
        <v>364</v>
      </c>
      <c r="AY84" s="4422"/>
      <c r="AZ84" s="4438">
        <f t="shared" si="129"/>
        <v>0</v>
      </c>
      <c r="BA84" s="4438">
        <f t="shared" si="130"/>
        <v>0</v>
      </c>
      <c r="BB84" s="4438">
        <f t="shared" si="131"/>
        <v>0</v>
      </c>
      <c r="BC84" s="4438">
        <f t="shared" si="132"/>
        <v>0</v>
      </c>
      <c r="BD84" s="4438">
        <f t="shared" si="133"/>
        <v>0</v>
      </c>
      <c r="BE84" s="4438">
        <f t="shared" si="134"/>
        <v>0</v>
      </c>
      <c r="BF84" s="4438">
        <f t="shared" si="135"/>
        <v>0</v>
      </c>
      <c r="BG84" s="4438">
        <f t="shared" si="136"/>
        <v>0</v>
      </c>
      <c r="BH84" s="4438">
        <f t="shared" si="137"/>
        <v>0</v>
      </c>
      <c r="BI84" s="4438">
        <f t="shared" si="138"/>
        <v>0</v>
      </c>
      <c r="BJ84" s="4438">
        <f t="shared" si="139"/>
        <v>0</v>
      </c>
      <c r="BK84" s="4438">
        <f t="shared" si="140"/>
        <v>0</v>
      </c>
      <c r="BL84" s="4438">
        <f t="shared" si="141"/>
        <v>0</v>
      </c>
      <c r="BM84" s="4438">
        <f t="shared" si="142"/>
        <v>0</v>
      </c>
      <c r="BN84" s="4438">
        <f t="shared" si="143"/>
        <v>0</v>
      </c>
      <c r="BO84" s="4438">
        <f t="shared" si="144"/>
        <v>0</v>
      </c>
      <c r="BP84" s="4438">
        <f t="shared" si="145"/>
        <v>0</v>
      </c>
      <c r="BQ84" s="4438">
        <f t="shared" si="146"/>
        <v>0</v>
      </c>
      <c r="BR84" s="4438">
        <f t="shared" si="147"/>
        <v>0</v>
      </c>
      <c r="BS84" s="4438">
        <f t="shared" si="148"/>
        <v>0</v>
      </c>
      <c r="BT84" s="4438">
        <f t="shared" si="149"/>
        <v>0</v>
      </c>
      <c r="BU84" s="4438">
        <f t="shared" si="150"/>
        <v>0</v>
      </c>
      <c r="BV84" s="4438">
        <f t="shared" si="151"/>
        <v>0</v>
      </c>
      <c r="BW84" s="4438">
        <f t="shared" si="152"/>
        <v>0</v>
      </c>
      <c r="BX84" s="4438">
        <f t="shared" si="153"/>
        <v>0</v>
      </c>
      <c r="BY84" s="4438">
        <f t="shared" si="154"/>
        <v>0</v>
      </c>
      <c r="BZ84" s="4438">
        <f t="shared" si="155"/>
        <v>0</v>
      </c>
      <c r="CA84" s="4438">
        <f t="shared" si="156"/>
        <v>0</v>
      </c>
      <c r="CB84" s="4438">
        <f t="shared" si="157"/>
        <v>0</v>
      </c>
      <c r="CC84" s="4438">
        <f t="shared" si="158"/>
        <v>0</v>
      </c>
      <c r="CD84" s="4438">
        <f t="shared" si="159"/>
        <v>0</v>
      </c>
      <c r="CE84" s="4438">
        <f t="shared" si="160"/>
        <v>0</v>
      </c>
      <c r="CF84" s="4438">
        <f t="shared" si="161"/>
        <v>0</v>
      </c>
    </row>
    <row r="85" spans="1:84" ht="24">
      <c r="A85" s="2100"/>
      <c r="B85" s="2101">
        <v>2040205</v>
      </c>
      <c r="C85" s="2101">
        <v>2070112</v>
      </c>
      <c r="D85" s="2102">
        <v>0.02</v>
      </c>
      <c r="E85" s="2103" t="s">
        <v>365</v>
      </c>
      <c r="F85" s="2105">
        <f t="shared" si="120"/>
        <v>0</v>
      </c>
      <c r="G85" s="4074">
        <f t="shared" si="121"/>
        <v>0</v>
      </c>
      <c r="H85" s="2104">
        <f t="shared" si="122"/>
        <v>0</v>
      </c>
      <c r="I85" s="2105">
        <f t="shared" si="123"/>
        <v>0</v>
      </c>
      <c r="J85" s="2106">
        <f t="shared" si="124"/>
        <v>0</v>
      </c>
      <c r="K85" s="2106">
        <f t="shared" si="125"/>
        <v>0</v>
      </c>
      <c r="L85" s="2106">
        <f t="shared" si="126"/>
        <v>0</v>
      </c>
      <c r="M85" s="2107">
        <f t="shared" si="127"/>
        <v>0</v>
      </c>
      <c r="N85" s="2108">
        <f t="shared" si="128"/>
        <v>0</v>
      </c>
      <c r="O85" s="1253"/>
      <c r="P85" s="1255"/>
      <c r="Q85" s="1254"/>
      <c r="R85" s="1255"/>
      <c r="S85" s="1256"/>
      <c r="T85" s="1256"/>
      <c r="U85" s="1256"/>
      <c r="V85" s="1256"/>
      <c r="W85" s="1253"/>
      <c r="X85" s="1255"/>
      <c r="Y85" s="1254"/>
      <c r="Z85" s="1255"/>
      <c r="AA85" s="1256"/>
      <c r="AB85" s="1256"/>
      <c r="AC85" s="1256"/>
      <c r="AD85" s="1256"/>
      <c r="AE85" s="1253"/>
      <c r="AF85" s="1255"/>
      <c r="AG85" s="1254"/>
      <c r="AH85" s="1255"/>
      <c r="AI85" s="1256"/>
      <c r="AJ85" s="1256"/>
      <c r="AK85" s="1256"/>
      <c r="AL85" s="1257"/>
      <c r="AM85" s="1258"/>
      <c r="AN85" s="1260"/>
      <c r="AO85" s="2109" t="s">
        <v>676</v>
      </c>
      <c r="AP85" s="1255"/>
      <c r="AQ85" s="1255"/>
      <c r="AR85" s="1254"/>
      <c r="AS85" s="1255"/>
      <c r="AT85" s="1256"/>
      <c r="AU85" s="1256"/>
      <c r="AV85" s="1256"/>
      <c r="AW85" s="1254"/>
      <c r="AX85" s="2110" t="s">
        <v>366</v>
      </c>
      <c r="AY85" s="4422"/>
      <c r="AZ85" s="4438">
        <f t="shared" si="129"/>
        <v>0</v>
      </c>
      <c r="BA85" s="4438">
        <f t="shared" si="130"/>
        <v>0</v>
      </c>
      <c r="BB85" s="4438">
        <f t="shared" si="131"/>
        <v>0</v>
      </c>
      <c r="BC85" s="4438">
        <f t="shared" si="132"/>
        <v>0</v>
      </c>
      <c r="BD85" s="4438">
        <f t="shared" si="133"/>
        <v>0</v>
      </c>
      <c r="BE85" s="4438">
        <f t="shared" si="134"/>
        <v>0</v>
      </c>
      <c r="BF85" s="4438">
        <f t="shared" si="135"/>
        <v>0</v>
      </c>
      <c r="BG85" s="4438">
        <f t="shared" si="136"/>
        <v>0</v>
      </c>
      <c r="BH85" s="4438">
        <f t="shared" si="137"/>
        <v>0</v>
      </c>
      <c r="BI85" s="4438">
        <f t="shared" si="138"/>
        <v>0</v>
      </c>
      <c r="BJ85" s="4438">
        <f t="shared" si="139"/>
        <v>0</v>
      </c>
      <c r="BK85" s="4438">
        <f t="shared" si="140"/>
        <v>0</v>
      </c>
      <c r="BL85" s="4438">
        <f t="shared" si="141"/>
        <v>0</v>
      </c>
      <c r="BM85" s="4438">
        <f t="shared" si="142"/>
        <v>0</v>
      </c>
      <c r="BN85" s="4438">
        <f t="shared" si="143"/>
        <v>0</v>
      </c>
      <c r="BO85" s="4438">
        <f t="shared" si="144"/>
        <v>0</v>
      </c>
      <c r="BP85" s="4438">
        <f t="shared" si="145"/>
        <v>0</v>
      </c>
      <c r="BQ85" s="4438">
        <f t="shared" si="146"/>
        <v>0</v>
      </c>
      <c r="BR85" s="4438">
        <f t="shared" si="147"/>
        <v>0</v>
      </c>
      <c r="BS85" s="4438">
        <f t="shared" si="148"/>
        <v>0</v>
      </c>
      <c r="BT85" s="4438">
        <f t="shared" si="149"/>
        <v>0</v>
      </c>
      <c r="BU85" s="4438">
        <f t="shared" si="150"/>
        <v>0</v>
      </c>
      <c r="BV85" s="4438">
        <f t="shared" si="151"/>
        <v>0</v>
      </c>
      <c r="BW85" s="4438">
        <f t="shared" si="152"/>
        <v>0</v>
      </c>
      <c r="BX85" s="4438">
        <f t="shared" si="153"/>
        <v>0</v>
      </c>
      <c r="BY85" s="4438">
        <f t="shared" si="154"/>
        <v>0</v>
      </c>
      <c r="BZ85" s="4438">
        <f t="shared" si="155"/>
        <v>0</v>
      </c>
      <c r="CA85" s="4438">
        <f t="shared" si="156"/>
        <v>0</v>
      </c>
      <c r="CB85" s="4438">
        <f t="shared" si="157"/>
        <v>0</v>
      </c>
      <c r="CC85" s="4438">
        <f t="shared" si="158"/>
        <v>0</v>
      </c>
      <c r="CD85" s="4438">
        <f t="shared" si="159"/>
        <v>0</v>
      </c>
      <c r="CE85" s="4438">
        <f t="shared" si="160"/>
        <v>0</v>
      </c>
      <c r="CF85" s="4438">
        <f t="shared" si="161"/>
        <v>0</v>
      </c>
    </row>
    <row r="86" spans="1:84" ht="36">
      <c r="A86" s="2100"/>
      <c r="B86" s="2101">
        <v>2030502</v>
      </c>
      <c r="C86" s="2090">
        <v>2070113</v>
      </c>
      <c r="D86" s="2102">
        <v>0.1</v>
      </c>
      <c r="E86" s="2103" t="s">
        <v>367</v>
      </c>
      <c r="F86" s="2105">
        <f t="shared" si="120"/>
        <v>0</v>
      </c>
      <c r="G86" s="4074">
        <f t="shared" si="121"/>
        <v>0</v>
      </c>
      <c r="H86" s="2104">
        <f t="shared" si="122"/>
        <v>0</v>
      </c>
      <c r="I86" s="2105">
        <f t="shared" si="123"/>
        <v>0</v>
      </c>
      <c r="J86" s="2106">
        <f t="shared" si="124"/>
        <v>0</v>
      </c>
      <c r="K86" s="2106">
        <f t="shared" si="125"/>
        <v>0</v>
      </c>
      <c r="L86" s="2106">
        <f t="shared" si="126"/>
        <v>0</v>
      </c>
      <c r="M86" s="2107">
        <f t="shared" si="127"/>
        <v>0</v>
      </c>
      <c r="N86" s="2108">
        <f t="shared" si="128"/>
        <v>0</v>
      </c>
      <c r="O86" s="1253"/>
      <c r="P86" s="1255"/>
      <c r="Q86" s="1254"/>
      <c r="R86" s="1255"/>
      <c r="S86" s="1256"/>
      <c r="T86" s="1256"/>
      <c r="U86" s="1256"/>
      <c r="V86" s="1256"/>
      <c r="W86" s="1253"/>
      <c r="X86" s="1255"/>
      <c r="Y86" s="1254"/>
      <c r="Z86" s="1255"/>
      <c r="AA86" s="1256"/>
      <c r="AB86" s="1256"/>
      <c r="AC86" s="1256"/>
      <c r="AD86" s="1256"/>
      <c r="AE86" s="1253"/>
      <c r="AF86" s="1255"/>
      <c r="AG86" s="1254"/>
      <c r="AH86" s="1255"/>
      <c r="AI86" s="1256"/>
      <c r="AJ86" s="1256"/>
      <c r="AK86" s="1256"/>
      <c r="AL86" s="1257"/>
      <c r="AM86" s="1258"/>
      <c r="AN86" s="1259"/>
      <c r="AO86" s="2109" t="s">
        <v>676</v>
      </c>
      <c r="AP86" s="1255"/>
      <c r="AQ86" s="1255"/>
      <c r="AR86" s="1254"/>
      <c r="AS86" s="1255"/>
      <c r="AT86" s="1256"/>
      <c r="AU86" s="1256"/>
      <c r="AV86" s="1256"/>
      <c r="AW86" s="1254"/>
      <c r="AX86" s="2114" t="s">
        <v>1030</v>
      </c>
      <c r="AY86" s="4422"/>
      <c r="AZ86" s="4438">
        <f t="shared" si="129"/>
        <v>0</v>
      </c>
      <c r="BA86" s="4438">
        <f t="shared" si="130"/>
        <v>0</v>
      </c>
      <c r="BB86" s="4438">
        <f t="shared" si="131"/>
        <v>0</v>
      </c>
      <c r="BC86" s="4438">
        <f t="shared" si="132"/>
        <v>0</v>
      </c>
      <c r="BD86" s="4438">
        <f t="shared" si="133"/>
        <v>0</v>
      </c>
      <c r="BE86" s="4438">
        <f t="shared" si="134"/>
        <v>0</v>
      </c>
      <c r="BF86" s="4438">
        <f t="shared" si="135"/>
        <v>0</v>
      </c>
      <c r="BG86" s="4438">
        <f t="shared" si="136"/>
        <v>0</v>
      </c>
      <c r="BH86" s="4438">
        <f t="shared" si="137"/>
        <v>0</v>
      </c>
      <c r="BI86" s="4438">
        <f t="shared" si="138"/>
        <v>0</v>
      </c>
      <c r="BJ86" s="4438">
        <f t="shared" si="139"/>
        <v>0</v>
      </c>
      <c r="BK86" s="4438">
        <f t="shared" si="140"/>
        <v>0</v>
      </c>
      <c r="BL86" s="4438">
        <f t="shared" si="141"/>
        <v>0</v>
      </c>
      <c r="BM86" s="4438">
        <f t="shared" si="142"/>
        <v>0</v>
      </c>
      <c r="BN86" s="4438">
        <f t="shared" si="143"/>
        <v>0</v>
      </c>
      <c r="BO86" s="4438">
        <f t="shared" si="144"/>
        <v>0</v>
      </c>
      <c r="BP86" s="4438">
        <f t="shared" si="145"/>
        <v>0</v>
      </c>
      <c r="BQ86" s="4438">
        <f t="shared" si="146"/>
        <v>0</v>
      </c>
      <c r="BR86" s="4438">
        <f t="shared" si="147"/>
        <v>0</v>
      </c>
      <c r="BS86" s="4438">
        <f t="shared" si="148"/>
        <v>0</v>
      </c>
      <c r="BT86" s="4438">
        <f t="shared" si="149"/>
        <v>0</v>
      </c>
      <c r="BU86" s="4438">
        <f t="shared" si="150"/>
        <v>0</v>
      </c>
      <c r="BV86" s="4438">
        <f t="shared" si="151"/>
        <v>0</v>
      </c>
      <c r="BW86" s="4438">
        <f t="shared" si="152"/>
        <v>0</v>
      </c>
      <c r="BX86" s="4438">
        <f t="shared" si="153"/>
        <v>0</v>
      </c>
      <c r="BY86" s="4438">
        <f t="shared" si="154"/>
        <v>0</v>
      </c>
      <c r="BZ86" s="4438">
        <f t="shared" si="155"/>
        <v>0</v>
      </c>
      <c r="CA86" s="4438">
        <f t="shared" si="156"/>
        <v>0</v>
      </c>
      <c r="CB86" s="4438">
        <f t="shared" si="157"/>
        <v>0</v>
      </c>
      <c r="CC86" s="4438">
        <f t="shared" si="158"/>
        <v>0</v>
      </c>
      <c r="CD86" s="4438">
        <f t="shared" si="159"/>
        <v>0</v>
      </c>
      <c r="CE86" s="4438">
        <f t="shared" si="160"/>
        <v>0</v>
      </c>
      <c r="CF86" s="4438">
        <f t="shared" si="161"/>
        <v>0</v>
      </c>
    </row>
    <row r="87" spans="1:84" ht="24">
      <c r="A87" s="2100"/>
      <c r="B87" s="2101">
        <v>2030501</v>
      </c>
      <c r="C87" s="2101">
        <v>2070114</v>
      </c>
      <c r="D87" s="2113">
        <v>0.1</v>
      </c>
      <c r="E87" s="2112" t="s">
        <v>652</v>
      </c>
      <c r="F87" s="2105">
        <f t="shared" si="120"/>
        <v>0</v>
      </c>
      <c r="G87" s="4074">
        <f t="shared" si="121"/>
        <v>0</v>
      </c>
      <c r="H87" s="2104">
        <f t="shared" si="122"/>
        <v>0</v>
      </c>
      <c r="I87" s="2105">
        <f t="shared" si="123"/>
        <v>0</v>
      </c>
      <c r="J87" s="2106">
        <f t="shared" si="124"/>
        <v>0</v>
      </c>
      <c r="K87" s="2106">
        <f t="shared" si="125"/>
        <v>0</v>
      </c>
      <c r="L87" s="2106">
        <f t="shared" si="126"/>
        <v>0</v>
      </c>
      <c r="M87" s="2107">
        <f t="shared" si="127"/>
        <v>0</v>
      </c>
      <c r="N87" s="2108">
        <f t="shared" si="128"/>
        <v>0</v>
      </c>
      <c r="O87" s="1253"/>
      <c r="P87" s="1255"/>
      <c r="Q87" s="1254"/>
      <c r="R87" s="1255"/>
      <c r="S87" s="1256"/>
      <c r="T87" s="1256"/>
      <c r="U87" s="1256"/>
      <c r="V87" s="1256"/>
      <c r="W87" s="1253"/>
      <c r="X87" s="1255"/>
      <c r="Y87" s="1254"/>
      <c r="Z87" s="1255"/>
      <c r="AA87" s="1256"/>
      <c r="AB87" s="1256"/>
      <c r="AC87" s="1256"/>
      <c r="AD87" s="1256"/>
      <c r="AE87" s="1253"/>
      <c r="AF87" s="1255"/>
      <c r="AG87" s="1254"/>
      <c r="AH87" s="1255"/>
      <c r="AI87" s="1256"/>
      <c r="AJ87" s="1256"/>
      <c r="AK87" s="1256"/>
      <c r="AL87" s="1257"/>
      <c r="AM87" s="1258"/>
      <c r="AN87" s="1259"/>
      <c r="AO87" s="2109" t="s">
        <v>676</v>
      </c>
      <c r="AP87" s="1255"/>
      <c r="AQ87" s="1255"/>
      <c r="AR87" s="1254"/>
      <c r="AS87" s="1255"/>
      <c r="AT87" s="1256"/>
      <c r="AU87" s="1256"/>
      <c r="AV87" s="1256"/>
      <c r="AW87" s="1254"/>
      <c r="AX87" s="2115" t="s">
        <v>709</v>
      </c>
      <c r="AY87" s="4422"/>
      <c r="AZ87" s="4438">
        <f t="shared" si="129"/>
        <v>0</v>
      </c>
      <c r="BA87" s="4438">
        <f t="shared" si="130"/>
        <v>0</v>
      </c>
      <c r="BB87" s="4438">
        <f t="shared" si="131"/>
        <v>0</v>
      </c>
      <c r="BC87" s="4438">
        <f t="shared" si="132"/>
        <v>0</v>
      </c>
      <c r="BD87" s="4438">
        <f t="shared" si="133"/>
        <v>0</v>
      </c>
      <c r="BE87" s="4438">
        <f t="shared" si="134"/>
        <v>0</v>
      </c>
      <c r="BF87" s="4438">
        <f t="shared" si="135"/>
        <v>0</v>
      </c>
      <c r="BG87" s="4438">
        <f t="shared" si="136"/>
        <v>0</v>
      </c>
      <c r="BH87" s="4438">
        <f t="shared" si="137"/>
        <v>0</v>
      </c>
      <c r="BI87" s="4438">
        <f t="shared" si="138"/>
        <v>0</v>
      </c>
      <c r="BJ87" s="4438">
        <f t="shared" si="139"/>
        <v>0</v>
      </c>
      <c r="BK87" s="4438">
        <f t="shared" si="140"/>
        <v>0</v>
      </c>
      <c r="BL87" s="4438">
        <f t="shared" si="141"/>
        <v>0</v>
      </c>
      <c r="BM87" s="4438">
        <f t="shared" si="142"/>
        <v>0</v>
      </c>
      <c r="BN87" s="4438">
        <f t="shared" si="143"/>
        <v>0</v>
      </c>
      <c r="BO87" s="4438">
        <f t="shared" si="144"/>
        <v>0</v>
      </c>
      <c r="BP87" s="4438">
        <f t="shared" si="145"/>
        <v>0</v>
      </c>
      <c r="BQ87" s="4438">
        <f t="shared" si="146"/>
        <v>0</v>
      </c>
      <c r="BR87" s="4438">
        <f t="shared" si="147"/>
        <v>0</v>
      </c>
      <c r="BS87" s="4438">
        <f t="shared" si="148"/>
        <v>0</v>
      </c>
      <c r="BT87" s="4438">
        <f t="shared" si="149"/>
        <v>0</v>
      </c>
      <c r="BU87" s="4438">
        <f t="shared" si="150"/>
        <v>0</v>
      </c>
      <c r="BV87" s="4438">
        <f t="shared" si="151"/>
        <v>0</v>
      </c>
      <c r="BW87" s="4438">
        <f t="shared" si="152"/>
        <v>0</v>
      </c>
      <c r="BX87" s="4438">
        <f t="shared" si="153"/>
        <v>0</v>
      </c>
      <c r="BY87" s="4438">
        <f t="shared" si="154"/>
        <v>0</v>
      </c>
      <c r="BZ87" s="4438">
        <f t="shared" si="155"/>
        <v>0</v>
      </c>
      <c r="CA87" s="4438">
        <f t="shared" si="156"/>
        <v>0</v>
      </c>
      <c r="CB87" s="4438">
        <f t="shared" si="157"/>
        <v>0</v>
      </c>
      <c r="CC87" s="4438">
        <f t="shared" si="158"/>
        <v>0</v>
      </c>
      <c r="CD87" s="4438">
        <f t="shared" si="159"/>
        <v>0</v>
      </c>
      <c r="CE87" s="4438">
        <f t="shared" si="160"/>
        <v>0</v>
      </c>
      <c r="CF87" s="4438">
        <f t="shared" si="161"/>
        <v>0</v>
      </c>
    </row>
    <row r="88" spans="1:84" ht="24">
      <c r="A88" s="2100"/>
      <c r="B88" s="2101">
        <v>2030501</v>
      </c>
      <c r="C88" s="2090">
        <v>2070115</v>
      </c>
      <c r="D88" s="2113">
        <v>0.1</v>
      </c>
      <c r="E88" s="2103" t="s">
        <v>653</v>
      </c>
      <c r="F88" s="2105">
        <f t="shared" si="120"/>
        <v>0</v>
      </c>
      <c r="G88" s="4074">
        <f t="shared" si="121"/>
        <v>0</v>
      </c>
      <c r="H88" s="2104">
        <f t="shared" si="122"/>
        <v>0</v>
      </c>
      <c r="I88" s="2105">
        <f t="shared" si="123"/>
        <v>0</v>
      </c>
      <c r="J88" s="2106">
        <f t="shared" si="124"/>
        <v>0</v>
      </c>
      <c r="K88" s="2106">
        <f t="shared" si="125"/>
        <v>0</v>
      </c>
      <c r="L88" s="2106">
        <f t="shared" si="126"/>
        <v>0</v>
      </c>
      <c r="M88" s="2107">
        <f t="shared" si="127"/>
        <v>0</v>
      </c>
      <c r="N88" s="2108">
        <f t="shared" si="128"/>
        <v>0</v>
      </c>
      <c r="O88" s="1253"/>
      <c r="P88" s="1255"/>
      <c r="Q88" s="1254"/>
      <c r="R88" s="1255"/>
      <c r="S88" s="1256"/>
      <c r="T88" s="1256"/>
      <c r="U88" s="1256"/>
      <c r="V88" s="1256"/>
      <c r="W88" s="1253"/>
      <c r="X88" s="1255"/>
      <c r="Y88" s="1254"/>
      <c r="Z88" s="1255"/>
      <c r="AA88" s="1256"/>
      <c r="AB88" s="1256"/>
      <c r="AC88" s="1256"/>
      <c r="AD88" s="1256"/>
      <c r="AE88" s="1253"/>
      <c r="AF88" s="1255"/>
      <c r="AG88" s="1254"/>
      <c r="AH88" s="1255"/>
      <c r="AI88" s="1256"/>
      <c r="AJ88" s="1256"/>
      <c r="AK88" s="1256"/>
      <c r="AL88" s="1257"/>
      <c r="AM88" s="1258"/>
      <c r="AN88" s="1259"/>
      <c r="AO88" s="2109" t="s">
        <v>676</v>
      </c>
      <c r="AP88" s="1255"/>
      <c r="AQ88" s="1255"/>
      <c r="AR88" s="1254"/>
      <c r="AS88" s="1255"/>
      <c r="AT88" s="1256"/>
      <c r="AU88" s="1256"/>
      <c r="AV88" s="1256"/>
      <c r="AW88" s="1254"/>
      <c r="AX88" s="2115" t="s">
        <v>654</v>
      </c>
      <c r="AY88" s="4422"/>
      <c r="AZ88" s="4438">
        <f t="shared" si="129"/>
        <v>0</v>
      </c>
      <c r="BA88" s="4438">
        <f t="shared" si="130"/>
        <v>0</v>
      </c>
      <c r="BB88" s="4438">
        <f t="shared" si="131"/>
        <v>0</v>
      </c>
      <c r="BC88" s="4438">
        <f t="shared" si="132"/>
        <v>0</v>
      </c>
      <c r="BD88" s="4438">
        <f t="shared" si="133"/>
        <v>0</v>
      </c>
      <c r="BE88" s="4438">
        <f t="shared" si="134"/>
        <v>0</v>
      </c>
      <c r="BF88" s="4438">
        <f t="shared" si="135"/>
        <v>0</v>
      </c>
      <c r="BG88" s="4438">
        <f t="shared" si="136"/>
        <v>0</v>
      </c>
      <c r="BH88" s="4438">
        <f t="shared" si="137"/>
        <v>0</v>
      </c>
      <c r="BI88" s="4438">
        <f t="shared" si="138"/>
        <v>0</v>
      </c>
      <c r="BJ88" s="4438">
        <f t="shared" si="139"/>
        <v>0</v>
      </c>
      <c r="BK88" s="4438">
        <f t="shared" si="140"/>
        <v>0</v>
      </c>
      <c r="BL88" s="4438">
        <f t="shared" si="141"/>
        <v>0</v>
      </c>
      <c r="BM88" s="4438">
        <f t="shared" si="142"/>
        <v>0</v>
      </c>
      <c r="BN88" s="4438">
        <f t="shared" si="143"/>
        <v>0</v>
      </c>
      <c r="BO88" s="4438">
        <f t="shared" si="144"/>
        <v>0</v>
      </c>
      <c r="BP88" s="4438">
        <f t="shared" si="145"/>
        <v>0</v>
      </c>
      <c r="BQ88" s="4438">
        <f t="shared" si="146"/>
        <v>0</v>
      </c>
      <c r="BR88" s="4438">
        <f t="shared" si="147"/>
        <v>0</v>
      </c>
      <c r="BS88" s="4438">
        <f t="shared" si="148"/>
        <v>0</v>
      </c>
      <c r="BT88" s="4438">
        <f t="shared" si="149"/>
        <v>0</v>
      </c>
      <c r="BU88" s="4438">
        <f t="shared" si="150"/>
        <v>0</v>
      </c>
      <c r="BV88" s="4438">
        <f t="shared" si="151"/>
        <v>0</v>
      </c>
      <c r="BW88" s="4438">
        <f t="shared" si="152"/>
        <v>0</v>
      </c>
      <c r="BX88" s="4438">
        <f t="shared" si="153"/>
        <v>0</v>
      </c>
      <c r="BY88" s="4438">
        <f t="shared" si="154"/>
        <v>0</v>
      </c>
      <c r="BZ88" s="4438">
        <f t="shared" si="155"/>
        <v>0</v>
      </c>
      <c r="CA88" s="4438">
        <f t="shared" si="156"/>
        <v>0</v>
      </c>
      <c r="CB88" s="4438">
        <f t="shared" si="157"/>
        <v>0</v>
      </c>
      <c r="CC88" s="4438">
        <f t="shared" si="158"/>
        <v>0</v>
      </c>
      <c r="CD88" s="4438">
        <f t="shared" si="159"/>
        <v>0</v>
      </c>
      <c r="CE88" s="4438">
        <f t="shared" si="160"/>
        <v>0</v>
      </c>
      <c r="CF88" s="4438">
        <f t="shared" si="161"/>
        <v>0</v>
      </c>
    </row>
    <row r="89" spans="1:84">
      <c r="A89" s="2100"/>
      <c r="B89" s="2101">
        <v>2030502</v>
      </c>
      <c r="C89" s="2101">
        <v>2070116</v>
      </c>
      <c r="D89" s="2113">
        <v>0.1</v>
      </c>
      <c r="E89" s="2112" t="s">
        <v>368</v>
      </c>
      <c r="F89" s="2105">
        <f t="shared" si="120"/>
        <v>0</v>
      </c>
      <c r="G89" s="4074">
        <f t="shared" si="121"/>
        <v>0</v>
      </c>
      <c r="H89" s="2104">
        <f t="shared" si="122"/>
        <v>0</v>
      </c>
      <c r="I89" s="2105">
        <f t="shared" si="123"/>
        <v>0</v>
      </c>
      <c r="J89" s="2106">
        <f t="shared" si="124"/>
        <v>0</v>
      </c>
      <c r="K89" s="2106">
        <f t="shared" si="125"/>
        <v>0</v>
      </c>
      <c r="L89" s="2106">
        <f t="shared" si="126"/>
        <v>0</v>
      </c>
      <c r="M89" s="2107">
        <f t="shared" si="127"/>
        <v>0</v>
      </c>
      <c r="N89" s="2108">
        <f t="shared" si="128"/>
        <v>0</v>
      </c>
      <c r="O89" s="1253"/>
      <c r="P89" s="1255"/>
      <c r="Q89" s="1254"/>
      <c r="R89" s="1255"/>
      <c r="S89" s="1256"/>
      <c r="T89" s="1256"/>
      <c r="U89" s="1256"/>
      <c r="V89" s="1256"/>
      <c r="W89" s="1253"/>
      <c r="X89" s="1255"/>
      <c r="Y89" s="1254"/>
      <c r="Z89" s="1255"/>
      <c r="AA89" s="1256"/>
      <c r="AB89" s="1256"/>
      <c r="AC89" s="1256"/>
      <c r="AD89" s="1256"/>
      <c r="AE89" s="1253"/>
      <c r="AF89" s="1255"/>
      <c r="AG89" s="1254"/>
      <c r="AH89" s="1255"/>
      <c r="AI89" s="1256"/>
      <c r="AJ89" s="1256"/>
      <c r="AK89" s="1256"/>
      <c r="AL89" s="1257"/>
      <c r="AM89" s="1258"/>
      <c r="AN89" s="1260"/>
      <c r="AO89" s="2109" t="s">
        <v>676</v>
      </c>
      <c r="AP89" s="1255"/>
      <c r="AQ89" s="1255"/>
      <c r="AR89" s="1254"/>
      <c r="AS89" s="1255"/>
      <c r="AT89" s="1256"/>
      <c r="AU89" s="1256"/>
      <c r="AV89" s="1256"/>
      <c r="AW89" s="1254"/>
      <c r="AX89" s="2115" t="s">
        <v>708</v>
      </c>
      <c r="AY89" s="4422"/>
      <c r="AZ89" s="4438">
        <f t="shared" si="129"/>
        <v>0</v>
      </c>
      <c r="BA89" s="4438">
        <f t="shared" si="130"/>
        <v>0</v>
      </c>
      <c r="BB89" s="4438">
        <f t="shared" si="131"/>
        <v>0</v>
      </c>
      <c r="BC89" s="4438">
        <f t="shared" si="132"/>
        <v>0</v>
      </c>
      <c r="BD89" s="4438">
        <f t="shared" si="133"/>
        <v>0</v>
      </c>
      <c r="BE89" s="4438">
        <f t="shared" si="134"/>
        <v>0</v>
      </c>
      <c r="BF89" s="4438">
        <f t="shared" si="135"/>
        <v>0</v>
      </c>
      <c r="BG89" s="4438">
        <f t="shared" si="136"/>
        <v>0</v>
      </c>
      <c r="BH89" s="4438">
        <f t="shared" si="137"/>
        <v>0</v>
      </c>
      <c r="BI89" s="4438">
        <f t="shared" si="138"/>
        <v>0</v>
      </c>
      <c r="BJ89" s="4438">
        <f t="shared" si="139"/>
        <v>0</v>
      </c>
      <c r="BK89" s="4438">
        <f t="shared" si="140"/>
        <v>0</v>
      </c>
      <c r="BL89" s="4438">
        <f t="shared" si="141"/>
        <v>0</v>
      </c>
      <c r="BM89" s="4438">
        <f t="shared" si="142"/>
        <v>0</v>
      </c>
      <c r="BN89" s="4438">
        <f t="shared" si="143"/>
        <v>0</v>
      </c>
      <c r="BO89" s="4438">
        <f t="shared" si="144"/>
        <v>0</v>
      </c>
      <c r="BP89" s="4438">
        <f t="shared" si="145"/>
        <v>0</v>
      </c>
      <c r="BQ89" s="4438">
        <f t="shared" si="146"/>
        <v>0</v>
      </c>
      <c r="BR89" s="4438">
        <f t="shared" si="147"/>
        <v>0</v>
      </c>
      <c r="BS89" s="4438">
        <f t="shared" si="148"/>
        <v>0</v>
      </c>
      <c r="BT89" s="4438">
        <f t="shared" si="149"/>
        <v>0</v>
      </c>
      <c r="BU89" s="4438">
        <f t="shared" si="150"/>
        <v>0</v>
      </c>
      <c r="BV89" s="4438">
        <f t="shared" si="151"/>
        <v>0</v>
      </c>
      <c r="BW89" s="4438">
        <f t="shared" si="152"/>
        <v>0</v>
      </c>
      <c r="BX89" s="4438">
        <f t="shared" si="153"/>
        <v>0</v>
      </c>
      <c r="BY89" s="4438">
        <f t="shared" si="154"/>
        <v>0</v>
      </c>
      <c r="BZ89" s="4438">
        <f t="shared" si="155"/>
        <v>0</v>
      </c>
      <c r="CA89" s="4438">
        <f t="shared" si="156"/>
        <v>0</v>
      </c>
      <c r="CB89" s="4438">
        <f t="shared" si="157"/>
        <v>0</v>
      </c>
      <c r="CC89" s="4438">
        <f t="shared" si="158"/>
        <v>0</v>
      </c>
      <c r="CD89" s="4438">
        <f t="shared" si="159"/>
        <v>0</v>
      </c>
      <c r="CE89" s="4438">
        <f t="shared" si="160"/>
        <v>0</v>
      </c>
      <c r="CF89" s="4438">
        <f t="shared" si="161"/>
        <v>0</v>
      </c>
    </row>
    <row r="90" spans="1:84" ht="24">
      <c r="A90" s="2100"/>
      <c r="B90" s="2101">
        <v>215</v>
      </c>
      <c r="C90" s="2090">
        <v>2070117</v>
      </c>
      <c r="D90" s="2111">
        <v>0.2</v>
      </c>
      <c r="E90" s="2103" t="s">
        <v>369</v>
      </c>
      <c r="F90" s="2105">
        <f t="shared" si="120"/>
        <v>0</v>
      </c>
      <c r="G90" s="4074">
        <f t="shared" si="121"/>
        <v>0</v>
      </c>
      <c r="H90" s="2104">
        <f t="shared" si="122"/>
        <v>0</v>
      </c>
      <c r="I90" s="2105">
        <f t="shared" si="123"/>
        <v>0</v>
      </c>
      <c r="J90" s="2106">
        <f t="shared" si="124"/>
        <v>0</v>
      </c>
      <c r="K90" s="2106">
        <f t="shared" si="125"/>
        <v>0</v>
      </c>
      <c r="L90" s="2106">
        <f t="shared" si="126"/>
        <v>0</v>
      </c>
      <c r="M90" s="2107">
        <f t="shared" si="127"/>
        <v>0</v>
      </c>
      <c r="N90" s="2108">
        <f t="shared" si="128"/>
        <v>0</v>
      </c>
      <c r="O90" s="1253"/>
      <c r="P90" s="1255"/>
      <c r="Q90" s="1254"/>
      <c r="R90" s="1255"/>
      <c r="S90" s="1256"/>
      <c r="T90" s="1256"/>
      <c r="U90" s="1256"/>
      <c r="V90" s="1256"/>
      <c r="W90" s="1253"/>
      <c r="X90" s="1255"/>
      <c r="Y90" s="1254"/>
      <c r="Z90" s="1255"/>
      <c r="AA90" s="1256"/>
      <c r="AB90" s="1256"/>
      <c r="AC90" s="1256"/>
      <c r="AD90" s="1256"/>
      <c r="AE90" s="1253"/>
      <c r="AF90" s="1255"/>
      <c r="AG90" s="1254"/>
      <c r="AH90" s="1255"/>
      <c r="AI90" s="1256"/>
      <c r="AJ90" s="1256"/>
      <c r="AK90" s="1256"/>
      <c r="AL90" s="1257"/>
      <c r="AM90" s="1258"/>
      <c r="AN90" s="1260"/>
      <c r="AO90" s="2116" t="s">
        <v>313</v>
      </c>
      <c r="AP90" s="1255"/>
      <c r="AQ90" s="1255"/>
      <c r="AR90" s="1254"/>
      <c r="AS90" s="1255"/>
      <c r="AT90" s="1256"/>
      <c r="AU90" s="1256"/>
      <c r="AV90" s="1256"/>
      <c r="AW90" s="1254"/>
      <c r="AX90" s="2110" t="s">
        <v>370</v>
      </c>
      <c r="AY90" s="4422"/>
      <c r="AZ90" s="4438">
        <f t="shared" si="129"/>
        <v>0</v>
      </c>
      <c r="BA90" s="4438">
        <f t="shared" si="130"/>
        <v>0</v>
      </c>
      <c r="BB90" s="4438">
        <f t="shared" si="131"/>
        <v>0</v>
      </c>
      <c r="BC90" s="4438">
        <f t="shared" si="132"/>
        <v>0</v>
      </c>
      <c r="BD90" s="4438">
        <f t="shared" si="133"/>
        <v>0</v>
      </c>
      <c r="BE90" s="4438">
        <f t="shared" si="134"/>
        <v>0</v>
      </c>
      <c r="BF90" s="4438">
        <f t="shared" si="135"/>
        <v>0</v>
      </c>
      <c r="BG90" s="4438">
        <f t="shared" si="136"/>
        <v>0</v>
      </c>
      <c r="BH90" s="4438">
        <f t="shared" si="137"/>
        <v>0</v>
      </c>
      <c r="BI90" s="4438">
        <f t="shared" si="138"/>
        <v>0</v>
      </c>
      <c r="BJ90" s="4438">
        <f t="shared" si="139"/>
        <v>0</v>
      </c>
      <c r="BK90" s="4438">
        <f t="shared" si="140"/>
        <v>0</v>
      </c>
      <c r="BL90" s="4438">
        <f t="shared" si="141"/>
        <v>0</v>
      </c>
      <c r="BM90" s="4438">
        <f t="shared" si="142"/>
        <v>0</v>
      </c>
      <c r="BN90" s="4438">
        <f t="shared" si="143"/>
        <v>0</v>
      </c>
      <c r="BO90" s="4438">
        <f t="shared" si="144"/>
        <v>0</v>
      </c>
      <c r="BP90" s="4438">
        <f t="shared" si="145"/>
        <v>0</v>
      </c>
      <c r="BQ90" s="4438">
        <f t="shared" si="146"/>
        <v>0</v>
      </c>
      <c r="BR90" s="4438">
        <f t="shared" si="147"/>
        <v>0</v>
      </c>
      <c r="BS90" s="4438">
        <f t="shared" si="148"/>
        <v>0</v>
      </c>
      <c r="BT90" s="4438">
        <f t="shared" si="149"/>
        <v>0</v>
      </c>
      <c r="BU90" s="4438">
        <f t="shared" si="150"/>
        <v>0</v>
      </c>
      <c r="BV90" s="4438">
        <f t="shared" si="151"/>
        <v>0</v>
      </c>
      <c r="BW90" s="4438">
        <f t="shared" si="152"/>
        <v>0</v>
      </c>
      <c r="BX90" s="4438">
        <f t="shared" si="153"/>
        <v>0</v>
      </c>
      <c r="BY90" s="4438">
        <f t="shared" si="154"/>
        <v>0</v>
      </c>
      <c r="BZ90" s="4438">
        <f t="shared" si="155"/>
        <v>0</v>
      </c>
      <c r="CA90" s="4438">
        <f t="shared" si="156"/>
        <v>0</v>
      </c>
      <c r="CB90" s="4438">
        <f t="shared" si="157"/>
        <v>0</v>
      </c>
      <c r="CC90" s="4438">
        <f t="shared" si="158"/>
        <v>0</v>
      </c>
      <c r="CD90" s="4438">
        <f t="shared" si="159"/>
        <v>0</v>
      </c>
      <c r="CE90" s="4438">
        <f t="shared" si="160"/>
        <v>0</v>
      </c>
      <c r="CF90" s="4438">
        <f t="shared" si="161"/>
        <v>0</v>
      </c>
    </row>
    <row r="91" spans="1:84">
      <c r="A91" s="2100"/>
      <c r="B91" s="2101">
        <v>2030503</v>
      </c>
      <c r="C91" s="2101">
        <v>2070118</v>
      </c>
      <c r="D91" s="2102">
        <v>0.1</v>
      </c>
      <c r="E91" s="2103" t="s">
        <v>664</v>
      </c>
      <c r="F91" s="2105">
        <f t="shared" si="120"/>
        <v>0</v>
      </c>
      <c r="G91" s="4074">
        <f t="shared" si="121"/>
        <v>0</v>
      </c>
      <c r="H91" s="2104">
        <f t="shared" si="122"/>
        <v>0</v>
      </c>
      <c r="I91" s="2105">
        <f t="shared" si="123"/>
        <v>0</v>
      </c>
      <c r="J91" s="2106">
        <f t="shared" si="124"/>
        <v>0</v>
      </c>
      <c r="K91" s="2106">
        <f t="shared" si="125"/>
        <v>0</v>
      </c>
      <c r="L91" s="2106">
        <f t="shared" si="126"/>
        <v>0</v>
      </c>
      <c r="M91" s="2107">
        <f t="shared" si="127"/>
        <v>0</v>
      </c>
      <c r="N91" s="2108">
        <f t="shared" si="128"/>
        <v>0</v>
      </c>
      <c r="O91" s="1253"/>
      <c r="P91" s="1255"/>
      <c r="Q91" s="1254"/>
      <c r="R91" s="1255"/>
      <c r="S91" s="1256"/>
      <c r="T91" s="1256"/>
      <c r="U91" s="1256"/>
      <c r="V91" s="1256"/>
      <c r="W91" s="1253"/>
      <c r="X91" s="1255"/>
      <c r="Y91" s="1254"/>
      <c r="Z91" s="1255"/>
      <c r="AA91" s="1256"/>
      <c r="AB91" s="1256"/>
      <c r="AC91" s="1256"/>
      <c r="AD91" s="1256"/>
      <c r="AE91" s="1253"/>
      <c r="AF91" s="1255"/>
      <c r="AG91" s="1254"/>
      <c r="AH91" s="1255"/>
      <c r="AI91" s="1256"/>
      <c r="AJ91" s="1256"/>
      <c r="AK91" s="1256"/>
      <c r="AL91" s="1257"/>
      <c r="AM91" s="1258"/>
      <c r="AN91" s="1259"/>
      <c r="AO91" s="2109" t="s">
        <v>676</v>
      </c>
      <c r="AP91" s="1255"/>
      <c r="AQ91" s="1255"/>
      <c r="AR91" s="1254"/>
      <c r="AS91" s="1255"/>
      <c r="AT91" s="1256"/>
      <c r="AU91" s="1256"/>
      <c r="AV91" s="1256"/>
      <c r="AW91" s="1254"/>
      <c r="AX91" s="2110" t="s">
        <v>371</v>
      </c>
      <c r="AY91" s="4422"/>
      <c r="AZ91" s="4438">
        <f t="shared" si="129"/>
        <v>0</v>
      </c>
      <c r="BA91" s="4438">
        <f t="shared" si="130"/>
        <v>0</v>
      </c>
      <c r="BB91" s="4438">
        <f t="shared" si="131"/>
        <v>0</v>
      </c>
      <c r="BC91" s="4438">
        <f t="shared" si="132"/>
        <v>0</v>
      </c>
      <c r="BD91" s="4438">
        <f t="shared" si="133"/>
        <v>0</v>
      </c>
      <c r="BE91" s="4438">
        <f t="shared" si="134"/>
        <v>0</v>
      </c>
      <c r="BF91" s="4438">
        <f t="shared" si="135"/>
        <v>0</v>
      </c>
      <c r="BG91" s="4438">
        <f t="shared" si="136"/>
        <v>0</v>
      </c>
      <c r="BH91" s="4438">
        <f t="shared" si="137"/>
        <v>0</v>
      </c>
      <c r="BI91" s="4438">
        <f t="shared" si="138"/>
        <v>0</v>
      </c>
      <c r="BJ91" s="4438">
        <f t="shared" si="139"/>
        <v>0</v>
      </c>
      <c r="BK91" s="4438">
        <f t="shared" si="140"/>
        <v>0</v>
      </c>
      <c r="BL91" s="4438">
        <f t="shared" si="141"/>
        <v>0</v>
      </c>
      <c r="BM91" s="4438">
        <f t="shared" si="142"/>
        <v>0</v>
      </c>
      <c r="BN91" s="4438">
        <f t="shared" si="143"/>
        <v>0</v>
      </c>
      <c r="BO91" s="4438">
        <f t="shared" si="144"/>
        <v>0</v>
      </c>
      <c r="BP91" s="4438">
        <f t="shared" si="145"/>
        <v>0</v>
      </c>
      <c r="BQ91" s="4438">
        <f t="shared" si="146"/>
        <v>0</v>
      </c>
      <c r="BR91" s="4438">
        <f t="shared" si="147"/>
        <v>0</v>
      </c>
      <c r="BS91" s="4438">
        <f t="shared" si="148"/>
        <v>0</v>
      </c>
      <c r="BT91" s="4438">
        <f t="shared" si="149"/>
        <v>0</v>
      </c>
      <c r="BU91" s="4438">
        <f t="shared" si="150"/>
        <v>0</v>
      </c>
      <c r="BV91" s="4438">
        <f t="shared" si="151"/>
        <v>0</v>
      </c>
      <c r="BW91" s="4438">
        <f t="shared" si="152"/>
        <v>0</v>
      </c>
      <c r="BX91" s="4438">
        <f t="shared" si="153"/>
        <v>0</v>
      </c>
      <c r="BY91" s="4438">
        <f t="shared" si="154"/>
        <v>0</v>
      </c>
      <c r="BZ91" s="4438">
        <f t="shared" si="155"/>
        <v>0</v>
      </c>
      <c r="CA91" s="4438">
        <f t="shared" si="156"/>
        <v>0</v>
      </c>
      <c r="CB91" s="4438">
        <f t="shared" si="157"/>
        <v>0</v>
      </c>
      <c r="CC91" s="4438">
        <f t="shared" si="158"/>
        <v>0</v>
      </c>
      <c r="CD91" s="4438">
        <f t="shared" si="159"/>
        <v>0</v>
      </c>
      <c r="CE91" s="4438">
        <f t="shared" si="160"/>
        <v>0</v>
      </c>
      <c r="CF91" s="4438">
        <f t="shared" si="161"/>
        <v>0</v>
      </c>
    </row>
    <row r="92" spans="1:84">
      <c r="A92" s="2117"/>
      <c r="B92" s="2101">
        <v>20302</v>
      </c>
      <c r="C92" s="2090">
        <v>2070119</v>
      </c>
      <c r="D92" s="2102">
        <v>0.1</v>
      </c>
      <c r="E92" s="2103" t="s">
        <v>372</v>
      </c>
      <c r="F92" s="2105">
        <f t="shared" si="120"/>
        <v>0</v>
      </c>
      <c r="G92" s="4074">
        <f t="shared" si="121"/>
        <v>0</v>
      </c>
      <c r="H92" s="2104">
        <f t="shared" si="122"/>
        <v>0</v>
      </c>
      <c r="I92" s="2105">
        <f t="shared" si="123"/>
        <v>0</v>
      </c>
      <c r="J92" s="2106">
        <f t="shared" si="124"/>
        <v>0</v>
      </c>
      <c r="K92" s="2106">
        <f t="shared" si="125"/>
        <v>0</v>
      </c>
      <c r="L92" s="2106">
        <f t="shared" si="126"/>
        <v>0</v>
      </c>
      <c r="M92" s="2107">
        <f t="shared" si="127"/>
        <v>0</v>
      </c>
      <c r="N92" s="2108">
        <f t="shared" si="128"/>
        <v>0</v>
      </c>
      <c r="O92" s="1253"/>
      <c r="P92" s="1255"/>
      <c r="Q92" s="1254"/>
      <c r="R92" s="1255"/>
      <c r="S92" s="1256"/>
      <c r="T92" s="1256"/>
      <c r="U92" s="1256"/>
      <c r="V92" s="1256"/>
      <c r="W92" s="1253"/>
      <c r="X92" s="1255"/>
      <c r="Y92" s="1254"/>
      <c r="Z92" s="1255"/>
      <c r="AA92" s="1256"/>
      <c r="AB92" s="1256"/>
      <c r="AC92" s="1256"/>
      <c r="AD92" s="1256"/>
      <c r="AE92" s="1253"/>
      <c r="AF92" s="1255"/>
      <c r="AG92" s="1254"/>
      <c r="AH92" s="1255"/>
      <c r="AI92" s="1256"/>
      <c r="AJ92" s="1256"/>
      <c r="AK92" s="1256"/>
      <c r="AL92" s="1257"/>
      <c r="AM92" s="1258"/>
      <c r="AN92" s="1259"/>
      <c r="AO92" s="2109" t="s">
        <v>676</v>
      </c>
      <c r="AP92" s="1255"/>
      <c r="AQ92" s="1255"/>
      <c r="AR92" s="1254"/>
      <c r="AS92" s="1255"/>
      <c r="AT92" s="1256"/>
      <c r="AU92" s="1256"/>
      <c r="AV92" s="1256"/>
      <c r="AW92" s="1254"/>
      <c r="AX92" s="2110" t="s">
        <v>373</v>
      </c>
      <c r="AY92" s="4422"/>
      <c r="AZ92" s="4438">
        <f t="shared" si="129"/>
        <v>0</v>
      </c>
      <c r="BA92" s="4438">
        <f t="shared" si="130"/>
        <v>0</v>
      </c>
      <c r="BB92" s="4438">
        <f t="shared" si="131"/>
        <v>0</v>
      </c>
      <c r="BC92" s="4438">
        <f t="shared" si="132"/>
        <v>0</v>
      </c>
      <c r="BD92" s="4438">
        <f t="shared" si="133"/>
        <v>0</v>
      </c>
      <c r="BE92" s="4438">
        <f t="shared" si="134"/>
        <v>0</v>
      </c>
      <c r="BF92" s="4438">
        <f t="shared" si="135"/>
        <v>0</v>
      </c>
      <c r="BG92" s="4438">
        <f t="shared" si="136"/>
        <v>0</v>
      </c>
      <c r="BH92" s="4438">
        <f t="shared" si="137"/>
        <v>0</v>
      </c>
      <c r="BI92" s="4438">
        <f t="shared" si="138"/>
        <v>0</v>
      </c>
      <c r="BJ92" s="4438">
        <f t="shared" si="139"/>
        <v>0</v>
      </c>
      <c r="BK92" s="4438">
        <f t="shared" si="140"/>
        <v>0</v>
      </c>
      <c r="BL92" s="4438">
        <f t="shared" si="141"/>
        <v>0</v>
      </c>
      <c r="BM92" s="4438">
        <f t="shared" si="142"/>
        <v>0</v>
      </c>
      <c r="BN92" s="4438">
        <f t="shared" si="143"/>
        <v>0</v>
      </c>
      <c r="BO92" s="4438">
        <f t="shared" si="144"/>
        <v>0</v>
      </c>
      <c r="BP92" s="4438">
        <f t="shared" si="145"/>
        <v>0</v>
      </c>
      <c r="BQ92" s="4438">
        <f t="shared" si="146"/>
        <v>0</v>
      </c>
      <c r="BR92" s="4438">
        <f t="shared" si="147"/>
        <v>0</v>
      </c>
      <c r="BS92" s="4438">
        <f t="shared" si="148"/>
        <v>0</v>
      </c>
      <c r="BT92" s="4438">
        <f t="shared" si="149"/>
        <v>0</v>
      </c>
      <c r="BU92" s="4438">
        <f t="shared" si="150"/>
        <v>0</v>
      </c>
      <c r="BV92" s="4438">
        <f t="shared" si="151"/>
        <v>0</v>
      </c>
      <c r="BW92" s="4438">
        <f t="shared" si="152"/>
        <v>0</v>
      </c>
      <c r="BX92" s="4438">
        <f t="shared" si="153"/>
        <v>0</v>
      </c>
      <c r="BY92" s="4438">
        <f t="shared" si="154"/>
        <v>0</v>
      </c>
      <c r="BZ92" s="4438">
        <f t="shared" si="155"/>
        <v>0</v>
      </c>
      <c r="CA92" s="4438">
        <f t="shared" si="156"/>
        <v>0</v>
      </c>
      <c r="CB92" s="4438">
        <f t="shared" si="157"/>
        <v>0</v>
      </c>
      <c r="CC92" s="4438">
        <f t="shared" si="158"/>
        <v>0</v>
      </c>
      <c r="CD92" s="4438">
        <f t="shared" si="159"/>
        <v>0</v>
      </c>
      <c r="CE92" s="4438">
        <f t="shared" si="160"/>
        <v>0</v>
      </c>
      <c r="CF92" s="4438">
        <f t="shared" si="161"/>
        <v>0</v>
      </c>
    </row>
    <row r="93" spans="1:84" ht="24">
      <c r="A93" s="2117"/>
      <c r="B93" s="2101">
        <v>20502</v>
      </c>
      <c r="C93" s="2101">
        <v>2070120</v>
      </c>
      <c r="D93" s="2102">
        <v>0.1</v>
      </c>
      <c r="E93" s="2103" t="s">
        <v>374</v>
      </c>
      <c r="F93" s="2105">
        <f t="shared" si="120"/>
        <v>0</v>
      </c>
      <c r="G93" s="4074">
        <f t="shared" si="121"/>
        <v>0</v>
      </c>
      <c r="H93" s="2104">
        <f t="shared" si="122"/>
        <v>0</v>
      </c>
      <c r="I93" s="2105">
        <f t="shared" si="123"/>
        <v>0</v>
      </c>
      <c r="J93" s="2106">
        <f t="shared" si="124"/>
        <v>0</v>
      </c>
      <c r="K93" s="2106">
        <f t="shared" si="125"/>
        <v>0</v>
      </c>
      <c r="L93" s="2106">
        <f t="shared" si="126"/>
        <v>0</v>
      </c>
      <c r="M93" s="2107">
        <f t="shared" si="127"/>
        <v>0</v>
      </c>
      <c r="N93" s="2108">
        <f t="shared" si="128"/>
        <v>0</v>
      </c>
      <c r="O93" s="1253"/>
      <c r="P93" s="1255"/>
      <c r="Q93" s="1254"/>
      <c r="R93" s="1255"/>
      <c r="S93" s="1256"/>
      <c r="T93" s="1256"/>
      <c r="U93" s="1256"/>
      <c r="V93" s="1256"/>
      <c r="W93" s="1253"/>
      <c r="X93" s="1255"/>
      <c r="Y93" s="1254"/>
      <c r="Z93" s="1255"/>
      <c r="AA93" s="1256"/>
      <c r="AB93" s="1256"/>
      <c r="AC93" s="1256"/>
      <c r="AD93" s="1256"/>
      <c r="AE93" s="1253"/>
      <c r="AF93" s="1255"/>
      <c r="AG93" s="1254"/>
      <c r="AH93" s="1255"/>
      <c r="AI93" s="1256"/>
      <c r="AJ93" s="1256"/>
      <c r="AK93" s="1256"/>
      <c r="AL93" s="1257"/>
      <c r="AM93" s="1258"/>
      <c r="AN93" s="1260"/>
      <c r="AO93" s="2109" t="s">
        <v>676</v>
      </c>
      <c r="AP93" s="1255"/>
      <c r="AQ93" s="1255"/>
      <c r="AR93" s="1254"/>
      <c r="AS93" s="1255"/>
      <c r="AT93" s="1256"/>
      <c r="AU93" s="1256"/>
      <c r="AV93" s="1256"/>
      <c r="AW93" s="1254"/>
      <c r="AX93" s="2110" t="s">
        <v>375</v>
      </c>
      <c r="AY93" s="4422"/>
      <c r="AZ93" s="4438">
        <f t="shared" si="129"/>
        <v>0</v>
      </c>
      <c r="BA93" s="4438">
        <f t="shared" si="130"/>
        <v>0</v>
      </c>
      <c r="BB93" s="4438">
        <f t="shared" si="131"/>
        <v>0</v>
      </c>
      <c r="BC93" s="4438">
        <f t="shared" si="132"/>
        <v>0</v>
      </c>
      <c r="BD93" s="4438">
        <f t="shared" si="133"/>
        <v>0</v>
      </c>
      <c r="BE93" s="4438">
        <f t="shared" si="134"/>
        <v>0</v>
      </c>
      <c r="BF93" s="4438">
        <f t="shared" si="135"/>
        <v>0</v>
      </c>
      <c r="BG93" s="4438">
        <f t="shared" si="136"/>
        <v>0</v>
      </c>
      <c r="BH93" s="4438">
        <f t="shared" si="137"/>
        <v>0</v>
      </c>
      <c r="BI93" s="4438">
        <f t="shared" si="138"/>
        <v>0</v>
      </c>
      <c r="BJ93" s="4438">
        <f t="shared" si="139"/>
        <v>0</v>
      </c>
      <c r="BK93" s="4438">
        <f t="shared" si="140"/>
        <v>0</v>
      </c>
      <c r="BL93" s="4438">
        <f t="shared" si="141"/>
        <v>0</v>
      </c>
      <c r="BM93" s="4438">
        <f t="shared" si="142"/>
        <v>0</v>
      </c>
      <c r="BN93" s="4438">
        <f t="shared" si="143"/>
        <v>0</v>
      </c>
      <c r="BO93" s="4438">
        <f t="shared" si="144"/>
        <v>0</v>
      </c>
      <c r="BP93" s="4438">
        <f t="shared" si="145"/>
        <v>0</v>
      </c>
      <c r="BQ93" s="4438">
        <f t="shared" si="146"/>
        <v>0</v>
      </c>
      <c r="BR93" s="4438">
        <f t="shared" si="147"/>
        <v>0</v>
      </c>
      <c r="BS93" s="4438">
        <f t="shared" si="148"/>
        <v>0</v>
      </c>
      <c r="BT93" s="4438">
        <f t="shared" si="149"/>
        <v>0</v>
      </c>
      <c r="BU93" s="4438">
        <f t="shared" si="150"/>
        <v>0</v>
      </c>
      <c r="BV93" s="4438">
        <f t="shared" si="151"/>
        <v>0</v>
      </c>
      <c r="BW93" s="4438">
        <f t="shared" si="152"/>
        <v>0</v>
      </c>
      <c r="BX93" s="4438">
        <f t="shared" si="153"/>
        <v>0</v>
      </c>
      <c r="BY93" s="4438">
        <f t="shared" si="154"/>
        <v>0</v>
      </c>
      <c r="BZ93" s="4438">
        <f t="shared" si="155"/>
        <v>0</v>
      </c>
      <c r="CA93" s="4438">
        <f t="shared" si="156"/>
        <v>0</v>
      </c>
      <c r="CB93" s="4438">
        <f t="shared" si="157"/>
        <v>0</v>
      </c>
      <c r="CC93" s="4438">
        <f t="shared" si="158"/>
        <v>0</v>
      </c>
      <c r="CD93" s="4438">
        <f t="shared" si="159"/>
        <v>0</v>
      </c>
      <c r="CE93" s="4438">
        <f t="shared" si="160"/>
        <v>0</v>
      </c>
      <c r="CF93" s="4438">
        <f t="shared" si="161"/>
        <v>0</v>
      </c>
    </row>
    <row r="94" spans="1:84" ht="24">
      <c r="A94" s="2117"/>
      <c r="B94" s="2101">
        <v>20501</v>
      </c>
      <c r="C94" s="2090">
        <v>2070121</v>
      </c>
      <c r="D94" s="2102">
        <v>0.08</v>
      </c>
      <c r="E94" s="2103" t="s">
        <v>376</v>
      </c>
      <c r="F94" s="2105">
        <f t="shared" si="120"/>
        <v>0</v>
      </c>
      <c r="G94" s="4074">
        <f t="shared" si="121"/>
        <v>0</v>
      </c>
      <c r="H94" s="2104">
        <f t="shared" si="122"/>
        <v>0</v>
      </c>
      <c r="I94" s="2105">
        <f t="shared" si="123"/>
        <v>0</v>
      </c>
      <c r="J94" s="2106">
        <f t="shared" si="124"/>
        <v>0</v>
      </c>
      <c r="K94" s="2106">
        <f t="shared" si="125"/>
        <v>0</v>
      </c>
      <c r="L94" s="2106">
        <f t="shared" si="126"/>
        <v>0</v>
      </c>
      <c r="M94" s="2107">
        <f t="shared" si="127"/>
        <v>0</v>
      </c>
      <c r="N94" s="2108">
        <f t="shared" si="128"/>
        <v>0</v>
      </c>
      <c r="O94" s="1253"/>
      <c r="P94" s="1255"/>
      <c r="Q94" s="1254"/>
      <c r="R94" s="1255"/>
      <c r="S94" s="1256"/>
      <c r="T94" s="1256"/>
      <c r="U94" s="1256"/>
      <c r="V94" s="1256"/>
      <c r="W94" s="1253"/>
      <c r="X94" s="1255"/>
      <c r="Y94" s="1254"/>
      <c r="Z94" s="1255"/>
      <c r="AA94" s="1256"/>
      <c r="AB94" s="1256"/>
      <c r="AC94" s="1256"/>
      <c r="AD94" s="1256"/>
      <c r="AE94" s="1253"/>
      <c r="AF94" s="1255"/>
      <c r="AG94" s="1254"/>
      <c r="AH94" s="1255"/>
      <c r="AI94" s="1256"/>
      <c r="AJ94" s="1256"/>
      <c r="AK94" s="1256"/>
      <c r="AL94" s="1257"/>
      <c r="AM94" s="1258"/>
      <c r="AN94" s="1260"/>
      <c r="AO94" s="2109" t="s">
        <v>676</v>
      </c>
      <c r="AP94" s="1255"/>
      <c r="AQ94" s="1255"/>
      <c r="AR94" s="1254"/>
      <c r="AS94" s="1255"/>
      <c r="AT94" s="1256"/>
      <c r="AU94" s="1256"/>
      <c r="AV94" s="1256"/>
      <c r="AW94" s="1254"/>
      <c r="AX94" s="2110" t="s">
        <v>375</v>
      </c>
      <c r="AY94" s="4422"/>
      <c r="AZ94" s="4438">
        <f t="shared" si="129"/>
        <v>0</v>
      </c>
      <c r="BA94" s="4438">
        <f t="shared" si="130"/>
        <v>0</v>
      </c>
      <c r="BB94" s="4438">
        <f t="shared" si="131"/>
        <v>0</v>
      </c>
      <c r="BC94" s="4438">
        <f t="shared" si="132"/>
        <v>0</v>
      </c>
      <c r="BD94" s="4438">
        <f t="shared" si="133"/>
        <v>0</v>
      </c>
      <c r="BE94" s="4438">
        <f t="shared" si="134"/>
        <v>0</v>
      </c>
      <c r="BF94" s="4438">
        <f t="shared" si="135"/>
        <v>0</v>
      </c>
      <c r="BG94" s="4438">
        <f t="shared" si="136"/>
        <v>0</v>
      </c>
      <c r="BH94" s="4438">
        <f t="shared" si="137"/>
        <v>0</v>
      </c>
      <c r="BI94" s="4438">
        <f t="shared" si="138"/>
        <v>0</v>
      </c>
      <c r="BJ94" s="4438">
        <f t="shared" si="139"/>
        <v>0</v>
      </c>
      <c r="BK94" s="4438">
        <f t="shared" si="140"/>
        <v>0</v>
      </c>
      <c r="BL94" s="4438">
        <f t="shared" si="141"/>
        <v>0</v>
      </c>
      <c r="BM94" s="4438">
        <f t="shared" si="142"/>
        <v>0</v>
      </c>
      <c r="BN94" s="4438">
        <f t="shared" si="143"/>
        <v>0</v>
      </c>
      <c r="BO94" s="4438">
        <f t="shared" si="144"/>
        <v>0</v>
      </c>
      <c r="BP94" s="4438">
        <f t="shared" si="145"/>
        <v>0</v>
      </c>
      <c r="BQ94" s="4438">
        <f t="shared" si="146"/>
        <v>0</v>
      </c>
      <c r="BR94" s="4438">
        <f t="shared" si="147"/>
        <v>0</v>
      </c>
      <c r="BS94" s="4438">
        <f t="shared" si="148"/>
        <v>0</v>
      </c>
      <c r="BT94" s="4438">
        <f t="shared" si="149"/>
        <v>0</v>
      </c>
      <c r="BU94" s="4438">
        <f t="shared" si="150"/>
        <v>0</v>
      </c>
      <c r="BV94" s="4438">
        <f t="shared" si="151"/>
        <v>0</v>
      </c>
      <c r="BW94" s="4438">
        <f t="shared" si="152"/>
        <v>0</v>
      </c>
      <c r="BX94" s="4438">
        <f t="shared" si="153"/>
        <v>0</v>
      </c>
      <c r="BY94" s="4438">
        <f t="shared" si="154"/>
        <v>0</v>
      </c>
      <c r="BZ94" s="4438">
        <f t="shared" si="155"/>
        <v>0</v>
      </c>
      <c r="CA94" s="4438">
        <f t="shared" si="156"/>
        <v>0</v>
      </c>
      <c r="CB94" s="4438">
        <f t="shared" si="157"/>
        <v>0</v>
      </c>
      <c r="CC94" s="4438">
        <f t="shared" si="158"/>
        <v>0</v>
      </c>
      <c r="CD94" s="4438">
        <f t="shared" si="159"/>
        <v>0</v>
      </c>
      <c r="CE94" s="4438">
        <f t="shared" si="160"/>
        <v>0</v>
      </c>
      <c r="CF94" s="4438">
        <f t="shared" si="161"/>
        <v>0</v>
      </c>
    </row>
    <row r="95" spans="1:84">
      <c r="A95" s="2117"/>
      <c r="B95" s="2101">
        <v>20503</v>
      </c>
      <c r="C95" s="2101">
        <v>2070122</v>
      </c>
      <c r="D95" s="2102">
        <v>0.1</v>
      </c>
      <c r="E95" s="2112" t="s">
        <v>674</v>
      </c>
      <c r="F95" s="2105">
        <f t="shared" si="120"/>
        <v>0</v>
      </c>
      <c r="G95" s="4074">
        <f t="shared" si="121"/>
        <v>0</v>
      </c>
      <c r="H95" s="2104">
        <f t="shared" si="122"/>
        <v>0</v>
      </c>
      <c r="I95" s="2105">
        <f t="shared" si="123"/>
        <v>0</v>
      </c>
      <c r="J95" s="2106">
        <f t="shared" si="124"/>
        <v>0</v>
      </c>
      <c r="K95" s="2106">
        <f t="shared" si="125"/>
        <v>0</v>
      </c>
      <c r="L95" s="2106">
        <f t="shared" si="126"/>
        <v>0</v>
      </c>
      <c r="M95" s="2107">
        <f t="shared" si="127"/>
        <v>0</v>
      </c>
      <c r="N95" s="2108">
        <f t="shared" si="128"/>
        <v>0</v>
      </c>
      <c r="O95" s="1253"/>
      <c r="P95" s="1255"/>
      <c r="Q95" s="1254"/>
      <c r="R95" s="1255"/>
      <c r="S95" s="1256"/>
      <c r="T95" s="1256"/>
      <c r="U95" s="1256"/>
      <c r="V95" s="1256"/>
      <c r="W95" s="1253"/>
      <c r="X95" s="1255"/>
      <c r="Y95" s="1254"/>
      <c r="Z95" s="1255"/>
      <c r="AA95" s="1256"/>
      <c r="AB95" s="1256"/>
      <c r="AC95" s="1256"/>
      <c r="AD95" s="1256"/>
      <c r="AE95" s="1253"/>
      <c r="AF95" s="1255"/>
      <c r="AG95" s="1254"/>
      <c r="AH95" s="1255"/>
      <c r="AI95" s="1256"/>
      <c r="AJ95" s="1256"/>
      <c r="AK95" s="1256"/>
      <c r="AL95" s="1257"/>
      <c r="AM95" s="1258"/>
      <c r="AN95" s="1259"/>
      <c r="AO95" s="2109" t="s">
        <v>676</v>
      </c>
      <c r="AP95" s="1255"/>
      <c r="AQ95" s="1255"/>
      <c r="AR95" s="1254"/>
      <c r="AS95" s="1255"/>
      <c r="AT95" s="1256"/>
      <c r="AU95" s="1256"/>
      <c r="AV95" s="1256"/>
      <c r="AW95" s="1254"/>
      <c r="AX95" s="2110" t="s">
        <v>375</v>
      </c>
      <c r="AY95" s="4422"/>
      <c r="AZ95" s="4438">
        <f t="shared" si="129"/>
        <v>0</v>
      </c>
      <c r="BA95" s="4438">
        <f t="shared" si="130"/>
        <v>0</v>
      </c>
      <c r="BB95" s="4438">
        <f t="shared" si="131"/>
        <v>0</v>
      </c>
      <c r="BC95" s="4438">
        <f t="shared" si="132"/>
        <v>0</v>
      </c>
      <c r="BD95" s="4438">
        <f t="shared" si="133"/>
        <v>0</v>
      </c>
      <c r="BE95" s="4438">
        <f t="shared" si="134"/>
        <v>0</v>
      </c>
      <c r="BF95" s="4438">
        <f t="shared" si="135"/>
        <v>0</v>
      </c>
      <c r="BG95" s="4438">
        <f t="shared" si="136"/>
        <v>0</v>
      </c>
      <c r="BH95" s="4438">
        <f t="shared" si="137"/>
        <v>0</v>
      </c>
      <c r="BI95" s="4438">
        <f t="shared" si="138"/>
        <v>0</v>
      </c>
      <c r="BJ95" s="4438">
        <f t="shared" si="139"/>
        <v>0</v>
      </c>
      <c r="BK95" s="4438">
        <f t="shared" si="140"/>
        <v>0</v>
      </c>
      <c r="BL95" s="4438">
        <f t="shared" si="141"/>
        <v>0</v>
      </c>
      <c r="BM95" s="4438">
        <f t="shared" si="142"/>
        <v>0</v>
      </c>
      <c r="BN95" s="4438">
        <f t="shared" si="143"/>
        <v>0</v>
      </c>
      <c r="BO95" s="4438">
        <f t="shared" si="144"/>
        <v>0</v>
      </c>
      <c r="BP95" s="4438">
        <f t="shared" si="145"/>
        <v>0</v>
      </c>
      <c r="BQ95" s="4438">
        <f t="shared" si="146"/>
        <v>0</v>
      </c>
      <c r="BR95" s="4438">
        <f t="shared" si="147"/>
        <v>0</v>
      </c>
      <c r="BS95" s="4438">
        <f t="shared" si="148"/>
        <v>0</v>
      </c>
      <c r="BT95" s="4438">
        <f t="shared" si="149"/>
        <v>0</v>
      </c>
      <c r="BU95" s="4438">
        <f t="shared" si="150"/>
        <v>0</v>
      </c>
      <c r="BV95" s="4438">
        <f t="shared" si="151"/>
        <v>0</v>
      </c>
      <c r="BW95" s="4438">
        <f t="shared" si="152"/>
        <v>0</v>
      </c>
      <c r="BX95" s="4438">
        <f t="shared" si="153"/>
        <v>0</v>
      </c>
      <c r="BY95" s="4438">
        <f t="shared" si="154"/>
        <v>0</v>
      </c>
      <c r="BZ95" s="4438">
        <f t="shared" si="155"/>
        <v>0</v>
      </c>
      <c r="CA95" s="4438">
        <f t="shared" si="156"/>
        <v>0</v>
      </c>
      <c r="CB95" s="4438">
        <f t="shared" si="157"/>
        <v>0</v>
      </c>
      <c r="CC95" s="4438">
        <f t="shared" si="158"/>
        <v>0</v>
      </c>
      <c r="CD95" s="4438">
        <f t="shared" si="159"/>
        <v>0</v>
      </c>
      <c r="CE95" s="4438">
        <f t="shared" si="160"/>
        <v>0</v>
      </c>
      <c r="CF95" s="4438">
        <f t="shared" si="161"/>
        <v>0</v>
      </c>
    </row>
    <row r="96" spans="1:84" ht="24">
      <c r="A96" s="2117"/>
      <c r="B96" s="2101">
        <v>20303</v>
      </c>
      <c r="C96" s="2090">
        <v>2070123</v>
      </c>
      <c r="D96" s="2102">
        <v>0.1</v>
      </c>
      <c r="E96" s="2103" t="s">
        <v>377</v>
      </c>
      <c r="F96" s="2105">
        <f t="shared" si="120"/>
        <v>0</v>
      </c>
      <c r="G96" s="4074">
        <f t="shared" si="121"/>
        <v>0</v>
      </c>
      <c r="H96" s="2104">
        <f t="shared" si="122"/>
        <v>0</v>
      </c>
      <c r="I96" s="2105">
        <f t="shared" si="123"/>
        <v>0</v>
      </c>
      <c r="J96" s="2106">
        <f t="shared" si="124"/>
        <v>0</v>
      </c>
      <c r="K96" s="2106">
        <f t="shared" si="125"/>
        <v>0</v>
      </c>
      <c r="L96" s="2106">
        <f t="shared" si="126"/>
        <v>0</v>
      </c>
      <c r="M96" s="2107">
        <f t="shared" si="127"/>
        <v>0</v>
      </c>
      <c r="N96" s="2108">
        <f t="shared" si="128"/>
        <v>0</v>
      </c>
      <c r="O96" s="1253"/>
      <c r="P96" s="1255"/>
      <c r="Q96" s="1254"/>
      <c r="R96" s="1255"/>
      <c r="S96" s="1256"/>
      <c r="T96" s="1256"/>
      <c r="U96" s="1256"/>
      <c r="V96" s="1256"/>
      <c r="W96" s="1253"/>
      <c r="X96" s="1255"/>
      <c r="Y96" s="1254"/>
      <c r="Z96" s="1255"/>
      <c r="AA96" s="1256"/>
      <c r="AB96" s="1256"/>
      <c r="AC96" s="1256"/>
      <c r="AD96" s="1256"/>
      <c r="AE96" s="1253"/>
      <c r="AF96" s="1255"/>
      <c r="AG96" s="1254"/>
      <c r="AH96" s="1255"/>
      <c r="AI96" s="1256"/>
      <c r="AJ96" s="1256"/>
      <c r="AK96" s="1256"/>
      <c r="AL96" s="1257"/>
      <c r="AM96" s="1258"/>
      <c r="AN96" s="1259"/>
      <c r="AO96" s="2109" t="s">
        <v>676</v>
      </c>
      <c r="AP96" s="1255"/>
      <c r="AQ96" s="1255"/>
      <c r="AR96" s="1254"/>
      <c r="AS96" s="1255"/>
      <c r="AT96" s="1256"/>
      <c r="AU96" s="1256"/>
      <c r="AV96" s="1256"/>
      <c r="AW96" s="1254"/>
      <c r="AX96" s="2110" t="s">
        <v>375</v>
      </c>
      <c r="AY96" s="4422"/>
      <c r="AZ96" s="4438">
        <f t="shared" si="129"/>
        <v>0</v>
      </c>
      <c r="BA96" s="4438">
        <f t="shared" si="130"/>
        <v>0</v>
      </c>
      <c r="BB96" s="4438">
        <f t="shared" si="131"/>
        <v>0</v>
      </c>
      <c r="BC96" s="4438">
        <f t="shared" si="132"/>
        <v>0</v>
      </c>
      <c r="BD96" s="4438">
        <f t="shared" si="133"/>
        <v>0</v>
      </c>
      <c r="BE96" s="4438">
        <f t="shared" si="134"/>
        <v>0</v>
      </c>
      <c r="BF96" s="4438">
        <f t="shared" si="135"/>
        <v>0</v>
      </c>
      <c r="BG96" s="4438">
        <f t="shared" si="136"/>
        <v>0</v>
      </c>
      <c r="BH96" s="4438">
        <f t="shared" si="137"/>
        <v>0</v>
      </c>
      <c r="BI96" s="4438">
        <f t="shared" si="138"/>
        <v>0</v>
      </c>
      <c r="BJ96" s="4438">
        <f t="shared" si="139"/>
        <v>0</v>
      </c>
      <c r="BK96" s="4438">
        <f t="shared" si="140"/>
        <v>0</v>
      </c>
      <c r="BL96" s="4438">
        <f t="shared" si="141"/>
        <v>0</v>
      </c>
      <c r="BM96" s="4438">
        <f t="shared" si="142"/>
        <v>0</v>
      </c>
      <c r="BN96" s="4438">
        <f t="shared" si="143"/>
        <v>0</v>
      </c>
      <c r="BO96" s="4438">
        <f t="shared" si="144"/>
        <v>0</v>
      </c>
      <c r="BP96" s="4438">
        <f t="shared" si="145"/>
        <v>0</v>
      </c>
      <c r="BQ96" s="4438">
        <f t="shared" si="146"/>
        <v>0</v>
      </c>
      <c r="BR96" s="4438">
        <f t="shared" si="147"/>
        <v>0</v>
      </c>
      <c r="BS96" s="4438">
        <f t="shared" si="148"/>
        <v>0</v>
      </c>
      <c r="BT96" s="4438">
        <f t="shared" si="149"/>
        <v>0</v>
      </c>
      <c r="BU96" s="4438">
        <f t="shared" si="150"/>
        <v>0</v>
      </c>
      <c r="BV96" s="4438">
        <f t="shared" si="151"/>
        <v>0</v>
      </c>
      <c r="BW96" s="4438">
        <f t="shared" si="152"/>
        <v>0</v>
      </c>
      <c r="BX96" s="4438">
        <f t="shared" si="153"/>
        <v>0</v>
      </c>
      <c r="BY96" s="4438">
        <f t="shared" si="154"/>
        <v>0</v>
      </c>
      <c r="BZ96" s="4438">
        <f t="shared" si="155"/>
        <v>0</v>
      </c>
      <c r="CA96" s="4438">
        <f t="shared" si="156"/>
        <v>0</v>
      </c>
      <c r="CB96" s="4438">
        <f t="shared" si="157"/>
        <v>0</v>
      </c>
      <c r="CC96" s="4438">
        <f t="shared" si="158"/>
        <v>0</v>
      </c>
      <c r="CD96" s="4438">
        <f t="shared" si="159"/>
        <v>0</v>
      </c>
      <c r="CE96" s="4438">
        <f t="shared" si="160"/>
        <v>0</v>
      </c>
      <c r="CF96" s="4438">
        <f t="shared" si="161"/>
        <v>0</v>
      </c>
    </row>
    <row r="97" spans="1:84" ht="24.75" thickBot="1">
      <c r="A97" s="3798"/>
      <c r="B97" s="3799">
        <v>20306</v>
      </c>
      <c r="C97" s="3799">
        <v>2070124</v>
      </c>
      <c r="D97" s="3800">
        <v>0.1</v>
      </c>
      <c r="E97" s="3801" t="s">
        <v>712</v>
      </c>
      <c r="F97" s="3803">
        <f t="shared" si="120"/>
        <v>0</v>
      </c>
      <c r="G97" s="4075">
        <f t="shared" si="121"/>
        <v>0</v>
      </c>
      <c r="H97" s="3802">
        <f t="shared" si="122"/>
        <v>0</v>
      </c>
      <c r="I97" s="3803">
        <f t="shared" si="123"/>
        <v>0</v>
      </c>
      <c r="J97" s="3804">
        <f t="shared" si="124"/>
        <v>0</v>
      </c>
      <c r="K97" s="3804">
        <f t="shared" si="125"/>
        <v>0</v>
      </c>
      <c r="L97" s="3804">
        <f t="shared" si="126"/>
        <v>0</v>
      </c>
      <c r="M97" s="3805">
        <f t="shared" si="127"/>
        <v>0</v>
      </c>
      <c r="N97" s="2122">
        <f t="shared" si="128"/>
        <v>0</v>
      </c>
      <c r="O97" s="1275"/>
      <c r="P97" s="1277"/>
      <c r="Q97" s="1276"/>
      <c r="R97" s="1277"/>
      <c r="S97" s="3806"/>
      <c r="T97" s="3806"/>
      <c r="U97" s="3806"/>
      <c r="V97" s="3806"/>
      <c r="W97" s="1275"/>
      <c r="X97" s="1277"/>
      <c r="Y97" s="1276"/>
      <c r="Z97" s="1277"/>
      <c r="AA97" s="3806"/>
      <c r="AB97" s="3806"/>
      <c r="AC97" s="3806"/>
      <c r="AD97" s="3806"/>
      <c r="AE97" s="1275"/>
      <c r="AF97" s="1277"/>
      <c r="AG97" s="1276"/>
      <c r="AH97" s="1277"/>
      <c r="AI97" s="3806"/>
      <c r="AJ97" s="3806"/>
      <c r="AK97" s="3806"/>
      <c r="AL97" s="3807"/>
      <c r="AM97" s="1273"/>
      <c r="AN97" s="3808"/>
      <c r="AO97" s="2176" t="s">
        <v>676</v>
      </c>
      <c r="AP97" s="1277"/>
      <c r="AQ97" s="1277"/>
      <c r="AR97" s="1276"/>
      <c r="AS97" s="1277"/>
      <c r="AT97" s="3806"/>
      <c r="AU97" s="3806"/>
      <c r="AV97" s="3806"/>
      <c r="AW97" s="1276"/>
      <c r="AX97" s="3809" t="s">
        <v>666</v>
      </c>
      <c r="AY97" s="4422"/>
      <c r="AZ97" s="4438">
        <f t="shared" si="129"/>
        <v>0</v>
      </c>
      <c r="BA97" s="4438">
        <f t="shared" si="130"/>
        <v>0</v>
      </c>
      <c r="BB97" s="4438">
        <f t="shared" si="131"/>
        <v>0</v>
      </c>
      <c r="BC97" s="4438">
        <f t="shared" si="132"/>
        <v>0</v>
      </c>
      <c r="BD97" s="4438">
        <f t="shared" si="133"/>
        <v>0</v>
      </c>
      <c r="BE97" s="4438">
        <f t="shared" si="134"/>
        <v>0</v>
      </c>
      <c r="BF97" s="4438">
        <f t="shared" si="135"/>
        <v>0</v>
      </c>
      <c r="BG97" s="4438">
        <f t="shared" si="136"/>
        <v>0</v>
      </c>
      <c r="BH97" s="4438">
        <f t="shared" si="137"/>
        <v>0</v>
      </c>
      <c r="BI97" s="4438">
        <f t="shared" si="138"/>
        <v>0</v>
      </c>
      <c r="BJ97" s="4438">
        <f t="shared" si="139"/>
        <v>0</v>
      </c>
      <c r="BK97" s="4438">
        <f t="shared" si="140"/>
        <v>0</v>
      </c>
      <c r="BL97" s="4438">
        <f t="shared" si="141"/>
        <v>0</v>
      </c>
      <c r="BM97" s="4438">
        <f t="shared" si="142"/>
        <v>0</v>
      </c>
      <c r="BN97" s="4438">
        <f t="shared" si="143"/>
        <v>0</v>
      </c>
      <c r="BO97" s="4438">
        <f t="shared" si="144"/>
        <v>0</v>
      </c>
      <c r="BP97" s="4438">
        <f t="shared" si="145"/>
        <v>0</v>
      </c>
      <c r="BQ97" s="4438">
        <f t="shared" si="146"/>
        <v>0</v>
      </c>
      <c r="BR97" s="4438">
        <f t="shared" si="147"/>
        <v>0</v>
      </c>
      <c r="BS97" s="4438">
        <f t="shared" si="148"/>
        <v>0</v>
      </c>
      <c r="BT97" s="4438">
        <f t="shared" si="149"/>
        <v>0</v>
      </c>
      <c r="BU97" s="4438">
        <f t="shared" si="150"/>
        <v>0</v>
      </c>
      <c r="BV97" s="4438">
        <f t="shared" si="151"/>
        <v>0</v>
      </c>
      <c r="BW97" s="4438">
        <f t="shared" si="152"/>
        <v>0</v>
      </c>
      <c r="BX97" s="4438">
        <f t="shared" si="153"/>
        <v>0</v>
      </c>
      <c r="BY97" s="4438">
        <f t="shared" si="154"/>
        <v>0</v>
      </c>
      <c r="BZ97" s="4438">
        <f t="shared" si="155"/>
        <v>0</v>
      </c>
      <c r="CA97" s="4438">
        <f t="shared" si="156"/>
        <v>0</v>
      </c>
      <c r="CB97" s="4438">
        <f t="shared" si="157"/>
        <v>0</v>
      </c>
      <c r="CC97" s="4438">
        <f t="shared" si="158"/>
        <v>0</v>
      </c>
      <c r="CD97" s="4438">
        <f t="shared" si="159"/>
        <v>0</v>
      </c>
      <c r="CE97" s="4438">
        <f t="shared" si="160"/>
        <v>0</v>
      </c>
      <c r="CF97" s="4438">
        <f t="shared" si="161"/>
        <v>0</v>
      </c>
    </row>
    <row r="98" spans="1:84" ht="16.5" thickBot="1">
      <c r="A98" s="5110" t="s">
        <v>1501</v>
      </c>
      <c r="B98" s="5111"/>
      <c r="C98" s="5111"/>
      <c r="D98" s="5111"/>
      <c r="E98" s="5111"/>
      <c r="F98" s="5111"/>
      <c r="G98" s="5111"/>
      <c r="H98" s="5111"/>
      <c r="I98" s="5111"/>
      <c r="J98" s="5111"/>
      <c r="K98" s="5111"/>
      <c r="L98" s="5111"/>
      <c r="M98" s="5111"/>
      <c r="N98" s="5111"/>
      <c r="O98" s="5111"/>
      <c r="P98" s="5111"/>
      <c r="Q98" s="5111"/>
      <c r="R98" s="5111"/>
      <c r="S98" s="5111"/>
      <c r="T98" s="5111"/>
      <c r="U98" s="5111"/>
      <c r="V98" s="5111"/>
      <c r="W98" s="5111"/>
      <c r="X98" s="5111"/>
      <c r="Y98" s="5111"/>
      <c r="Z98" s="5111"/>
      <c r="AA98" s="5111"/>
      <c r="AB98" s="5111"/>
      <c r="AC98" s="5111"/>
      <c r="AD98" s="5111"/>
      <c r="AE98" s="5111"/>
      <c r="AF98" s="5111"/>
      <c r="AG98" s="5111"/>
      <c r="AH98" s="5111"/>
      <c r="AI98" s="5111"/>
      <c r="AJ98" s="5111"/>
      <c r="AK98" s="5111"/>
      <c r="AL98" s="5111"/>
      <c r="AM98" s="5111"/>
      <c r="AN98" s="5111"/>
      <c r="AO98" s="5111"/>
      <c r="AP98" s="5111"/>
      <c r="AQ98" s="5111"/>
      <c r="AR98" s="5111"/>
      <c r="AS98" s="5111"/>
      <c r="AT98" s="5111"/>
      <c r="AU98" s="5111"/>
      <c r="AV98" s="5111"/>
      <c r="AW98" s="5111"/>
      <c r="AX98" s="5112"/>
      <c r="AY98" s="4422"/>
      <c r="AZ98" s="4438">
        <f t="shared" si="129"/>
        <v>0</v>
      </c>
      <c r="BA98" s="4438">
        <f t="shared" si="130"/>
        <v>0</v>
      </c>
      <c r="BB98" s="4438">
        <f t="shared" si="131"/>
        <v>0</v>
      </c>
      <c r="BC98" s="4438">
        <f t="shared" si="132"/>
        <v>0</v>
      </c>
      <c r="BD98" s="4438">
        <f t="shared" si="133"/>
        <v>0</v>
      </c>
      <c r="BE98" s="4438">
        <f t="shared" si="134"/>
        <v>0</v>
      </c>
      <c r="BF98" s="4438">
        <f t="shared" si="135"/>
        <v>0</v>
      </c>
      <c r="BG98" s="4438">
        <f t="shared" si="136"/>
        <v>0</v>
      </c>
      <c r="BH98" s="4438">
        <f t="shared" si="137"/>
        <v>0</v>
      </c>
      <c r="BI98" s="4438">
        <f t="shared" si="138"/>
        <v>0</v>
      </c>
      <c r="BJ98" s="4438">
        <f t="shared" si="139"/>
        <v>0</v>
      </c>
      <c r="BK98" s="4438">
        <f t="shared" si="140"/>
        <v>0</v>
      </c>
      <c r="BL98" s="4438">
        <f t="shared" si="141"/>
        <v>0</v>
      </c>
      <c r="BM98" s="4438">
        <f t="shared" si="142"/>
        <v>0</v>
      </c>
      <c r="BN98" s="4438">
        <f t="shared" si="143"/>
        <v>0</v>
      </c>
      <c r="BO98" s="4438">
        <f t="shared" si="144"/>
        <v>0</v>
      </c>
      <c r="BP98" s="4438">
        <f t="shared" si="145"/>
        <v>0</v>
      </c>
      <c r="BQ98" s="4438">
        <f t="shared" si="146"/>
        <v>0</v>
      </c>
      <c r="BR98" s="4438">
        <f t="shared" si="147"/>
        <v>0</v>
      </c>
      <c r="BS98" s="4438">
        <f t="shared" si="148"/>
        <v>0</v>
      </c>
      <c r="BT98" s="4438">
        <f t="shared" si="149"/>
        <v>0</v>
      </c>
      <c r="BU98" s="4438">
        <f t="shared" si="150"/>
        <v>0</v>
      </c>
      <c r="BV98" s="4438">
        <f t="shared" si="151"/>
        <v>0</v>
      </c>
      <c r="BW98" s="4438">
        <f t="shared" si="152"/>
        <v>0</v>
      </c>
      <c r="BX98" s="4438">
        <f t="shared" si="153"/>
        <v>0</v>
      </c>
      <c r="BY98" s="4438">
        <f t="shared" si="154"/>
        <v>0</v>
      </c>
      <c r="BZ98" s="4438">
        <f t="shared" si="155"/>
        <v>0</v>
      </c>
      <c r="CA98" s="4438">
        <f t="shared" si="156"/>
        <v>0</v>
      </c>
      <c r="CB98" s="4438">
        <f t="shared" si="157"/>
        <v>0</v>
      </c>
      <c r="CC98" s="4438">
        <f t="shared" si="158"/>
        <v>0</v>
      </c>
      <c r="CD98" s="4438">
        <f t="shared" si="159"/>
        <v>0</v>
      </c>
      <c r="CE98" s="4438">
        <f t="shared" si="160"/>
        <v>0</v>
      </c>
      <c r="CF98" s="4438">
        <f t="shared" si="161"/>
        <v>0</v>
      </c>
    </row>
    <row r="99" spans="1:84" ht="24.75" thickBot="1">
      <c r="A99" s="2068">
        <v>1.7</v>
      </c>
      <c r="B99" s="2068"/>
      <c r="C99" s="2068"/>
      <c r="D99" s="2069"/>
      <c r="E99" s="2070" t="s">
        <v>1092</v>
      </c>
      <c r="F99" s="2071">
        <f>SUM(F100:F123)</f>
        <v>0</v>
      </c>
      <c r="G99" s="4072">
        <f>SUM(G100:G123)</f>
        <v>0</v>
      </c>
      <c r="H99" s="2072">
        <f t="shared" ref="H99:AL99" si="162">SUM(H100:H123)</f>
        <v>0</v>
      </c>
      <c r="I99" s="2073">
        <f t="shared" si="162"/>
        <v>0</v>
      </c>
      <c r="J99" s="2074">
        <f t="shared" si="162"/>
        <v>0</v>
      </c>
      <c r="K99" s="2074">
        <f t="shared" si="162"/>
        <v>0</v>
      </c>
      <c r="L99" s="2074">
        <f t="shared" si="162"/>
        <v>0</v>
      </c>
      <c r="M99" s="2075">
        <f t="shared" si="162"/>
        <v>0</v>
      </c>
      <c r="N99" s="2076">
        <f t="shared" si="162"/>
        <v>0</v>
      </c>
      <c r="O99" s="2077">
        <f t="shared" ref="O99" si="163">SUM(O100:O123)</f>
        <v>0</v>
      </c>
      <c r="P99" s="4088">
        <f t="shared" si="162"/>
        <v>0</v>
      </c>
      <c r="Q99" s="2078">
        <f t="shared" si="162"/>
        <v>0</v>
      </c>
      <c r="R99" s="2079">
        <f t="shared" si="162"/>
        <v>0</v>
      </c>
      <c r="S99" s="2080">
        <f t="shared" si="162"/>
        <v>0</v>
      </c>
      <c r="T99" s="2080">
        <f t="shared" si="162"/>
        <v>0</v>
      </c>
      <c r="U99" s="2080">
        <f t="shared" si="162"/>
        <v>0</v>
      </c>
      <c r="V99" s="2081">
        <f t="shared" si="162"/>
        <v>0</v>
      </c>
      <c r="W99" s="2077">
        <f t="shared" ref="W99" si="164">SUM(W100:W123)</f>
        <v>0</v>
      </c>
      <c r="X99" s="4088">
        <f t="shared" si="162"/>
        <v>0</v>
      </c>
      <c r="Y99" s="2078">
        <f t="shared" si="162"/>
        <v>0</v>
      </c>
      <c r="Z99" s="2079">
        <f t="shared" si="162"/>
        <v>0</v>
      </c>
      <c r="AA99" s="2080">
        <f t="shared" si="162"/>
        <v>0</v>
      </c>
      <c r="AB99" s="2080">
        <f t="shared" si="162"/>
        <v>0</v>
      </c>
      <c r="AC99" s="2080">
        <f t="shared" si="162"/>
        <v>0</v>
      </c>
      <c r="AD99" s="2081">
        <f t="shared" si="162"/>
        <v>0</v>
      </c>
      <c r="AE99" s="2077">
        <f t="shared" ref="AE99" si="165">SUM(AE100:AE123)</f>
        <v>0</v>
      </c>
      <c r="AF99" s="4088">
        <f t="shared" si="162"/>
        <v>0</v>
      </c>
      <c r="AG99" s="2078">
        <f t="shared" si="162"/>
        <v>0</v>
      </c>
      <c r="AH99" s="2079">
        <f>SUM(AH100:AH123)</f>
        <v>0</v>
      </c>
      <c r="AI99" s="2080">
        <f t="shared" si="162"/>
        <v>0</v>
      </c>
      <c r="AJ99" s="2080">
        <f t="shared" si="162"/>
        <v>0</v>
      </c>
      <c r="AK99" s="2080">
        <f t="shared" si="162"/>
        <v>0</v>
      </c>
      <c r="AL99" s="2082">
        <f t="shared" si="162"/>
        <v>0</v>
      </c>
      <c r="AM99" s="2083"/>
      <c r="AN99" s="2084"/>
      <c r="AO99" s="2085"/>
      <c r="AP99" s="2184"/>
      <c r="AQ99" s="2184"/>
      <c r="AR99" s="2185"/>
      <c r="AS99" s="2086"/>
      <c r="AT99" s="2086"/>
      <c r="AU99" s="2086"/>
      <c r="AV99" s="2086"/>
      <c r="AW99" s="2087"/>
      <c r="AX99" s="2088"/>
      <c r="AY99" s="4422"/>
      <c r="AZ99" s="4438">
        <f t="shared" si="129"/>
        <v>0</v>
      </c>
      <c r="BA99" s="4438">
        <f t="shared" si="130"/>
        <v>0</v>
      </c>
      <c r="BB99" s="4438">
        <f t="shared" si="131"/>
        <v>0</v>
      </c>
      <c r="BC99" s="4438">
        <f t="shared" si="132"/>
        <v>0</v>
      </c>
      <c r="BD99" s="4438">
        <f t="shared" si="133"/>
        <v>0</v>
      </c>
      <c r="BE99" s="4438">
        <f t="shared" si="134"/>
        <v>0</v>
      </c>
      <c r="BF99" s="4438">
        <f t="shared" si="135"/>
        <v>0</v>
      </c>
      <c r="BG99" s="4438">
        <f t="shared" si="136"/>
        <v>0</v>
      </c>
      <c r="BH99" s="4438">
        <f t="shared" si="137"/>
        <v>0</v>
      </c>
      <c r="BI99" s="4438">
        <f t="shared" si="138"/>
        <v>0</v>
      </c>
      <c r="BJ99" s="4438">
        <f t="shared" si="139"/>
        <v>0</v>
      </c>
      <c r="BK99" s="4438">
        <f t="shared" si="140"/>
        <v>0</v>
      </c>
      <c r="BL99" s="4438">
        <f t="shared" si="141"/>
        <v>0</v>
      </c>
      <c r="BM99" s="4438">
        <f t="shared" si="142"/>
        <v>0</v>
      </c>
      <c r="BN99" s="4438">
        <f t="shared" si="143"/>
        <v>0</v>
      </c>
      <c r="BO99" s="4438">
        <f t="shared" si="144"/>
        <v>0</v>
      </c>
      <c r="BP99" s="4438">
        <f t="shared" si="145"/>
        <v>0</v>
      </c>
      <c r="BQ99" s="4438">
        <f t="shared" si="146"/>
        <v>0</v>
      </c>
      <c r="BR99" s="4438">
        <f t="shared" si="147"/>
        <v>0</v>
      </c>
      <c r="BS99" s="4438">
        <f t="shared" si="148"/>
        <v>0</v>
      </c>
      <c r="BT99" s="4438">
        <f t="shared" si="149"/>
        <v>0</v>
      </c>
      <c r="BU99" s="4438">
        <f t="shared" si="150"/>
        <v>0</v>
      </c>
      <c r="BV99" s="4438">
        <f t="shared" si="151"/>
        <v>0</v>
      </c>
      <c r="BW99" s="4438">
        <f t="shared" si="152"/>
        <v>0</v>
      </c>
      <c r="BX99" s="4438">
        <f t="shared" si="153"/>
        <v>0</v>
      </c>
      <c r="BY99" s="4438">
        <f t="shared" si="154"/>
        <v>0</v>
      </c>
      <c r="BZ99" s="4438">
        <f t="shared" si="155"/>
        <v>0</v>
      </c>
      <c r="CA99" s="4438">
        <f t="shared" si="156"/>
        <v>0</v>
      </c>
      <c r="CB99" s="4438">
        <f t="shared" si="157"/>
        <v>0</v>
      </c>
      <c r="CC99" s="4438">
        <f t="shared" si="158"/>
        <v>0</v>
      </c>
      <c r="CD99" s="4438">
        <f t="shared" si="159"/>
        <v>0</v>
      </c>
      <c r="CE99" s="4438">
        <f t="shared" si="160"/>
        <v>0</v>
      </c>
      <c r="CF99" s="4438">
        <f t="shared" si="161"/>
        <v>0</v>
      </c>
    </row>
    <row r="100" spans="1:84">
      <c r="A100" s="2089"/>
      <c r="B100" s="2090">
        <v>2040201</v>
      </c>
      <c r="C100" s="2090">
        <v>2070101</v>
      </c>
      <c r="D100" s="2091">
        <v>0.02</v>
      </c>
      <c r="E100" s="2092" t="s">
        <v>738</v>
      </c>
      <c r="F100" s="4076">
        <f t="shared" ref="F100:F123" si="166">O100+W100+AE100</f>
        <v>0</v>
      </c>
      <c r="G100" s="4073">
        <f t="shared" ref="G100:G123" si="167">P100+X100+AF100</f>
        <v>0</v>
      </c>
      <c r="H100" s="2093">
        <f t="shared" ref="H100:H123" si="168">Q100+Y100+AG100</f>
        <v>0</v>
      </c>
      <c r="I100" s="2094">
        <f t="shared" ref="I100:I123" si="169">R100+Z100+AH100</f>
        <v>0</v>
      </c>
      <c r="J100" s="2095">
        <f t="shared" ref="J100:J123" si="170">S100+AA100+AI100</f>
        <v>0</v>
      </c>
      <c r="K100" s="2095">
        <f t="shared" ref="K100:K123" si="171">T100+AB100+AJ100</f>
        <v>0</v>
      </c>
      <c r="L100" s="2095">
        <f t="shared" ref="L100:L123" si="172">U100+AC100+AK100</f>
        <v>0</v>
      </c>
      <c r="M100" s="2096">
        <f t="shared" ref="M100:M123" si="173">V100+AD100+AL100</f>
        <v>0</v>
      </c>
      <c r="N100" s="2097">
        <f>SUM(I100:M100)</f>
        <v>0</v>
      </c>
      <c r="O100" s="1246"/>
      <c r="P100" s="1248"/>
      <c r="Q100" s="1247"/>
      <c r="R100" s="1248"/>
      <c r="S100" s="1249"/>
      <c r="T100" s="1249"/>
      <c r="U100" s="1249"/>
      <c r="V100" s="1249"/>
      <c r="W100" s="1246"/>
      <c r="X100" s="1248"/>
      <c r="Y100" s="1247"/>
      <c r="Z100" s="1248"/>
      <c r="AA100" s="1249"/>
      <c r="AB100" s="1249"/>
      <c r="AC100" s="1249"/>
      <c r="AD100" s="1249"/>
      <c r="AE100" s="1246"/>
      <c r="AF100" s="1248"/>
      <c r="AG100" s="1247"/>
      <c r="AH100" s="1248"/>
      <c r="AI100" s="1249"/>
      <c r="AJ100" s="1249"/>
      <c r="AK100" s="1249"/>
      <c r="AL100" s="1250"/>
      <c r="AM100" s="1251"/>
      <c r="AN100" s="1252"/>
      <c r="AO100" s="2098" t="s">
        <v>676</v>
      </c>
      <c r="AP100" s="1248"/>
      <c r="AQ100" s="1248"/>
      <c r="AR100" s="1247"/>
      <c r="AS100" s="1248"/>
      <c r="AT100" s="1249"/>
      <c r="AU100" s="1249"/>
      <c r="AV100" s="1249"/>
      <c r="AW100" s="1247"/>
      <c r="AX100" s="2099" t="s">
        <v>354</v>
      </c>
      <c r="AY100" s="4422"/>
      <c r="AZ100" s="4438">
        <f t="shared" si="129"/>
        <v>0</v>
      </c>
      <c r="BA100" s="4438">
        <f t="shared" si="130"/>
        <v>0</v>
      </c>
      <c r="BB100" s="4438">
        <f t="shared" si="131"/>
        <v>0</v>
      </c>
      <c r="BC100" s="4438">
        <f t="shared" si="132"/>
        <v>0</v>
      </c>
      <c r="BD100" s="4438">
        <f t="shared" si="133"/>
        <v>0</v>
      </c>
      <c r="BE100" s="4438">
        <f t="shared" si="134"/>
        <v>0</v>
      </c>
      <c r="BF100" s="4438">
        <f t="shared" si="135"/>
        <v>0</v>
      </c>
      <c r="BG100" s="4438">
        <f t="shared" si="136"/>
        <v>0</v>
      </c>
      <c r="BH100" s="4438">
        <f t="shared" si="137"/>
        <v>0</v>
      </c>
      <c r="BI100" s="4438">
        <f t="shared" si="138"/>
        <v>0</v>
      </c>
      <c r="BJ100" s="4438">
        <f t="shared" si="139"/>
        <v>0</v>
      </c>
      <c r="BK100" s="4438">
        <f t="shared" si="140"/>
        <v>0</v>
      </c>
      <c r="BL100" s="4438">
        <f t="shared" si="141"/>
        <v>0</v>
      </c>
      <c r="BM100" s="4438">
        <f t="shared" si="142"/>
        <v>0</v>
      </c>
      <c r="BN100" s="4438">
        <f t="shared" si="143"/>
        <v>0</v>
      </c>
      <c r="BO100" s="4438">
        <f t="shared" si="144"/>
        <v>0</v>
      </c>
      <c r="BP100" s="4438">
        <f t="shared" si="145"/>
        <v>0</v>
      </c>
      <c r="BQ100" s="4438">
        <f t="shared" si="146"/>
        <v>0</v>
      </c>
      <c r="BR100" s="4438">
        <f t="shared" si="147"/>
        <v>0</v>
      </c>
      <c r="BS100" s="4438">
        <f t="shared" si="148"/>
        <v>0</v>
      </c>
      <c r="BT100" s="4438">
        <f t="shared" si="149"/>
        <v>0</v>
      </c>
      <c r="BU100" s="4438">
        <f t="shared" si="150"/>
        <v>0</v>
      </c>
      <c r="BV100" s="4438">
        <f t="shared" si="151"/>
        <v>0</v>
      </c>
      <c r="BW100" s="4438">
        <f t="shared" si="152"/>
        <v>0</v>
      </c>
      <c r="BX100" s="4438">
        <f t="shared" si="153"/>
        <v>0</v>
      </c>
      <c r="BY100" s="4438">
        <f t="shared" si="154"/>
        <v>0</v>
      </c>
      <c r="BZ100" s="4438">
        <f t="shared" si="155"/>
        <v>0</v>
      </c>
      <c r="CA100" s="4438">
        <f t="shared" si="156"/>
        <v>0</v>
      </c>
      <c r="CB100" s="4438">
        <f t="shared" si="157"/>
        <v>0</v>
      </c>
      <c r="CC100" s="4438">
        <f t="shared" si="158"/>
        <v>0</v>
      </c>
      <c r="CD100" s="4438">
        <f t="shared" si="159"/>
        <v>0</v>
      </c>
      <c r="CE100" s="4438">
        <f t="shared" si="160"/>
        <v>0</v>
      </c>
      <c r="CF100" s="4438">
        <f t="shared" si="161"/>
        <v>0</v>
      </c>
    </row>
    <row r="101" spans="1:84">
      <c r="A101" s="2100"/>
      <c r="B101" s="2101">
        <v>2040202</v>
      </c>
      <c r="C101" s="2101">
        <v>2070102</v>
      </c>
      <c r="D101" s="2102">
        <v>0.02</v>
      </c>
      <c r="E101" s="2103" t="s">
        <v>741</v>
      </c>
      <c r="F101" s="2105">
        <f t="shared" si="166"/>
        <v>0</v>
      </c>
      <c r="G101" s="4074">
        <f t="shared" si="167"/>
        <v>0</v>
      </c>
      <c r="H101" s="2104">
        <f t="shared" si="168"/>
        <v>0</v>
      </c>
      <c r="I101" s="2105">
        <f t="shared" si="169"/>
        <v>0</v>
      </c>
      <c r="J101" s="2106">
        <f t="shared" si="170"/>
        <v>0</v>
      </c>
      <c r="K101" s="2106">
        <f t="shared" si="171"/>
        <v>0</v>
      </c>
      <c r="L101" s="2106">
        <f t="shared" si="172"/>
        <v>0</v>
      </c>
      <c r="M101" s="2107">
        <f t="shared" si="173"/>
        <v>0</v>
      </c>
      <c r="N101" s="2108">
        <f t="shared" ref="N101:N122" si="174">SUM(I101:M101)</f>
        <v>0</v>
      </c>
      <c r="O101" s="1253"/>
      <c r="P101" s="1255"/>
      <c r="Q101" s="1254"/>
      <c r="R101" s="1255"/>
      <c r="S101" s="1256"/>
      <c r="T101" s="1256"/>
      <c r="U101" s="1256"/>
      <c r="V101" s="1256"/>
      <c r="W101" s="1253"/>
      <c r="X101" s="1255"/>
      <c r="Y101" s="1254"/>
      <c r="Z101" s="1255"/>
      <c r="AA101" s="1256"/>
      <c r="AB101" s="1256"/>
      <c r="AC101" s="1256"/>
      <c r="AD101" s="1256"/>
      <c r="AE101" s="1253"/>
      <c r="AF101" s="1255"/>
      <c r="AG101" s="1254"/>
      <c r="AH101" s="1255"/>
      <c r="AI101" s="1256"/>
      <c r="AJ101" s="1256"/>
      <c r="AK101" s="1256"/>
      <c r="AL101" s="1257"/>
      <c r="AM101" s="1258"/>
      <c r="AN101" s="1259"/>
      <c r="AO101" s="2109" t="s">
        <v>676</v>
      </c>
      <c r="AP101" s="1255"/>
      <c r="AQ101" s="1255"/>
      <c r="AR101" s="1254"/>
      <c r="AS101" s="1255"/>
      <c r="AT101" s="1256"/>
      <c r="AU101" s="1256"/>
      <c r="AV101" s="1256"/>
      <c r="AW101" s="1254"/>
      <c r="AX101" s="2110" t="s">
        <v>354</v>
      </c>
      <c r="AY101" s="4422"/>
      <c r="AZ101" s="4438">
        <f t="shared" si="129"/>
        <v>0</v>
      </c>
      <c r="BA101" s="4438">
        <f t="shared" si="130"/>
        <v>0</v>
      </c>
      <c r="BB101" s="4438">
        <f t="shared" si="131"/>
        <v>0</v>
      </c>
      <c r="BC101" s="4438">
        <f t="shared" si="132"/>
        <v>0</v>
      </c>
      <c r="BD101" s="4438">
        <f t="shared" si="133"/>
        <v>0</v>
      </c>
      <c r="BE101" s="4438">
        <f t="shared" si="134"/>
        <v>0</v>
      </c>
      <c r="BF101" s="4438">
        <f t="shared" si="135"/>
        <v>0</v>
      </c>
      <c r="BG101" s="4438">
        <f t="shared" si="136"/>
        <v>0</v>
      </c>
      <c r="BH101" s="4438">
        <f t="shared" si="137"/>
        <v>0</v>
      </c>
      <c r="BI101" s="4438">
        <f t="shared" si="138"/>
        <v>0</v>
      </c>
      <c r="BJ101" s="4438">
        <f t="shared" si="139"/>
        <v>0</v>
      </c>
      <c r="BK101" s="4438">
        <f t="shared" si="140"/>
        <v>0</v>
      </c>
      <c r="BL101" s="4438">
        <f t="shared" si="141"/>
        <v>0</v>
      </c>
      <c r="BM101" s="4438">
        <f t="shared" si="142"/>
        <v>0</v>
      </c>
      <c r="BN101" s="4438">
        <f t="shared" si="143"/>
        <v>0</v>
      </c>
      <c r="BO101" s="4438">
        <f t="shared" si="144"/>
        <v>0</v>
      </c>
      <c r="BP101" s="4438">
        <f t="shared" si="145"/>
        <v>0</v>
      </c>
      <c r="BQ101" s="4438">
        <f t="shared" si="146"/>
        <v>0</v>
      </c>
      <c r="BR101" s="4438">
        <f t="shared" si="147"/>
        <v>0</v>
      </c>
      <c r="BS101" s="4438">
        <f t="shared" si="148"/>
        <v>0</v>
      </c>
      <c r="BT101" s="4438">
        <f t="shared" si="149"/>
        <v>0</v>
      </c>
      <c r="BU101" s="4438">
        <f t="shared" si="150"/>
        <v>0</v>
      </c>
      <c r="BV101" s="4438">
        <f t="shared" si="151"/>
        <v>0</v>
      </c>
      <c r="BW101" s="4438">
        <f t="shared" si="152"/>
        <v>0</v>
      </c>
      <c r="BX101" s="4438">
        <f t="shared" si="153"/>
        <v>0</v>
      </c>
      <c r="BY101" s="4438">
        <f t="shared" si="154"/>
        <v>0</v>
      </c>
      <c r="BZ101" s="4438">
        <f t="shared" si="155"/>
        <v>0</v>
      </c>
      <c r="CA101" s="4438">
        <f t="shared" si="156"/>
        <v>0</v>
      </c>
      <c r="CB101" s="4438">
        <f t="shared" si="157"/>
        <v>0</v>
      </c>
      <c r="CC101" s="4438">
        <f t="shared" si="158"/>
        <v>0</v>
      </c>
      <c r="CD101" s="4438">
        <f t="shared" si="159"/>
        <v>0</v>
      </c>
      <c r="CE101" s="4438">
        <f t="shared" si="160"/>
        <v>0</v>
      </c>
      <c r="CF101" s="4438">
        <f t="shared" si="161"/>
        <v>0</v>
      </c>
    </row>
    <row r="102" spans="1:84">
      <c r="A102" s="2100"/>
      <c r="B102" s="2101">
        <v>2040204</v>
      </c>
      <c r="C102" s="2090">
        <v>2070103</v>
      </c>
      <c r="D102" s="2102">
        <v>0.02</v>
      </c>
      <c r="E102" s="2103" t="s">
        <v>355</v>
      </c>
      <c r="F102" s="2105">
        <f t="shared" si="166"/>
        <v>0</v>
      </c>
      <c r="G102" s="4074">
        <f t="shared" si="167"/>
        <v>0</v>
      </c>
      <c r="H102" s="2104">
        <f t="shared" si="168"/>
        <v>0</v>
      </c>
      <c r="I102" s="2105">
        <f t="shared" si="169"/>
        <v>0</v>
      </c>
      <c r="J102" s="2106">
        <f t="shared" si="170"/>
        <v>0</v>
      </c>
      <c r="K102" s="2106">
        <f t="shared" si="171"/>
        <v>0</v>
      </c>
      <c r="L102" s="2106">
        <f t="shared" si="172"/>
        <v>0</v>
      </c>
      <c r="M102" s="2107">
        <f t="shared" si="173"/>
        <v>0</v>
      </c>
      <c r="N102" s="2108">
        <f t="shared" si="174"/>
        <v>0</v>
      </c>
      <c r="O102" s="1253"/>
      <c r="P102" s="1255"/>
      <c r="Q102" s="1254"/>
      <c r="R102" s="1255"/>
      <c r="S102" s="1256"/>
      <c r="T102" s="1256"/>
      <c r="U102" s="1256"/>
      <c r="V102" s="1256"/>
      <c r="W102" s="1253"/>
      <c r="X102" s="1255"/>
      <c r="Y102" s="1254"/>
      <c r="Z102" s="1255"/>
      <c r="AA102" s="1256"/>
      <c r="AB102" s="1256"/>
      <c r="AC102" s="1256"/>
      <c r="AD102" s="1256"/>
      <c r="AE102" s="1253"/>
      <c r="AF102" s="1255"/>
      <c r="AG102" s="1254"/>
      <c r="AH102" s="1255"/>
      <c r="AI102" s="1256"/>
      <c r="AJ102" s="1256"/>
      <c r="AK102" s="1256"/>
      <c r="AL102" s="1257"/>
      <c r="AM102" s="1258"/>
      <c r="AN102" s="1259"/>
      <c r="AO102" s="2109" t="s">
        <v>676</v>
      </c>
      <c r="AP102" s="1255"/>
      <c r="AQ102" s="1255"/>
      <c r="AR102" s="1254"/>
      <c r="AS102" s="1255"/>
      <c r="AT102" s="1256"/>
      <c r="AU102" s="1256"/>
      <c r="AV102" s="1256"/>
      <c r="AW102" s="1254"/>
      <c r="AX102" s="2110" t="s">
        <v>354</v>
      </c>
      <c r="AY102" s="4422"/>
      <c r="AZ102" s="4438">
        <f t="shared" si="129"/>
        <v>0</v>
      </c>
      <c r="BA102" s="4438">
        <f t="shared" si="130"/>
        <v>0</v>
      </c>
      <c r="BB102" s="4438">
        <f t="shared" si="131"/>
        <v>0</v>
      </c>
      <c r="BC102" s="4438">
        <f t="shared" si="132"/>
        <v>0</v>
      </c>
      <c r="BD102" s="4438">
        <f t="shared" si="133"/>
        <v>0</v>
      </c>
      <c r="BE102" s="4438">
        <f t="shared" si="134"/>
        <v>0</v>
      </c>
      <c r="BF102" s="4438">
        <f t="shared" si="135"/>
        <v>0</v>
      </c>
      <c r="BG102" s="4438">
        <f t="shared" si="136"/>
        <v>0</v>
      </c>
      <c r="BH102" s="4438">
        <f t="shared" si="137"/>
        <v>0</v>
      </c>
      <c r="BI102" s="4438">
        <f t="shared" si="138"/>
        <v>0</v>
      </c>
      <c r="BJ102" s="4438">
        <f t="shared" si="139"/>
        <v>0</v>
      </c>
      <c r="BK102" s="4438">
        <f t="shared" si="140"/>
        <v>0</v>
      </c>
      <c r="BL102" s="4438">
        <f t="shared" si="141"/>
        <v>0</v>
      </c>
      <c r="BM102" s="4438">
        <f t="shared" si="142"/>
        <v>0</v>
      </c>
      <c r="BN102" s="4438">
        <f t="shared" si="143"/>
        <v>0</v>
      </c>
      <c r="BO102" s="4438">
        <f t="shared" si="144"/>
        <v>0</v>
      </c>
      <c r="BP102" s="4438">
        <f t="shared" si="145"/>
        <v>0</v>
      </c>
      <c r="BQ102" s="4438">
        <f t="shared" si="146"/>
        <v>0</v>
      </c>
      <c r="BR102" s="4438">
        <f t="shared" si="147"/>
        <v>0</v>
      </c>
      <c r="BS102" s="4438">
        <f t="shared" si="148"/>
        <v>0</v>
      </c>
      <c r="BT102" s="4438">
        <f t="shared" si="149"/>
        <v>0</v>
      </c>
      <c r="BU102" s="4438">
        <f t="shared" si="150"/>
        <v>0</v>
      </c>
      <c r="BV102" s="4438">
        <f t="shared" si="151"/>
        <v>0</v>
      </c>
      <c r="BW102" s="4438">
        <f t="shared" si="152"/>
        <v>0</v>
      </c>
      <c r="BX102" s="4438">
        <f t="shared" si="153"/>
        <v>0</v>
      </c>
      <c r="BY102" s="4438">
        <f t="shared" si="154"/>
        <v>0</v>
      </c>
      <c r="BZ102" s="4438">
        <f t="shared" si="155"/>
        <v>0</v>
      </c>
      <c r="CA102" s="4438">
        <f t="shared" si="156"/>
        <v>0</v>
      </c>
      <c r="CB102" s="4438">
        <f t="shared" si="157"/>
        <v>0</v>
      </c>
      <c r="CC102" s="4438">
        <f t="shared" si="158"/>
        <v>0</v>
      </c>
      <c r="CD102" s="4438">
        <f t="shared" si="159"/>
        <v>0</v>
      </c>
      <c r="CE102" s="4438">
        <f t="shared" si="160"/>
        <v>0</v>
      </c>
      <c r="CF102" s="4438">
        <f t="shared" si="161"/>
        <v>0</v>
      </c>
    </row>
    <row r="103" spans="1:84">
      <c r="A103" s="2100"/>
      <c r="B103" s="2101">
        <v>20202</v>
      </c>
      <c r="C103" s="2101">
        <v>2070104</v>
      </c>
      <c r="D103" s="2111">
        <v>0.03</v>
      </c>
      <c r="E103" s="2103" t="s">
        <v>356</v>
      </c>
      <c r="F103" s="2105">
        <f t="shared" si="166"/>
        <v>0</v>
      </c>
      <c r="G103" s="4074">
        <f t="shared" si="167"/>
        <v>0</v>
      </c>
      <c r="H103" s="2104">
        <f t="shared" si="168"/>
        <v>0</v>
      </c>
      <c r="I103" s="2105">
        <f t="shared" si="169"/>
        <v>0</v>
      </c>
      <c r="J103" s="2106">
        <f t="shared" si="170"/>
        <v>0</v>
      </c>
      <c r="K103" s="2106">
        <f t="shared" si="171"/>
        <v>0</v>
      </c>
      <c r="L103" s="2106">
        <f t="shared" si="172"/>
        <v>0</v>
      </c>
      <c r="M103" s="2107">
        <f t="shared" si="173"/>
        <v>0</v>
      </c>
      <c r="N103" s="2108">
        <f t="shared" si="174"/>
        <v>0</v>
      </c>
      <c r="O103" s="1253"/>
      <c r="P103" s="1255"/>
      <c r="Q103" s="1254"/>
      <c r="R103" s="1255"/>
      <c r="S103" s="1256"/>
      <c r="T103" s="1256"/>
      <c r="U103" s="1256"/>
      <c r="V103" s="1256"/>
      <c r="W103" s="1253"/>
      <c r="X103" s="1255"/>
      <c r="Y103" s="1254"/>
      <c r="Z103" s="1255"/>
      <c r="AA103" s="1256"/>
      <c r="AB103" s="1256"/>
      <c r="AC103" s="1256"/>
      <c r="AD103" s="1256"/>
      <c r="AE103" s="1253"/>
      <c r="AF103" s="1255"/>
      <c r="AG103" s="1254"/>
      <c r="AH103" s="1255"/>
      <c r="AI103" s="1256"/>
      <c r="AJ103" s="1256"/>
      <c r="AK103" s="1256"/>
      <c r="AL103" s="1257"/>
      <c r="AM103" s="1258"/>
      <c r="AN103" s="1259"/>
      <c r="AO103" s="2109" t="s">
        <v>676</v>
      </c>
      <c r="AP103" s="1255"/>
      <c r="AQ103" s="1255"/>
      <c r="AR103" s="1254"/>
      <c r="AS103" s="1255"/>
      <c r="AT103" s="1256"/>
      <c r="AU103" s="1256"/>
      <c r="AV103" s="1256"/>
      <c r="AW103" s="1254"/>
      <c r="AX103" s="2110" t="s">
        <v>354</v>
      </c>
      <c r="AY103" s="4422"/>
      <c r="AZ103" s="4438">
        <f t="shared" si="129"/>
        <v>0</v>
      </c>
      <c r="BA103" s="4438">
        <f t="shared" si="130"/>
        <v>0</v>
      </c>
      <c r="BB103" s="4438">
        <f t="shared" si="131"/>
        <v>0</v>
      </c>
      <c r="BC103" s="4438">
        <f t="shared" si="132"/>
        <v>0</v>
      </c>
      <c r="BD103" s="4438">
        <f t="shared" si="133"/>
        <v>0</v>
      </c>
      <c r="BE103" s="4438">
        <f t="shared" si="134"/>
        <v>0</v>
      </c>
      <c r="BF103" s="4438">
        <f t="shared" si="135"/>
        <v>0</v>
      </c>
      <c r="BG103" s="4438">
        <f t="shared" si="136"/>
        <v>0</v>
      </c>
      <c r="BH103" s="4438">
        <f t="shared" si="137"/>
        <v>0</v>
      </c>
      <c r="BI103" s="4438">
        <f t="shared" si="138"/>
        <v>0</v>
      </c>
      <c r="BJ103" s="4438">
        <f t="shared" si="139"/>
        <v>0</v>
      </c>
      <c r="BK103" s="4438">
        <f t="shared" si="140"/>
        <v>0</v>
      </c>
      <c r="BL103" s="4438">
        <f t="shared" si="141"/>
        <v>0</v>
      </c>
      <c r="BM103" s="4438">
        <f t="shared" si="142"/>
        <v>0</v>
      </c>
      <c r="BN103" s="4438">
        <f t="shared" si="143"/>
        <v>0</v>
      </c>
      <c r="BO103" s="4438">
        <f t="shared" si="144"/>
        <v>0</v>
      </c>
      <c r="BP103" s="4438">
        <f t="shared" si="145"/>
        <v>0</v>
      </c>
      <c r="BQ103" s="4438">
        <f t="shared" si="146"/>
        <v>0</v>
      </c>
      <c r="BR103" s="4438">
        <f t="shared" si="147"/>
        <v>0</v>
      </c>
      <c r="BS103" s="4438">
        <f t="shared" si="148"/>
        <v>0</v>
      </c>
      <c r="BT103" s="4438">
        <f t="shared" si="149"/>
        <v>0</v>
      </c>
      <c r="BU103" s="4438">
        <f t="shared" si="150"/>
        <v>0</v>
      </c>
      <c r="BV103" s="4438">
        <f t="shared" si="151"/>
        <v>0</v>
      </c>
      <c r="BW103" s="4438">
        <f t="shared" si="152"/>
        <v>0</v>
      </c>
      <c r="BX103" s="4438">
        <f t="shared" si="153"/>
        <v>0</v>
      </c>
      <c r="BY103" s="4438">
        <f t="shared" si="154"/>
        <v>0</v>
      </c>
      <c r="BZ103" s="4438">
        <f t="shared" si="155"/>
        <v>0</v>
      </c>
      <c r="CA103" s="4438">
        <f t="shared" si="156"/>
        <v>0</v>
      </c>
      <c r="CB103" s="4438">
        <f t="shared" si="157"/>
        <v>0</v>
      </c>
      <c r="CC103" s="4438">
        <f t="shared" si="158"/>
        <v>0</v>
      </c>
      <c r="CD103" s="4438">
        <f t="shared" si="159"/>
        <v>0</v>
      </c>
      <c r="CE103" s="4438">
        <f t="shared" si="160"/>
        <v>0</v>
      </c>
      <c r="CF103" s="4438">
        <f t="shared" si="161"/>
        <v>0</v>
      </c>
    </row>
    <row r="104" spans="1:84">
      <c r="A104" s="2100"/>
      <c r="B104" s="2101">
        <v>2040205</v>
      </c>
      <c r="C104" s="2090">
        <v>2070105</v>
      </c>
      <c r="D104" s="2102">
        <v>0.02</v>
      </c>
      <c r="E104" s="2103" t="s">
        <v>357</v>
      </c>
      <c r="F104" s="2105">
        <f t="shared" si="166"/>
        <v>0</v>
      </c>
      <c r="G104" s="4074">
        <f t="shared" si="167"/>
        <v>0</v>
      </c>
      <c r="H104" s="2104">
        <f t="shared" si="168"/>
        <v>0</v>
      </c>
      <c r="I104" s="2105">
        <f t="shared" si="169"/>
        <v>0</v>
      </c>
      <c r="J104" s="2106">
        <f t="shared" si="170"/>
        <v>0</v>
      </c>
      <c r="K104" s="2106">
        <f t="shared" si="171"/>
        <v>0</v>
      </c>
      <c r="L104" s="2106">
        <f t="shared" si="172"/>
        <v>0</v>
      </c>
      <c r="M104" s="2107">
        <f t="shared" si="173"/>
        <v>0</v>
      </c>
      <c r="N104" s="2108">
        <f t="shared" si="174"/>
        <v>0</v>
      </c>
      <c r="O104" s="1253"/>
      <c r="P104" s="1255"/>
      <c r="Q104" s="1254"/>
      <c r="R104" s="1255"/>
      <c r="S104" s="1256"/>
      <c r="T104" s="1256"/>
      <c r="U104" s="1256"/>
      <c r="V104" s="1256"/>
      <c r="W104" s="1253"/>
      <c r="X104" s="1255"/>
      <c r="Y104" s="1254"/>
      <c r="Z104" s="1255"/>
      <c r="AA104" s="1256"/>
      <c r="AB104" s="1256"/>
      <c r="AC104" s="1256"/>
      <c r="AD104" s="1256"/>
      <c r="AE104" s="1253"/>
      <c r="AF104" s="1255"/>
      <c r="AG104" s="1254"/>
      <c r="AH104" s="1255"/>
      <c r="AI104" s="1256"/>
      <c r="AJ104" s="1256"/>
      <c r="AK104" s="1256"/>
      <c r="AL104" s="1257"/>
      <c r="AM104" s="1258"/>
      <c r="AN104" s="1260"/>
      <c r="AO104" s="2109" t="s">
        <v>678</v>
      </c>
      <c r="AP104" s="1255"/>
      <c r="AQ104" s="1255"/>
      <c r="AR104" s="1254"/>
      <c r="AS104" s="1255"/>
      <c r="AT104" s="1256"/>
      <c r="AU104" s="1256"/>
      <c r="AV104" s="1256"/>
      <c r="AW104" s="1254"/>
      <c r="AX104" s="2110" t="s">
        <v>358</v>
      </c>
      <c r="AY104" s="4422"/>
      <c r="AZ104" s="4438">
        <f t="shared" si="129"/>
        <v>0</v>
      </c>
      <c r="BA104" s="4438">
        <f t="shared" si="130"/>
        <v>0</v>
      </c>
      <c r="BB104" s="4438">
        <f t="shared" si="131"/>
        <v>0</v>
      </c>
      <c r="BC104" s="4438">
        <f t="shared" si="132"/>
        <v>0</v>
      </c>
      <c r="BD104" s="4438">
        <f t="shared" si="133"/>
        <v>0</v>
      </c>
      <c r="BE104" s="4438">
        <f t="shared" si="134"/>
        <v>0</v>
      </c>
      <c r="BF104" s="4438">
        <f t="shared" si="135"/>
        <v>0</v>
      </c>
      <c r="BG104" s="4438">
        <f t="shared" si="136"/>
        <v>0</v>
      </c>
      <c r="BH104" s="4438">
        <f t="shared" si="137"/>
        <v>0</v>
      </c>
      <c r="BI104" s="4438">
        <f t="shared" si="138"/>
        <v>0</v>
      </c>
      <c r="BJ104" s="4438">
        <f t="shared" si="139"/>
        <v>0</v>
      </c>
      <c r="BK104" s="4438">
        <f t="shared" si="140"/>
        <v>0</v>
      </c>
      <c r="BL104" s="4438">
        <f t="shared" si="141"/>
        <v>0</v>
      </c>
      <c r="BM104" s="4438">
        <f t="shared" si="142"/>
        <v>0</v>
      </c>
      <c r="BN104" s="4438">
        <f t="shared" si="143"/>
        <v>0</v>
      </c>
      <c r="BO104" s="4438">
        <f t="shared" si="144"/>
        <v>0</v>
      </c>
      <c r="BP104" s="4438">
        <f t="shared" si="145"/>
        <v>0</v>
      </c>
      <c r="BQ104" s="4438">
        <f t="shared" si="146"/>
        <v>0</v>
      </c>
      <c r="BR104" s="4438">
        <f t="shared" si="147"/>
        <v>0</v>
      </c>
      <c r="BS104" s="4438">
        <f t="shared" si="148"/>
        <v>0</v>
      </c>
      <c r="BT104" s="4438">
        <f t="shared" si="149"/>
        <v>0</v>
      </c>
      <c r="BU104" s="4438">
        <f t="shared" si="150"/>
        <v>0</v>
      </c>
      <c r="BV104" s="4438">
        <f t="shared" si="151"/>
        <v>0</v>
      </c>
      <c r="BW104" s="4438">
        <f t="shared" si="152"/>
        <v>0</v>
      </c>
      <c r="BX104" s="4438">
        <f t="shared" si="153"/>
        <v>0</v>
      </c>
      <c r="BY104" s="4438">
        <f t="shared" si="154"/>
        <v>0</v>
      </c>
      <c r="BZ104" s="4438">
        <f t="shared" si="155"/>
        <v>0</v>
      </c>
      <c r="CA104" s="4438">
        <f t="shared" si="156"/>
        <v>0</v>
      </c>
      <c r="CB104" s="4438">
        <f t="shared" si="157"/>
        <v>0</v>
      </c>
      <c r="CC104" s="4438">
        <f t="shared" si="158"/>
        <v>0</v>
      </c>
      <c r="CD104" s="4438">
        <f t="shared" si="159"/>
        <v>0</v>
      </c>
      <c r="CE104" s="4438">
        <f t="shared" si="160"/>
        <v>0</v>
      </c>
      <c r="CF104" s="4438">
        <f t="shared" si="161"/>
        <v>0</v>
      </c>
    </row>
    <row r="105" spans="1:84" ht="24">
      <c r="A105" s="2100"/>
      <c r="B105" s="2101">
        <v>2040207</v>
      </c>
      <c r="C105" s="2101">
        <v>2070106</v>
      </c>
      <c r="D105" s="2102">
        <v>0.04</v>
      </c>
      <c r="E105" s="2103" t="s">
        <v>359</v>
      </c>
      <c r="F105" s="2105">
        <f t="shared" si="166"/>
        <v>0</v>
      </c>
      <c r="G105" s="4074">
        <f t="shared" si="167"/>
        <v>0</v>
      </c>
      <c r="H105" s="2104">
        <f t="shared" si="168"/>
        <v>0</v>
      </c>
      <c r="I105" s="2105">
        <f t="shared" si="169"/>
        <v>0</v>
      </c>
      <c r="J105" s="2106">
        <f t="shared" si="170"/>
        <v>0</v>
      </c>
      <c r="K105" s="2106">
        <f t="shared" si="171"/>
        <v>0</v>
      </c>
      <c r="L105" s="2106">
        <f t="shared" si="172"/>
        <v>0</v>
      </c>
      <c r="M105" s="2107">
        <f t="shared" si="173"/>
        <v>0</v>
      </c>
      <c r="N105" s="2108">
        <f t="shared" si="174"/>
        <v>0</v>
      </c>
      <c r="O105" s="1253"/>
      <c r="P105" s="1255"/>
      <c r="Q105" s="1254"/>
      <c r="R105" s="1255"/>
      <c r="S105" s="1256"/>
      <c r="T105" s="1256"/>
      <c r="U105" s="1256"/>
      <c r="V105" s="1256"/>
      <c r="W105" s="1253"/>
      <c r="X105" s="1255"/>
      <c r="Y105" s="1254"/>
      <c r="Z105" s="1255"/>
      <c r="AA105" s="1256"/>
      <c r="AB105" s="1256"/>
      <c r="AC105" s="1256"/>
      <c r="AD105" s="1256"/>
      <c r="AE105" s="1253"/>
      <c r="AF105" s="1255"/>
      <c r="AG105" s="1254"/>
      <c r="AH105" s="1255"/>
      <c r="AI105" s="1256"/>
      <c r="AJ105" s="1256"/>
      <c r="AK105" s="1256"/>
      <c r="AL105" s="1257"/>
      <c r="AM105" s="1258"/>
      <c r="AN105" s="1260"/>
      <c r="AO105" s="2109" t="s">
        <v>676</v>
      </c>
      <c r="AP105" s="1255"/>
      <c r="AQ105" s="1255"/>
      <c r="AR105" s="1254"/>
      <c r="AS105" s="1255"/>
      <c r="AT105" s="1256"/>
      <c r="AU105" s="1256"/>
      <c r="AV105" s="1256"/>
      <c r="AW105" s="1254"/>
      <c r="AX105" s="2110" t="s">
        <v>360</v>
      </c>
      <c r="AY105" s="4422"/>
      <c r="AZ105" s="4438">
        <f t="shared" si="129"/>
        <v>0</v>
      </c>
      <c r="BA105" s="4438">
        <f t="shared" si="130"/>
        <v>0</v>
      </c>
      <c r="BB105" s="4438">
        <f t="shared" si="131"/>
        <v>0</v>
      </c>
      <c r="BC105" s="4438">
        <f t="shared" si="132"/>
        <v>0</v>
      </c>
      <c r="BD105" s="4438">
        <f t="shared" si="133"/>
        <v>0</v>
      </c>
      <c r="BE105" s="4438">
        <f t="shared" si="134"/>
        <v>0</v>
      </c>
      <c r="BF105" s="4438">
        <f t="shared" si="135"/>
        <v>0</v>
      </c>
      <c r="BG105" s="4438">
        <f t="shared" si="136"/>
        <v>0</v>
      </c>
      <c r="BH105" s="4438">
        <f t="shared" si="137"/>
        <v>0</v>
      </c>
      <c r="BI105" s="4438">
        <f t="shared" si="138"/>
        <v>0</v>
      </c>
      <c r="BJ105" s="4438">
        <f t="shared" si="139"/>
        <v>0</v>
      </c>
      <c r="BK105" s="4438">
        <f t="shared" si="140"/>
        <v>0</v>
      </c>
      <c r="BL105" s="4438">
        <f t="shared" si="141"/>
        <v>0</v>
      </c>
      <c r="BM105" s="4438">
        <f t="shared" si="142"/>
        <v>0</v>
      </c>
      <c r="BN105" s="4438">
        <f t="shared" si="143"/>
        <v>0</v>
      </c>
      <c r="BO105" s="4438">
        <f t="shared" si="144"/>
        <v>0</v>
      </c>
      <c r="BP105" s="4438">
        <f t="shared" si="145"/>
        <v>0</v>
      </c>
      <c r="BQ105" s="4438">
        <f t="shared" si="146"/>
        <v>0</v>
      </c>
      <c r="BR105" s="4438">
        <f t="shared" si="147"/>
        <v>0</v>
      </c>
      <c r="BS105" s="4438">
        <f t="shared" si="148"/>
        <v>0</v>
      </c>
      <c r="BT105" s="4438">
        <f t="shared" si="149"/>
        <v>0</v>
      </c>
      <c r="BU105" s="4438">
        <f t="shared" si="150"/>
        <v>0</v>
      </c>
      <c r="BV105" s="4438">
        <f t="shared" si="151"/>
        <v>0</v>
      </c>
      <c r="BW105" s="4438">
        <f t="shared" si="152"/>
        <v>0</v>
      </c>
      <c r="BX105" s="4438">
        <f t="shared" si="153"/>
        <v>0</v>
      </c>
      <c r="BY105" s="4438">
        <f t="shared" si="154"/>
        <v>0</v>
      </c>
      <c r="BZ105" s="4438">
        <f t="shared" si="155"/>
        <v>0</v>
      </c>
      <c r="CA105" s="4438">
        <f t="shared" si="156"/>
        <v>0</v>
      </c>
      <c r="CB105" s="4438">
        <f t="shared" si="157"/>
        <v>0</v>
      </c>
      <c r="CC105" s="4438">
        <f t="shared" si="158"/>
        <v>0</v>
      </c>
      <c r="CD105" s="4438">
        <f t="shared" si="159"/>
        <v>0</v>
      </c>
      <c r="CE105" s="4438">
        <f t="shared" si="160"/>
        <v>0</v>
      </c>
      <c r="CF105" s="4438">
        <f t="shared" si="161"/>
        <v>0</v>
      </c>
    </row>
    <row r="106" spans="1:84">
      <c r="A106" s="2100"/>
      <c r="B106" s="2101">
        <v>2040207</v>
      </c>
      <c r="C106" s="2090">
        <v>2070107</v>
      </c>
      <c r="D106" s="2102">
        <v>0.04</v>
      </c>
      <c r="E106" s="2112" t="s">
        <v>660</v>
      </c>
      <c r="F106" s="2105">
        <f t="shared" si="166"/>
        <v>0</v>
      </c>
      <c r="G106" s="4074">
        <f t="shared" si="167"/>
        <v>0</v>
      </c>
      <c r="H106" s="2104">
        <f t="shared" si="168"/>
        <v>0</v>
      </c>
      <c r="I106" s="2105">
        <f t="shared" si="169"/>
        <v>0</v>
      </c>
      <c r="J106" s="2106">
        <f t="shared" si="170"/>
        <v>0</v>
      </c>
      <c r="K106" s="2106">
        <f t="shared" si="171"/>
        <v>0</v>
      </c>
      <c r="L106" s="2106">
        <f t="shared" si="172"/>
        <v>0</v>
      </c>
      <c r="M106" s="2107">
        <f t="shared" si="173"/>
        <v>0</v>
      </c>
      <c r="N106" s="2108">
        <f t="shared" si="174"/>
        <v>0</v>
      </c>
      <c r="O106" s="1253"/>
      <c r="P106" s="1255"/>
      <c r="Q106" s="1254"/>
      <c r="R106" s="1255"/>
      <c r="S106" s="1256"/>
      <c r="T106" s="1256"/>
      <c r="U106" s="1256"/>
      <c r="V106" s="1256"/>
      <c r="W106" s="1253"/>
      <c r="X106" s="1255"/>
      <c r="Y106" s="1254"/>
      <c r="Z106" s="1255"/>
      <c r="AA106" s="1256"/>
      <c r="AB106" s="1256"/>
      <c r="AC106" s="1256"/>
      <c r="AD106" s="1256"/>
      <c r="AE106" s="1253"/>
      <c r="AF106" s="1255"/>
      <c r="AG106" s="1254"/>
      <c r="AH106" s="1255"/>
      <c r="AI106" s="1256"/>
      <c r="AJ106" s="1256"/>
      <c r="AK106" s="1256"/>
      <c r="AL106" s="1257"/>
      <c r="AM106" s="1258"/>
      <c r="AN106" s="1260"/>
      <c r="AO106" s="2109" t="s">
        <v>676</v>
      </c>
      <c r="AP106" s="1255"/>
      <c r="AQ106" s="1255"/>
      <c r="AR106" s="1254"/>
      <c r="AS106" s="1255"/>
      <c r="AT106" s="1256"/>
      <c r="AU106" s="1256"/>
      <c r="AV106" s="1256"/>
      <c r="AW106" s="1254"/>
      <c r="AX106" s="2110" t="s">
        <v>360</v>
      </c>
      <c r="AY106" s="4422"/>
      <c r="AZ106" s="4438">
        <f t="shared" si="129"/>
        <v>0</v>
      </c>
      <c r="BA106" s="4438">
        <f t="shared" si="130"/>
        <v>0</v>
      </c>
      <c r="BB106" s="4438">
        <f t="shared" si="131"/>
        <v>0</v>
      </c>
      <c r="BC106" s="4438">
        <f t="shared" si="132"/>
        <v>0</v>
      </c>
      <c r="BD106" s="4438">
        <f t="shared" si="133"/>
        <v>0</v>
      </c>
      <c r="BE106" s="4438">
        <f t="shared" si="134"/>
        <v>0</v>
      </c>
      <c r="BF106" s="4438">
        <f t="shared" si="135"/>
        <v>0</v>
      </c>
      <c r="BG106" s="4438">
        <f t="shared" si="136"/>
        <v>0</v>
      </c>
      <c r="BH106" s="4438">
        <f t="shared" si="137"/>
        <v>0</v>
      </c>
      <c r="BI106" s="4438">
        <f t="shared" si="138"/>
        <v>0</v>
      </c>
      <c r="BJ106" s="4438">
        <f t="shared" si="139"/>
        <v>0</v>
      </c>
      <c r="BK106" s="4438">
        <f t="shared" si="140"/>
        <v>0</v>
      </c>
      <c r="BL106" s="4438">
        <f t="shared" si="141"/>
        <v>0</v>
      </c>
      <c r="BM106" s="4438">
        <f t="shared" si="142"/>
        <v>0</v>
      </c>
      <c r="BN106" s="4438">
        <f t="shared" si="143"/>
        <v>0</v>
      </c>
      <c r="BO106" s="4438">
        <f t="shared" si="144"/>
        <v>0</v>
      </c>
      <c r="BP106" s="4438">
        <f t="shared" si="145"/>
        <v>0</v>
      </c>
      <c r="BQ106" s="4438">
        <f t="shared" si="146"/>
        <v>0</v>
      </c>
      <c r="BR106" s="4438">
        <f t="shared" si="147"/>
        <v>0</v>
      </c>
      <c r="BS106" s="4438">
        <f t="shared" si="148"/>
        <v>0</v>
      </c>
      <c r="BT106" s="4438">
        <f t="shared" si="149"/>
        <v>0</v>
      </c>
      <c r="BU106" s="4438">
        <f t="shared" si="150"/>
        <v>0</v>
      </c>
      <c r="BV106" s="4438">
        <f t="shared" si="151"/>
        <v>0</v>
      </c>
      <c r="BW106" s="4438">
        <f t="shared" si="152"/>
        <v>0</v>
      </c>
      <c r="BX106" s="4438">
        <f t="shared" si="153"/>
        <v>0</v>
      </c>
      <c r="BY106" s="4438">
        <f t="shared" si="154"/>
        <v>0</v>
      </c>
      <c r="BZ106" s="4438">
        <f t="shared" si="155"/>
        <v>0</v>
      </c>
      <c r="CA106" s="4438">
        <f t="shared" si="156"/>
        <v>0</v>
      </c>
      <c r="CB106" s="4438">
        <f t="shared" si="157"/>
        <v>0</v>
      </c>
      <c r="CC106" s="4438">
        <f t="shared" si="158"/>
        <v>0</v>
      </c>
      <c r="CD106" s="4438">
        <f t="shared" si="159"/>
        <v>0</v>
      </c>
      <c r="CE106" s="4438">
        <f t="shared" si="160"/>
        <v>0</v>
      </c>
      <c r="CF106" s="4438">
        <f t="shared" si="161"/>
        <v>0</v>
      </c>
    </row>
    <row r="107" spans="1:84">
      <c r="A107" s="2100"/>
      <c r="B107" s="2101">
        <v>2040207</v>
      </c>
      <c r="C107" s="2101">
        <v>2070108</v>
      </c>
      <c r="D107" s="2102">
        <v>0.04</v>
      </c>
      <c r="E107" s="2112" t="s">
        <v>661</v>
      </c>
      <c r="F107" s="2105">
        <f t="shared" si="166"/>
        <v>0</v>
      </c>
      <c r="G107" s="4074">
        <f t="shared" si="167"/>
        <v>0</v>
      </c>
      <c r="H107" s="2104">
        <f t="shared" si="168"/>
        <v>0</v>
      </c>
      <c r="I107" s="2105">
        <f t="shared" si="169"/>
        <v>0</v>
      </c>
      <c r="J107" s="2106">
        <f t="shared" si="170"/>
        <v>0</v>
      </c>
      <c r="K107" s="2106">
        <f t="shared" si="171"/>
        <v>0</v>
      </c>
      <c r="L107" s="2106">
        <f t="shared" si="172"/>
        <v>0</v>
      </c>
      <c r="M107" s="2107">
        <f t="shared" si="173"/>
        <v>0</v>
      </c>
      <c r="N107" s="2108">
        <f t="shared" si="174"/>
        <v>0</v>
      </c>
      <c r="O107" s="1253"/>
      <c r="P107" s="1255"/>
      <c r="Q107" s="1254"/>
      <c r="R107" s="1255"/>
      <c r="S107" s="1256"/>
      <c r="T107" s="1256"/>
      <c r="U107" s="1256"/>
      <c r="V107" s="1256"/>
      <c r="W107" s="1253"/>
      <c r="X107" s="1255"/>
      <c r="Y107" s="1254"/>
      <c r="Z107" s="1255"/>
      <c r="AA107" s="1256"/>
      <c r="AB107" s="1256"/>
      <c r="AC107" s="1256"/>
      <c r="AD107" s="1256"/>
      <c r="AE107" s="1253"/>
      <c r="AF107" s="1255"/>
      <c r="AG107" s="1254"/>
      <c r="AH107" s="1255"/>
      <c r="AI107" s="1256"/>
      <c r="AJ107" s="1256"/>
      <c r="AK107" s="1256"/>
      <c r="AL107" s="1257"/>
      <c r="AM107" s="1258"/>
      <c r="AN107" s="1260"/>
      <c r="AO107" s="2109" t="s">
        <v>676</v>
      </c>
      <c r="AP107" s="1255"/>
      <c r="AQ107" s="1255"/>
      <c r="AR107" s="1254"/>
      <c r="AS107" s="1255"/>
      <c r="AT107" s="1256"/>
      <c r="AU107" s="1256"/>
      <c r="AV107" s="1256"/>
      <c r="AW107" s="1254"/>
      <c r="AX107" s="2110" t="s">
        <v>360</v>
      </c>
      <c r="AY107" s="4422"/>
      <c r="AZ107" s="4438">
        <f t="shared" si="129"/>
        <v>0</v>
      </c>
      <c r="BA107" s="4438">
        <f t="shared" si="130"/>
        <v>0</v>
      </c>
      <c r="BB107" s="4438">
        <f t="shared" si="131"/>
        <v>0</v>
      </c>
      <c r="BC107" s="4438">
        <f t="shared" si="132"/>
        <v>0</v>
      </c>
      <c r="BD107" s="4438">
        <f t="shared" si="133"/>
        <v>0</v>
      </c>
      <c r="BE107" s="4438">
        <f t="shared" si="134"/>
        <v>0</v>
      </c>
      <c r="BF107" s="4438">
        <f t="shared" si="135"/>
        <v>0</v>
      </c>
      <c r="BG107" s="4438">
        <f t="shared" si="136"/>
        <v>0</v>
      </c>
      <c r="BH107" s="4438">
        <f t="shared" si="137"/>
        <v>0</v>
      </c>
      <c r="BI107" s="4438">
        <f t="shared" si="138"/>
        <v>0</v>
      </c>
      <c r="BJ107" s="4438">
        <f t="shared" si="139"/>
        <v>0</v>
      </c>
      <c r="BK107" s="4438">
        <f t="shared" si="140"/>
        <v>0</v>
      </c>
      <c r="BL107" s="4438">
        <f t="shared" si="141"/>
        <v>0</v>
      </c>
      <c r="BM107" s="4438">
        <f t="shared" si="142"/>
        <v>0</v>
      </c>
      <c r="BN107" s="4438">
        <f t="shared" si="143"/>
        <v>0</v>
      </c>
      <c r="BO107" s="4438">
        <f t="shared" si="144"/>
        <v>0</v>
      </c>
      <c r="BP107" s="4438">
        <f t="shared" si="145"/>
        <v>0</v>
      </c>
      <c r="BQ107" s="4438">
        <f t="shared" si="146"/>
        <v>0</v>
      </c>
      <c r="BR107" s="4438">
        <f t="shared" si="147"/>
        <v>0</v>
      </c>
      <c r="BS107" s="4438">
        <f t="shared" si="148"/>
        <v>0</v>
      </c>
      <c r="BT107" s="4438">
        <f t="shared" si="149"/>
        <v>0</v>
      </c>
      <c r="BU107" s="4438">
        <f t="shared" si="150"/>
        <v>0</v>
      </c>
      <c r="BV107" s="4438">
        <f t="shared" si="151"/>
        <v>0</v>
      </c>
      <c r="BW107" s="4438">
        <f t="shared" si="152"/>
        <v>0</v>
      </c>
      <c r="BX107" s="4438">
        <f t="shared" si="153"/>
        <v>0</v>
      </c>
      <c r="BY107" s="4438">
        <f t="shared" si="154"/>
        <v>0</v>
      </c>
      <c r="BZ107" s="4438">
        <f t="shared" si="155"/>
        <v>0</v>
      </c>
      <c r="CA107" s="4438">
        <f t="shared" si="156"/>
        <v>0</v>
      </c>
      <c r="CB107" s="4438">
        <f t="shared" si="157"/>
        <v>0</v>
      </c>
      <c r="CC107" s="4438">
        <f t="shared" si="158"/>
        <v>0</v>
      </c>
      <c r="CD107" s="4438">
        <f t="shared" si="159"/>
        <v>0</v>
      </c>
      <c r="CE107" s="4438">
        <f t="shared" si="160"/>
        <v>0</v>
      </c>
      <c r="CF107" s="4438">
        <f t="shared" si="161"/>
        <v>0</v>
      </c>
    </row>
    <row r="108" spans="1:84">
      <c r="A108" s="2100"/>
      <c r="B108" s="2101">
        <v>2040207</v>
      </c>
      <c r="C108" s="2090">
        <v>2070109</v>
      </c>
      <c r="D108" s="2102">
        <v>0.04</v>
      </c>
      <c r="E108" s="2112" t="s">
        <v>361</v>
      </c>
      <c r="F108" s="2105">
        <f t="shared" si="166"/>
        <v>0</v>
      </c>
      <c r="G108" s="4074">
        <f t="shared" si="167"/>
        <v>0</v>
      </c>
      <c r="H108" s="2104">
        <f t="shared" si="168"/>
        <v>0</v>
      </c>
      <c r="I108" s="2105">
        <f t="shared" si="169"/>
        <v>0</v>
      </c>
      <c r="J108" s="2106">
        <f t="shared" si="170"/>
        <v>0</v>
      </c>
      <c r="K108" s="2106">
        <f t="shared" si="171"/>
        <v>0</v>
      </c>
      <c r="L108" s="2106">
        <f t="shared" si="172"/>
        <v>0</v>
      </c>
      <c r="M108" s="2107">
        <f t="shared" si="173"/>
        <v>0</v>
      </c>
      <c r="N108" s="2108">
        <f t="shared" si="174"/>
        <v>0</v>
      </c>
      <c r="O108" s="1253"/>
      <c r="P108" s="1255"/>
      <c r="Q108" s="1254"/>
      <c r="R108" s="1255"/>
      <c r="S108" s="1256"/>
      <c r="T108" s="1256"/>
      <c r="U108" s="1256"/>
      <c r="V108" s="1256"/>
      <c r="W108" s="1253"/>
      <c r="X108" s="1255"/>
      <c r="Y108" s="1254"/>
      <c r="Z108" s="1255"/>
      <c r="AA108" s="1256"/>
      <c r="AB108" s="1256"/>
      <c r="AC108" s="1256"/>
      <c r="AD108" s="1256"/>
      <c r="AE108" s="1253"/>
      <c r="AF108" s="1255"/>
      <c r="AG108" s="1254"/>
      <c r="AH108" s="1255"/>
      <c r="AI108" s="1256"/>
      <c r="AJ108" s="1256"/>
      <c r="AK108" s="1256"/>
      <c r="AL108" s="1257"/>
      <c r="AM108" s="1258"/>
      <c r="AN108" s="1259"/>
      <c r="AO108" s="2109" t="s">
        <v>676</v>
      </c>
      <c r="AP108" s="1255"/>
      <c r="AQ108" s="1255"/>
      <c r="AR108" s="1254"/>
      <c r="AS108" s="1255"/>
      <c r="AT108" s="1256"/>
      <c r="AU108" s="1256"/>
      <c r="AV108" s="1256"/>
      <c r="AW108" s="1254"/>
      <c r="AX108" s="2110" t="s">
        <v>360</v>
      </c>
      <c r="AY108" s="4422"/>
      <c r="AZ108" s="4438">
        <f t="shared" si="129"/>
        <v>0</v>
      </c>
      <c r="BA108" s="4438">
        <f t="shared" si="130"/>
        <v>0</v>
      </c>
      <c r="BB108" s="4438">
        <f t="shared" si="131"/>
        <v>0</v>
      </c>
      <c r="BC108" s="4438">
        <f t="shared" si="132"/>
        <v>0</v>
      </c>
      <c r="BD108" s="4438">
        <f t="shared" si="133"/>
        <v>0</v>
      </c>
      <c r="BE108" s="4438">
        <f t="shared" si="134"/>
        <v>0</v>
      </c>
      <c r="BF108" s="4438">
        <f t="shared" si="135"/>
        <v>0</v>
      </c>
      <c r="BG108" s="4438">
        <f t="shared" si="136"/>
        <v>0</v>
      </c>
      <c r="BH108" s="4438">
        <f t="shared" si="137"/>
        <v>0</v>
      </c>
      <c r="BI108" s="4438">
        <f t="shared" si="138"/>
        <v>0</v>
      </c>
      <c r="BJ108" s="4438">
        <f t="shared" si="139"/>
        <v>0</v>
      </c>
      <c r="BK108" s="4438">
        <f t="shared" si="140"/>
        <v>0</v>
      </c>
      <c r="BL108" s="4438">
        <f t="shared" si="141"/>
        <v>0</v>
      </c>
      <c r="BM108" s="4438">
        <f t="shared" si="142"/>
        <v>0</v>
      </c>
      <c r="BN108" s="4438">
        <f t="shared" si="143"/>
        <v>0</v>
      </c>
      <c r="BO108" s="4438">
        <f t="shared" si="144"/>
        <v>0</v>
      </c>
      <c r="BP108" s="4438">
        <f t="shared" si="145"/>
        <v>0</v>
      </c>
      <c r="BQ108" s="4438">
        <f t="shared" si="146"/>
        <v>0</v>
      </c>
      <c r="BR108" s="4438">
        <f t="shared" si="147"/>
        <v>0</v>
      </c>
      <c r="BS108" s="4438">
        <f t="shared" si="148"/>
        <v>0</v>
      </c>
      <c r="BT108" s="4438">
        <f t="shared" si="149"/>
        <v>0</v>
      </c>
      <c r="BU108" s="4438">
        <f t="shared" si="150"/>
        <v>0</v>
      </c>
      <c r="BV108" s="4438">
        <f t="shared" si="151"/>
        <v>0</v>
      </c>
      <c r="BW108" s="4438">
        <f t="shared" si="152"/>
        <v>0</v>
      </c>
      <c r="BX108" s="4438">
        <f t="shared" si="153"/>
        <v>0</v>
      </c>
      <c r="BY108" s="4438">
        <f t="shared" si="154"/>
        <v>0</v>
      </c>
      <c r="BZ108" s="4438">
        <f t="shared" si="155"/>
        <v>0</v>
      </c>
      <c r="CA108" s="4438">
        <f t="shared" si="156"/>
        <v>0</v>
      </c>
      <c r="CB108" s="4438">
        <f t="shared" si="157"/>
        <v>0</v>
      </c>
      <c r="CC108" s="4438">
        <f t="shared" si="158"/>
        <v>0</v>
      </c>
      <c r="CD108" s="4438">
        <f t="shared" si="159"/>
        <v>0</v>
      </c>
      <c r="CE108" s="4438">
        <f t="shared" si="160"/>
        <v>0</v>
      </c>
      <c r="CF108" s="4438">
        <f t="shared" si="161"/>
        <v>0</v>
      </c>
    </row>
    <row r="109" spans="1:84">
      <c r="A109" s="2100"/>
      <c r="B109" s="2101">
        <v>2030401</v>
      </c>
      <c r="C109" s="2101">
        <v>2070110</v>
      </c>
      <c r="D109" s="2113">
        <v>0.1</v>
      </c>
      <c r="E109" s="2112" t="s">
        <v>362</v>
      </c>
      <c r="F109" s="2105">
        <f t="shared" si="166"/>
        <v>0</v>
      </c>
      <c r="G109" s="4074">
        <f t="shared" si="167"/>
        <v>0</v>
      </c>
      <c r="H109" s="2104">
        <f t="shared" si="168"/>
        <v>0</v>
      </c>
      <c r="I109" s="2105">
        <f t="shared" si="169"/>
        <v>0</v>
      </c>
      <c r="J109" s="2106">
        <f t="shared" si="170"/>
        <v>0</v>
      </c>
      <c r="K109" s="2106">
        <f t="shared" si="171"/>
        <v>0</v>
      </c>
      <c r="L109" s="2106">
        <f t="shared" si="172"/>
        <v>0</v>
      </c>
      <c r="M109" s="2107">
        <f t="shared" si="173"/>
        <v>0</v>
      </c>
      <c r="N109" s="2108">
        <f t="shared" si="174"/>
        <v>0</v>
      </c>
      <c r="O109" s="1253"/>
      <c r="P109" s="1255"/>
      <c r="Q109" s="1254"/>
      <c r="R109" s="1255"/>
      <c r="S109" s="1256"/>
      <c r="T109" s="1256"/>
      <c r="U109" s="1256"/>
      <c r="V109" s="1256"/>
      <c r="W109" s="1253"/>
      <c r="X109" s="1255"/>
      <c r="Y109" s="1254"/>
      <c r="Z109" s="1255"/>
      <c r="AA109" s="1256"/>
      <c r="AB109" s="1256"/>
      <c r="AC109" s="1256"/>
      <c r="AD109" s="1256"/>
      <c r="AE109" s="1253"/>
      <c r="AF109" s="1255"/>
      <c r="AG109" s="1254"/>
      <c r="AH109" s="1255"/>
      <c r="AI109" s="1256"/>
      <c r="AJ109" s="1256"/>
      <c r="AK109" s="1256"/>
      <c r="AL109" s="1257"/>
      <c r="AM109" s="1258"/>
      <c r="AN109" s="1260"/>
      <c r="AO109" s="2109" t="s">
        <v>676</v>
      </c>
      <c r="AP109" s="1255"/>
      <c r="AQ109" s="1255"/>
      <c r="AR109" s="1254"/>
      <c r="AS109" s="1255"/>
      <c r="AT109" s="1256"/>
      <c r="AU109" s="1256"/>
      <c r="AV109" s="1256"/>
      <c r="AW109" s="1254"/>
      <c r="AX109" s="2110" t="s">
        <v>360</v>
      </c>
      <c r="AY109" s="4422"/>
      <c r="AZ109" s="4438">
        <f t="shared" si="129"/>
        <v>0</v>
      </c>
      <c r="BA109" s="4438">
        <f t="shared" si="130"/>
        <v>0</v>
      </c>
      <c r="BB109" s="4438">
        <f t="shared" si="131"/>
        <v>0</v>
      </c>
      <c r="BC109" s="4438">
        <f t="shared" si="132"/>
        <v>0</v>
      </c>
      <c r="BD109" s="4438">
        <f t="shared" si="133"/>
        <v>0</v>
      </c>
      <c r="BE109" s="4438">
        <f t="shared" si="134"/>
        <v>0</v>
      </c>
      <c r="BF109" s="4438">
        <f t="shared" si="135"/>
        <v>0</v>
      </c>
      <c r="BG109" s="4438">
        <f t="shared" si="136"/>
        <v>0</v>
      </c>
      <c r="BH109" s="4438">
        <f t="shared" si="137"/>
        <v>0</v>
      </c>
      <c r="BI109" s="4438">
        <f t="shared" si="138"/>
        <v>0</v>
      </c>
      <c r="BJ109" s="4438">
        <f t="shared" si="139"/>
        <v>0</v>
      </c>
      <c r="BK109" s="4438">
        <f t="shared" si="140"/>
        <v>0</v>
      </c>
      <c r="BL109" s="4438">
        <f t="shared" si="141"/>
        <v>0</v>
      </c>
      <c r="BM109" s="4438">
        <f t="shared" si="142"/>
        <v>0</v>
      </c>
      <c r="BN109" s="4438">
        <f t="shared" si="143"/>
        <v>0</v>
      </c>
      <c r="BO109" s="4438">
        <f t="shared" si="144"/>
        <v>0</v>
      </c>
      <c r="BP109" s="4438">
        <f t="shared" si="145"/>
        <v>0</v>
      </c>
      <c r="BQ109" s="4438">
        <f t="shared" si="146"/>
        <v>0</v>
      </c>
      <c r="BR109" s="4438">
        <f t="shared" si="147"/>
        <v>0</v>
      </c>
      <c r="BS109" s="4438">
        <f t="shared" si="148"/>
        <v>0</v>
      </c>
      <c r="BT109" s="4438">
        <f t="shared" si="149"/>
        <v>0</v>
      </c>
      <c r="BU109" s="4438">
        <f t="shared" si="150"/>
        <v>0</v>
      </c>
      <c r="BV109" s="4438">
        <f t="shared" si="151"/>
        <v>0</v>
      </c>
      <c r="BW109" s="4438">
        <f t="shared" si="152"/>
        <v>0</v>
      </c>
      <c r="BX109" s="4438">
        <f t="shared" si="153"/>
        <v>0</v>
      </c>
      <c r="BY109" s="4438">
        <f t="shared" si="154"/>
        <v>0</v>
      </c>
      <c r="BZ109" s="4438">
        <f t="shared" si="155"/>
        <v>0</v>
      </c>
      <c r="CA109" s="4438">
        <f t="shared" si="156"/>
        <v>0</v>
      </c>
      <c r="CB109" s="4438">
        <f t="shared" si="157"/>
        <v>0</v>
      </c>
      <c r="CC109" s="4438">
        <f t="shared" si="158"/>
        <v>0</v>
      </c>
      <c r="CD109" s="4438">
        <f t="shared" si="159"/>
        <v>0</v>
      </c>
      <c r="CE109" s="4438">
        <f t="shared" si="160"/>
        <v>0</v>
      </c>
      <c r="CF109" s="4438">
        <f t="shared" si="161"/>
        <v>0</v>
      </c>
    </row>
    <row r="110" spans="1:84" ht="24">
      <c r="A110" s="2100"/>
      <c r="B110" s="2101">
        <v>2040205</v>
      </c>
      <c r="C110" s="2090">
        <v>2070111</v>
      </c>
      <c r="D110" s="2102">
        <v>0.02</v>
      </c>
      <c r="E110" s="2103" t="s">
        <v>363</v>
      </c>
      <c r="F110" s="2105">
        <f t="shared" si="166"/>
        <v>0</v>
      </c>
      <c r="G110" s="4074">
        <f t="shared" si="167"/>
        <v>0</v>
      </c>
      <c r="H110" s="2104">
        <f t="shared" si="168"/>
        <v>0</v>
      </c>
      <c r="I110" s="2105">
        <f t="shared" si="169"/>
        <v>0</v>
      </c>
      <c r="J110" s="2106">
        <f t="shared" si="170"/>
        <v>0</v>
      </c>
      <c r="K110" s="2106">
        <f t="shared" si="171"/>
        <v>0</v>
      </c>
      <c r="L110" s="2106">
        <f t="shared" si="172"/>
        <v>0</v>
      </c>
      <c r="M110" s="2107">
        <f t="shared" si="173"/>
        <v>0</v>
      </c>
      <c r="N110" s="2108">
        <f t="shared" si="174"/>
        <v>0</v>
      </c>
      <c r="O110" s="1253"/>
      <c r="P110" s="1255"/>
      <c r="Q110" s="1254"/>
      <c r="R110" s="1255"/>
      <c r="S110" s="1256"/>
      <c r="T110" s="1256"/>
      <c r="U110" s="1256"/>
      <c r="V110" s="1256"/>
      <c r="W110" s="1253"/>
      <c r="X110" s="1255"/>
      <c r="Y110" s="1254"/>
      <c r="Z110" s="1255"/>
      <c r="AA110" s="1256"/>
      <c r="AB110" s="1256"/>
      <c r="AC110" s="1256"/>
      <c r="AD110" s="1256"/>
      <c r="AE110" s="1253"/>
      <c r="AF110" s="1255"/>
      <c r="AG110" s="1254"/>
      <c r="AH110" s="1255"/>
      <c r="AI110" s="1256"/>
      <c r="AJ110" s="1256"/>
      <c r="AK110" s="1256"/>
      <c r="AL110" s="1257"/>
      <c r="AM110" s="1258"/>
      <c r="AN110" s="1260"/>
      <c r="AO110" s="2109" t="s">
        <v>678</v>
      </c>
      <c r="AP110" s="1255"/>
      <c r="AQ110" s="1255"/>
      <c r="AR110" s="1254"/>
      <c r="AS110" s="1255"/>
      <c r="AT110" s="1256"/>
      <c r="AU110" s="1256"/>
      <c r="AV110" s="1256"/>
      <c r="AW110" s="1254"/>
      <c r="AX110" s="2110" t="s">
        <v>364</v>
      </c>
      <c r="AY110" s="4422"/>
      <c r="AZ110" s="4438">
        <f t="shared" si="129"/>
        <v>0</v>
      </c>
      <c r="BA110" s="4438">
        <f t="shared" si="130"/>
        <v>0</v>
      </c>
      <c r="BB110" s="4438">
        <f t="shared" si="131"/>
        <v>0</v>
      </c>
      <c r="BC110" s="4438">
        <f t="shared" si="132"/>
        <v>0</v>
      </c>
      <c r="BD110" s="4438">
        <f t="shared" si="133"/>
        <v>0</v>
      </c>
      <c r="BE110" s="4438">
        <f t="shared" si="134"/>
        <v>0</v>
      </c>
      <c r="BF110" s="4438">
        <f t="shared" si="135"/>
        <v>0</v>
      </c>
      <c r="BG110" s="4438">
        <f t="shared" si="136"/>
        <v>0</v>
      </c>
      <c r="BH110" s="4438">
        <f t="shared" si="137"/>
        <v>0</v>
      </c>
      <c r="BI110" s="4438">
        <f t="shared" si="138"/>
        <v>0</v>
      </c>
      <c r="BJ110" s="4438">
        <f t="shared" si="139"/>
        <v>0</v>
      </c>
      <c r="BK110" s="4438">
        <f t="shared" si="140"/>
        <v>0</v>
      </c>
      <c r="BL110" s="4438">
        <f t="shared" si="141"/>
        <v>0</v>
      </c>
      <c r="BM110" s="4438">
        <f t="shared" si="142"/>
        <v>0</v>
      </c>
      <c r="BN110" s="4438">
        <f t="shared" si="143"/>
        <v>0</v>
      </c>
      <c r="BO110" s="4438">
        <f t="shared" si="144"/>
        <v>0</v>
      </c>
      <c r="BP110" s="4438">
        <f t="shared" si="145"/>
        <v>0</v>
      </c>
      <c r="BQ110" s="4438">
        <f t="shared" si="146"/>
        <v>0</v>
      </c>
      <c r="BR110" s="4438">
        <f t="shared" si="147"/>
        <v>0</v>
      </c>
      <c r="BS110" s="4438">
        <f t="shared" si="148"/>
        <v>0</v>
      </c>
      <c r="BT110" s="4438">
        <f t="shared" si="149"/>
        <v>0</v>
      </c>
      <c r="BU110" s="4438">
        <f t="shared" si="150"/>
        <v>0</v>
      </c>
      <c r="BV110" s="4438">
        <f t="shared" si="151"/>
        <v>0</v>
      </c>
      <c r="BW110" s="4438">
        <f t="shared" si="152"/>
        <v>0</v>
      </c>
      <c r="BX110" s="4438">
        <f t="shared" si="153"/>
        <v>0</v>
      </c>
      <c r="BY110" s="4438">
        <f t="shared" si="154"/>
        <v>0</v>
      </c>
      <c r="BZ110" s="4438">
        <f t="shared" si="155"/>
        <v>0</v>
      </c>
      <c r="CA110" s="4438">
        <f t="shared" si="156"/>
        <v>0</v>
      </c>
      <c r="CB110" s="4438">
        <f t="shared" si="157"/>
        <v>0</v>
      </c>
      <c r="CC110" s="4438">
        <f t="shared" si="158"/>
        <v>0</v>
      </c>
      <c r="CD110" s="4438">
        <f t="shared" si="159"/>
        <v>0</v>
      </c>
      <c r="CE110" s="4438">
        <f t="shared" si="160"/>
        <v>0</v>
      </c>
      <c r="CF110" s="4438">
        <f t="shared" si="161"/>
        <v>0</v>
      </c>
    </row>
    <row r="111" spans="1:84" ht="24">
      <c r="A111" s="2100"/>
      <c r="B111" s="2101">
        <v>2040205</v>
      </c>
      <c r="C111" s="2101">
        <v>2070112</v>
      </c>
      <c r="D111" s="2102">
        <v>0.02</v>
      </c>
      <c r="E111" s="2103" t="s">
        <v>365</v>
      </c>
      <c r="F111" s="2105">
        <f t="shared" si="166"/>
        <v>0</v>
      </c>
      <c r="G111" s="4074">
        <f t="shared" si="167"/>
        <v>0</v>
      </c>
      <c r="H111" s="2104">
        <f t="shared" si="168"/>
        <v>0</v>
      </c>
      <c r="I111" s="2105">
        <f t="shared" si="169"/>
        <v>0</v>
      </c>
      <c r="J111" s="2106">
        <f t="shared" si="170"/>
        <v>0</v>
      </c>
      <c r="K111" s="2106">
        <f t="shared" si="171"/>
        <v>0</v>
      </c>
      <c r="L111" s="2106">
        <f t="shared" si="172"/>
        <v>0</v>
      </c>
      <c r="M111" s="2107">
        <f t="shared" si="173"/>
        <v>0</v>
      </c>
      <c r="N111" s="2108">
        <f t="shared" si="174"/>
        <v>0</v>
      </c>
      <c r="O111" s="1253"/>
      <c r="P111" s="1255"/>
      <c r="Q111" s="1254"/>
      <c r="R111" s="1255"/>
      <c r="S111" s="1256"/>
      <c r="T111" s="1256"/>
      <c r="U111" s="1256"/>
      <c r="V111" s="1256"/>
      <c r="W111" s="1253"/>
      <c r="X111" s="1255"/>
      <c r="Y111" s="1254"/>
      <c r="Z111" s="1255"/>
      <c r="AA111" s="1256"/>
      <c r="AB111" s="1256"/>
      <c r="AC111" s="1256"/>
      <c r="AD111" s="1256"/>
      <c r="AE111" s="1253"/>
      <c r="AF111" s="1255"/>
      <c r="AG111" s="1254"/>
      <c r="AH111" s="1255"/>
      <c r="AI111" s="1256"/>
      <c r="AJ111" s="1256"/>
      <c r="AK111" s="1256"/>
      <c r="AL111" s="1257"/>
      <c r="AM111" s="1258"/>
      <c r="AN111" s="1260"/>
      <c r="AO111" s="2109" t="s">
        <v>676</v>
      </c>
      <c r="AP111" s="1255"/>
      <c r="AQ111" s="1255"/>
      <c r="AR111" s="1254"/>
      <c r="AS111" s="1255"/>
      <c r="AT111" s="1256"/>
      <c r="AU111" s="1256"/>
      <c r="AV111" s="1256"/>
      <c r="AW111" s="1254"/>
      <c r="AX111" s="2110" t="s">
        <v>366</v>
      </c>
      <c r="AY111" s="4422"/>
      <c r="AZ111" s="4438">
        <f t="shared" si="129"/>
        <v>0</v>
      </c>
      <c r="BA111" s="4438">
        <f t="shared" si="130"/>
        <v>0</v>
      </c>
      <c r="BB111" s="4438">
        <f t="shared" si="131"/>
        <v>0</v>
      </c>
      <c r="BC111" s="4438">
        <f t="shared" si="132"/>
        <v>0</v>
      </c>
      <c r="BD111" s="4438">
        <f t="shared" si="133"/>
        <v>0</v>
      </c>
      <c r="BE111" s="4438">
        <f t="shared" si="134"/>
        <v>0</v>
      </c>
      <c r="BF111" s="4438">
        <f t="shared" si="135"/>
        <v>0</v>
      </c>
      <c r="BG111" s="4438">
        <f t="shared" si="136"/>
        <v>0</v>
      </c>
      <c r="BH111" s="4438">
        <f t="shared" si="137"/>
        <v>0</v>
      </c>
      <c r="BI111" s="4438">
        <f t="shared" si="138"/>
        <v>0</v>
      </c>
      <c r="BJ111" s="4438">
        <f t="shared" si="139"/>
        <v>0</v>
      </c>
      <c r="BK111" s="4438">
        <f t="shared" si="140"/>
        <v>0</v>
      </c>
      <c r="BL111" s="4438">
        <f t="shared" si="141"/>
        <v>0</v>
      </c>
      <c r="BM111" s="4438">
        <f t="shared" si="142"/>
        <v>0</v>
      </c>
      <c r="BN111" s="4438">
        <f t="shared" si="143"/>
        <v>0</v>
      </c>
      <c r="BO111" s="4438">
        <f t="shared" si="144"/>
        <v>0</v>
      </c>
      <c r="BP111" s="4438">
        <f t="shared" si="145"/>
        <v>0</v>
      </c>
      <c r="BQ111" s="4438">
        <f t="shared" si="146"/>
        <v>0</v>
      </c>
      <c r="BR111" s="4438">
        <f t="shared" si="147"/>
        <v>0</v>
      </c>
      <c r="BS111" s="4438">
        <f t="shared" si="148"/>
        <v>0</v>
      </c>
      <c r="BT111" s="4438">
        <f t="shared" si="149"/>
        <v>0</v>
      </c>
      <c r="BU111" s="4438">
        <f t="shared" si="150"/>
        <v>0</v>
      </c>
      <c r="BV111" s="4438">
        <f t="shared" si="151"/>
        <v>0</v>
      </c>
      <c r="BW111" s="4438">
        <f t="shared" si="152"/>
        <v>0</v>
      </c>
      <c r="BX111" s="4438">
        <f t="shared" si="153"/>
        <v>0</v>
      </c>
      <c r="BY111" s="4438">
        <f t="shared" si="154"/>
        <v>0</v>
      </c>
      <c r="BZ111" s="4438">
        <f t="shared" si="155"/>
        <v>0</v>
      </c>
      <c r="CA111" s="4438">
        <f t="shared" si="156"/>
        <v>0</v>
      </c>
      <c r="CB111" s="4438">
        <f t="shared" si="157"/>
        <v>0</v>
      </c>
      <c r="CC111" s="4438">
        <f t="shared" si="158"/>
        <v>0</v>
      </c>
      <c r="CD111" s="4438">
        <f t="shared" si="159"/>
        <v>0</v>
      </c>
      <c r="CE111" s="4438">
        <f t="shared" si="160"/>
        <v>0</v>
      </c>
      <c r="CF111" s="4438">
        <f t="shared" si="161"/>
        <v>0</v>
      </c>
    </row>
    <row r="112" spans="1:84" ht="36">
      <c r="A112" s="2100"/>
      <c r="B112" s="2101">
        <v>2030502</v>
      </c>
      <c r="C112" s="2090">
        <v>2070113</v>
      </c>
      <c r="D112" s="2102">
        <v>0.1</v>
      </c>
      <c r="E112" s="2103" t="s">
        <v>367</v>
      </c>
      <c r="F112" s="2105">
        <f t="shared" si="166"/>
        <v>0</v>
      </c>
      <c r="G112" s="4074">
        <f t="shared" si="167"/>
        <v>0</v>
      </c>
      <c r="H112" s="2104">
        <f t="shared" si="168"/>
        <v>0</v>
      </c>
      <c r="I112" s="2105">
        <f t="shared" si="169"/>
        <v>0</v>
      </c>
      <c r="J112" s="2106">
        <f t="shared" si="170"/>
        <v>0</v>
      </c>
      <c r="K112" s="2106">
        <f t="shared" si="171"/>
        <v>0</v>
      </c>
      <c r="L112" s="2106">
        <f t="shared" si="172"/>
        <v>0</v>
      </c>
      <c r="M112" s="2107">
        <f t="shared" si="173"/>
        <v>0</v>
      </c>
      <c r="N112" s="2108">
        <f t="shared" si="174"/>
        <v>0</v>
      </c>
      <c r="O112" s="1253"/>
      <c r="P112" s="1255"/>
      <c r="Q112" s="1254"/>
      <c r="R112" s="1255"/>
      <c r="S112" s="1256"/>
      <c r="T112" s="1256"/>
      <c r="U112" s="1256"/>
      <c r="V112" s="1256"/>
      <c r="W112" s="1253"/>
      <c r="X112" s="1255"/>
      <c r="Y112" s="1254"/>
      <c r="Z112" s="1255"/>
      <c r="AA112" s="1256"/>
      <c r="AB112" s="1256"/>
      <c r="AC112" s="1256"/>
      <c r="AD112" s="1256"/>
      <c r="AE112" s="1253"/>
      <c r="AF112" s="1255"/>
      <c r="AG112" s="1254"/>
      <c r="AH112" s="1255"/>
      <c r="AI112" s="1256"/>
      <c r="AJ112" s="1256"/>
      <c r="AK112" s="1256"/>
      <c r="AL112" s="1257"/>
      <c r="AM112" s="1258"/>
      <c r="AN112" s="1259"/>
      <c r="AO112" s="2109" t="s">
        <v>676</v>
      </c>
      <c r="AP112" s="1255"/>
      <c r="AQ112" s="1255"/>
      <c r="AR112" s="1254"/>
      <c r="AS112" s="1255"/>
      <c r="AT112" s="1256"/>
      <c r="AU112" s="1256"/>
      <c r="AV112" s="1256"/>
      <c r="AW112" s="1254"/>
      <c r="AX112" s="2114" t="s">
        <v>1030</v>
      </c>
      <c r="AY112" s="4422"/>
      <c r="AZ112" s="4438">
        <f t="shared" si="129"/>
        <v>0</v>
      </c>
      <c r="BA112" s="4438">
        <f t="shared" si="130"/>
        <v>0</v>
      </c>
      <c r="BB112" s="4438">
        <f t="shared" si="131"/>
        <v>0</v>
      </c>
      <c r="BC112" s="4438">
        <f t="shared" si="132"/>
        <v>0</v>
      </c>
      <c r="BD112" s="4438">
        <f t="shared" si="133"/>
        <v>0</v>
      </c>
      <c r="BE112" s="4438">
        <f t="shared" si="134"/>
        <v>0</v>
      </c>
      <c r="BF112" s="4438">
        <f t="shared" si="135"/>
        <v>0</v>
      </c>
      <c r="BG112" s="4438">
        <f t="shared" si="136"/>
        <v>0</v>
      </c>
      <c r="BH112" s="4438">
        <f t="shared" si="137"/>
        <v>0</v>
      </c>
      <c r="BI112" s="4438">
        <f t="shared" si="138"/>
        <v>0</v>
      </c>
      <c r="BJ112" s="4438">
        <f t="shared" si="139"/>
        <v>0</v>
      </c>
      <c r="BK112" s="4438">
        <f t="shared" si="140"/>
        <v>0</v>
      </c>
      <c r="BL112" s="4438">
        <f t="shared" si="141"/>
        <v>0</v>
      </c>
      <c r="BM112" s="4438">
        <f t="shared" si="142"/>
        <v>0</v>
      </c>
      <c r="BN112" s="4438">
        <f t="shared" si="143"/>
        <v>0</v>
      </c>
      <c r="BO112" s="4438">
        <f t="shared" si="144"/>
        <v>0</v>
      </c>
      <c r="BP112" s="4438">
        <f t="shared" si="145"/>
        <v>0</v>
      </c>
      <c r="BQ112" s="4438">
        <f t="shared" si="146"/>
        <v>0</v>
      </c>
      <c r="BR112" s="4438">
        <f t="shared" si="147"/>
        <v>0</v>
      </c>
      <c r="BS112" s="4438">
        <f t="shared" si="148"/>
        <v>0</v>
      </c>
      <c r="BT112" s="4438">
        <f t="shared" si="149"/>
        <v>0</v>
      </c>
      <c r="BU112" s="4438">
        <f t="shared" si="150"/>
        <v>0</v>
      </c>
      <c r="BV112" s="4438">
        <f t="shared" si="151"/>
        <v>0</v>
      </c>
      <c r="BW112" s="4438">
        <f t="shared" si="152"/>
        <v>0</v>
      </c>
      <c r="BX112" s="4438">
        <f t="shared" si="153"/>
        <v>0</v>
      </c>
      <c r="BY112" s="4438">
        <f t="shared" si="154"/>
        <v>0</v>
      </c>
      <c r="BZ112" s="4438">
        <f t="shared" si="155"/>
        <v>0</v>
      </c>
      <c r="CA112" s="4438">
        <f t="shared" si="156"/>
        <v>0</v>
      </c>
      <c r="CB112" s="4438">
        <f t="shared" si="157"/>
        <v>0</v>
      </c>
      <c r="CC112" s="4438">
        <f t="shared" si="158"/>
        <v>0</v>
      </c>
      <c r="CD112" s="4438">
        <f t="shared" si="159"/>
        <v>0</v>
      </c>
      <c r="CE112" s="4438">
        <f t="shared" si="160"/>
        <v>0</v>
      </c>
      <c r="CF112" s="4438">
        <f t="shared" si="161"/>
        <v>0</v>
      </c>
    </row>
    <row r="113" spans="1:84" ht="24">
      <c r="A113" s="2100"/>
      <c r="B113" s="2101">
        <v>2030501</v>
      </c>
      <c r="C113" s="2101">
        <v>2070114</v>
      </c>
      <c r="D113" s="2113">
        <v>0.1</v>
      </c>
      <c r="E113" s="2112" t="s">
        <v>652</v>
      </c>
      <c r="F113" s="2105">
        <f t="shared" si="166"/>
        <v>0</v>
      </c>
      <c r="G113" s="4074">
        <f t="shared" si="167"/>
        <v>0</v>
      </c>
      <c r="H113" s="2104">
        <f t="shared" si="168"/>
        <v>0</v>
      </c>
      <c r="I113" s="2105">
        <f t="shared" si="169"/>
        <v>0</v>
      </c>
      <c r="J113" s="2106">
        <f t="shared" si="170"/>
        <v>0</v>
      </c>
      <c r="K113" s="2106">
        <f t="shared" si="171"/>
        <v>0</v>
      </c>
      <c r="L113" s="2106">
        <f t="shared" si="172"/>
        <v>0</v>
      </c>
      <c r="M113" s="2107">
        <f t="shared" si="173"/>
        <v>0</v>
      </c>
      <c r="N113" s="2108">
        <f t="shared" si="174"/>
        <v>0</v>
      </c>
      <c r="O113" s="1253"/>
      <c r="P113" s="1255"/>
      <c r="Q113" s="1254"/>
      <c r="R113" s="1255"/>
      <c r="S113" s="1256"/>
      <c r="T113" s="1256"/>
      <c r="U113" s="1256"/>
      <c r="V113" s="1256"/>
      <c r="W113" s="1253"/>
      <c r="X113" s="1255"/>
      <c r="Y113" s="1254"/>
      <c r="Z113" s="1255"/>
      <c r="AA113" s="1256"/>
      <c r="AB113" s="1256"/>
      <c r="AC113" s="1256"/>
      <c r="AD113" s="1256"/>
      <c r="AE113" s="1253"/>
      <c r="AF113" s="1255"/>
      <c r="AG113" s="1254"/>
      <c r="AH113" s="1255"/>
      <c r="AI113" s="1256"/>
      <c r="AJ113" s="1256"/>
      <c r="AK113" s="1256"/>
      <c r="AL113" s="1257"/>
      <c r="AM113" s="1258"/>
      <c r="AN113" s="1259"/>
      <c r="AO113" s="2109" t="s">
        <v>676</v>
      </c>
      <c r="AP113" s="1255"/>
      <c r="AQ113" s="1255"/>
      <c r="AR113" s="1254"/>
      <c r="AS113" s="1255"/>
      <c r="AT113" s="1256"/>
      <c r="AU113" s="1256"/>
      <c r="AV113" s="1256"/>
      <c r="AW113" s="1254"/>
      <c r="AX113" s="2115" t="s">
        <v>709</v>
      </c>
      <c r="AY113" s="4422"/>
      <c r="AZ113" s="4438">
        <f t="shared" si="129"/>
        <v>0</v>
      </c>
      <c r="BA113" s="4438">
        <f t="shared" si="130"/>
        <v>0</v>
      </c>
      <c r="BB113" s="4438">
        <f t="shared" si="131"/>
        <v>0</v>
      </c>
      <c r="BC113" s="4438">
        <f t="shared" si="132"/>
        <v>0</v>
      </c>
      <c r="BD113" s="4438">
        <f t="shared" si="133"/>
        <v>0</v>
      </c>
      <c r="BE113" s="4438">
        <f t="shared" si="134"/>
        <v>0</v>
      </c>
      <c r="BF113" s="4438">
        <f t="shared" si="135"/>
        <v>0</v>
      </c>
      <c r="BG113" s="4438">
        <f t="shared" si="136"/>
        <v>0</v>
      </c>
      <c r="BH113" s="4438">
        <f t="shared" si="137"/>
        <v>0</v>
      </c>
      <c r="BI113" s="4438">
        <f t="shared" si="138"/>
        <v>0</v>
      </c>
      <c r="BJ113" s="4438">
        <f t="shared" si="139"/>
        <v>0</v>
      </c>
      <c r="BK113" s="4438">
        <f t="shared" si="140"/>
        <v>0</v>
      </c>
      <c r="BL113" s="4438">
        <f t="shared" si="141"/>
        <v>0</v>
      </c>
      <c r="BM113" s="4438">
        <f t="shared" si="142"/>
        <v>0</v>
      </c>
      <c r="BN113" s="4438">
        <f t="shared" si="143"/>
        <v>0</v>
      </c>
      <c r="BO113" s="4438">
        <f t="shared" si="144"/>
        <v>0</v>
      </c>
      <c r="BP113" s="4438">
        <f t="shared" si="145"/>
        <v>0</v>
      </c>
      <c r="BQ113" s="4438">
        <f t="shared" si="146"/>
        <v>0</v>
      </c>
      <c r="BR113" s="4438">
        <f t="shared" si="147"/>
        <v>0</v>
      </c>
      <c r="BS113" s="4438">
        <f t="shared" si="148"/>
        <v>0</v>
      </c>
      <c r="BT113" s="4438">
        <f t="shared" si="149"/>
        <v>0</v>
      </c>
      <c r="BU113" s="4438">
        <f t="shared" si="150"/>
        <v>0</v>
      </c>
      <c r="BV113" s="4438">
        <f t="shared" si="151"/>
        <v>0</v>
      </c>
      <c r="BW113" s="4438">
        <f t="shared" si="152"/>
        <v>0</v>
      </c>
      <c r="BX113" s="4438">
        <f t="shared" si="153"/>
        <v>0</v>
      </c>
      <c r="BY113" s="4438">
        <f t="shared" si="154"/>
        <v>0</v>
      </c>
      <c r="BZ113" s="4438">
        <f t="shared" si="155"/>
        <v>0</v>
      </c>
      <c r="CA113" s="4438">
        <f t="shared" si="156"/>
        <v>0</v>
      </c>
      <c r="CB113" s="4438">
        <f t="shared" si="157"/>
        <v>0</v>
      </c>
      <c r="CC113" s="4438">
        <f t="shared" si="158"/>
        <v>0</v>
      </c>
      <c r="CD113" s="4438">
        <f t="shared" si="159"/>
        <v>0</v>
      </c>
      <c r="CE113" s="4438">
        <f t="shared" si="160"/>
        <v>0</v>
      </c>
      <c r="CF113" s="4438">
        <f t="shared" si="161"/>
        <v>0</v>
      </c>
    </row>
    <row r="114" spans="1:84" ht="24">
      <c r="A114" s="2100"/>
      <c r="B114" s="2101">
        <v>2030501</v>
      </c>
      <c r="C114" s="2090">
        <v>2070115</v>
      </c>
      <c r="D114" s="2113">
        <v>0.1</v>
      </c>
      <c r="E114" s="2103" t="s">
        <v>653</v>
      </c>
      <c r="F114" s="2105">
        <f t="shared" si="166"/>
        <v>0</v>
      </c>
      <c r="G114" s="4074">
        <f t="shared" si="167"/>
        <v>0</v>
      </c>
      <c r="H114" s="2104">
        <f t="shared" si="168"/>
        <v>0</v>
      </c>
      <c r="I114" s="2105">
        <f t="shared" si="169"/>
        <v>0</v>
      </c>
      <c r="J114" s="2106">
        <f t="shared" si="170"/>
        <v>0</v>
      </c>
      <c r="K114" s="2106">
        <f t="shared" si="171"/>
        <v>0</v>
      </c>
      <c r="L114" s="2106">
        <f t="shared" si="172"/>
        <v>0</v>
      </c>
      <c r="M114" s="2107">
        <f t="shared" si="173"/>
        <v>0</v>
      </c>
      <c r="N114" s="2108">
        <f t="shared" si="174"/>
        <v>0</v>
      </c>
      <c r="O114" s="1253"/>
      <c r="P114" s="1255"/>
      <c r="Q114" s="1254"/>
      <c r="R114" s="1255"/>
      <c r="S114" s="1256"/>
      <c r="T114" s="1256"/>
      <c r="U114" s="1256"/>
      <c r="V114" s="1256"/>
      <c r="W114" s="1253"/>
      <c r="X114" s="1255"/>
      <c r="Y114" s="1254"/>
      <c r="Z114" s="1255"/>
      <c r="AA114" s="1256"/>
      <c r="AB114" s="1256"/>
      <c r="AC114" s="1256"/>
      <c r="AD114" s="1256"/>
      <c r="AE114" s="1253"/>
      <c r="AF114" s="1255"/>
      <c r="AG114" s="1254"/>
      <c r="AH114" s="1255"/>
      <c r="AI114" s="1256"/>
      <c r="AJ114" s="1256"/>
      <c r="AK114" s="1256"/>
      <c r="AL114" s="1257"/>
      <c r="AM114" s="1258"/>
      <c r="AN114" s="1259"/>
      <c r="AO114" s="2109" t="s">
        <v>676</v>
      </c>
      <c r="AP114" s="1255"/>
      <c r="AQ114" s="1255"/>
      <c r="AR114" s="1254"/>
      <c r="AS114" s="1255"/>
      <c r="AT114" s="1256"/>
      <c r="AU114" s="1256"/>
      <c r="AV114" s="1256"/>
      <c r="AW114" s="1254"/>
      <c r="AX114" s="2115" t="s">
        <v>654</v>
      </c>
      <c r="AY114" s="4422"/>
      <c r="AZ114" s="4438">
        <f t="shared" si="129"/>
        <v>0</v>
      </c>
      <c r="BA114" s="4438">
        <f t="shared" si="130"/>
        <v>0</v>
      </c>
      <c r="BB114" s="4438">
        <f t="shared" si="131"/>
        <v>0</v>
      </c>
      <c r="BC114" s="4438">
        <f t="shared" si="132"/>
        <v>0</v>
      </c>
      <c r="BD114" s="4438">
        <f t="shared" si="133"/>
        <v>0</v>
      </c>
      <c r="BE114" s="4438">
        <f t="shared" si="134"/>
        <v>0</v>
      </c>
      <c r="BF114" s="4438">
        <f t="shared" si="135"/>
        <v>0</v>
      </c>
      <c r="BG114" s="4438">
        <f t="shared" si="136"/>
        <v>0</v>
      </c>
      <c r="BH114" s="4438">
        <f t="shared" si="137"/>
        <v>0</v>
      </c>
      <c r="BI114" s="4438">
        <f t="shared" si="138"/>
        <v>0</v>
      </c>
      <c r="BJ114" s="4438">
        <f t="shared" si="139"/>
        <v>0</v>
      </c>
      <c r="BK114" s="4438">
        <f t="shared" si="140"/>
        <v>0</v>
      </c>
      <c r="BL114" s="4438">
        <f t="shared" si="141"/>
        <v>0</v>
      </c>
      <c r="BM114" s="4438">
        <f t="shared" si="142"/>
        <v>0</v>
      </c>
      <c r="BN114" s="4438">
        <f t="shared" si="143"/>
        <v>0</v>
      </c>
      <c r="BO114" s="4438">
        <f t="shared" si="144"/>
        <v>0</v>
      </c>
      <c r="BP114" s="4438">
        <f t="shared" si="145"/>
        <v>0</v>
      </c>
      <c r="BQ114" s="4438">
        <f t="shared" si="146"/>
        <v>0</v>
      </c>
      <c r="BR114" s="4438">
        <f t="shared" si="147"/>
        <v>0</v>
      </c>
      <c r="BS114" s="4438">
        <f t="shared" si="148"/>
        <v>0</v>
      </c>
      <c r="BT114" s="4438">
        <f t="shared" si="149"/>
        <v>0</v>
      </c>
      <c r="BU114" s="4438">
        <f t="shared" si="150"/>
        <v>0</v>
      </c>
      <c r="BV114" s="4438">
        <f t="shared" si="151"/>
        <v>0</v>
      </c>
      <c r="BW114" s="4438">
        <f t="shared" si="152"/>
        <v>0</v>
      </c>
      <c r="BX114" s="4438">
        <f t="shared" si="153"/>
        <v>0</v>
      </c>
      <c r="BY114" s="4438">
        <f t="shared" si="154"/>
        <v>0</v>
      </c>
      <c r="BZ114" s="4438">
        <f t="shared" si="155"/>
        <v>0</v>
      </c>
      <c r="CA114" s="4438">
        <f t="shared" si="156"/>
        <v>0</v>
      </c>
      <c r="CB114" s="4438">
        <f t="shared" si="157"/>
        <v>0</v>
      </c>
      <c r="CC114" s="4438">
        <f t="shared" si="158"/>
        <v>0</v>
      </c>
      <c r="CD114" s="4438">
        <f t="shared" si="159"/>
        <v>0</v>
      </c>
      <c r="CE114" s="4438">
        <f t="shared" si="160"/>
        <v>0</v>
      </c>
      <c r="CF114" s="4438">
        <f t="shared" si="161"/>
        <v>0</v>
      </c>
    </row>
    <row r="115" spans="1:84">
      <c r="A115" s="2100"/>
      <c r="B115" s="2101">
        <v>2030502</v>
      </c>
      <c r="C115" s="2101">
        <v>2070116</v>
      </c>
      <c r="D115" s="2113">
        <v>0.1</v>
      </c>
      <c r="E115" s="2112" t="s">
        <v>368</v>
      </c>
      <c r="F115" s="2105">
        <f t="shared" si="166"/>
        <v>0</v>
      </c>
      <c r="G115" s="4074">
        <f t="shared" si="167"/>
        <v>0</v>
      </c>
      <c r="H115" s="2104">
        <f t="shared" si="168"/>
        <v>0</v>
      </c>
      <c r="I115" s="2105">
        <f t="shared" si="169"/>
        <v>0</v>
      </c>
      <c r="J115" s="2106">
        <f t="shared" si="170"/>
        <v>0</v>
      </c>
      <c r="K115" s="2106">
        <f t="shared" si="171"/>
        <v>0</v>
      </c>
      <c r="L115" s="2106">
        <f t="shared" si="172"/>
        <v>0</v>
      </c>
      <c r="M115" s="2107">
        <f t="shared" si="173"/>
        <v>0</v>
      </c>
      <c r="N115" s="2108">
        <f t="shared" si="174"/>
        <v>0</v>
      </c>
      <c r="O115" s="1253"/>
      <c r="P115" s="1255"/>
      <c r="Q115" s="1254"/>
      <c r="R115" s="1255"/>
      <c r="S115" s="1256"/>
      <c r="T115" s="1256"/>
      <c r="U115" s="1256"/>
      <c r="V115" s="1256"/>
      <c r="W115" s="1253"/>
      <c r="X115" s="1255"/>
      <c r="Y115" s="1254"/>
      <c r="Z115" s="1255"/>
      <c r="AA115" s="1256"/>
      <c r="AB115" s="1256"/>
      <c r="AC115" s="1256"/>
      <c r="AD115" s="1256"/>
      <c r="AE115" s="1253"/>
      <c r="AF115" s="1255"/>
      <c r="AG115" s="1254"/>
      <c r="AH115" s="1255"/>
      <c r="AI115" s="1256"/>
      <c r="AJ115" s="1256"/>
      <c r="AK115" s="1256"/>
      <c r="AL115" s="1257"/>
      <c r="AM115" s="1258"/>
      <c r="AN115" s="1260"/>
      <c r="AO115" s="2109" t="s">
        <v>676</v>
      </c>
      <c r="AP115" s="1255"/>
      <c r="AQ115" s="1255"/>
      <c r="AR115" s="1254"/>
      <c r="AS115" s="1255"/>
      <c r="AT115" s="1256"/>
      <c r="AU115" s="1256"/>
      <c r="AV115" s="1256"/>
      <c r="AW115" s="1254"/>
      <c r="AX115" s="2115" t="s">
        <v>708</v>
      </c>
      <c r="AY115" s="4422"/>
      <c r="AZ115" s="4438">
        <f t="shared" si="129"/>
        <v>0</v>
      </c>
      <c r="BA115" s="4438">
        <f t="shared" si="130"/>
        <v>0</v>
      </c>
      <c r="BB115" s="4438">
        <f t="shared" si="131"/>
        <v>0</v>
      </c>
      <c r="BC115" s="4438">
        <f t="shared" si="132"/>
        <v>0</v>
      </c>
      <c r="BD115" s="4438">
        <f t="shared" si="133"/>
        <v>0</v>
      </c>
      <c r="BE115" s="4438">
        <f t="shared" si="134"/>
        <v>0</v>
      </c>
      <c r="BF115" s="4438">
        <f t="shared" si="135"/>
        <v>0</v>
      </c>
      <c r="BG115" s="4438">
        <f t="shared" si="136"/>
        <v>0</v>
      </c>
      <c r="BH115" s="4438">
        <f t="shared" si="137"/>
        <v>0</v>
      </c>
      <c r="BI115" s="4438">
        <f t="shared" si="138"/>
        <v>0</v>
      </c>
      <c r="BJ115" s="4438">
        <f t="shared" si="139"/>
        <v>0</v>
      </c>
      <c r="BK115" s="4438">
        <f t="shared" si="140"/>
        <v>0</v>
      </c>
      <c r="BL115" s="4438">
        <f t="shared" si="141"/>
        <v>0</v>
      </c>
      <c r="BM115" s="4438">
        <f t="shared" si="142"/>
        <v>0</v>
      </c>
      <c r="BN115" s="4438">
        <f t="shared" si="143"/>
        <v>0</v>
      </c>
      <c r="BO115" s="4438">
        <f t="shared" si="144"/>
        <v>0</v>
      </c>
      <c r="BP115" s="4438">
        <f t="shared" si="145"/>
        <v>0</v>
      </c>
      <c r="BQ115" s="4438">
        <f t="shared" si="146"/>
        <v>0</v>
      </c>
      <c r="BR115" s="4438">
        <f t="shared" si="147"/>
        <v>0</v>
      </c>
      <c r="BS115" s="4438">
        <f t="shared" si="148"/>
        <v>0</v>
      </c>
      <c r="BT115" s="4438">
        <f t="shared" si="149"/>
        <v>0</v>
      </c>
      <c r="BU115" s="4438">
        <f t="shared" si="150"/>
        <v>0</v>
      </c>
      <c r="BV115" s="4438">
        <f t="shared" si="151"/>
        <v>0</v>
      </c>
      <c r="BW115" s="4438">
        <f t="shared" si="152"/>
        <v>0</v>
      </c>
      <c r="BX115" s="4438">
        <f t="shared" si="153"/>
        <v>0</v>
      </c>
      <c r="BY115" s="4438">
        <f t="shared" si="154"/>
        <v>0</v>
      </c>
      <c r="BZ115" s="4438">
        <f t="shared" si="155"/>
        <v>0</v>
      </c>
      <c r="CA115" s="4438">
        <f t="shared" si="156"/>
        <v>0</v>
      </c>
      <c r="CB115" s="4438">
        <f t="shared" si="157"/>
        <v>0</v>
      </c>
      <c r="CC115" s="4438">
        <f t="shared" si="158"/>
        <v>0</v>
      </c>
      <c r="CD115" s="4438">
        <f t="shared" si="159"/>
        <v>0</v>
      </c>
      <c r="CE115" s="4438">
        <f t="shared" si="160"/>
        <v>0</v>
      </c>
      <c r="CF115" s="4438">
        <f t="shared" si="161"/>
        <v>0</v>
      </c>
    </row>
    <row r="116" spans="1:84" ht="24">
      <c r="A116" s="2100"/>
      <c r="B116" s="2101">
        <v>215</v>
      </c>
      <c r="C116" s="2090">
        <v>2070117</v>
      </c>
      <c r="D116" s="2111">
        <v>0.2</v>
      </c>
      <c r="E116" s="2103" t="s">
        <v>369</v>
      </c>
      <c r="F116" s="2105">
        <f t="shared" si="166"/>
        <v>0</v>
      </c>
      <c r="G116" s="4074">
        <f t="shared" si="167"/>
        <v>0</v>
      </c>
      <c r="H116" s="2104">
        <f t="shared" si="168"/>
        <v>0</v>
      </c>
      <c r="I116" s="2105">
        <f t="shared" si="169"/>
        <v>0</v>
      </c>
      <c r="J116" s="2106">
        <f t="shared" si="170"/>
        <v>0</v>
      </c>
      <c r="K116" s="2106">
        <f t="shared" si="171"/>
        <v>0</v>
      </c>
      <c r="L116" s="2106">
        <f t="shared" si="172"/>
        <v>0</v>
      </c>
      <c r="M116" s="2107">
        <f t="shared" si="173"/>
        <v>0</v>
      </c>
      <c r="N116" s="2108">
        <f t="shared" si="174"/>
        <v>0</v>
      </c>
      <c r="O116" s="1253"/>
      <c r="P116" s="1255"/>
      <c r="Q116" s="1254"/>
      <c r="R116" s="1255"/>
      <c r="S116" s="1256"/>
      <c r="T116" s="1256"/>
      <c r="U116" s="1256"/>
      <c r="V116" s="1256"/>
      <c r="W116" s="1253"/>
      <c r="X116" s="1255"/>
      <c r="Y116" s="1254"/>
      <c r="Z116" s="1255"/>
      <c r="AA116" s="1256"/>
      <c r="AB116" s="1256"/>
      <c r="AC116" s="1256"/>
      <c r="AD116" s="1256"/>
      <c r="AE116" s="1253"/>
      <c r="AF116" s="1255"/>
      <c r="AG116" s="1254"/>
      <c r="AH116" s="1255"/>
      <c r="AI116" s="1256"/>
      <c r="AJ116" s="1256"/>
      <c r="AK116" s="1256"/>
      <c r="AL116" s="1257"/>
      <c r="AM116" s="1258"/>
      <c r="AN116" s="1260"/>
      <c r="AO116" s="2116" t="s">
        <v>313</v>
      </c>
      <c r="AP116" s="1255"/>
      <c r="AQ116" s="1255"/>
      <c r="AR116" s="1254"/>
      <c r="AS116" s="1255"/>
      <c r="AT116" s="1256"/>
      <c r="AU116" s="1256"/>
      <c r="AV116" s="1256"/>
      <c r="AW116" s="1254"/>
      <c r="AX116" s="2110" t="s">
        <v>370</v>
      </c>
      <c r="AY116" s="4422"/>
      <c r="AZ116" s="4438">
        <f t="shared" si="129"/>
        <v>0</v>
      </c>
      <c r="BA116" s="4438">
        <f t="shared" si="130"/>
        <v>0</v>
      </c>
      <c r="BB116" s="4438">
        <f t="shared" si="131"/>
        <v>0</v>
      </c>
      <c r="BC116" s="4438">
        <f t="shared" si="132"/>
        <v>0</v>
      </c>
      <c r="BD116" s="4438">
        <f t="shared" si="133"/>
        <v>0</v>
      </c>
      <c r="BE116" s="4438">
        <f t="shared" si="134"/>
        <v>0</v>
      </c>
      <c r="BF116" s="4438">
        <f t="shared" si="135"/>
        <v>0</v>
      </c>
      <c r="BG116" s="4438">
        <f t="shared" si="136"/>
        <v>0</v>
      </c>
      <c r="BH116" s="4438">
        <f t="shared" si="137"/>
        <v>0</v>
      </c>
      <c r="BI116" s="4438">
        <f t="shared" si="138"/>
        <v>0</v>
      </c>
      <c r="BJ116" s="4438">
        <f t="shared" si="139"/>
        <v>0</v>
      </c>
      <c r="BK116" s="4438">
        <f t="shared" si="140"/>
        <v>0</v>
      </c>
      <c r="BL116" s="4438">
        <f t="shared" si="141"/>
        <v>0</v>
      </c>
      <c r="BM116" s="4438">
        <f t="shared" si="142"/>
        <v>0</v>
      </c>
      <c r="BN116" s="4438">
        <f t="shared" si="143"/>
        <v>0</v>
      </c>
      <c r="BO116" s="4438">
        <f t="shared" si="144"/>
        <v>0</v>
      </c>
      <c r="BP116" s="4438">
        <f t="shared" si="145"/>
        <v>0</v>
      </c>
      <c r="BQ116" s="4438">
        <f t="shared" si="146"/>
        <v>0</v>
      </c>
      <c r="BR116" s="4438">
        <f t="shared" si="147"/>
        <v>0</v>
      </c>
      <c r="BS116" s="4438">
        <f t="shared" si="148"/>
        <v>0</v>
      </c>
      <c r="BT116" s="4438">
        <f t="shared" si="149"/>
        <v>0</v>
      </c>
      <c r="BU116" s="4438">
        <f t="shared" si="150"/>
        <v>0</v>
      </c>
      <c r="BV116" s="4438">
        <f t="shared" si="151"/>
        <v>0</v>
      </c>
      <c r="BW116" s="4438">
        <f t="shared" si="152"/>
        <v>0</v>
      </c>
      <c r="BX116" s="4438">
        <f t="shared" si="153"/>
        <v>0</v>
      </c>
      <c r="BY116" s="4438">
        <f t="shared" si="154"/>
        <v>0</v>
      </c>
      <c r="BZ116" s="4438">
        <f t="shared" si="155"/>
        <v>0</v>
      </c>
      <c r="CA116" s="4438">
        <f t="shared" si="156"/>
        <v>0</v>
      </c>
      <c r="CB116" s="4438">
        <f t="shared" si="157"/>
        <v>0</v>
      </c>
      <c r="CC116" s="4438">
        <f t="shared" si="158"/>
        <v>0</v>
      </c>
      <c r="CD116" s="4438">
        <f t="shared" si="159"/>
        <v>0</v>
      </c>
      <c r="CE116" s="4438">
        <f t="shared" si="160"/>
        <v>0</v>
      </c>
      <c r="CF116" s="4438">
        <f t="shared" si="161"/>
        <v>0</v>
      </c>
    </row>
    <row r="117" spans="1:84">
      <c r="A117" s="2100"/>
      <c r="B117" s="2101">
        <v>2030503</v>
      </c>
      <c r="C117" s="2101">
        <v>2070118</v>
      </c>
      <c r="D117" s="2102">
        <v>0.1</v>
      </c>
      <c r="E117" s="2103" t="s">
        <v>664</v>
      </c>
      <c r="F117" s="2105">
        <f t="shared" si="166"/>
        <v>0</v>
      </c>
      <c r="G117" s="4074">
        <f t="shared" si="167"/>
        <v>0</v>
      </c>
      <c r="H117" s="2104">
        <f t="shared" si="168"/>
        <v>0</v>
      </c>
      <c r="I117" s="2105">
        <f t="shared" si="169"/>
        <v>0</v>
      </c>
      <c r="J117" s="2106">
        <f t="shared" si="170"/>
        <v>0</v>
      </c>
      <c r="K117" s="2106">
        <f t="shared" si="171"/>
        <v>0</v>
      </c>
      <c r="L117" s="2106">
        <f t="shared" si="172"/>
        <v>0</v>
      </c>
      <c r="M117" s="2107">
        <f t="shared" si="173"/>
        <v>0</v>
      </c>
      <c r="N117" s="2108">
        <f t="shared" si="174"/>
        <v>0</v>
      </c>
      <c r="O117" s="1253"/>
      <c r="P117" s="1255"/>
      <c r="Q117" s="1254"/>
      <c r="R117" s="1255"/>
      <c r="S117" s="1256"/>
      <c r="T117" s="1256"/>
      <c r="U117" s="1256"/>
      <c r="V117" s="1256"/>
      <c r="W117" s="1253"/>
      <c r="X117" s="1255"/>
      <c r="Y117" s="1254"/>
      <c r="Z117" s="1255"/>
      <c r="AA117" s="1256"/>
      <c r="AB117" s="1256"/>
      <c r="AC117" s="1256"/>
      <c r="AD117" s="1256"/>
      <c r="AE117" s="1253"/>
      <c r="AF117" s="1255"/>
      <c r="AG117" s="1254"/>
      <c r="AH117" s="1255"/>
      <c r="AI117" s="1256"/>
      <c r="AJ117" s="1256"/>
      <c r="AK117" s="1256"/>
      <c r="AL117" s="1257"/>
      <c r="AM117" s="1258"/>
      <c r="AN117" s="1259"/>
      <c r="AO117" s="2109" t="s">
        <v>676</v>
      </c>
      <c r="AP117" s="1255"/>
      <c r="AQ117" s="1255"/>
      <c r="AR117" s="1254"/>
      <c r="AS117" s="1255"/>
      <c r="AT117" s="1256"/>
      <c r="AU117" s="1256"/>
      <c r="AV117" s="1256"/>
      <c r="AW117" s="1254"/>
      <c r="AX117" s="2110" t="s">
        <v>371</v>
      </c>
      <c r="AY117" s="4422"/>
      <c r="AZ117" s="4438">
        <f t="shared" si="129"/>
        <v>0</v>
      </c>
      <c r="BA117" s="4438">
        <f t="shared" si="130"/>
        <v>0</v>
      </c>
      <c r="BB117" s="4438">
        <f t="shared" si="131"/>
        <v>0</v>
      </c>
      <c r="BC117" s="4438">
        <f t="shared" si="132"/>
        <v>0</v>
      </c>
      <c r="BD117" s="4438">
        <f t="shared" si="133"/>
        <v>0</v>
      </c>
      <c r="BE117" s="4438">
        <f t="shared" si="134"/>
        <v>0</v>
      </c>
      <c r="BF117" s="4438">
        <f t="shared" si="135"/>
        <v>0</v>
      </c>
      <c r="BG117" s="4438">
        <f t="shared" si="136"/>
        <v>0</v>
      </c>
      <c r="BH117" s="4438">
        <f t="shared" si="137"/>
        <v>0</v>
      </c>
      <c r="BI117" s="4438">
        <f t="shared" si="138"/>
        <v>0</v>
      </c>
      <c r="BJ117" s="4438">
        <f t="shared" si="139"/>
        <v>0</v>
      </c>
      <c r="BK117" s="4438">
        <f t="shared" si="140"/>
        <v>0</v>
      </c>
      <c r="BL117" s="4438">
        <f t="shared" si="141"/>
        <v>0</v>
      </c>
      <c r="BM117" s="4438">
        <f t="shared" si="142"/>
        <v>0</v>
      </c>
      <c r="BN117" s="4438">
        <f t="shared" si="143"/>
        <v>0</v>
      </c>
      <c r="BO117" s="4438">
        <f t="shared" si="144"/>
        <v>0</v>
      </c>
      <c r="BP117" s="4438">
        <f t="shared" si="145"/>
        <v>0</v>
      </c>
      <c r="BQ117" s="4438">
        <f t="shared" si="146"/>
        <v>0</v>
      </c>
      <c r="BR117" s="4438">
        <f t="shared" si="147"/>
        <v>0</v>
      </c>
      <c r="BS117" s="4438">
        <f t="shared" si="148"/>
        <v>0</v>
      </c>
      <c r="BT117" s="4438">
        <f t="shared" si="149"/>
        <v>0</v>
      </c>
      <c r="BU117" s="4438">
        <f t="shared" si="150"/>
        <v>0</v>
      </c>
      <c r="BV117" s="4438">
        <f t="shared" si="151"/>
        <v>0</v>
      </c>
      <c r="BW117" s="4438">
        <f t="shared" si="152"/>
        <v>0</v>
      </c>
      <c r="BX117" s="4438">
        <f t="shared" si="153"/>
        <v>0</v>
      </c>
      <c r="BY117" s="4438">
        <f t="shared" si="154"/>
        <v>0</v>
      </c>
      <c r="BZ117" s="4438">
        <f t="shared" si="155"/>
        <v>0</v>
      </c>
      <c r="CA117" s="4438">
        <f t="shared" si="156"/>
        <v>0</v>
      </c>
      <c r="CB117" s="4438">
        <f t="shared" si="157"/>
        <v>0</v>
      </c>
      <c r="CC117" s="4438">
        <f t="shared" si="158"/>
        <v>0</v>
      </c>
      <c r="CD117" s="4438">
        <f t="shared" si="159"/>
        <v>0</v>
      </c>
      <c r="CE117" s="4438">
        <f t="shared" si="160"/>
        <v>0</v>
      </c>
      <c r="CF117" s="4438">
        <f t="shared" si="161"/>
        <v>0</v>
      </c>
    </row>
    <row r="118" spans="1:84">
      <c r="A118" s="2117"/>
      <c r="B118" s="2101">
        <v>20302</v>
      </c>
      <c r="C118" s="2090">
        <v>2070119</v>
      </c>
      <c r="D118" s="2102">
        <v>0.1</v>
      </c>
      <c r="E118" s="2103" t="s">
        <v>372</v>
      </c>
      <c r="F118" s="2105">
        <f t="shared" si="166"/>
        <v>0</v>
      </c>
      <c r="G118" s="4074">
        <f t="shared" si="167"/>
        <v>0</v>
      </c>
      <c r="H118" s="2104">
        <f t="shared" si="168"/>
        <v>0</v>
      </c>
      <c r="I118" s="2105">
        <f t="shared" si="169"/>
        <v>0</v>
      </c>
      <c r="J118" s="2106">
        <f t="shared" si="170"/>
        <v>0</v>
      </c>
      <c r="K118" s="2106">
        <f t="shared" si="171"/>
        <v>0</v>
      </c>
      <c r="L118" s="2106">
        <f t="shared" si="172"/>
        <v>0</v>
      </c>
      <c r="M118" s="2107">
        <f t="shared" si="173"/>
        <v>0</v>
      </c>
      <c r="N118" s="2108">
        <f t="shared" si="174"/>
        <v>0</v>
      </c>
      <c r="O118" s="1253"/>
      <c r="P118" s="1255"/>
      <c r="Q118" s="1254"/>
      <c r="R118" s="1255"/>
      <c r="S118" s="1256"/>
      <c r="T118" s="1256"/>
      <c r="U118" s="1256"/>
      <c r="V118" s="1256"/>
      <c r="W118" s="1253"/>
      <c r="X118" s="1255"/>
      <c r="Y118" s="1254"/>
      <c r="Z118" s="1255"/>
      <c r="AA118" s="1256"/>
      <c r="AB118" s="1256"/>
      <c r="AC118" s="1256"/>
      <c r="AD118" s="1256"/>
      <c r="AE118" s="1253"/>
      <c r="AF118" s="1255"/>
      <c r="AG118" s="1254"/>
      <c r="AH118" s="1255"/>
      <c r="AI118" s="1256"/>
      <c r="AJ118" s="1256"/>
      <c r="AK118" s="1256"/>
      <c r="AL118" s="1257"/>
      <c r="AM118" s="1258"/>
      <c r="AN118" s="1259"/>
      <c r="AO118" s="2109" t="s">
        <v>676</v>
      </c>
      <c r="AP118" s="1255"/>
      <c r="AQ118" s="1255"/>
      <c r="AR118" s="1254"/>
      <c r="AS118" s="1255"/>
      <c r="AT118" s="1256"/>
      <c r="AU118" s="1256"/>
      <c r="AV118" s="1256"/>
      <c r="AW118" s="1254"/>
      <c r="AX118" s="2110" t="s">
        <v>373</v>
      </c>
      <c r="AY118" s="4422"/>
      <c r="AZ118" s="4438">
        <f t="shared" si="129"/>
        <v>0</v>
      </c>
      <c r="BA118" s="4438">
        <f t="shared" si="130"/>
        <v>0</v>
      </c>
      <c r="BB118" s="4438">
        <f t="shared" si="131"/>
        <v>0</v>
      </c>
      <c r="BC118" s="4438">
        <f t="shared" si="132"/>
        <v>0</v>
      </c>
      <c r="BD118" s="4438">
        <f t="shared" si="133"/>
        <v>0</v>
      </c>
      <c r="BE118" s="4438">
        <f t="shared" si="134"/>
        <v>0</v>
      </c>
      <c r="BF118" s="4438">
        <f t="shared" si="135"/>
        <v>0</v>
      </c>
      <c r="BG118" s="4438">
        <f t="shared" si="136"/>
        <v>0</v>
      </c>
      <c r="BH118" s="4438">
        <f t="shared" si="137"/>
        <v>0</v>
      </c>
      <c r="BI118" s="4438">
        <f t="shared" si="138"/>
        <v>0</v>
      </c>
      <c r="BJ118" s="4438">
        <f t="shared" si="139"/>
        <v>0</v>
      </c>
      <c r="BK118" s="4438">
        <f t="shared" si="140"/>
        <v>0</v>
      </c>
      <c r="BL118" s="4438">
        <f t="shared" si="141"/>
        <v>0</v>
      </c>
      <c r="BM118" s="4438">
        <f t="shared" si="142"/>
        <v>0</v>
      </c>
      <c r="BN118" s="4438">
        <f t="shared" si="143"/>
        <v>0</v>
      </c>
      <c r="BO118" s="4438">
        <f t="shared" si="144"/>
        <v>0</v>
      </c>
      <c r="BP118" s="4438">
        <f t="shared" si="145"/>
        <v>0</v>
      </c>
      <c r="BQ118" s="4438">
        <f t="shared" si="146"/>
        <v>0</v>
      </c>
      <c r="BR118" s="4438">
        <f t="shared" si="147"/>
        <v>0</v>
      </c>
      <c r="BS118" s="4438">
        <f t="shared" si="148"/>
        <v>0</v>
      </c>
      <c r="BT118" s="4438">
        <f t="shared" si="149"/>
        <v>0</v>
      </c>
      <c r="BU118" s="4438">
        <f t="shared" si="150"/>
        <v>0</v>
      </c>
      <c r="BV118" s="4438">
        <f t="shared" si="151"/>
        <v>0</v>
      </c>
      <c r="BW118" s="4438">
        <f t="shared" si="152"/>
        <v>0</v>
      </c>
      <c r="BX118" s="4438">
        <f t="shared" si="153"/>
        <v>0</v>
      </c>
      <c r="BY118" s="4438">
        <f t="shared" si="154"/>
        <v>0</v>
      </c>
      <c r="BZ118" s="4438">
        <f t="shared" si="155"/>
        <v>0</v>
      </c>
      <c r="CA118" s="4438">
        <f t="shared" si="156"/>
        <v>0</v>
      </c>
      <c r="CB118" s="4438">
        <f t="shared" si="157"/>
        <v>0</v>
      </c>
      <c r="CC118" s="4438">
        <f t="shared" si="158"/>
        <v>0</v>
      </c>
      <c r="CD118" s="4438">
        <f t="shared" si="159"/>
        <v>0</v>
      </c>
      <c r="CE118" s="4438">
        <f t="shared" si="160"/>
        <v>0</v>
      </c>
      <c r="CF118" s="4438">
        <f t="shared" si="161"/>
        <v>0</v>
      </c>
    </row>
    <row r="119" spans="1:84" ht="24">
      <c r="A119" s="2117"/>
      <c r="B119" s="2101">
        <v>20502</v>
      </c>
      <c r="C119" s="2101">
        <v>2070120</v>
      </c>
      <c r="D119" s="2102">
        <v>0.1</v>
      </c>
      <c r="E119" s="2103" t="s">
        <v>374</v>
      </c>
      <c r="F119" s="2105">
        <f t="shared" si="166"/>
        <v>0</v>
      </c>
      <c r="G119" s="4074">
        <f t="shared" si="167"/>
        <v>0</v>
      </c>
      <c r="H119" s="2104">
        <f t="shared" si="168"/>
        <v>0</v>
      </c>
      <c r="I119" s="2105">
        <f t="shared" si="169"/>
        <v>0</v>
      </c>
      <c r="J119" s="2106">
        <f t="shared" si="170"/>
        <v>0</v>
      </c>
      <c r="K119" s="2106">
        <f t="shared" si="171"/>
        <v>0</v>
      </c>
      <c r="L119" s="2106">
        <f t="shared" si="172"/>
        <v>0</v>
      </c>
      <c r="M119" s="2107">
        <f t="shared" si="173"/>
        <v>0</v>
      </c>
      <c r="N119" s="2108">
        <f t="shared" si="174"/>
        <v>0</v>
      </c>
      <c r="O119" s="1253"/>
      <c r="P119" s="1255"/>
      <c r="Q119" s="1254"/>
      <c r="R119" s="1255"/>
      <c r="S119" s="1256"/>
      <c r="T119" s="1256"/>
      <c r="U119" s="1256"/>
      <c r="V119" s="1256"/>
      <c r="W119" s="1253"/>
      <c r="X119" s="1255"/>
      <c r="Y119" s="1254"/>
      <c r="Z119" s="1255"/>
      <c r="AA119" s="1256"/>
      <c r="AB119" s="1256"/>
      <c r="AC119" s="1256"/>
      <c r="AD119" s="1256"/>
      <c r="AE119" s="1253"/>
      <c r="AF119" s="1255"/>
      <c r="AG119" s="1254"/>
      <c r="AH119" s="1255"/>
      <c r="AI119" s="1256"/>
      <c r="AJ119" s="1256"/>
      <c r="AK119" s="1256"/>
      <c r="AL119" s="1257"/>
      <c r="AM119" s="1258"/>
      <c r="AN119" s="1260"/>
      <c r="AO119" s="2109" t="s">
        <v>676</v>
      </c>
      <c r="AP119" s="1255"/>
      <c r="AQ119" s="1255"/>
      <c r="AR119" s="1254"/>
      <c r="AS119" s="1255"/>
      <c r="AT119" s="1256"/>
      <c r="AU119" s="1256"/>
      <c r="AV119" s="1256"/>
      <c r="AW119" s="1254"/>
      <c r="AX119" s="2110" t="s">
        <v>375</v>
      </c>
      <c r="AY119" s="4422"/>
      <c r="AZ119" s="4438">
        <f t="shared" si="129"/>
        <v>0</v>
      </c>
      <c r="BA119" s="4438">
        <f t="shared" si="130"/>
        <v>0</v>
      </c>
      <c r="BB119" s="4438">
        <f t="shared" si="131"/>
        <v>0</v>
      </c>
      <c r="BC119" s="4438">
        <f t="shared" si="132"/>
        <v>0</v>
      </c>
      <c r="BD119" s="4438">
        <f t="shared" si="133"/>
        <v>0</v>
      </c>
      <c r="BE119" s="4438">
        <f t="shared" si="134"/>
        <v>0</v>
      </c>
      <c r="BF119" s="4438">
        <f t="shared" si="135"/>
        <v>0</v>
      </c>
      <c r="BG119" s="4438">
        <f t="shared" si="136"/>
        <v>0</v>
      </c>
      <c r="BH119" s="4438">
        <f t="shared" si="137"/>
        <v>0</v>
      </c>
      <c r="BI119" s="4438">
        <f t="shared" si="138"/>
        <v>0</v>
      </c>
      <c r="BJ119" s="4438">
        <f t="shared" si="139"/>
        <v>0</v>
      </c>
      <c r="BK119" s="4438">
        <f t="shared" si="140"/>
        <v>0</v>
      </c>
      <c r="BL119" s="4438">
        <f t="shared" si="141"/>
        <v>0</v>
      </c>
      <c r="BM119" s="4438">
        <f t="shared" si="142"/>
        <v>0</v>
      </c>
      <c r="BN119" s="4438">
        <f t="shared" si="143"/>
        <v>0</v>
      </c>
      <c r="BO119" s="4438">
        <f t="shared" si="144"/>
        <v>0</v>
      </c>
      <c r="BP119" s="4438">
        <f t="shared" si="145"/>
        <v>0</v>
      </c>
      <c r="BQ119" s="4438">
        <f t="shared" si="146"/>
        <v>0</v>
      </c>
      <c r="BR119" s="4438">
        <f t="shared" si="147"/>
        <v>0</v>
      </c>
      <c r="BS119" s="4438">
        <f t="shared" si="148"/>
        <v>0</v>
      </c>
      <c r="BT119" s="4438">
        <f t="shared" si="149"/>
        <v>0</v>
      </c>
      <c r="BU119" s="4438">
        <f t="shared" si="150"/>
        <v>0</v>
      </c>
      <c r="BV119" s="4438">
        <f t="shared" si="151"/>
        <v>0</v>
      </c>
      <c r="BW119" s="4438">
        <f t="shared" si="152"/>
        <v>0</v>
      </c>
      <c r="BX119" s="4438">
        <f t="shared" si="153"/>
        <v>0</v>
      </c>
      <c r="BY119" s="4438">
        <f t="shared" si="154"/>
        <v>0</v>
      </c>
      <c r="BZ119" s="4438">
        <f t="shared" si="155"/>
        <v>0</v>
      </c>
      <c r="CA119" s="4438">
        <f t="shared" si="156"/>
        <v>0</v>
      </c>
      <c r="CB119" s="4438">
        <f t="shared" si="157"/>
        <v>0</v>
      </c>
      <c r="CC119" s="4438">
        <f t="shared" si="158"/>
        <v>0</v>
      </c>
      <c r="CD119" s="4438">
        <f t="shared" si="159"/>
        <v>0</v>
      </c>
      <c r="CE119" s="4438">
        <f t="shared" si="160"/>
        <v>0</v>
      </c>
      <c r="CF119" s="4438">
        <f t="shared" si="161"/>
        <v>0</v>
      </c>
    </row>
    <row r="120" spans="1:84" ht="24">
      <c r="A120" s="2117"/>
      <c r="B120" s="2101">
        <v>20501</v>
      </c>
      <c r="C120" s="2090">
        <v>2070121</v>
      </c>
      <c r="D120" s="2102">
        <v>0.08</v>
      </c>
      <c r="E120" s="2103" t="s">
        <v>376</v>
      </c>
      <c r="F120" s="2105">
        <f t="shared" si="166"/>
        <v>0</v>
      </c>
      <c r="G120" s="4074">
        <f t="shared" si="167"/>
        <v>0</v>
      </c>
      <c r="H120" s="2104">
        <f t="shared" si="168"/>
        <v>0</v>
      </c>
      <c r="I120" s="2105">
        <f t="shared" si="169"/>
        <v>0</v>
      </c>
      <c r="J120" s="2106">
        <f t="shared" si="170"/>
        <v>0</v>
      </c>
      <c r="K120" s="2106">
        <f t="shared" si="171"/>
        <v>0</v>
      </c>
      <c r="L120" s="2106">
        <f t="shared" si="172"/>
        <v>0</v>
      </c>
      <c r="M120" s="2107">
        <f t="shared" si="173"/>
        <v>0</v>
      </c>
      <c r="N120" s="2108">
        <f t="shared" si="174"/>
        <v>0</v>
      </c>
      <c r="O120" s="1253"/>
      <c r="P120" s="1255"/>
      <c r="Q120" s="1254"/>
      <c r="R120" s="1255"/>
      <c r="S120" s="1256"/>
      <c r="T120" s="1256"/>
      <c r="U120" s="1256"/>
      <c r="V120" s="1256"/>
      <c r="W120" s="1253"/>
      <c r="X120" s="1255"/>
      <c r="Y120" s="1254"/>
      <c r="Z120" s="1255"/>
      <c r="AA120" s="1256"/>
      <c r="AB120" s="1256"/>
      <c r="AC120" s="1256"/>
      <c r="AD120" s="1256"/>
      <c r="AE120" s="1253"/>
      <c r="AF120" s="1255"/>
      <c r="AG120" s="1254"/>
      <c r="AH120" s="1255"/>
      <c r="AI120" s="1256"/>
      <c r="AJ120" s="1256"/>
      <c r="AK120" s="1256"/>
      <c r="AL120" s="1257"/>
      <c r="AM120" s="1258"/>
      <c r="AN120" s="1260"/>
      <c r="AO120" s="2109" t="s">
        <v>676</v>
      </c>
      <c r="AP120" s="1255"/>
      <c r="AQ120" s="1255"/>
      <c r="AR120" s="1254"/>
      <c r="AS120" s="1255"/>
      <c r="AT120" s="1256"/>
      <c r="AU120" s="1256"/>
      <c r="AV120" s="1256"/>
      <c r="AW120" s="1254"/>
      <c r="AX120" s="2110" t="s">
        <v>375</v>
      </c>
      <c r="AY120" s="4422"/>
      <c r="AZ120" s="4438">
        <f t="shared" si="129"/>
        <v>0</v>
      </c>
      <c r="BA120" s="4438">
        <f t="shared" si="130"/>
        <v>0</v>
      </c>
      <c r="BB120" s="4438">
        <f t="shared" si="131"/>
        <v>0</v>
      </c>
      <c r="BC120" s="4438">
        <f t="shared" si="132"/>
        <v>0</v>
      </c>
      <c r="BD120" s="4438">
        <f t="shared" si="133"/>
        <v>0</v>
      </c>
      <c r="BE120" s="4438">
        <f t="shared" si="134"/>
        <v>0</v>
      </c>
      <c r="BF120" s="4438">
        <f t="shared" si="135"/>
        <v>0</v>
      </c>
      <c r="BG120" s="4438">
        <f t="shared" si="136"/>
        <v>0</v>
      </c>
      <c r="BH120" s="4438">
        <f t="shared" si="137"/>
        <v>0</v>
      </c>
      <c r="BI120" s="4438">
        <f t="shared" si="138"/>
        <v>0</v>
      </c>
      <c r="BJ120" s="4438">
        <f t="shared" si="139"/>
        <v>0</v>
      </c>
      <c r="BK120" s="4438">
        <f t="shared" si="140"/>
        <v>0</v>
      </c>
      <c r="BL120" s="4438">
        <f t="shared" si="141"/>
        <v>0</v>
      </c>
      <c r="BM120" s="4438">
        <f t="shared" si="142"/>
        <v>0</v>
      </c>
      <c r="BN120" s="4438">
        <f t="shared" si="143"/>
        <v>0</v>
      </c>
      <c r="BO120" s="4438">
        <f t="shared" si="144"/>
        <v>0</v>
      </c>
      <c r="BP120" s="4438">
        <f t="shared" si="145"/>
        <v>0</v>
      </c>
      <c r="BQ120" s="4438">
        <f t="shared" si="146"/>
        <v>0</v>
      </c>
      <c r="BR120" s="4438">
        <f t="shared" si="147"/>
        <v>0</v>
      </c>
      <c r="BS120" s="4438">
        <f t="shared" si="148"/>
        <v>0</v>
      </c>
      <c r="BT120" s="4438">
        <f t="shared" si="149"/>
        <v>0</v>
      </c>
      <c r="BU120" s="4438">
        <f t="shared" si="150"/>
        <v>0</v>
      </c>
      <c r="BV120" s="4438">
        <f t="shared" si="151"/>
        <v>0</v>
      </c>
      <c r="BW120" s="4438">
        <f t="shared" si="152"/>
        <v>0</v>
      </c>
      <c r="BX120" s="4438">
        <f t="shared" si="153"/>
        <v>0</v>
      </c>
      <c r="BY120" s="4438">
        <f t="shared" si="154"/>
        <v>0</v>
      </c>
      <c r="BZ120" s="4438">
        <f t="shared" si="155"/>
        <v>0</v>
      </c>
      <c r="CA120" s="4438">
        <f t="shared" si="156"/>
        <v>0</v>
      </c>
      <c r="CB120" s="4438">
        <f t="shared" si="157"/>
        <v>0</v>
      </c>
      <c r="CC120" s="4438">
        <f t="shared" si="158"/>
        <v>0</v>
      </c>
      <c r="CD120" s="4438">
        <f t="shared" si="159"/>
        <v>0</v>
      </c>
      <c r="CE120" s="4438">
        <f t="shared" si="160"/>
        <v>0</v>
      </c>
      <c r="CF120" s="4438">
        <f t="shared" si="161"/>
        <v>0</v>
      </c>
    </row>
    <row r="121" spans="1:84">
      <c r="A121" s="2117"/>
      <c r="B121" s="2101">
        <v>20503</v>
      </c>
      <c r="C121" s="2101">
        <v>2070122</v>
      </c>
      <c r="D121" s="2102">
        <v>0.1</v>
      </c>
      <c r="E121" s="2112" t="s">
        <v>674</v>
      </c>
      <c r="F121" s="2105">
        <f t="shared" si="166"/>
        <v>0</v>
      </c>
      <c r="G121" s="4074">
        <f t="shared" si="167"/>
        <v>0</v>
      </c>
      <c r="H121" s="2104">
        <f t="shared" si="168"/>
        <v>0</v>
      </c>
      <c r="I121" s="2105">
        <f t="shared" si="169"/>
        <v>0</v>
      </c>
      <c r="J121" s="2106">
        <f t="shared" si="170"/>
        <v>0</v>
      </c>
      <c r="K121" s="2106">
        <f t="shared" si="171"/>
        <v>0</v>
      </c>
      <c r="L121" s="2106">
        <f t="shared" si="172"/>
        <v>0</v>
      </c>
      <c r="M121" s="2107">
        <f t="shared" si="173"/>
        <v>0</v>
      </c>
      <c r="N121" s="2108">
        <f t="shared" si="174"/>
        <v>0</v>
      </c>
      <c r="O121" s="1253"/>
      <c r="P121" s="1255"/>
      <c r="Q121" s="1254"/>
      <c r="R121" s="1255"/>
      <c r="S121" s="1256"/>
      <c r="T121" s="1256"/>
      <c r="U121" s="1256"/>
      <c r="V121" s="1256"/>
      <c r="W121" s="1253"/>
      <c r="X121" s="1255"/>
      <c r="Y121" s="1254"/>
      <c r="Z121" s="1255"/>
      <c r="AA121" s="1256"/>
      <c r="AB121" s="1256"/>
      <c r="AC121" s="1256"/>
      <c r="AD121" s="1256"/>
      <c r="AE121" s="1253"/>
      <c r="AF121" s="1255"/>
      <c r="AG121" s="1254"/>
      <c r="AH121" s="1255"/>
      <c r="AI121" s="1256"/>
      <c r="AJ121" s="1256"/>
      <c r="AK121" s="1256"/>
      <c r="AL121" s="1257"/>
      <c r="AM121" s="1258"/>
      <c r="AN121" s="1259"/>
      <c r="AO121" s="2109" t="s">
        <v>676</v>
      </c>
      <c r="AP121" s="1255"/>
      <c r="AQ121" s="1255"/>
      <c r="AR121" s="1254"/>
      <c r="AS121" s="1255"/>
      <c r="AT121" s="1256"/>
      <c r="AU121" s="1256"/>
      <c r="AV121" s="1256"/>
      <c r="AW121" s="1254"/>
      <c r="AX121" s="2110" t="s">
        <v>375</v>
      </c>
      <c r="AY121" s="4422"/>
      <c r="AZ121" s="4438">
        <f t="shared" si="129"/>
        <v>0</v>
      </c>
      <c r="BA121" s="4438">
        <f t="shared" si="130"/>
        <v>0</v>
      </c>
      <c r="BB121" s="4438">
        <f t="shared" si="131"/>
        <v>0</v>
      </c>
      <c r="BC121" s="4438">
        <f t="shared" si="132"/>
        <v>0</v>
      </c>
      <c r="BD121" s="4438">
        <f t="shared" si="133"/>
        <v>0</v>
      </c>
      <c r="BE121" s="4438">
        <f t="shared" si="134"/>
        <v>0</v>
      </c>
      <c r="BF121" s="4438">
        <f t="shared" si="135"/>
        <v>0</v>
      </c>
      <c r="BG121" s="4438">
        <f t="shared" si="136"/>
        <v>0</v>
      </c>
      <c r="BH121" s="4438">
        <f t="shared" si="137"/>
        <v>0</v>
      </c>
      <c r="BI121" s="4438">
        <f t="shared" si="138"/>
        <v>0</v>
      </c>
      <c r="BJ121" s="4438">
        <f t="shared" si="139"/>
        <v>0</v>
      </c>
      <c r="BK121" s="4438">
        <f t="shared" si="140"/>
        <v>0</v>
      </c>
      <c r="BL121" s="4438">
        <f t="shared" si="141"/>
        <v>0</v>
      </c>
      <c r="BM121" s="4438">
        <f t="shared" si="142"/>
        <v>0</v>
      </c>
      <c r="BN121" s="4438">
        <f t="shared" si="143"/>
        <v>0</v>
      </c>
      <c r="BO121" s="4438">
        <f t="shared" si="144"/>
        <v>0</v>
      </c>
      <c r="BP121" s="4438">
        <f t="shared" si="145"/>
        <v>0</v>
      </c>
      <c r="BQ121" s="4438">
        <f t="shared" si="146"/>
        <v>0</v>
      </c>
      <c r="BR121" s="4438">
        <f t="shared" si="147"/>
        <v>0</v>
      </c>
      <c r="BS121" s="4438">
        <f t="shared" si="148"/>
        <v>0</v>
      </c>
      <c r="BT121" s="4438">
        <f t="shared" si="149"/>
        <v>0</v>
      </c>
      <c r="BU121" s="4438">
        <f t="shared" si="150"/>
        <v>0</v>
      </c>
      <c r="BV121" s="4438">
        <f t="shared" si="151"/>
        <v>0</v>
      </c>
      <c r="BW121" s="4438">
        <f t="shared" si="152"/>
        <v>0</v>
      </c>
      <c r="BX121" s="4438">
        <f t="shared" si="153"/>
        <v>0</v>
      </c>
      <c r="BY121" s="4438">
        <f t="shared" si="154"/>
        <v>0</v>
      </c>
      <c r="BZ121" s="4438">
        <f t="shared" si="155"/>
        <v>0</v>
      </c>
      <c r="CA121" s="4438">
        <f t="shared" si="156"/>
        <v>0</v>
      </c>
      <c r="CB121" s="4438">
        <f t="shared" si="157"/>
        <v>0</v>
      </c>
      <c r="CC121" s="4438">
        <f t="shared" si="158"/>
        <v>0</v>
      </c>
      <c r="CD121" s="4438">
        <f t="shared" si="159"/>
        <v>0</v>
      </c>
      <c r="CE121" s="4438">
        <f t="shared" si="160"/>
        <v>0</v>
      </c>
      <c r="CF121" s="4438">
        <f t="shared" si="161"/>
        <v>0</v>
      </c>
    </row>
    <row r="122" spans="1:84" ht="24">
      <c r="A122" s="2117"/>
      <c r="B122" s="2101">
        <v>20303</v>
      </c>
      <c r="C122" s="2090">
        <v>2070123</v>
      </c>
      <c r="D122" s="2102">
        <v>0.1</v>
      </c>
      <c r="E122" s="2103" t="s">
        <v>377</v>
      </c>
      <c r="F122" s="2105">
        <f t="shared" si="166"/>
        <v>0</v>
      </c>
      <c r="G122" s="4074">
        <f t="shared" si="167"/>
        <v>0</v>
      </c>
      <c r="H122" s="2104">
        <f t="shared" si="168"/>
        <v>0</v>
      </c>
      <c r="I122" s="2105">
        <f t="shared" si="169"/>
        <v>0</v>
      </c>
      <c r="J122" s="2106">
        <f t="shared" si="170"/>
        <v>0</v>
      </c>
      <c r="K122" s="2106">
        <f t="shared" si="171"/>
        <v>0</v>
      </c>
      <c r="L122" s="2106">
        <f t="shared" si="172"/>
        <v>0</v>
      </c>
      <c r="M122" s="2107">
        <f t="shared" si="173"/>
        <v>0</v>
      </c>
      <c r="N122" s="2108">
        <f t="shared" si="174"/>
        <v>0</v>
      </c>
      <c r="O122" s="1253"/>
      <c r="P122" s="1255"/>
      <c r="Q122" s="1254"/>
      <c r="R122" s="1255"/>
      <c r="S122" s="1256"/>
      <c r="T122" s="1256"/>
      <c r="U122" s="1256"/>
      <c r="V122" s="1256"/>
      <c r="W122" s="1253"/>
      <c r="X122" s="1255"/>
      <c r="Y122" s="1254"/>
      <c r="Z122" s="1255"/>
      <c r="AA122" s="1256"/>
      <c r="AB122" s="1256"/>
      <c r="AC122" s="1256"/>
      <c r="AD122" s="1256"/>
      <c r="AE122" s="1253"/>
      <c r="AF122" s="1255"/>
      <c r="AG122" s="1254"/>
      <c r="AH122" s="1255"/>
      <c r="AI122" s="1256"/>
      <c r="AJ122" s="1256"/>
      <c r="AK122" s="1256"/>
      <c r="AL122" s="1257"/>
      <c r="AM122" s="1258"/>
      <c r="AN122" s="1259"/>
      <c r="AO122" s="2109" t="s">
        <v>676</v>
      </c>
      <c r="AP122" s="1255"/>
      <c r="AQ122" s="1255"/>
      <c r="AR122" s="1254"/>
      <c r="AS122" s="1255"/>
      <c r="AT122" s="1256"/>
      <c r="AU122" s="1256"/>
      <c r="AV122" s="1256"/>
      <c r="AW122" s="1254"/>
      <c r="AX122" s="2110" t="s">
        <v>375</v>
      </c>
      <c r="AY122" s="4422"/>
      <c r="AZ122" s="4438">
        <f t="shared" si="129"/>
        <v>0</v>
      </c>
      <c r="BA122" s="4438">
        <f t="shared" si="130"/>
        <v>0</v>
      </c>
      <c r="BB122" s="4438">
        <f t="shared" si="131"/>
        <v>0</v>
      </c>
      <c r="BC122" s="4438">
        <f t="shared" si="132"/>
        <v>0</v>
      </c>
      <c r="BD122" s="4438">
        <f t="shared" si="133"/>
        <v>0</v>
      </c>
      <c r="BE122" s="4438">
        <f t="shared" si="134"/>
        <v>0</v>
      </c>
      <c r="BF122" s="4438">
        <f t="shared" si="135"/>
        <v>0</v>
      </c>
      <c r="BG122" s="4438">
        <f t="shared" si="136"/>
        <v>0</v>
      </c>
      <c r="BH122" s="4438">
        <f t="shared" si="137"/>
        <v>0</v>
      </c>
      <c r="BI122" s="4438">
        <f t="shared" si="138"/>
        <v>0</v>
      </c>
      <c r="BJ122" s="4438">
        <f t="shared" si="139"/>
        <v>0</v>
      </c>
      <c r="BK122" s="4438">
        <f t="shared" si="140"/>
        <v>0</v>
      </c>
      <c r="BL122" s="4438">
        <f t="shared" si="141"/>
        <v>0</v>
      </c>
      <c r="BM122" s="4438">
        <f t="shared" si="142"/>
        <v>0</v>
      </c>
      <c r="BN122" s="4438">
        <f t="shared" si="143"/>
        <v>0</v>
      </c>
      <c r="BO122" s="4438">
        <f t="shared" si="144"/>
        <v>0</v>
      </c>
      <c r="BP122" s="4438">
        <f t="shared" si="145"/>
        <v>0</v>
      </c>
      <c r="BQ122" s="4438">
        <f t="shared" si="146"/>
        <v>0</v>
      </c>
      <c r="BR122" s="4438">
        <f t="shared" si="147"/>
        <v>0</v>
      </c>
      <c r="BS122" s="4438">
        <f t="shared" si="148"/>
        <v>0</v>
      </c>
      <c r="BT122" s="4438">
        <f t="shared" si="149"/>
        <v>0</v>
      </c>
      <c r="BU122" s="4438">
        <f t="shared" si="150"/>
        <v>0</v>
      </c>
      <c r="BV122" s="4438">
        <f t="shared" si="151"/>
        <v>0</v>
      </c>
      <c r="BW122" s="4438">
        <f t="shared" si="152"/>
        <v>0</v>
      </c>
      <c r="BX122" s="4438">
        <f t="shared" si="153"/>
        <v>0</v>
      </c>
      <c r="BY122" s="4438">
        <f t="shared" si="154"/>
        <v>0</v>
      </c>
      <c r="BZ122" s="4438">
        <f t="shared" si="155"/>
        <v>0</v>
      </c>
      <c r="CA122" s="4438">
        <f t="shared" si="156"/>
        <v>0</v>
      </c>
      <c r="CB122" s="4438">
        <f t="shared" si="157"/>
        <v>0</v>
      </c>
      <c r="CC122" s="4438">
        <f t="shared" si="158"/>
        <v>0</v>
      </c>
      <c r="CD122" s="4438">
        <f t="shared" si="159"/>
        <v>0</v>
      </c>
      <c r="CE122" s="4438">
        <f t="shared" si="160"/>
        <v>0</v>
      </c>
      <c r="CF122" s="4438">
        <f t="shared" si="161"/>
        <v>0</v>
      </c>
    </row>
    <row r="123" spans="1:84" ht="24.75" thickBot="1">
      <c r="A123" s="2118"/>
      <c r="B123" s="2119">
        <v>20306</v>
      </c>
      <c r="C123" s="2101">
        <v>2070124</v>
      </c>
      <c r="D123" s="2120">
        <v>0.1</v>
      </c>
      <c r="E123" s="2121" t="s">
        <v>712</v>
      </c>
      <c r="F123" s="2105">
        <f t="shared" si="166"/>
        <v>0</v>
      </c>
      <c r="G123" s="4074">
        <f t="shared" si="167"/>
        <v>0</v>
      </c>
      <c r="H123" s="2104">
        <f t="shared" si="168"/>
        <v>0</v>
      </c>
      <c r="I123" s="2105">
        <f t="shared" si="169"/>
        <v>0</v>
      </c>
      <c r="J123" s="2106">
        <f t="shared" si="170"/>
        <v>0</v>
      </c>
      <c r="K123" s="2106">
        <f t="shared" si="171"/>
        <v>0</v>
      </c>
      <c r="L123" s="2106">
        <f t="shared" si="172"/>
        <v>0</v>
      </c>
      <c r="M123" s="2107">
        <f t="shared" si="173"/>
        <v>0</v>
      </c>
      <c r="N123" s="2122">
        <f>SUM(I123:M123)</f>
        <v>0</v>
      </c>
      <c r="O123" s="1261"/>
      <c r="P123" s="1263"/>
      <c r="Q123" s="1262"/>
      <c r="R123" s="1263"/>
      <c r="S123" s="1264"/>
      <c r="T123" s="1264"/>
      <c r="U123" s="1264"/>
      <c r="V123" s="1264"/>
      <c r="W123" s="1261"/>
      <c r="X123" s="1263"/>
      <c r="Y123" s="1262"/>
      <c r="Z123" s="1263"/>
      <c r="AA123" s="1264"/>
      <c r="AB123" s="1264"/>
      <c r="AC123" s="1264"/>
      <c r="AD123" s="1264"/>
      <c r="AE123" s="1261"/>
      <c r="AF123" s="1263"/>
      <c r="AG123" s="1262"/>
      <c r="AH123" s="1263"/>
      <c r="AI123" s="1264"/>
      <c r="AJ123" s="1264"/>
      <c r="AK123" s="1264"/>
      <c r="AL123" s="1265"/>
      <c r="AM123" s="1266"/>
      <c r="AN123" s="1267"/>
      <c r="AO123" s="2123" t="s">
        <v>676</v>
      </c>
      <c r="AP123" s="1263"/>
      <c r="AQ123" s="1263"/>
      <c r="AR123" s="1262"/>
      <c r="AS123" s="1263"/>
      <c r="AT123" s="1264"/>
      <c r="AU123" s="1264"/>
      <c r="AV123" s="1264"/>
      <c r="AW123" s="1262"/>
      <c r="AX123" s="2124" t="s">
        <v>666</v>
      </c>
      <c r="AY123" s="4422"/>
      <c r="AZ123" s="4438">
        <f t="shared" si="129"/>
        <v>0</v>
      </c>
      <c r="BA123" s="4438">
        <f t="shared" si="130"/>
        <v>0</v>
      </c>
      <c r="BB123" s="4438">
        <f t="shared" si="131"/>
        <v>0</v>
      </c>
      <c r="BC123" s="4438">
        <f t="shared" si="132"/>
        <v>0</v>
      </c>
      <c r="BD123" s="4438">
        <f t="shared" si="133"/>
        <v>0</v>
      </c>
      <c r="BE123" s="4438">
        <f t="shared" si="134"/>
        <v>0</v>
      </c>
      <c r="BF123" s="4438">
        <f t="shared" si="135"/>
        <v>0</v>
      </c>
      <c r="BG123" s="4438">
        <f t="shared" si="136"/>
        <v>0</v>
      </c>
      <c r="BH123" s="4438">
        <f t="shared" si="137"/>
        <v>0</v>
      </c>
      <c r="BI123" s="4438">
        <f t="shared" si="138"/>
        <v>0</v>
      </c>
      <c r="BJ123" s="4438">
        <f t="shared" si="139"/>
        <v>0</v>
      </c>
      <c r="BK123" s="4438">
        <f t="shared" si="140"/>
        <v>0</v>
      </c>
      <c r="BL123" s="4438">
        <f t="shared" si="141"/>
        <v>0</v>
      </c>
      <c r="BM123" s="4438">
        <f t="shared" si="142"/>
        <v>0</v>
      </c>
      <c r="BN123" s="4438">
        <f t="shared" si="143"/>
        <v>0</v>
      </c>
      <c r="BO123" s="4438">
        <f t="shared" si="144"/>
        <v>0</v>
      </c>
      <c r="BP123" s="4438">
        <f t="shared" si="145"/>
        <v>0</v>
      </c>
      <c r="BQ123" s="4438">
        <f t="shared" si="146"/>
        <v>0</v>
      </c>
      <c r="BR123" s="4438">
        <f t="shared" si="147"/>
        <v>0</v>
      </c>
      <c r="BS123" s="4438">
        <f t="shared" si="148"/>
        <v>0</v>
      </c>
      <c r="BT123" s="4438">
        <f t="shared" si="149"/>
        <v>0</v>
      </c>
      <c r="BU123" s="4438">
        <f t="shared" si="150"/>
        <v>0</v>
      </c>
      <c r="BV123" s="4438">
        <f t="shared" si="151"/>
        <v>0</v>
      </c>
      <c r="BW123" s="4438">
        <f t="shared" si="152"/>
        <v>0</v>
      </c>
      <c r="BX123" s="4438">
        <f t="shared" si="153"/>
        <v>0</v>
      </c>
      <c r="BY123" s="4438">
        <f t="shared" si="154"/>
        <v>0</v>
      </c>
      <c r="BZ123" s="4438">
        <f t="shared" si="155"/>
        <v>0</v>
      </c>
      <c r="CA123" s="4438">
        <f t="shared" si="156"/>
        <v>0</v>
      </c>
      <c r="CB123" s="4438">
        <f t="shared" si="157"/>
        <v>0</v>
      </c>
      <c r="CC123" s="4438">
        <f t="shared" si="158"/>
        <v>0</v>
      </c>
      <c r="CD123" s="4438">
        <f t="shared" si="159"/>
        <v>0</v>
      </c>
      <c r="CE123" s="4438">
        <f t="shared" si="160"/>
        <v>0</v>
      </c>
      <c r="CF123" s="4438">
        <f t="shared" si="161"/>
        <v>0</v>
      </c>
    </row>
    <row r="124" spans="1:84" s="1245" customFormat="1" ht="24">
      <c r="A124" s="2186">
        <v>1</v>
      </c>
      <c r="B124" s="2186"/>
      <c r="C124" s="2186"/>
      <c r="D124" s="2187"/>
      <c r="E124" s="2188" t="s">
        <v>1235</v>
      </c>
      <c r="F124" s="2189">
        <f>F60+F57+F48+F36+F11+F73+F99</f>
        <v>4479</v>
      </c>
      <c r="G124" s="4078">
        <f>G60+G57+G48+G36+G11+G73+G99</f>
        <v>3878</v>
      </c>
      <c r="H124" s="2190">
        <f t="shared" ref="H124:M124" si="175">H60+H57+H48+H36+H11+H73+H99</f>
        <v>2249</v>
      </c>
      <c r="I124" s="2191">
        <f t="shared" si="175"/>
        <v>8914.303774</v>
      </c>
      <c r="J124" s="2192">
        <f t="shared" si="175"/>
        <v>14484.607548</v>
      </c>
      <c r="K124" s="2192">
        <f t="shared" si="175"/>
        <v>14192.607548</v>
      </c>
      <c r="L124" s="2192">
        <f t="shared" si="175"/>
        <v>2359.1999999999998</v>
      </c>
      <c r="M124" s="2193">
        <f t="shared" si="175"/>
        <v>2350</v>
      </c>
      <c r="N124" s="2194">
        <f>SUM(I124:M124)</f>
        <v>42300.718869999997</v>
      </c>
      <c r="O124" s="2195">
        <f t="shared" ref="O124" si="176">O60+O57+O48+O36+O11+O73+O99</f>
        <v>4479</v>
      </c>
      <c r="P124" s="4085">
        <f t="shared" ref="P124:AL124" si="177">P60+P57+P48+P36+P11+P73+P99</f>
        <v>3570</v>
      </c>
      <c r="Q124" s="2196">
        <f t="shared" si="177"/>
        <v>2249</v>
      </c>
      <c r="R124" s="2197">
        <f t="shared" si="177"/>
        <v>2022</v>
      </c>
      <c r="S124" s="2198">
        <f t="shared" si="177"/>
        <v>2144</v>
      </c>
      <c r="T124" s="2198">
        <f t="shared" si="177"/>
        <v>2160</v>
      </c>
      <c r="U124" s="2198">
        <f t="shared" si="177"/>
        <v>1823.2</v>
      </c>
      <c r="V124" s="2199">
        <f t="shared" si="177"/>
        <v>1814</v>
      </c>
      <c r="W124" s="2195">
        <f t="shared" ref="W124" si="178">W60+W57+W48+W36+W11+W73+W99</f>
        <v>0</v>
      </c>
      <c r="X124" s="4085">
        <f t="shared" si="177"/>
        <v>0</v>
      </c>
      <c r="Y124" s="2196">
        <f t="shared" si="177"/>
        <v>0</v>
      </c>
      <c r="Z124" s="2197">
        <f t="shared" si="177"/>
        <v>990</v>
      </c>
      <c r="AA124" s="2198">
        <f t="shared" si="177"/>
        <v>536</v>
      </c>
      <c r="AB124" s="2198">
        <f t="shared" si="177"/>
        <v>536</v>
      </c>
      <c r="AC124" s="2198">
        <f t="shared" si="177"/>
        <v>536</v>
      </c>
      <c r="AD124" s="2200">
        <f t="shared" si="177"/>
        <v>536</v>
      </c>
      <c r="AE124" s="2195">
        <f t="shared" ref="AE124" si="179">AE60+AE57+AE48+AE36+AE11+AE73+AE99</f>
        <v>0</v>
      </c>
      <c r="AF124" s="4085">
        <f t="shared" si="177"/>
        <v>308</v>
      </c>
      <c r="AG124" s="2196">
        <f t="shared" si="177"/>
        <v>0</v>
      </c>
      <c r="AH124" s="2197">
        <f t="shared" si="177"/>
        <v>5902.303774</v>
      </c>
      <c r="AI124" s="2198">
        <f t="shared" si="177"/>
        <v>11804.607548</v>
      </c>
      <c r="AJ124" s="2198">
        <f t="shared" si="177"/>
        <v>11496.607548</v>
      </c>
      <c r="AK124" s="2198">
        <f t="shared" si="177"/>
        <v>0</v>
      </c>
      <c r="AL124" s="2199">
        <f t="shared" si="177"/>
        <v>0</v>
      </c>
      <c r="AM124" s="2201"/>
      <c r="AN124" s="2202"/>
      <c r="AO124" s="2201"/>
      <c r="AP124" s="2201"/>
      <c r="AQ124" s="2201"/>
      <c r="AR124" s="2201"/>
      <c r="AS124" s="2201"/>
      <c r="AT124" s="2201"/>
      <c r="AU124" s="2201"/>
      <c r="AV124" s="2201"/>
      <c r="AW124" s="2202"/>
      <c r="AX124" s="2203"/>
      <c r="AY124" s="4422"/>
      <c r="AZ124" s="4438">
        <f t="shared" si="129"/>
        <v>2290.0763358778627</v>
      </c>
      <c r="BA124" s="4438">
        <f t="shared" si="130"/>
        <v>1982.7899152789353</v>
      </c>
      <c r="BB124" s="4438">
        <f t="shared" si="131"/>
        <v>1149.8954408102954</v>
      </c>
      <c r="BC124" s="4438">
        <f t="shared" si="132"/>
        <v>4557.8111461630106</v>
      </c>
      <c r="BD124" s="4438">
        <f t="shared" si="133"/>
        <v>7405.8622416058661</v>
      </c>
      <c r="BE124" s="4438">
        <f t="shared" si="134"/>
        <v>7256.5650122965699</v>
      </c>
      <c r="BF124" s="4438">
        <f t="shared" si="135"/>
        <v>1206.2398061181186</v>
      </c>
      <c r="BG124" s="4438">
        <f t="shared" si="136"/>
        <v>1201.5359208111136</v>
      </c>
      <c r="BH124" s="4438">
        <f t="shared" si="137"/>
        <v>21628.014126994676</v>
      </c>
      <c r="BI124" s="4438">
        <f t="shared" si="138"/>
        <v>2290.0763358778627</v>
      </c>
      <c r="BJ124" s="4438">
        <f t="shared" si="139"/>
        <v>1825.3120158705001</v>
      </c>
      <c r="BK124" s="4438">
        <f t="shared" si="140"/>
        <v>1149.8954408102954</v>
      </c>
      <c r="BL124" s="4438">
        <f t="shared" si="141"/>
        <v>1033.8321837787537</v>
      </c>
      <c r="BM124" s="4438">
        <f t="shared" si="142"/>
        <v>1096.2097932846925</v>
      </c>
      <c r="BN124" s="4438">
        <f t="shared" si="143"/>
        <v>1104.390463383832</v>
      </c>
      <c r="BO124" s="4438">
        <f t="shared" si="144"/>
        <v>932.18735779694555</v>
      </c>
      <c r="BP124" s="4438">
        <f t="shared" si="145"/>
        <v>927.48347248994037</v>
      </c>
      <c r="BQ124" s="4438">
        <f t="shared" si="146"/>
        <v>0</v>
      </c>
      <c r="BR124" s="4438">
        <f t="shared" si="147"/>
        <v>0</v>
      </c>
      <c r="BS124" s="4438">
        <f t="shared" si="148"/>
        <v>0</v>
      </c>
      <c r="BT124" s="4438">
        <f t="shared" si="149"/>
        <v>506.17896238425629</v>
      </c>
      <c r="BU124" s="4438">
        <f t="shared" si="150"/>
        <v>274.05244832117313</v>
      </c>
      <c r="BV124" s="4438">
        <f t="shared" si="151"/>
        <v>274.05244832117313</v>
      </c>
      <c r="BW124" s="4438">
        <f t="shared" si="152"/>
        <v>274.05244832117313</v>
      </c>
      <c r="BX124" s="4438">
        <f t="shared" si="153"/>
        <v>274.05244832117313</v>
      </c>
      <c r="BY124" s="4438">
        <f t="shared" si="154"/>
        <v>0</v>
      </c>
      <c r="BZ124" s="4438">
        <f t="shared" si="155"/>
        <v>157.47789940843529</v>
      </c>
      <c r="CA124" s="4438">
        <f t="shared" si="156"/>
        <v>0</v>
      </c>
      <c r="CB124" s="4438">
        <f t="shared" si="157"/>
        <v>3017.8</v>
      </c>
      <c r="CC124" s="4438">
        <f t="shared" si="158"/>
        <v>6035.6</v>
      </c>
      <c r="CD124" s="4438">
        <f t="shared" si="159"/>
        <v>5878.122100591565</v>
      </c>
      <c r="CE124" s="4438">
        <f t="shared" si="160"/>
        <v>0</v>
      </c>
      <c r="CF124" s="4438">
        <f t="shared" si="161"/>
        <v>0</v>
      </c>
    </row>
    <row r="125" spans="1:84" ht="24">
      <c r="A125" s="2204"/>
      <c r="B125" s="2204"/>
      <c r="C125" s="2204"/>
      <c r="D125" s="2205"/>
      <c r="E125" s="2206" t="s">
        <v>625</v>
      </c>
      <c r="F125" s="2207">
        <f>SUM(F30:F35)+SUM(F43:F47)+F50+SUM(F52:F56)+F60-F69-F70+SUM(F92:F97)+SUM(F118:F123)</f>
        <v>2208</v>
      </c>
      <c r="G125" s="4079">
        <f>SUM(G30:G35)+SUM(G43:G47)+G50+SUM(G52:G56)+G60-G69-G70+SUM(G92:G97)+SUM(G118:G123)</f>
        <v>1034</v>
      </c>
      <c r="H125" s="2208">
        <f t="shared" ref="H125:M125" si="180">SUM(H30:H35)+SUM(H43:H47)+H50+SUM(H52:H56)+H60-H69-H70+SUM(H92:H97)+SUM(H118:H123)</f>
        <v>650</v>
      </c>
      <c r="I125" s="2209">
        <f t="shared" si="180"/>
        <v>1062</v>
      </c>
      <c r="J125" s="2210">
        <f t="shared" si="180"/>
        <v>559</v>
      </c>
      <c r="K125" s="2210">
        <f t="shared" si="180"/>
        <v>559</v>
      </c>
      <c r="L125" s="2210">
        <f t="shared" si="180"/>
        <v>559</v>
      </c>
      <c r="M125" s="2211">
        <f t="shared" si="180"/>
        <v>559</v>
      </c>
      <c r="N125" s="2212">
        <f>SUM(I125:M125)</f>
        <v>3298</v>
      </c>
      <c r="O125" s="2213">
        <f t="shared" ref="O125" si="181">SUM(O30:O35)+SUM(O43:O47)+O50+SUM(O52:O56)+O60-O69-O70+SUM(O92:O97)+SUM(O118:O123)</f>
        <v>2208</v>
      </c>
      <c r="P125" s="4089">
        <f t="shared" ref="P125:AL125" si="182">SUM(P30:P35)+SUM(P43:P47)+P50+SUM(P52:P56)+P60-P69-P70+SUM(P92:P97)+SUM(P118:P123)</f>
        <v>1034</v>
      </c>
      <c r="Q125" s="2214">
        <f t="shared" si="182"/>
        <v>650</v>
      </c>
      <c r="R125" s="2215">
        <f t="shared" si="182"/>
        <v>72</v>
      </c>
      <c r="S125" s="2216">
        <f t="shared" si="182"/>
        <v>23</v>
      </c>
      <c r="T125" s="2216">
        <f t="shared" si="182"/>
        <v>23</v>
      </c>
      <c r="U125" s="2216">
        <f t="shared" si="182"/>
        <v>23</v>
      </c>
      <c r="V125" s="2212">
        <f t="shared" si="182"/>
        <v>23</v>
      </c>
      <c r="W125" s="2213">
        <f t="shared" ref="W125" si="183">SUM(W30:W35)+SUM(W43:W47)+W50+SUM(W52:W56)+W60-W69-W70+SUM(W92:W97)+SUM(W118:W123)</f>
        <v>0</v>
      </c>
      <c r="X125" s="4089">
        <f t="shared" si="182"/>
        <v>0</v>
      </c>
      <c r="Y125" s="2214">
        <f t="shared" si="182"/>
        <v>0</v>
      </c>
      <c r="Z125" s="2215">
        <f t="shared" si="182"/>
        <v>990</v>
      </c>
      <c r="AA125" s="2216">
        <f t="shared" si="182"/>
        <v>536</v>
      </c>
      <c r="AB125" s="2216">
        <f t="shared" si="182"/>
        <v>536</v>
      </c>
      <c r="AC125" s="2216">
        <f t="shared" si="182"/>
        <v>536</v>
      </c>
      <c r="AD125" s="2217">
        <f t="shared" si="182"/>
        <v>536</v>
      </c>
      <c r="AE125" s="2213">
        <f t="shared" ref="AE125" si="184">SUM(AE30:AE35)+SUM(AE43:AE47)+AE50+SUM(AE52:AE56)+AE60-AE69-AE70+SUM(AE92:AE97)+SUM(AE118:AE123)</f>
        <v>0</v>
      </c>
      <c r="AF125" s="4089">
        <f t="shared" si="182"/>
        <v>0</v>
      </c>
      <c r="AG125" s="2214">
        <f t="shared" si="182"/>
        <v>0</v>
      </c>
      <c r="AH125" s="2215">
        <f t="shared" si="182"/>
        <v>0</v>
      </c>
      <c r="AI125" s="2216">
        <f t="shared" si="182"/>
        <v>0</v>
      </c>
      <c r="AJ125" s="2216">
        <f t="shared" si="182"/>
        <v>0</v>
      </c>
      <c r="AK125" s="2216">
        <f t="shared" si="182"/>
        <v>0</v>
      </c>
      <c r="AL125" s="2212">
        <f t="shared" si="182"/>
        <v>0</v>
      </c>
      <c r="AM125" s="2218"/>
      <c r="AN125" s="2219"/>
      <c r="AO125" s="2218"/>
      <c r="AP125" s="2218"/>
      <c r="AQ125" s="2218"/>
      <c r="AR125" s="2218"/>
      <c r="AS125" s="2218"/>
      <c r="AT125" s="2218"/>
      <c r="AU125" s="2218"/>
      <c r="AV125" s="2218"/>
      <c r="AW125" s="2219"/>
      <c r="AX125" s="2220"/>
      <c r="AY125" s="4422"/>
      <c r="AZ125" s="4438">
        <f t="shared" si="129"/>
        <v>1128.9324736812505</v>
      </c>
      <c r="BA125" s="4438">
        <f t="shared" si="130"/>
        <v>528.67580515688996</v>
      </c>
      <c r="BB125" s="4438">
        <f t="shared" si="131"/>
        <v>332.33972277754202</v>
      </c>
      <c r="BC125" s="4438">
        <f t="shared" si="132"/>
        <v>542.99197783038403</v>
      </c>
      <c r="BD125" s="4438">
        <f t="shared" si="133"/>
        <v>285.81216158868614</v>
      </c>
      <c r="BE125" s="4438">
        <f t="shared" si="134"/>
        <v>285.81216158868614</v>
      </c>
      <c r="BF125" s="4438">
        <f t="shared" si="135"/>
        <v>285.81216158868614</v>
      </c>
      <c r="BG125" s="4438">
        <f t="shared" si="136"/>
        <v>285.81216158868614</v>
      </c>
      <c r="BH125" s="4438">
        <f t="shared" si="137"/>
        <v>1686.2406241851286</v>
      </c>
      <c r="BI125" s="4438">
        <f t="shared" si="138"/>
        <v>1128.9324736812505</v>
      </c>
      <c r="BJ125" s="4438">
        <f t="shared" si="139"/>
        <v>528.67580515688996</v>
      </c>
      <c r="BK125" s="4438">
        <f t="shared" si="140"/>
        <v>332.33972277754202</v>
      </c>
      <c r="BL125" s="4438">
        <f t="shared" si="141"/>
        <v>36.813015446127729</v>
      </c>
      <c r="BM125" s="4438">
        <f t="shared" si="142"/>
        <v>11.759713267513025</v>
      </c>
      <c r="BN125" s="4438">
        <f t="shared" si="143"/>
        <v>11.759713267513025</v>
      </c>
      <c r="BO125" s="4438">
        <f t="shared" si="144"/>
        <v>11.759713267513025</v>
      </c>
      <c r="BP125" s="4438">
        <f t="shared" si="145"/>
        <v>11.759713267513025</v>
      </c>
      <c r="BQ125" s="4438">
        <f t="shared" si="146"/>
        <v>0</v>
      </c>
      <c r="BR125" s="4438">
        <f t="shared" si="147"/>
        <v>0</v>
      </c>
      <c r="BS125" s="4438">
        <f t="shared" si="148"/>
        <v>0</v>
      </c>
      <c r="BT125" s="4438">
        <f t="shared" si="149"/>
        <v>506.17896238425629</v>
      </c>
      <c r="BU125" s="4438">
        <f t="shared" si="150"/>
        <v>274.05244832117313</v>
      </c>
      <c r="BV125" s="4438">
        <f t="shared" si="151"/>
        <v>274.05244832117313</v>
      </c>
      <c r="BW125" s="4438">
        <f t="shared" si="152"/>
        <v>274.05244832117313</v>
      </c>
      <c r="BX125" s="4438">
        <f t="shared" si="153"/>
        <v>274.05244832117313</v>
      </c>
      <c r="BY125" s="4438">
        <f t="shared" si="154"/>
        <v>0</v>
      </c>
      <c r="BZ125" s="4438">
        <f t="shared" si="155"/>
        <v>0</v>
      </c>
      <c r="CA125" s="4438">
        <f t="shared" si="156"/>
        <v>0</v>
      </c>
      <c r="CB125" s="4438">
        <f t="shared" si="157"/>
        <v>0</v>
      </c>
      <c r="CC125" s="4438">
        <f t="shared" si="158"/>
        <v>0</v>
      </c>
      <c r="CD125" s="4438">
        <f t="shared" si="159"/>
        <v>0</v>
      </c>
      <c r="CE125" s="4438">
        <f t="shared" si="160"/>
        <v>0</v>
      </c>
      <c r="CF125" s="4438">
        <f t="shared" si="161"/>
        <v>0</v>
      </c>
    </row>
    <row r="126" spans="1:84" ht="24.75" thickBot="1">
      <c r="A126" s="2221"/>
      <c r="B126" s="2221"/>
      <c r="C126" s="2221"/>
      <c r="D126" s="2222"/>
      <c r="E126" s="2223" t="s">
        <v>626</v>
      </c>
      <c r="F126" s="2224">
        <f>SUM(F12:F29)+SUM(F37:F42)+F49+F51+F57+F69+F70+SUM(F74:F91)+SUM(F100:F117)</f>
        <v>2271</v>
      </c>
      <c r="G126" s="4080">
        <f>SUM(G12:G29)+SUM(G37:G42)+G49+G51+G57+G69+G70+SUM(G74:G91)+SUM(G100:G117)</f>
        <v>2844</v>
      </c>
      <c r="H126" s="2225">
        <f t="shared" ref="H126:M126" si="185">SUM(H12:H29)+SUM(H37:H42)+H49+H51+H57+H69+H70+SUM(H74:H91)+SUM(H100:H117)</f>
        <v>1599</v>
      </c>
      <c r="I126" s="2226">
        <f t="shared" si="185"/>
        <v>7852.303774</v>
      </c>
      <c r="J126" s="2227">
        <f t="shared" si="185"/>
        <v>13925.607548</v>
      </c>
      <c r="K126" s="2227">
        <f t="shared" si="185"/>
        <v>13633.607548</v>
      </c>
      <c r="L126" s="2227">
        <f t="shared" si="185"/>
        <v>1800.2</v>
      </c>
      <c r="M126" s="2228">
        <f t="shared" si="185"/>
        <v>1791</v>
      </c>
      <c r="N126" s="2229">
        <f>SUM(I126:M126)</f>
        <v>39002.718869999997</v>
      </c>
      <c r="O126" s="2230">
        <f t="shared" ref="O126" si="186">SUM(O12:O29)+SUM(O37:O42)+O49+O51+O57+O69+O70+SUM(O74:O91)+SUM(O100:O117)</f>
        <v>2271</v>
      </c>
      <c r="P126" s="4090">
        <f t="shared" ref="P126:AL126" si="187">SUM(P12:P29)+SUM(P37:P42)+P49+P51+P57+P69+P70+SUM(P74:P91)+SUM(P100:P117)</f>
        <v>2536</v>
      </c>
      <c r="Q126" s="2231">
        <f t="shared" si="187"/>
        <v>1599</v>
      </c>
      <c r="R126" s="2232">
        <f t="shared" si="187"/>
        <v>1950</v>
      </c>
      <c r="S126" s="2233">
        <f t="shared" si="187"/>
        <v>2121</v>
      </c>
      <c r="T126" s="2233">
        <f t="shared" si="187"/>
        <v>2137</v>
      </c>
      <c r="U126" s="2233">
        <f t="shared" si="187"/>
        <v>1800.2</v>
      </c>
      <c r="V126" s="2229">
        <f t="shared" si="187"/>
        <v>1791</v>
      </c>
      <c r="W126" s="2230">
        <f t="shared" ref="W126" si="188">SUM(W12:W29)+SUM(W37:W42)+W49+W51+W57+W69+W70+SUM(W74:W91)+SUM(W100:W117)</f>
        <v>0</v>
      </c>
      <c r="X126" s="4090">
        <f t="shared" si="187"/>
        <v>0</v>
      </c>
      <c r="Y126" s="2231">
        <f t="shared" si="187"/>
        <v>0</v>
      </c>
      <c r="Z126" s="2232">
        <f t="shared" si="187"/>
        <v>0</v>
      </c>
      <c r="AA126" s="2233">
        <f t="shared" si="187"/>
        <v>0</v>
      </c>
      <c r="AB126" s="2233">
        <f t="shared" si="187"/>
        <v>0</v>
      </c>
      <c r="AC126" s="2233">
        <f t="shared" si="187"/>
        <v>0</v>
      </c>
      <c r="AD126" s="2234">
        <f t="shared" si="187"/>
        <v>0</v>
      </c>
      <c r="AE126" s="2230">
        <f t="shared" ref="AE126" si="189">SUM(AE12:AE29)+SUM(AE37:AE42)+AE49+AE51+AE57+AE69+AE70+SUM(AE74:AE91)+SUM(AE100:AE117)</f>
        <v>0</v>
      </c>
      <c r="AF126" s="4090">
        <f t="shared" si="187"/>
        <v>308</v>
      </c>
      <c r="AG126" s="2231">
        <f t="shared" si="187"/>
        <v>0</v>
      </c>
      <c r="AH126" s="2232">
        <f t="shared" si="187"/>
        <v>5902.303774</v>
      </c>
      <c r="AI126" s="2233">
        <f t="shared" si="187"/>
        <v>11804.607548</v>
      </c>
      <c r="AJ126" s="2233">
        <f t="shared" si="187"/>
        <v>11496.607548</v>
      </c>
      <c r="AK126" s="2233">
        <f t="shared" si="187"/>
        <v>0</v>
      </c>
      <c r="AL126" s="2229">
        <f t="shared" si="187"/>
        <v>0</v>
      </c>
      <c r="AM126" s="2235"/>
      <c r="AN126" s="2236"/>
      <c r="AO126" s="2235"/>
      <c r="AP126" s="2235"/>
      <c r="AQ126" s="2235"/>
      <c r="AR126" s="2235"/>
      <c r="AS126" s="2235"/>
      <c r="AT126" s="2235"/>
      <c r="AU126" s="2235"/>
      <c r="AV126" s="2235"/>
      <c r="AW126" s="2236"/>
      <c r="AX126" s="2237"/>
      <c r="AY126" s="4422"/>
      <c r="AZ126" s="4438">
        <f t="shared" si="129"/>
        <v>1161.1438621966122</v>
      </c>
      <c r="BA126" s="4438">
        <f t="shared" si="130"/>
        <v>1454.1141101220453</v>
      </c>
      <c r="BB126" s="4438">
        <f t="shared" si="131"/>
        <v>817.55571803275336</v>
      </c>
      <c r="BC126" s="4438">
        <f t="shared" si="132"/>
        <v>4014.8191683326263</v>
      </c>
      <c r="BD126" s="4438">
        <f t="shared" si="133"/>
        <v>7120.0500800171794</v>
      </c>
      <c r="BE126" s="4438">
        <f t="shared" si="134"/>
        <v>6970.7528507078841</v>
      </c>
      <c r="BF126" s="4438">
        <f t="shared" si="135"/>
        <v>920.42764452943254</v>
      </c>
      <c r="BG126" s="4438">
        <f t="shared" si="136"/>
        <v>915.72375922242736</v>
      </c>
      <c r="BH126" s="4438">
        <f t="shared" si="137"/>
        <v>19941.773502809549</v>
      </c>
      <c r="BI126" s="4438">
        <f t="shared" si="138"/>
        <v>1161.1438621966122</v>
      </c>
      <c r="BJ126" s="4438">
        <f t="shared" si="139"/>
        <v>1296.6362107136101</v>
      </c>
      <c r="BK126" s="4438">
        <f t="shared" si="140"/>
        <v>817.55571803275336</v>
      </c>
      <c r="BL126" s="4438">
        <f t="shared" si="141"/>
        <v>997.01916833262612</v>
      </c>
      <c r="BM126" s="4438">
        <f t="shared" si="142"/>
        <v>1084.4500800171795</v>
      </c>
      <c r="BN126" s="4438">
        <f t="shared" si="143"/>
        <v>1092.6307501163189</v>
      </c>
      <c r="BO126" s="4438">
        <f t="shared" si="144"/>
        <v>920.42764452943254</v>
      </c>
      <c r="BP126" s="4438">
        <f t="shared" si="145"/>
        <v>915.72375922242736</v>
      </c>
      <c r="BQ126" s="4438">
        <f t="shared" si="146"/>
        <v>0</v>
      </c>
      <c r="BR126" s="4438">
        <f t="shared" si="147"/>
        <v>0</v>
      </c>
      <c r="BS126" s="4438">
        <f t="shared" si="148"/>
        <v>0</v>
      </c>
      <c r="BT126" s="4438">
        <f t="shared" si="149"/>
        <v>0</v>
      </c>
      <c r="BU126" s="4438">
        <f t="shared" si="150"/>
        <v>0</v>
      </c>
      <c r="BV126" s="4438">
        <f t="shared" si="151"/>
        <v>0</v>
      </c>
      <c r="BW126" s="4438">
        <f t="shared" si="152"/>
        <v>0</v>
      </c>
      <c r="BX126" s="4438">
        <f t="shared" si="153"/>
        <v>0</v>
      </c>
      <c r="BY126" s="4438">
        <f t="shared" si="154"/>
        <v>0</v>
      </c>
      <c r="BZ126" s="4438">
        <f t="shared" si="155"/>
        <v>157.47789940843529</v>
      </c>
      <c r="CA126" s="4438">
        <f t="shared" si="156"/>
        <v>0</v>
      </c>
      <c r="CB126" s="4438">
        <f t="shared" si="157"/>
        <v>3017.8</v>
      </c>
      <c r="CC126" s="4438">
        <f t="shared" si="158"/>
        <v>6035.6</v>
      </c>
      <c r="CD126" s="4438">
        <f t="shared" si="159"/>
        <v>5878.122100591565</v>
      </c>
      <c r="CE126" s="4438">
        <f t="shared" si="160"/>
        <v>0</v>
      </c>
      <c r="CF126" s="4438">
        <f t="shared" si="161"/>
        <v>0</v>
      </c>
    </row>
    <row r="127" spans="1:84" hidden="1">
      <c r="A127" s="2238"/>
      <c r="B127" s="1278"/>
      <c r="C127" s="1278"/>
      <c r="D127" s="1278"/>
      <c r="AE127" s="2239"/>
      <c r="AF127" s="2239"/>
      <c r="AG127" s="2239"/>
      <c r="AH127" s="2239"/>
      <c r="AI127" s="2239"/>
      <c r="AJ127" s="2239"/>
      <c r="AK127" s="2239"/>
      <c r="AL127" s="2239"/>
      <c r="AM127" s="2240"/>
      <c r="AN127" s="2241"/>
      <c r="AO127" s="2240"/>
      <c r="AP127" s="2240"/>
      <c r="AQ127" s="2240"/>
      <c r="AR127" s="2042"/>
      <c r="AS127" s="2042"/>
      <c r="AT127" s="2042"/>
      <c r="AU127" s="2042"/>
      <c r="AV127" s="2042"/>
      <c r="AW127" s="2242"/>
      <c r="AX127" s="2046"/>
      <c r="AY127" s="4422"/>
    </row>
    <row r="128" spans="1:84" ht="13.5" thickBot="1">
      <c r="A128" s="2042"/>
      <c r="B128" s="2042"/>
      <c r="C128" s="2042"/>
      <c r="D128" s="2242"/>
      <c r="E128" s="2239"/>
      <c r="F128" s="2243"/>
      <c r="G128" s="2243"/>
      <c r="H128" s="2243"/>
      <c r="I128" s="2244"/>
      <c r="J128" s="2244"/>
      <c r="K128" s="2244"/>
      <c r="L128" s="2244"/>
      <c r="M128" s="2244"/>
      <c r="N128" s="2042"/>
      <c r="O128" s="2245"/>
      <c r="P128" s="2245"/>
      <c r="Q128" s="2245"/>
      <c r="R128" s="2042"/>
      <c r="S128" s="2042"/>
      <c r="T128" s="2042"/>
      <c r="U128" s="2042"/>
      <c r="V128" s="2042"/>
      <c r="W128" s="2245"/>
      <c r="X128" s="2245"/>
      <c r="Y128" s="2245"/>
      <c r="Z128" s="2042"/>
      <c r="AA128" s="2042"/>
      <c r="AB128" s="2042"/>
      <c r="AC128" s="2042"/>
      <c r="AD128" s="2042"/>
      <c r="AE128" s="2245"/>
      <c r="AF128" s="2245"/>
      <c r="AG128" s="2245"/>
      <c r="AH128" s="2042"/>
      <c r="AI128" s="2042"/>
      <c r="AJ128" s="2042"/>
      <c r="AK128" s="2042"/>
      <c r="AL128" s="2042"/>
      <c r="AM128" s="2240"/>
      <c r="AN128" s="2239"/>
      <c r="AO128" s="2240"/>
      <c r="AP128" s="2240"/>
      <c r="AQ128" s="2240"/>
      <c r="AR128" s="2042"/>
      <c r="AS128" s="2042"/>
      <c r="AT128" s="2042"/>
      <c r="AU128" s="2042"/>
      <c r="AV128" s="2042"/>
      <c r="AW128" s="2242"/>
      <c r="AX128" s="2046"/>
      <c r="AY128" s="4422"/>
    </row>
    <row r="129" spans="1:84" s="1281" customFormat="1" ht="36.75" thickBot="1">
      <c r="A129" s="2238"/>
      <c r="B129" s="1278"/>
      <c r="C129" s="1278"/>
      <c r="D129" s="1278"/>
      <c r="E129" s="2246" t="s">
        <v>647</v>
      </c>
      <c r="F129" s="2247">
        <f>SUM(F130:F132)</f>
        <v>1</v>
      </c>
      <c r="G129" s="4081">
        <f>SUM(G130:G132)</f>
        <v>1</v>
      </c>
      <c r="H129" s="2248">
        <f t="shared" ref="H129:AL129" si="190">SUM(H130:H132)</f>
        <v>1</v>
      </c>
      <c r="I129" s="2249">
        <f t="shared" si="190"/>
        <v>1</v>
      </c>
      <c r="J129" s="2250">
        <f t="shared" si="190"/>
        <v>1</v>
      </c>
      <c r="K129" s="2250">
        <f t="shared" si="190"/>
        <v>1</v>
      </c>
      <c r="L129" s="2250">
        <f t="shared" si="190"/>
        <v>1</v>
      </c>
      <c r="M129" s="2251">
        <f t="shared" si="190"/>
        <v>1</v>
      </c>
      <c r="N129" s="4091"/>
      <c r="O129" s="2247">
        <f>SUM(O130:O132)</f>
        <v>1</v>
      </c>
      <c r="P129" s="4081">
        <f>SUM(P130:P132)</f>
        <v>1</v>
      </c>
      <c r="Q129" s="2248">
        <f t="shared" si="190"/>
        <v>1</v>
      </c>
      <c r="R129" s="2249">
        <f t="shared" si="190"/>
        <v>1</v>
      </c>
      <c r="S129" s="2250">
        <f t="shared" si="190"/>
        <v>1</v>
      </c>
      <c r="T129" s="2250">
        <f t="shared" si="190"/>
        <v>1</v>
      </c>
      <c r="U129" s="2250">
        <f t="shared" si="190"/>
        <v>1</v>
      </c>
      <c r="V129" s="2252">
        <f t="shared" si="190"/>
        <v>1</v>
      </c>
      <c r="W129" s="2247">
        <f t="shared" ref="W129" si="191">SUM(W130:W132)</f>
        <v>1</v>
      </c>
      <c r="X129" s="4081">
        <f t="shared" si="190"/>
        <v>1</v>
      </c>
      <c r="Y129" s="2248">
        <f t="shared" si="190"/>
        <v>1</v>
      </c>
      <c r="Z129" s="2249">
        <f t="shared" si="190"/>
        <v>1</v>
      </c>
      <c r="AA129" s="2250">
        <f t="shared" si="190"/>
        <v>1</v>
      </c>
      <c r="AB129" s="2250">
        <f t="shared" si="190"/>
        <v>1</v>
      </c>
      <c r="AC129" s="2250">
        <f t="shared" si="190"/>
        <v>1</v>
      </c>
      <c r="AD129" s="2252">
        <f t="shared" si="190"/>
        <v>1</v>
      </c>
      <c r="AE129" s="2247">
        <f t="shared" ref="AE129" si="192">SUM(AE130:AE132)</f>
        <v>1</v>
      </c>
      <c r="AF129" s="4081">
        <f t="shared" si="190"/>
        <v>1</v>
      </c>
      <c r="AG129" s="2248">
        <f t="shared" si="190"/>
        <v>1</v>
      </c>
      <c r="AH129" s="2249">
        <f t="shared" si="190"/>
        <v>1</v>
      </c>
      <c r="AI129" s="2250">
        <f t="shared" si="190"/>
        <v>1</v>
      </c>
      <c r="AJ129" s="2250">
        <f t="shared" si="190"/>
        <v>1</v>
      </c>
      <c r="AK129" s="2250">
        <f t="shared" si="190"/>
        <v>1</v>
      </c>
      <c r="AL129" s="2252">
        <f t="shared" si="190"/>
        <v>1</v>
      </c>
      <c r="AM129" s="2253" t="s">
        <v>1</v>
      </c>
      <c r="AN129" s="2254" t="s">
        <v>2</v>
      </c>
      <c r="AO129" s="2195"/>
      <c r="AP129" s="2195"/>
      <c r="AQ129" s="2195"/>
      <c r="AR129" s="2196"/>
      <c r="AS129" s="2255"/>
      <c r="AT129" s="2198"/>
      <c r="AU129" s="2198"/>
      <c r="AV129" s="2198"/>
      <c r="AW129" s="2200"/>
      <c r="AX129" s="2046"/>
      <c r="AY129" s="4422"/>
    </row>
    <row r="130" spans="1:84">
      <c r="A130" s="2238"/>
      <c r="B130" s="1278"/>
      <c r="C130" s="1278"/>
      <c r="D130" s="1278"/>
      <c r="E130" s="2256" t="s">
        <v>398</v>
      </c>
      <c r="F130" s="2257">
        <f>IF('4. Отчет и прогн. потребление'!D9&gt;0,(1/SUM(IF('4. Отчет и прогн. потребление'!D9&gt;0,1,0),IF('4. Отчет и прогн. потребление'!D48&gt;0,1,0),IF('4. Отчет и прогн. потребление'!D53&gt;0,1,0))),0)</f>
        <v>0.33333333333333331</v>
      </c>
      <c r="G130" s="4082">
        <f>IF('4. Отчет и прогн. потребление'!D9&gt;0,(1/SUM(IF('4. Отчет и прогн. потребление'!D9&gt;0,1,0),IF('4. Отчет и прогн. потребление'!D48&gt;0,1,0),IF('4. Отчет и прогн. потребление'!D53&gt;0,1,0))),0)</f>
        <v>0.33333333333333331</v>
      </c>
      <c r="H130" s="2258">
        <f>IF('4. Отчет и прогн. потребление'!D9&gt;0,(1/SUM(IF('4. Отчет и прогн. потребление'!D9&gt;0,1,0),IF('4. Отчет и прогн. потребление'!D48&gt;0,1,0),IF('4. Отчет и прогн. потребление'!D53&gt;0,1,0))),0)</f>
        <v>0.33333333333333331</v>
      </c>
      <c r="I130" s="2259">
        <f>IF('4. Отчет и прогн. потребление'!E9&gt;0,(1/SUM(IF('4. Отчет и прогн. потребление'!E9&gt;0,1,0),IF('4. Отчет и прогн. потребление'!E48&gt;0,1,0),IF('4. Отчет и прогн. потребление'!E53&gt;0,1,0))),0)</f>
        <v>0.33333333333333331</v>
      </c>
      <c r="J130" s="2260">
        <f>IF('4. Отчет и прогн. потребление'!F9&gt;0,(1/SUM(IF('4. Отчет и прогн. потребление'!F9&gt;0,1,0),IF('4. Отчет и прогн. потребление'!F48&gt;0,1,0),IF('4. Отчет и прогн. потребление'!F53&gt;0,1,0))),0)</f>
        <v>0.33333333333333331</v>
      </c>
      <c r="K130" s="2260">
        <f>IF('4. Отчет и прогн. потребление'!G9&gt;0,(1/SUM(IF('4. Отчет и прогн. потребление'!G9&gt;0,1,0),IF('4. Отчет и прогн. потребление'!G48&gt;0,1,0),IF('4. Отчет и прогн. потребление'!G53&gt;0,1,0))),0)</f>
        <v>0.33333333333333331</v>
      </c>
      <c r="L130" s="2260">
        <f>IF('4. Отчет и прогн. потребление'!H9&gt;0,(1/SUM(IF('4. Отчет и прогн. потребление'!H9&gt;0,1,0),IF('4. Отчет и прогн. потребление'!H48&gt;0,1,0),IF('4. Отчет и прогн. потребление'!H53&gt;0,1,0))),0)</f>
        <v>0.33333333333333331</v>
      </c>
      <c r="M130" s="2261">
        <f>IF('4. Отчет и прогн. потребление'!I9&gt;0,(1/SUM(IF('4. Отчет и прогн. потребление'!I9&gt;0,1,0),IF('4. Отчет и прогн. потребление'!I48&gt;0,1,0),IF('4. Отчет и прогн. потребление'!I53&gt;0,1,0))),0)</f>
        <v>0.33333333333333331</v>
      </c>
      <c r="N130" s="4092"/>
      <c r="O130" s="2264">
        <f t="shared" ref="O130:V131" si="193">F130</f>
        <v>0.33333333333333331</v>
      </c>
      <c r="P130" s="2263">
        <f t="shared" si="193"/>
        <v>0.33333333333333331</v>
      </c>
      <c r="Q130" s="2262">
        <f t="shared" si="193"/>
        <v>0.33333333333333331</v>
      </c>
      <c r="R130" s="2263">
        <f t="shared" si="193"/>
        <v>0.33333333333333331</v>
      </c>
      <c r="S130" s="2261">
        <f t="shared" si="193"/>
        <v>0.33333333333333331</v>
      </c>
      <c r="T130" s="2261">
        <f t="shared" si="193"/>
        <v>0.33333333333333331</v>
      </c>
      <c r="U130" s="2261">
        <f t="shared" si="193"/>
        <v>0.33333333333333331</v>
      </c>
      <c r="V130" s="2261">
        <f t="shared" si="193"/>
        <v>0.33333333333333331</v>
      </c>
      <c r="W130" s="2264">
        <f t="shared" ref="W130:AD132" si="194">F130</f>
        <v>0.33333333333333331</v>
      </c>
      <c r="X130" s="2259">
        <f t="shared" si="194"/>
        <v>0.33333333333333331</v>
      </c>
      <c r="Y130" s="2261">
        <f t="shared" si="194"/>
        <v>0.33333333333333331</v>
      </c>
      <c r="Z130" s="2264">
        <f t="shared" si="194"/>
        <v>0.33333333333333331</v>
      </c>
      <c r="AA130" s="2261">
        <f t="shared" si="194"/>
        <v>0.33333333333333331</v>
      </c>
      <c r="AB130" s="2261">
        <f t="shared" si="194"/>
        <v>0.33333333333333331</v>
      </c>
      <c r="AC130" s="2261">
        <f t="shared" si="194"/>
        <v>0.33333333333333331</v>
      </c>
      <c r="AD130" s="2262">
        <f t="shared" si="194"/>
        <v>0.33333333333333331</v>
      </c>
      <c r="AE130" s="2264">
        <f t="shared" ref="AE130:AL132" si="195">F130</f>
        <v>0.33333333333333331</v>
      </c>
      <c r="AF130" s="2259">
        <f t="shared" si="195"/>
        <v>0.33333333333333331</v>
      </c>
      <c r="AG130" s="2261">
        <f t="shared" si="195"/>
        <v>0.33333333333333331</v>
      </c>
      <c r="AH130" s="2264">
        <f t="shared" si="195"/>
        <v>0.33333333333333331</v>
      </c>
      <c r="AI130" s="2261">
        <f t="shared" si="195"/>
        <v>0.33333333333333331</v>
      </c>
      <c r="AJ130" s="2261">
        <f t="shared" si="195"/>
        <v>0.33333333333333331</v>
      </c>
      <c r="AK130" s="2261">
        <f t="shared" si="195"/>
        <v>0.33333333333333331</v>
      </c>
      <c r="AL130" s="2262">
        <f t="shared" si="195"/>
        <v>0.33333333333333331</v>
      </c>
      <c r="AM130" s="2265" t="s">
        <v>46</v>
      </c>
      <c r="AN130" s="2266" t="s">
        <v>827</v>
      </c>
      <c r="AO130" s="2267" t="s">
        <v>677</v>
      </c>
      <c r="AP130" s="2145">
        <f>SUM((AP16+AP22)-'2. Променливи'!E78*1000)</f>
        <v>-2593</v>
      </c>
      <c r="AQ130" s="4105"/>
      <c r="AR130" s="4103"/>
      <c r="AS130" s="2268">
        <f>SUM((AS16+AS22)-'2. Променливи'!F78*1000)</f>
        <v>-3500</v>
      </c>
      <c r="AT130" s="2269">
        <f>SUM((AT16+AT22)-'2. Променливи'!G78*1000)</f>
        <v>-4000</v>
      </c>
      <c r="AU130" s="2269">
        <f>SUM((AU16+AU22)-'2. Променливи'!H78*1000)</f>
        <v>-500</v>
      </c>
      <c r="AV130" s="2269">
        <f>SUM((AV16+AV22)-'2. Променливи'!I78*1000)</f>
        <v>19200</v>
      </c>
      <c r="AW130" s="2270">
        <f>SUM((AW16+AW22)-'2. Променливи'!J78*1000)</f>
        <v>8230</v>
      </c>
      <c r="AX130" s="2046"/>
      <c r="AY130" s="4422"/>
    </row>
    <row r="131" spans="1:84" ht="24">
      <c r="A131" s="2238"/>
      <c r="B131" s="1278"/>
      <c r="C131" s="1278"/>
      <c r="D131" s="1278"/>
      <c r="E131" s="2266" t="s">
        <v>646</v>
      </c>
      <c r="F131" s="2271">
        <f>IF('4. Отчет и прогн. потребление'!D48&gt;0,(1/SUM(IF('4. Отчет и прогн. потребление'!D9&gt;0,1,0),IF('4. Отчет и прогн. потребление'!D48&gt;0,1,0),IF('4. Отчет и прогн. потребление'!D53&gt;0,1,0))),0)</f>
        <v>0.33333333333333331</v>
      </c>
      <c r="G131" s="4083">
        <f>IF('4. Отчет и прогн. потребление'!D48&gt;0,(1/SUM(IF('4. Отчет и прогн. потребление'!D9&gt;0,1,0),IF('4. Отчет и прогн. потребление'!D48&gt;0,1,0),IF('4. Отчет и прогн. потребление'!D53&gt;0,1,0))),0)</f>
        <v>0.33333333333333331</v>
      </c>
      <c r="H131" s="2272">
        <f>IF('4. Отчет и прогн. потребление'!D48&gt;0,(1/SUM(IF('4. Отчет и прогн. потребление'!D9&gt;0,1,0),IF('4. Отчет и прогн. потребление'!D48&gt;0,1,0),IF('4. Отчет и прогн. потребление'!D53&gt;0,1,0))),0)</f>
        <v>0.33333333333333331</v>
      </c>
      <c r="I131" s="2273">
        <f>IF('4. Отчет и прогн. потребление'!E48&gt;0,(1/SUM(IF('4. Отчет и прогн. потребление'!E9&gt;0,1,0),IF('4. Отчет и прогн. потребление'!E48&gt;0,1,0),IF('4. Отчет и прогн. потребление'!E53&gt;0,1,0))),0)</f>
        <v>0.33333333333333331</v>
      </c>
      <c r="J131" s="2274">
        <f>IF('4. Отчет и прогн. потребление'!F48&gt;0,(1/SUM(IF('4. Отчет и прогн. потребление'!F9&gt;0,1,0),IF('4. Отчет и прогн. потребление'!F48&gt;0,1,0),IF('4. Отчет и прогн. потребление'!F53&gt;0,1,0))),0)</f>
        <v>0.33333333333333331</v>
      </c>
      <c r="K131" s="2274">
        <f>IF('4. Отчет и прогн. потребление'!G48&gt;0,(1/SUM(IF('4. Отчет и прогн. потребление'!G9&gt;0,1,0),IF('4. Отчет и прогн. потребление'!G48&gt;0,1,0),IF('4. Отчет и прогн. потребление'!G53&gt;0,1,0))),0)</f>
        <v>0.33333333333333331</v>
      </c>
      <c r="L131" s="2274">
        <f>IF('4. Отчет и прогн. потребление'!H48&gt;0,(1/SUM(IF('4. Отчет и прогн. потребление'!H9&gt;0,1,0),IF('4. Отчет и прогн. потребление'!H48&gt;0,1,0),IF('4. Отчет и прогн. потребление'!H53&gt;0,1,0))),0)</f>
        <v>0.33333333333333331</v>
      </c>
      <c r="M131" s="2275">
        <f>IF('4. Отчет и прогн. потребление'!I48&gt;0,(1/SUM(IF('4. Отчет и прогн. потребление'!I9&gt;0,1,0),IF('4. Отчет и прогн. потребление'!I48&gt;0,1,0),IF('4. Отчет и прогн. потребление'!I53&gt;0,1,0))),0)</f>
        <v>0.33333333333333331</v>
      </c>
      <c r="N131" s="4093"/>
      <c r="O131" s="2278">
        <f t="shared" si="193"/>
        <v>0.33333333333333331</v>
      </c>
      <c r="P131" s="2277">
        <f t="shared" si="193"/>
        <v>0.33333333333333331</v>
      </c>
      <c r="Q131" s="2276">
        <f t="shared" si="193"/>
        <v>0.33333333333333331</v>
      </c>
      <c r="R131" s="2277">
        <f t="shared" si="193"/>
        <v>0.33333333333333331</v>
      </c>
      <c r="S131" s="2275">
        <f t="shared" si="193"/>
        <v>0.33333333333333331</v>
      </c>
      <c r="T131" s="2275">
        <f t="shared" si="193"/>
        <v>0.33333333333333331</v>
      </c>
      <c r="U131" s="2275">
        <f t="shared" si="193"/>
        <v>0.33333333333333331</v>
      </c>
      <c r="V131" s="2275">
        <f t="shared" si="193"/>
        <v>0.33333333333333331</v>
      </c>
      <c r="W131" s="2278">
        <f t="shared" si="194"/>
        <v>0.33333333333333331</v>
      </c>
      <c r="X131" s="2273">
        <f t="shared" si="194"/>
        <v>0.33333333333333331</v>
      </c>
      <c r="Y131" s="2275">
        <f t="shared" si="194"/>
        <v>0.33333333333333331</v>
      </c>
      <c r="Z131" s="2278">
        <f t="shared" si="194"/>
        <v>0.33333333333333331</v>
      </c>
      <c r="AA131" s="2275">
        <f t="shared" si="194"/>
        <v>0.33333333333333331</v>
      </c>
      <c r="AB131" s="2275">
        <f t="shared" si="194"/>
        <v>0.33333333333333331</v>
      </c>
      <c r="AC131" s="2275">
        <f t="shared" si="194"/>
        <v>0.33333333333333331</v>
      </c>
      <c r="AD131" s="2276">
        <f t="shared" si="194"/>
        <v>0.33333333333333331</v>
      </c>
      <c r="AE131" s="2278">
        <f t="shared" si="195"/>
        <v>0.33333333333333331</v>
      </c>
      <c r="AF131" s="2273">
        <f t="shared" si="195"/>
        <v>0.33333333333333331</v>
      </c>
      <c r="AG131" s="2275">
        <f t="shared" si="195"/>
        <v>0.33333333333333331</v>
      </c>
      <c r="AH131" s="2278">
        <f t="shared" si="195"/>
        <v>0.33333333333333331</v>
      </c>
      <c r="AI131" s="2275">
        <f t="shared" si="195"/>
        <v>0.33333333333333331</v>
      </c>
      <c r="AJ131" s="2275">
        <f t="shared" si="195"/>
        <v>0.33333333333333331</v>
      </c>
      <c r="AK131" s="2275">
        <f t="shared" si="195"/>
        <v>0.33333333333333331</v>
      </c>
      <c r="AL131" s="2276">
        <f t="shared" si="195"/>
        <v>0.33333333333333331</v>
      </c>
      <c r="AM131" s="2279" t="s">
        <v>742</v>
      </c>
      <c r="AN131" s="2266" t="s">
        <v>1334</v>
      </c>
      <c r="AO131" s="2267" t="s">
        <v>676</v>
      </c>
      <c r="AP131" s="2280"/>
      <c r="AQ131" s="4105"/>
      <c r="AR131" s="4103"/>
      <c r="AS131" s="2281"/>
      <c r="AT131" s="2282">
        <f>SUM(AT26-('2. Променливи'!G73-'2. Променливи'!F73))</f>
        <v>-5</v>
      </c>
      <c r="AU131" s="2282">
        <f>SUM(AU26-('2. Променливи'!H73-'2. Променливи'!G73))</f>
        <v>-5</v>
      </c>
      <c r="AV131" s="2282">
        <f>SUM(AV26-('2. Променливи'!I73-'2. Променливи'!H73))</f>
        <v>-5</v>
      </c>
      <c r="AW131" s="2283">
        <f>SUM(AW26-('2. Променливи'!J73-'2. Променливи'!I73))</f>
        <v>-5</v>
      </c>
      <c r="AX131" s="2046"/>
      <c r="AY131" s="4422"/>
    </row>
    <row r="132" spans="1:84" ht="13.5" thickBot="1">
      <c r="A132" s="2238"/>
      <c r="B132" s="1278"/>
      <c r="C132" s="1278"/>
      <c r="D132" s="1278"/>
      <c r="E132" s="2284" t="s">
        <v>399</v>
      </c>
      <c r="F132" s="2285">
        <f>IF('4. Отчет и прогн. потребление'!D53&gt;0,(1/SUM(IF('4. Отчет и прогн. потребление'!D9&gt;0,1,0),IF('4. Отчет и прогн. потребление'!D48&gt;0,1,0),IF('4. Отчет и прогн. потребление'!D53&gt;0,1,0))),0)</f>
        <v>0.33333333333333331</v>
      </c>
      <c r="G132" s="4084">
        <f>IF('4. Отчет и прогн. потребление'!D53&gt;0,(1/SUM(IF('4. Отчет и прогн. потребление'!D9&gt;0,1,0),IF('4. Отчет и прогн. потребление'!D48&gt;0,1,0),IF('4. Отчет и прогн. потребление'!D53&gt;0,1,0))),0)</f>
        <v>0.33333333333333331</v>
      </c>
      <c r="H132" s="2286">
        <f>IF('4. Отчет и прогн. потребление'!D53&gt;0,(1/SUM(IF('4. Отчет и прогн. потребление'!D9&gt;0,1,0),IF('4. Отчет и прогн. потребление'!D48&gt;0,1,0),IF('4. Отчет и прогн. потребление'!D53&gt;0,1,0))),0)</f>
        <v>0.33333333333333331</v>
      </c>
      <c r="I132" s="2286">
        <f>IF('4. Отчет и прогн. потребление'!E53&gt;0,(1/SUM(IF('4. Отчет и прогн. потребление'!E9&gt;0,1,0),IF('4. Отчет и прогн. потребление'!E48&gt;0,1,0),IF('4. Отчет и прогн. потребление'!E53&gt;0,1,0))),0)</f>
        <v>0.33333333333333331</v>
      </c>
      <c r="J132" s="2287">
        <f>IF('4. Отчет и прогн. потребление'!F53&gt;0,(1/SUM(IF('4. Отчет и прогн. потребление'!F9&gt;0,1,0),IF('4. Отчет и прогн. потребление'!F48&gt;0,1,0),IF('4. Отчет и прогн. потребление'!F53&gt;0,1,0))),0)</f>
        <v>0.33333333333333331</v>
      </c>
      <c r="K132" s="2287">
        <f>IF('4. Отчет и прогн. потребление'!G53&gt;0,(1/SUM(IF('4. Отчет и прогн. потребление'!G9&gt;0,1,0),IF('4. Отчет и прогн. потребление'!G48&gt;0,1,0),IF('4. Отчет и прогн. потребление'!G53&gt;0,1,0))),0)</f>
        <v>0.33333333333333331</v>
      </c>
      <c r="L132" s="2287">
        <f>IF('4. Отчет и прогн. потребление'!H53&gt;0,(1/SUM(IF('4. Отчет и прогн. потребление'!H9&gt;0,1,0),IF('4. Отчет и прогн. потребление'!H48&gt;0,1,0),IF('4. Отчет и прогн. потребление'!H53&gt;0,1,0))),0)</f>
        <v>0.33333333333333331</v>
      </c>
      <c r="M132" s="2288">
        <f>IF('4. Отчет и прогн. потребление'!I53&gt;0,(1/SUM(IF('4. Отчет и прогн. потребление'!I9&gt;0,1,0),IF('4. Отчет и прогн. потребление'!I48&gt;0,1,0),IF('4. Отчет и прогн. потребление'!I53&gt;0,1,0))),0)</f>
        <v>0.33333333333333331</v>
      </c>
      <c r="N132" s="4094"/>
      <c r="O132" s="2291">
        <f t="shared" ref="O132:P132" si="196">F132</f>
        <v>0.33333333333333331</v>
      </c>
      <c r="P132" s="2290">
        <f t="shared" si="196"/>
        <v>0.33333333333333331</v>
      </c>
      <c r="Q132" s="2289">
        <f t="shared" ref="Q132:V132" si="197">H132</f>
        <v>0.33333333333333331</v>
      </c>
      <c r="R132" s="2290">
        <f t="shared" si="197"/>
        <v>0.33333333333333331</v>
      </c>
      <c r="S132" s="2288">
        <f t="shared" si="197"/>
        <v>0.33333333333333331</v>
      </c>
      <c r="T132" s="2288">
        <f t="shared" si="197"/>
        <v>0.33333333333333331</v>
      </c>
      <c r="U132" s="2288">
        <f t="shared" si="197"/>
        <v>0.33333333333333331</v>
      </c>
      <c r="V132" s="2288">
        <f t="shared" si="197"/>
        <v>0.33333333333333331</v>
      </c>
      <c r="W132" s="2291">
        <f t="shared" si="194"/>
        <v>0.33333333333333331</v>
      </c>
      <c r="X132" s="2286">
        <f t="shared" si="194"/>
        <v>0.33333333333333331</v>
      </c>
      <c r="Y132" s="2288">
        <f t="shared" si="194"/>
        <v>0.33333333333333331</v>
      </c>
      <c r="Z132" s="2291">
        <f t="shared" si="194"/>
        <v>0.33333333333333331</v>
      </c>
      <c r="AA132" s="2288">
        <f t="shared" si="194"/>
        <v>0.33333333333333331</v>
      </c>
      <c r="AB132" s="2288">
        <f t="shared" si="194"/>
        <v>0.33333333333333331</v>
      </c>
      <c r="AC132" s="2288">
        <f t="shared" si="194"/>
        <v>0.33333333333333331</v>
      </c>
      <c r="AD132" s="2289">
        <f t="shared" si="194"/>
        <v>0.33333333333333331</v>
      </c>
      <c r="AE132" s="2291">
        <f t="shared" si="195"/>
        <v>0.33333333333333331</v>
      </c>
      <c r="AF132" s="2286">
        <f t="shared" si="195"/>
        <v>0.33333333333333331</v>
      </c>
      <c r="AG132" s="2288">
        <f t="shared" si="195"/>
        <v>0.33333333333333331</v>
      </c>
      <c r="AH132" s="2291">
        <f t="shared" si="195"/>
        <v>0.33333333333333331</v>
      </c>
      <c r="AI132" s="2288">
        <f t="shared" si="195"/>
        <v>0.33333333333333331</v>
      </c>
      <c r="AJ132" s="2288">
        <f t="shared" si="195"/>
        <v>0.33333333333333331</v>
      </c>
      <c r="AK132" s="2288">
        <f t="shared" si="195"/>
        <v>0.33333333333333331</v>
      </c>
      <c r="AL132" s="2289">
        <f t="shared" si="195"/>
        <v>0.33333333333333331</v>
      </c>
      <c r="AM132" s="2292" t="s">
        <v>46</v>
      </c>
      <c r="AN132" s="2284" t="s">
        <v>1333</v>
      </c>
      <c r="AO132" s="2293" t="s">
        <v>677</v>
      </c>
      <c r="AP132" s="2293">
        <f>(AP78+AP84)-'2. Променливи'!E130*1000</f>
        <v>0</v>
      </c>
      <c r="AQ132" s="4106"/>
      <c r="AR132" s="4104"/>
      <c r="AS132" s="2294">
        <f>(AS78+AS84)-'2. Променливи'!F130</f>
        <v>0</v>
      </c>
      <c r="AT132" s="2295">
        <f>(AT78+AT84)-'2. Променливи'!G130</f>
        <v>0</v>
      </c>
      <c r="AU132" s="2295">
        <f>(AU78+AU84)-'2. Променливи'!H130</f>
        <v>0</v>
      </c>
      <c r="AV132" s="2295">
        <f>(AV78+AV84)-'2. Променливи'!I130</f>
        <v>0</v>
      </c>
      <c r="AW132" s="2296">
        <f>(AW78+AW84)-'2. Променливи'!J130</f>
        <v>0</v>
      </c>
      <c r="AX132" s="2046"/>
      <c r="AY132" s="4422"/>
    </row>
    <row r="133" spans="1:84" ht="13.5" thickBot="1">
      <c r="A133" s="2238"/>
      <c r="B133" s="1278"/>
      <c r="C133" s="1278"/>
      <c r="D133" s="1278"/>
      <c r="E133" s="2239"/>
      <c r="F133" s="2243"/>
      <c r="G133" s="2243"/>
      <c r="H133" s="2243"/>
      <c r="I133" s="2244"/>
      <c r="J133" s="2244"/>
      <c r="K133" s="2244"/>
      <c r="L133" s="2244"/>
      <c r="M133" s="2244"/>
      <c r="N133" s="2244"/>
      <c r="O133" s="2243"/>
      <c r="P133" s="2243"/>
      <c r="Q133" s="2243"/>
      <c r="R133" s="2244"/>
      <c r="S133" s="2244"/>
      <c r="T133" s="2244"/>
      <c r="U133" s="2244"/>
      <c r="V133" s="2244"/>
      <c r="W133" s="2243"/>
      <c r="X133" s="2243"/>
      <c r="Y133" s="2243"/>
      <c r="Z133" s="2244"/>
      <c r="AA133" s="2244"/>
      <c r="AB133" s="2244"/>
      <c r="AC133" s="2244"/>
      <c r="AD133" s="2244"/>
      <c r="AE133" s="2239"/>
      <c r="AF133" s="2239"/>
      <c r="AG133" s="2239"/>
      <c r="AH133" s="2239"/>
      <c r="AI133" s="2239"/>
      <c r="AJ133" s="2239"/>
      <c r="AK133" s="2239"/>
      <c r="AL133" s="2239"/>
      <c r="AM133" s="2239"/>
      <c r="AN133" s="2239"/>
      <c r="AO133" s="2239"/>
      <c r="AP133" s="2239"/>
      <c r="AQ133" s="2239"/>
      <c r="AR133" s="2239"/>
      <c r="AS133" s="2239"/>
      <c r="AT133" s="2239"/>
      <c r="AU133" s="2239"/>
      <c r="AV133" s="2239"/>
      <c r="AW133" s="2239"/>
      <c r="AX133" s="2046"/>
      <c r="AY133" s="4422"/>
    </row>
    <row r="134" spans="1:84" ht="24">
      <c r="A134" s="2238"/>
      <c r="B134" s="1278"/>
      <c r="C134" s="1278"/>
      <c r="D134" s="1278"/>
      <c r="E134" s="2297" t="s">
        <v>400</v>
      </c>
      <c r="F134" s="2195">
        <f t="shared" ref="F134" si="198">F57+F60</f>
        <v>378</v>
      </c>
      <c r="G134" s="4085">
        <f t="shared" ref="G134:M134" si="199">G57+G60</f>
        <v>724</v>
      </c>
      <c r="H134" s="2196">
        <f>H57+H60</f>
        <v>407</v>
      </c>
      <c r="I134" s="2197">
        <f t="shared" si="199"/>
        <v>1284</v>
      </c>
      <c r="J134" s="2198">
        <f t="shared" si="199"/>
        <v>1482</v>
      </c>
      <c r="K134" s="2198">
        <f t="shared" si="199"/>
        <v>1102</v>
      </c>
      <c r="L134" s="2198">
        <f t="shared" si="199"/>
        <v>958.2</v>
      </c>
      <c r="M134" s="2199">
        <f t="shared" si="199"/>
        <v>985</v>
      </c>
      <c r="N134" s="2298">
        <f t="shared" ref="N134:N157" si="200">SUM(I134:M134)</f>
        <v>5811.2</v>
      </c>
      <c r="O134" s="2195">
        <f t="shared" ref="O134" si="201">O57+O60</f>
        <v>378</v>
      </c>
      <c r="P134" s="4085">
        <f t="shared" ref="P134:AL134" si="202">P57+P60</f>
        <v>724</v>
      </c>
      <c r="Q134" s="2196">
        <f t="shared" si="202"/>
        <v>407</v>
      </c>
      <c r="R134" s="2197">
        <f t="shared" si="202"/>
        <v>1284</v>
      </c>
      <c r="S134" s="2198">
        <f t="shared" si="202"/>
        <v>1482</v>
      </c>
      <c r="T134" s="2198">
        <f t="shared" si="202"/>
        <v>1102</v>
      </c>
      <c r="U134" s="2198">
        <f t="shared" si="202"/>
        <v>958.2</v>
      </c>
      <c r="V134" s="2200">
        <f t="shared" si="202"/>
        <v>985</v>
      </c>
      <c r="W134" s="2195">
        <f t="shared" ref="W134" si="203">W57+W60</f>
        <v>0</v>
      </c>
      <c r="X134" s="4085">
        <f t="shared" si="202"/>
        <v>0</v>
      </c>
      <c r="Y134" s="2196">
        <f t="shared" si="202"/>
        <v>0</v>
      </c>
      <c r="Z134" s="2255">
        <f t="shared" si="202"/>
        <v>0</v>
      </c>
      <c r="AA134" s="2198">
        <f t="shared" si="202"/>
        <v>0</v>
      </c>
      <c r="AB134" s="2198">
        <f t="shared" si="202"/>
        <v>0</v>
      </c>
      <c r="AC134" s="2198">
        <f t="shared" si="202"/>
        <v>0</v>
      </c>
      <c r="AD134" s="2200">
        <f t="shared" si="202"/>
        <v>0</v>
      </c>
      <c r="AE134" s="2195">
        <f t="shared" ref="AE134" si="204">AE57+AE60</f>
        <v>0</v>
      </c>
      <c r="AF134" s="4085">
        <f t="shared" si="202"/>
        <v>0</v>
      </c>
      <c r="AG134" s="2196">
        <f>AG57+AG60</f>
        <v>0</v>
      </c>
      <c r="AH134" s="2255">
        <f t="shared" si="202"/>
        <v>0</v>
      </c>
      <c r="AI134" s="2198">
        <f t="shared" si="202"/>
        <v>0</v>
      </c>
      <c r="AJ134" s="2198">
        <f t="shared" si="202"/>
        <v>0</v>
      </c>
      <c r="AK134" s="2198">
        <f t="shared" si="202"/>
        <v>0</v>
      </c>
      <c r="AL134" s="2200">
        <f t="shared" si="202"/>
        <v>0</v>
      </c>
      <c r="AM134" s="2239"/>
      <c r="AN134" s="2239"/>
      <c r="AO134" s="2239"/>
      <c r="AP134" s="2239"/>
      <c r="AQ134" s="2239"/>
      <c r="AR134" s="2239"/>
      <c r="AS134" s="2239"/>
      <c r="AT134" s="2239"/>
      <c r="AU134" s="2239"/>
      <c r="AV134" s="2239"/>
      <c r="AW134" s="2239"/>
      <c r="AX134" s="2046"/>
      <c r="AY134" s="4422"/>
      <c r="AZ134" s="4438">
        <f t="shared" ref="AZ134:AZ137" si="205">IFERROR(F134/$E$1,0)</f>
        <v>193.2683310921706</v>
      </c>
      <c r="BA134" s="4438">
        <f t="shared" ref="BA134:BA137" si="206">IFERROR(G134/$E$1,0)</f>
        <v>370.17532198606222</v>
      </c>
      <c r="BB134" s="4438">
        <f t="shared" ref="BB134:BB137" si="207">IFERROR(H134/$E$1,0)</f>
        <v>208.09579564686092</v>
      </c>
      <c r="BC134" s="4438">
        <f t="shared" ref="BC134:BC137" si="208">IFERROR(I134/$E$1,0)</f>
        <v>656.4987754559445</v>
      </c>
      <c r="BD134" s="4438">
        <f t="shared" ref="BD134:BD137" si="209">IFERROR(J134/$E$1,0)</f>
        <v>757.73456793279581</v>
      </c>
      <c r="BE134" s="4438">
        <f t="shared" ref="BE134:BE137" si="210">IFERROR(K134/$E$1,0)</f>
        <v>563.44365307823273</v>
      </c>
      <c r="BF134" s="4438">
        <f t="shared" ref="BF134:BF137" si="211">IFERROR(L134/$E$1,0)</f>
        <v>489.91988056221658</v>
      </c>
      <c r="BG134" s="4438">
        <f t="shared" ref="BG134:BG137" si="212">IFERROR(M134/$E$1,0)</f>
        <v>503.62250297827524</v>
      </c>
      <c r="BH134" s="4438">
        <f t="shared" ref="BH134:BH137" si="213">IFERROR(N134/$E$1,0)</f>
        <v>2971.2193800074647</v>
      </c>
      <c r="BI134" s="4438">
        <f t="shared" ref="BI134:BI137" si="214">IFERROR(O134/$E$1,0)</f>
        <v>193.2683310921706</v>
      </c>
      <c r="BJ134" s="4438">
        <f t="shared" ref="BJ134:BJ137" si="215">IFERROR(P134/$E$1,0)</f>
        <v>370.17532198606222</v>
      </c>
      <c r="BK134" s="4438">
        <f t="shared" ref="BK134:BK137" si="216">IFERROR(Q134/$E$1,0)</f>
        <v>208.09579564686092</v>
      </c>
      <c r="BL134" s="4438">
        <f t="shared" ref="BL134:BL137" si="217">IFERROR(R134/$E$1,0)</f>
        <v>656.4987754559445</v>
      </c>
      <c r="BM134" s="4438">
        <f t="shared" ref="BM134:BM137" si="218">IFERROR(S134/$E$1,0)</f>
        <v>757.73456793279581</v>
      </c>
      <c r="BN134" s="4438">
        <f t="shared" ref="BN134:BN137" si="219">IFERROR(T134/$E$1,0)</f>
        <v>563.44365307823273</v>
      </c>
      <c r="BO134" s="4438">
        <f t="shared" ref="BO134:BO137" si="220">IFERROR(U134/$E$1,0)</f>
        <v>489.91988056221658</v>
      </c>
      <c r="BP134" s="4438">
        <f t="shared" ref="BP134:BP137" si="221">IFERROR(V134/$E$1,0)</f>
        <v>503.62250297827524</v>
      </c>
      <c r="BQ134" s="4438">
        <f t="shared" ref="BQ134:BQ137" si="222">IFERROR(W134/$E$1,0)</f>
        <v>0</v>
      </c>
      <c r="BR134" s="4438">
        <f t="shared" ref="BR134:BR137" si="223">IFERROR(X134/$E$1,0)</f>
        <v>0</v>
      </c>
      <c r="BS134" s="4438">
        <f t="shared" ref="BS134:BS137" si="224">IFERROR(Y134/$E$1,0)</f>
        <v>0</v>
      </c>
      <c r="BT134" s="4438">
        <f t="shared" ref="BT134:BT137" si="225">IFERROR(Z134/$E$1,0)</f>
        <v>0</v>
      </c>
      <c r="BU134" s="4438">
        <f t="shared" ref="BU134:BU137" si="226">IFERROR(AA134/$E$1,0)</f>
        <v>0</v>
      </c>
      <c r="BV134" s="4438">
        <f t="shared" ref="BV134:BV137" si="227">IFERROR(AB134/$E$1,0)</f>
        <v>0</v>
      </c>
      <c r="BW134" s="4438">
        <f t="shared" ref="BW134:BW137" si="228">IFERROR(AC134/$E$1,0)</f>
        <v>0</v>
      </c>
      <c r="BX134" s="4438">
        <f t="shared" ref="BX134:BX137" si="229">IFERROR(AD134/$E$1,0)</f>
        <v>0</v>
      </c>
      <c r="BY134" s="4438">
        <f t="shared" ref="BY134:BY137" si="230">IFERROR(AE134/$E$1,0)</f>
        <v>0</v>
      </c>
      <c r="BZ134" s="4438">
        <f t="shared" ref="BZ134:BZ137" si="231">IFERROR(AF134/$E$1,0)</f>
        <v>0</v>
      </c>
      <c r="CA134" s="4438">
        <f t="shared" ref="CA134:CA137" si="232">IFERROR(AG134/$E$1,0)</f>
        <v>0</v>
      </c>
      <c r="CB134" s="4438">
        <f t="shared" ref="CB134:CB137" si="233">IFERROR(AH134/$E$1,0)</f>
        <v>0</v>
      </c>
      <c r="CC134" s="4438">
        <f t="shared" ref="CC134:CC137" si="234">IFERROR(AI134/$E$1,0)</f>
        <v>0</v>
      </c>
      <c r="CD134" s="4438">
        <f t="shared" ref="CD134:CD137" si="235">IFERROR(AJ134/$E$1,0)</f>
        <v>0</v>
      </c>
      <c r="CE134" s="4438">
        <f t="shared" ref="CE134:CE137" si="236">IFERROR(AK134/$E$1,0)</f>
        <v>0</v>
      </c>
      <c r="CF134" s="4438">
        <f t="shared" ref="CF134:CF137" si="237">IFERROR(AL134/$E$1,0)</f>
        <v>0</v>
      </c>
    </row>
    <row r="135" spans="1:84" ht="24">
      <c r="A135" s="2238"/>
      <c r="B135" s="1278"/>
      <c r="C135" s="1278"/>
      <c r="D135" s="1278"/>
      <c r="E135" s="2266" t="s">
        <v>207</v>
      </c>
      <c r="F135" s="2299">
        <f t="shared" ref="F135" si="238">F130*F$134</f>
        <v>126</v>
      </c>
      <c r="G135" s="4086">
        <f t="shared" ref="G135:M137" si="239">G130*G$134</f>
        <v>241.33333333333331</v>
      </c>
      <c r="H135" s="2300">
        <f>H130*H$134</f>
        <v>135.66666666666666</v>
      </c>
      <c r="I135" s="2301">
        <f>I130*I$134</f>
        <v>428</v>
      </c>
      <c r="J135" s="2302">
        <f t="shared" si="239"/>
        <v>494</v>
      </c>
      <c r="K135" s="2302">
        <f t="shared" si="239"/>
        <v>367.33333333333331</v>
      </c>
      <c r="L135" s="2302">
        <f t="shared" si="239"/>
        <v>319.39999999999998</v>
      </c>
      <c r="M135" s="2303">
        <f t="shared" si="239"/>
        <v>328.33333333333331</v>
      </c>
      <c r="N135" s="2141">
        <f t="shared" si="200"/>
        <v>1937.0666666666664</v>
      </c>
      <c r="O135" s="2267">
        <f t="shared" ref="O135:V137" si="240">F130*O$134</f>
        <v>126</v>
      </c>
      <c r="P135" s="2309">
        <f t="shared" si="240"/>
        <v>241.33333333333331</v>
      </c>
      <c r="Q135" s="2300">
        <f t="shared" si="240"/>
        <v>135.66666666666666</v>
      </c>
      <c r="R135" s="2304">
        <f t="shared" si="240"/>
        <v>428</v>
      </c>
      <c r="S135" s="2305">
        <f t="shared" si="240"/>
        <v>494</v>
      </c>
      <c r="T135" s="2305">
        <f t="shared" si="240"/>
        <v>367.33333333333331</v>
      </c>
      <c r="U135" s="2305">
        <f t="shared" si="240"/>
        <v>319.39999999999998</v>
      </c>
      <c r="V135" s="2306">
        <f t="shared" si="240"/>
        <v>328.33333333333331</v>
      </c>
      <c r="W135" s="2299">
        <f t="shared" ref="W135:AD137" si="241">F130*W$134</f>
        <v>0</v>
      </c>
      <c r="X135" s="4086">
        <f t="shared" si="241"/>
        <v>0</v>
      </c>
      <c r="Y135" s="2300">
        <f t="shared" si="241"/>
        <v>0</v>
      </c>
      <c r="Z135" s="2299">
        <f t="shared" si="241"/>
        <v>0</v>
      </c>
      <c r="AA135" s="2307">
        <f t="shared" si="241"/>
        <v>0</v>
      </c>
      <c r="AB135" s="2307">
        <f t="shared" si="241"/>
        <v>0</v>
      </c>
      <c r="AC135" s="2307">
        <f t="shared" si="241"/>
        <v>0</v>
      </c>
      <c r="AD135" s="2300">
        <f t="shared" si="241"/>
        <v>0</v>
      </c>
      <c r="AE135" s="2299">
        <f t="shared" ref="AE135:AL137" si="242">F130*AE$134</f>
        <v>0</v>
      </c>
      <c r="AF135" s="4086">
        <f t="shared" si="242"/>
        <v>0</v>
      </c>
      <c r="AG135" s="2300">
        <f t="shared" si="242"/>
        <v>0</v>
      </c>
      <c r="AH135" s="2299">
        <f t="shared" si="242"/>
        <v>0</v>
      </c>
      <c r="AI135" s="2307">
        <f t="shared" si="242"/>
        <v>0</v>
      </c>
      <c r="AJ135" s="2307">
        <f t="shared" si="242"/>
        <v>0</v>
      </c>
      <c r="AK135" s="2307">
        <f t="shared" si="242"/>
        <v>0</v>
      </c>
      <c r="AL135" s="2300">
        <f t="shared" si="242"/>
        <v>0</v>
      </c>
      <c r="AM135" s="2239"/>
      <c r="AN135" s="2239"/>
      <c r="AO135" s="2239"/>
      <c r="AP135" s="2239"/>
      <c r="AQ135" s="2239"/>
      <c r="AR135" s="2239"/>
      <c r="AS135" s="2239"/>
      <c r="AT135" s="2239"/>
      <c r="AU135" s="2239"/>
      <c r="AV135" s="2239"/>
      <c r="AW135" s="2239"/>
      <c r="AX135" s="2046"/>
      <c r="AY135" s="4422"/>
      <c r="AZ135" s="4438">
        <f t="shared" si="205"/>
        <v>64.422777030723537</v>
      </c>
      <c r="BA135" s="4438">
        <f t="shared" si="206"/>
        <v>123.39177399535406</v>
      </c>
      <c r="BB135" s="4438">
        <f t="shared" si="207"/>
        <v>69.365265215620298</v>
      </c>
      <c r="BC135" s="4438">
        <f t="shared" si="208"/>
        <v>218.83292515198153</v>
      </c>
      <c r="BD135" s="4438">
        <f t="shared" si="209"/>
        <v>252.57818931093195</v>
      </c>
      <c r="BE135" s="4438">
        <f t="shared" si="210"/>
        <v>187.81455102607759</v>
      </c>
      <c r="BF135" s="4438">
        <f t="shared" si="211"/>
        <v>163.30662685407216</v>
      </c>
      <c r="BG135" s="4438">
        <f t="shared" si="212"/>
        <v>167.87416765942507</v>
      </c>
      <c r="BH135" s="4438">
        <f t="shared" si="213"/>
        <v>990.40646000248819</v>
      </c>
      <c r="BI135" s="4438">
        <f t="shared" si="214"/>
        <v>64.422777030723537</v>
      </c>
      <c r="BJ135" s="4438">
        <f t="shared" si="215"/>
        <v>123.39177399535406</v>
      </c>
      <c r="BK135" s="4438">
        <f t="shared" si="216"/>
        <v>69.365265215620298</v>
      </c>
      <c r="BL135" s="4438">
        <f t="shared" si="217"/>
        <v>218.83292515198153</v>
      </c>
      <c r="BM135" s="4438">
        <f t="shared" si="218"/>
        <v>252.57818931093195</v>
      </c>
      <c r="BN135" s="4438">
        <f t="shared" si="219"/>
        <v>187.81455102607759</v>
      </c>
      <c r="BO135" s="4438">
        <f t="shared" si="220"/>
        <v>163.30662685407216</v>
      </c>
      <c r="BP135" s="4438">
        <f t="shared" si="221"/>
        <v>167.87416765942507</v>
      </c>
      <c r="BQ135" s="4438">
        <f t="shared" si="222"/>
        <v>0</v>
      </c>
      <c r="BR135" s="4438">
        <f t="shared" si="223"/>
        <v>0</v>
      </c>
      <c r="BS135" s="4438">
        <f t="shared" si="224"/>
        <v>0</v>
      </c>
      <c r="BT135" s="4438">
        <f t="shared" si="225"/>
        <v>0</v>
      </c>
      <c r="BU135" s="4438">
        <f t="shared" si="226"/>
        <v>0</v>
      </c>
      <c r="BV135" s="4438">
        <f t="shared" si="227"/>
        <v>0</v>
      </c>
      <c r="BW135" s="4438">
        <f t="shared" si="228"/>
        <v>0</v>
      </c>
      <c r="BX135" s="4438">
        <f t="shared" si="229"/>
        <v>0</v>
      </c>
      <c r="BY135" s="4438">
        <f t="shared" si="230"/>
        <v>0</v>
      </c>
      <c r="BZ135" s="4438">
        <f t="shared" si="231"/>
        <v>0</v>
      </c>
      <c r="CA135" s="4438">
        <f t="shared" si="232"/>
        <v>0</v>
      </c>
      <c r="CB135" s="4438">
        <f t="shared" si="233"/>
        <v>0</v>
      </c>
      <c r="CC135" s="4438">
        <f t="shared" si="234"/>
        <v>0</v>
      </c>
      <c r="CD135" s="4438">
        <f t="shared" si="235"/>
        <v>0</v>
      </c>
      <c r="CE135" s="4438">
        <f t="shared" si="236"/>
        <v>0</v>
      </c>
      <c r="CF135" s="4438">
        <f t="shared" si="237"/>
        <v>0</v>
      </c>
    </row>
    <row r="136" spans="1:84">
      <c r="A136" s="2238"/>
      <c r="B136" s="1278"/>
      <c r="C136" s="1278"/>
      <c r="D136" s="1278"/>
      <c r="E136" s="2266" t="s">
        <v>208</v>
      </c>
      <c r="F136" s="2267">
        <f>F131*F$134</f>
        <v>126</v>
      </c>
      <c r="G136" s="2309">
        <f>G131*G$134</f>
        <v>241.33333333333331</v>
      </c>
      <c r="H136" s="2300">
        <f t="shared" si="239"/>
        <v>135.66666666666666</v>
      </c>
      <c r="I136" s="2301">
        <f t="shared" si="239"/>
        <v>428</v>
      </c>
      <c r="J136" s="2302">
        <f t="shared" si="239"/>
        <v>494</v>
      </c>
      <c r="K136" s="2302">
        <f t="shared" si="239"/>
        <v>367.33333333333331</v>
      </c>
      <c r="L136" s="2302">
        <f t="shared" si="239"/>
        <v>319.39999999999998</v>
      </c>
      <c r="M136" s="2303">
        <f t="shared" si="239"/>
        <v>328.33333333333331</v>
      </c>
      <c r="N136" s="2141">
        <f t="shared" si="200"/>
        <v>1937.0666666666664</v>
      </c>
      <c r="O136" s="2267">
        <f t="shared" si="240"/>
        <v>126</v>
      </c>
      <c r="P136" s="2309">
        <f t="shared" si="240"/>
        <v>241.33333333333331</v>
      </c>
      <c r="Q136" s="2308">
        <f t="shared" si="240"/>
        <v>135.66666666666666</v>
      </c>
      <c r="R136" s="2309">
        <f t="shared" si="240"/>
        <v>428</v>
      </c>
      <c r="S136" s="2310">
        <f t="shared" si="240"/>
        <v>494</v>
      </c>
      <c r="T136" s="2310">
        <f t="shared" si="240"/>
        <v>367.33333333333331</v>
      </c>
      <c r="U136" s="2310">
        <f t="shared" si="240"/>
        <v>319.39999999999998</v>
      </c>
      <c r="V136" s="2308">
        <f t="shared" si="240"/>
        <v>328.33333333333331</v>
      </c>
      <c r="W136" s="2267">
        <f t="shared" si="241"/>
        <v>0</v>
      </c>
      <c r="X136" s="2309">
        <f t="shared" si="241"/>
        <v>0</v>
      </c>
      <c r="Y136" s="2308">
        <f t="shared" si="241"/>
        <v>0</v>
      </c>
      <c r="Z136" s="2267">
        <f t="shared" si="241"/>
        <v>0</v>
      </c>
      <c r="AA136" s="2310">
        <f t="shared" si="241"/>
        <v>0</v>
      </c>
      <c r="AB136" s="2310">
        <f t="shared" si="241"/>
        <v>0</v>
      </c>
      <c r="AC136" s="2310">
        <f t="shared" si="241"/>
        <v>0</v>
      </c>
      <c r="AD136" s="2308">
        <f t="shared" si="241"/>
        <v>0</v>
      </c>
      <c r="AE136" s="2267">
        <f t="shared" si="242"/>
        <v>0</v>
      </c>
      <c r="AF136" s="2309">
        <f t="shared" si="242"/>
        <v>0</v>
      </c>
      <c r="AG136" s="2308">
        <f t="shared" si="242"/>
        <v>0</v>
      </c>
      <c r="AH136" s="2267">
        <f t="shared" si="242"/>
        <v>0</v>
      </c>
      <c r="AI136" s="2310">
        <f t="shared" si="242"/>
        <v>0</v>
      </c>
      <c r="AJ136" s="2310">
        <f t="shared" si="242"/>
        <v>0</v>
      </c>
      <c r="AK136" s="2310">
        <f t="shared" si="242"/>
        <v>0</v>
      </c>
      <c r="AL136" s="2308">
        <f t="shared" si="242"/>
        <v>0</v>
      </c>
      <c r="AM136" s="2240"/>
      <c r="AN136" s="2239"/>
      <c r="AO136" s="2240"/>
      <c r="AP136" s="2240"/>
      <c r="AQ136" s="2240"/>
      <c r="AR136" s="2042"/>
      <c r="AS136" s="2042"/>
      <c r="AT136" s="2042"/>
      <c r="AU136" s="2042"/>
      <c r="AV136" s="2042"/>
      <c r="AW136" s="2242"/>
      <c r="AX136" s="2046"/>
      <c r="AY136" s="4422"/>
      <c r="AZ136" s="4438">
        <f t="shared" si="205"/>
        <v>64.422777030723537</v>
      </c>
      <c r="BA136" s="4438">
        <f t="shared" si="206"/>
        <v>123.39177399535406</v>
      </c>
      <c r="BB136" s="4438">
        <f t="shared" si="207"/>
        <v>69.365265215620298</v>
      </c>
      <c r="BC136" s="4438">
        <f t="shared" si="208"/>
        <v>218.83292515198153</v>
      </c>
      <c r="BD136" s="4438">
        <f t="shared" si="209"/>
        <v>252.57818931093195</v>
      </c>
      <c r="BE136" s="4438">
        <f t="shared" si="210"/>
        <v>187.81455102607759</v>
      </c>
      <c r="BF136" s="4438">
        <f t="shared" si="211"/>
        <v>163.30662685407216</v>
      </c>
      <c r="BG136" s="4438">
        <f t="shared" si="212"/>
        <v>167.87416765942507</v>
      </c>
      <c r="BH136" s="4438">
        <f t="shared" si="213"/>
        <v>990.40646000248819</v>
      </c>
      <c r="BI136" s="4438">
        <f t="shared" si="214"/>
        <v>64.422777030723537</v>
      </c>
      <c r="BJ136" s="4438">
        <f t="shared" si="215"/>
        <v>123.39177399535406</v>
      </c>
      <c r="BK136" s="4438">
        <f t="shared" si="216"/>
        <v>69.365265215620298</v>
      </c>
      <c r="BL136" s="4438">
        <f t="shared" si="217"/>
        <v>218.83292515198153</v>
      </c>
      <c r="BM136" s="4438">
        <f t="shared" si="218"/>
        <v>252.57818931093195</v>
      </c>
      <c r="BN136" s="4438">
        <f t="shared" si="219"/>
        <v>187.81455102607759</v>
      </c>
      <c r="BO136" s="4438">
        <f t="shared" si="220"/>
        <v>163.30662685407216</v>
      </c>
      <c r="BP136" s="4438">
        <f t="shared" si="221"/>
        <v>167.87416765942507</v>
      </c>
      <c r="BQ136" s="4438">
        <f t="shared" si="222"/>
        <v>0</v>
      </c>
      <c r="BR136" s="4438">
        <f t="shared" si="223"/>
        <v>0</v>
      </c>
      <c r="BS136" s="4438">
        <f t="shared" si="224"/>
        <v>0</v>
      </c>
      <c r="BT136" s="4438">
        <f t="shared" si="225"/>
        <v>0</v>
      </c>
      <c r="BU136" s="4438">
        <f t="shared" si="226"/>
        <v>0</v>
      </c>
      <c r="BV136" s="4438">
        <f t="shared" si="227"/>
        <v>0</v>
      </c>
      <c r="BW136" s="4438">
        <f t="shared" si="228"/>
        <v>0</v>
      </c>
      <c r="BX136" s="4438">
        <f t="shared" si="229"/>
        <v>0</v>
      </c>
      <c r="BY136" s="4438">
        <f t="shared" si="230"/>
        <v>0</v>
      </c>
      <c r="BZ136" s="4438">
        <f t="shared" si="231"/>
        <v>0</v>
      </c>
      <c r="CA136" s="4438">
        <f t="shared" si="232"/>
        <v>0</v>
      </c>
      <c r="CB136" s="4438">
        <f t="shared" si="233"/>
        <v>0</v>
      </c>
      <c r="CC136" s="4438">
        <f t="shared" si="234"/>
        <v>0</v>
      </c>
      <c r="CD136" s="4438">
        <f t="shared" si="235"/>
        <v>0</v>
      </c>
      <c r="CE136" s="4438">
        <f t="shared" si="236"/>
        <v>0</v>
      </c>
      <c r="CF136" s="4438">
        <f t="shared" si="237"/>
        <v>0</v>
      </c>
    </row>
    <row r="137" spans="1:84" s="1282" customFormat="1" ht="13.5" thickBot="1">
      <c r="A137" s="2311"/>
      <c r="B137" s="2312"/>
      <c r="C137" s="2312"/>
      <c r="D137" s="2312"/>
      <c r="E137" s="2266" t="s">
        <v>209</v>
      </c>
      <c r="F137" s="2313">
        <f>F132*F$134</f>
        <v>126</v>
      </c>
      <c r="G137" s="2320">
        <f>G132*G$134</f>
        <v>241.33333333333331</v>
      </c>
      <c r="H137" s="2314">
        <f t="shared" si="239"/>
        <v>135.66666666666666</v>
      </c>
      <c r="I137" s="2315">
        <f t="shared" si="239"/>
        <v>428</v>
      </c>
      <c r="J137" s="2316">
        <f t="shared" si="239"/>
        <v>494</v>
      </c>
      <c r="K137" s="2316">
        <f t="shared" si="239"/>
        <v>367.33333333333331</v>
      </c>
      <c r="L137" s="2316">
        <f t="shared" si="239"/>
        <v>319.39999999999998</v>
      </c>
      <c r="M137" s="2317">
        <f t="shared" si="239"/>
        <v>328.33333333333331</v>
      </c>
      <c r="N137" s="2318">
        <f t="shared" si="200"/>
        <v>1937.0666666666664</v>
      </c>
      <c r="O137" s="2313">
        <f t="shared" si="240"/>
        <v>126</v>
      </c>
      <c r="P137" s="2320">
        <f t="shared" si="240"/>
        <v>241.33333333333331</v>
      </c>
      <c r="Q137" s="2319">
        <f t="shared" si="240"/>
        <v>135.66666666666666</v>
      </c>
      <c r="R137" s="2320">
        <f t="shared" si="240"/>
        <v>428</v>
      </c>
      <c r="S137" s="2321">
        <f t="shared" si="240"/>
        <v>494</v>
      </c>
      <c r="T137" s="2321">
        <f t="shared" si="240"/>
        <v>367.33333333333331</v>
      </c>
      <c r="U137" s="2321">
        <f t="shared" si="240"/>
        <v>319.39999999999998</v>
      </c>
      <c r="V137" s="2319">
        <f t="shared" si="240"/>
        <v>328.33333333333331</v>
      </c>
      <c r="W137" s="2322">
        <f t="shared" si="241"/>
        <v>0</v>
      </c>
      <c r="X137" s="4102">
        <f t="shared" si="241"/>
        <v>0</v>
      </c>
      <c r="Y137" s="2314">
        <f t="shared" si="241"/>
        <v>0</v>
      </c>
      <c r="Z137" s="2322">
        <f t="shared" si="241"/>
        <v>0</v>
      </c>
      <c r="AA137" s="2323">
        <f t="shared" si="241"/>
        <v>0</v>
      </c>
      <c r="AB137" s="2323">
        <f t="shared" si="241"/>
        <v>0</v>
      </c>
      <c r="AC137" s="2323">
        <f t="shared" si="241"/>
        <v>0</v>
      </c>
      <c r="AD137" s="2314">
        <f t="shared" si="241"/>
        <v>0</v>
      </c>
      <c r="AE137" s="2322">
        <f t="shared" si="242"/>
        <v>0</v>
      </c>
      <c r="AF137" s="4102">
        <f t="shared" si="242"/>
        <v>0</v>
      </c>
      <c r="AG137" s="2314">
        <f t="shared" si="242"/>
        <v>0</v>
      </c>
      <c r="AH137" s="2322">
        <f t="shared" si="242"/>
        <v>0</v>
      </c>
      <c r="AI137" s="2323">
        <f t="shared" si="242"/>
        <v>0</v>
      </c>
      <c r="AJ137" s="2323">
        <f t="shared" si="242"/>
        <v>0</v>
      </c>
      <c r="AK137" s="2323">
        <f t="shared" si="242"/>
        <v>0</v>
      </c>
      <c r="AL137" s="2314">
        <f t="shared" si="242"/>
        <v>0</v>
      </c>
      <c r="AM137" s="2324"/>
      <c r="AN137" s="2325"/>
      <c r="AO137" s="2324"/>
      <c r="AP137" s="2324"/>
      <c r="AQ137" s="2324"/>
      <c r="AR137" s="2326"/>
      <c r="AS137" s="2326"/>
      <c r="AT137" s="2326"/>
      <c r="AU137" s="2326"/>
      <c r="AV137" s="2326"/>
      <c r="AW137" s="2327"/>
      <c r="AX137" s="2328"/>
      <c r="AY137" s="4422"/>
      <c r="AZ137" s="4438">
        <f t="shared" si="205"/>
        <v>64.422777030723537</v>
      </c>
      <c r="BA137" s="4438">
        <f t="shared" si="206"/>
        <v>123.39177399535406</v>
      </c>
      <c r="BB137" s="4438">
        <f t="shared" si="207"/>
        <v>69.365265215620298</v>
      </c>
      <c r="BC137" s="4438">
        <f t="shared" si="208"/>
        <v>218.83292515198153</v>
      </c>
      <c r="BD137" s="4438">
        <f t="shared" si="209"/>
        <v>252.57818931093195</v>
      </c>
      <c r="BE137" s="4438">
        <f t="shared" si="210"/>
        <v>187.81455102607759</v>
      </c>
      <c r="BF137" s="4438">
        <f t="shared" si="211"/>
        <v>163.30662685407216</v>
      </c>
      <c r="BG137" s="4438">
        <f t="shared" si="212"/>
        <v>167.87416765942507</v>
      </c>
      <c r="BH137" s="4438">
        <f t="shared" si="213"/>
        <v>990.40646000248819</v>
      </c>
      <c r="BI137" s="4438">
        <f t="shared" si="214"/>
        <v>64.422777030723537</v>
      </c>
      <c r="BJ137" s="4438">
        <f t="shared" si="215"/>
        <v>123.39177399535406</v>
      </c>
      <c r="BK137" s="4438">
        <f t="shared" si="216"/>
        <v>69.365265215620298</v>
      </c>
      <c r="BL137" s="4438">
        <f t="shared" si="217"/>
        <v>218.83292515198153</v>
      </c>
      <c r="BM137" s="4438">
        <f t="shared" si="218"/>
        <v>252.57818931093195</v>
      </c>
      <c r="BN137" s="4438">
        <f t="shared" si="219"/>
        <v>187.81455102607759</v>
      </c>
      <c r="BO137" s="4438">
        <f t="shared" si="220"/>
        <v>163.30662685407216</v>
      </c>
      <c r="BP137" s="4438">
        <f t="shared" si="221"/>
        <v>167.87416765942507</v>
      </c>
      <c r="BQ137" s="4438">
        <f t="shared" si="222"/>
        <v>0</v>
      </c>
      <c r="BR137" s="4438">
        <f t="shared" si="223"/>
        <v>0</v>
      </c>
      <c r="BS137" s="4438">
        <f t="shared" si="224"/>
        <v>0</v>
      </c>
      <c r="BT137" s="4438">
        <f t="shared" si="225"/>
        <v>0</v>
      </c>
      <c r="BU137" s="4438">
        <f t="shared" si="226"/>
        <v>0</v>
      </c>
      <c r="BV137" s="4438">
        <f t="shared" si="227"/>
        <v>0</v>
      </c>
      <c r="BW137" s="4438">
        <f t="shared" si="228"/>
        <v>0</v>
      </c>
      <c r="BX137" s="4438">
        <f t="shared" si="229"/>
        <v>0</v>
      </c>
      <c r="BY137" s="4438">
        <f t="shared" si="230"/>
        <v>0</v>
      </c>
      <c r="BZ137" s="4438">
        <f t="shared" si="231"/>
        <v>0</v>
      </c>
      <c r="CA137" s="4438">
        <f t="shared" si="232"/>
        <v>0</v>
      </c>
      <c r="CB137" s="4438">
        <f t="shared" si="233"/>
        <v>0</v>
      </c>
      <c r="CC137" s="4438">
        <f t="shared" si="234"/>
        <v>0</v>
      </c>
      <c r="CD137" s="4438">
        <f t="shared" si="235"/>
        <v>0</v>
      </c>
      <c r="CE137" s="4438">
        <f t="shared" si="236"/>
        <v>0</v>
      </c>
      <c r="CF137" s="4438">
        <f t="shared" si="237"/>
        <v>0</v>
      </c>
    </row>
    <row r="138" spans="1:84" ht="13.5" thickBot="1">
      <c r="A138" s="2238"/>
      <c r="B138" s="1278"/>
      <c r="C138" s="1278"/>
      <c r="D138" s="1278"/>
      <c r="E138" s="2239"/>
      <c r="F138" s="2243"/>
      <c r="G138" s="2243"/>
      <c r="H138" s="2243"/>
      <c r="I138" s="2244"/>
      <c r="J138" s="2244"/>
      <c r="K138" s="2244"/>
      <c r="L138" s="2244"/>
      <c r="M138" s="2329"/>
      <c r="N138" s="2244"/>
      <c r="O138" s="2243"/>
      <c r="P138" s="2243"/>
      <c r="Q138" s="2243"/>
      <c r="R138" s="2244"/>
      <c r="S138" s="2244"/>
      <c r="T138" s="2244"/>
      <c r="U138" s="2244"/>
      <c r="V138" s="2244"/>
      <c r="W138" s="2243"/>
      <c r="X138" s="2243"/>
      <c r="Y138" s="2243"/>
      <c r="Z138" s="2244"/>
      <c r="AA138" s="2244"/>
      <c r="AB138" s="2244"/>
      <c r="AC138" s="2244"/>
      <c r="AD138" s="2244"/>
      <c r="AE138" s="2243"/>
      <c r="AF138" s="2243"/>
      <c r="AG138" s="2243"/>
      <c r="AH138" s="2244"/>
      <c r="AI138" s="2244"/>
      <c r="AJ138" s="2244"/>
      <c r="AK138" s="2244"/>
      <c r="AL138" s="2244"/>
      <c r="AM138" s="2240"/>
      <c r="AN138" s="2239"/>
      <c r="AO138" s="2240"/>
      <c r="AP138" s="4137" t="str">
        <f>'Приложение '!$B$82</f>
        <v>Дата: 29.06.2026</v>
      </c>
      <c r="AQ138" s="2240"/>
      <c r="AR138" s="2042"/>
      <c r="AS138" s="2042"/>
      <c r="AT138" s="2042"/>
      <c r="AU138" s="2042"/>
      <c r="AV138" s="2042"/>
      <c r="AW138" s="2242"/>
      <c r="AX138" s="2046"/>
      <c r="AY138" s="4422"/>
    </row>
    <row r="139" spans="1:84" ht="24">
      <c r="A139" s="2238"/>
      <c r="B139" s="1278"/>
      <c r="C139" s="1278"/>
      <c r="D139" s="1278"/>
      <c r="E139" s="2330" t="s">
        <v>401</v>
      </c>
      <c r="F139" s="2334">
        <f>SUM(F140:F144)</f>
        <v>4479</v>
      </c>
      <c r="G139" s="2331">
        <f>SUM(G140:G144)</f>
        <v>3878.0000000000005</v>
      </c>
      <c r="H139" s="2332">
        <f t="shared" ref="H139:M139" si="243">SUM(H140:H144)</f>
        <v>2249</v>
      </c>
      <c r="I139" s="2331">
        <f t="shared" si="243"/>
        <v>8914.303774</v>
      </c>
      <c r="J139" s="2333">
        <f t="shared" si="243"/>
        <v>14484.607548</v>
      </c>
      <c r="K139" s="2333">
        <f t="shared" si="243"/>
        <v>14192.607548000002</v>
      </c>
      <c r="L139" s="2333">
        <f t="shared" si="243"/>
        <v>2359.2000000000003</v>
      </c>
      <c r="M139" s="2332">
        <f t="shared" si="243"/>
        <v>2350</v>
      </c>
      <c r="N139" s="2194">
        <f t="shared" si="200"/>
        <v>42300.718869999997</v>
      </c>
      <c r="O139" s="2334">
        <f t="shared" ref="O139" si="244">SUM(O140:O144)</f>
        <v>4479</v>
      </c>
      <c r="P139" s="2331">
        <f t="shared" ref="P139:AL139" si="245">SUM(P140:P144)</f>
        <v>3570.0000000000005</v>
      </c>
      <c r="Q139" s="2332">
        <f t="shared" si="245"/>
        <v>2249</v>
      </c>
      <c r="R139" s="2331">
        <f t="shared" si="245"/>
        <v>2022</v>
      </c>
      <c r="S139" s="2333">
        <f t="shared" si="245"/>
        <v>2144</v>
      </c>
      <c r="T139" s="2333">
        <f t="shared" si="245"/>
        <v>2160</v>
      </c>
      <c r="U139" s="2333">
        <f t="shared" si="245"/>
        <v>1823.2000000000003</v>
      </c>
      <c r="V139" s="2332">
        <f t="shared" si="245"/>
        <v>1813.9999999999998</v>
      </c>
      <c r="W139" s="2334">
        <f t="shared" ref="W139" si="246">SUM(W140:W144)</f>
        <v>0</v>
      </c>
      <c r="X139" s="2331">
        <f t="shared" si="245"/>
        <v>0</v>
      </c>
      <c r="Y139" s="2332">
        <f t="shared" si="245"/>
        <v>0</v>
      </c>
      <c r="Z139" s="2331">
        <f t="shared" si="245"/>
        <v>990</v>
      </c>
      <c r="AA139" s="2333">
        <f t="shared" si="245"/>
        <v>536</v>
      </c>
      <c r="AB139" s="2333">
        <f t="shared" si="245"/>
        <v>536</v>
      </c>
      <c r="AC139" s="2333">
        <f t="shared" si="245"/>
        <v>536</v>
      </c>
      <c r="AD139" s="2332">
        <f t="shared" si="245"/>
        <v>536</v>
      </c>
      <c r="AE139" s="2334">
        <f t="shared" ref="AE139" si="247">SUM(AE140:AE144)</f>
        <v>0</v>
      </c>
      <c r="AF139" s="2331">
        <f t="shared" si="245"/>
        <v>308</v>
      </c>
      <c r="AG139" s="2332">
        <f t="shared" si="245"/>
        <v>0</v>
      </c>
      <c r="AH139" s="2331">
        <f t="shared" si="245"/>
        <v>5902.303774</v>
      </c>
      <c r="AI139" s="2333">
        <f t="shared" si="245"/>
        <v>11804.607548</v>
      </c>
      <c r="AJ139" s="2333">
        <f t="shared" si="245"/>
        <v>11496.607548</v>
      </c>
      <c r="AK139" s="2333">
        <f t="shared" si="245"/>
        <v>0</v>
      </c>
      <c r="AL139" s="2332">
        <f t="shared" si="245"/>
        <v>0</v>
      </c>
      <c r="AM139" s="2240"/>
      <c r="AN139" s="2339"/>
      <c r="AP139" s="2240"/>
      <c r="AQ139" s="2240"/>
      <c r="AR139" s="1242"/>
      <c r="AS139" s="2337"/>
      <c r="AT139" s="2340"/>
      <c r="AU139" s="2341"/>
      <c r="AV139" s="2042"/>
      <c r="AW139" s="2042"/>
      <c r="AX139" s="2240"/>
      <c r="AY139" s="4422"/>
      <c r="AZ139" s="4438">
        <f t="shared" ref="AZ139:AZ144" si="248">IFERROR(F139/$E$1,0)</f>
        <v>2290.0763358778627</v>
      </c>
      <c r="BA139" s="4438">
        <f t="shared" ref="BA139:BA144" si="249">IFERROR(G139/$E$1,0)</f>
        <v>1982.7899152789355</v>
      </c>
      <c r="BB139" s="4438">
        <f t="shared" ref="BB139:BB144" si="250">IFERROR(H139/$E$1,0)</f>
        <v>1149.8954408102954</v>
      </c>
      <c r="BC139" s="4438">
        <f t="shared" ref="BC139:BC144" si="251">IFERROR(I139/$E$1,0)</f>
        <v>4557.8111461630106</v>
      </c>
      <c r="BD139" s="4438">
        <f t="shared" ref="BD139:BD144" si="252">IFERROR(J139/$E$1,0)</f>
        <v>7405.8622416058661</v>
      </c>
      <c r="BE139" s="4438">
        <f t="shared" ref="BE139:BE144" si="253">IFERROR(K139/$E$1,0)</f>
        <v>7256.5650122965708</v>
      </c>
      <c r="BF139" s="4438">
        <f t="shared" ref="BF139:BF144" si="254">IFERROR(L139/$E$1,0)</f>
        <v>1206.2398061181188</v>
      </c>
      <c r="BG139" s="4438">
        <f t="shared" ref="BG139:BG144" si="255">IFERROR(M139/$E$1,0)</f>
        <v>1201.5359208111136</v>
      </c>
      <c r="BH139" s="4438">
        <f t="shared" ref="BH139:BH144" si="256">IFERROR(N139/$E$1,0)</f>
        <v>21628.014126994676</v>
      </c>
      <c r="BI139" s="4438">
        <f t="shared" ref="BI139:BI144" si="257">IFERROR(O139/$E$1,0)</f>
        <v>2290.0763358778627</v>
      </c>
      <c r="BJ139" s="4438">
        <f t="shared" ref="BJ139:BJ144" si="258">IFERROR(P139/$E$1,0)</f>
        <v>1825.3120158705003</v>
      </c>
      <c r="BK139" s="4438">
        <f t="shared" ref="BK139:BK144" si="259">IFERROR(Q139/$E$1,0)</f>
        <v>1149.8954408102954</v>
      </c>
      <c r="BL139" s="4438">
        <f t="shared" ref="BL139:BL144" si="260">IFERROR(R139/$E$1,0)</f>
        <v>1033.8321837787537</v>
      </c>
      <c r="BM139" s="4438">
        <f t="shared" ref="BM139:BM144" si="261">IFERROR(S139/$E$1,0)</f>
        <v>1096.2097932846925</v>
      </c>
      <c r="BN139" s="4438">
        <f t="shared" ref="BN139:BN144" si="262">IFERROR(T139/$E$1,0)</f>
        <v>1104.390463383832</v>
      </c>
      <c r="BO139" s="4438">
        <f t="shared" ref="BO139:BO144" si="263">IFERROR(U139/$E$1,0)</f>
        <v>932.18735779694566</v>
      </c>
      <c r="BP139" s="4438">
        <f t="shared" ref="BP139:BP144" si="264">IFERROR(V139/$E$1,0)</f>
        <v>927.48347248994025</v>
      </c>
      <c r="BQ139" s="4438">
        <f t="shared" ref="BQ139:BQ144" si="265">IFERROR(W139/$E$1,0)</f>
        <v>0</v>
      </c>
      <c r="BR139" s="4438">
        <f t="shared" ref="BR139:BR144" si="266">IFERROR(X139/$E$1,0)</f>
        <v>0</v>
      </c>
      <c r="BS139" s="4438">
        <f t="shared" ref="BS139:BS144" si="267">IFERROR(Y139/$E$1,0)</f>
        <v>0</v>
      </c>
      <c r="BT139" s="4438">
        <f t="shared" ref="BT139:BT144" si="268">IFERROR(Z139/$E$1,0)</f>
        <v>506.17896238425629</v>
      </c>
      <c r="BU139" s="4438">
        <f t="shared" ref="BU139:BU144" si="269">IFERROR(AA139/$E$1,0)</f>
        <v>274.05244832117313</v>
      </c>
      <c r="BV139" s="4438">
        <f t="shared" ref="BV139:BV144" si="270">IFERROR(AB139/$E$1,0)</f>
        <v>274.05244832117313</v>
      </c>
      <c r="BW139" s="4438">
        <f t="shared" ref="BW139:BW144" si="271">IFERROR(AC139/$E$1,0)</f>
        <v>274.05244832117313</v>
      </c>
      <c r="BX139" s="4438">
        <f t="shared" ref="BX139:BX144" si="272">IFERROR(AD139/$E$1,0)</f>
        <v>274.05244832117313</v>
      </c>
      <c r="BY139" s="4438">
        <f t="shared" ref="BY139:BY144" si="273">IFERROR(AE139/$E$1,0)</f>
        <v>0</v>
      </c>
      <c r="BZ139" s="4438">
        <f t="shared" ref="BZ139:BZ144" si="274">IFERROR(AF139/$E$1,0)</f>
        <v>157.47789940843529</v>
      </c>
      <c r="CA139" s="4438">
        <f t="shared" ref="CA139:CA144" si="275">IFERROR(AG139/$E$1,0)</f>
        <v>0</v>
      </c>
      <c r="CB139" s="4438">
        <f t="shared" ref="CB139:CB144" si="276">IFERROR(AH139/$E$1,0)</f>
        <v>3017.8</v>
      </c>
      <c r="CC139" s="4438">
        <f t="shared" ref="CC139:CC144" si="277">IFERROR(AI139/$E$1,0)</f>
        <v>6035.6</v>
      </c>
      <c r="CD139" s="4438">
        <f t="shared" ref="CD139:CD144" si="278">IFERROR(AJ139/$E$1,0)</f>
        <v>5878.122100591565</v>
      </c>
      <c r="CE139" s="4438">
        <f t="shared" ref="CE139:CE144" si="279">IFERROR(AK139/$E$1,0)</f>
        <v>0</v>
      </c>
      <c r="CF139" s="4438">
        <f t="shared" ref="CF139:CF144" si="280">IFERROR(AL139/$E$1,0)</f>
        <v>0</v>
      </c>
    </row>
    <row r="140" spans="1:84" ht="24">
      <c r="A140" s="2238"/>
      <c r="B140" s="1278"/>
      <c r="C140" s="1278"/>
      <c r="D140" s="1278"/>
      <c r="E140" s="2335" t="str">
        <f>E135</f>
        <v>Доставяне на вода на потребителите</v>
      </c>
      <c r="F140" s="2368">
        <f>F11+F135</f>
        <v>4198</v>
      </c>
      <c r="G140" s="2301">
        <f>G11+G135</f>
        <v>3073.3333333333335</v>
      </c>
      <c r="H140" s="2306">
        <f t="shared" ref="H140:M140" si="281">H11+H135</f>
        <v>1684.6666666666667</v>
      </c>
      <c r="I140" s="2304">
        <f t="shared" si="281"/>
        <v>5981.1458700000003</v>
      </c>
      <c r="J140" s="2305">
        <f t="shared" si="281"/>
        <v>9469.2917400000006</v>
      </c>
      <c r="K140" s="2305">
        <f t="shared" si="281"/>
        <v>9468.6250733333345</v>
      </c>
      <c r="L140" s="2305">
        <f t="shared" si="281"/>
        <v>1698.4</v>
      </c>
      <c r="M140" s="2306">
        <f t="shared" si="281"/>
        <v>1668.3333333333333</v>
      </c>
      <c r="N140" s="2108">
        <f t="shared" si="200"/>
        <v>28285.796016666671</v>
      </c>
      <c r="O140" s="2336">
        <f t="shared" ref="O140" si="282">O11+O135</f>
        <v>4198</v>
      </c>
      <c r="P140" s="2304">
        <f t="shared" ref="P140:AL140" si="283">P11+P135</f>
        <v>2879.3333333333335</v>
      </c>
      <c r="Q140" s="2306">
        <f t="shared" si="283"/>
        <v>1684.6666666666667</v>
      </c>
      <c r="R140" s="2304">
        <f t="shared" si="283"/>
        <v>1101</v>
      </c>
      <c r="S140" s="2305">
        <f t="shared" si="283"/>
        <v>1153</v>
      </c>
      <c r="T140" s="2305">
        <f t="shared" si="283"/>
        <v>1346.3333333333333</v>
      </c>
      <c r="U140" s="2305">
        <f t="shared" si="283"/>
        <v>1162.4000000000001</v>
      </c>
      <c r="V140" s="2306">
        <f t="shared" si="283"/>
        <v>1132.3333333333333</v>
      </c>
      <c r="W140" s="2336">
        <f t="shared" ref="W140" si="284">W11+W135</f>
        <v>0</v>
      </c>
      <c r="X140" s="2304">
        <f t="shared" si="283"/>
        <v>0</v>
      </c>
      <c r="Y140" s="2306">
        <f t="shared" si="283"/>
        <v>0</v>
      </c>
      <c r="Z140" s="2304">
        <f t="shared" si="283"/>
        <v>990</v>
      </c>
      <c r="AA140" s="2305">
        <f t="shared" si="283"/>
        <v>536</v>
      </c>
      <c r="AB140" s="2305">
        <f t="shared" si="283"/>
        <v>536</v>
      </c>
      <c r="AC140" s="2305">
        <f t="shared" si="283"/>
        <v>536</v>
      </c>
      <c r="AD140" s="2306">
        <f t="shared" si="283"/>
        <v>536</v>
      </c>
      <c r="AE140" s="2336">
        <f>AE11+AE135</f>
        <v>0</v>
      </c>
      <c r="AF140" s="2304">
        <f>AF11+AF135</f>
        <v>194</v>
      </c>
      <c r="AG140" s="2306">
        <f t="shared" si="283"/>
        <v>0</v>
      </c>
      <c r="AH140" s="2304">
        <f t="shared" si="283"/>
        <v>3890.1458700000003</v>
      </c>
      <c r="AI140" s="2305">
        <f t="shared" si="283"/>
        <v>7780.2917400000006</v>
      </c>
      <c r="AJ140" s="2305">
        <f t="shared" si="283"/>
        <v>7586.2917400000006</v>
      </c>
      <c r="AK140" s="2305">
        <f t="shared" si="283"/>
        <v>0</v>
      </c>
      <c r="AL140" s="2306">
        <f t="shared" si="283"/>
        <v>0</v>
      </c>
      <c r="AN140" s="2337"/>
      <c r="AP140" s="2338"/>
      <c r="AQ140" s="2338"/>
      <c r="AR140" s="2342"/>
      <c r="AS140" s="2343"/>
      <c r="AT140" s="2344"/>
      <c r="AU140" s="2341"/>
      <c r="AV140" s="2345"/>
      <c r="AW140" s="2346"/>
      <c r="AX140" s="2346"/>
      <c r="AY140" s="4422"/>
      <c r="AZ140" s="4438">
        <f t="shared" si="248"/>
        <v>2146.4033172617251</v>
      </c>
      <c r="BA140" s="4438">
        <f t="shared" si="249"/>
        <v>1571.3703815430449</v>
      </c>
      <c r="BB140" s="4438">
        <f t="shared" si="250"/>
        <v>861.35638918856284</v>
      </c>
      <c r="BC140" s="4438">
        <f t="shared" si="251"/>
        <v>3058.1113235812932</v>
      </c>
      <c r="BD140" s="4438">
        <f t="shared" si="252"/>
        <v>4841.5719873404132</v>
      </c>
      <c r="BE140" s="4438">
        <f t="shared" si="253"/>
        <v>4841.2311260862825</v>
      </c>
      <c r="BF140" s="4438">
        <f t="shared" si="254"/>
        <v>868.37813102365749</v>
      </c>
      <c r="BG140" s="4438">
        <f t="shared" si="255"/>
        <v>853.00528846235784</v>
      </c>
      <c r="BH140" s="4438">
        <f t="shared" si="256"/>
        <v>14462.297856494006</v>
      </c>
      <c r="BI140" s="4438">
        <f t="shared" si="257"/>
        <v>2146.4033172617251</v>
      </c>
      <c r="BJ140" s="4438">
        <f t="shared" si="258"/>
        <v>1472.1797565909785</v>
      </c>
      <c r="BK140" s="4438">
        <f t="shared" si="259"/>
        <v>861.35638918856284</v>
      </c>
      <c r="BL140" s="4438">
        <f t="shared" si="260"/>
        <v>562.93236119703658</v>
      </c>
      <c r="BM140" s="4438">
        <f t="shared" si="261"/>
        <v>589.51953901923991</v>
      </c>
      <c r="BN140" s="4438">
        <f t="shared" si="262"/>
        <v>688.36930271717551</v>
      </c>
      <c r="BO140" s="4438">
        <f t="shared" si="263"/>
        <v>594.32568270248441</v>
      </c>
      <c r="BP140" s="4438">
        <f t="shared" si="264"/>
        <v>578.95284014118465</v>
      </c>
      <c r="BQ140" s="4438">
        <f t="shared" si="265"/>
        <v>0</v>
      </c>
      <c r="BR140" s="4438">
        <f t="shared" si="266"/>
        <v>0</v>
      </c>
      <c r="BS140" s="4438">
        <f t="shared" si="267"/>
        <v>0</v>
      </c>
      <c r="BT140" s="4438">
        <f t="shared" si="268"/>
        <v>506.17896238425629</v>
      </c>
      <c r="BU140" s="4438">
        <f t="shared" si="269"/>
        <v>274.05244832117313</v>
      </c>
      <c r="BV140" s="4438">
        <f t="shared" si="270"/>
        <v>274.05244832117313</v>
      </c>
      <c r="BW140" s="4438">
        <f t="shared" si="271"/>
        <v>274.05244832117313</v>
      </c>
      <c r="BX140" s="4438">
        <f t="shared" si="272"/>
        <v>274.05244832117313</v>
      </c>
      <c r="BY140" s="4438">
        <f t="shared" si="273"/>
        <v>0</v>
      </c>
      <c r="BZ140" s="4438">
        <f t="shared" si="274"/>
        <v>99.190624952066386</v>
      </c>
      <c r="CA140" s="4438">
        <f t="shared" si="275"/>
        <v>0</v>
      </c>
      <c r="CB140" s="4438">
        <f t="shared" si="276"/>
        <v>1989.0000000000002</v>
      </c>
      <c r="CC140" s="4438">
        <f t="shared" si="277"/>
        <v>3978.0000000000005</v>
      </c>
      <c r="CD140" s="4438">
        <f t="shared" si="278"/>
        <v>3878.8093750479338</v>
      </c>
      <c r="CE140" s="4438">
        <f t="shared" si="279"/>
        <v>0</v>
      </c>
      <c r="CF140" s="4438">
        <f t="shared" si="280"/>
        <v>0</v>
      </c>
    </row>
    <row r="141" spans="1:84">
      <c r="A141" s="2238"/>
      <c r="B141" s="1278"/>
      <c r="C141" s="1278"/>
      <c r="D141" s="1278"/>
      <c r="E141" s="2335" t="str">
        <f>E136</f>
        <v>Отвеждане на отпадъчните води</v>
      </c>
      <c r="F141" s="2368">
        <f>F36+F136</f>
        <v>152</v>
      </c>
      <c r="G141" s="2301">
        <f>G36+G136</f>
        <v>384.33333333333331</v>
      </c>
      <c r="H141" s="2306">
        <f t="shared" ref="H141:M141" si="285">H36+H136</f>
        <v>392.66666666666663</v>
      </c>
      <c r="I141" s="2304">
        <f t="shared" si="285"/>
        <v>1453.26836</v>
      </c>
      <c r="J141" s="2305">
        <f t="shared" si="285"/>
        <v>2421.5367200000001</v>
      </c>
      <c r="K141" s="2305">
        <f t="shared" si="285"/>
        <v>2239.8700533333335</v>
      </c>
      <c r="L141" s="2305">
        <f t="shared" si="285"/>
        <v>339.4</v>
      </c>
      <c r="M141" s="2306">
        <f t="shared" si="285"/>
        <v>353.33333333333331</v>
      </c>
      <c r="N141" s="2108">
        <f t="shared" si="200"/>
        <v>6807.4084666666668</v>
      </c>
      <c r="O141" s="2336">
        <f t="shared" ref="O141" si="286">O36+O136</f>
        <v>152</v>
      </c>
      <c r="P141" s="2304">
        <f t="shared" ref="P141:AL141" si="287">P36+P136</f>
        <v>326.33333333333331</v>
      </c>
      <c r="Q141" s="2306">
        <f t="shared" si="287"/>
        <v>392.66666666666663</v>
      </c>
      <c r="R141" s="2304">
        <f t="shared" si="287"/>
        <v>491</v>
      </c>
      <c r="S141" s="2305">
        <f t="shared" si="287"/>
        <v>497</v>
      </c>
      <c r="T141" s="2305">
        <f t="shared" si="287"/>
        <v>373.33333333333331</v>
      </c>
      <c r="U141" s="2305">
        <f t="shared" si="287"/>
        <v>339.4</v>
      </c>
      <c r="V141" s="2306">
        <f t="shared" si="287"/>
        <v>353.33333333333331</v>
      </c>
      <c r="W141" s="2336">
        <f t="shared" ref="W141" si="288">W36+W136</f>
        <v>0</v>
      </c>
      <c r="X141" s="2304">
        <f t="shared" si="287"/>
        <v>0</v>
      </c>
      <c r="Y141" s="2306">
        <f t="shared" si="287"/>
        <v>0</v>
      </c>
      <c r="Z141" s="2304">
        <f t="shared" si="287"/>
        <v>0</v>
      </c>
      <c r="AA141" s="2305">
        <f t="shared" si="287"/>
        <v>0</v>
      </c>
      <c r="AB141" s="2305">
        <f t="shared" si="287"/>
        <v>0</v>
      </c>
      <c r="AC141" s="2305">
        <f t="shared" si="287"/>
        <v>0</v>
      </c>
      <c r="AD141" s="2306">
        <f t="shared" si="287"/>
        <v>0</v>
      </c>
      <c r="AE141" s="2336">
        <f>AE36+AE136</f>
        <v>0</v>
      </c>
      <c r="AF141" s="2304">
        <f>AF36+AF136</f>
        <v>58</v>
      </c>
      <c r="AG141" s="2306">
        <f t="shared" si="287"/>
        <v>0</v>
      </c>
      <c r="AH141" s="2304">
        <f t="shared" si="287"/>
        <v>962.26836000000003</v>
      </c>
      <c r="AI141" s="2305">
        <f t="shared" si="287"/>
        <v>1924.5367200000001</v>
      </c>
      <c r="AJ141" s="2305">
        <f t="shared" si="287"/>
        <v>1866.5367200000001</v>
      </c>
      <c r="AK141" s="2305">
        <f t="shared" si="287"/>
        <v>0</v>
      </c>
      <c r="AL141" s="2306">
        <f t="shared" si="287"/>
        <v>0</v>
      </c>
      <c r="AP141" s="2390" t="s">
        <v>187</v>
      </c>
      <c r="AQ141" s="2379"/>
      <c r="AR141" s="1278"/>
      <c r="AS141" s="1278"/>
      <c r="AT141" s="2392"/>
      <c r="AU141" s="2381"/>
      <c r="AV141" s="1278"/>
      <c r="AW141" s="2238"/>
      <c r="AX141" s="2381"/>
      <c r="AY141" s="4422"/>
      <c r="AZ141" s="4438">
        <f t="shared" si="248"/>
        <v>77.716365941825217</v>
      </c>
      <c r="BA141" s="4438">
        <f t="shared" si="249"/>
        <v>196.50651300641329</v>
      </c>
      <c r="BB141" s="4438">
        <f t="shared" si="250"/>
        <v>200.76727868304843</v>
      </c>
      <c r="BC141" s="4438">
        <f t="shared" si="251"/>
        <v>743.04431366734332</v>
      </c>
      <c r="BD141" s="4438">
        <f t="shared" si="252"/>
        <v>1238.1120649545207</v>
      </c>
      <c r="BE141" s="4438">
        <f t="shared" si="253"/>
        <v>1145.2273732038743</v>
      </c>
      <c r="BF141" s="4438">
        <f t="shared" si="254"/>
        <v>173.53246447799654</v>
      </c>
      <c r="BG141" s="4438">
        <f t="shared" si="255"/>
        <v>180.65646468933053</v>
      </c>
      <c r="BH141" s="4438">
        <f t="shared" si="256"/>
        <v>3480.5726809930652</v>
      </c>
      <c r="BI141" s="4438">
        <f t="shared" si="257"/>
        <v>77.716365941825217</v>
      </c>
      <c r="BJ141" s="4438">
        <f t="shared" si="258"/>
        <v>166.85158389703264</v>
      </c>
      <c r="BK141" s="4438">
        <f t="shared" si="259"/>
        <v>200.76727868304843</v>
      </c>
      <c r="BL141" s="4438">
        <f t="shared" si="260"/>
        <v>251.04431366734329</v>
      </c>
      <c r="BM141" s="4438">
        <f t="shared" si="261"/>
        <v>254.1120649545206</v>
      </c>
      <c r="BN141" s="4438">
        <f t="shared" si="262"/>
        <v>190.88230231325488</v>
      </c>
      <c r="BO141" s="4438">
        <f t="shared" si="263"/>
        <v>173.53246447799654</v>
      </c>
      <c r="BP141" s="4438">
        <f t="shared" si="264"/>
        <v>180.65646468933053</v>
      </c>
      <c r="BQ141" s="4438">
        <f t="shared" si="265"/>
        <v>0</v>
      </c>
      <c r="BR141" s="4438">
        <f t="shared" si="266"/>
        <v>0</v>
      </c>
      <c r="BS141" s="4438">
        <f t="shared" si="267"/>
        <v>0</v>
      </c>
      <c r="BT141" s="4438">
        <f t="shared" si="268"/>
        <v>0</v>
      </c>
      <c r="BU141" s="4438">
        <f t="shared" si="269"/>
        <v>0</v>
      </c>
      <c r="BV141" s="4438">
        <f t="shared" si="270"/>
        <v>0</v>
      </c>
      <c r="BW141" s="4438">
        <f t="shared" si="271"/>
        <v>0</v>
      </c>
      <c r="BX141" s="4438">
        <f t="shared" si="272"/>
        <v>0</v>
      </c>
      <c r="BY141" s="4438">
        <f t="shared" si="273"/>
        <v>0</v>
      </c>
      <c r="BZ141" s="4438">
        <f t="shared" si="274"/>
        <v>29.654929109380674</v>
      </c>
      <c r="CA141" s="4438">
        <f t="shared" si="275"/>
        <v>0</v>
      </c>
      <c r="CB141" s="4438">
        <f t="shared" si="276"/>
        <v>492</v>
      </c>
      <c r="CC141" s="4438">
        <f t="shared" si="277"/>
        <v>984</v>
      </c>
      <c r="CD141" s="4438">
        <f t="shared" si="278"/>
        <v>954.34507089061935</v>
      </c>
      <c r="CE141" s="4438">
        <f t="shared" si="279"/>
        <v>0</v>
      </c>
      <c r="CF141" s="4438">
        <f t="shared" si="280"/>
        <v>0</v>
      </c>
    </row>
    <row r="142" spans="1:84" s="1283" customFormat="1">
      <c r="A142" s="2311"/>
      <c r="B142" s="2312"/>
      <c r="C142" s="2312"/>
      <c r="D142" s="2312"/>
      <c r="E142" s="2335" t="str">
        <f>E137</f>
        <v>Пречистване на отпадъчните води</v>
      </c>
      <c r="F142" s="2336">
        <f>F48+F137</f>
        <v>129</v>
      </c>
      <c r="G142" s="2304">
        <f>G48+G137</f>
        <v>420.33333333333331</v>
      </c>
      <c r="H142" s="2306">
        <f t="shared" ref="H142:M142" si="289">H48+H137</f>
        <v>171.66666666666666</v>
      </c>
      <c r="I142" s="2304">
        <f t="shared" si="289"/>
        <v>1479.8895439999999</v>
      </c>
      <c r="J142" s="2305">
        <f t="shared" si="289"/>
        <v>2593.7790879999998</v>
      </c>
      <c r="K142" s="2305">
        <f t="shared" si="289"/>
        <v>2484.1124213333333</v>
      </c>
      <c r="L142" s="2305">
        <f t="shared" si="289"/>
        <v>321.39999999999998</v>
      </c>
      <c r="M142" s="2306">
        <f t="shared" si="289"/>
        <v>328.33333333333331</v>
      </c>
      <c r="N142" s="2108">
        <f>SUM(I142:M142)</f>
        <v>7207.5143866666658</v>
      </c>
      <c r="O142" s="2336">
        <f t="shared" ref="O142" si="290">O48+O137</f>
        <v>129</v>
      </c>
      <c r="P142" s="2304">
        <f t="shared" ref="P142:AL142" si="291">P48+P137</f>
        <v>364.33333333333331</v>
      </c>
      <c r="Q142" s="2306">
        <f t="shared" si="291"/>
        <v>171.66666666666666</v>
      </c>
      <c r="R142" s="2304">
        <f t="shared" si="291"/>
        <v>430</v>
      </c>
      <c r="S142" s="2305">
        <f t="shared" si="291"/>
        <v>494</v>
      </c>
      <c r="T142" s="2305">
        <f t="shared" si="291"/>
        <v>440.33333333333331</v>
      </c>
      <c r="U142" s="2305">
        <f t="shared" si="291"/>
        <v>321.39999999999998</v>
      </c>
      <c r="V142" s="2306">
        <f t="shared" si="291"/>
        <v>328.33333333333331</v>
      </c>
      <c r="W142" s="2336">
        <f t="shared" ref="W142" si="292">W48+W137</f>
        <v>0</v>
      </c>
      <c r="X142" s="2304">
        <f t="shared" si="291"/>
        <v>0</v>
      </c>
      <c r="Y142" s="2306">
        <f t="shared" si="291"/>
        <v>0</v>
      </c>
      <c r="Z142" s="2304">
        <f t="shared" si="291"/>
        <v>0</v>
      </c>
      <c r="AA142" s="2305">
        <f t="shared" si="291"/>
        <v>0</v>
      </c>
      <c r="AB142" s="2305">
        <f t="shared" si="291"/>
        <v>0</v>
      </c>
      <c r="AC142" s="2305">
        <f t="shared" si="291"/>
        <v>0</v>
      </c>
      <c r="AD142" s="2306">
        <f t="shared" si="291"/>
        <v>0</v>
      </c>
      <c r="AE142" s="2336">
        <f>AE48+AE137</f>
        <v>0</v>
      </c>
      <c r="AF142" s="2304">
        <f>AF48+AF137</f>
        <v>56</v>
      </c>
      <c r="AG142" s="2306">
        <f t="shared" si="291"/>
        <v>0</v>
      </c>
      <c r="AH142" s="2304">
        <f t="shared" si="291"/>
        <v>1049.8895439999999</v>
      </c>
      <c r="AI142" s="2305">
        <f t="shared" si="291"/>
        <v>2099.7790879999998</v>
      </c>
      <c r="AJ142" s="2305">
        <f t="shared" si="291"/>
        <v>2043.7790879999998</v>
      </c>
      <c r="AK142" s="2305">
        <f t="shared" si="291"/>
        <v>0</v>
      </c>
      <c r="AL142" s="2306">
        <f t="shared" si="291"/>
        <v>0</v>
      </c>
      <c r="AP142" s="5100" t="s">
        <v>188</v>
      </c>
      <c r="AQ142" s="5100"/>
      <c r="AR142" s="5100"/>
      <c r="AS142" s="5100"/>
      <c r="AT142" s="5100"/>
      <c r="AU142" s="5100"/>
      <c r="AV142" s="5100"/>
      <c r="AW142" s="5100"/>
      <c r="AX142" s="5100"/>
      <c r="AY142" s="4422"/>
      <c r="AZ142" s="4438">
        <f t="shared" si="248"/>
        <v>65.956652674312181</v>
      </c>
      <c r="BA142" s="4438">
        <f t="shared" si="249"/>
        <v>214.91302072947715</v>
      </c>
      <c r="BB142" s="4438">
        <f t="shared" si="250"/>
        <v>87.771772938684165</v>
      </c>
      <c r="BC142" s="4438">
        <f t="shared" si="251"/>
        <v>756.65550891437385</v>
      </c>
      <c r="BD142" s="4438">
        <f t="shared" si="252"/>
        <v>1326.1781893109319</v>
      </c>
      <c r="BE142" s="4438">
        <f t="shared" si="253"/>
        <v>1270.1065130064133</v>
      </c>
      <c r="BF142" s="4438">
        <f t="shared" si="254"/>
        <v>164.32921061646462</v>
      </c>
      <c r="BG142" s="4438">
        <f t="shared" si="255"/>
        <v>167.87416765942507</v>
      </c>
      <c r="BH142" s="4438">
        <f t="shared" si="256"/>
        <v>3685.1435895076083</v>
      </c>
      <c r="BI142" s="4438">
        <f t="shared" si="257"/>
        <v>65.956652674312181</v>
      </c>
      <c r="BJ142" s="4438">
        <f t="shared" si="258"/>
        <v>186.28067538248894</v>
      </c>
      <c r="BK142" s="4438">
        <f t="shared" si="259"/>
        <v>87.771772938684165</v>
      </c>
      <c r="BL142" s="4438">
        <f t="shared" si="260"/>
        <v>219.85550891437396</v>
      </c>
      <c r="BM142" s="4438">
        <f t="shared" si="261"/>
        <v>252.57818931093195</v>
      </c>
      <c r="BN142" s="4438">
        <f t="shared" si="262"/>
        <v>225.13885835340153</v>
      </c>
      <c r="BO142" s="4438">
        <f t="shared" si="263"/>
        <v>164.32921061646462</v>
      </c>
      <c r="BP142" s="4438">
        <f t="shared" si="264"/>
        <v>167.87416765942507</v>
      </c>
      <c r="BQ142" s="4438">
        <f t="shared" si="265"/>
        <v>0</v>
      </c>
      <c r="BR142" s="4438">
        <f t="shared" si="266"/>
        <v>0</v>
      </c>
      <c r="BS142" s="4438">
        <f t="shared" si="267"/>
        <v>0</v>
      </c>
      <c r="BT142" s="4438">
        <f t="shared" si="268"/>
        <v>0</v>
      </c>
      <c r="BU142" s="4438">
        <f t="shared" si="269"/>
        <v>0</v>
      </c>
      <c r="BV142" s="4438">
        <f t="shared" si="270"/>
        <v>0</v>
      </c>
      <c r="BW142" s="4438">
        <f t="shared" si="271"/>
        <v>0</v>
      </c>
      <c r="BX142" s="4438">
        <f t="shared" si="272"/>
        <v>0</v>
      </c>
      <c r="BY142" s="4438">
        <f t="shared" si="273"/>
        <v>0</v>
      </c>
      <c r="BZ142" s="4438">
        <f t="shared" si="274"/>
        <v>28.632345346988235</v>
      </c>
      <c r="CA142" s="4438">
        <f t="shared" si="275"/>
        <v>0</v>
      </c>
      <c r="CB142" s="4438">
        <f t="shared" si="276"/>
        <v>536.79999999999995</v>
      </c>
      <c r="CC142" s="4438">
        <f t="shared" si="277"/>
        <v>1073.5999999999999</v>
      </c>
      <c r="CD142" s="4438">
        <f t="shared" si="278"/>
        <v>1044.9676546530118</v>
      </c>
      <c r="CE142" s="4438">
        <f t="shared" si="279"/>
        <v>0</v>
      </c>
      <c r="CF142" s="4438">
        <f t="shared" si="280"/>
        <v>0</v>
      </c>
    </row>
    <row r="143" spans="1:84" ht="24">
      <c r="A143" s="2238"/>
      <c r="B143" s="1278"/>
      <c r="C143" s="1278"/>
      <c r="D143" s="1278"/>
      <c r="E143" s="2347" t="str">
        <f t="shared" ref="E143:M143" si="293">E73</f>
        <v>Доставяне на вода с непитейни качества</v>
      </c>
      <c r="F143" s="2352">
        <f t="shared" ref="F143" si="294">F73</f>
        <v>0</v>
      </c>
      <c r="G143" s="2348">
        <f t="shared" si="293"/>
        <v>0</v>
      </c>
      <c r="H143" s="2349">
        <f t="shared" si="293"/>
        <v>0</v>
      </c>
      <c r="I143" s="2348">
        <f t="shared" si="293"/>
        <v>0</v>
      </c>
      <c r="J143" s="2350">
        <f t="shared" si="293"/>
        <v>0</v>
      </c>
      <c r="K143" s="2350">
        <f t="shared" si="293"/>
        <v>0</v>
      </c>
      <c r="L143" s="2350">
        <f t="shared" si="293"/>
        <v>0</v>
      </c>
      <c r="M143" s="2349">
        <f t="shared" si="293"/>
        <v>0</v>
      </c>
      <c r="N143" s="4680">
        <f t="shared" ref="N143:N144" si="295">SUM(I143:M143)</f>
        <v>0</v>
      </c>
      <c r="O143" s="2352">
        <f t="shared" ref="O143" si="296">O73</f>
        <v>0</v>
      </c>
      <c r="P143" s="2348">
        <f t="shared" ref="P143:AL143" si="297">P73</f>
        <v>0</v>
      </c>
      <c r="Q143" s="2349">
        <f t="shared" si="297"/>
        <v>0</v>
      </c>
      <c r="R143" s="2348">
        <f t="shared" si="297"/>
        <v>0</v>
      </c>
      <c r="S143" s="2350">
        <f t="shared" si="297"/>
        <v>0</v>
      </c>
      <c r="T143" s="2350">
        <f t="shared" si="297"/>
        <v>0</v>
      </c>
      <c r="U143" s="2350">
        <f t="shared" si="297"/>
        <v>0</v>
      </c>
      <c r="V143" s="2349">
        <f t="shared" si="297"/>
        <v>0</v>
      </c>
      <c r="W143" s="2352">
        <f t="shared" ref="W143" si="298">W73</f>
        <v>0</v>
      </c>
      <c r="X143" s="2348">
        <f t="shared" si="297"/>
        <v>0</v>
      </c>
      <c r="Y143" s="2349">
        <f t="shared" si="297"/>
        <v>0</v>
      </c>
      <c r="Z143" s="2348">
        <f t="shared" si="297"/>
        <v>0</v>
      </c>
      <c r="AA143" s="2350">
        <f t="shared" si="297"/>
        <v>0</v>
      </c>
      <c r="AB143" s="2350">
        <f t="shared" si="297"/>
        <v>0</v>
      </c>
      <c r="AC143" s="2350">
        <f t="shared" si="297"/>
        <v>0</v>
      </c>
      <c r="AD143" s="2349">
        <f t="shared" si="297"/>
        <v>0</v>
      </c>
      <c r="AE143" s="2352">
        <f>AE73</f>
        <v>0</v>
      </c>
      <c r="AF143" s="2348">
        <f>AF73</f>
        <v>0</v>
      </c>
      <c r="AG143" s="2349">
        <f t="shared" si="297"/>
        <v>0</v>
      </c>
      <c r="AH143" s="2348">
        <f t="shared" si="297"/>
        <v>0</v>
      </c>
      <c r="AI143" s="2350">
        <f t="shared" si="297"/>
        <v>0</v>
      </c>
      <c r="AJ143" s="2350">
        <f t="shared" si="297"/>
        <v>0</v>
      </c>
      <c r="AK143" s="2350">
        <f t="shared" si="297"/>
        <v>0</v>
      </c>
      <c r="AL143" s="2349">
        <f t="shared" si="297"/>
        <v>0</v>
      </c>
      <c r="AP143" s="4874" t="s">
        <v>1851</v>
      </c>
      <c r="AQ143" s="4874"/>
      <c r="AR143" s="4874"/>
      <c r="AS143" s="4874"/>
      <c r="AT143" s="4874"/>
      <c r="AU143" s="4874"/>
      <c r="AV143" s="4874"/>
      <c r="AW143" s="4874"/>
      <c r="AX143" s="4874"/>
      <c r="AY143" s="4422"/>
      <c r="AZ143" s="4438">
        <f t="shared" si="248"/>
        <v>0</v>
      </c>
      <c r="BA143" s="4438">
        <f t="shared" si="249"/>
        <v>0</v>
      </c>
      <c r="BB143" s="4438">
        <f t="shared" si="250"/>
        <v>0</v>
      </c>
      <c r="BC143" s="4438">
        <f t="shared" si="251"/>
        <v>0</v>
      </c>
      <c r="BD143" s="4438">
        <f t="shared" si="252"/>
        <v>0</v>
      </c>
      <c r="BE143" s="4438">
        <f t="shared" si="253"/>
        <v>0</v>
      </c>
      <c r="BF143" s="4438">
        <f t="shared" si="254"/>
        <v>0</v>
      </c>
      <c r="BG143" s="4438">
        <f t="shared" si="255"/>
        <v>0</v>
      </c>
      <c r="BH143" s="4438">
        <f t="shared" si="256"/>
        <v>0</v>
      </c>
      <c r="BI143" s="4438">
        <f t="shared" si="257"/>
        <v>0</v>
      </c>
      <c r="BJ143" s="4438">
        <f t="shared" si="258"/>
        <v>0</v>
      </c>
      <c r="BK143" s="4438">
        <f t="shared" si="259"/>
        <v>0</v>
      </c>
      <c r="BL143" s="4438">
        <f t="shared" si="260"/>
        <v>0</v>
      </c>
      <c r="BM143" s="4438">
        <f t="shared" si="261"/>
        <v>0</v>
      </c>
      <c r="BN143" s="4438">
        <f t="shared" si="262"/>
        <v>0</v>
      </c>
      <c r="BO143" s="4438">
        <f t="shared" si="263"/>
        <v>0</v>
      </c>
      <c r="BP143" s="4438">
        <f t="shared" si="264"/>
        <v>0</v>
      </c>
      <c r="BQ143" s="4438">
        <f t="shared" si="265"/>
        <v>0</v>
      </c>
      <c r="BR143" s="4438">
        <f t="shared" si="266"/>
        <v>0</v>
      </c>
      <c r="BS143" s="4438">
        <f t="shared" si="267"/>
        <v>0</v>
      </c>
      <c r="BT143" s="4438">
        <f t="shared" si="268"/>
        <v>0</v>
      </c>
      <c r="BU143" s="4438">
        <f t="shared" si="269"/>
        <v>0</v>
      </c>
      <c r="BV143" s="4438">
        <f t="shared" si="270"/>
        <v>0</v>
      </c>
      <c r="BW143" s="4438">
        <f t="shared" si="271"/>
        <v>0</v>
      </c>
      <c r="BX143" s="4438">
        <f t="shared" si="272"/>
        <v>0</v>
      </c>
      <c r="BY143" s="4438">
        <f t="shared" si="273"/>
        <v>0</v>
      </c>
      <c r="BZ143" s="4438">
        <f t="shared" si="274"/>
        <v>0</v>
      </c>
      <c r="CA143" s="4438">
        <f t="shared" si="275"/>
        <v>0</v>
      </c>
      <c r="CB143" s="4438">
        <f t="shared" si="276"/>
        <v>0</v>
      </c>
      <c r="CC143" s="4438">
        <f t="shared" si="277"/>
        <v>0</v>
      </c>
      <c r="CD143" s="4438">
        <f t="shared" si="278"/>
        <v>0</v>
      </c>
      <c r="CE143" s="4438">
        <f t="shared" si="279"/>
        <v>0</v>
      </c>
      <c r="CF143" s="4438">
        <f t="shared" si="280"/>
        <v>0</v>
      </c>
    </row>
    <row r="144" spans="1:84" ht="24.75" thickBot="1">
      <c r="A144" s="2238"/>
      <c r="B144" s="1278"/>
      <c r="C144" s="1278"/>
      <c r="D144" s="1278"/>
      <c r="E144" s="2353" t="str">
        <f t="shared" ref="E144:M144" si="299">E99</f>
        <v>Доставяне на вода на друг ВиК оператор</v>
      </c>
      <c r="F144" s="4087">
        <f t="shared" ref="F144" si="300">F99</f>
        <v>0</v>
      </c>
      <c r="G144" s="2354">
        <f t="shared" si="299"/>
        <v>0</v>
      </c>
      <c r="H144" s="2355">
        <f t="shared" si="299"/>
        <v>0</v>
      </c>
      <c r="I144" s="2356">
        <f t="shared" si="299"/>
        <v>0</v>
      </c>
      <c r="J144" s="2357">
        <f t="shared" si="299"/>
        <v>0</v>
      </c>
      <c r="K144" s="2357">
        <f t="shared" si="299"/>
        <v>0</v>
      </c>
      <c r="L144" s="2357">
        <f t="shared" si="299"/>
        <v>0</v>
      </c>
      <c r="M144" s="2355">
        <f t="shared" si="299"/>
        <v>0</v>
      </c>
      <c r="N144" s="4681">
        <f t="shared" si="295"/>
        <v>0</v>
      </c>
      <c r="O144" s="2358">
        <f t="shared" ref="O144" si="301">O99</f>
        <v>0</v>
      </c>
      <c r="P144" s="2356">
        <f t="shared" ref="P144:AL144" si="302">P99</f>
        <v>0</v>
      </c>
      <c r="Q144" s="2355">
        <f t="shared" si="302"/>
        <v>0</v>
      </c>
      <c r="R144" s="2356">
        <f t="shared" si="302"/>
        <v>0</v>
      </c>
      <c r="S144" s="2357">
        <f t="shared" si="302"/>
        <v>0</v>
      </c>
      <c r="T144" s="2357">
        <f t="shared" si="302"/>
        <v>0</v>
      </c>
      <c r="U144" s="2357">
        <f t="shared" si="302"/>
        <v>0</v>
      </c>
      <c r="V144" s="2355">
        <f t="shared" si="302"/>
        <v>0</v>
      </c>
      <c r="W144" s="2358">
        <f t="shared" ref="W144" si="303">W99</f>
        <v>0</v>
      </c>
      <c r="X144" s="2356">
        <f t="shared" si="302"/>
        <v>0</v>
      </c>
      <c r="Y144" s="2355">
        <f t="shared" si="302"/>
        <v>0</v>
      </c>
      <c r="Z144" s="2356">
        <f t="shared" si="302"/>
        <v>0</v>
      </c>
      <c r="AA144" s="2357">
        <f t="shared" si="302"/>
        <v>0</v>
      </c>
      <c r="AB144" s="2357">
        <f t="shared" si="302"/>
        <v>0</v>
      </c>
      <c r="AC144" s="2357">
        <f t="shared" si="302"/>
        <v>0</v>
      </c>
      <c r="AD144" s="2355">
        <f t="shared" si="302"/>
        <v>0</v>
      </c>
      <c r="AE144" s="2358">
        <f>AE99</f>
        <v>0</v>
      </c>
      <c r="AF144" s="2356">
        <f>AF99</f>
        <v>0</v>
      </c>
      <c r="AG144" s="2355">
        <f t="shared" si="302"/>
        <v>0</v>
      </c>
      <c r="AH144" s="2356">
        <f t="shared" si="302"/>
        <v>0</v>
      </c>
      <c r="AI144" s="2357">
        <f t="shared" si="302"/>
        <v>0</v>
      </c>
      <c r="AJ144" s="2357">
        <f t="shared" si="302"/>
        <v>0</v>
      </c>
      <c r="AK144" s="2357">
        <f t="shared" si="302"/>
        <v>0</v>
      </c>
      <c r="AL144" s="2355">
        <f t="shared" si="302"/>
        <v>0</v>
      </c>
      <c r="AP144" s="5100" t="s">
        <v>1479</v>
      </c>
      <c r="AQ144" s="5100"/>
      <c r="AR144" s="5100"/>
      <c r="AS144" s="5100"/>
      <c r="AT144" s="5100"/>
      <c r="AU144" s="5100"/>
      <c r="AV144" s="5100"/>
      <c r="AW144" s="5100"/>
      <c r="AX144" s="5100"/>
      <c r="AY144" s="4422"/>
      <c r="AZ144" s="4438">
        <f t="shared" si="248"/>
        <v>0</v>
      </c>
      <c r="BA144" s="4438">
        <f t="shared" si="249"/>
        <v>0</v>
      </c>
      <c r="BB144" s="4438">
        <f t="shared" si="250"/>
        <v>0</v>
      </c>
      <c r="BC144" s="4438">
        <f t="shared" si="251"/>
        <v>0</v>
      </c>
      <c r="BD144" s="4438">
        <f t="shared" si="252"/>
        <v>0</v>
      </c>
      <c r="BE144" s="4438">
        <f t="shared" si="253"/>
        <v>0</v>
      </c>
      <c r="BF144" s="4438">
        <f t="shared" si="254"/>
        <v>0</v>
      </c>
      <c r="BG144" s="4438">
        <f t="shared" si="255"/>
        <v>0</v>
      </c>
      <c r="BH144" s="4438">
        <f t="shared" si="256"/>
        <v>0</v>
      </c>
      <c r="BI144" s="4438">
        <f t="shared" si="257"/>
        <v>0</v>
      </c>
      <c r="BJ144" s="4438">
        <f t="shared" si="258"/>
        <v>0</v>
      </c>
      <c r="BK144" s="4438">
        <f t="shared" si="259"/>
        <v>0</v>
      </c>
      <c r="BL144" s="4438">
        <f t="shared" si="260"/>
        <v>0</v>
      </c>
      <c r="BM144" s="4438">
        <f t="shared" si="261"/>
        <v>0</v>
      </c>
      <c r="BN144" s="4438">
        <f t="shared" si="262"/>
        <v>0</v>
      </c>
      <c r="BO144" s="4438">
        <f t="shared" si="263"/>
        <v>0</v>
      </c>
      <c r="BP144" s="4438">
        <f t="shared" si="264"/>
        <v>0</v>
      </c>
      <c r="BQ144" s="4438">
        <f t="shared" si="265"/>
        <v>0</v>
      </c>
      <c r="BR144" s="4438">
        <f t="shared" si="266"/>
        <v>0</v>
      </c>
      <c r="BS144" s="4438">
        <f t="shared" si="267"/>
        <v>0</v>
      </c>
      <c r="BT144" s="4438">
        <f t="shared" si="268"/>
        <v>0</v>
      </c>
      <c r="BU144" s="4438">
        <f t="shared" si="269"/>
        <v>0</v>
      </c>
      <c r="BV144" s="4438">
        <f t="shared" si="270"/>
        <v>0</v>
      </c>
      <c r="BW144" s="4438">
        <f t="shared" si="271"/>
        <v>0</v>
      </c>
      <c r="BX144" s="4438">
        <f t="shared" si="272"/>
        <v>0</v>
      </c>
      <c r="BY144" s="4438">
        <f t="shared" si="273"/>
        <v>0</v>
      </c>
      <c r="BZ144" s="4438">
        <f t="shared" si="274"/>
        <v>0</v>
      </c>
      <c r="CA144" s="4438">
        <f t="shared" si="275"/>
        <v>0</v>
      </c>
      <c r="CB144" s="4438">
        <f t="shared" si="276"/>
        <v>0</v>
      </c>
      <c r="CC144" s="4438">
        <f t="shared" si="277"/>
        <v>0</v>
      </c>
      <c r="CD144" s="4438">
        <f t="shared" si="278"/>
        <v>0</v>
      </c>
      <c r="CE144" s="4438">
        <f t="shared" si="279"/>
        <v>0</v>
      </c>
      <c r="CF144" s="4438">
        <f t="shared" si="280"/>
        <v>0</v>
      </c>
    </row>
    <row r="145" spans="1:84" ht="30" customHeight="1" thickBot="1">
      <c r="A145" s="2238"/>
      <c r="B145" s="1278"/>
      <c r="C145" s="1278"/>
      <c r="D145" s="1278"/>
      <c r="N145" s="1280"/>
      <c r="O145" s="1279"/>
      <c r="P145" s="1279"/>
      <c r="Q145" s="1279"/>
      <c r="R145" s="1280"/>
      <c r="S145" s="1280"/>
      <c r="T145" s="1280"/>
      <c r="U145" s="1280"/>
      <c r="V145" s="1280"/>
      <c r="W145" s="1279"/>
      <c r="X145" s="1279"/>
      <c r="Y145" s="1279"/>
      <c r="Z145" s="1280"/>
      <c r="AA145" s="1280"/>
      <c r="AB145" s="1280"/>
      <c r="AC145" s="1280"/>
      <c r="AD145" s="1280"/>
      <c r="AE145" s="2359"/>
      <c r="AF145" s="2359"/>
      <c r="AG145" s="2359"/>
      <c r="AH145" s="2359"/>
      <c r="AI145" s="2359"/>
      <c r="AJ145" s="2359"/>
      <c r="AK145" s="2359"/>
      <c r="AL145" s="2359"/>
      <c r="AP145" s="5095" t="s">
        <v>1862</v>
      </c>
      <c r="AQ145" s="5095"/>
      <c r="AR145" s="5095"/>
      <c r="AS145" s="5095"/>
      <c r="AT145" s="5095"/>
      <c r="AU145" s="5095"/>
      <c r="AV145" s="5095"/>
      <c r="AW145" s="5095"/>
      <c r="AX145" s="5095"/>
      <c r="AY145" s="4422"/>
    </row>
    <row r="146" spans="1:84">
      <c r="A146" s="2238"/>
      <c r="B146" s="1278"/>
      <c r="C146" s="1278"/>
      <c r="D146" s="1278"/>
      <c r="E146" s="2360" t="s">
        <v>940</v>
      </c>
      <c r="F146" s="2334">
        <f>SUM(F147:F151)</f>
        <v>2208.0000000000005</v>
      </c>
      <c r="G146" s="2331">
        <f>SUM(G147:G151)</f>
        <v>1034</v>
      </c>
      <c r="H146" s="2332">
        <f t="shared" ref="H146:M146" si="304">SUM(H147:H151)</f>
        <v>650</v>
      </c>
      <c r="I146" s="2331">
        <f t="shared" si="304"/>
        <v>1062</v>
      </c>
      <c r="J146" s="2333">
        <f t="shared" si="304"/>
        <v>558.99999999999989</v>
      </c>
      <c r="K146" s="2333">
        <f t="shared" si="304"/>
        <v>558.99999999999989</v>
      </c>
      <c r="L146" s="2333">
        <f t="shared" si="304"/>
        <v>558.99999999999989</v>
      </c>
      <c r="M146" s="2332">
        <f t="shared" si="304"/>
        <v>558.99999999999989</v>
      </c>
      <c r="N146" s="2298">
        <f>SUM(I146:M146)</f>
        <v>3298</v>
      </c>
      <c r="O146" s="4095">
        <f t="shared" ref="O146" si="305">SUM(O147:O149)</f>
        <v>2208.0000000000005</v>
      </c>
      <c r="P146" s="2331">
        <f t="shared" ref="P146:AL146" si="306">SUM(P147:P149)</f>
        <v>1034</v>
      </c>
      <c r="Q146" s="2332">
        <f t="shared" si="306"/>
        <v>650</v>
      </c>
      <c r="R146" s="2331">
        <f t="shared" si="306"/>
        <v>72</v>
      </c>
      <c r="S146" s="2333">
        <f t="shared" si="306"/>
        <v>23</v>
      </c>
      <c r="T146" s="2333">
        <f t="shared" si="306"/>
        <v>23</v>
      </c>
      <c r="U146" s="2333">
        <f t="shared" si="306"/>
        <v>23</v>
      </c>
      <c r="V146" s="2361">
        <f t="shared" si="306"/>
        <v>23</v>
      </c>
      <c r="W146" s="2334">
        <f t="shared" ref="W146" si="307">SUM(W147:W149)</f>
        <v>0</v>
      </c>
      <c r="X146" s="2331">
        <f t="shared" si="306"/>
        <v>0</v>
      </c>
      <c r="Y146" s="2332">
        <f t="shared" si="306"/>
        <v>0</v>
      </c>
      <c r="Z146" s="2331">
        <f t="shared" si="306"/>
        <v>990</v>
      </c>
      <c r="AA146" s="2333">
        <f t="shared" si="306"/>
        <v>536</v>
      </c>
      <c r="AB146" s="2333">
        <f t="shared" si="306"/>
        <v>536</v>
      </c>
      <c r="AC146" s="2333">
        <f t="shared" si="306"/>
        <v>536</v>
      </c>
      <c r="AD146" s="2332">
        <f t="shared" si="306"/>
        <v>536</v>
      </c>
      <c r="AE146" s="2334">
        <f t="shared" ref="AE146" si="308">SUM(AE147:AE149)</f>
        <v>0</v>
      </c>
      <c r="AF146" s="2331">
        <f t="shared" si="306"/>
        <v>0</v>
      </c>
      <c r="AG146" s="2332">
        <f t="shared" si="306"/>
        <v>0</v>
      </c>
      <c r="AH146" s="2331">
        <f t="shared" si="306"/>
        <v>0</v>
      </c>
      <c r="AI146" s="2333">
        <f t="shared" si="306"/>
        <v>0</v>
      </c>
      <c r="AJ146" s="2333">
        <f t="shared" si="306"/>
        <v>0</v>
      </c>
      <c r="AK146" s="2333">
        <f t="shared" si="306"/>
        <v>0</v>
      </c>
      <c r="AL146" s="2332">
        <f t="shared" si="306"/>
        <v>0</v>
      </c>
      <c r="AX146" s="2046"/>
      <c r="AY146" s="4422"/>
      <c r="AZ146" s="4438">
        <f t="shared" ref="AZ146:AZ157" si="309">IFERROR(F146/$E$1,0)</f>
        <v>1128.9324736812507</v>
      </c>
      <c r="BA146" s="4438">
        <f t="shared" ref="BA146:BA157" si="310">IFERROR(G146/$E$1,0)</f>
        <v>528.67580515688996</v>
      </c>
      <c r="BB146" s="4438">
        <f t="shared" ref="BB146:BB157" si="311">IFERROR(H146/$E$1,0)</f>
        <v>332.33972277754202</v>
      </c>
      <c r="BC146" s="4438">
        <f t="shared" ref="BC146:BC157" si="312">IFERROR(I146/$E$1,0)</f>
        <v>542.99197783038403</v>
      </c>
      <c r="BD146" s="4438">
        <f t="shared" ref="BD146:BD157" si="313">IFERROR(J146/$E$1,0)</f>
        <v>285.81216158868608</v>
      </c>
      <c r="BE146" s="4438">
        <f t="shared" ref="BE146:BE157" si="314">IFERROR(K146/$E$1,0)</f>
        <v>285.81216158868608</v>
      </c>
      <c r="BF146" s="4438">
        <f t="shared" ref="BF146:BF157" si="315">IFERROR(L146/$E$1,0)</f>
        <v>285.81216158868608</v>
      </c>
      <c r="BG146" s="4438">
        <f t="shared" ref="BG146:BG157" si="316">IFERROR(M146/$E$1,0)</f>
        <v>285.81216158868608</v>
      </c>
      <c r="BH146" s="4438">
        <f t="shared" ref="BH146:BH157" si="317">IFERROR(N146/$E$1,0)</f>
        <v>1686.2406241851286</v>
      </c>
      <c r="BI146" s="4438">
        <f t="shared" ref="BI146:BI157" si="318">IFERROR(O146/$E$1,0)</f>
        <v>1128.9324736812507</v>
      </c>
      <c r="BJ146" s="4438">
        <f t="shared" ref="BJ146:BJ157" si="319">IFERROR(P146/$E$1,0)</f>
        <v>528.67580515688996</v>
      </c>
      <c r="BK146" s="4438">
        <f t="shared" ref="BK146:BK157" si="320">IFERROR(Q146/$E$1,0)</f>
        <v>332.33972277754202</v>
      </c>
      <c r="BL146" s="4438">
        <f t="shared" ref="BL146:BL157" si="321">IFERROR(R146/$E$1,0)</f>
        <v>36.813015446127729</v>
      </c>
      <c r="BM146" s="4438">
        <f t="shared" ref="BM146:BM157" si="322">IFERROR(S146/$E$1,0)</f>
        <v>11.759713267513025</v>
      </c>
      <c r="BN146" s="4438">
        <f t="shared" ref="BN146:BN157" si="323">IFERROR(T146/$E$1,0)</f>
        <v>11.759713267513025</v>
      </c>
      <c r="BO146" s="4438">
        <f t="shared" ref="BO146:BO157" si="324">IFERROR(U146/$E$1,0)</f>
        <v>11.759713267513025</v>
      </c>
      <c r="BP146" s="4438">
        <f t="shared" ref="BP146:BP157" si="325">IFERROR(V146/$E$1,0)</f>
        <v>11.759713267513025</v>
      </c>
      <c r="BQ146" s="4438">
        <f t="shared" ref="BQ146:BQ157" si="326">IFERROR(W146/$E$1,0)</f>
        <v>0</v>
      </c>
      <c r="BR146" s="4438">
        <f t="shared" ref="BR146:BR157" si="327">IFERROR(X146/$E$1,0)</f>
        <v>0</v>
      </c>
      <c r="BS146" s="4438">
        <f t="shared" ref="BS146:BS157" si="328">IFERROR(Y146/$E$1,0)</f>
        <v>0</v>
      </c>
      <c r="BT146" s="4438">
        <f t="shared" ref="BT146:BT157" si="329">IFERROR(Z146/$E$1,0)</f>
        <v>506.17896238425629</v>
      </c>
      <c r="BU146" s="4438">
        <f t="shared" ref="BU146:BU157" si="330">IFERROR(AA146/$E$1,0)</f>
        <v>274.05244832117313</v>
      </c>
      <c r="BV146" s="4438">
        <f t="shared" ref="BV146:BV157" si="331">IFERROR(AB146/$E$1,0)</f>
        <v>274.05244832117313</v>
      </c>
      <c r="BW146" s="4438">
        <f t="shared" ref="BW146:BW157" si="332">IFERROR(AC146/$E$1,0)</f>
        <v>274.05244832117313</v>
      </c>
      <c r="BX146" s="4438">
        <f t="shared" ref="BX146:BX157" si="333">IFERROR(AD146/$E$1,0)</f>
        <v>274.05244832117313</v>
      </c>
      <c r="BY146" s="4438">
        <f t="shared" ref="BY146:BY157" si="334">IFERROR(AE146/$E$1,0)</f>
        <v>0</v>
      </c>
      <c r="BZ146" s="4438">
        <f t="shared" ref="BZ146:BZ157" si="335">IFERROR(AF146/$E$1,0)</f>
        <v>0</v>
      </c>
      <c r="CA146" s="4438">
        <f t="shared" ref="CA146:CA157" si="336">IFERROR(AG146/$E$1,0)</f>
        <v>0</v>
      </c>
      <c r="CB146" s="4438">
        <f t="shared" ref="CB146:CB157" si="337">IFERROR(AH146/$E$1,0)</f>
        <v>0</v>
      </c>
      <c r="CC146" s="4438">
        <f t="shared" ref="CC146:CC157" si="338">IFERROR(AI146/$E$1,0)</f>
        <v>0</v>
      </c>
      <c r="CD146" s="4438">
        <f t="shared" ref="CD146:CD157" si="339">IFERROR(AJ146/$E$1,0)</f>
        <v>0</v>
      </c>
      <c r="CE146" s="4438">
        <f t="shared" ref="CE146:CE157" si="340">IFERROR(AK146/$E$1,0)</f>
        <v>0</v>
      </c>
      <c r="CF146" s="4438">
        <f t="shared" ref="CF146:CF157" si="341">IFERROR(AL146/$E$1,0)</f>
        <v>0</v>
      </c>
    </row>
    <row r="147" spans="1:84" ht="24">
      <c r="A147" s="2238"/>
      <c r="B147" s="1278"/>
      <c r="C147" s="1278"/>
      <c r="D147" s="1278"/>
      <c r="E147" s="2266" t="str">
        <f>E140</f>
        <v>Доставяне на вода на потребителите</v>
      </c>
      <c r="F147" s="2362">
        <f>SUM(F30:F35)+(F60-F69-F70)*F130</f>
        <v>2141.3333333333335</v>
      </c>
      <c r="G147" s="2364">
        <f>SUM(G30:G35)+(G60-G69-G70)*G130</f>
        <v>916</v>
      </c>
      <c r="H147" s="2363">
        <f t="shared" ref="H147:AL147" si="342">SUM(H30:H35)+(H60-H69-H70)*H130</f>
        <v>325.66666666666669</v>
      </c>
      <c r="I147" s="2364">
        <f t="shared" si="342"/>
        <v>1012.6666666666666</v>
      </c>
      <c r="J147" s="2365">
        <f t="shared" si="342"/>
        <v>543.66666666666663</v>
      </c>
      <c r="K147" s="2365">
        <f t="shared" si="342"/>
        <v>543.66666666666663</v>
      </c>
      <c r="L147" s="2365">
        <f>SUM(L30:L35)+(L60-L69-L70)*L130</f>
        <v>543.66666666666663</v>
      </c>
      <c r="M147" s="2363">
        <f t="shared" si="342"/>
        <v>543.66666666666663</v>
      </c>
      <c r="N147" s="2141">
        <f t="shared" si="200"/>
        <v>3187.333333333333</v>
      </c>
      <c r="O147" s="4096">
        <f t="shared" ref="O147" si="343">SUM(O30:O35)+(O60-O69-O70)*O130</f>
        <v>2141.3333333333335</v>
      </c>
      <c r="P147" s="2160">
        <f t="shared" si="342"/>
        <v>916</v>
      </c>
      <c r="Q147" s="2363">
        <f t="shared" si="342"/>
        <v>325.66666666666669</v>
      </c>
      <c r="R147" s="2364">
        <f t="shared" si="342"/>
        <v>22.666666666666664</v>
      </c>
      <c r="S147" s="2365">
        <f t="shared" si="342"/>
        <v>7.6666666666666661</v>
      </c>
      <c r="T147" s="2365">
        <f t="shared" si="342"/>
        <v>7.6666666666666661</v>
      </c>
      <c r="U147" s="2365">
        <f t="shared" si="342"/>
        <v>7.6666666666666661</v>
      </c>
      <c r="V147" s="2366">
        <f t="shared" si="342"/>
        <v>7.6666666666666661</v>
      </c>
      <c r="W147" s="2362">
        <f>SUM(W30:W35)+(W60-W69-W70)*W130</f>
        <v>0</v>
      </c>
      <c r="X147" s="2364">
        <f>SUM(X30:X35)+(X60-X69-X70)*X130</f>
        <v>0</v>
      </c>
      <c r="Y147" s="2363">
        <f t="shared" si="342"/>
        <v>0</v>
      </c>
      <c r="Z147" s="2364">
        <f t="shared" si="342"/>
        <v>990</v>
      </c>
      <c r="AA147" s="2365">
        <f t="shared" si="342"/>
        <v>536</v>
      </c>
      <c r="AB147" s="2365">
        <f t="shared" si="342"/>
        <v>536</v>
      </c>
      <c r="AC147" s="2365">
        <f t="shared" si="342"/>
        <v>536</v>
      </c>
      <c r="AD147" s="2363">
        <f t="shared" si="342"/>
        <v>536</v>
      </c>
      <c r="AE147" s="2362">
        <f t="shared" ref="AE147" si="344">SUM(AE30:AE35)+(AE60-AE69-AE70)*AE130</f>
        <v>0</v>
      </c>
      <c r="AF147" s="2364">
        <f t="shared" si="342"/>
        <v>0</v>
      </c>
      <c r="AG147" s="2363">
        <f t="shared" si="342"/>
        <v>0</v>
      </c>
      <c r="AH147" s="2364">
        <f t="shared" si="342"/>
        <v>0</v>
      </c>
      <c r="AI147" s="2365">
        <f t="shared" si="342"/>
        <v>0</v>
      </c>
      <c r="AJ147" s="2365">
        <f t="shared" si="342"/>
        <v>0</v>
      </c>
      <c r="AK147" s="2365">
        <f t="shared" si="342"/>
        <v>0</v>
      </c>
      <c r="AL147" s="2363">
        <f t="shared" si="342"/>
        <v>0</v>
      </c>
      <c r="AO147" s="1238"/>
      <c r="AP147" s="1238"/>
      <c r="AQ147" s="1238"/>
      <c r="AV147" s="2042"/>
      <c r="AW147" s="2242"/>
      <c r="AX147" s="2046"/>
      <c r="AY147" s="4422"/>
      <c r="AZ147" s="4438">
        <f t="shared" si="309"/>
        <v>1094.8463482681693</v>
      </c>
      <c r="BA147" s="4438">
        <f t="shared" si="310"/>
        <v>468.34336317573616</v>
      </c>
      <c r="BB147" s="4438">
        <f t="shared" si="311"/>
        <v>166.51072264290184</v>
      </c>
      <c r="BC147" s="4438">
        <f t="shared" si="312"/>
        <v>517.7682450247039</v>
      </c>
      <c r="BD147" s="4438">
        <f t="shared" si="313"/>
        <v>277.97235274367745</v>
      </c>
      <c r="BE147" s="4438">
        <f t="shared" si="314"/>
        <v>277.97235274367745</v>
      </c>
      <c r="BF147" s="4438">
        <f t="shared" si="315"/>
        <v>277.97235274367745</v>
      </c>
      <c r="BG147" s="4438">
        <f t="shared" si="316"/>
        <v>277.97235274367745</v>
      </c>
      <c r="BH147" s="4438">
        <f t="shared" si="317"/>
        <v>1629.6576559994137</v>
      </c>
      <c r="BI147" s="4438">
        <f t="shared" si="318"/>
        <v>1094.8463482681693</v>
      </c>
      <c r="BJ147" s="4438">
        <f t="shared" si="319"/>
        <v>468.34336317573616</v>
      </c>
      <c r="BK147" s="4438">
        <f t="shared" si="320"/>
        <v>166.51072264290184</v>
      </c>
      <c r="BL147" s="4438">
        <f t="shared" si="321"/>
        <v>11.589282640447617</v>
      </c>
      <c r="BM147" s="4438">
        <f t="shared" si="322"/>
        <v>3.9199044225043416</v>
      </c>
      <c r="BN147" s="4438">
        <f t="shared" si="323"/>
        <v>3.9199044225043416</v>
      </c>
      <c r="BO147" s="4438">
        <f t="shared" si="324"/>
        <v>3.9199044225043416</v>
      </c>
      <c r="BP147" s="4438">
        <f t="shared" si="325"/>
        <v>3.9199044225043416</v>
      </c>
      <c r="BQ147" s="4438">
        <f t="shared" si="326"/>
        <v>0</v>
      </c>
      <c r="BR147" s="4438">
        <f t="shared" si="327"/>
        <v>0</v>
      </c>
      <c r="BS147" s="4438">
        <f t="shared" si="328"/>
        <v>0</v>
      </c>
      <c r="BT147" s="4438">
        <f t="shared" si="329"/>
        <v>506.17896238425629</v>
      </c>
      <c r="BU147" s="4438">
        <f t="shared" si="330"/>
        <v>274.05244832117313</v>
      </c>
      <c r="BV147" s="4438">
        <f t="shared" si="331"/>
        <v>274.05244832117313</v>
      </c>
      <c r="BW147" s="4438">
        <f t="shared" si="332"/>
        <v>274.05244832117313</v>
      </c>
      <c r="BX147" s="4438">
        <f t="shared" si="333"/>
        <v>274.05244832117313</v>
      </c>
      <c r="BY147" s="4438">
        <f t="shared" si="334"/>
        <v>0</v>
      </c>
      <c r="BZ147" s="4438">
        <f t="shared" si="335"/>
        <v>0</v>
      </c>
      <c r="CA147" s="4438">
        <f t="shared" si="336"/>
        <v>0</v>
      </c>
      <c r="CB147" s="4438">
        <f t="shared" si="337"/>
        <v>0</v>
      </c>
      <c r="CC147" s="4438">
        <f t="shared" si="338"/>
        <v>0</v>
      </c>
      <c r="CD147" s="4438">
        <f t="shared" si="339"/>
        <v>0</v>
      </c>
      <c r="CE147" s="4438">
        <f t="shared" si="340"/>
        <v>0</v>
      </c>
      <c r="CF147" s="4438">
        <f t="shared" si="341"/>
        <v>0</v>
      </c>
    </row>
    <row r="148" spans="1:84">
      <c r="E148" s="2266" t="str">
        <f t="shared" ref="E148:E149" si="345">E141</f>
        <v>Отвеждане на отпадъчните води</v>
      </c>
      <c r="F148" s="2362">
        <f>SUM(F43:F47)+(F60-F69-F70)*F131</f>
        <v>34.333333333333329</v>
      </c>
      <c r="G148" s="2364">
        <f>SUM(G43:G47)+(G60-G69-G70)*G131</f>
        <v>34</v>
      </c>
      <c r="H148" s="2363">
        <f t="shared" ref="H148:M148" si="346">SUM(H43:H47)+(H60-H69-H70)*H131</f>
        <v>256.66666666666669</v>
      </c>
      <c r="I148" s="2364">
        <f t="shared" si="346"/>
        <v>26.666666666666664</v>
      </c>
      <c r="J148" s="2365">
        <f t="shared" si="346"/>
        <v>7.6666666666666661</v>
      </c>
      <c r="K148" s="2365">
        <f t="shared" si="346"/>
        <v>7.6666666666666661</v>
      </c>
      <c r="L148" s="2365">
        <f t="shared" si="346"/>
        <v>7.6666666666666661</v>
      </c>
      <c r="M148" s="2363">
        <f t="shared" si="346"/>
        <v>7.6666666666666661</v>
      </c>
      <c r="N148" s="2141">
        <f t="shared" si="200"/>
        <v>57.333333333333321</v>
      </c>
      <c r="O148" s="4096">
        <f t="shared" ref="O148" si="347">SUM(O43:O47)+(O60-O69-O70)*O131</f>
        <v>34.333333333333329</v>
      </c>
      <c r="P148" s="2160">
        <f t="shared" ref="P148:AL148" si="348">SUM(P43:P47)+(P60-P69-P70)*P131</f>
        <v>34</v>
      </c>
      <c r="Q148" s="2363">
        <f t="shared" si="348"/>
        <v>256.66666666666669</v>
      </c>
      <c r="R148" s="2364">
        <f t="shared" si="348"/>
        <v>26.666666666666664</v>
      </c>
      <c r="S148" s="2365">
        <f t="shared" si="348"/>
        <v>7.6666666666666661</v>
      </c>
      <c r="T148" s="2365">
        <f t="shared" si="348"/>
        <v>7.6666666666666661</v>
      </c>
      <c r="U148" s="2365">
        <f t="shared" si="348"/>
        <v>7.6666666666666661</v>
      </c>
      <c r="V148" s="2366">
        <f t="shared" si="348"/>
        <v>7.6666666666666661</v>
      </c>
      <c r="W148" s="2362">
        <f t="shared" ref="W148" si="349">SUM(W43:W47)+(W60-W69-W70)*W131</f>
        <v>0</v>
      </c>
      <c r="X148" s="2364">
        <f t="shared" si="348"/>
        <v>0</v>
      </c>
      <c r="Y148" s="2363">
        <f t="shared" si="348"/>
        <v>0</v>
      </c>
      <c r="Z148" s="2364">
        <f t="shared" si="348"/>
        <v>0</v>
      </c>
      <c r="AA148" s="2365">
        <f t="shared" si="348"/>
        <v>0</v>
      </c>
      <c r="AB148" s="2365">
        <f t="shared" si="348"/>
        <v>0</v>
      </c>
      <c r="AC148" s="2365">
        <f t="shared" si="348"/>
        <v>0</v>
      </c>
      <c r="AD148" s="2363">
        <f t="shared" si="348"/>
        <v>0</v>
      </c>
      <c r="AE148" s="2362">
        <f>SUM(AE43:AE47)+(AE60-AE69-AE70)*AE131</f>
        <v>0</v>
      </c>
      <c r="AF148" s="2364">
        <f>SUM(AF43:AF47)+(AF60-AF69-AF70)*AF131</f>
        <v>0</v>
      </c>
      <c r="AG148" s="2363">
        <f t="shared" si="348"/>
        <v>0</v>
      </c>
      <c r="AH148" s="2364">
        <f t="shared" si="348"/>
        <v>0</v>
      </c>
      <c r="AI148" s="2365">
        <f t="shared" si="348"/>
        <v>0</v>
      </c>
      <c r="AJ148" s="2365">
        <f t="shared" si="348"/>
        <v>0</v>
      </c>
      <c r="AK148" s="2365">
        <f t="shared" si="348"/>
        <v>0</v>
      </c>
      <c r="AL148" s="2363">
        <f t="shared" si="348"/>
        <v>0</v>
      </c>
      <c r="AO148" s="2042"/>
      <c r="AX148" s="2046"/>
      <c r="AY148" s="4422"/>
      <c r="AZ148" s="4438">
        <f t="shared" si="309"/>
        <v>17.554354587736832</v>
      </c>
      <c r="BA148" s="4438">
        <f t="shared" si="310"/>
        <v>17.383923960671428</v>
      </c>
      <c r="BB148" s="4438">
        <f t="shared" si="311"/>
        <v>131.23158284036276</v>
      </c>
      <c r="BC148" s="4438">
        <f t="shared" si="312"/>
        <v>13.634450165232492</v>
      </c>
      <c r="BD148" s="4438">
        <f t="shared" si="313"/>
        <v>3.9199044225043416</v>
      </c>
      <c r="BE148" s="4438">
        <f t="shared" si="314"/>
        <v>3.9199044225043416</v>
      </c>
      <c r="BF148" s="4438">
        <f t="shared" si="315"/>
        <v>3.9199044225043416</v>
      </c>
      <c r="BG148" s="4438">
        <f t="shared" si="316"/>
        <v>3.9199044225043416</v>
      </c>
      <c r="BH148" s="4438">
        <f t="shared" si="317"/>
        <v>29.314067855249853</v>
      </c>
      <c r="BI148" s="4438">
        <f t="shared" si="318"/>
        <v>17.554354587736832</v>
      </c>
      <c r="BJ148" s="4438">
        <f t="shared" si="319"/>
        <v>17.383923960671428</v>
      </c>
      <c r="BK148" s="4438">
        <f t="shared" si="320"/>
        <v>131.23158284036276</v>
      </c>
      <c r="BL148" s="4438">
        <f t="shared" si="321"/>
        <v>13.634450165232492</v>
      </c>
      <c r="BM148" s="4438">
        <f t="shared" si="322"/>
        <v>3.9199044225043416</v>
      </c>
      <c r="BN148" s="4438">
        <f t="shared" si="323"/>
        <v>3.9199044225043416</v>
      </c>
      <c r="BO148" s="4438">
        <f t="shared" si="324"/>
        <v>3.9199044225043416</v>
      </c>
      <c r="BP148" s="4438">
        <f t="shared" si="325"/>
        <v>3.9199044225043416</v>
      </c>
      <c r="BQ148" s="4438">
        <f t="shared" si="326"/>
        <v>0</v>
      </c>
      <c r="BR148" s="4438">
        <f t="shared" si="327"/>
        <v>0</v>
      </c>
      <c r="BS148" s="4438">
        <f t="shared" si="328"/>
        <v>0</v>
      </c>
      <c r="BT148" s="4438">
        <f t="shared" si="329"/>
        <v>0</v>
      </c>
      <c r="BU148" s="4438">
        <f t="shared" si="330"/>
        <v>0</v>
      </c>
      <c r="BV148" s="4438">
        <f t="shared" si="331"/>
        <v>0</v>
      </c>
      <c r="BW148" s="4438">
        <f t="shared" si="332"/>
        <v>0</v>
      </c>
      <c r="BX148" s="4438">
        <f t="shared" si="333"/>
        <v>0</v>
      </c>
      <c r="BY148" s="4438">
        <f t="shared" si="334"/>
        <v>0</v>
      </c>
      <c r="BZ148" s="4438">
        <f t="shared" si="335"/>
        <v>0</v>
      </c>
      <c r="CA148" s="4438">
        <f t="shared" si="336"/>
        <v>0</v>
      </c>
      <c r="CB148" s="4438">
        <f t="shared" si="337"/>
        <v>0</v>
      </c>
      <c r="CC148" s="4438">
        <f t="shared" si="338"/>
        <v>0</v>
      </c>
      <c r="CD148" s="4438">
        <f t="shared" si="339"/>
        <v>0</v>
      </c>
      <c r="CE148" s="4438">
        <f t="shared" si="340"/>
        <v>0</v>
      </c>
      <c r="CF148" s="4438">
        <f t="shared" si="341"/>
        <v>0</v>
      </c>
    </row>
    <row r="149" spans="1:84">
      <c r="E149" s="2266" t="str">
        <f t="shared" si="345"/>
        <v>Пречистване на отпадъчните води</v>
      </c>
      <c r="F149" s="2362">
        <f>SUM(F52:F56)+F50+(F60-F69-F70)*F132</f>
        <v>32.333333333333329</v>
      </c>
      <c r="G149" s="2364">
        <f>SUM(G52:G56)+G50+(G60-G69-G70)*G132</f>
        <v>84</v>
      </c>
      <c r="H149" s="2363">
        <f t="shared" ref="H149:M149" si="350">SUM(H52:H56)+H50+(H60-H69-H70)*H132</f>
        <v>67.666666666666657</v>
      </c>
      <c r="I149" s="2364">
        <f t="shared" si="350"/>
        <v>22.666666666666664</v>
      </c>
      <c r="J149" s="2365">
        <f t="shared" si="350"/>
        <v>7.6666666666666661</v>
      </c>
      <c r="K149" s="2365">
        <f t="shared" si="350"/>
        <v>7.6666666666666661</v>
      </c>
      <c r="L149" s="2365">
        <f t="shared" si="350"/>
        <v>7.6666666666666661</v>
      </c>
      <c r="M149" s="2363">
        <f t="shared" si="350"/>
        <v>7.6666666666666661</v>
      </c>
      <c r="N149" s="2141">
        <f>SUM(I149:M149)</f>
        <v>53.333333333333321</v>
      </c>
      <c r="O149" s="4096">
        <f t="shared" ref="O149" si="351">SUM(O52:O56)+O50+(O60-O69-O70)*O132</f>
        <v>32.333333333333329</v>
      </c>
      <c r="P149" s="2160">
        <f t="shared" ref="P149:AL149" si="352">SUM(P52:P56)+P50+(P60-P69-P70)*P132</f>
        <v>84</v>
      </c>
      <c r="Q149" s="2363">
        <f t="shared" si="352"/>
        <v>67.666666666666657</v>
      </c>
      <c r="R149" s="2364">
        <f t="shared" si="352"/>
        <v>22.666666666666664</v>
      </c>
      <c r="S149" s="2365">
        <f t="shared" si="352"/>
        <v>7.6666666666666661</v>
      </c>
      <c r="T149" s="2365">
        <f>SUM(T52:T56)+T50+(T60-T69-T70)*T132</f>
        <v>7.6666666666666661</v>
      </c>
      <c r="U149" s="2365">
        <f t="shared" si="352"/>
        <v>7.6666666666666661</v>
      </c>
      <c r="V149" s="2366">
        <f t="shared" si="352"/>
        <v>7.6666666666666661</v>
      </c>
      <c r="W149" s="2362">
        <f>SUM(W52:W56)+W50+(W60-W69-W70)*W132</f>
        <v>0</v>
      </c>
      <c r="X149" s="2364">
        <f>SUM(X52:X56)+X50+(X60-X69-X70)*X132</f>
        <v>0</v>
      </c>
      <c r="Y149" s="2363">
        <f t="shared" si="352"/>
        <v>0</v>
      </c>
      <c r="Z149" s="2364">
        <f t="shared" si="352"/>
        <v>0</v>
      </c>
      <c r="AA149" s="2365">
        <f t="shared" si="352"/>
        <v>0</v>
      </c>
      <c r="AB149" s="2365">
        <f t="shared" si="352"/>
        <v>0</v>
      </c>
      <c r="AC149" s="2365">
        <f t="shared" si="352"/>
        <v>0</v>
      </c>
      <c r="AD149" s="2363">
        <f t="shared" si="352"/>
        <v>0</v>
      </c>
      <c r="AE149" s="2362">
        <f t="shared" ref="AE149" si="353">SUM(AE52:AE56)+AE50+(AE60-AE69-AE70)*AE132</f>
        <v>0</v>
      </c>
      <c r="AF149" s="2364">
        <f t="shared" si="352"/>
        <v>0</v>
      </c>
      <c r="AG149" s="2363">
        <f t="shared" si="352"/>
        <v>0</v>
      </c>
      <c r="AH149" s="2364">
        <f t="shared" si="352"/>
        <v>0</v>
      </c>
      <c r="AI149" s="2365">
        <f t="shared" si="352"/>
        <v>0</v>
      </c>
      <c r="AJ149" s="2365">
        <f t="shared" si="352"/>
        <v>0</v>
      </c>
      <c r="AK149" s="2365">
        <f t="shared" si="352"/>
        <v>0</v>
      </c>
      <c r="AL149" s="2363">
        <f t="shared" si="352"/>
        <v>0</v>
      </c>
      <c r="AX149" s="2046"/>
      <c r="AY149" s="4422"/>
      <c r="AZ149" s="4438">
        <f t="shared" si="309"/>
        <v>16.531770825344395</v>
      </c>
      <c r="BA149" s="4438">
        <f t="shared" si="310"/>
        <v>42.948518020482354</v>
      </c>
      <c r="BB149" s="4438">
        <f t="shared" si="311"/>
        <v>34.597417294277449</v>
      </c>
      <c r="BC149" s="4438">
        <f t="shared" si="312"/>
        <v>11.589282640447617</v>
      </c>
      <c r="BD149" s="4438">
        <f t="shared" si="313"/>
        <v>3.9199044225043416</v>
      </c>
      <c r="BE149" s="4438">
        <f t="shared" si="314"/>
        <v>3.9199044225043416</v>
      </c>
      <c r="BF149" s="4438">
        <f t="shared" si="315"/>
        <v>3.9199044225043416</v>
      </c>
      <c r="BG149" s="4438">
        <f t="shared" si="316"/>
        <v>3.9199044225043416</v>
      </c>
      <c r="BH149" s="4438">
        <f t="shared" si="317"/>
        <v>27.26890033046498</v>
      </c>
      <c r="BI149" s="4438">
        <f t="shared" si="318"/>
        <v>16.531770825344395</v>
      </c>
      <c r="BJ149" s="4438">
        <f t="shared" si="319"/>
        <v>42.948518020482354</v>
      </c>
      <c r="BK149" s="4438">
        <f t="shared" si="320"/>
        <v>34.597417294277449</v>
      </c>
      <c r="BL149" s="4438">
        <f t="shared" si="321"/>
        <v>11.589282640447617</v>
      </c>
      <c r="BM149" s="4438">
        <f t="shared" si="322"/>
        <v>3.9199044225043416</v>
      </c>
      <c r="BN149" s="4438">
        <f t="shared" si="323"/>
        <v>3.9199044225043416</v>
      </c>
      <c r="BO149" s="4438">
        <f t="shared" si="324"/>
        <v>3.9199044225043416</v>
      </c>
      <c r="BP149" s="4438">
        <f t="shared" si="325"/>
        <v>3.9199044225043416</v>
      </c>
      <c r="BQ149" s="4438">
        <f t="shared" si="326"/>
        <v>0</v>
      </c>
      <c r="BR149" s="4438">
        <f t="shared" si="327"/>
        <v>0</v>
      </c>
      <c r="BS149" s="4438">
        <f t="shared" si="328"/>
        <v>0</v>
      </c>
      <c r="BT149" s="4438">
        <f t="shared" si="329"/>
        <v>0</v>
      </c>
      <c r="BU149" s="4438">
        <f t="shared" si="330"/>
        <v>0</v>
      </c>
      <c r="BV149" s="4438">
        <f t="shared" si="331"/>
        <v>0</v>
      </c>
      <c r="BW149" s="4438">
        <f t="shared" si="332"/>
        <v>0</v>
      </c>
      <c r="BX149" s="4438">
        <f t="shared" si="333"/>
        <v>0</v>
      </c>
      <c r="BY149" s="4438">
        <f t="shared" si="334"/>
        <v>0</v>
      </c>
      <c r="BZ149" s="4438">
        <f t="shared" si="335"/>
        <v>0</v>
      </c>
      <c r="CA149" s="4438">
        <f t="shared" si="336"/>
        <v>0</v>
      </c>
      <c r="CB149" s="4438">
        <f t="shared" si="337"/>
        <v>0</v>
      </c>
      <c r="CC149" s="4438">
        <f t="shared" si="338"/>
        <v>0</v>
      </c>
      <c r="CD149" s="4438">
        <f t="shared" si="339"/>
        <v>0</v>
      </c>
      <c r="CE149" s="4438">
        <f t="shared" si="340"/>
        <v>0</v>
      </c>
      <c r="CF149" s="4438">
        <f t="shared" si="341"/>
        <v>0</v>
      </c>
    </row>
    <row r="150" spans="1:84" ht="24">
      <c r="E150" s="2347" t="s">
        <v>1029</v>
      </c>
      <c r="F150" s="2352">
        <f>SUM(F92:F97)</f>
        <v>0</v>
      </c>
      <c r="G150" s="2348">
        <f>SUM(G92:G97)</f>
        <v>0</v>
      </c>
      <c r="H150" s="2349">
        <f t="shared" ref="H150:M150" si="354">SUM(H92:H97)</f>
        <v>0</v>
      </c>
      <c r="I150" s="2348">
        <f t="shared" si="354"/>
        <v>0</v>
      </c>
      <c r="J150" s="2350">
        <f t="shared" si="354"/>
        <v>0</v>
      </c>
      <c r="K150" s="2350">
        <f t="shared" si="354"/>
        <v>0</v>
      </c>
      <c r="L150" s="2350">
        <f t="shared" si="354"/>
        <v>0</v>
      </c>
      <c r="M150" s="2349">
        <f t="shared" si="354"/>
        <v>0</v>
      </c>
      <c r="N150" s="2351">
        <f t="shared" ref="N150:N151" si="355">SUM(I150:M150)</f>
        <v>0</v>
      </c>
      <c r="O150" s="4097">
        <f t="shared" ref="O150" si="356">SUM(O92:O97)</f>
        <v>0</v>
      </c>
      <c r="P150" s="2348">
        <f t="shared" ref="P150:AL150" si="357">SUM(P92:P97)</f>
        <v>0</v>
      </c>
      <c r="Q150" s="2349">
        <f t="shared" si="357"/>
        <v>0</v>
      </c>
      <c r="R150" s="2348">
        <f t="shared" si="357"/>
        <v>0</v>
      </c>
      <c r="S150" s="2350">
        <f t="shared" si="357"/>
        <v>0</v>
      </c>
      <c r="T150" s="2350">
        <f t="shared" si="357"/>
        <v>0</v>
      </c>
      <c r="U150" s="2350">
        <f t="shared" si="357"/>
        <v>0</v>
      </c>
      <c r="V150" s="2349">
        <f t="shared" si="357"/>
        <v>0</v>
      </c>
      <c r="W150" s="2352">
        <f t="shared" ref="W150" si="358">SUM(W92:W97)</f>
        <v>0</v>
      </c>
      <c r="X150" s="2348">
        <f t="shared" si="357"/>
        <v>0</v>
      </c>
      <c r="Y150" s="2349">
        <f t="shared" si="357"/>
        <v>0</v>
      </c>
      <c r="Z150" s="2348">
        <f t="shared" si="357"/>
        <v>0</v>
      </c>
      <c r="AA150" s="2350">
        <f t="shared" si="357"/>
        <v>0</v>
      </c>
      <c r="AB150" s="2350">
        <f t="shared" si="357"/>
        <v>0</v>
      </c>
      <c r="AC150" s="2350">
        <f t="shared" si="357"/>
        <v>0</v>
      </c>
      <c r="AD150" s="2349">
        <f t="shared" si="357"/>
        <v>0</v>
      </c>
      <c r="AE150" s="2352">
        <f t="shared" ref="AE150" si="359">SUM(AE92:AE97)</f>
        <v>0</v>
      </c>
      <c r="AF150" s="2348">
        <f t="shared" si="357"/>
        <v>0</v>
      </c>
      <c r="AG150" s="2349">
        <f t="shared" si="357"/>
        <v>0</v>
      </c>
      <c r="AH150" s="2348">
        <f t="shared" si="357"/>
        <v>0</v>
      </c>
      <c r="AI150" s="2350">
        <f t="shared" si="357"/>
        <v>0</v>
      </c>
      <c r="AJ150" s="2350">
        <f t="shared" si="357"/>
        <v>0</v>
      </c>
      <c r="AK150" s="2350">
        <f t="shared" si="357"/>
        <v>0</v>
      </c>
      <c r="AL150" s="2349">
        <f t="shared" si="357"/>
        <v>0</v>
      </c>
      <c r="AP150" s="2390"/>
      <c r="AQ150" s="2379"/>
      <c r="AR150" s="1278"/>
      <c r="AS150" s="1278"/>
      <c r="AT150" s="2392"/>
      <c r="AU150" s="2381"/>
      <c r="AV150" s="1278"/>
      <c r="AW150" s="2238"/>
      <c r="AX150" s="2381"/>
      <c r="AY150" s="4422"/>
      <c r="AZ150" s="4438">
        <f t="shared" si="309"/>
        <v>0</v>
      </c>
      <c r="BA150" s="4438">
        <f t="shared" si="310"/>
        <v>0</v>
      </c>
      <c r="BB150" s="4438">
        <f t="shared" si="311"/>
        <v>0</v>
      </c>
      <c r="BC150" s="4438">
        <f t="shared" si="312"/>
        <v>0</v>
      </c>
      <c r="BD150" s="4438">
        <f t="shared" si="313"/>
        <v>0</v>
      </c>
      <c r="BE150" s="4438">
        <f t="shared" si="314"/>
        <v>0</v>
      </c>
      <c r="BF150" s="4438">
        <f t="shared" si="315"/>
        <v>0</v>
      </c>
      <c r="BG150" s="4438">
        <f t="shared" si="316"/>
        <v>0</v>
      </c>
      <c r="BH150" s="4438">
        <f t="shared" si="317"/>
        <v>0</v>
      </c>
      <c r="BI150" s="4438">
        <f t="shared" si="318"/>
        <v>0</v>
      </c>
      <c r="BJ150" s="4438">
        <f t="shared" si="319"/>
        <v>0</v>
      </c>
      <c r="BK150" s="4438">
        <f t="shared" si="320"/>
        <v>0</v>
      </c>
      <c r="BL150" s="4438">
        <f t="shared" si="321"/>
        <v>0</v>
      </c>
      <c r="BM150" s="4438">
        <f t="shared" si="322"/>
        <v>0</v>
      </c>
      <c r="BN150" s="4438">
        <f t="shared" si="323"/>
        <v>0</v>
      </c>
      <c r="BO150" s="4438">
        <f t="shared" si="324"/>
        <v>0</v>
      </c>
      <c r="BP150" s="4438">
        <f t="shared" si="325"/>
        <v>0</v>
      </c>
      <c r="BQ150" s="4438">
        <f t="shared" si="326"/>
        <v>0</v>
      </c>
      <c r="BR150" s="4438">
        <f t="shared" si="327"/>
        <v>0</v>
      </c>
      <c r="BS150" s="4438">
        <f t="shared" si="328"/>
        <v>0</v>
      </c>
      <c r="BT150" s="4438">
        <f t="shared" si="329"/>
        <v>0</v>
      </c>
      <c r="BU150" s="4438">
        <f t="shared" si="330"/>
        <v>0</v>
      </c>
      <c r="BV150" s="4438">
        <f t="shared" si="331"/>
        <v>0</v>
      </c>
      <c r="BW150" s="4438">
        <f t="shared" si="332"/>
        <v>0</v>
      </c>
      <c r="BX150" s="4438">
        <f t="shared" si="333"/>
        <v>0</v>
      </c>
      <c r="BY150" s="4438">
        <f t="shared" si="334"/>
        <v>0</v>
      </c>
      <c r="BZ150" s="4438">
        <f t="shared" si="335"/>
        <v>0</v>
      </c>
      <c r="CA150" s="4438">
        <f t="shared" si="336"/>
        <v>0</v>
      </c>
      <c r="CB150" s="4438">
        <f t="shared" si="337"/>
        <v>0</v>
      </c>
      <c r="CC150" s="4438">
        <f t="shared" si="338"/>
        <v>0</v>
      </c>
      <c r="CD150" s="4438">
        <f t="shared" si="339"/>
        <v>0</v>
      </c>
      <c r="CE150" s="4438">
        <f t="shared" si="340"/>
        <v>0</v>
      </c>
      <c r="CF150" s="4438">
        <f t="shared" si="341"/>
        <v>0</v>
      </c>
    </row>
    <row r="151" spans="1:84" ht="24" customHeight="1" thickBot="1">
      <c r="E151" s="2353" t="s">
        <v>1092</v>
      </c>
      <c r="F151" s="4087">
        <f>SUM(F118:F123)</f>
        <v>0</v>
      </c>
      <c r="G151" s="2354">
        <f>SUM(G118:G123)</f>
        <v>0</v>
      </c>
      <c r="H151" s="2355">
        <f t="shared" ref="H151:M151" si="360">SUM(H118:H123)</f>
        <v>0</v>
      </c>
      <c r="I151" s="2356">
        <f t="shared" si="360"/>
        <v>0</v>
      </c>
      <c r="J151" s="2357">
        <f t="shared" si="360"/>
        <v>0</v>
      </c>
      <c r="K151" s="2357">
        <f t="shared" si="360"/>
        <v>0</v>
      </c>
      <c r="L151" s="2357">
        <f t="shared" si="360"/>
        <v>0</v>
      </c>
      <c r="M151" s="2355">
        <f t="shared" si="360"/>
        <v>0</v>
      </c>
      <c r="N151" s="2351">
        <f t="shared" si="355"/>
        <v>0</v>
      </c>
      <c r="O151" s="4098">
        <f t="shared" ref="O151" si="361">SUM(O118:O123)</f>
        <v>0</v>
      </c>
      <c r="P151" s="2356">
        <f t="shared" ref="P151:AL151" si="362">SUM(P118:P123)</f>
        <v>0</v>
      </c>
      <c r="Q151" s="2355">
        <f t="shared" si="362"/>
        <v>0</v>
      </c>
      <c r="R151" s="2356">
        <f t="shared" si="362"/>
        <v>0</v>
      </c>
      <c r="S151" s="2357">
        <f t="shared" si="362"/>
        <v>0</v>
      </c>
      <c r="T151" s="2357">
        <f t="shared" si="362"/>
        <v>0</v>
      </c>
      <c r="U151" s="2357">
        <f t="shared" si="362"/>
        <v>0</v>
      </c>
      <c r="V151" s="2355">
        <f t="shared" si="362"/>
        <v>0</v>
      </c>
      <c r="W151" s="2358">
        <f t="shared" ref="W151" si="363">SUM(W118:W123)</f>
        <v>0</v>
      </c>
      <c r="X151" s="2356">
        <f t="shared" si="362"/>
        <v>0</v>
      </c>
      <c r="Y151" s="2355">
        <f t="shared" si="362"/>
        <v>0</v>
      </c>
      <c r="Z151" s="2356">
        <f t="shared" si="362"/>
        <v>0</v>
      </c>
      <c r="AA151" s="2357">
        <f t="shared" si="362"/>
        <v>0</v>
      </c>
      <c r="AB151" s="2357">
        <f t="shared" si="362"/>
        <v>0</v>
      </c>
      <c r="AC151" s="2357">
        <f t="shared" si="362"/>
        <v>0</v>
      </c>
      <c r="AD151" s="2355">
        <f t="shared" si="362"/>
        <v>0</v>
      </c>
      <c r="AE151" s="2358">
        <f t="shared" ref="AE151" si="364">SUM(AE118:AE123)</f>
        <v>0</v>
      </c>
      <c r="AF151" s="2356">
        <f t="shared" si="362"/>
        <v>0</v>
      </c>
      <c r="AG151" s="2355">
        <f t="shared" si="362"/>
        <v>0</v>
      </c>
      <c r="AH151" s="2356">
        <f t="shared" si="362"/>
        <v>0</v>
      </c>
      <c r="AI151" s="2357">
        <f t="shared" si="362"/>
        <v>0</v>
      </c>
      <c r="AJ151" s="2357">
        <f t="shared" si="362"/>
        <v>0</v>
      </c>
      <c r="AK151" s="2357">
        <f t="shared" si="362"/>
        <v>0</v>
      </c>
      <c r="AL151" s="2355">
        <f t="shared" si="362"/>
        <v>0</v>
      </c>
      <c r="AP151" s="5100"/>
      <c r="AQ151" s="5100"/>
      <c r="AR151" s="5100"/>
      <c r="AS151" s="5100"/>
      <c r="AT151" s="5100"/>
      <c r="AU151" s="5100"/>
      <c r="AV151" s="5100"/>
      <c r="AW151" s="5100"/>
      <c r="AX151" s="5100"/>
      <c r="AY151" s="4422"/>
      <c r="AZ151" s="4438">
        <f t="shared" si="309"/>
        <v>0</v>
      </c>
      <c r="BA151" s="4438">
        <f t="shared" si="310"/>
        <v>0</v>
      </c>
      <c r="BB151" s="4438">
        <f t="shared" si="311"/>
        <v>0</v>
      </c>
      <c r="BC151" s="4438">
        <f t="shared" si="312"/>
        <v>0</v>
      </c>
      <c r="BD151" s="4438">
        <f t="shared" si="313"/>
        <v>0</v>
      </c>
      <c r="BE151" s="4438">
        <f t="shared" si="314"/>
        <v>0</v>
      </c>
      <c r="BF151" s="4438">
        <f t="shared" si="315"/>
        <v>0</v>
      </c>
      <c r="BG151" s="4438">
        <f t="shared" si="316"/>
        <v>0</v>
      </c>
      <c r="BH151" s="4438">
        <f t="shared" si="317"/>
        <v>0</v>
      </c>
      <c r="BI151" s="4438">
        <f t="shared" si="318"/>
        <v>0</v>
      </c>
      <c r="BJ151" s="4438">
        <f t="shared" si="319"/>
        <v>0</v>
      </c>
      <c r="BK151" s="4438">
        <f t="shared" si="320"/>
        <v>0</v>
      </c>
      <c r="BL151" s="4438">
        <f t="shared" si="321"/>
        <v>0</v>
      </c>
      <c r="BM151" s="4438">
        <f t="shared" si="322"/>
        <v>0</v>
      </c>
      <c r="BN151" s="4438">
        <f t="shared" si="323"/>
        <v>0</v>
      </c>
      <c r="BO151" s="4438">
        <f t="shared" si="324"/>
        <v>0</v>
      </c>
      <c r="BP151" s="4438">
        <f t="shared" si="325"/>
        <v>0</v>
      </c>
      <c r="BQ151" s="4438">
        <f t="shared" si="326"/>
        <v>0</v>
      </c>
      <c r="BR151" s="4438">
        <f t="shared" si="327"/>
        <v>0</v>
      </c>
      <c r="BS151" s="4438">
        <f t="shared" si="328"/>
        <v>0</v>
      </c>
      <c r="BT151" s="4438">
        <f t="shared" si="329"/>
        <v>0</v>
      </c>
      <c r="BU151" s="4438">
        <f t="shared" si="330"/>
        <v>0</v>
      </c>
      <c r="BV151" s="4438">
        <f t="shared" si="331"/>
        <v>0</v>
      </c>
      <c r="BW151" s="4438">
        <f t="shared" si="332"/>
        <v>0</v>
      </c>
      <c r="BX151" s="4438">
        <f t="shared" si="333"/>
        <v>0</v>
      </c>
      <c r="BY151" s="4438">
        <f t="shared" si="334"/>
        <v>0</v>
      </c>
      <c r="BZ151" s="4438">
        <f t="shared" si="335"/>
        <v>0</v>
      </c>
      <c r="CA151" s="4438">
        <f t="shared" si="336"/>
        <v>0</v>
      </c>
      <c r="CB151" s="4438">
        <f t="shared" si="337"/>
        <v>0</v>
      </c>
      <c r="CC151" s="4438">
        <f t="shared" si="338"/>
        <v>0</v>
      </c>
      <c r="CD151" s="4438">
        <f t="shared" si="339"/>
        <v>0</v>
      </c>
      <c r="CE151" s="4438">
        <f t="shared" si="340"/>
        <v>0</v>
      </c>
      <c r="CF151" s="4438">
        <f t="shared" si="341"/>
        <v>0</v>
      </c>
    </row>
    <row r="152" spans="1:84">
      <c r="E152" s="2360" t="s">
        <v>941</v>
      </c>
      <c r="F152" s="2334">
        <f>SUM(F153:F157)</f>
        <v>2270.9999999999995</v>
      </c>
      <c r="G152" s="2331">
        <f>SUM(G153:G157)</f>
        <v>2844.0000000000005</v>
      </c>
      <c r="H152" s="2332">
        <f t="shared" ref="H152:M152" si="365">SUM(H153:H157)</f>
        <v>1599</v>
      </c>
      <c r="I152" s="2331">
        <f t="shared" si="365"/>
        <v>7852.303774</v>
      </c>
      <c r="J152" s="2333">
        <f t="shared" si="365"/>
        <v>13925.607548000002</v>
      </c>
      <c r="K152" s="2333">
        <f t="shared" si="365"/>
        <v>13633.607548000004</v>
      </c>
      <c r="L152" s="2333">
        <f t="shared" si="365"/>
        <v>1800.2000000000003</v>
      </c>
      <c r="M152" s="2332">
        <f t="shared" si="365"/>
        <v>1790.9999999999995</v>
      </c>
      <c r="N152" s="2298">
        <f t="shared" si="200"/>
        <v>39002.718869999997</v>
      </c>
      <c r="O152" s="4095">
        <f t="shared" ref="O152" si="366">SUM(O153:O155)</f>
        <v>2270.9999999999995</v>
      </c>
      <c r="P152" s="2331">
        <f t="shared" ref="P152:AL152" si="367">SUM(P153:P155)</f>
        <v>2536.0000000000005</v>
      </c>
      <c r="Q152" s="2332">
        <f t="shared" si="367"/>
        <v>1599</v>
      </c>
      <c r="R152" s="2331">
        <f t="shared" si="367"/>
        <v>1949.9999999999998</v>
      </c>
      <c r="S152" s="2333">
        <f t="shared" si="367"/>
        <v>2121</v>
      </c>
      <c r="T152" s="2333">
        <f t="shared" si="367"/>
        <v>2136.9999999999995</v>
      </c>
      <c r="U152" s="2333">
        <f t="shared" si="367"/>
        <v>1800.2</v>
      </c>
      <c r="V152" s="2361">
        <f t="shared" si="367"/>
        <v>1790.9999999999995</v>
      </c>
      <c r="W152" s="2334">
        <f t="shared" ref="W152" si="368">SUM(W153:W155)</f>
        <v>0</v>
      </c>
      <c r="X152" s="2331">
        <f t="shared" si="367"/>
        <v>0</v>
      </c>
      <c r="Y152" s="2332">
        <f t="shared" si="367"/>
        <v>0</v>
      </c>
      <c r="Z152" s="2331">
        <f t="shared" si="367"/>
        <v>0</v>
      </c>
      <c r="AA152" s="2333">
        <f t="shared" si="367"/>
        <v>0</v>
      </c>
      <c r="AB152" s="2333">
        <f t="shared" si="367"/>
        <v>0</v>
      </c>
      <c r="AC152" s="2333">
        <f t="shared" si="367"/>
        <v>0</v>
      </c>
      <c r="AD152" s="2332">
        <f t="shared" si="367"/>
        <v>0</v>
      </c>
      <c r="AE152" s="2334">
        <f t="shared" ref="AE152" si="369">SUM(AE153:AE155)</f>
        <v>0</v>
      </c>
      <c r="AF152" s="2331">
        <f t="shared" si="367"/>
        <v>308</v>
      </c>
      <c r="AG152" s="2332">
        <f t="shared" si="367"/>
        <v>0</v>
      </c>
      <c r="AH152" s="2331">
        <f t="shared" si="367"/>
        <v>5902.303774</v>
      </c>
      <c r="AI152" s="2333">
        <f t="shared" si="367"/>
        <v>11804.607548</v>
      </c>
      <c r="AJ152" s="2333">
        <f t="shared" si="367"/>
        <v>11496.607548</v>
      </c>
      <c r="AK152" s="2333">
        <f t="shared" si="367"/>
        <v>0</v>
      </c>
      <c r="AL152" s="2332">
        <f t="shared" si="367"/>
        <v>0</v>
      </c>
      <c r="AP152" s="4874"/>
      <c r="AQ152" s="4874"/>
      <c r="AR152" s="4874"/>
      <c r="AS152" s="4874"/>
      <c r="AT152" s="4874"/>
      <c r="AU152" s="4874"/>
      <c r="AV152" s="4874"/>
      <c r="AW152" s="4874"/>
      <c r="AX152" s="4874"/>
      <c r="AY152" s="4422"/>
      <c r="AZ152" s="4438">
        <f t="shared" si="309"/>
        <v>1161.143862196612</v>
      </c>
      <c r="BA152" s="4438">
        <f t="shared" si="310"/>
        <v>1454.1141101220455</v>
      </c>
      <c r="BB152" s="4438">
        <f t="shared" si="311"/>
        <v>817.55571803275336</v>
      </c>
      <c r="BC152" s="4438">
        <f t="shared" si="312"/>
        <v>4014.8191683326263</v>
      </c>
      <c r="BD152" s="4438">
        <f t="shared" si="313"/>
        <v>7120.0500800171803</v>
      </c>
      <c r="BE152" s="4438">
        <f t="shared" si="314"/>
        <v>6970.752850707886</v>
      </c>
      <c r="BF152" s="4438">
        <f t="shared" si="315"/>
        <v>920.42764452943265</v>
      </c>
      <c r="BG152" s="4438">
        <f t="shared" si="316"/>
        <v>915.72375922242713</v>
      </c>
      <c r="BH152" s="4438">
        <f t="shared" si="317"/>
        <v>19941.773502809549</v>
      </c>
      <c r="BI152" s="4438">
        <f t="shared" si="318"/>
        <v>1161.143862196612</v>
      </c>
      <c r="BJ152" s="4438">
        <f t="shared" si="319"/>
        <v>1296.6362107136104</v>
      </c>
      <c r="BK152" s="4438">
        <f t="shared" si="320"/>
        <v>817.55571803275336</v>
      </c>
      <c r="BL152" s="4438">
        <f t="shared" si="321"/>
        <v>997.0191683326259</v>
      </c>
      <c r="BM152" s="4438">
        <f t="shared" si="322"/>
        <v>1084.4500800171795</v>
      </c>
      <c r="BN152" s="4438">
        <f t="shared" si="323"/>
        <v>1092.6307501163187</v>
      </c>
      <c r="BO152" s="4438">
        <f t="shared" si="324"/>
        <v>920.42764452943254</v>
      </c>
      <c r="BP152" s="4438">
        <f t="shared" si="325"/>
        <v>915.72375922242713</v>
      </c>
      <c r="BQ152" s="4438">
        <f t="shared" si="326"/>
        <v>0</v>
      </c>
      <c r="BR152" s="4438">
        <f t="shared" si="327"/>
        <v>0</v>
      </c>
      <c r="BS152" s="4438">
        <f t="shared" si="328"/>
        <v>0</v>
      </c>
      <c r="BT152" s="4438">
        <f t="shared" si="329"/>
        <v>0</v>
      </c>
      <c r="BU152" s="4438">
        <f t="shared" si="330"/>
        <v>0</v>
      </c>
      <c r="BV152" s="4438">
        <f t="shared" si="331"/>
        <v>0</v>
      </c>
      <c r="BW152" s="4438">
        <f t="shared" si="332"/>
        <v>0</v>
      </c>
      <c r="BX152" s="4438">
        <f t="shared" si="333"/>
        <v>0</v>
      </c>
      <c r="BY152" s="4438">
        <f t="shared" si="334"/>
        <v>0</v>
      </c>
      <c r="BZ152" s="4438">
        <f t="shared" si="335"/>
        <v>157.47789940843529</v>
      </c>
      <c r="CA152" s="4438">
        <f t="shared" si="336"/>
        <v>0</v>
      </c>
      <c r="CB152" s="4438">
        <f t="shared" si="337"/>
        <v>3017.8</v>
      </c>
      <c r="CC152" s="4438">
        <f t="shared" si="338"/>
        <v>6035.6</v>
      </c>
      <c r="CD152" s="4438">
        <f t="shared" si="339"/>
        <v>5878.122100591565</v>
      </c>
      <c r="CE152" s="4438">
        <f t="shared" si="340"/>
        <v>0</v>
      </c>
      <c r="CF152" s="4438">
        <f t="shared" si="341"/>
        <v>0</v>
      </c>
    </row>
    <row r="153" spans="1:84" ht="24">
      <c r="A153" s="2238"/>
      <c r="B153" s="1278"/>
      <c r="C153" s="1278"/>
      <c r="D153" s="1278"/>
      <c r="E153" s="2266" t="str">
        <f>E140</f>
        <v>Доставяне на вода на потребителите</v>
      </c>
      <c r="F153" s="2362">
        <f t="shared" ref="F153:G155" si="370">F140-F147</f>
        <v>2056.6666666666665</v>
      </c>
      <c r="G153" s="2364">
        <f t="shared" si="370"/>
        <v>2157.3333333333335</v>
      </c>
      <c r="H153" s="2363">
        <f t="shared" ref="H153:M155" si="371">H140-H147</f>
        <v>1359</v>
      </c>
      <c r="I153" s="2364">
        <f t="shared" si="371"/>
        <v>4968.4792033333333</v>
      </c>
      <c r="J153" s="2365">
        <f t="shared" si="371"/>
        <v>8925.6250733333345</v>
      </c>
      <c r="K153" s="2365">
        <f t="shared" si="371"/>
        <v>8924.9584066666685</v>
      </c>
      <c r="L153" s="2365">
        <f t="shared" si="371"/>
        <v>1154.7333333333336</v>
      </c>
      <c r="M153" s="2363">
        <f t="shared" si="371"/>
        <v>1124.6666666666665</v>
      </c>
      <c r="N153" s="2141">
        <f t="shared" si="200"/>
        <v>25098.462683333339</v>
      </c>
      <c r="O153" s="4099">
        <f>O140-O147</f>
        <v>2056.6666666666665</v>
      </c>
      <c r="P153" s="2364">
        <f>P140-P147</f>
        <v>1963.3333333333335</v>
      </c>
      <c r="Q153" s="2363">
        <f t="shared" ref="Q153:AD153" si="372">Q140-Q147</f>
        <v>1359</v>
      </c>
      <c r="R153" s="2364">
        <f t="shared" si="372"/>
        <v>1078.3333333333333</v>
      </c>
      <c r="S153" s="2365">
        <f t="shared" si="372"/>
        <v>1145.3333333333333</v>
      </c>
      <c r="T153" s="2365">
        <f t="shared" si="372"/>
        <v>1338.6666666666665</v>
      </c>
      <c r="U153" s="2365">
        <f t="shared" si="372"/>
        <v>1154.7333333333333</v>
      </c>
      <c r="V153" s="2366">
        <f t="shared" si="372"/>
        <v>1124.6666666666665</v>
      </c>
      <c r="W153" s="2362">
        <f t="shared" ref="W153" si="373">W140-W147</f>
        <v>0</v>
      </c>
      <c r="X153" s="2364">
        <f t="shared" si="372"/>
        <v>0</v>
      </c>
      <c r="Y153" s="2363">
        <f t="shared" si="372"/>
        <v>0</v>
      </c>
      <c r="Z153" s="2364">
        <f t="shared" si="372"/>
        <v>0</v>
      </c>
      <c r="AA153" s="2365">
        <f t="shared" si="372"/>
        <v>0</v>
      </c>
      <c r="AB153" s="2365">
        <f t="shared" si="372"/>
        <v>0</v>
      </c>
      <c r="AC153" s="2365">
        <f t="shared" si="372"/>
        <v>0</v>
      </c>
      <c r="AD153" s="2363">
        <f t="shared" si="372"/>
        <v>0</v>
      </c>
      <c r="AE153" s="2362">
        <f>AE140-AE147</f>
        <v>0</v>
      </c>
      <c r="AF153" s="2364">
        <f>AF140-AF147</f>
        <v>194</v>
      </c>
      <c r="AG153" s="2363">
        <f t="shared" ref="AG153:AL153" si="374">AG140-AG147</f>
        <v>0</v>
      </c>
      <c r="AH153" s="2364">
        <f t="shared" si="374"/>
        <v>3890.1458700000003</v>
      </c>
      <c r="AI153" s="2365">
        <f t="shared" si="374"/>
        <v>7780.2917400000006</v>
      </c>
      <c r="AJ153" s="2365">
        <f t="shared" si="374"/>
        <v>7586.2917400000006</v>
      </c>
      <c r="AK153" s="2365">
        <f t="shared" si="374"/>
        <v>0</v>
      </c>
      <c r="AL153" s="2363">
        <f t="shared" si="374"/>
        <v>0</v>
      </c>
      <c r="AM153" s="2240"/>
      <c r="AN153" s="2241"/>
      <c r="AO153" s="2240"/>
      <c r="AP153" s="5100"/>
      <c r="AQ153" s="5100"/>
      <c r="AR153" s="5100"/>
      <c r="AS153" s="5100"/>
      <c r="AT153" s="5100"/>
      <c r="AU153" s="5100"/>
      <c r="AV153" s="5100"/>
      <c r="AW153" s="5100"/>
      <c r="AX153" s="5100"/>
      <c r="AY153" s="4422"/>
      <c r="AZ153" s="4438">
        <f t="shared" si="309"/>
        <v>1051.556968993556</v>
      </c>
      <c r="BA153" s="4438">
        <f t="shared" si="310"/>
        <v>1103.0270183673088</v>
      </c>
      <c r="BB153" s="4438">
        <f t="shared" si="311"/>
        <v>694.84566654566095</v>
      </c>
      <c r="BC153" s="4438">
        <f t="shared" si="312"/>
        <v>2540.3430785565888</v>
      </c>
      <c r="BD153" s="4438">
        <f t="shared" si="313"/>
        <v>4563.599634596736</v>
      </c>
      <c r="BE153" s="4438">
        <f t="shared" si="314"/>
        <v>4563.2587733426062</v>
      </c>
      <c r="BF153" s="4438">
        <f t="shared" si="315"/>
        <v>590.40577827998015</v>
      </c>
      <c r="BG153" s="4438">
        <f t="shared" si="316"/>
        <v>575.03293571868028</v>
      </c>
      <c r="BH153" s="4438">
        <f t="shared" si="317"/>
        <v>12832.640200494592</v>
      </c>
      <c r="BI153" s="4438">
        <f t="shared" si="318"/>
        <v>1051.556968993556</v>
      </c>
      <c r="BJ153" s="4438">
        <f t="shared" si="319"/>
        <v>1003.8363934152424</v>
      </c>
      <c r="BK153" s="4438">
        <f t="shared" si="320"/>
        <v>694.84566654566095</v>
      </c>
      <c r="BL153" s="4438">
        <f t="shared" si="321"/>
        <v>551.34307855658892</v>
      </c>
      <c r="BM153" s="4438">
        <f t="shared" si="322"/>
        <v>585.59963459673554</v>
      </c>
      <c r="BN153" s="4438">
        <f t="shared" si="323"/>
        <v>684.44939829467103</v>
      </c>
      <c r="BO153" s="4438">
        <f t="shared" si="324"/>
        <v>590.40577827998004</v>
      </c>
      <c r="BP153" s="4438">
        <f t="shared" si="325"/>
        <v>575.03293571868028</v>
      </c>
      <c r="BQ153" s="4438">
        <f t="shared" si="326"/>
        <v>0</v>
      </c>
      <c r="BR153" s="4438">
        <f t="shared" si="327"/>
        <v>0</v>
      </c>
      <c r="BS153" s="4438">
        <f t="shared" si="328"/>
        <v>0</v>
      </c>
      <c r="BT153" s="4438">
        <f t="shared" si="329"/>
        <v>0</v>
      </c>
      <c r="BU153" s="4438">
        <f t="shared" si="330"/>
        <v>0</v>
      </c>
      <c r="BV153" s="4438">
        <f t="shared" si="331"/>
        <v>0</v>
      </c>
      <c r="BW153" s="4438">
        <f t="shared" si="332"/>
        <v>0</v>
      </c>
      <c r="BX153" s="4438">
        <f t="shared" si="333"/>
        <v>0</v>
      </c>
      <c r="BY153" s="4438">
        <f t="shared" si="334"/>
        <v>0</v>
      </c>
      <c r="BZ153" s="4438">
        <f t="shared" si="335"/>
        <v>99.190624952066386</v>
      </c>
      <c r="CA153" s="4438">
        <f t="shared" si="336"/>
        <v>0</v>
      </c>
      <c r="CB153" s="4438">
        <f t="shared" si="337"/>
        <v>1989.0000000000002</v>
      </c>
      <c r="CC153" s="4438">
        <f t="shared" si="338"/>
        <v>3978.0000000000005</v>
      </c>
      <c r="CD153" s="4438">
        <f t="shared" si="339"/>
        <v>3878.8093750479338</v>
      </c>
      <c r="CE153" s="4438">
        <f t="shared" si="340"/>
        <v>0</v>
      </c>
      <c r="CF153" s="4438">
        <f t="shared" si="341"/>
        <v>0</v>
      </c>
    </row>
    <row r="154" spans="1:84">
      <c r="A154" s="2238"/>
      <c r="B154" s="1278"/>
      <c r="C154" s="1278"/>
      <c r="D154" s="1278"/>
      <c r="E154" s="2266" t="str">
        <f t="shared" ref="E154:E155" si="375">E141</f>
        <v>Отвеждане на отпадъчните води</v>
      </c>
      <c r="F154" s="2362">
        <f t="shared" si="370"/>
        <v>117.66666666666667</v>
      </c>
      <c r="G154" s="2364">
        <f t="shared" si="370"/>
        <v>350.33333333333331</v>
      </c>
      <c r="H154" s="2363">
        <f t="shared" si="371"/>
        <v>135.99999999999994</v>
      </c>
      <c r="I154" s="2364">
        <f t="shared" si="371"/>
        <v>1426.6016933333333</v>
      </c>
      <c r="J154" s="2365">
        <f t="shared" si="371"/>
        <v>2413.8700533333335</v>
      </c>
      <c r="K154" s="2365">
        <f t="shared" si="371"/>
        <v>2232.203386666667</v>
      </c>
      <c r="L154" s="2365">
        <f t="shared" si="371"/>
        <v>331.73333333333329</v>
      </c>
      <c r="M154" s="2363">
        <f t="shared" si="371"/>
        <v>345.66666666666663</v>
      </c>
      <c r="N154" s="2141">
        <f t="shared" si="200"/>
        <v>6750.0751333333346</v>
      </c>
      <c r="O154" s="4099">
        <f t="shared" ref="O154" si="376">O141-O148</f>
        <v>117.66666666666667</v>
      </c>
      <c r="P154" s="2364">
        <f t="shared" ref="P154:AL157" si="377">P141-P148</f>
        <v>292.33333333333331</v>
      </c>
      <c r="Q154" s="2363">
        <f t="shared" si="377"/>
        <v>135.99999999999994</v>
      </c>
      <c r="R154" s="2364">
        <f t="shared" si="377"/>
        <v>464.33333333333331</v>
      </c>
      <c r="S154" s="2365">
        <f t="shared" si="377"/>
        <v>489.33333333333331</v>
      </c>
      <c r="T154" s="2365">
        <f t="shared" si="377"/>
        <v>365.66666666666663</v>
      </c>
      <c r="U154" s="2365">
        <f t="shared" si="377"/>
        <v>331.73333333333329</v>
      </c>
      <c r="V154" s="2366">
        <f t="shared" si="377"/>
        <v>345.66666666666663</v>
      </c>
      <c r="W154" s="2362">
        <f t="shared" ref="W154" si="378">W141-W148</f>
        <v>0</v>
      </c>
      <c r="X154" s="2364">
        <f t="shared" si="377"/>
        <v>0</v>
      </c>
      <c r="Y154" s="2363">
        <f t="shared" si="377"/>
        <v>0</v>
      </c>
      <c r="Z154" s="2364">
        <f t="shared" si="377"/>
        <v>0</v>
      </c>
      <c r="AA154" s="2365">
        <f t="shared" si="377"/>
        <v>0</v>
      </c>
      <c r="AB154" s="2365">
        <f t="shared" si="377"/>
        <v>0</v>
      </c>
      <c r="AC154" s="2365">
        <f t="shared" si="377"/>
        <v>0</v>
      </c>
      <c r="AD154" s="2363">
        <f t="shared" si="377"/>
        <v>0</v>
      </c>
      <c r="AE154" s="2362">
        <f>AE141-AE148</f>
        <v>0</v>
      </c>
      <c r="AF154" s="2364">
        <f>AF141-AF148</f>
        <v>58</v>
      </c>
      <c r="AG154" s="2363">
        <f t="shared" si="377"/>
        <v>0</v>
      </c>
      <c r="AH154" s="2364">
        <f t="shared" si="377"/>
        <v>962.26836000000003</v>
      </c>
      <c r="AI154" s="2365">
        <f t="shared" si="377"/>
        <v>1924.5367200000001</v>
      </c>
      <c r="AJ154" s="2365">
        <f t="shared" si="377"/>
        <v>1866.5367200000001</v>
      </c>
      <c r="AK154" s="2365">
        <f t="shared" si="377"/>
        <v>0</v>
      </c>
      <c r="AL154" s="2363">
        <f t="shared" si="377"/>
        <v>0</v>
      </c>
      <c r="AM154" s="2240"/>
      <c r="AN154" s="2241"/>
      <c r="AO154" s="2240"/>
      <c r="AP154" s="5095"/>
      <c r="AQ154" s="5095"/>
      <c r="AR154" s="5095"/>
      <c r="AS154" s="5095"/>
      <c r="AT154" s="5095"/>
      <c r="AU154" s="5095"/>
      <c r="AV154" s="5095"/>
      <c r="AW154" s="5095"/>
      <c r="AX154" s="5095"/>
      <c r="AY154" s="4422"/>
      <c r="AZ154" s="4438">
        <f t="shared" si="309"/>
        <v>60.162011354088378</v>
      </c>
      <c r="BA154" s="4438">
        <f t="shared" si="310"/>
        <v>179.12258904574188</v>
      </c>
      <c r="BB154" s="4438">
        <f t="shared" si="311"/>
        <v>69.535695842685683</v>
      </c>
      <c r="BC154" s="4438">
        <f t="shared" si="312"/>
        <v>729.40986350211074</v>
      </c>
      <c r="BD154" s="4438">
        <f t="shared" si="313"/>
        <v>1234.1921605320165</v>
      </c>
      <c r="BE154" s="4438">
        <f t="shared" si="314"/>
        <v>1141.3074687813701</v>
      </c>
      <c r="BF154" s="4438">
        <f t="shared" si="315"/>
        <v>169.6125600554922</v>
      </c>
      <c r="BG154" s="4438">
        <f t="shared" si="316"/>
        <v>176.73656026682616</v>
      </c>
      <c r="BH154" s="4438">
        <f t="shared" si="317"/>
        <v>3451.2586131378162</v>
      </c>
      <c r="BI154" s="4438">
        <f t="shared" si="318"/>
        <v>60.162011354088378</v>
      </c>
      <c r="BJ154" s="4438">
        <f t="shared" si="319"/>
        <v>149.4676599363612</v>
      </c>
      <c r="BK154" s="4438">
        <f t="shared" si="320"/>
        <v>69.535695842685683</v>
      </c>
      <c r="BL154" s="4438">
        <f t="shared" si="321"/>
        <v>237.40986350211077</v>
      </c>
      <c r="BM154" s="4438">
        <f t="shared" si="322"/>
        <v>250.19216053201623</v>
      </c>
      <c r="BN154" s="4438">
        <f t="shared" si="323"/>
        <v>186.96239789075054</v>
      </c>
      <c r="BO154" s="4438">
        <f t="shared" si="324"/>
        <v>169.6125600554922</v>
      </c>
      <c r="BP154" s="4438">
        <f t="shared" si="325"/>
        <v>176.73656026682616</v>
      </c>
      <c r="BQ154" s="4438">
        <f t="shared" si="326"/>
        <v>0</v>
      </c>
      <c r="BR154" s="4438">
        <f t="shared" si="327"/>
        <v>0</v>
      </c>
      <c r="BS154" s="4438">
        <f t="shared" si="328"/>
        <v>0</v>
      </c>
      <c r="BT154" s="4438">
        <f t="shared" si="329"/>
        <v>0</v>
      </c>
      <c r="BU154" s="4438">
        <f t="shared" si="330"/>
        <v>0</v>
      </c>
      <c r="BV154" s="4438">
        <f t="shared" si="331"/>
        <v>0</v>
      </c>
      <c r="BW154" s="4438">
        <f t="shared" si="332"/>
        <v>0</v>
      </c>
      <c r="BX154" s="4438">
        <f t="shared" si="333"/>
        <v>0</v>
      </c>
      <c r="BY154" s="4438">
        <f t="shared" si="334"/>
        <v>0</v>
      </c>
      <c r="BZ154" s="4438">
        <f t="shared" si="335"/>
        <v>29.654929109380674</v>
      </c>
      <c r="CA154" s="4438">
        <f t="shared" si="336"/>
        <v>0</v>
      </c>
      <c r="CB154" s="4438">
        <f t="shared" si="337"/>
        <v>492</v>
      </c>
      <c r="CC154" s="4438">
        <f t="shared" si="338"/>
        <v>984</v>
      </c>
      <c r="CD154" s="4438">
        <f t="shared" si="339"/>
        <v>954.34507089061935</v>
      </c>
      <c r="CE154" s="4438">
        <f t="shared" si="340"/>
        <v>0</v>
      </c>
      <c r="CF154" s="4438">
        <f t="shared" si="341"/>
        <v>0</v>
      </c>
    </row>
    <row r="155" spans="1:84">
      <c r="E155" s="2266" t="str">
        <f t="shared" si="375"/>
        <v>Пречистване на отпадъчните води</v>
      </c>
      <c r="F155" s="2362">
        <f t="shared" si="370"/>
        <v>96.666666666666671</v>
      </c>
      <c r="G155" s="2364">
        <f t="shared" si="370"/>
        <v>336.33333333333331</v>
      </c>
      <c r="H155" s="2363">
        <f t="shared" si="371"/>
        <v>104</v>
      </c>
      <c r="I155" s="2364">
        <f t="shared" si="371"/>
        <v>1457.2228773333331</v>
      </c>
      <c r="J155" s="2365">
        <f t="shared" si="371"/>
        <v>2586.1124213333333</v>
      </c>
      <c r="K155" s="2365">
        <f t="shared" si="371"/>
        <v>2476.4457546666667</v>
      </c>
      <c r="L155" s="2365">
        <f t="shared" si="371"/>
        <v>313.73333333333329</v>
      </c>
      <c r="M155" s="2363">
        <f t="shared" si="371"/>
        <v>320.66666666666663</v>
      </c>
      <c r="N155" s="2141">
        <f t="shared" si="200"/>
        <v>7154.1810533333337</v>
      </c>
      <c r="O155" s="4099">
        <f t="shared" ref="O155" si="379">O142-O149</f>
        <v>96.666666666666671</v>
      </c>
      <c r="P155" s="2364">
        <f t="shared" si="377"/>
        <v>280.33333333333331</v>
      </c>
      <c r="Q155" s="2363">
        <f t="shared" si="377"/>
        <v>104</v>
      </c>
      <c r="R155" s="2364">
        <f t="shared" si="377"/>
        <v>407.33333333333331</v>
      </c>
      <c r="S155" s="2365">
        <f t="shared" si="377"/>
        <v>486.33333333333331</v>
      </c>
      <c r="T155" s="2365">
        <f t="shared" si="377"/>
        <v>432.66666666666663</v>
      </c>
      <c r="U155" s="2365">
        <f t="shared" si="377"/>
        <v>313.73333333333329</v>
      </c>
      <c r="V155" s="2366">
        <f t="shared" si="377"/>
        <v>320.66666666666663</v>
      </c>
      <c r="W155" s="2362">
        <f t="shared" ref="W155" si="380">W142-W149</f>
        <v>0</v>
      </c>
      <c r="X155" s="2364">
        <f t="shared" si="377"/>
        <v>0</v>
      </c>
      <c r="Y155" s="2363">
        <f t="shared" si="377"/>
        <v>0</v>
      </c>
      <c r="Z155" s="2364">
        <f t="shared" si="377"/>
        <v>0</v>
      </c>
      <c r="AA155" s="2365">
        <f t="shared" si="377"/>
        <v>0</v>
      </c>
      <c r="AB155" s="2365">
        <f t="shared" si="377"/>
        <v>0</v>
      </c>
      <c r="AC155" s="2365">
        <f t="shared" si="377"/>
        <v>0</v>
      </c>
      <c r="AD155" s="2363">
        <f t="shared" si="377"/>
        <v>0</v>
      </c>
      <c r="AE155" s="2362">
        <f t="shared" ref="AE155" si="381">AE142-AE149</f>
        <v>0</v>
      </c>
      <c r="AF155" s="2364">
        <f t="shared" si="377"/>
        <v>56</v>
      </c>
      <c r="AG155" s="2363">
        <f t="shared" si="377"/>
        <v>0</v>
      </c>
      <c r="AH155" s="2364">
        <f t="shared" si="377"/>
        <v>1049.8895439999999</v>
      </c>
      <c r="AI155" s="2365">
        <f t="shared" si="377"/>
        <v>2099.7790879999998</v>
      </c>
      <c r="AJ155" s="2365">
        <f t="shared" si="377"/>
        <v>2043.7790879999998</v>
      </c>
      <c r="AK155" s="2365">
        <f t="shared" si="377"/>
        <v>0</v>
      </c>
      <c r="AL155" s="2363">
        <f t="shared" si="377"/>
        <v>0</v>
      </c>
      <c r="AX155" s="2046"/>
      <c r="AY155" s="4422"/>
      <c r="AZ155" s="4438">
        <f t="shared" si="309"/>
        <v>49.424881848967793</v>
      </c>
      <c r="BA155" s="4438">
        <f t="shared" si="310"/>
        <v>171.96450270899481</v>
      </c>
      <c r="BB155" s="4438">
        <f t="shared" si="311"/>
        <v>53.174355644406724</v>
      </c>
      <c r="BC155" s="4438">
        <f t="shared" si="312"/>
        <v>745.0662262739263</v>
      </c>
      <c r="BD155" s="4438">
        <f t="shared" si="313"/>
        <v>1322.2582848884276</v>
      </c>
      <c r="BE155" s="4438">
        <f t="shared" si="314"/>
        <v>1266.186608583909</v>
      </c>
      <c r="BF155" s="4438">
        <f t="shared" si="315"/>
        <v>160.40930619396025</v>
      </c>
      <c r="BG155" s="4438">
        <f t="shared" si="316"/>
        <v>163.95426323692072</v>
      </c>
      <c r="BH155" s="4438">
        <f t="shared" si="317"/>
        <v>3657.8746891771443</v>
      </c>
      <c r="BI155" s="4438">
        <f t="shared" si="318"/>
        <v>49.424881848967793</v>
      </c>
      <c r="BJ155" s="4438">
        <f t="shared" si="319"/>
        <v>143.33215736200657</v>
      </c>
      <c r="BK155" s="4438">
        <f t="shared" si="320"/>
        <v>53.174355644406724</v>
      </c>
      <c r="BL155" s="4438">
        <f t="shared" si="321"/>
        <v>208.26622627392632</v>
      </c>
      <c r="BM155" s="4438">
        <f t="shared" si="322"/>
        <v>248.65828488842757</v>
      </c>
      <c r="BN155" s="4438">
        <f t="shared" si="323"/>
        <v>221.21895393089719</v>
      </c>
      <c r="BO155" s="4438">
        <f t="shared" si="324"/>
        <v>160.40930619396025</v>
      </c>
      <c r="BP155" s="4438">
        <f t="shared" si="325"/>
        <v>163.95426323692072</v>
      </c>
      <c r="BQ155" s="4438">
        <f t="shared" si="326"/>
        <v>0</v>
      </c>
      <c r="BR155" s="4438">
        <f t="shared" si="327"/>
        <v>0</v>
      </c>
      <c r="BS155" s="4438">
        <f t="shared" si="328"/>
        <v>0</v>
      </c>
      <c r="BT155" s="4438">
        <f t="shared" si="329"/>
        <v>0</v>
      </c>
      <c r="BU155" s="4438">
        <f t="shared" si="330"/>
        <v>0</v>
      </c>
      <c r="BV155" s="4438">
        <f t="shared" si="331"/>
        <v>0</v>
      </c>
      <c r="BW155" s="4438">
        <f t="shared" si="332"/>
        <v>0</v>
      </c>
      <c r="BX155" s="4438">
        <f t="shared" si="333"/>
        <v>0</v>
      </c>
      <c r="BY155" s="4438">
        <f t="shared" si="334"/>
        <v>0</v>
      </c>
      <c r="BZ155" s="4438">
        <f t="shared" si="335"/>
        <v>28.632345346988235</v>
      </c>
      <c r="CA155" s="4438">
        <f t="shared" si="336"/>
        <v>0</v>
      </c>
      <c r="CB155" s="4438">
        <f t="shared" si="337"/>
        <v>536.79999999999995</v>
      </c>
      <c r="CC155" s="4438">
        <f t="shared" si="338"/>
        <v>1073.5999999999999</v>
      </c>
      <c r="CD155" s="4438">
        <f t="shared" si="339"/>
        <v>1044.9676546530118</v>
      </c>
      <c r="CE155" s="4438">
        <f t="shared" si="340"/>
        <v>0</v>
      </c>
      <c r="CF155" s="4438">
        <f t="shared" si="341"/>
        <v>0</v>
      </c>
    </row>
    <row r="156" spans="1:84" ht="11.25" customHeight="1">
      <c r="E156" s="2367" t="s">
        <v>1029</v>
      </c>
      <c r="F156" s="2362">
        <f t="shared" ref="F156" si="382">F143-F150</f>
        <v>0</v>
      </c>
      <c r="G156" s="2364">
        <f t="shared" ref="G156:M157" si="383">G143-G150</f>
        <v>0</v>
      </c>
      <c r="H156" s="2363">
        <f t="shared" si="383"/>
        <v>0</v>
      </c>
      <c r="I156" s="2364">
        <f>I143-I150</f>
        <v>0</v>
      </c>
      <c r="J156" s="2365">
        <f t="shared" si="383"/>
        <v>0</v>
      </c>
      <c r="K156" s="2365">
        <f t="shared" si="383"/>
        <v>0</v>
      </c>
      <c r="L156" s="2365">
        <f t="shared" si="383"/>
        <v>0</v>
      </c>
      <c r="M156" s="2363">
        <f t="shared" si="383"/>
        <v>0</v>
      </c>
      <c r="N156" s="2141">
        <f t="shared" si="200"/>
        <v>0</v>
      </c>
      <c r="O156" s="4100">
        <f t="shared" ref="O156" si="384">O143-O150</f>
        <v>0</v>
      </c>
      <c r="P156" s="2301">
        <f t="shared" si="377"/>
        <v>0</v>
      </c>
      <c r="Q156" s="2369">
        <f t="shared" si="377"/>
        <v>0</v>
      </c>
      <c r="R156" s="2301">
        <f t="shared" si="377"/>
        <v>0</v>
      </c>
      <c r="S156" s="2302">
        <f t="shared" si="377"/>
        <v>0</v>
      </c>
      <c r="T156" s="2302">
        <f t="shared" si="377"/>
        <v>0</v>
      </c>
      <c r="U156" s="2302">
        <f t="shared" si="377"/>
        <v>0</v>
      </c>
      <c r="V156" s="2369">
        <f t="shared" si="377"/>
        <v>0</v>
      </c>
      <c r="W156" s="2368">
        <f t="shared" ref="W156" si="385">W143-W150</f>
        <v>0</v>
      </c>
      <c r="X156" s="2301">
        <f t="shared" si="377"/>
        <v>0</v>
      </c>
      <c r="Y156" s="2369">
        <f t="shared" si="377"/>
        <v>0</v>
      </c>
      <c r="Z156" s="2301">
        <f t="shared" si="377"/>
        <v>0</v>
      </c>
      <c r="AA156" s="2302">
        <f t="shared" si="377"/>
        <v>0</v>
      </c>
      <c r="AB156" s="2302">
        <f t="shared" si="377"/>
        <v>0</v>
      </c>
      <c r="AC156" s="2302">
        <f t="shared" si="377"/>
        <v>0</v>
      </c>
      <c r="AD156" s="2369">
        <f t="shared" si="377"/>
        <v>0</v>
      </c>
      <c r="AE156" s="2368">
        <f t="shared" ref="AE156" si="386">AE143-AE150</f>
        <v>0</v>
      </c>
      <c r="AF156" s="2301">
        <f t="shared" si="377"/>
        <v>0</v>
      </c>
      <c r="AG156" s="2369">
        <f t="shared" si="377"/>
        <v>0</v>
      </c>
      <c r="AH156" s="2301">
        <f t="shared" si="377"/>
        <v>0</v>
      </c>
      <c r="AI156" s="2302">
        <f t="shared" si="377"/>
        <v>0</v>
      </c>
      <c r="AJ156" s="2302">
        <f t="shared" si="377"/>
        <v>0</v>
      </c>
      <c r="AK156" s="2302">
        <f t="shared" si="377"/>
        <v>0</v>
      </c>
      <c r="AL156" s="2369">
        <f t="shared" si="377"/>
        <v>0</v>
      </c>
      <c r="AX156" s="2046"/>
      <c r="AY156" s="4422"/>
      <c r="AZ156" s="4438">
        <f t="shared" si="309"/>
        <v>0</v>
      </c>
      <c r="BA156" s="4438">
        <f t="shared" si="310"/>
        <v>0</v>
      </c>
      <c r="BB156" s="4438">
        <f t="shared" si="311"/>
        <v>0</v>
      </c>
      <c r="BC156" s="4438">
        <f t="shared" si="312"/>
        <v>0</v>
      </c>
      <c r="BD156" s="4438">
        <f t="shared" si="313"/>
        <v>0</v>
      </c>
      <c r="BE156" s="4438">
        <f t="shared" si="314"/>
        <v>0</v>
      </c>
      <c r="BF156" s="4438">
        <f t="shared" si="315"/>
        <v>0</v>
      </c>
      <c r="BG156" s="4438">
        <f t="shared" si="316"/>
        <v>0</v>
      </c>
      <c r="BH156" s="4438">
        <f t="shared" si="317"/>
        <v>0</v>
      </c>
      <c r="BI156" s="4438">
        <f t="shared" si="318"/>
        <v>0</v>
      </c>
      <c r="BJ156" s="4438">
        <f t="shared" si="319"/>
        <v>0</v>
      </c>
      <c r="BK156" s="4438">
        <f t="shared" si="320"/>
        <v>0</v>
      </c>
      <c r="BL156" s="4438">
        <f t="shared" si="321"/>
        <v>0</v>
      </c>
      <c r="BM156" s="4438">
        <f t="shared" si="322"/>
        <v>0</v>
      </c>
      <c r="BN156" s="4438">
        <f t="shared" si="323"/>
        <v>0</v>
      </c>
      <c r="BO156" s="4438">
        <f t="shared" si="324"/>
        <v>0</v>
      </c>
      <c r="BP156" s="4438">
        <f t="shared" si="325"/>
        <v>0</v>
      </c>
      <c r="BQ156" s="4438">
        <f t="shared" si="326"/>
        <v>0</v>
      </c>
      <c r="BR156" s="4438">
        <f t="shared" si="327"/>
        <v>0</v>
      </c>
      <c r="BS156" s="4438">
        <f t="shared" si="328"/>
        <v>0</v>
      </c>
      <c r="BT156" s="4438">
        <f t="shared" si="329"/>
        <v>0</v>
      </c>
      <c r="BU156" s="4438">
        <f t="shared" si="330"/>
        <v>0</v>
      </c>
      <c r="BV156" s="4438">
        <f t="shared" si="331"/>
        <v>0</v>
      </c>
      <c r="BW156" s="4438">
        <f t="shared" si="332"/>
        <v>0</v>
      </c>
      <c r="BX156" s="4438">
        <f t="shared" si="333"/>
        <v>0</v>
      </c>
      <c r="BY156" s="4438">
        <f t="shared" si="334"/>
        <v>0</v>
      </c>
      <c r="BZ156" s="4438">
        <f t="shared" si="335"/>
        <v>0</v>
      </c>
      <c r="CA156" s="4438">
        <f t="shared" si="336"/>
        <v>0</v>
      </c>
      <c r="CB156" s="4438">
        <f t="shared" si="337"/>
        <v>0</v>
      </c>
      <c r="CC156" s="4438">
        <f t="shared" si="338"/>
        <v>0</v>
      </c>
      <c r="CD156" s="4438">
        <f t="shared" si="339"/>
        <v>0</v>
      </c>
      <c r="CE156" s="4438">
        <f t="shared" si="340"/>
        <v>0</v>
      </c>
      <c r="CF156" s="4438">
        <f t="shared" si="341"/>
        <v>0</v>
      </c>
    </row>
    <row r="157" spans="1:84" ht="24.75" thickBot="1">
      <c r="E157" s="2370" t="s">
        <v>1092</v>
      </c>
      <c r="F157" s="2371">
        <f>F144-F151</f>
        <v>0</v>
      </c>
      <c r="G157" s="2373">
        <f>G144-G151</f>
        <v>0</v>
      </c>
      <c r="H157" s="2372">
        <f t="shared" si="383"/>
        <v>0</v>
      </c>
      <c r="I157" s="2373">
        <f t="shared" si="383"/>
        <v>0</v>
      </c>
      <c r="J157" s="2374">
        <f t="shared" si="383"/>
        <v>0</v>
      </c>
      <c r="K157" s="2374">
        <f t="shared" si="383"/>
        <v>0</v>
      </c>
      <c r="L157" s="2374">
        <f t="shared" si="383"/>
        <v>0</v>
      </c>
      <c r="M157" s="2372">
        <f t="shared" si="383"/>
        <v>0</v>
      </c>
      <c r="N157" s="2318">
        <f t="shared" si="200"/>
        <v>0</v>
      </c>
      <c r="O157" s="4101">
        <f t="shared" ref="O157" si="387">O144-O151</f>
        <v>0</v>
      </c>
      <c r="P157" s="2377">
        <f t="shared" si="377"/>
        <v>0</v>
      </c>
      <c r="Q157" s="2376">
        <f t="shared" si="377"/>
        <v>0</v>
      </c>
      <c r="R157" s="2377">
        <f t="shared" si="377"/>
        <v>0</v>
      </c>
      <c r="S157" s="2378">
        <f t="shared" si="377"/>
        <v>0</v>
      </c>
      <c r="T157" s="2378">
        <f t="shared" si="377"/>
        <v>0</v>
      </c>
      <c r="U157" s="2378">
        <f t="shared" si="377"/>
        <v>0</v>
      </c>
      <c r="V157" s="2376">
        <f t="shared" si="377"/>
        <v>0</v>
      </c>
      <c r="W157" s="2375">
        <f t="shared" ref="W157" si="388">W144-W151</f>
        <v>0</v>
      </c>
      <c r="X157" s="2377">
        <f t="shared" si="377"/>
        <v>0</v>
      </c>
      <c r="Y157" s="2376">
        <f t="shared" si="377"/>
        <v>0</v>
      </c>
      <c r="Z157" s="2377">
        <f t="shared" si="377"/>
        <v>0</v>
      </c>
      <c r="AA157" s="2378">
        <f t="shared" si="377"/>
        <v>0</v>
      </c>
      <c r="AB157" s="2378">
        <f t="shared" si="377"/>
        <v>0</v>
      </c>
      <c r="AC157" s="2378">
        <f t="shared" si="377"/>
        <v>0</v>
      </c>
      <c r="AD157" s="2376">
        <f t="shared" si="377"/>
        <v>0</v>
      </c>
      <c r="AE157" s="2375">
        <f t="shared" ref="AE157" si="389">AE144-AE151</f>
        <v>0</v>
      </c>
      <c r="AF157" s="2377">
        <f t="shared" si="377"/>
        <v>0</v>
      </c>
      <c r="AG157" s="2376">
        <f t="shared" si="377"/>
        <v>0</v>
      </c>
      <c r="AH157" s="2377">
        <f t="shared" si="377"/>
        <v>0</v>
      </c>
      <c r="AI157" s="2378">
        <f t="shared" si="377"/>
        <v>0</v>
      </c>
      <c r="AJ157" s="2378">
        <f t="shared" si="377"/>
        <v>0</v>
      </c>
      <c r="AK157" s="2378">
        <f t="shared" si="377"/>
        <v>0</v>
      </c>
      <c r="AL157" s="2376">
        <f t="shared" si="377"/>
        <v>0</v>
      </c>
      <c r="AX157" s="2046"/>
      <c r="AY157" s="4422"/>
      <c r="AZ157" s="4438">
        <f t="shared" si="309"/>
        <v>0</v>
      </c>
      <c r="BA157" s="4438">
        <f t="shared" si="310"/>
        <v>0</v>
      </c>
      <c r="BB157" s="4438">
        <f t="shared" si="311"/>
        <v>0</v>
      </c>
      <c r="BC157" s="4438">
        <f t="shared" si="312"/>
        <v>0</v>
      </c>
      <c r="BD157" s="4438">
        <f t="shared" si="313"/>
        <v>0</v>
      </c>
      <c r="BE157" s="4438">
        <f t="shared" si="314"/>
        <v>0</v>
      </c>
      <c r="BF157" s="4438">
        <f t="shared" si="315"/>
        <v>0</v>
      </c>
      <c r="BG157" s="4438">
        <f t="shared" si="316"/>
        <v>0</v>
      </c>
      <c r="BH157" s="4438">
        <f t="shared" si="317"/>
        <v>0</v>
      </c>
      <c r="BI157" s="4438">
        <f t="shared" si="318"/>
        <v>0</v>
      </c>
      <c r="BJ157" s="4438">
        <f t="shared" si="319"/>
        <v>0</v>
      </c>
      <c r="BK157" s="4438">
        <f t="shared" si="320"/>
        <v>0</v>
      </c>
      <c r="BL157" s="4438">
        <f t="shared" si="321"/>
        <v>0</v>
      </c>
      <c r="BM157" s="4438">
        <f t="shared" si="322"/>
        <v>0</v>
      </c>
      <c r="BN157" s="4438">
        <f t="shared" si="323"/>
        <v>0</v>
      </c>
      <c r="BO157" s="4438">
        <f t="shared" si="324"/>
        <v>0</v>
      </c>
      <c r="BP157" s="4438">
        <f t="shared" si="325"/>
        <v>0</v>
      </c>
      <c r="BQ157" s="4438">
        <f t="shared" si="326"/>
        <v>0</v>
      </c>
      <c r="BR157" s="4438">
        <f t="shared" si="327"/>
        <v>0</v>
      </c>
      <c r="BS157" s="4438">
        <f t="shared" si="328"/>
        <v>0</v>
      </c>
      <c r="BT157" s="4438">
        <f t="shared" si="329"/>
        <v>0</v>
      </c>
      <c r="BU157" s="4438">
        <f t="shared" si="330"/>
        <v>0</v>
      </c>
      <c r="BV157" s="4438">
        <f t="shared" si="331"/>
        <v>0</v>
      </c>
      <c r="BW157" s="4438">
        <f t="shared" si="332"/>
        <v>0</v>
      </c>
      <c r="BX157" s="4438">
        <f t="shared" si="333"/>
        <v>0</v>
      </c>
      <c r="BY157" s="4438">
        <f t="shared" si="334"/>
        <v>0</v>
      </c>
      <c r="BZ157" s="4438">
        <f t="shared" si="335"/>
        <v>0</v>
      </c>
      <c r="CA157" s="4438">
        <f t="shared" si="336"/>
        <v>0</v>
      </c>
      <c r="CB157" s="4438">
        <f t="shared" si="337"/>
        <v>0</v>
      </c>
      <c r="CC157" s="4438">
        <f t="shared" si="338"/>
        <v>0</v>
      </c>
      <c r="CD157" s="4438">
        <f t="shared" si="339"/>
        <v>0</v>
      </c>
      <c r="CE157" s="4438">
        <f t="shared" si="340"/>
        <v>0</v>
      </c>
      <c r="CF157" s="4438">
        <f t="shared" si="341"/>
        <v>0</v>
      </c>
    </row>
    <row r="158" spans="1:84">
      <c r="E158" s="2381"/>
      <c r="F158" s="2381"/>
      <c r="G158" s="2381"/>
      <c r="H158" s="2381"/>
      <c r="I158" s="2381"/>
      <c r="J158" s="2381"/>
      <c r="K158" s="2381"/>
      <c r="L158" s="2381"/>
      <c r="M158" s="2381"/>
      <c r="N158" s="2381"/>
      <c r="O158" s="2381"/>
      <c r="P158" s="2381"/>
      <c r="AE158" s="1240"/>
      <c r="AF158" s="1240"/>
      <c r="AG158" s="1240"/>
      <c r="AH158" s="1240"/>
      <c r="AI158" s="1240"/>
      <c r="AJ158" s="1240"/>
      <c r="AK158" s="1240"/>
      <c r="AL158" s="1240"/>
      <c r="AX158" s="2046"/>
    </row>
    <row r="159" spans="1:84">
      <c r="E159" s="2381"/>
      <c r="F159" s="2381"/>
      <c r="AX159" s="2046"/>
    </row>
    <row r="160" spans="1:84">
      <c r="E160" s="2381"/>
      <c r="F160" s="2381"/>
      <c r="AM160" s="2382"/>
      <c r="AN160" s="2382"/>
      <c r="AO160" s="2238"/>
      <c r="AP160" s="2383"/>
      <c r="AQ160" s="2383"/>
      <c r="AR160" s="1278"/>
      <c r="AS160" s="1278"/>
      <c r="AT160" s="1278"/>
      <c r="AU160" s="1278"/>
      <c r="AV160" s="1278"/>
      <c r="AX160" s="2046"/>
    </row>
    <row r="161" spans="1:50" s="1278" customFormat="1" ht="29.25" customHeight="1">
      <c r="A161" s="2384"/>
      <c r="B161" s="2385"/>
      <c r="C161" s="2385"/>
      <c r="D161" s="2380"/>
      <c r="E161" s="2381"/>
      <c r="F161" s="2381"/>
      <c r="AM161" s="2386"/>
      <c r="AN161" s="2238"/>
      <c r="AO161" s="2238"/>
      <c r="AP161" s="2383"/>
      <c r="AQ161" s="2383"/>
      <c r="AR161" s="2387"/>
      <c r="AX161" s="2046"/>
    </row>
    <row r="162" spans="1:50" s="1278" customFormat="1" ht="12.75" customHeight="1">
      <c r="A162" s="2384"/>
      <c r="B162" s="2380"/>
      <c r="C162" s="2380"/>
      <c r="E162" s="2388"/>
      <c r="F162" s="2379"/>
      <c r="AM162" s="2238"/>
      <c r="AN162" s="2238"/>
      <c r="AO162" s="2238"/>
      <c r="AP162" s="2383"/>
      <c r="AQ162" s="2383"/>
      <c r="AX162" s="2046"/>
    </row>
    <row r="163" spans="1:50" s="1278" customFormat="1" ht="12.75" customHeight="1">
      <c r="A163" s="2384"/>
      <c r="B163" s="2380"/>
      <c r="C163" s="2380"/>
      <c r="E163" s="2389"/>
      <c r="F163" s="2379"/>
      <c r="AM163" s="2238"/>
      <c r="AN163" s="2238"/>
      <c r="AO163" s="2238"/>
      <c r="AP163" s="2383"/>
      <c r="AQ163" s="2383"/>
      <c r="AX163" s="2046"/>
    </row>
    <row r="164" spans="1:50" s="1278" customFormat="1">
      <c r="E164" s="2391"/>
      <c r="F164" s="2390"/>
      <c r="AM164" s="2238"/>
      <c r="AN164" s="2238"/>
      <c r="AO164" s="2238"/>
      <c r="AP164" s="2383"/>
      <c r="AQ164" s="2383"/>
      <c r="AX164" s="2046"/>
    </row>
    <row r="165" spans="1:50" s="1278" customFormat="1">
      <c r="E165" s="3671"/>
      <c r="F165" s="3671"/>
      <c r="AM165" s="1286"/>
      <c r="AN165" s="1286"/>
      <c r="AO165" s="1286"/>
      <c r="AR165" s="2387"/>
      <c r="AX165" s="2393"/>
    </row>
    <row r="166" spans="1:50" s="1278" customFormat="1">
      <c r="B166" s="2394"/>
      <c r="C166" s="2394"/>
      <c r="D166" s="2394"/>
      <c r="E166" s="2394"/>
      <c r="F166" s="2394"/>
      <c r="AM166" s="2238"/>
      <c r="AS166" s="2238"/>
      <c r="AT166" s="2238"/>
      <c r="AU166" s="2238"/>
      <c r="AV166" s="2238"/>
      <c r="AX166" s="2395"/>
    </row>
    <row r="167" spans="1:50" s="1278" customFormat="1">
      <c r="B167" s="2394"/>
      <c r="C167" s="2394"/>
      <c r="D167" s="2394"/>
      <c r="E167" s="2394"/>
      <c r="F167" s="2394"/>
      <c r="AM167" s="2238"/>
      <c r="AO167" s="2238"/>
      <c r="AP167" s="2238"/>
      <c r="AQ167" s="2238"/>
      <c r="AR167" s="2238"/>
      <c r="AS167" s="2238"/>
      <c r="AT167" s="2238"/>
      <c r="AU167" s="2238"/>
      <c r="AV167" s="2238"/>
      <c r="AX167" s="2396"/>
    </row>
    <row r="168" spans="1:50" s="1278" customFormat="1">
      <c r="B168" s="2394"/>
      <c r="C168" s="2394"/>
      <c r="D168" s="2394"/>
      <c r="E168" s="2394"/>
      <c r="F168" s="2394"/>
      <c r="AM168" s="2238"/>
      <c r="AO168" s="2238"/>
      <c r="AP168" s="2238"/>
      <c r="AQ168" s="2238"/>
      <c r="AR168" s="2238"/>
      <c r="AS168" s="2238"/>
      <c r="AT168" s="2238"/>
      <c r="AU168" s="2238"/>
      <c r="AV168" s="2238"/>
      <c r="AX168" s="2397"/>
    </row>
    <row r="169" spans="1:50" s="1284" customFormat="1">
      <c r="A169" s="5095"/>
      <c r="B169" s="5095"/>
      <c r="C169" s="5095"/>
      <c r="D169" s="5095"/>
      <c r="E169" s="5095"/>
      <c r="F169" s="5095"/>
      <c r="G169" s="5095"/>
      <c r="H169" s="5095"/>
      <c r="I169" s="5095"/>
      <c r="J169" s="5095"/>
      <c r="K169" s="5095"/>
      <c r="L169" s="5095"/>
      <c r="M169" s="5095"/>
      <c r="N169" s="5095"/>
      <c r="O169" s="5095"/>
      <c r="P169" s="5095"/>
      <c r="Q169" s="5095"/>
      <c r="R169" s="5095"/>
      <c r="S169" s="5095"/>
      <c r="T169" s="5095"/>
      <c r="U169" s="5095"/>
      <c r="V169" s="5095"/>
      <c r="W169" s="1241"/>
      <c r="X169" s="1241"/>
      <c r="Y169" s="1241"/>
      <c r="Z169" s="1238"/>
      <c r="AA169" s="1238"/>
      <c r="AB169" s="1238"/>
      <c r="AC169" s="1238"/>
      <c r="AD169" s="1238"/>
      <c r="AE169" s="1285"/>
      <c r="AF169" s="1285"/>
      <c r="AG169" s="1285"/>
      <c r="AH169" s="1286"/>
      <c r="AI169" s="1286"/>
      <c r="AJ169" s="1286"/>
      <c r="AK169" s="1286"/>
      <c r="AL169" s="1286"/>
      <c r="AM169" s="1286"/>
      <c r="AO169" s="1286"/>
      <c r="AP169" s="1286"/>
      <c r="AQ169" s="1286"/>
      <c r="AR169" s="1286"/>
      <c r="AS169" s="1286"/>
      <c r="AT169" s="1286"/>
      <c r="AU169" s="1286"/>
      <c r="AV169" s="1286"/>
      <c r="AX169" s="1290"/>
    </row>
    <row r="170" spans="1:50" s="1287" customFormat="1">
      <c r="A170" s="1238"/>
      <c r="B170" s="1238"/>
      <c r="C170" s="1238"/>
      <c r="D170" s="1239"/>
      <c r="E170" s="1240"/>
      <c r="F170" s="1279"/>
      <c r="G170" s="1279"/>
      <c r="H170" s="1279"/>
      <c r="I170" s="1280"/>
      <c r="J170" s="1280"/>
      <c r="K170" s="1280"/>
      <c r="L170" s="1280"/>
      <c r="M170" s="1280"/>
      <c r="N170" s="1238"/>
      <c r="O170" s="1241"/>
      <c r="P170" s="1241"/>
      <c r="Q170" s="1241"/>
      <c r="R170" s="1238"/>
      <c r="S170" s="1238"/>
      <c r="T170" s="1238"/>
      <c r="U170" s="1238"/>
      <c r="V170" s="1238"/>
      <c r="W170" s="1241"/>
      <c r="X170" s="1241"/>
      <c r="Y170" s="1241"/>
      <c r="Z170" s="1238"/>
      <c r="AA170" s="1238"/>
      <c r="AB170" s="1238"/>
      <c r="AC170" s="1238"/>
      <c r="AD170" s="1238"/>
      <c r="AE170" s="1288"/>
      <c r="AF170" s="1288"/>
      <c r="AG170" s="1288"/>
      <c r="AH170" s="1289"/>
      <c r="AI170" s="1289"/>
      <c r="AJ170" s="1289"/>
      <c r="AK170" s="1289"/>
      <c r="AL170" s="1289"/>
      <c r="AM170" s="1289"/>
      <c r="AO170" s="1289"/>
      <c r="AP170" s="1289"/>
      <c r="AQ170" s="1289"/>
      <c r="AR170" s="1289"/>
      <c r="AS170" s="1289"/>
      <c r="AT170" s="1289"/>
      <c r="AU170" s="1289"/>
      <c r="AV170" s="1289"/>
      <c r="AX170" s="1290"/>
    </row>
  </sheetData>
  <sheetProtection algorithmName="SHA-512" hashValue="VC8GWw9KBjx8oE+fSyRdr5qdWvwxgAzRWUXrIwdTxY+84FEuLJxLYuIFlMkv4derN1WlQixQX8ckfd4Cqc0cHg==" saltValue="h/Gz7RjnjvyEwIaQysoDVQ==" spinCount="100000" sheet="1" formatCells="0" formatColumns="0" formatRows="0"/>
  <mergeCells count="37">
    <mergeCell ref="BI8:BP8"/>
    <mergeCell ref="BQ8:BX8"/>
    <mergeCell ref="BY8:CF8"/>
    <mergeCell ref="A1:D1"/>
    <mergeCell ref="AZ8:BG8"/>
    <mergeCell ref="BH8:BH9"/>
    <mergeCell ref="AP145:AX145"/>
    <mergeCell ref="A2:AL2"/>
    <mergeCell ref="A72:AX72"/>
    <mergeCell ref="A98:AX98"/>
    <mergeCell ref="A10:AX10"/>
    <mergeCell ref="AX8:AX9"/>
    <mergeCell ref="A8:A9"/>
    <mergeCell ref="B8:B9"/>
    <mergeCell ref="D8:D9"/>
    <mergeCell ref="E8:E9"/>
    <mergeCell ref="AO8:AW8"/>
    <mergeCell ref="AM6:AN6"/>
    <mergeCell ref="A4:AL4"/>
    <mergeCell ref="A3:AL3"/>
    <mergeCell ref="A5:AL5"/>
    <mergeCell ref="A169:V169"/>
    <mergeCell ref="AN8:AN9"/>
    <mergeCell ref="N8:N9"/>
    <mergeCell ref="C8:C9"/>
    <mergeCell ref="AP153:AX153"/>
    <mergeCell ref="AP154:AX154"/>
    <mergeCell ref="AP151:AX151"/>
    <mergeCell ref="AP152:AX152"/>
    <mergeCell ref="AM8:AM9"/>
    <mergeCell ref="AE8:AL8"/>
    <mergeCell ref="F8:M8"/>
    <mergeCell ref="O8:V8"/>
    <mergeCell ref="W8:AD8"/>
    <mergeCell ref="AP142:AX142"/>
    <mergeCell ref="AP143:AX143"/>
    <mergeCell ref="AP144:AX144"/>
  </mergeCells>
  <printOptions horizontalCentered="1"/>
  <pageMargins left="0" right="0" top="0.51181102362204722" bottom="0.19685039370078741" header="0.31496062992125984" footer="0.11811023622047245"/>
  <pageSetup paperSize="9" scale="69" orientation="landscape" r:id="rId1"/>
  <headerFooter alignWithMargins="0">
    <oddFooter>&amp;C&amp;A&amp;RСтр. &amp;P от &amp;N</oddFooter>
  </headerFooter>
  <rowBreaks count="3" manualBreakCount="3">
    <brk id="41" max="49" man="1"/>
    <brk id="117" max="49" man="1"/>
    <brk id="157" max="49" man="1"/>
  </rowBreaks>
  <colBreaks count="1" manualBreakCount="1">
    <brk id="22" max="15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CCFFCC"/>
  </sheetPr>
  <dimension ref="A1:CU92"/>
  <sheetViews>
    <sheetView showGridLines="0" zoomScale="55" zoomScaleNormal="55" zoomScaleSheetLayoutView="100" workbookViewId="0">
      <pane xSplit="2" ySplit="8" topLeftCell="BI9" activePane="bottomRight" state="frozen"/>
      <selection pane="topRight" activeCell="C1" sqref="C1"/>
      <selection pane="bottomLeft" activeCell="A9" sqref="A9"/>
      <selection pane="bottomRight" activeCell="BS18" sqref="BS18:BW19"/>
    </sheetView>
  </sheetViews>
  <sheetFormatPr defaultColWidth="11.85546875" defaultRowHeight="12.75"/>
  <cols>
    <col min="1" max="1" width="4.5703125" style="647" customWidth="1"/>
    <col min="2" max="2" width="50.140625" style="645" customWidth="1"/>
    <col min="3" max="3" width="8" style="645" customWidth="1"/>
    <col min="4" max="4" width="8.42578125" style="645" customWidth="1"/>
    <col min="5" max="5" width="8" style="645" bestFit="1" customWidth="1"/>
    <col min="6" max="6" width="10.42578125" style="645" customWidth="1"/>
    <col min="7" max="7" width="8.5703125" style="645" customWidth="1"/>
    <col min="8" max="8" width="7.85546875" style="645" customWidth="1"/>
    <col min="9" max="10" width="7.42578125" style="645" bestFit="1" customWidth="1"/>
    <col min="11" max="12" width="6" style="645" customWidth="1"/>
    <col min="13" max="13" width="6.42578125" style="645" customWidth="1"/>
    <col min="14" max="18" width="7.5703125" style="645" bestFit="1" customWidth="1"/>
    <col min="19" max="21" width="6" style="645" customWidth="1"/>
    <col min="22" max="26" width="7.42578125" style="645" customWidth="1"/>
    <col min="27" max="28" width="6" style="645" customWidth="1"/>
    <col min="29" max="29" width="7" style="645" customWidth="1"/>
    <col min="30" max="42" width="6" style="645" customWidth="1"/>
    <col min="43" max="44" width="8" style="645" customWidth="1"/>
    <col min="45" max="50" width="7.5703125" style="645" customWidth="1"/>
    <col min="51" max="51" width="2.42578125" style="645" customWidth="1"/>
    <col min="52" max="16160" width="12.5703125" style="645" customWidth="1"/>
    <col min="16161" max="16384" width="11.85546875" style="645"/>
  </cols>
  <sheetData>
    <row r="1" spans="1:99" ht="16.5" thickBot="1">
      <c r="A1" s="4792" t="str">
        <f>+'1. Обща информация'!B40</f>
        <v>Фиксиран курс на лева към 1 евро</v>
      </c>
      <c r="B1" s="4792"/>
      <c r="C1" s="4793">
        <f>+'1. Обща информация'!$C$40</f>
        <v>1.95583</v>
      </c>
      <c r="D1" s="4793"/>
      <c r="E1" s="4135"/>
      <c r="F1" s="4135"/>
      <c r="G1" s="4135"/>
      <c r="H1" s="4135"/>
      <c r="I1" s="4135"/>
      <c r="J1" s="4135"/>
      <c r="K1" s="4135"/>
      <c r="L1" s="4135"/>
      <c r="M1" s="4135"/>
      <c r="N1" s="4135"/>
      <c r="O1" s="4135"/>
      <c r="P1" s="4135"/>
      <c r="Q1" s="4135"/>
      <c r="R1" s="4135"/>
      <c r="S1" s="4135"/>
      <c r="T1" s="4135"/>
      <c r="U1" s="4135"/>
      <c r="V1" s="4135"/>
      <c r="W1" s="4135"/>
      <c r="X1" s="4135"/>
      <c r="Y1" s="4135"/>
      <c r="Z1" s="3678" t="s">
        <v>189</v>
      </c>
      <c r="AA1" s="3678"/>
      <c r="AB1" s="3678"/>
      <c r="AC1" s="3678"/>
      <c r="AD1" s="3678"/>
      <c r="AE1" s="3678"/>
      <c r="AF1" s="3678"/>
      <c r="AG1" s="3678"/>
      <c r="AH1" s="3678"/>
      <c r="AI1" s="3678"/>
      <c r="AJ1" s="3678"/>
      <c r="AK1" s="3678"/>
      <c r="AL1" s="3678"/>
      <c r="AM1" s="3678"/>
      <c r="AN1" s="3678"/>
      <c r="AO1" s="3678"/>
      <c r="AP1" s="3678"/>
      <c r="AQ1" s="3678"/>
      <c r="AR1" s="3678"/>
      <c r="AS1" s="3678"/>
      <c r="AT1" s="3678"/>
      <c r="AU1" s="3678"/>
      <c r="AV1" s="3678"/>
      <c r="AW1" s="3678"/>
      <c r="AX1" s="3678"/>
    </row>
    <row r="2" spans="1:99" ht="18.75" customHeight="1">
      <c r="B2" s="4136"/>
      <c r="C2" s="5147" t="s">
        <v>1408</v>
      </c>
      <c r="D2" s="5147"/>
      <c r="E2" s="5147"/>
      <c r="F2" s="5147"/>
      <c r="G2" s="5147"/>
      <c r="H2" s="5147"/>
      <c r="I2" s="5147"/>
      <c r="J2" s="5147"/>
      <c r="K2" s="5147"/>
      <c r="L2" s="5147"/>
      <c r="M2" s="5147"/>
      <c r="N2" s="5147"/>
      <c r="O2" s="5147"/>
      <c r="P2" s="5147"/>
      <c r="Q2" s="5147"/>
      <c r="R2" s="5147"/>
      <c r="S2" s="4136"/>
      <c r="T2" s="4136"/>
      <c r="U2" s="4136"/>
      <c r="V2" s="4136"/>
      <c r="W2" s="4136"/>
      <c r="X2" s="4136"/>
      <c r="Y2" s="4136"/>
      <c r="Z2" s="4136"/>
      <c r="AA2" s="3679"/>
      <c r="AB2" s="3679"/>
      <c r="AC2" s="3679"/>
      <c r="AD2" s="3679"/>
      <c r="AE2" s="3679"/>
      <c r="AF2" s="3679"/>
      <c r="AG2" s="3679"/>
      <c r="AH2" s="3679"/>
      <c r="AI2" s="3679"/>
      <c r="AJ2" s="3679"/>
      <c r="AK2" s="3679"/>
      <c r="AL2" s="3679"/>
      <c r="AM2" s="3679"/>
      <c r="AN2" s="3679"/>
      <c r="AO2" s="3679"/>
      <c r="AP2" s="3679"/>
      <c r="AQ2" s="3679"/>
      <c r="AR2" s="3679"/>
      <c r="AS2" s="3679"/>
      <c r="AT2" s="3679"/>
      <c r="AU2" s="3679"/>
      <c r="AV2" s="3679"/>
      <c r="AW2" s="3679"/>
      <c r="AX2" s="3679"/>
    </row>
    <row r="3" spans="1:99" ht="18.75" customHeight="1">
      <c r="B3" s="4136"/>
      <c r="C3" s="5147" t="s">
        <v>1407</v>
      </c>
      <c r="D3" s="5147"/>
      <c r="E3" s="5147"/>
      <c r="F3" s="5147"/>
      <c r="G3" s="5147"/>
      <c r="H3" s="5147"/>
      <c r="I3" s="5147"/>
      <c r="J3" s="5147"/>
      <c r="K3" s="5147"/>
      <c r="L3" s="5147"/>
      <c r="M3" s="5147"/>
      <c r="N3" s="5147"/>
      <c r="O3" s="5147"/>
      <c r="P3" s="5147"/>
      <c r="Q3" s="5147"/>
      <c r="R3" s="5147"/>
      <c r="S3" s="4136"/>
      <c r="T3" s="4136"/>
      <c r="U3" s="4136"/>
      <c r="V3" s="4136"/>
      <c r="W3" s="4136"/>
      <c r="X3" s="4136"/>
      <c r="Y3" s="4136"/>
      <c r="Z3" s="4136"/>
      <c r="AA3" s="3679"/>
      <c r="AB3" s="3679"/>
      <c r="AC3" s="3679"/>
      <c r="AD3" s="3679"/>
      <c r="AE3" s="3679"/>
      <c r="AF3" s="3679"/>
      <c r="AG3" s="3679"/>
      <c r="AH3" s="3679"/>
      <c r="AI3" s="3679"/>
      <c r="AJ3" s="3679"/>
      <c r="AK3" s="3679"/>
      <c r="AL3" s="3679"/>
      <c r="AM3" s="3679"/>
      <c r="AN3" s="3679"/>
      <c r="AO3" s="3679"/>
      <c r="AP3" s="3679"/>
      <c r="AQ3" s="3679"/>
      <c r="AR3" s="3679"/>
      <c r="AS3" s="3679"/>
      <c r="AT3" s="3679"/>
      <c r="AU3" s="3679"/>
      <c r="AV3" s="3679"/>
      <c r="AW3" s="3679"/>
      <c r="AX3" s="3679"/>
    </row>
    <row r="4" spans="1:99" s="646" customFormat="1" ht="18.75">
      <c r="B4" s="3131"/>
      <c r="C4" s="5148" t="str">
        <f>'1. Обща информация'!A4</f>
        <v>на ВОДОСНАБДЯВАНЕ И КАНАЛИЗАЦИЯ ЕООД, гр. ХАСКОВО</v>
      </c>
      <c r="D4" s="5148"/>
      <c r="E4" s="5148"/>
      <c r="F4" s="5148"/>
      <c r="G4" s="5148"/>
      <c r="H4" s="5148"/>
      <c r="I4" s="5148"/>
      <c r="J4" s="5148"/>
      <c r="K4" s="5148"/>
      <c r="L4" s="5148"/>
      <c r="M4" s="5148"/>
      <c r="N4" s="5148"/>
      <c r="O4" s="5148"/>
      <c r="P4" s="5148"/>
      <c r="Q4" s="5148"/>
      <c r="R4" s="5148"/>
      <c r="S4" s="3131"/>
      <c r="T4" s="3131"/>
      <c r="U4" s="3131"/>
      <c r="V4" s="3131"/>
      <c r="W4" s="3131"/>
      <c r="X4" s="3131"/>
      <c r="Y4" s="3131"/>
      <c r="Z4" s="3131"/>
      <c r="AA4" s="3680"/>
      <c r="AB4" s="3680"/>
      <c r="AC4" s="3680"/>
      <c r="AD4" s="3680"/>
      <c r="AE4" s="3680"/>
      <c r="AF4" s="3680"/>
      <c r="AG4" s="3680"/>
      <c r="AH4" s="3680"/>
      <c r="AI4" s="3680"/>
      <c r="AJ4" s="3680"/>
      <c r="AK4" s="3680"/>
      <c r="AL4" s="3680"/>
      <c r="AM4" s="3680"/>
      <c r="AN4" s="3680"/>
      <c r="AO4" s="3680"/>
      <c r="AP4" s="3680"/>
      <c r="AQ4" s="3680"/>
      <c r="AR4" s="3680"/>
      <c r="AS4" s="3680"/>
      <c r="AT4" s="3680"/>
      <c r="AU4" s="3680"/>
      <c r="AV4" s="3680"/>
      <c r="AW4" s="3680"/>
      <c r="AX4" s="3680"/>
    </row>
    <row r="5" spans="1:99" s="646" customFormat="1" ht="18.75">
      <c r="B5" s="3131"/>
      <c r="C5" s="5148" t="str">
        <f>'1. Обща информация'!A5</f>
        <v>ЕИК по БУЛСТАТ: 126004284</v>
      </c>
      <c r="D5" s="5148"/>
      <c r="E5" s="5148"/>
      <c r="F5" s="5148"/>
      <c r="G5" s="5148"/>
      <c r="H5" s="5148"/>
      <c r="I5" s="5148"/>
      <c r="J5" s="5148"/>
      <c r="K5" s="5148"/>
      <c r="L5" s="5148"/>
      <c r="M5" s="5148"/>
      <c r="N5" s="5148"/>
      <c r="O5" s="5148"/>
      <c r="P5" s="5148"/>
      <c r="Q5" s="5148"/>
      <c r="R5" s="5148"/>
      <c r="S5" s="3131"/>
      <c r="T5" s="3131"/>
      <c r="U5" s="3131"/>
      <c r="V5" s="3131"/>
      <c r="W5" s="3131"/>
      <c r="X5" s="3131"/>
      <c r="Y5" s="3131"/>
      <c r="Z5" s="3131"/>
      <c r="AA5" s="3680"/>
      <c r="AB5" s="3680"/>
      <c r="AC5" s="3680"/>
      <c r="AD5" s="3680"/>
      <c r="AE5" s="3680"/>
      <c r="AF5" s="3680"/>
      <c r="AG5" s="3680"/>
      <c r="AH5" s="3680"/>
      <c r="AI5" s="3680"/>
      <c r="AJ5" s="3680"/>
      <c r="AK5" s="3680"/>
      <c r="AL5" s="3680"/>
      <c r="AM5" s="3680"/>
      <c r="AN5" s="3680"/>
      <c r="AO5" s="3680"/>
      <c r="AP5" s="3680"/>
      <c r="AQ5" s="3680"/>
      <c r="AR5" s="3680"/>
      <c r="AS5" s="3680"/>
      <c r="AT5" s="3680"/>
      <c r="AU5" s="3680"/>
      <c r="AV5" s="3680"/>
      <c r="AW5" s="3680"/>
      <c r="AX5" s="3680"/>
    </row>
    <row r="6" spans="1:99" ht="16.5" thickBot="1">
      <c r="B6" s="652"/>
      <c r="C6" s="2398"/>
      <c r="D6" s="2398"/>
      <c r="E6" s="2399"/>
      <c r="M6" s="648"/>
      <c r="N6" s="649"/>
      <c r="O6" s="649"/>
      <c r="Z6" s="650"/>
      <c r="AH6" s="650"/>
      <c r="AP6" s="650"/>
      <c r="AX6" s="650" t="s">
        <v>190</v>
      </c>
      <c r="CU6" s="650" t="s">
        <v>1892</v>
      </c>
    </row>
    <row r="7" spans="1:99" ht="13.5" customHeight="1" thickBot="1">
      <c r="A7" s="5142" t="s">
        <v>1</v>
      </c>
      <c r="B7" s="5144" t="s">
        <v>191</v>
      </c>
      <c r="C7" s="5125" t="s">
        <v>210</v>
      </c>
      <c r="D7" s="5126"/>
      <c r="E7" s="5126"/>
      <c r="F7" s="5126"/>
      <c r="G7" s="5126"/>
      <c r="H7" s="5126"/>
      <c r="I7" s="5126"/>
      <c r="J7" s="5127"/>
      <c r="K7" s="5125" t="s">
        <v>174</v>
      </c>
      <c r="L7" s="5126"/>
      <c r="M7" s="5126"/>
      <c r="N7" s="5126"/>
      <c r="O7" s="5126"/>
      <c r="P7" s="5126"/>
      <c r="Q7" s="5126"/>
      <c r="R7" s="5127"/>
      <c r="S7" s="5128" t="s">
        <v>184</v>
      </c>
      <c r="T7" s="5129"/>
      <c r="U7" s="5129"/>
      <c r="V7" s="5129"/>
      <c r="W7" s="5129"/>
      <c r="X7" s="5129"/>
      <c r="Y7" s="5129"/>
      <c r="Z7" s="5130"/>
      <c r="AA7" s="5139" t="s">
        <v>1029</v>
      </c>
      <c r="AB7" s="5140"/>
      <c r="AC7" s="5140"/>
      <c r="AD7" s="5140"/>
      <c r="AE7" s="5140"/>
      <c r="AF7" s="5140"/>
      <c r="AG7" s="5140"/>
      <c r="AH7" s="5141"/>
      <c r="AI7" s="5139" t="s">
        <v>1092</v>
      </c>
      <c r="AJ7" s="5140"/>
      <c r="AK7" s="5140"/>
      <c r="AL7" s="5140"/>
      <c r="AM7" s="5140"/>
      <c r="AN7" s="5140"/>
      <c r="AO7" s="5140"/>
      <c r="AP7" s="5141"/>
      <c r="AQ7" s="5139" t="s">
        <v>1250</v>
      </c>
      <c r="AR7" s="5140"/>
      <c r="AS7" s="5140"/>
      <c r="AT7" s="5140"/>
      <c r="AU7" s="5140"/>
      <c r="AV7" s="5140"/>
      <c r="AW7" s="5140"/>
      <c r="AX7" s="5141"/>
      <c r="AY7" s="4422"/>
      <c r="AZ7" s="5120" t="s">
        <v>210</v>
      </c>
      <c r="BA7" s="5120"/>
      <c r="BB7" s="5120"/>
      <c r="BC7" s="5120"/>
      <c r="BD7" s="5120"/>
      <c r="BE7" s="5120"/>
      <c r="BF7" s="5120"/>
      <c r="BG7" s="5120"/>
      <c r="BH7" s="5120" t="s">
        <v>174</v>
      </c>
      <c r="BI7" s="5120"/>
      <c r="BJ7" s="5120"/>
      <c r="BK7" s="5120"/>
      <c r="BL7" s="5120"/>
      <c r="BM7" s="5120"/>
      <c r="BN7" s="5120"/>
      <c r="BO7" s="5120"/>
      <c r="BP7" s="5120" t="s">
        <v>184</v>
      </c>
      <c r="BQ7" s="5120"/>
      <c r="BR7" s="5120"/>
      <c r="BS7" s="5120"/>
      <c r="BT7" s="5120"/>
      <c r="BU7" s="5120"/>
      <c r="BV7" s="5120"/>
      <c r="BW7" s="5120"/>
      <c r="BX7" s="5120" t="s">
        <v>1029</v>
      </c>
      <c r="BY7" s="5120"/>
      <c r="BZ7" s="5120"/>
      <c r="CA7" s="5120"/>
      <c r="CB7" s="5120"/>
      <c r="CC7" s="5120"/>
      <c r="CD7" s="5120"/>
      <c r="CE7" s="5120"/>
      <c r="CF7" s="5120" t="s">
        <v>1092</v>
      </c>
      <c r="CG7" s="5120"/>
      <c r="CH7" s="5120"/>
      <c r="CI7" s="5120"/>
      <c r="CJ7" s="5120"/>
      <c r="CK7" s="5120"/>
      <c r="CL7" s="5120"/>
      <c r="CM7" s="5120"/>
      <c r="CN7" s="5120" t="s">
        <v>1250</v>
      </c>
      <c r="CO7" s="5120"/>
      <c r="CP7" s="5120"/>
      <c r="CQ7" s="5120"/>
      <c r="CR7" s="5120"/>
      <c r="CS7" s="5120"/>
      <c r="CT7" s="5120"/>
      <c r="CU7" s="5120"/>
    </row>
    <row r="8" spans="1:99" s="3" customFormat="1" ht="13.5" thickBot="1">
      <c r="A8" s="5143"/>
      <c r="B8" s="5145"/>
      <c r="C8" s="4111" t="str">
        <f>+'9.Инвестиционна програма'!F9</f>
        <v>2024 г.</v>
      </c>
      <c r="D8" s="4112" t="str">
        <f>+'9.Инвестиционна програма'!G9</f>
        <v>2025 г.</v>
      </c>
      <c r="E8" s="4113" t="str">
        <f>+'9.Инвестиционна програма'!H9</f>
        <v>2026 г.</v>
      </c>
      <c r="F8" s="4113" t="str">
        <f>+'9.Инвестиционна програма'!I9</f>
        <v>2027 г.</v>
      </c>
      <c r="G8" s="4113" t="str">
        <f>+'9.Инвестиционна програма'!J9</f>
        <v>2028 г.</v>
      </c>
      <c r="H8" s="4113" t="str">
        <f>+'9.Инвестиционна програма'!K9</f>
        <v>2029 г.</v>
      </c>
      <c r="I8" s="4113" t="str">
        <f>+'9.Инвестиционна програма'!L9</f>
        <v>2030 г.</v>
      </c>
      <c r="J8" s="4114" t="str">
        <f>+'9.Инвестиционна програма'!M9</f>
        <v>2031 г.</v>
      </c>
      <c r="K8" s="4124" t="str">
        <f t="shared" ref="K8:AX8" si="0">C8</f>
        <v>2024 г.</v>
      </c>
      <c r="L8" s="4124" t="str">
        <f t="shared" si="0"/>
        <v>2025 г.</v>
      </c>
      <c r="M8" s="4113" t="str">
        <f t="shared" si="0"/>
        <v>2026 г.</v>
      </c>
      <c r="N8" s="4113" t="str">
        <f t="shared" si="0"/>
        <v>2027 г.</v>
      </c>
      <c r="O8" s="4113" t="str">
        <f t="shared" si="0"/>
        <v>2028 г.</v>
      </c>
      <c r="P8" s="4113" t="str">
        <f t="shared" si="0"/>
        <v>2029 г.</v>
      </c>
      <c r="Q8" s="4113" t="str">
        <f t="shared" si="0"/>
        <v>2030 г.</v>
      </c>
      <c r="R8" s="4125" t="str">
        <f t="shared" si="0"/>
        <v>2031 г.</v>
      </c>
      <c r="S8" s="2400" t="str">
        <f t="shared" si="0"/>
        <v>2024 г.</v>
      </c>
      <c r="T8" s="2403" t="str">
        <f t="shared" si="0"/>
        <v>2025 г.</v>
      </c>
      <c r="U8" s="2401" t="str">
        <f t="shared" si="0"/>
        <v>2026 г.</v>
      </c>
      <c r="V8" s="2401" t="str">
        <f t="shared" si="0"/>
        <v>2027 г.</v>
      </c>
      <c r="W8" s="2401" t="str">
        <f t="shared" si="0"/>
        <v>2028 г.</v>
      </c>
      <c r="X8" s="2401" t="str">
        <f t="shared" si="0"/>
        <v>2029 г.</v>
      </c>
      <c r="Y8" s="2401" t="str">
        <f t="shared" si="0"/>
        <v>2030 г.</v>
      </c>
      <c r="Z8" s="2402" t="str">
        <f t="shared" si="0"/>
        <v>2031 г.</v>
      </c>
      <c r="AA8" s="2400" t="str">
        <f t="shared" si="0"/>
        <v>2024 г.</v>
      </c>
      <c r="AB8" s="2400" t="str">
        <f t="shared" si="0"/>
        <v>2025 г.</v>
      </c>
      <c r="AC8" s="2401" t="str">
        <f t="shared" si="0"/>
        <v>2026 г.</v>
      </c>
      <c r="AD8" s="2401" t="str">
        <f t="shared" si="0"/>
        <v>2027 г.</v>
      </c>
      <c r="AE8" s="2401" t="str">
        <f t="shared" si="0"/>
        <v>2028 г.</v>
      </c>
      <c r="AF8" s="2401" t="str">
        <f t="shared" si="0"/>
        <v>2029 г.</v>
      </c>
      <c r="AG8" s="2401" t="str">
        <f t="shared" si="0"/>
        <v>2030 г.</v>
      </c>
      <c r="AH8" s="2402" t="str">
        <f t="shared" si="0"/>
        <v>2031 г.</v>
      </c>
      <c r="AI8" s="2400" t="str">
        <f t="shared" si="0"/>
        <v>2024 г.</v>
      </c>
      <c r="AJ8" s="2403" t="str">
        <f t="shared" si="0"/>
        <v>2025 г.</v>
      </c>
      <c r="AK8" s="2401" t="str">
        <f t="shared" si="0"/>
        <v>2026 г.</v>
      </c>
      <c r="AL8" s="2401" t="str">
        <f t="shared" si="0"/>
        <v>2027 г.</v>
      </c>
      <c r="AM8" s="2401" t="str">
        <f t="shared" si="0"/>
        <v>2028 г.</v>
      </c>
      <c r="AN8" s="2401" t="str">
        <f t="shared" si="0"/>
        <v>2029 г.</v>
      </c>
      <c r="AO8" s="2401" t="str">
        <f t="shared" si="0"/>
        <v>2030 г.</v>
      </c>
      <c r="AP8" s="2402" t="str">
        <f t="shared" si="0"/>
        <v>2031 г.</v>
      </c>
      <c r="AQ8" s="2400" t="str">
        <f t="shared" si="0"/>
        <v>2024 г.</v>
      </c>
      <c r="AR8" s="2403" t="str">
        <f t="shared" si="0"/>
        <v>2025 г.</v>
      </c>
      <c r="AS8" s="2401" t="str">
        <f t="shared" si="0"/>
        <v>2026 г.</v>
      </c>
      <c r="AT8" s="2401" t="str">
        <f t="shared" si="0"/>
        <v>2027 г.</v>
      </c>
      <c r="AU8" s="2401" t="str">
        <f t="shared" si="0"/>
        <v>2028 г.</v>
      </c>
      <c r="AV8" s="2401" t="str">
        <f t="shared" si="0"/>
        <v>2029 г.</v>
      </c>
      <c r="AW8" s="2401" t="str">
        <f t="shared" si="0"/>
        <v>2030 г.</v>
      </c>
      <c r="AX8" s="2402" t="str">
        <f t="shared" si="0"/>
        <v>2031 г.</v>
      </c>
      <c r="AY8" s="4422"/>
      <c r="AZ8" s="4441" t="str">
        <f>+C8</f>
        <v>2024 г.</v>
      </c>
      <c r="BA8" s="4441" t="str">
        <f t="shared" ref="BA8:BG8" si="1">+D8</f>
        <v>2025 г.</v>
      </c>
      <c r="BB8" s="4441" t="str">
        <f t="shared" si="1"/>
        <v>2026 г.</v>
      </c>
      <c r="BC8" s="4441" t="str">
        <f t="shared" si="1"/>
        <v>2027 г.</v>
      </c>
      <c r="BD8" s="4441" t="str">
        <f t="shared" si="1"/>
        <v>2028 г.</v>
      </c>
      <c r="BE8" s="4441" t="str">
        <f t="shared" si="1"/>
        <v>2029 г.</v>
      </c>
      <c r="BF8" s="4441" t="str">
        <f t="shared" si="1"/>
        <v>2030 г.</v>
      </c>
      <c r="BG8" s="4441" t="str">
        <f t="shared" si="1"/>
        <v>2031 г.</v>
      </c>
      <c r="BH8" s="4441" t="str">
        <f t="shared" ref="BH8" si="2">AZ8</f>
        <v>2024 г.</v>
      </c>
      <c r="BI8" s="4441" t="str">
        <f t="shared" ref="BI8" si="3">BA8</f>
        <v>2025 г.</v>
      </c>
      <c r="BJ8" s="4441" t="str">
        <f t="shared" ref="BJ8" si="4">BB8</f>
        <v>2026 г.</v>
      </c>
      <c r="BK8" s="4441" t="str">
        <f t="shared" ref="BK8" si="5">BC8</f>
        <v>2027 г.</v>
      </c>
      <c r="BL8" s="4441" t="str">
        <f t="shared" ref="BL8" si="6">BD8</f>
        <v>2028 г.</v>
      </c>
      <c r="BM8" s="4441" t="str">
        <f t="shared" ref="BM8" si="7">BE8</f>
        <v>2029 г.</v>
      </c>
      <c r="BN8" s="4441" t="str">
        <f t="shared" ref="BN8" si="8">BF8</f>
        <v>2030 г.</v>
      </c>
      <c r="BO8" s="4441" t="str">
        <f t="shared" ref="BO8" si="9">BG8</f>
        <v>2031 г.</v>
      </c>
      <c r="BP8" s="4441" t="str">
        <f t="shared" ref="BP8" si="10">BH8</f>
        <v>2024 г.</v>
      </c>
      <c r="BQ8" s="4441" t="str">
        <f t="shared" ref="BQ8" si="11">BI8</f>
        <v>2025 г.</v>
      </c>
      <c r="BR8" s="4441" t="str">
        <f t="shared" ref="BR8" si="12">BJ8</f>
        <v>2026 г.</v>
      </c>
      <c r="BS8" s="4441" t="str">
        <f t="shared" ref="BS8" si="13">BK8</f>
        <v>2027 г.</v>
      </c>
      <c r="BT8" s="4441" t="str">
        <f t="shared" ref="BT8" si="14">BL8</f>
        <v>2028 г.</v>
      </c>
      <c r="BU8" s="4441" t="str">
        <f t="shared" ref="BU8" si="15">BM8</f>
        <v>2029 г.</v>
      </c>
      <c r="BV8" s="4441" t="str">
        <f t="shared" ref="BV8" si="16">BN8</f>
        <v>2030 г.</v>
      </c>
      <c r="BW8" s="4441" t="str">
        <f t="shared" ref="BW8" si="17">BO8</f>
        <v>2031 г.</v>
      </c>
      <c r="BX8" s="4441" t="str">
        <f t="shared" ref="BX8" si="18">BP8</f>
        <v>2024 г.</v>
      </c>
      <c r="BY8" s="4441" t="str">
        <f t="shared" ref="BY8" si="19">BQ8</f>
        <v>2025 г.</v>
      </c>
      <c r="BZ8" s="4441" t="str">
        <f t="shared" ref="BZ8" si="20">BR8</f>
        <v>2026 г.</v>
      </c>
      <c r="CA8" s="4441" t="str">
        <f t="shared" ref="CA8" si="21">BS8</f>
        <v>2027 г.</v>
      </c>
      <c r="CB8" s="4441" t="str">
        <f t="shared" ref="CB8" si="22">BT8</f>
        <v>2028 г.</v>
      </c>
      <c r="CC8" s="4441" t="str">
        <f t="shared" ref="CC8" si="23">BU8</f>
        <v>2029 г.</v>
      </c>
      <c r="CD8" s="4441" t="str">
        <f t="shared" ref="CD8" si="24">BV8</f>
        <v>2030 г.</v>
      </c>
      <c r="CE8" s="4441" t="str">
        <f t="shared" ref="CE8" si="25">BW8</f>
        <v>2031 г.</v>
      </c>
      <c r="CF8" s="4441" t="str">
        <f t="shared" ref="CF8" si="26">BX8</f>
        <v>2024 г.</v>
      </c>
      <c r="CG8" s="4441" t="str">
        <f t="shared" ref="CG8" si="27">BY8</f>
        <v>2025 г.</v>
      </c>
      <c r="CH8" s="4441" t="str">
        <f t="shared" ref="CH8" si="28">BZ8</f>
        <v>2026 г.</v>
      </c>
      <c r="CI8" s="4441" t="str">
        <f t="shared" ref="CI8" si="29">CA8</f>
        <v>2027 г.</v>
      </c>
      <c r="CJ8" s="4441" t="str">
        <f t="shared" ref="CJ8" si="30">CB8</f>
        <v>2028 г.</v>
      </c>
      <c r="CK8" s="4441" t="str">
        <f t="shared" ref="CK8" si="31">CC8</f>
        <v>2029 г.</v>
      </c>
      <c r="CL8" s="4441" t="str">
        <f t="shared" ref="CL8" si="32">CD8</f>
        <v>2030 г.</v>
      </c>
      <c r="CM8" s="4441" t="str">
        <f t="shared" ref="CM8" si="33">CE8</f>
        <v>2031 г.</v>
      </c>
      <c r="CN8" s="4441" t="str">
        <f t="shared" ref="CN8" si="34">CF8</f>
        <v>2024 г.</v>
      </c>
      <c r="CO8" s="4441" t="str">
        <f t="shared" ref="CO8" si="35">CG8</f>
        <v>2025 г.</v>
      </c>
      <c r="CP8" s="4441" t="str">
        <f t="shared" ref="CP8" si="36">CH8</f>
        <v>2026 г.</v>
      </c>
      <c r="CQ8" s="4441" t="str">
        <f t="shared" ref="CQ8" si="37">CI8</f>
        <v>2027 г.</v>
      </c>
      <c r="CR8" s="4441" t="str">
        <f t="shared" ref="CR8" si="38">CJ8</f>
        <v>2028 г.</v>
      </c>
      <c r="CS8" s="4441" t="str">
        <f t="shared" ref="CS8" si="39">CK8</f>
        <v>2029 г.</v>
      </c>
      <c r="CT8" s="4441" t="str">
        <f t="shared" ref="CT8" si="40">CL8</f>
        <v>2030 г.</v>
      </c>
      <c r="CU8" s="4441" t="str">
        <f t="shared" ref="CU8" si="41">CM8</f>
        <v>2031 г.</v>
      </c>
    </row>
    <row r="9" spans="1:99" s="3" customFormat="1">
      <c r="A9" s="2404">
        <v>1</v>
      </c>
      <c r="B9" s="2405" t="s">
        <v>332</v>
      </c>
      <c r="C9" s="384"/>
      <c r="D9" s="384"/>
      <c r="E9" s="384"/>
      <c r="F9" s="3319">
        <f>'9.Инвестиционна програма'!I140</f>
        <v>5981.1458700000003</v>
      </c>
      <c r="G9" s="3319">
        <f>'9.Инвестиционна програма'!J140</f>
        <v>9469.2917400000006</v>
      </c>
      <c r="H9" s="3319">
        <f>'9.Инвестиционна програма'!K140</f>
        <v>9468.6250733333345</v>
      </c>
      <c r="I9" s="3319">
        <f>'9.Инвестиционна програма'!L140</f>
        <v>1698.4</v>
      </c>
      <c r="J9" s="3320">
        <f>'9.Инвестиционна програма'!M140</f>
        <v>1668.3333333333333</v>
      </c>
      <c r="K9" s="384"/>
      <c r="L9" s="384"/>
      <c r="M9" s="384"/>
      <c r="N9" s="3319">
        <f>'9.Инвестиционна програма'!I141</f>
        <v>1453.26836</v>
      </c>
      <c r="O9" s="3319">
        <f>'9.Инвестиционна програма'!J141</f>
        <v>2421.5367200000001</v>
      </c>
      <c r="P9" s="3319">
        <f>'9.Инвестиционна програма'!K141</f>
        <v>2239.8700533333335</v>
      </c>
      <c r="Q9" s="3319">
        <f>'9.Инвестиционна програма'!L141</f>
        <v>339.4</v>
      </c>
      <c r="R9" s="3321">
        <f>'9.Инвестиционна програма'!M141</f>
        <v>353.33333333333331</v>
      </c>
      <c r="S9" s="384"/>
      <c r="T9" s="384"/>
      <c r="U9" s="384"/>
      <c r="V9" s="3319">
        <f>'9.Инвестиционна програма'!I142</f>
        <v>1479.8895439999999</v>
      </c>
      <c r="W9" s="3319">
        <f>'9.Инвестиционна програма'!J142</f>
        <v>2593.7790879999998</v>
      </c>
      <c r="X9" s="3319">
        <f>'9.Инвестиционна програма'!K142</f>
        <v>2484.1124213333333</v>
      </c>
      <c r="Y9" s="3319">
        <f>'9.Инвестиционна програма'!L142</f>
        <v>321.39999999999998</v>
      </c>
      <c r="Z9" s="3320">
        <f>'9.Инвестиционна програма'!M142</f>
        <v>328.33333333333331</v>
      </c>
      <c r="AA9" s="384"/>
      <c r="AB9" s="384"/>
      <c r="AC9" s="384"/>
      <c r="AD9" s="3319">
        <f>'9.Инвестиционна програма'!I143</f>
        <v>0</v>
      </c>
      <c r="AE9" s="3319">
        <f>'9.Инвестиционна програма'!J143</f>
        <v>0</v>
      </c>
      <c r="AF9" s="3319">
        <f>'9.Инвестиционна програма'!K143</f>
        <v>0</v>
      </c>
      <c r="AG9" s="3319">
        <f>'9.Инвестиционна програма'!L143</f>
        <v>0</v>
      </c>
      <c r="AH9" s="3320">
        <f>'9.Инвестиционна програма'!M143</f>
        <v>0</v>
      </c>
      <c r="AI9" s="384"/>
      <c r="AJ9" s="384"/>
      <c r="AK9" s="384"/>
      <c r="AL9" s="3319">
        <f>'9.Инвестиционна програма'!I144</f>
        <v>0</v>
      </c>
      <c r="AM9" s="3319">
        <f>'9.Инвестиционна програма'!J144</f>
        <v>0</v>
      </c>
      <c r="AN9" s="3319">
        <f>'9.Инвестиционна програма'!K144</f>
        <v>0</v>
      </c>
      <c r="AO9" s="3319">
        <f>'9.Инвестиционна програма'!L144</f>
        <v>0</v>
      </c>
      <c r="AP9" s="3320">
        <f>'9.Инвестиционна програма'!M144</f>
        <v>0</v>
      </c>
      <c r="AQ9" s="384"/>
      <c r="AR9" s="384"/>
      <c r="AS9" s="384"/>
      <c r="AT9" s="3319">
        <f t="shared" ref="AT9:AX10" si="42">F9+N9+V9+AD9+AL9</f>
        <v>8914.303774</v>
      </c>
      <c r="AU9" s="3319">
        <f t="shared" si="42"/>
        <v>14484.607548</v>
      </c>
      <c r="AV9" s="3319">
        <f t="shared" si="42"/>
        <v>14192.607548000002</v>
      </c>
      <c r="AW9" s="3319">
        <f t="shared" si="42"/>
        <v>2359.2000000000003</v>
      </c>
      <c r="AX9" s="3320">
        <f t="shared" si="42"/>
        <v>2350</v>
      </c>
      <c r="AY9" s="4422"/>
      <c r="BC9" s="4438">
        <f>IFERROR(F9/$C$1,0)</f>
        <v>3058.1113235812932</v>
      </c>
      <c r="BD9" s="4438">
        <f t="shared" ref="BD9:BG9" si="43">IFERROR(G9/$C$1,0)</f>
        <v>4841.5719873404132</v>
      </c>
      <c r="BE9" s="4438">
        <f t="shared" si="43"/>
        <v>4841.2311260862825</v>
      </c>
      <c r="BF9" s="4438">
        <f t="shared" si="43"/>
        <v>868.37813102365749</v>
      </c>
      <c r="BG9" s="4438">
        <f t="shared" si="43"/>
        <v>853.00528846235784</v>
      </c>
      <c r="BK9" s="4438">
        <f>IFERROR(N9/$C$1,0)</f>
        <v>743.04431366734332</v>
      </c>
      <c r="BL9" s="4438">
        <f t="shared" ref="BL9" si="44">IFERROR(O9/$C$1,0)</f>
        <v>1238.1120649545207</v>
      </c>
      <c r="BM9" s="4438">
        <f t="shared" ref="BM9" si="45">IFERROR(P9/$C$1,0)</f>
        <v>1145.2273732038743</v>
      </c>
      <c r="BN9" s="4438">
        <f t="shared" ref="BN9" si="46">IFERROR(Q9/$C$1,0)</f>
        <v>173.53246447799654</v>
      </c>
      <c r="BO9" s="4438">
        <f t="shared" ref="BO9" si="47">IFERROR(R9/$C$1,0)</f>
        <v>180.65646468933053</v>
      </c>
      <c r="BS9" s="4438">
        <f>IFERROR(V9/$C$1,0)</f>
        <v>756.65550891437385</v>
      </c>
      <c r="BT9" s="4438">
        <f t="shared" ref="BT9" si="48">IFERROR(W9/$C$1,0)</f>
        <v>1326.1781893109319</v>
      </c>
      <c r="BU9" s="4438">
        <f t="shared" ref="BU9" si="49">IFERROR(X9/$C$1,0)</f>
        <v>1270.1065130064133</v>
      </c>
      <c r="BV9" s="4438">
        <f t="shared" ref="BV9" si="50">IFERROR(Y9/$C$1,0)</f>
        <v>164.32921061646462</v>
      </c>
      <c r="BW9" s="4438">
        <f t="shared" ref="BW9" si="51">IFERROR(Z9/$C$1,0)</f>
        <v>167.87416765942507</v>
      </c>
      <c r="CA9" s="4438">
        <f>IFERROR(AD9/$C$1,0)</f>
        <v>0</v>
      </c>
      <c r="CB9" s="4438">
        <f t="shared" ref="CB9" si="52">IFERROR(AE9/$C$1,0)</f>
        <v>0</v>
      </c>
      <c r="CC9" s="4438">
        <f t="shared" ref="CC9" si="53">IFERROR(AF9/$C$1,0)</f>
        <v>0</v>
      </c>
      <c r="CD9" s="4438">
        <f t="shared" ref="CD9" si="54">IFERROR(AG9/$C$1,0)</f>
        <v>0</v>
      </c>
      <c r="CE9" s="4438">
        <f t="shared" ref="CE9" si="55">IFERROR(AH9/$C$1,0)</f>
        <v>0</v>
      </c>
      <c r="CI9" s="4438">
        <f>IFERROR(AL9/$C$1,0)</f>
        <v>0</v>
      </c>
      <c r="CJ9" s="4438">
        <f t="shared" ref="CJ9" si="56">IFERROR(AM9/$C$1,0)</f>
        <v>0</v>
      </c>
      <c r="CK9" s="4438">
        <f t="shared" ref="CK9" si="57">IFERROR(AN9/$C$1,0)</f>
        <v>0</v>
      </c>
      <c r="CL9" s="4438">
        <f t="shared" ref="CL9" si="58">IFERROR(AO9/$C$1,0)</f>
        <v>0</v>
      </c>
      <c r="CM9" s="4438">
        <f t="shared" ref="CM9" si="59">IFERROR(AP9/$C$1,0)</f>
        <v>0</v>
      </c>
      <c r="CQ9" s="4438">
        <f>IFERROR(AT9/$C$1,0)</f>
        <v>4557.8111461630106</v>
      </c>
      <c r="CR9" s="4438">
        <f t="shared" ref="CR9" si="60">IFERROR(AU9/$C$1,0)</f>
        <v>7405.8622416058661</v>
      </c>
      <c r="CS9" s="4438">
        <f t="shared" ref="CS9" si="61">IFERROR(AV9/$C$1,0)</f>
        <v>7256.5650122965708</v>
      </c>
      <c r="CT9" s="4438">
        <f t="shared" ref="CT9" si="62">IFERROR(AW9/$C$1,0)</f>
        <v>1206.2398061181188</v>
      </c>
      <c r="CU9" s="4438">
        <f t="shared" ref="CU9" si="63">IFERROR(AX9/$C$1,0)</f>
        <v>1201.5359208111136</v>
      </c>
    </row>
    <row r="10" spans="1:99" s="651" customFormat="1">
      <c r="A10" s="2406" t="s">
        <v>463</v>
      </c>
      <c r="B10" s="2407" t="s">
        <v>939</v>
      </c>
      <c r="C10" s="383"/>
      <c r="D10" s="383"/>
      <c r="E10" s="383"/>
      <c r="F10" s="3322">
        <f>'9.Инвестиционна програма'!I147</f>
        <v>1012.6666666666666</v>
      </c>
      <c r="G10" s="3322">
        <f>'9.Инвестиционна програма'!J147</f>
        <v>543.66666666666663</v>
      </c>
      <c r="H10" s="3322">
        <f>'9.Инвестиционна програма'!K147</f>
        <v>543.66666666666663</v>
      </c>
      <c r="I10" s="3322">
        <f>'9.Инвестиционна програма'!L147</f>
        <v>543.66666666666663</v>
      </c>
      <c r="J10" s="3323">
        <f>'9.Инвестиционна програма'!M147</f>
        <v>543.66666666666663</v>
      </c>
      <c r="K10" s="383"/>
      <c r="L10" s="383"/>
      <c r="M10" s="383"/>
      <c r="N10" s="3322">
        <f>'9.Инвестиционна програма'!I148</f>
        <v>26.666666666666664</v>
      </c>
      <c r="O10" s="3322">
        <f>'9.Инвестиционна програма'!J148</f>
        <v>7.6666666666666661</v>
      </c>
      <c r="P10" s="3322">
        <f>'9.Инвестиционна програма'!K148</f>
        <v>7.6666666666666661</v>
      </c>
      <c r="Q10" s="3322">
        <f>'9.Инвестиционна програма'!L148</f>
        <v>7.6666666666666661</v>
      </c>
      <c r="R10" s="3324">
        <f>'9.Инвестиционна програма'!M148</f>
        <v>7.6666666666666661</v>
      </c>
      <c r="S10" s="383"/>
      <c r="T10" s="383"/>
      <c r="U10" s="383"/>
      <c r="V10" s="3314">
        <f>'9.Инвестиционна програма'!I149</f>
        <v>22.666666666666664</v>
      </c>
      <c r="W10" s="3314">
        <f>'9.Инвестиционна програма'!J149</f>
        <v>7.6666666666666661</v>
      </c>
      <c r="X10" s="3314">
        <f>'9.Инвестиционна програма'!K149</f>
        <v>7.6666666666666661</v>
      </c>
      <c r="Y10" s="3314">
        <f>'9.Инвестиционна програма'!L149</f>
        <v>7.6666666666666661</v>
      </c>
      <c r="Z10" s="3315">
        <f>'9.Инвестиционна програма'!M149</f>
        <v>7.6666666666666661</v>
      </c>
      <c r="AA10" s="383"/>
      <c r="AB10" s="383"/>
      <c r="AC10" s="383"/>
      <c r="AD10" s="3314">
        <f>'9.Инвестиционна програма'!I150</f>
        <v>0</v>
      </c>
      <c r="AE10" s="3314">
        <f>'9.Инвестиционна програма'!J150</f>
        <v>0</v>
      </c>
      <c r="AF10" s="3314">
        <f>'9.Инвестиционна програма'!K150</f>
        <v>0</v>
      </c>
      <c r="AG10" s="3314">
        <f>'9.Инвестиционна програма'!L150</f>
        <v>0</v>
      </c>
      <c r="AH10" s="3315">
        <f>'9.Инвестиционна програма'!M150</f>
        <v>0</v>
      </c>
      <c r="AI10" s="383"/>
      <c r="AJ10" s="383"/>
      <c r="AK10" s="383"/>
      <c r="AL10" s="3314">
        <f>'9.Инвестиционна програма'!I151</f>
        <v>0</v>
      </c>
      <c r="AM10" s="3314">
        <f>'9.Инвестиционна програма'!J151</f>
        <v>0</v>
      </c>
      <c r="AN10" s="3314">
        <f>'9.Инвестиционна програма'!K151</f>
        <v>0</v>
      </c>
      <c r="AO10" s="3314">
        <f>'9.Инвестиционна програма'!L151</f>
        <v>0</v>
      </c>
      <c r="AP10" s="3315">
        <f>'9.Инвестиционна програма'!M151</f>
        <v>0</v>
      </c>
      <c r="AQ10" s="383"/>
      <c r="AR10" s="383"/>
      <c r="AS10" s="383"/>
      <c r="AT10" s="3314">
        <f t="shared" si="42"/>
        <v>1062</v>
      </c>
      <c r="AU10" s="3314">
        <f t="shared" si="42"/>
        <v>558.99999999999989</v>
      </c>
      <c r="AV10" s="3314">
        <f t="shared" si="42"/>
        <v>558.99999999999989</v>
      </c>
      <c r="AW10" s="3314">
        <f t="shared" si="42"/>
        <v>558.99999999999989</v>
      </c>
      <c r="AX10" s="3315">
        <f t="shared" si="42"/>
        <v>558.99999999999989</v>
      </c>
      <c r="AY10" s="4422"/>
      <c r="AZ10" s="3"/>
      <c r="BA10" s="3"/>
      <c r="BB10" s="3"/>
      <c r="BC10" s="4438">
        <f t="shared" ref="BC10:BC11" si="64">IFERROR(F10/$C$1,0)</f>
        <v>517.7682450247039</v>
      </c>
      <c r="BD10" s="4438">
        <f t="shared" ref="BD10:BD11" si="65">IFERROR(G10/$C$1,0)</f>
        <v>277.97235274367745</v>
      </c>
      <c r="BE10" s="4438">
        <f t="shared" ref="BE10:BE11" si="66">IFERROR(H10/$C$1,0)</f>
        <v>277.97235274367745</v>
      </c>
      <c r="BF10" s="4438">
        <f t="shared" ref="BF10:BF11" si="67">IFERROR(I10/$C$1,0)</f>
        <v>277.97235274367745</v>
      </c>
      <c r="BG10" s="4438">
        <f t="shared" ref="BG10:BG11" si="68">IFERROR(J10/$C$1,0)</f>
        <v>277.97235274367745</v>
      </c>
      <c r="BH10" s="3"/>
      <c r="BI10" s="3"/>
      <c r="BJ10" s="3"/>
      <c r="BK10" s="4438">
        <f t="shared" ref="BK10:BK11" si="69">IFERROR(N10/$C$1,0)</f>
        <v>13.634450165232492</v>
      </c>
      <c r="BL10" s="4438">
        <f t="shared" ref="BL10:BL11" si="70">IFERROR(O10/$C$1,0)</f>
        <v>3.9199044225043416</v>
      </c>
      <c r="BM10" s="4438">
        <f t="shared" ref="BM10:BM11" si="71">IFERROR(P10/$C$1,0)</f>
        <v>3.9199044225043416</v>
      </c>
      <c r="BN10" s="4438">
        <f t="shared" ref="BN10:BN11" si="72">IFERROR(Q10/$C$1,0)</f>
        <v>3.9199044225043416</v>
      </c>
      <c r="BO10" s="4438">
        <f t="shared" ref="BO10:BO11" si="73">IFERROR(R10/$C$1,0)</f>
        <v>3.9199044225043416</v>
      </c>
      <c r="BP10" s="3"/>
      <c r="BQ10" s="3"/>
      <c r="BR10" s="3"/>
      <c r="BS10" s="4438">
        <f t="shared" ref="BS10:BS11" si="74">IFERROR(V10/$C$1,0)</f>
        <v>11.589282640447617</v>
      </c>
      <c r="BT10" s="4438">
        <f t="shared" ref="BT10:BT11" si="75">IFERROR(W10/$C$1,0)</f>
        <v>3.9199044225043416</v>
      </c>
      <c r="BU10" s="4438">
        <f t="shared" ref="BU10:BU11" si="76">IFERROR(X10/$C$1,0)</f>
        <v>3.9199044225043416</v>
      </c>
      <c r="BV10" s="4438">
        <f t="shared" ref="BV10:BV11" si="77">IFERROR(Y10/$C$1,0)</f>
        <v>3.9199044225043416</v>
      </c>
      <c r="BW10" s="4438">
        <f t="shared" ref="BW10:BW11" si="78">IFERROR(Z10/$C$1,0)</f>
        <v>3.9199044225043416</v>
      </c>
      <c r="BX10" s="3"/>
      <c r="BY10" s="3"/>
      <c r="BZ10" s="3"/>
      <c r="CA10" s="4438">
        <f t="shared" ref="CA10:CA11" si="79">IFERROR(AD10/$C$1,0)</f>
        <v>0</v>
      </c>
      <c r="CB10" s="4438">
        <f t="shared" ref="CB10:CB11" si="80">IFERROR(AE10/$C$1,0)</f>
        <v>0</v>
      </c>
      <c r="CC10" s="4438">
        <f t="shared" ref="CC10:CC11" si="81">IFERROR(AF10/$C$1,0)</f>
        <v>0</v>
      </c>
      <c r="CD10" s="4438">
        <f t="shared" ref="CD10:CD11" si="82">IFERROR(AG10/$C$1,0)</f>
        <v>0</v>
      </c>
      <c r="CE10" s="4438">
        <f t="shared" ref="CE10:CE11" si="83">IFERROR(AH10/$C$1,0)</f>
        <v>0</v>
      </c>
      <c r="CF10" s="3"/>
      <c r="CG10" s="3"/>
      <c r="CH10" s="3"/>
      <c r="CI10" s="4438">
        <f t="shared" ref="CI10:CI11" si="84">IFERROR(AL10/$C$1,0)</f>
        <v>0</v>
      </c>
      <c r="CJ10" s="4438">
        <f t="shared" ref="CJ10:CJ11" si="85">IFERROR(AM10/$C$1,0)</f>
        <v>0</v>
      </c>
      <c r="CK10" s="4438">
        <f t="shared" ref="CK10:CK11" si="86">IFERROR(AN10/$C$1,0)</f>
        <v>0</v>
      </c>
      <c r="CL10" s="4438">
        <f t="shared" ref="CL10:CL11" si="87">IFERROR(AO10/$C$1,0)</f>
        <v>0</v>
      </c>
      <c r="CM10" s="4438">
        <f t="shared" ref="CM10:CM11" si="88">IFERROR(AP10/$C$1,0)</f>
        <v>0</v>
      </c>
      <c r="CN10" s="3"/>
      <c r="CO10" s="3"/>
      <c r="CP10" s="3"/>
      <c r="CQ10" s="4438">
        <f t="shared" ref="CQ10:CQ11" si="89">IFERROR(AT10/$C$1,0)</f>
        <v>542.99197783038403</v>
      </c>
      <c r="CR10" s="4438">
        <f t="shared" ref="CR10:CR11" si="90">IFERROR(AU10/$C$1,0)</f>
        <v>285.81216158868608</v>
      </c>
      <c r="CS10" s="4438">
        <f t="shared" ref="CS10:CS11" si="91">IFERROR(AV10/$C$1,0)</f>
        <v>285.81216158868608</v>
      </c>
      <c r="CT10" s="4438">
        <f t="shared" ref="CT10:CT11" si="92">IFERROR(AW10/$C$1,0)</f>
        <v>285.81216158868608</v>
      </c>
      <c r="CU10" s="4438">
        <f t="shared" ref="CU10:CU11" si="93">IFERROR(AX10/$C$1,0)</f>
        <v>285.81216158868608</v>
      </c>
    </row>
    <row r="11" spans="1:99" s="651" customFormat="1" ht="13.5" thickBot="1">
      <c r="A11" s="2408" t="s">
        <v>465</v>
      </c>
      <c r="B11" s="2409" t="s">
        <v>938</v>
      </c>
      <c r="C11" s="3951"/>
      <c r="D11" s="3951"/>
      <c r="E11" s="3951"/>
      <c r="F11" s="3325">
        <f>'9.Инвестиционна програма'!I153</f>
        <v>4968.4792033333333</v>
      </c>
      <c r="G11" s="3325">
        <f>'9.Инвестиционна програма'!J153</f>
        <v>8925.6250733333345</v>
      </c>
      <c r="H11" s="3325">
        <f>'9.Инвестиционна програма'!K153</f>
        <v>8924.9584066666685</v>
      </c>
      <c r="I11" s="3325">
        <f>'9.Инвестиционна програма'!L153</f>
        <v>1154.7333333333336</v>
      </c>
      <c r="J11" s="3326">
        <f>'9.Инвестиционна програма'!M153</f>
        <v>1124.6666666666665</v>
      </c>
      <c r="K11" s="3951"/>
      <c r="L11" s="3951"/>
      <c r="M11" s="3951"/>
      <c r="N11" s="3316">
        <f>'9.Инвестиционна програма'!I154</f>
        <v>1426.6016933333333</v>
      </c>
      <c r="O11" s="3316">
        <f>'9.Инвестиционна програма'!J154</f>
        <v>2413.8700533333335</v>
      </c>
      <c r="P11" s="3316">
        <f>'9.Инвестиционна програма'!K154</f>
        <v>2232.203386666667</v>
      </c>
      <c r="Q11" s="3316">
        <f>'9.Инвестиционна програма'!L154</f>
        <v>331.73333333333329</v>
      </c>
      <c r="R11" s="3317">
        <f>'9.Инвестиционна програма'!M154</f>
        <v>345.66666666666663</v>
      </c>
      <c r="S11" s="3951"/>
      <c r="T11" s="3951"/>
      <c r="U11" s="3951"/>
      <c r="V11" s="3316">
        <f>'9.Инвестиционна програма'!I155</f>
        <v>1457.2228773333331</v>
      </c>
      <c r="W11" s="3316">
        <f>'9.Инвестиционна програма'!J155</f>
        <v>2586.1124213333333</v>
      </c>
      <c r="X11" s="3316">
        <f>'9.Инвестиционна програма'!K155</f>
        <v>2476.4457546666667</v>
      </c>
      <c r="Y11" s="3316">
        <f>'9.Инвестиционна програма'!L155</f>
        <v>313.73333333333329</v>
      </c>
      <c r="Z11" s="3318">
        <f>'9.Инвестиционна програма'!M155</f>
        <v>320.66666666666663</v>
      </c>
      <c r="AA11" s="3951"/>
      <c r="AB11" s="3951"/>
      <c r="AC11" s="3951"/>
      <c r="AD11" s="3316">
        <f>'9.Инвестиционна програма'!I156</f>
        <v>0</v>
      </c>
      <c r="AE11" s="3316">
        <f>'9.Инвестиционна програма'!J156</f>
        <v>0</v>
      </c>
      <c r="AF11" s="3316">
        <f>'9.Инвестиционна програма'!K156</f>
        <v>0</v>
      </c>
      <c r="AG11" s="3316">
        <f>'9.Инвестиционна програма'!L156</f>
        <v>0</v>
      </c>
      <c r="AH11" s="3318">
        <f>'9.Инвестиционна програма'!M156</f>
        <v>0</v>
      </c>
      <c r="AI11" s="3951"/>
      <c r="AJ11" s="3951"/>
      <c r="AK11" s="3951"/>
      <c r="AL11" s="3316">
        <f>'9.Инвестиционна програма'!I157</f>
        <v>0</v>
      </c>
      <c r="AM11" s="3316">
        <f>'9.Инвестиционна програма'!J157</f>
        <v>0</v>
      </c>
      <c r="AN11" s="3316">
        <f>'9.Инвестиционна програма'!K157</f>
        <v>0</v>
      </c>
      <c r="AO11" s="3316">
        <f>'9.Инвестиционна програма'!L157</f>
        <v>0</v>
      </c>
      <c r="AP11" s="3318">
        <f>'9.Инвестиционна програма'!M157</f>
        <v>0</v>
      </c>
      <c r="AQ11" s="3951"/>
      <c r="AR11" s="3951"/>
      <c r="AS11" s="3951"/>
      <c r="AT11" s="3316">
        <f t="shared" ref="AT11:AX11" si="94">F11+N11+V11+AD11+AL11</f>
        <v>7852.303774</v>
      </c>
      <c r="AU11" s="3316">
        <f t="shared" si="94"/>
        <v>13925.607548000002</v>
      </c>
      <c r="AV11" s="3316">
        <f t="shared" si="94"/>
        <v>13633.607548000004</v>
      </c>
      <c r="AW11" s="3316">
        <f t="shared" si="94"/>
        <v>1800.2000000000003</v>
      </c>
      <c r="AX11" s="3318">
        <f t="shared" si="94"/>
        <v>1790.9999999999995</v>
      </c>
      <c r="AY11" s="4422"/>
      <c r="AZ11" s="3"/>
      <c r="BA11" s="3"/>
      <c r="BB11" s="3"/>
      <c r="BC11" s="4438">
        <f t="shared" si="64"/>
        <v>2540.3430785565888</v>
      </c>
      <c r="BD11" s="4438">
        <f t="shared" si="65"/>
        <v>4563.599634596736</v>
      </c>
      <c r="BE11" s="4438">
        <f t="shared" si="66"/>
        <v>4563.2587733426062</v>
      </c>
      <c r="BF11" s="4438">
        <f t="shared" si="67"/>
        <v>590.40577827998015</v>
      </c>
      <c r="BG11" s="4438">
        <f t="shared" si="68"/>
        <v>575.03293571868028</v>
      </c>
      <c r="BH11" s="3"/>
      <c r="BI11" s="3"/>
      <c r="BJ11" s="3"/>
      <c r="BK11" s="4438">
        <f t="shared" si="69"/>
        <v>729.40986350211074</v>
      </c>
      <c r="BL11" s="4438">
        <f t="shared" si="70"/>
        <v>1234.1921605320165</v>
      </c>
      <c r="BM11" s="4438">
        <f t="shared" si="71"/>
        <v>1141.3074687813701</v>
      </c>
      <c r="BN11" s="4438">
        <f t="shared" si="72"/>
        <v>169.6125600554922</v>
      </c>
      <c r="BO11" s="4438">
        <f t="shared" si="73"/>
        <v>176.73656026682616</v>
      </c>
      <c r="BP11" s="3"/>
      <c r="BQ11" s="3"/>
      <c r="BR11" s="3"/>
      <c r="BS11" s="4438">
        <f t="shared" si="74"/>
        <v>745.0662262739263</v>
      </c>
      <c r="BT11" s="4438">
        <f t="shared" si="75"/>
        <v>1322.2582848884276</v>
      </c>
      <c r="BU11" s="4438">
        <f t="shared" si="76"/>
        <v>1266.186608583909</v>
      </c>
      <c r="BV11" s="4438">
        <f t="shared" si="77"/>
        <v>160.40930619396025</v>
      </c>
      <c r="BW11" s="4438">
        <f t="shared" si="78"/>
        <v>163.95426323692072</v>
      </c>
      <c r="BX11" s="3"/>
      <c r="BY11" s="3"/>
      <c r="BZ11" s="3"/>
      <c r="CA11" s="4438">
        <f t="shared" si="79"/>
        <v>0</v>
      </c>
      <c r="CB11" s="4438">
        <f t="shared" si="80"/>
        <v>0</v>
      </c>
      <c r="CC11" s="4438">
        <f t="shared" si="81"/>
        <v>0</v>
      </c>
      <c r="CD11" s="4438">
        <f t="shared" si="82"/>
        <v>0</v>
      </c>
      <c r="CE11" s="4438">
        <f t="shared" si="83"/>
        <v>0</v>
      </c>
      <c r="CF11" s="3"/>
      <c r="CG11" s="3"/>
      <c r="CH11" s="3"/>
      <c r="CI11" s="4438">
        <f t="shared" si="84"/>
        <v>0</v>
      </c>
      <c r="CJ11" s="4438">
        <f t="shared" si="85"/>
        <v>0</v>
      </c>
      <c r="CK11" s="4438">
        <f t="shared" si="86"/>
        <v>0</v>
      </c>
      <c r="CL11" s="4438">
        <f t="shared" si="87"/>
        <v>0</v>
      </c>
      <c r="CM11" s="4438">
        <f t="shared" si="88"/>
        <v>0</v>
      </c>
      <c r="CN11" s="3"/>
      <c r="CO11" s="3"/>
      <c r="CP11" s="3"/>
      <c r="CQ11" s="4438">
        <f t="shared" si="89"/>
        <v>4014.8191683326263</v>
      </c>
      <c r="CR11" s="4438">
        <f t="shared" si="90"/>
        <v>7120.0500800171803</v>
      </c>
      <c r="CS11" s="4438">
        <f t="shared" si="91"/>
        <v>6970.752850707886</v>
      </c>
      <c r="CT11" s="4438">
        <f t="shared" si="92"/>
        <v>920.42764452943265</v>
      </c>
      <c r="CU11" s="4438">
        <f t="shared" si="93"/>
        <v>915.72375922242713</v>
      </c>
    </row>
    <row r="12" spans="1:99" ht="13.5" thickBot="1">
      <c r="B12" s="2410"/>
      <c r="C12" s="3327"/>
      <c r="D12" s="3327"/>
      <c r="E12" s="2411"/>
      <c r="F12" s="2411"/>
      <c r="G12" s="2411"/>
      <c r="H12" s="2411"/>
      <c r="I12" s="2411"/>
      <c r="J12" s="2411"/>
      <c r="K12" s="3327"/>
      <c r="L12" s="3327"/>
      <c r="M12" s="2411"/>
      <c r="N12" s="3329"/>
      <c r="O12" s="3329"/>
      <c r="P12" s="3328"/>
      <c r="Q12" s="3328"/>
      <c r="R12" s="3328"/>
      <c r="S12" s="3327"/>
      <c r="T12" s="3327"/>
      <c r="U12" s="2411"/>
      <c r="V12" s="3328"/>
      <c r="W12" s="3328"/>
      <c r="X12" s="3328"/>
      <c r="Y12" s="3328"/>
      <c r="Z12" s="3328"/>
      <c r="AA12" s="3327"/>
      <c r="AB12" s="3327"/>
      <c r="AC12" s="2411"/>
      <c r="AD12" s="3328"/>
      <c r="AE12" s="3328"/>
      <c r="AF12" s="3328"/>
      <c r="AG12" s="3328"/>
      <c r="AH12" s="3328"/>
      <c r="AI12" s="3327"/>
      <c r="AJ12" s="3327"/>
      <c r="AK12" s="2411"/>
      <c r="AL12" s="3328"/>
      <c r="AM12" s="3328"/>
      <c r="AN12" s="3328"/>
      <c r="AO12" s="3328"/>
      <c r="AP12" s="3328"/>
      <c r="AQ12" s="3327"/>
      <c r="AR12" s="3327"/>
      <c r="AS12" s="2411"/>
      <c r="AT12" s="3328"/>
      <c r="AU12" s="3328"/>
      <c r="AV12" s="3328"/>
      <c r="AW12" s="3328"/>
      <c r="AX12" s="3328"/>
      <c r="AY12" s="4422"/>
    </row>
    <row r="13" spans="1:99" s="652" customFormat="1">
      <c r="A13" s="3681">
        <v>2</v>
      </c>
      <c r="B13" s="2405" t="s">
        <v>331</v>
      </c>
      <c r="C13" s="384"/>
      <c r="D13" s="384"/>
      <c r="E13" s="384"/>
      <c r="F13" s="2412">
        <f t="shared" ref="F13:AX13" si="95">F14+F17</f>
        <v>5981.1458700000003</v>
      </c>
      <c r="G13" s="2412">
        <f t="shared" si="95"/>
        <v>9469.2917400000006</v>
      </c>
      <c r="H13" s="2412">
        <f t="shared" si="95"/>
        <v>9468.6250733333327</v>
      </c>
      <c r="I13" s="2412">
        <f t="shared" si="95"/>
        <v>1698.4</v>
      </c>
      <c r="J13" s="2413">
        <f t="shared" si="95"/>
        <v>1668.333333333333</v>
      </c>
      <c r="K13" s="384"/>
      <c r="L13" s="384"/>
      <c r="M13" s="384"/>
      <c r="N13" s="2412">
        <f t="shared" si="95"/>
        <v>1453.26836</v>
      </c>
      <c r="O13" s="2412">
        <f t="shared" si="95"/>
        <v>2421.5367200000001</v>
      </c>
      <c r="P13" s="2412">
        <f t="shared" si="95"/>
        <v>2239.8700533333331</v>
      </c>
      <c r="Q13" s="2412">
        <f t="shared" si="95"/>
        <v>339.4</v>
      </c>
      <c r="R13" s="2414">
        <f t="shared" si="95"/>
        <v>353.33333333333331</v>
      </c>
      <c r="S13" s="384"/>
      <c r="T13" s="384"/>
      <c r="U13" s="384"/>
      <c r="V13" s="2412">
        <f t="shared" si="95"/>
        <v>1479.8895439999999</v>
      </c>
      <c r="W13" s="2412">
        <f t="shared" si="95"/>
        <v>2593.7790879999998</v>
      </c>
      <c r="X13" s="2412">
        <f t="shared" si="95"/>
        <v>2484.1124213333328</v>
      </c>
      <c r="Y13" s="2412">
        <f t="shared" si="95"/>
        <v>321.39999999999998</v>
      </c>
      <c r="Z13" s="2413">
        <f t="shared" si="95"/>
        <v>328.33333333333331</v>
      </c>
      <c r="AA13" s="384"/>
      <c r="AB13" s="384"/>
      <c r="AC13" s="384"/>
      <c r="AD13" s="2412">
        <f t="shared" si="95"/>
        <v>0</v>
      </c>
      <c r="AE13" s="2412">
        <f t="shared" si="95"/>
        <v>0</v>
      </c>
      <c r="AF13" s="2412">
        <f t="shared" si="95"/>
        <v>0</v>
      </c>
      <c r="AG13" s="2412">
        <f t="shared" si="95"/>
        <v>0</v>
      </c>
      <c r="AH13" s="2413">
        <f t="shared" si="95"/>
        <v>0</v>
      </c>
      <c r="AI13" s="384"/>
      <c r="AJ13" s="384"/>
      <c r="AK13" s="384"/>
      <c r="AL13" s="2412">
        <f t="shared" si="95"/>
        <v>0</v>
      </c>
      <c r="AM13" s="2412">
        <f t="shared" si="95"/>
        <v>0</v>
      </c>
      <c r="AN13" s="2412">
        <f t="shared" si="95"/>
        <v>0</v>
      </c>
      <c r="AO13" s="2412">
        <f t="shared" si="95"/>
        <v>0</v>
      </c>
      <c r="AP13" s="2413">
        <f t="shared" si="95"/>
        <v>0</v>
      </c>
      <c r="AQ13" s="384"/>
      <c r="AR13" s="384"/>
      <c r="AS13" s="384"/>
      <c r="AT13" s="2412">
        <f t="shared" si="95"/>
        <v>8914.303774</v>
      </c>
      <c r="AU13" s="2412">
        <f t="shared" si="95"/>
        <v>14484.607548</v>
      </c>
      <c r="AV13" s="2412">
        <f t="shared" si="95"/>
        <v>14192.607548</v>
      </c>
      <c r="AW13" s="2412">
        <f t="shared" si="95"/>
        <v>2359.1999999999998</v>
      </c>
      <c r="AX13" s="2413">
        <f t="shared" si="95"/>
        <v>2349.9999999999995</v>
      </c>
      <c r="AY13" s="4422"/>
      <c r="AZ13" s="3"/>
      <c r="BA13" s="3"/>
      <c r="BB13" s="3"/>
      <c r="BC13" s="4438">
        <f t="shared" ref="BC13:BC19" si="96">IFERROR(F13/$C$1,0)</f>
        <v>3058.1113235812932</v>
      </c>
      <c r="BD13" s="4438">
        <f t="shared" ref="BD13:BD19" si="97">IFERROR(G13/$C$1,0)</f>
        <v>4841.5719873404132</v>
      </c>
      <c r="BE13" s="4438">
        <f t="shared" ref="BE13:BE19" si="98">IFERROR(H13/$C$1,0)</f>
        <v>4841.2311260862816</v>
      </c>
      <c r="BF13" s="4438">
        <f t="shared" ref="BF13:BF19" si="99">IFERROR(I13/$C$1,0)</f>
        <v>868.37813102365749</v>
      </c>
      <c r="BG13" s="4438">
        <f t="shared" ref="BG13:BG19" si="100">IFERROR(J13/$C$1,0)</f>
        <v>853.00528846235773</v>
      </c>
      <c r="BH13" s="3"/>
      <c r="BI13" s="3"/>
      <c r="BJ13" s="3"/>
      <c r="BK13" s="4438">
        <f t="shared" ref="BK13:BK19" si="101">IFERROR(N13/$C$1,0)</f>
        <v>743.04431366734332</v>
      </c>
      <c r="BL13" s="4438">
        <f t="shared" ref="BL13:BL19" si="102">IFERROR(O13/$C$1,0)</f>
        <v>1238.1120649545207</v>
      </c>
      <c r="BM13" s="4438">
        <f t="shared" ref="BM13:BM19" si="103">IFERROR(P13/$C$1,0)</f>
        <v>1145.2273732038741</v>
      </c>
      <c r="BN13" s="4438">
        <f t="shared" ref="BN13:BN19" si="104">IFERROR(Q13/$C$1,0)</f>
        <v>173.53246447799654</v>
      </c>
      <c r="BO13" s="4438">
        <f t="shared" ref="BO13:BO19" si="105">IFERROR(R13/$C$1,0)</f>
        <v>180.65646468933053</v>
      </c>
      <c r="BP13" s="3"/>
      <c r="BQ13" s="3"/>
      <c r="BR13" s="3"/>
      <c r="BS13" s="4438">
        <f t="shared" ref="BS13:BS19" si="106">IFERROR(V13/$C$1,0)</f>
        <v>756.65550891437385</v>
      </c>
      <c r="BT13" s="4438">
        <f t="shared" ref="BT13:BT19" si="107">IFERROR(W13/$C$1,0)</f>
        <v>1326.1781893109319</v>
      </c>
      <c r="BU13" s="4438">
        <f t="shared" ref="BU13:BU19" si="108">IFERROR(X13/$C$1,0)</f>
        <v>1270.106513006413</v>
      </c>
      <c r="BV13" s="4438">
        <f t="shared" ref="BV13:BV19" si="109">IFERROR(Y13/$C$1,0)</f>
        <v>164.32921061646462</v>
      </c>
      <c r="BW13" s="4438">
        <f t="shared" ref="BW13:BW19" si="110">IFERROR(Z13/$C$1,0)</f>
        <v>167.87416765942507</v>
      </c>
      <c r="BX13" s="3"/>
      <c r="BY13" s="3"/>
      <c r="BZ13" s="3"/>
      <c r="CA13" s="4438">
        <f t="shared" ref="CA13:CA19" si="111">IFERROR(AD13/$C$1,0)</f>
        <v>0</v>
      </c>
      <c r="CB13" s="4438">
        <f t="shared" ref="CB13:CB19" si="112">IFERROR(AE13/$C$1,0)</f>
        <v>0</v>
      </c>
      <c r="CC13" s="4438">
        <f t="shared" ref="CC13:CC19" si="113">IFERROR(AF13/$C$1,0)</f>
        <v>0</v>
      </c>
      <c r="CD13" s="4438">
        <f t="shared" ref="CD13:CD19" si="114">IFERROR(AG13/$C$1,0)</f>
        <v>0</v>
      </c>
      <c r="CE13" s="4438">
        <f t="shared" ref="CE13:CE19" si="115">IFERROR(AH13/$C$1,0)</f>
        <v>0</v>
      </c>
      <c r="CF13" s="3"/>
      <c r="CG13" s="3"/>
      <c r="CH13" s="3"/>
      <c r="CI13" s="4438">
        <f t="shared" ref="CI13:CI19" si="116">IFERROR(AL13/$C$1,0)</f>
        <v>0</v>
      </c>
      <c r="CJ13" s="4438">
        <f t="shared" ref="CJ13:CJ19" si="117">IFERROR(AM13/$C$1,0)</f>
        <v>0</v>
      </c>
      <c r="CK13" s="4438">
        <f t="shared" ref="CK13:CK19" si="118">IFERROR(AN13/$C$1,0)</f>
        <v>0</v>
      </c>
      <c r="CL13" s="4438">
        <f t="shared" ref="CL13:CL19" si="119">IFERROR(AO13/$C$1,0)</f>
        <v>0</v>
      </c>
      <c r="CM13" s="4438">
        <f t="shared" ref="CM13:CM19" si="120">IFERROR(AP13/$C$1,0)</f>
        <v>0</v>
      </c>
      <c r="CN13" s="3"/>
      <c r="CO13" s="3"/>
      <c r="CP13" s="3"/>
      <c r="CQ13" s="4438">
        <f t="shared" ref="CQ13:CQ19" si="121">IFERROR(AT13/$C$1,0)</f>
        <v>4557.8111461630106</v>
      </c>
      <c r="CR13" s="4438">
        <f t="shared" ref="CR13:CR19" si="122">IFERROR(AU13/$C$1,0)</f>
        <v>7405.8622416058661</v>
      </c>
      <c r="CS13" s="4438">
        <f t="shared" ref="CS13:CS19" si="123">IFERROR(AV13/$C$1,0)</f>
        <v>7256.5650122965699</v>
      </c>
      <c r="CT13" s="4438">
        <f t="shared" ref="CT13:CT19" si="124">IFERROR(AW13/$C$1,0)</f>
        <v>1206.2398061181186</v>
      </c>
      <c r="CU13" s="4438">
        <f t="shared" ref="CU13:CU19" si="125">IFERROR(AX13/$C$1,0)</f>
        <v>1201.5359208111133</v>
      </c>
    </row>
    <row r="14" spans="1:99" s="653" customFormat="1">
      <c r="A14" s="2415" t="s">
        <v>477</v>
      </c>
      <c r="B14" s="2416" t="s">
        <v>948</v>
      </c>
      <c r="C14" s="383"/>
      <c r="D14" s="383"/>
      <c r="E14" s="383"/>
      <c r="F14" s="3330">
        <f t="shared" ref="F14:AP14" si="126">F15+F16</f>
        <v>1012.6666666666666</v>
      </c>
      <c r="G14" s="3330">
        <f t="shared" si="126"/>
        <v>543.66666666666663</v>
      </c>
      <c r="H14" s="3330">
        <f t="shared" si="126"/>
        <v>543.66666666666663</v>
      </c>
      <c r="I14" s="3330">
        <f t="shared" si="126"/>
        <v>543.66666666666663</v>
      </c>
      <c r="J14" s="3331">
        <f t="shared" si="126"/>
        <v>543.66666666666663</v>
      </c>
      <c r="K14" s="383"/>
      <c r="L14" s="383"/>
      <c r="M14" s="383"/>
      <c r="N14" s="3330">
        <f t="shared" si="126"/>
        <v>26.666666666666664</v>
      </c>
      <c r="O14" s="3330">
        <f t="shared" si="126"/>
        <v>7.6666666666666661</v>
      </c>
      <c r="P14" s="3330">
        <f t="shared" si="126"/>
        <v>7.6666666666666661</v>
      </c>
      <c r="Q14" s="3330">
        <f t="shared" si="126"/>
        <v>7.6666666666666661</v>
      </c>
      <c r="R14" s="3332">
        <f t="shared" si="126"/>
        <v>7.6666666666666661</v>
      </c>
      <c r="S14" s="383"/>
      <c r="T14" s="383"/>
      <c r="U14" s="383"/>
      <c r="V14" s="3330">
        <f t="shared" si="126"/>
        <v>22.666666666666664</v>
      </c>
      <c r="W14" s="3330">
        <f t="shared" si="126"/>
        <v>7.6666666666666661</v>
      </c>
      <c r="X14" s="3330">
        <f t="shared" si="126"/>
        <v>7.6666666666666661</v>
      </c>
      <c r="Y14" s="3330">
        <f t="shared" si="126"/>
        <v>7.6666666666666661</v>
      </c>
      <c r="Z14" s="3331">
        <f t="shared" si="126"/>
        <v>7.6666666666666661</v>
      </c>
      <c r="AA14" s="383"/>
      <c r="AB14" s="383"/>
      <c r="AC14" s="383"/>
      <c r="AD14" s="3330">
        <f t="shared" si="126"/>
        <v>0</v>
      </c>
      <c r="AE14" s="3330">
        <f t="shared" si="126"/>
        <v>0</v>
      </c>
      <c r="AF14" s="3330">
        <f t="shared" si="126"/>
        <v>0</v>
      </c>
      <c r="AG14" s="3330">
        <f t="shared" si="126"/>
        <v>0</v>
      </c>
      <c r="AH14" s="3331">
        <f t="shared" si="126"/>
        <v>0</v>
      </c>
      <c r="AI14" s="383"/>
      <c r="AJ14" s="383"/>
      <c r="AK14" s="383"/>
      <c r="AL14" s="3330">
        <f t="shared" si="126"/>
        <v>0</v>
      </c>
      <c r="AM14" s="3330">
        <f t="shared" si="126"/>
        <v>0</v>
      </c>
      <c r="AN14" s="3330">
        <f t="shared" si="126"/>
        <v>0</v>
      </c>
      <c r="AO14" s="3330">
        <f t="shared" si="126"/>
        <v>0</v>
      </c>
      <c r="AP14" s="3331">
        <f t="shared" si="126"/>
        <v>0</v>
      </c>
      <c r="AQ14" s="383"/>
      <c r="AR14" s="383"/>
      <c r="AS14" s="383"/>
      <c r="AT14" s="3330">
        <f t="shared" ref="AT14:AX14" si="127">AT15+AT16</f>
        <v>1062</v>
      </c>
      <c r="AU14" s="3330">
        <f t="shared" si="127"/>
        <v>559</v>
      </c>
      <c r="AV14" s="3330">
        <f t="shared" si="127"/>
        <v>559</v>
      </c>
      <c r="AW14" s="3330">
        <f t="shared" si="127"/>
        <v>559</v>
      </c>
      <c r="AX14" s="3331">
        <f t="shared" si="127"/>
        <v>559</v>
      </c>
      <c r="AY14" s="4422"/>
      <c r="AZ14" s="3"/>
      <c r="BA14" s="3"/>
      <c r="BB14" s="3"/>
      <c r="BC14" s="4438">
        <f t="shared" si="96"/>
        <v>517.7682450247039</v>
      </c>
      <c r="BD14" s="4438">
        <f t="shared" si="97"/>
        <v>277.97235274367745</v>
      </c>
      <c r="BE14" s="4438">
        <f t="shared" si="98"/>
        <v>277.97235274367745</v>
      </c>
      <c r="BF14" s="4438">
        <f t="shared" si="99"/>
        <v>277.97235274367745</v>
      </c>
      <c r="BG14" s="4438">
        <f t="shared" si="100"/>
        <v>277.97235274367745</v>
      </c>
      <c r="BH14" s="3"/>
      <c r="BI14" s="3"/>
      <c r="BJ14" s="3"/>
      <c r="BK14" s="4438">
        <f t="shared" si="101"/>
        <v>13.634450165232492</v>
      </c>
      <c r="BL14" s="4438">
        <f t="shared" si="102"/>
        <v>3.9199044225043416</v>
      </c>
      <c r="BM14" s="4438">
        <f t="shared" si="103"/>
        <v>3.9199044225043416</v>
      </c>
      <c r="BN14" s="4438">
        <f t="shared" si="104"/>
        <v>3.9199044225043416</v>
      </c>
      <c r="BO14" s="4438">
        <f t="shared" si="105"/>
        <v>3.9199044225043416</v>
      </c>
      <c r="BP14" s="3"/>
      <c r="BQ14" s="3"/>
      <c r="BR14" s="3"/>
      <c r="BS14" s="4438">
        <f t="shared" si="106"/>
        <v>11.589282640447617</v>
      </c>
      <c r="BT14" s="4438">
        <f t="shared" si="107"/>
        <v>3.9199044225043416</v>
      </c>
      <c r="BU14" s="4438">
        <f t="shared" si="108"/>
        <v>3.9199044225043416</v>
      </c>
      <c r="BV14" s="4438">
        <f t="shared" si="109"/>
        <v>3.9199044225043416</v>
      </c>
      <c r="BW14" s="4438">
        <f t="shared" si="110"/>
        <v>3.9199044225043416</v>
      </c>
      <c r="BX14" s="3"/>
      <c r="BY14" s="3"/>
      <c r="BZ14" s="3"/>
      <c r="CA14" s="4438">
        <f t="shared" si="111"/>
        <v>0</v>
      </c>
      <c r="CB14" s="4438">
        <f t="shared" si="112"/>
        <v>0</v>
      </c>
      <c r="CC14" s="4438">
        <f t="shared" si="113"/>
        <v>0</v>
      </c>
      <c r="CD14" s="4438">
        <f t="shared" si="114"/>
        <v>0</v>
      </c>
      <c r="CE14" s="4438">
        <f t="shared" si="115"/>
        <v>0</v>
      </c>
      <c r="CF14" s="3"/>
      <c r="CG14" s="3"/>
      <c r="CH14" s="3"/>
      <c r="CI14" s="4438">
        <f t="shared" si="116"/>
        <v>0</v>
      </c>
      <c r="CJ14" s="4438">
        <f t="shared" si="117"/>
        <v>0</v>
      </c>
      <c r="CK14" s="4438">
        <f t="shared" si="118"/>
        <v>0</v>
      </c>
      <c r="CL14" s="4438">
        <f t="shared" si="119"/>
        <v>0</v>
      </c>
      <c r="CM14" s="4438">
        <f t="shared" si="120"/>
        <v>0</v>
      </c>
      <c r="CN14" s="3"/>
      <c r="CO14" s="3"/>
      <c r="CP14" s="3"/>
      <c r="CQ14" s="4438">
        <f t="shared" si="121"/>
        <v>542.99197783038403</v>
      </c>
      <c r="CR14" s="4438">
        <f t="shared" si="122"/>
        <v>285.81216158868614</v>
      </c>
      <c r="CS14" s="4438">
        <f t="shared" si="123"/>
        <v>285.81216158868614</v>
      </c>
      <c r="CT14" s="4438">
        <f t="shared" si="124"/>
        <v>285.81216158868614</v>
      </c>
      <c r="CU14" s="4438">
        <f t="shared" si="125"/>
        <v>285.81216158868614</v>
      </c>
    </row>
    <row r="15" spans="1:99" s="650" customFormat="1">
      <c r="A15" s="2417" t="s">
        <v>953</v>
      </c>
      <c r="B15" s="2407" t="s">
        <v>949</v>
      </c>
      <c r="C15" s="383"/>
      <c r="D15" s="383"/>
      <c r="E15" s="383"/>
      <c r="F15" s="3322">
        <f>'9.Инвестиционна програма'!R147</f>
        <v>22.666666666666664</v>
      </c>
      <c r="G15" s="3322">
        <f>'9.Инвестиционна програма'!S147</f>
        <v>7.6666666666666661</v>
      </c>
      <c r="H15" s="3322">
        <f>'9.Инвестиционна програма'!T147</f>
        <v>7.6666666666666661</v>
      </c>
      <c r="I15" s="3322">
        <f>'9.Инвестиционна програма'!U147</f>
        <v>7.6666666666666661</v>
      </c>
      <c r="J15" s="3323">
        <f>'9.Инвестиционна програма'!V147</f>
        <v>7.6666666666666661</v>
      </c>
      <c r="K15" s="383"/>
      <c r="L15" s="383"/>
      <c r="M15" s="383"/>
      <c r="N15" s="3322">
        <f>'9.Инвестиционна програма'!R148</f>
        <v>26.666666666666664</v>
      </c>
      <c r="O15" s="3322">
        <f>'9.Инвестиционна програма'!S148</f>
        <v>7.6666666666666661</v>
      </c>
      <c r="P15" s="3322">
        <f>'9.Инвестиционна програма'!T148</f>
        <v>7.6666666666666661</v>
      </c>
      <c r="Q15" s="3322">
        <f>'9.Инвестиционна програма'!U148</f>
        <v>7.6666666666666661</v>
      </c>
      <c r="R15" s="3324">
        <f>'9.Инвестиционна програма'!V148</f>
        <v>7.6666666666666661</v>
      </c>
      <c r="S15" s="383"/>
      <c r="T15" s="383"/>
      <c r="U15" s="383"/>
      <c r="V15" s="3322">
        <f>'9.Инвестиционна програма'!R149</f>
        <v>22.666666666666664</v>
      </c>
      <c r="W15" s="3322">
        <f>'9.Инвестиционна програма'!S149</f>
        <v>7.6666666666666661</v>
      </c>
      <c r="X15" s="3322">
        <f>'9.Инвестиционна програма'!T149</f>
        <v>7.6666666666666661</v>
      </c>
      <c r="Y15" s="3322">
        <f>'9.Инвестиционна програма'!U149</f>
        <v>7.6666666666666661</v>
      </c>
      <c r="Z15" s="3323">
        <f>'9.Инвестиционна програма'!V149</f>
        <v>7.6666666666666661</v>
      </c>
      <c r="AA15" s="383"/>
      <c r="AB15" s="383"/>
      <c r="AC15" s="383"/>
      <c r="AD15" s="3322">
        <f>'9.Инвестиционна програма'!R150</f>
        <v>0</v>
      </c>
      <c r="AE15" s="3322">
        <f>'9.Инвестиционна програма'!S150</f>
        <v>0</v>
      </c>
      <c r="AF15" s="3322">
        <f>'9.Инвестиционна програма'!T150</f>
        <v>0</v>
      </c>
      <c r="AG15" s="3322">
        <f>'9.Инвестиционна програма'!U150</f>
        <v>0</v>
      </c>
      <c r="AH15" s="3323">
        <f>'9.Инвестиционна програма'!V150</f>
        <v>0</v>
      </c>
      <c r="AI15" s="383"/>
      <c r="AJ15" s="383"/>
      <c r="AK15" s="383"/>
      <c r="AL15" s="3322">
        <f>'9.Инвестиционна програма'!R151</f>
        <v>0</v>
      </c>
      <c r="AM15" s="3322">
        <f>'9.Инвестиционна програма'!S151</f>
        <v>0</v>
      </c>
      <c r="AN15" s="3322">
        <f>'9.Инвестиционна програма'!T151</f>
        <v>0</v>
      </c>
      <c r="AO15" s="3322">
        <f>'9.Инвестиционна програма'!U151</f>
        <v>0</v>
      </c>
      <c r="AP15" s="3323">
        <f>'9.Инвестиционна програма'!V151</f>
        <v>0</v>
      </c>
      <c r="AQ15" s="383"/>
      <c r="AR15" s="383"/>
      <c r="AS15" s="383"/>
      <c r="AT15" s="3322">
        <f t="shared" ref="AT15:AX15" si="128">F15+N15+V15+AD15+AL15</f>
        <v>72</v>
      </c>
      <c r="AU15" s="3322">
        <f t="shared" si="128"/>
        <v>23</v>
      </c>
      <c r="AV15" s="3322">
        <f t="shared" si="128"/>
        <v>23</v>
      </c>
      <c r="AW15" s="3322">
        <f t="shared" si="128"/>
        <v>23</v>
      </c>
      <c r="AX15" s="3323">
        <f t="shared" si="128"/>
        <v>23</v>
      </c>
      <c r="AY15" s="4422"/>
      <c r="AZ15" s="3"/>
      <c r="BA15" s="3"/>
      <c r="BB15" s="3"/>
      <c r="BC15" s="4438">
        <f t="shared" si="96"/>
        <v>11.589282640447617</v>
      </c>
      <c r="BD15" s="4438">
        <f t="shared" si="97"/>
        <v>3.9199044225043416</v>
      </c>
      <c r="BE15" s="4438">
        <f t="shared" si="98"/>
        <v>3.9199044225043416</v>
      </c>
      <c r="BF15" s="4438">
        <f t="shared" si="99"/>
        <v>3.9199044225043416</v>
      </c>
      <c r="BG15" s="4438">
        <f t="shared" si="100"/>
        <v>3.9199044225043416</v>
      </c>
      <c r="BH15" s="3"/>
      <c r="BI15" s="3"/>
      <c r="BJ15" s="3"/>
      <c r="BK15" s="4438">
        <f t="shared" si="101"/>
        <v>13.634450165232492</v>
      </c>
      <c r="BL15" s="4438">
        <f t="shared" si="102"/>
        <v>3.9199044225043416</v>
      </c>
      <c r="BM15" s="4438">
        <f t="shared" si="103"/>
        <v>3.9199044225043416</v>
      </c>
      <c r="BN15" s="4438">
        <f t="shared" si="104"/>
        <v>3.9199044225043416</v>
      </c>
      <c r="BO15" s="4438">
        <f t="shared" si="105"/>
        <v>3.9199044225043416</v>
      </c>
      <c r="BP15" s="3"/>
      <c r="BQ15" s="3"/>
      <c r="BR15" s="3"/>
      <c r="BS15" s="4438">
        <f t="shared" si="106"/>
        <v>11.589282640447617</v>
      </c>
      <c r="BT15" s="4438">
        <f t="shared" si="107"/>
        <v>3.9199044225043416</v>
      </c>
      <c r="BU15" s="4438">
        <f t="shared" si="108"/>
        <v>3.9199044225043416</v>
      </c>
      <c r="BV15" s="4438">
        <f t="shared" si="109"/>
        <v>3.9199044225043416</v>
      </c>
      <c r="BW15" s="4438">
        <f t="shared" si="110"/>
        <v>3.9199044225043416</v>
      </c>
      <c r="BX15" s="3"/>
      <c r="BY15" s="3"/>
      <c r="BZ15" s="3"/>
      <c r="CA15" s="4438">
        <f t="shared" si="111"/>
        <v>0</v>
      </c>
      <c r="CB15" s="4438">
        <f t="shared" si="112"/>
        <v>0</v>
      </c>
      <c r="CC15" s="4438">
        <f t="shared" si="113"/>
        <v>0</v>
      </c>
      <c r="CD15" s="4438">
        <f t="shared" si="114"/>
        <v>0</v>
      </c>
      <c r="CE15" s="4438">
        <f t="shared" si="115"/>
        <v>0</v>
      </c>
      <c r="CF15" s="3"/>
      <c r="CG15" s="3"/>
      <c r="CH15" s="3"/>
      <c r="CI15" s="4438">
        <f t="shared" si="116"/>
        <v>0</v>
      </c>
      <c r="CJ15" s="4438">
        <f t="shared" si="117"/>
        <v>0</v>
      </c>
      <c r="CK15" s="4438">
        <f t="shared" si="118"/>
        <v>0</v>
      </c>
      <c r="CL15" s="4438">
        <f t="shared" si="119"/>
        <v>0</v>
      </c>
      <c r="CM15" s="4438">
        <f t="shared" si="120"/>
        <v>0</v>
      </c>
      <c r="CN15" s="3"/>
      <c r="CO15" s="3"/>
      <c r="CP15" s="3"/>
      <c r="CQ15" s="4438">
        <f t="shared" si="121"/>
        <v>36.813015446127729</v>
      </c>
      <c r="CR15" s="4438">
        <f t="shared" si="122"/>
        <v>11.759713267513025</v>
      </c>
      <c r="CS15" s="4438">
        <f t="shared" si="123"/>
        <v>11.759713267513025</v>
      </c>
      <c r="CT15" s="4438">
        <f t="shared" si="124"/>
        <v>11.759713267513025</v>
      </c>
      <c r="CU15" s="4438">
        <f t="shared" si="125"/>
        <v>11.759713267513025</v>
      </c>
    </row>
    <row r="16" spans="1:99" s="650" customFormat="1">
      <c r="A16" s="2418" t="s">
        <v>954</v>
      </c>
      <c r="B16" s="2419" t="s">
        <v>950</v>
      </c>
      <c r="C16" s="383"/>
      <c r="D16" s="383"/>
      <c r="E16" s="383"/>
      <c r="F16" s="3333">
        <f>'9.Инвестиционна програма'!Z147+'9.Инвестиционна програма'!AH147</f>
        <v>990</v>
      </c>
      <c r="G16" s="3333">
        <f>'9.Инвестиционна програма'!AA147+'9.Инвестиционна програма'!AI147</f>
        <v>536</v>
      </c>
      <c r="H16" s="3333">
        <f>'9.Инвестиционна програма'!AB147+'9.Инвестиционна програма'!AJ147</f>
        <v>536</v>
      </c>
      <c r="I16" s="3333">
        <f>'9.Инвестиционна програма'!AC147+'9.Инвестиционна програма'!AK147</f>
        <v>536</v>
      </c>
      <c r="J16" s="3334">
        <f>'9.Инвестиционна програма'!AD147+'9.Инвестиционна програма'!AL147</f>
        <v>536</v>
      </c>
      <c r="K16" s="383"/>
      <c r="L16" s="383"/>
      <c r="M16" s="383"/>
      <c r="N16" s="3333">
        <f>'9.Инвестиционна програма'!Z148+'9.Инвестиционна програма'!AH148</f>
        <v>0</v>
      </c>
      <c r="O16" s="3333">
        <f>'9.Инвестиционна програма'!AA148+'9.Инвестиционна програма'!AI148</f>
        <v>0</v>
      </c>
      <c r="P16" s="3333">
        <f>'9.Инвестиционна програма'!AB148+'9.Инвестиционна програма'!AJ148</f>
        <v>0</v>
      </c>
      <c r="Q16" s="3333">
        <f>'9.Инвестиционна програма'!AC148+'9.Инвестиционна програма'!AK148</f>
        <v>0</v>
      </c>
      <c r="R16" s="3335">
        <f>'9.Инвестиционна програма'!AD148+'9.Инвестиционна програма'!AL148</f>
        <v>0</v>
      </c>
      <c r="S16" s="383"/>
      <c r="T16" s="383"/>
      <c r="U16" s="383"/>
      <c r="V16" s="3333">
        <f>'9.Инвестиционна програма'!Z149+'9.Инвестиционна програма'!AH149</f>
        <v>0</v>
      </c>
      <c r="W16" s="3333">
        <f>'9.Инвестиционна програма'!AA149+'9.Инвестиционна програма'!AI149</f>
        <v>0</v>
      </c>
      <c r="X16" s="3333">
        <f>'9.Инвестиционна програма'!AB149+'9.Инвестиционна програма'!AJ149</f>
        <v>0</v>
      </c>
      <c r="Y16" s="3333">
        <f>'9.Инвестиционна програма'!AC149+'9.Инвестиционна програма'!AK149</f>
        <v>0</v>
      </c>
      <c r="Z16" s="3334">
        <f>'9.Инвестиционна програма'!AD149+'9.Инвестиционна програма'!AL149</f>
        <v>0</v>
      </c>
      <c r="AA16" s="383"/>
      <c r="AB16" s="383"/>
      <c r="AC16" s="383"/>
      <c r="AD16" s="3333">
        <f>'9.Инвестиционна програма'!Z150+'9.Инвестиционна програма'!AH150</f>
        <v>0</v>
      </c>
      <c r="AE16" s="3333">
        <f>'9.Инвестиционна програма'!AA150+'9.Инвестиционна програма'!AI150</f>
        <v>0</v>
      </c>
      <c r="AF16" s="3333">
        <f>'9.Инвестиционна програма'!AB150+'9.Инвестиционна програма'!AJ150</f>
        <v>0</v>
      </c>
      <c r="AG16" s="3333">
        <f>'9.Инвестиционна програма'!AC150+'9.Инвестиционна програма'!AK150</f>
        <v>0</v>
      </c>
      <c r="AH16" s="3334">
        <f>'9.Инвестиционна програма'!AD150+'9.Инвестиционна програма'!AL150</f>
        <v>0</v>
      </c>
      <c r="AI16" s="383"/>
      <c r="AJ16" s="383"/>
      <c r="AK16" s="383"/>
      <c r="AL16" s="3333">
        <f>'9.Инвестиционна програма'!Z151+'9.Инвестиционна програма'!AH151</f>
        <v>0</v>
      </c>
      <c r="AM16" s="3333">
        <f>'9.Инвестиционна програма'!AA151+'9.Инвестиционна програма'!AI151</f>
        <v>0</v>
      </c>
      <c r="AN16" s="3333">
        <f>'9.Инвестиционна програма'!AB151+'9.Инвестиционна програма'!AJ151</f>
        <v>0</v>
      </c>
      <c r="AO16" s="3333">
        <f>'9.Инвестиционна програма'!AC151+'9.Инвестиционна програма'!AK151</f>
        <v>0</v>
      </c>
      <c r="AP16" s="3334">
        <f>'9.Инвестиционна програма'!AD151+'9.Инвестиционна програма'!AL151</f>
        <v>0</v>
      </c>
      <c r="AQ16" s="383"/>
      <c r="AR16" s="383"/>
      <c r="AS16" s="383"/>
      <c r="AT16" s="3333">
        <f t="shared" ref="AT16:AX16" si="129">F16+N16+V16+AD16+AL16</f>
        <v>990</v>
      </c>
      <c r="AU16" s="3333">
        <f t="shared" si="129"/>
        <v>536</v>
      </c>
      <c r="AV16" s="3333">
        <f t="shared" si="129"/>
        <v>536</v>
      </c>
      <c r="AW16" s="3333">
        <f t="shared" si="129"/>
        <v>536</v>
      </c>
      <c r="AX16" s="3334">
        <f t="shared" si="129"/>
        <v>536</v>
      </c>
      <c r="AY16" s="4422"/>
      <c r="AZ16" s="3"/>
      <c r="BA16" s="3"/>
      <c r="BB16" s="3"/>
      <c r="BC16" s="4438">
        <f t="shared" si="96"/>
        <v>506.17896238425629</v>
      </c>
      <c r="BD16" s="4438">
        <f t="shared" si="97"/>
        <v>274.05244832117313</v>
      </c>
      <c r="BE16" s="4438">
        <f t="shared" si="98"/>
        <v>274.05244832117313</v>
      </c>
      <c r="BF16" s="4438">
        <f t="shared" si="99"/>
        <v>274.05244832117313</v>
      </c>
      <c r="BG16" s="4438">
        <f t="shared" si="100"/>
        <v>274.05244832117313</v>
      </c>
      <c r="BH16" s="3"/>
      <c r="BI16" s="3"/>
      <c r="BJ16" s="3"/>
      <c r="BK16" s="4438">
        <f t="shared" si="101"/>
        <v>0</v>
      </c>
      <c r="BL16" s="4438">
        <f t="shared" si="102"/>
        <v>0</v>
      </c>
      <c r="BM16" s="4438">
        <f t="shared" si="103"/>
        <v>0</v>
      </c>
      <c r="BN16" s="4438">
        <f t="shared" si="104"/>
        <v>0</v>
      </c>
      <c r="BO16" s="4438">
        <f t="shared" si="105"/>
        <v>0</v>
      </c>
      <c r="BP16" s="3"/>
      <c r="BQ16" s="3"/>
      <c r="BR16" s="3"/>
      <c r="BS16" s="4438">
        <f t="shared" si="106"/>
        <v>0</v>
      </c>
      <c r="BT16" s="4438">
        <f t="shared" si="107"/>
        <v>0</v>
      </c>
      <c r="BU16" s="4438">
        <f t="shared" si="108"/>
        <v>0</v>
      </c>
      <c r="BV16" s="4438">
        <f t="shared" si="109"/>
        <v>0</v>
      </c>
      <c r="BW16" s="4438">
        <f t="shared" si="110"/>
        <v>0</v>
      </c>
      <c r="BX16" s="3"/>
      <c r="BY16" s="3"/>
      <c r="BZ16" s="3"/>
      <c r="CA16" s="4438">
        <f t="shared" si="111"/>
        <v>0</v>
      </c>
      <c r="CB16" s="4438">
        <f t="shared" si="112"/>
        <v>0</v>
      </c>
      <c r="CC16" s="4438">
        <f t="shared" si="113"/>
        <v>0</v>
      </c>
      <c r="CD16" s="4438">
        <f t="shared" si="114"/>
        <v>0</v>
      </c>
      <c r="CE16" s="4438">
        <f t="shared" si="115"/>
        <v>0</v>
      </c>
      <c r="CF16" s="3"/>
      <c r="CG16" s="3"/>
      <c r="CH16" s="3"/>
      <c r="CI16" s="4438">
        <f t="shared" si="116"/>
        <v>0</v>
      </c>
      <c r="CJ16" s="4438">
        <f t="shared" si="117"/>
        <v>0</v>
      </c>
      <c r="CK16" s="4438">
        <f t="shared" si="118"/>
        <v>0</v>
      </c>
      <c r="CL16" s="4438">
        <f t="shared" si="119"/>
        <v>0</v>
      </c>
      <c r="CM16" s="4438">
        <f t="shared" si="120"/>
        <v>0</v>
      </c>
      <c r="CN16" s="3"/>
      <c r="CO16" s="3"/>
      <c r="CP16" s="3"/>
      <c r="CQ16" s="4438">
        <f t="shared" si="121"/>
        <v>506.17896238425629</v>
      </c>
      <c r="CR16" s="4438">
        <f t="shared" si="122"/>
        <v>274.05244832117313</v>
      </c>
      <c r="CS16" s="4438">
        <f t="shared" si="123"/>
        <v>274.05244832117313</v>
      </c>
      <c r="CT16" s="4438">
        <f t="shared" si="124"/>
        <v>274.05244832117313</v>
      </c>
      <c r="CU16" s="4438">
        <f t="shared" si="125"/>
        <v>274.05244832117313</v>
      </c>
    </row>
    <row r="17" spans="1:99" s="653" customFormat="1">
      <c r="A17" s="2415" t="s">
        <v>479</v>
      </c>
      <c r="B17" s="2416" t="s">
        <v>951</v>
      </c>
      <c r="C17" s="383"/>
      <c r="D17" s="383"/>
      <c r="E17" s="383"/>
      <c r="F17" s="3330">
        <f t="shared" ref="F17:AP17" si="130">F18+F19</f>
        <v>4968.4792033333333</v>
      </c>
      <c r="G17" s="3330">
        <f t="shared" si="130"/>
        <v>8925.6250733333345</v>
      </c>
      <c r="H17" s="3330">
        <f t="shared" si="130"/>
        <v>8924.9584066666666</v>
      </c>
      <c r="I17" s="3330">
        <f t="shared" si="130"/>
        <v>1154.7333333333333</v>
      </c>
      <c r="J17" s="3331">
        <f t="shared" si="130"/>
        <v>1124.6666666666665</v>
      </c>
      <c r="K17" s="383"/>
      <c r="L17" s="383"/>
      <c r="M17" s="383"/>
      <c r="N17" s="3330">
        <f t="shared" si="130"/>
        <v>1426.6016933333333</v>
      </c>
      <c r="O17" s="3330">
        <f t="shared" si="130"/>
        <v>2413.8700533333335</v>
      </c>
      <c r="P17" s="3330">
        <f t="shared" si="130"/>
        <v>2232.2033866666666</v>
      </c>
      <c r="Q17" s="3330">
        <f t="shared" si="130"/>
        <v>331.73333333333329</v>
      </c>
      <c r="R17" s="3332">
        <f t="shared" si="130"/>
        <v>345.66666666666663</v>
      </c>
      <c r="S17" s="383"/>
      <c r="T17" s="383"/>
      <c r="U17" s="383"/>
      <c r="V17" s="3330">
        <f t="shared" si="130"/>
        <v>1457.2228773333331</v>
      </c>
      <c r="W17" s="3330">
        <f t="shared" si="130"/>
        <v>2586.1124213333333</v>
      </c>
      <c r="X17" s="3330">
        <f t="shared" si="130"/>
        <v>2476.4457546666663</v>
      </c>
      <c r="Y17" s="3330">
        <f t="shared" si="130"/>
        <v>313.73333333333329</v>
      </c>
      <c r="Z17" s="3331">
        <f t="shared" si="130"/>
        <v>320.66666666666663</v>
      </c>
      <c r="AA17" s="383"/>
      <c r="AB17" s="383"/>
      <c r="AC17" s="383"/>
      <c r="AD17" s="3330">
        <f t="shared" si="130"/>
        <v>0</v>
      </c>
      <c r="AE17" s="3330">
        <f t="shared" si="130"/>
        <v>0</v>
      </c>
      <c r="AF17" s="3330">
        <f t="shared" si="130"/>
        <v>0</v>
      </c>
      <c r="AG17" s="3330">
        <f t="shared" si="130"/>
        <v>0</v>
      </c>
      <c r="AH17" s="3331">
        <f t="shared" si="130"/>
        <v>0</v>
      </c>
      <c r="AI17" s="383"/>
      <c r="AJ17" s="383"/>
      <c r="AK17" s="383"/>
      <c r="AL17" s="3330">
        <f t="shared" si="130"/>
        <v>0</v>
      </c>
      <c r="AM17" s="3330">
        <f t="shared" si="130"/>
        <v>0</v>
      </c>
      <c r="AN17" s="3330">
        <f t="shared" si="130"/>
        <v>0</v>
      </c>
      <c r="AO17" s="3330">
        <f t="shared" si="130"/>
        <v>0</v>
      </c>
      <c r="AP17" s="3331">
        <f t="shared" si="130"/>
        <v>0</v>
      </c>
      <c r="AQ17" s="383"/>
      <c r="AR17" s="383"/>
      <c r="AS17" s="383"/>
      <c r="AT17" s="3330">
        <f t="shared" ref="AT17:AX17" si="131">AT18+AT19</f>
        <v>7852.303774</v>
      </c>
      <c r="AU17" s="3330">
        <f t="shared" si="131"/>
        <v>13925.607548</v>
      </c>
      <c r="AV17" s="3330">
        <f t="shared" si="131"/>
        <v>13633.607548</v>
      </c>
      <c r="AW17" s="3330">
        <f t="shared" si="131"/>
        <v>1800.2</v>
      </c>
      <c r="AX17" s="3331">
        <f t="shared" si="131"/>
        <v>1790.9999999999995</v>
      </c>
      <c r="AY17" s="4422"/>
      <c r="AZ17" s="3"/>
      <c r="BA17" s="3"/>
      <c r="BB17" s="3"/>
      <c r="BC17" s="4438">
        <f t="shared" si="96"/>
        <v>2540.3430785565888</v>
      </c>
      <c r="BD17" s="4438">
        <f t="shared" si="97"/>
        <v>4563.599634596736</v>
      </c>
      <c r="BE17" s="4438">
        <f t="shared" si="98"/>
        <v>4563.2587733426044</v>
      </c>
      <c r="BF17" s="4438">
        <f t="shared" si="99"/>
        <v>590.40577827998004</v>
      </c>
      <c r="BG17" s="4438">
        <f t="shared" si="100"/>
        <v>575.03293571868028</v>
      </c>
      <c r="BH17" s="3"/>
      <c r="BI17" s="3"/>
      <c r="BJ17" s="3"/>
      <c r="BK17" s="4438">
        <f t="shared" si="101"/>
        <v>729.40986350211074</v>
      </c>
      <c r="BL17" s="4438">
        <f t="shared" si="102"/>
        <v>1234.1921605320165</v>
      </c>
      <c r="BM17" s="4438">
        <f t="shared" si="103"/>
        <v>1141.3074687813698</v>
      </c>
      <c r="BN17" s="4438">
        <f t="shared" si="104"/>
        <v>169.6125600554922</v>
      </c>
      <c r="BO17" s="4438">
        <f t="shared" si="105"/>
        <v>176.73656026682616</v>
      </c>
      <c r="BP17" s="3"/>
      <c r="BQ17" s="3"/>
      <c r="BR17" s="3"/>
      <c r="BS17" s="4438">
        <f t="shared" si="106"/>
        <v>745.0662262739263</v>
      </c>
      <c r="BT17" s="4438">
        <f t="shared" si="107"/>
        <v>1322.2582848884276</v>
      </c>
      <c r="BU17" s="4438">
        <f t="shared" si="108"/>
        <v>1266.1866085839088</v>
      </c>
      <c r="BV17" s="4438">
        <f t="shared" si="109"/>
        <v>160.40930619396025</v>
      </c>
      <c r="BW17" s="4438">
        <f t="shared" si="110"/>
        <v>163.95426323692072</v>
      </c>
      <c r="BX17" s="3"/>
      <c r="BY17" s="3"/>
      <c r="BZ17" s="3"/>
      <c r="CA17" s="4438">
        <f t="shared" si="111"/>
        <v>0</v>
      </c>
      <c r="CB17" s="4438">
        <f t="shared" si="112"/>
        <v>0</v>
      </c>
      <c r="CC17" s="4438">
        <f t="shared" si="113"/>
        <v>0</v>
      </c>
      <c r="CD17" s="4438">
        <f t="shared" si="114"/>
        <v>0</v>
      </c>
      <c r="CE17" s="4438">
        <f t="shared" si="115"/>
        <v>0</v>
      </c>
      <c r="CF17" s="3"/>
      <c r="CG17" s="3"/>
      <c r="CH17" s="3"/>
      <c r="CI17" s="4438">
        <f t="shared" si="116"/>
        <v>0</v>
      </c>
      <c r="CJ17" s="4438">
        <f t="shared" si="117"/>
        <v>0</v>
      </c>
      <c r="CK17" s="4438">
        <f t="shared" si="118"/>
        <v>0</v>
      </c>
      <c r="CL17" s="4438">
        <f t="shared" si="119"/>
        <v>0</v>
      </c>
      <c r="CM17" s="4438">
        <f t="shared" si="120"/>
        <v>0</v>
      </c>
      <c r="CN17" s="3"/>
      <c r="CO17" s="3"/>
      <c r="CP17" s="3"/>
      <c r="CQ17" s="4438">
        <f t="shared" si="121"/>
        <v>4014.8191683326263</v>
      </c>
      <c r="CR17" s="4438">
        <f t="shared" si="122"/>
        <v>7120.0500800171794</v>
      </c>
      <c r="CS17" s="4438">
        <f t="shared" si="123"/>
        <v>6970.7528507078841</v>
      </c>
      <c r="CT17" s="4438">
        <f t="shared" si="124"/>
        <v>920.42764452943254</v>
      </c>
      <c r="CU17" s="4438">
        <f t="shared" si="125"/>
        <v>915.72375922242713</v>
      </c>
    </row>
    <row r="18" spans="1:99" s="650" customFormat="1">
      <c r="A18" s="2417" t="s">
        <v>955</v>
      </c>
      <c r="B18" s="2407" t="s">
        <v>949</v>
      </c>
      <c r="C18" s="383"/>
      <c r="D18" s="383"/>
      <c r="E18" s="383"/>
      <c r="F18" s="3322">
        <f>'9.Инвестиционна програма'!R153</f>
        <v>1078.3333333333333</v>
      </c>
      <c r="G18" s="3322">
        <f>'9.Инвестиционна програма'!S153</f>
        <v>1145.3333333333333</v>
      </c>
      <c r="H18" s="3322">
        <f>'9.Инвестиционна програма'!T153</f>
        <v>1338.6666666666665</v>
      </c>
      <c r="I18" s="3322">
        <f>'9.Инвестиционна програма'!U153</f>
        <v>1154.7333333333333</v>
      </c>
      <c r="J18" s="3323">
        <f>'9.Инвестиционна програма'!V153</f>
        <v>1124.6666666666665</v>
      </c>
      <c r="K18" s="383"/>
      <c r="L18" s="383"/>
      <c r="M18" s="383"/>
      <c r="N18" s="3322">
        <f>'9.Инвестиционна програма'!R154</f>
        <v>464.33333333333331</v>
      </c>
      <c r="O18" s="3322">
        <f>'9.Инвестиционна програма'!S154</f>
        <v>489.33333333333331</v>
      </c>
      <c r="P18" s="3322">
        <f>'9.Инвестиционна програма'!T154</f>
        <v>365.66666666666663</v>
      </c>
      <c r="Q18" s="3322">
        <f>'9.Инвестиционна програма'!U154</f>
        <v>331.73333333333329</v>
      </c>
      <c r="R18" s="3324">
        <f>'9.Инвестиционна програма'!V154</f>
        <v>345.66666666666663</v>
      </c>
      <c r="S18" s="383"/>
      <c r="T18" s="383"/>
      <c r="U18" s="383"/>
      <c r="V18" s="3322">
        <f>'9.Инвестиционна програма'!R155</f>
        <v>407.33333333333331</v>
      </c>
      <c r="W18" s="3322">
        <f>'9.Инвестиционна програма'!S155</f>
        <v>486.33333333333331</v>
      </c>
      <c r="X18" s="3322">
        <f>'9.Инвестиционна програма'!T155</f>
        <v>432.66666666666663</v>
      </c>
      <c r="Y18" s="3322">
        <f>'9.Инвестиционна програма'!U155</f>
        <v>313.73333333333329</v>
      </c>
      <c r="Z18" s="3323">
        <f>'9.Инвестиционна програма'!V155</f>
        <v>320.66666666666663</v>
      </c>
      <c r="AA18" s="383"/>
      <c r="AB18" s="383"/>
      <c r="AC18" s="383"/>
      <c r="AD18" s="3322">
        <f>'9.Инвестиционна програма'!R156</f>
        <v>0</v>
      </c>
      <c r="AE18" s="3322">
        <f>'9.Инвестиционна програма'!S156</f>
        <v>0</v>
      </c>
      <c r="AF18" s="3322">
        <f>'9.Инвестиционна програма'!T156</f>
        <v>0</v>
      </c>
      <c r="AG18" s="3322">
        <f>'9.Инвестиционна програма'!U156</f>
        <v>0</v>
      </c>
      <c r="AH18" s="3323">
        <f>'9.Инвестиционна програма'!V156</f>
        <v>0</v>
      </c>
      <c r="AI18" s="383"/>
      <c r="AJ18" s="383"/>
      <c r="AK18" s="383"/>
      <c r="AL18" s="3322">
        <f>'9.Инвестиционна програма'!R157</f>
        <v>0</v>
      </c>
      <c r="AM18" s="3322">
        <f>'9.Инвестиционна програма'!S157</f>
        <v>0</v>
      </c>
      <c r="AN18" s="3322">
        <f>'9.Инвестиционна програма'!T157</f>
        <v>0</v>
      </c>
      <c r="AO18" s="3322">
        <f>'9.Инвестиционна програма'!U157</f>
        <v>0</v>
      </c>
      <c r="AP18" s="3323">
        <f>'9.Инвестиционна програма'!V157</f>
        <v>0</v>
      </c>
      <c r="AQ18" s="383"/>
      <c r="AR18" s="383"/>
      <c r="AS18" s="383"/>
      <c r="AT18" s="3322">
        <f t="shared" ref="AT18:AX19" si="132">F18+N18+V18+AD18+AL18</f>
        <v>1949.9999999999998</v>
      </c>
      <c r="AU18" s="3322">
        <f t="shared" si="132"/>
        <v>2121</v>
      </c>
      <c r="AV18" s="3322">
        <f t="shared" si="132"/>
        <v>2136.9999999999995</v>
      </c>
      <c r="AW18" s="3322">
        <f t="shared" si="132"/>
        <v>1800.2</v>
      </c>
      <c r="AX18" s="3323">
        <f t="shared" si="132"/>
        <v>1790.9999999999995</v>
      </c>
      <c r="AY18" s="4422"/>
      <c r="AZ18" s="3"/>
      <c r="BA18" s="3"/>
      <c r="BB18" s="3"/>
      <c r="BC18" s="4438">
        <f t="shared" si="96"/>
        <v>551.34307855658892</v>
      </c>
      <c r="BD18" s="4438">
        <f t="shared" si="97"/>
        <v>585.59963459673554</v>
      </c>
      <c r="BE18" s="4438">
        <f t="shared" si="98"/>
        <v>684.44939829467103</v>
      </c>
      <c r="BF18" s="4438">
        <f t="shared" si="99"/>
        <v>590.40577827998004</v>
      </c>
      <c r="BG18" s="4438">
        <f t="shared" si="100"/>
        <v>575.03293571868028</v>
      </c>
      <c r="BH18" s="3"/>
      <c r="BI18" s="3"/>
      <c r="BJ18" s="3"/>
      <c r="BK18" s="4438">
        <f t="shared" si="101"/>
        <v>237.40986350211077</v>
      </c>
      <c r="BL18" s="4438">
        <f t="shared" si="102"/>
        <v>250.19216053201623</v>
      </c>
      <c r="BM18" s="4438">
        <f t="shared" si="103"/>
        <v>186.96239789075054</v>
      </c>
      <c r="BN18" s="4438">
        <f t="shared" si="104"/>
        <v>169.6125600554922</v>
      </c>
      <c r="BO18" s="4438">
        <f t="shared" si="105"/>
        <v>176.73656026682616</v>
      </c>
      <c r="BP18" s="3"/>
      <c r="BQ18" s="3"/>
      <c r="BR18" s="3"/>
      <c r="BS18" s="4438">
        <f t="shared" si="106"/>
        <v>208.26622627392632</v>
      </c>
      <c r="BT18" s="4438">
        <f t="shared" si="107"/>
        <v>248.65828488842757</v>
      </c>
      <c r="BU18" s="4438">
        <f t="shared" si="108"/>
        <v>221.21895393089719</v>
      </c>
      <c r="BV18" s="4438">
        <f t="shared" si="109"/>
        <v>160.40930619396025</v>
      </c>
      <c r="BW18" s="4438">
        <f t="shared" si="110"/>
        <v>163.95426323692072</v>
      </c>
      <c r="BX18" s="3"/>
      <c r="BY18" s="3"/>
      <c r="BZ18" s="3"/>
      <c r="CA18" s="4438">
        <f t="shared" si="111"/>
        <v>0</v>
      </c>
      <c r="CB18" s="4438">
        <f t="shared" si="112"/>
        <v>0</v>
      </c>
      <c r="CC18" s="4438">
        <f t="shared" si="113"/>
        <v>0</v>
      </c>
      <c r="CD18" s="4438">
        <f t="shared" si="114"/>
        <v>0</v>
      </c>
      <c r="CE18" s="4438">
        <f t="shared" si="115"/>
        <v>0</v>
      </c>
      <c r="CF18" s="3"/>
      <c r="CG18" s="3"/>
      <c r="CH18" s="3"/>
      <c r="CI18" s="4438">
        <f t="shared" si="116"/>
        <v>0</v>
      </c>
      <c r="CJ18" s="4438">
        <f t="shared" si="117"/>
        <v>0</v>
      </c>
      <c r="CK18" s="4438">
        <f t="shared" si="118"/>
        <v>0</v>
      </c>
      <c r="CL18" s="4438">
        <f t="shared" si="119"/>
        <v>0</v>
      </c>
      <c r="CM18" s="4438">
        <f t="shared" si="120"/>
        <v>0</v>
      </c>
      <c r="CN18" s="3"/>
      <c r="CO18" s="3"/>
      <c r="CP18" s="3"/>
      <c r="CQ18" s="4438">
        <f t="shared" si="121"/>
        <v>997.0191683326259</v>
      </c>
      <c r="CR18" s="4438">
        <f t="shared" si="122"/>
        <v>1084.4500800171795</v>
      </c>
      <c r="CS18" s="4438">
        <f t="shared" si="123"/>
        <v>1092.6307501163187</v>
      </c>
      <c r="CT18" s="4438">
        <f t="shared" si="124"/>
        <v>920.42764452943254</v>
      </c>
      <c r="CU18" s="4438">
        <f t="shared" si="125"/>
        <v>915.72375922242713</v>
      </c>
    </row>
    <row r="19" spans="1:99" s="650" customFormat="1" ht="13.5" thickBot="1">
      <c r="A19" s="4138" t="s">
        <v>954</v>
      </c>
      <c r="B19" s="4139" t="s">
        <v>950</v>
      </c>
      <c r="C19" s="3951"/>
      <c r="D19" s="3951"/>
      <c r="E19" s="3951"/>
      <c r="F19" s="3813">
        <f>'9.Инвестиционна програма'!Z153+'9.Инвестиционна програма'!AH153</f>
        <v>3890.1458700000003</v>
      </c>
      <c r="G19" s="3813">
        <f>'9.Инвестиционна програма'!AA153+'9.Инвестиционна програма'!AI153</f>
        <v>7780.2917400000006</v>
      </c>
      <c r="H19" s="3813">
        <f>'9.Инвестиционна програма'!AB153+'9.Инвестиционна програма'!AJ153</f>
        <v>7586.2917400000006</v>
      </c>
      <c r="I19" s="3813">
        <f>'9.Инвестиционна програма'!AC153+'9.Инвестиционна програма'!AK153</f>
        <v>0</v>
      </c>
      <c r="J19" s="3814">
        <f>'9.Инвестиционна програма'!AD153+'9.Инвестиционна програма'!AL153</f>
        <v>0</v>
      </c>
      <c r="K19" s="3951"/>
      <c r="L19" s="3951"/>
      <c r="M19" s="3951"/>
      <c r="N19" s="3813">
        <f>'9.Инвестиционна програма'!Z154+'9.Инвестиционна програма'!AH154</f>
        <v>962.26836000000003</v>
      </c>
      <c r="O19" s="3813">
        <f>'9.Инвестиционна програма'!AA154+'9.Инвестиционна програма'!AI154</f>
        <v>1924.5367200000001</v>
      </c>
      <c r="P19" s="3813">
        <f>'9.Инвестиционна програма'!AB154+'9.Инвестиционна програма'!AJ154</f>
        <v>1866.5367200000001</v>
      </c>
      <c r="Q19" s="3813">
        <f>'9.Инвестиционна програма'!AC154+'9.Инвестиционна програма'!AK154</f>
        <v>0</v>
      </c>
      <c r="R19" s="4140">
        <f>'9.Инвестиционна програма'!AD154+'9.Инвестиционна програма'!AL154</f>
        <v>0</v>
      </c>
      <c r="S19" s="3951"/>
      <c r="T19" s="3951"/>
      <c r="U19" s="3951"/>
      <c r="V19" s="3813">
        <f>'9.Инвестиционна програма'!Z155+'9.Инвестиционна програма'!AH155</f>
        <v>1049.8895439999999</v>
      </c>
      <c r="W19" s="3813">
        <f>'9.Инвестиционна програма'!AA155+'9.Инвестиционна програма'!AI155</f>
        <v>2099.7790879999998</v>
      </c>
      <c r="X19" s="3813">
        <f>'9.Инвестиционна програма'!AB155+'9.Инвестиционна програма'!AJ155</f>
        <v>2043.7790879999998</v>
      </c>
      <c r="Y19" s="3813">
        <f>'9.Инвестиционна програма'!AC155+'9.Инвестиционна програма'!AK155</f>
        <v>0</v>
      </c>
      <c r="Z19" s="3814">
        <f>'9.Инвестиционна програма'!AD155+'9.Инвестиционна програма'!AL155</f>
        <v>0</v>
      </c>
      <c r="AA19" s="3951"/>
      <c r="AB19" s="3951"/>
      <c r="AC19" s="3951"/>
      <c r="AD19" s="3813">
        <f>'9.Инвестиционна програма'!Z156+'9.Инвестиционна програма'!AH156</f>
        <v>0</v>
      </c>
      <c r="AE19" s="3813">
        <f>'9.Инвестиционна програма'!AA156+'9.Инвестиционна програма'!AI156</f>
        <v>0</v>
      </c>
      <c r="AF19" s="3813">
        <f>'9.Инвестиционна програма'!AB156+'9.Инвестиционна програма'!AJ156</f>
        <v>0</v>
      </c>
      <c r="AG19" s="3813">
        <f>'9.Инвестиционна програма'!AC156+'9.Инвестиционна програма'!AK156</f>
        <v>0</v>
      </c>
      <c r="AH19" s="3814">
        <f>'9.Инвестиционна програма'!AD156+'9.Инвестиционна програма'!AL156</f>
        <v>0</v>
      </c>
      <c r="AI19" s="3951"/>
      <c r="AJ19" s="3951"/>
      <c r="AK19" s="3951"/>
      <c r="AL19" s="3813">
        <f>'9.Инвестиционна програма'!Z157+'9.Инвестиционна програма'!AH157</f>
        <v>0</v>
      </c>
      <c r="AM19" s="3813">
        <f>'9.Инвестиционна програма'!AA157+'9.Инвестиционна програма'!AI157</f>
        <v>0</v>
      </c>
      <c r="AN19" s="3813">
        <f>'9.Инвестиционна програма'!AB157+'9.Инвестиционна програма'!AJ157</f>
        <v>0</v>
      </c>
      <c r="AO19" s="3813">
        <f>'9.Инвестиционна програма'!AC157+'9.Инвестиционна програма'!AK157</f>
        <v>0</v>
      </c>
      <c r="AP19" s="3814">
        <f>'9.Инвестиционна програма'!AD157+'9.Инвестиционна програма'!AL157</f>
        <v>0</v>
      </c>
      <c r="AQ19" s="3951"/>
      <c r="AR19" s="3951"/>
      <c r="AS19" s="3951"/>
      <c r="AT19" s="3813">
        <f t="shared" si="132"/>
        <v>5902.303774</v>
      </c>
      <c r="AU19" s="3813">
        <f t="shared" si="132"/>
        <v>11804.607548</v>
      </c>
      <c r="AV19" s="3813">
        <f t="shared" si="132"/>
        <v>11496.607548</v>
      </c>
      <c r="AW19" s="3813">
        <f t="shared" si="132"/>
        <v>0</v>
      </c>
      <c r="AX19" s="3814">
        <f t="shared" si="132"/>
        <v>0</v>
      </c>
      <c r="AY19" s="4422"/>
      <c r="AZ19" s="3"/>
      <c r="BA19" s="3"/>
      <c r="BB19" s="3"/>
      <c r="BC19" s="4438">
        <f t="shared" si="96"/>
        <v>1989.0000000000002</v>
      </c>
      <c r="BD19" s="4438">
        <f t="shared" si="97"/>
        <v>3978.0000000000005</v>
      </c>
      <c r="BE19" s="4438">
        <f t="shared" si="98"/>
        <v>3878.8093750479338</v>
      </c>
      <c r="BF19" s="4438">
        <f t="shared" si="99"/>
        <v>0</v>
      </c>
      <c r="BG19" s="4438">
        <f t="shared" si="100"/>
        <v>0</v>
      </c>
      <c r="BH19" s="3"/>
      <c r="BI19" s="3"/>
      <c r="BJ19" s="3"/>
      <c r="BK19" s="4438">
        <f t="shared" si="101"/>
        <v>492</v>
      </c>
      <c r="BL19" s="4438">
        <f t="shared" si="102"/>
        <v>984</v>
      </c>
      <c r="BM19" s="4438">
        <f t="shared" si="103"/>
        <v>954.34507089061935</v>
      </c>
      <c r="BN19" s="4438">
        <f t="shared" si="104"/>
        <v>0</v>
      </c>
      <c r="BO19" s="4438">
        <f t="shared" si="105"/>
        <v>0</v>
      </c>
      <c r="BP19" s="3"/>
      <c r="BQ19" s="3"/>
      <c r="BR19" s="3"/>
      <c r="BS19" s="4438">
        <f t="shared" si="106"/>
        <v>536.79999999999995</v>
      </c>
      <c r="BT19" s="4438">
        <f t="shared" si="107"/>
        <v>1073.5999999999999</v>
      </c>
      <c r="BU19" s="4438">
        <f t="shared" si="108"/>
        <v>1044.9676546530118</v>
      </c>
      <c r="BV19" s="4438">
        <f t="shared" si="109"/>
        <v>0</v>
      </c>
      <c r="BW19" s="4438">
        <f t="shared" si="110"/>
        <v>0</v>
      </c>
      <c r="BX19" s="3"/>
      <c r="BY19" s="3"/>
      <c r="BZ19" s="3"/>
      <c r="CA19" s="4438">
        <f t="shared" si="111"/>
        <v>0</v>
      </c>
      <c r="CB19" s="4438">
        <f t="shared" si="112"/>
        <v>0</v>
      </c>
      <c r="CC19" s="4438">
        <f t="shared" si="113"/>
        <v>0</v>
      </c>
      <c r="CD19" s="4438">
        <f t="shared" si="114"/>
        <v>0</v>
      </c>
      <c r="CE19" s="4438">
        <f t="shared" si="115"/>
        <v>0</v>
      </c>
      <c r="CF19" s="3"/>
      <c r="CG19" s="3"/>
      <c r="CH19" s="3"/>
      <c r="CI19" s="4438">
        <f t="shared" si="116"/>
        <v>0</v>
      </c>
      <c r="CJ19" s="4438">
        <f t="shared" si="117"/>
        <v>0</v>
      </c>
      <c r="CK19" s="4438">
        <f t="shared" si="118"/>
        <v>0</v>
      </c>
      <c r="CL19" s="4438">
        <f t="shared" si="119"/>
        <v>0</v>
      </c>
      <c r="CM19" s="4438">
        <f t="shared" si="120"/>
        <v>0</v>
      </c>
      <c r="CN19" s="3"/>
      <c r="CO19" s="3"/>
      <c r="CP19" s="3"/>
      <c r="CQ19" s="4438">
        <f t="shared" si="121"/>
        <v>3017.8</v>
      </c>
      <c r="CR19" s="4438">
        <f t="shared" si="122"/>
        <v>6035.6</v>
      </c>
      <c r="CS19" s="4438">
        <f t="shared" si="123"/>
        <v>5878.122100591565</v>
      </c>
      <c r="CT19" s="4438">
        <f t="shared" si="124"/>
        <v>0</v>
      </c>
      <c r="CU19" s="4438">
        <f t="shared" si="125"/>
        <v>0</v>
      </c>
    </row>
    <row r="20" spans="1:99" s="1" customFormat="1" ht="13.5" thickBot="1">
      <c r="A20" s="1743"/>
      <c r="B20" s="2410"/>
      <c r="C20" s="3336"/>
      <c r="D20" s="3336"/>
      <c r="E20" s="3336"/>
      <c r="F20" s="3336"/>
      <c r="G20" s="3336"/>
      <c r="H20" s="3336"/>
      <c r="I20" s="3336"/>
      <c r="J20" s="3336"/>
      <c r="K20" s="3336"/>
      <c r="L20" s="3336"/>
      <c r="M20" s="3336"/>
      <c r="N20" s="3337"/>
      <c r="O20" s="3329"/>
      <c r="P20" s="3329"/>
      <c r="Q20" s="3329"/>
      <c r="R20" s="3329"/>
      <c r="S20" s="3336"/>
      <c r="T20" s="3336"/>
      <c r="U20" s="3336"/>
      <c r="V20" s="3329"/>
      <c r="W20" s="3329"/>
      <c r="X20" s="3329"/>
      <c r="Y20" s="3329"/>
      <c r="Z20" s="3329"/>
      <c r="AA20" s="3336"/>
      <c r="AB20" s="3336"/>
      <c r="AC20" s="3336"/>
      <c r="AD20" s="3329"/>
      <c r="AE20" s="3329"/>
      <c r="AF20" s="3329"/>
      <c r="AG20" s="3329"/>
      <c r="AH20" s="3329"/>
      <c r="AI20" s="3336"/>
      <c r="AJ20" s="3336"/>
      <c r="AK20" s="3336"/>
      <c r="AL20" s="3329"/>
      <c r="AM20" s="3329"/>
      <c r="AN20" s="3329"/>
      <c r="AO20" s="3329"/>
      <c r="AP20" s="3329"/>
      <c r="AQ20" s="3336"/>
      <c r="AR20" s="3336"/>
      <c r="AS20" s="3336"/>
      <c r="AT20" s="3329"/>
      <c r="AU20" s="3329"/>
      <c r="AV20" s="3329"/>
      <c r="AW20" s="3329"/>
      <c r="AX20" s="3329"/>
      <c r="AY20" s="4422"/>
    </row>
    <row r="21" spans="1:99" s="1" customFormat="1" ht="24.75" thickBot="1">
      <c r="A21" s="2420" t="s">
        <v>263</v>
      </c>
      <c r="B21" s="2421" t="s">
        <v>937</v>
      </c>
      <c r="C21" s="4141"/>
      <c r="D21" s="4141"/>
      <c r="E21" s="4141"/>
      <c r="F21" s="3338">
        <f t="shared" ref="F21:AX21" si="133">F13-F9</f>
        <v>0</v>
      </c>
      <c r="G21" s="3338">
        <f t="shared" si="133"/>
        <v>0</v>
      </c>
      <c r="H21" s="3338">
        <f t="shared" si="133"/>
        <v>0</v>
      </c>
      <c r="I21" s="3338">
        <f t="shared" si="133"/>
        <v>0</v>
      </c>
      <c r="J21" s="3340">
        <f t="shared" si="133"/>
        <v>0</v>
      </c>
      <c r="K21" s="4141"/>
      <c r="L21" s="4141"/>
      <c r="M21" s="4141"/>
      <c r="N21" s="3338">
        <f t="shared" si="133"/>
        <v>0</v>
      </c>
      <c r="O21" s="3338">
        <f t="shared" si="133"/>
        <v>0</v>
      </c>
      <c r="P21" s="3338">
        <f t="shared" si="133"/>
        <v>0</v>
      </c>
      <c r="Q21" s="3338">
        <f t="shared" si="133"/>
        <v>0</v>
      </c>
      <c r="R21" s="3339">
        <f t="shared" si="133"/>
        <v>0</v>
      </c>
      <c r="S21" s="4141"/>
      <c r="T21" s="4141"/>
      <c r="U21" s="4141"/>
      <c r="V21" s="3338">
        <f t="shared" si="133"/>
        <v>0</v>
      </c>
      <c r="W21" s="3338">
        <f t="shared" si="133"/>
        <v>0</v>
      </c>
      <c r="X21" s="3338">
        <f t="shared" si="133"/>
        <v>0</v>
      </c>
      <c r="Y21" s="3338">
        <f t="shared" si="133"/>
        <v>0</v>
      </c>
      <c r="Z21" s="3340">
        <f t="shared" si="133"/>
        <v>0</v>
      </c>
      <c r="AA21" s="4141"/>
      <c r="AB21" s="4141"/>
      <c r="AC21" s="4141"/>
      <c r="AD21" s="3338">
        <f t="shared" si="133"/>
        <v>0</v>
      </c>
      <c r="AE21" s="3338">
        <f t="shared" si="133"/>
        <v>0</v>
      </c>
      <c r="AF21" s="3338">
        <f t="shared" si="133"/>
        <v>0</v>
      </c>
      <c r="AG21" s="3338">
        <f t="shared" si="133"/>
        <v>0</v>
      </c>
      <c r="AH21" s="3340">
        <f t="shared" si="133"/>
        <v>0</v>
      </c>
      <c r="AI21" s="4141"/>
      <c r="AJ21" s="4141"/>
      <c r="AK21" s="4141"/>
      <c r="AL21" s="3338">
        <f t="shared" si="133"/>
        <v>0</v>
      </c>
      <c r="AM21" s="3338">
        <f t="shared" si="133"/>
        <v>0</v>
      </c>
      <c r="AN21" s="3338">
        <f t="shared" si="133"/>
        <v>0</v>
      </c>
      <c r="AO21" s="3338">
        <f t="shared" si="133"/>
        <v>0</v>
      </c>
      <c r="AP21" s="3340">
        <f t="shared" si="133"/>
        <v>0</v>
      </c>
      <c r="AQ21" s="4141"/>
      <c r="AR21" s="4141"/>
      <c r="AS21" s="4141"/>
      <c r="AT21" s="3338">
        <f t="shared" si="133"/>
        <v>0</v>
      </c>
      <c r="AU21" s="3338">
        <f t="shared" si="133"/>
        <v>0</v>
      </c>
      <c r="AV21" s="3338">
        <f t="shared" si="133"/>
        <v>0</v>
      </c>
      <c r="AW21" s="3338">
        <f t="shared" si="133"/>
        <v>0</v>
      </c>
      <c r="AX21" s="3340">
        <f t="shared" si="133"/>
        <v>0</v>
      </c>
      <c r="AY21" s="4422"/>
      <c r="AZ21" s="3"/>
      <c r="BA21" s="3"/>
      <c r="BB21" s="3"/>
      <c r="BC21" s="4438">
        <f t="shared" ref="BC21:BC22" si="134">IFERROR(F21/$C$1,0)</f>
        <v>0</v>
      </c>
      <c r="BD21" s="4438">
        <f t="shared" ref="BD21:BD22" si="135">IFERROR(G21/$C$1,0)</f>
        <v>0</v>
      </c>
      <c r="BE21" s="4438">
        <f t="shared" ref="BE21:BE22" si="136">IFERROR(H21/$C$1,0)</f>
        <v>0</v>
      </c>
      <c r="BF21" s="4438">
        <f t="shared" ref="BF21:BF22" si="137">IFERROR(I21/$C$1,0)</f>
        <v>0</v>
      </c>
      <c r="BG21" s="4438">
        <f t="shared" ref="BG21:BG22" si="138">IFERROR(J21/$C$1,0)</f>
        <v>0</v>
      </c>
      <c r="BH21" s="3"/>
      <c r="BI21" s="3"/>
      <c r="BJ21" s="3"/>
      <c r="BK21" s="4438">
        <f t="shared" ref="BK21:BK22" si="139">IFERROR(N21/$C$1,0)</f>
        <v>0</v>
      </c>
      <c r="BL21" s="4438">
        <f t="shared" ref="BL21:BL22" si="140">IFERROR(O21/$C$1,0)</f>
        <v>0</v>
      </c>
      <c r="BM21" s="4438">
        <f t="shared" ref="BM21:BM22" si="141">IFERROR(P21/$C$1,0)</f>
        <v>0</v>
      </c>
      <c r="BN21" s="4438">
        <f t="shared" ref="BN21:BN22" si="142">IFERROR(Q21/$C$1,0)</f>
        <v>0</v>
      </c>
      <c r="BO21" s="4438">
        <f t="shared" ref="BO21:BO22" si="143">IFERROR(R21/$C$1,0)</f>
        <v>0</v>
      </c>
      <c r="BP21" s="3"/>
      <c r="BQ21" s="3"/>
      <c r="BR21" s="3"/>
      <c r="BS21" s="4438">
        <f t="shared" ref="BS21:BS22" si="144">IFERROR(V21/$C$1,0)</f>
        <v>0</v>
      </c>
      <c r="BT21" s="4438">
        <f t="shared" ref="BT21:BT22" si="145">IFERROR(W21/$C$1,0)</f>
        <v>0</v>
      </c>
      <c r="BU21" s="4438">
        <f t="shared" ref="BU21:BU22" si="146">IFERROR(X21/$C$1,0)</f>
        <v>0</v>
      </c>
      <c r="BV21" s="4438">
        <f t="shared" ref="BV21:BV22" si="147">IFERROR(Y21/$C$1,0)</f>
        <v>0</v>
      </c>
      <c r="BW21" s="4438">
        <f t="shared" ref="BW21:BW22" si="148">IFERROR(Z21/$C$1,0)</f>
        <v>0</v>
      </c>
      <c r="BX21" s="3"/>
      <c r="BY21" s="3"/>
      <c r="BZ21" s="3"/>
      <c r="CA21" s="4438">
        <f t="shared" ref="CA21:CA22" si="149">IFERROR(AD21/$C$1,0)</f>
        <v>0</v>
      </c>
      <c r="CB21" s="4438">
        <f t="shared" ref="CB21:CB22" si="150">IFERROR(AE21/$C$1,0)</f>
        <v>0</v>
      </c>
      <c r="CC21" s="4438">
        <f t="shared" ref="CC21:CC22" si="151">IFERROR(AF21/$C$1,0)</f>
        <v>0</v>
      </c>
      <c r="CD21" s="4438">
        <f t="shared" ref="CD21:CD22" si="152">IFERROR(AG21/$C$1,0)</f>
        <v>0</v>
      </c>
      <c r="CE21" s="4438">
        <f t="shared" ref="CE21:CE22" si="153">IFERROR(AH21/$C$1,0)</f>
        <v>0</v>
      </c>
      <c r="CF21" s="3"/>
      <c r="CG21" s="3"/>
      <c r="CH21" s="3"/>
      <c r="CI21" s="4438">
        <f t="shared" ref="CI21:CI22" si="154">IFERROR(AL21/$C$1,0)</f>
        <v>0</v>
      </c>
      <c r="CJ21" s="4438">
        <f t="shared" ref="CJ21:CJ22" si="155">IFERROR(AM21/$C$1,0)</f>
        <v>0</v>
      </c>
      <c r="CK21" s="4438">
        <f t="shared" ref="CK21:CK22" si="156">IFERROR(AN21/$C$1,0)</f>
        <v>0</v>
      </c>
      <c r="CL21" s="4438">
        <f t="shared" ref="CL21:CL22" si="157">IFERROR(AO21/$C$1,0)</f>
        <v>0</v>
      </c>
      <c r="CM21" s="4438">
        <f t="shared" ref="CM21:CM22" si="158">IFERROR(AP21/$C$1,0)</f>
        <v>0</v>
      </c>
      <c r="CN21" s="3"/>
      <c r="CO21" s="3"/>
      <c r="CP21" s="3"/>
      <c r="CQ21" s="4438">
        <f t="shared" ref="CQ21:CQ22" si="159">IFERROR(AT21/$C$1,0)</f>
        <v>0</v>
      </c>
      <c r="CR21" s="4438">
        <f t="shared" ref="CR21:CR22" si="160">IFERROR(AU21/$C$1,0)</f>
        <v>0</v>
      </c>
      <c r="CS21" s="4438">
        <f t="shared" ref="CS21:CS22" si="161">IFERROR(AV21/$C$1,0)</f>
        <v>0</v>
      </c>
      <c r="CT21" s="4438">
        <f t="shared" ref="CT21:CT22" si="162">IFERROR(AW21/$C$1,0)</f>
        <v>0</v>
      </c>
      <c r="CU21" s="4438">
        <f t="shared" ref="CU21:CU22" si="163">IFERROR(AX21/$C$1,0)</f>
        <v>0</v>
      </c>
    </row>
    <row r="22" spans="1:99" s="1" customFormat="1" ht="24.75" thickBot="1">
      <c r="A22" s="2420" t="s">
        <v>264</v>
      </c>
      <c r="B22" s="2421" t="s">
        <v>982</v>
      </c>
      <c r="C22" s="4141"/>
      <c r="D22" s="4141"/>
      <c r="E22" s="4141"/>
      <c r="F22" s="3338">
        <f t="shared" ref="F22" si="164">F16+F19-F60-F71</f>
        <v>0</v>
      </c>
      <c r="G22" s="3338">
        <f>G16+G19-G60-G71</f>
        <v>0</v>
      </c>
      <c r="H22" s="3338">
        <f>H16+H19-H60-H71</f>
        <v>0</v>
      </c>
      <c r="I22" s="3338">
        <f t="shared" ref="I22:J22" si="165">I16+I19-I60-I71</f>
        <v>0</v>
      </c>
      <c r="J22" s="3339">
        <f t="shared" si="165"/>
        <v>0</v>
      </c>
      <c r="K22" s="4141"/>
      <c r="L22" s="4141"/>
      <c r="M22" s="4141"/>
      <c r="N22" s="3338">
        <f t="shared" ref="N22" si="166">N16+N19-N60-N71</f>
        <v>0</v>
      </c>
      <c r="O22" s="3338">
        <f>O16+O19-O60-O71</f>
        <v>0</v>
      </c>
      <c r="P22" s="3338">
        <f>P16+P19-P60-P71</f>
        <v>0</v>
      </c>
      <c r="Q22" s="3338">
        <f t="shared" ref="Q22:R22" si="167">Q16+Q19-Q60-Q71</f>
        <v>0</v>
      </c>
      <c r="R22" s="3339">
        <f t="shared" si="167"/>
        <v>0</v>
      </c>
      <c r="S22" s="4141"/>
      <c r="T22" s="4141"/>
      <c r="U22" s="4141"/>
      <c r="V22" s="3338">
        <f t="shared" ref="V22" si="168">V16+V19-V60-V71</f>
        <v>0</v>
      </c>
      <c r="W22" s="3338">
        <f>W16+W19-W60-W71</f>
        <v>0</v>
      </c>
      <c r="X22" s="3338">
        <f>X16+X19-X60-X71</f>
        <v>0</v>
      </c>
      <c r="Y22" s="3338">
        <f t="shared" ref="Y22:Z22" si="169">Y16+Y19-Y60-Y71</f>
        <v>0</v>
      </c>
      <c r="Z22" s="3340">
        <f t="shared" si="169"/>
        <v>0</v>
      </c>
      <c r="AA22" s="4141"/>
      <c r="AB22" s="4141"/>
      <c r="AC22" s="4141"/>
      <c r="AD22" s="3338">
        <f t="shared" ref="AD22" si="170">AD16+AD19-AD60-AD71</f>
        <v>0</v>
      </c>
      <c r="AE22" s="3338">
        <f>AE16+AE19-AE60-AE71</f>
        <v>0</v>
      </c>
      <c r="AF22" s="3338">
        <f>AF16+AF19-AF60-AF71</f>
        <v>0</v>
      </c>
      <c r="AG22" s="3338">
        <f t="shared" ref="AG22:AH22" si="171">AG16+AG19-AG60-AG71</f>
        <v>0</v>
      </c>
      <c r="AH22" s="3339">
        <f t="shared" si="171"/>
        <v>0</v>
      </c>
      <c r="AI22" s="4141"/>
      <c r="AJ22" s="4141"/>
      <c r="AK22" s="4141"/>
      <c r="AL22" s="3338">
        <f t="shared" ref="AL22" si="172">AL16+AL19-AL60-AL71</f>
        <v>0</v>
      </c>
      <c r="AM22" s="3338">
        <f>AM16+AM19-AM60-AM71</f>
        <v>0</v>
      </c>
      <c r="AN22" s="3338">
        <f>AN16+AN19-AN60-AN71</f>
        <v>0</v>
      </c>
      <c r="AO22" s="3338">
        <f t="shared" ref="AO22:AP22" si="173">AO16+AO19-AO60-AO71</f>
        <v>0</v>
      </c>
      <c r="AP22" s="3340">
        <f t="shared" si="173"/>
        <v>0</v>
      </c>
      <c r="AQ22" s="4141"/>
      <c r="AR22" s="4141"/>
      <c r="AS22" s="4141"/>
      <c r="AT22" s="3338">
        <f>AT16+AT19-AT60-AT71</f>
        <v>0</v>
      </c>
      <c r="AU22" s="3338">
        <f>AU16+AU19-AU60-AU71</f>
        <v>0</v>
      </c>
      <c r="AV22" s="3338">
        <f>AV16+AV19-AV60-AV71</f>
        <v>0</v>
      </c>
      <c r="AW22" s="3338">
        <f t="shared" ref="AW22:AX22" si="174">AW16+AW19-AW60-AW71</f>
        <v>0</v>
      </c>
      <c r="AX22" s="3340">
        <f t="shared" si="174"/>
        <v>0</v>
      </c>
      <c r="AY22" s="4422"/>
      <c r="AZ22" s="3"/>
      <c r="BA22" s="3"/>
      <c r="BB22" s="3"/>
      <c r="BC22" s="4438">
        <f t="shared" si="134"/>
        <v>0</v>
      </c>
      <c r="BD22" s="4438">
        <f t="shared" si="135"/>
        <v>0</v>
      </c>
      <c r="BE22" s="4438">
        <f t="shared" si="136"/>
        <v>0</v>
      </c>
      <c r="BF22" s="4438">
        <f t="shared" si="137"/>
        <v>0</v>
      </c>
      <c r="BG22" s="4438">
        <f t="shared" si="138"/>
        <v>0</v>
      </c>
      <c r="BH22" s="3"/>
      <c r="BI22" s="3"/>
      <c r="BJ22" s="3"/>
      <c r="BK22" s="4438">
        <f t="shared" si="139"/>
        <v>0</v>
      </c>
      <c r="BL22" s="4438">
        <f t="shared" si="140"/>
        <v>0</v>
      </c>
      <c r="BM22" s="4438">
        <f t="shared" si="141"/>
        <v>0</v>
      </c>
      <c r="BN22" s="4438">
        <f t="shared" si="142"/>
        <v>0</v>
      </c>
      <c r="BO22" s="4438">
        <f t="shared" si="143"/>
        <v>0</v>
      </c>
      <c r="BP22" s="3"/>
      <c r="BQ22" s="3"/>
      <c r="BR22" s="3"/>
      <c r="BS22" s="4438">
        <f t="shared" si="144"/>
        <v>0</v>
      </c>
      <c r="BT22" s="4438">
        <f t="shared" si="145"/>
        <v>0</v>
      </c>
      <c r="BU22" s="4438">
        <f t="shared" si="146"/>
        <v>0</v>
      </c>
      <c r="BV22" s="4438">
        <f t="shared" si="147"/>
        <v>0</v>
      </c>
      <c r="BW22" s="4438">
        <f t="shared" si="148"/>
        <v>0</v>
      </c>
      <c r="BX22" s="3"/>
      <c r="BY22" s="3"/>
      <c r="BZ22" s="3"/>
      <c r="CA22" s="4438">
        <f t="shared" si="149"/>
        <v>0</v>
      </c>
      <c r="CB22" s="4438">
        <f t="shared" si="150"/>
        <v>0</v>
      </c>
      <c r="CC22" s="4438">
        <f t="shared" si="151"/>
        <v>0</v>
      </c>
      <c r="CD22" s="4438">
        <f t="shared" si="152"/>
        <v>0</v>
      </c>
      <c r="CE22" s="4438">
        <f t="shared" si="153"/>
        <v>0</v>
      </c>
      <c r="CF22" s="3"/>
      <c r="CG22" s="3"/>
      <c r="CH22" s="3"/>
      <c r="CI22" s="4438">
        <f t="shared" si="154"/>
        <v>0</v>
      </c>
      <c r="CJ22" s="4438">
        <f t="shared" si="155"/>
        <v>0</v>
      </c>
      <c r="CK22" s="4438">
        <f t="shared" si="156"/>
        <v>0</v>
      </c>
      <c r="CL22" s="4438">
        <f t="shared" si="157"/>
        <v>0</v>
      </c>
      <c r="CM22" s="4438">
        <f t="shared" si="158"/>
        <v>0</v>
      </c>
      <c r="CN22" s="3"/>
      <c r="CO22" s="3"/>
      <c r="CP22" s="3"/>
      <c r="CQ22" s="4438">
        <f t="shared" si="159"/>
        <v>0</v>
      </c>
      <c r="CR22" s="4438">
        <f t="shared" si="160"/>
        <v>0</v>
      </c>
      <c r="CS22" s="4438">
        <f t="shared" si="161"/>
        <v>0</v>
      </c>
      <c r="CT22" s="4438">
        <f t="shared" si="162"/>
        <v>0</v>
      </c>
      <c r="CU22" s="4438">
        <f t="shared" si="163"/>
        <v>0</v>
      </c>
    </row>
    <row r="23" spans="1:99" s="1" customFormat="1" ht="7.5" customHeight="1" thickBot="1">
      <c r="A23" s="1743"/>
      <c r="B23" s="2422"/>
      <c r="C23" s="3341"/>
      <c r="D23" s="3341"/>
      <c r="E23" s="3341"/>
      <c r="F23" s="3341"/>
      <c r="G23" s="3341"/>
      <c r="H23" s="3341"/>
      <c r="I23" s="3341"/>
      <c r="J23" s="3341"/>
      <c r="K23" s="3341"/>
      <c r="L23" s="3341"/>
      <c r="M23" s="3341"/>
      <c r="N23" s="3341"/>
      <c r="O23" s="3341"/>
      <c r="P23" s="3341"/>
      <c r="Q23" s="3341"/>
      <c r="R23" s="3341"/>
      <c r="S23" s="3341"/>
      <c r="T23" s="3341"/>
      <c r="U23" s="3341"/>
      <c r="V23" s="3341"/>
      <c r="W23" s="3341"/>
      <c r="X23" s="3341"/>
      <c r="Y23" s="3341"/>
      <c r="Z23" s="3341"/>
      <c r="AA23" s="3341"/>
      <c r="AB23" s="3341"/>
      <c r="AC23" s="3341"/>
      <c r="AD23" s="3341"/>
      <c r="AE23" s="3341"/>
      <c r="AF23" s="3341"/>
      <c r="AG23" s="3341"/>
      <c r="AH23" s="3341"/>
      <c r="AI23" s="3341"/>
      <c r="AJ23" s="3341"/>
      <c r="AK23" s="3341"/>
      <c r="AL23" s="3341"/>
      <c r="AM23" s="3341"/>
      <c r="AN23" s="3341"/>
      <c r="AO23" s="3341"/>
      <c r="AP23" s="3341"/>
      <c r="AQ23" s="3341"/>
      <c r="AR23" s="3341"/>
      <c r="AS23" s="3341"/>
      <c r="AT23" s="3341"/>
      <c r="AU23" s="3341"/>
      <c r="AV23" s="3341"/>
      <c r="AW23" s="3341"/>
      <c r="AX23" s="3341"/>
      <c r="AY23" s="4422"/>
    </row>
    <row r="24" spans="1:99" s="1" customFormat="1" ht="24.75" thickBot="1">
      <c r="A24" s="2423">
        <v>4</v>
      </c>
      <c r="B24" s="382" t="s">
        <v>952</v>
      </c>
      <c r="C24" s="4141"/>
      <c r="D24" s="4141"/>
      <c r="E24" s="4141"/>
      <c r="F24" s="2424">
        <f t="shared" ref="F24:J24" si="175">+F39*F45+F50*F56+F61*F67+F72*F78</f>
        <v>58</v>
      </c>
      <c r="G24" s="2424">
        <f>+G39*G45+G50*G56+G61*G67+G72*G78</f>
        <v>58</v>
      </c>
      <c r="H24" s="2424">
        <f t="shared" si="175"/>
        <v>16</v>
      </c>
      <c r="I24" s="2424">
        <f t="shared" si="175"/>
        <v>697.64262803374982</v>
      </c>
      <c r="J24" s="2425">
        <f t="shared" si="175"/>
        <v>802.48684150952124</v>
      </c>
      <c r="K24" s="4141"/>
      <c r="L24" s="4141"/>
      <c r="M24" s="4141"/>
      <c r="N24" s="2424">
        <f t="shared" ref="N24:Q24" si="176">+N39*N45+N50*N56+N61*N67+N72*N78</f>
        <v>0</v>
      </c>
      <c r="O24" s="2424">
        <f t="shared" si="176"/>
        <v>0</v>
      </c>
      <c r="P24" s="2424">
        <f t="shared" si="176"/>
        <v>0</v>
      </c>
      <c r="Q24" s="2424">
        <f t="shared" si="176"/>
        <v>172.20649493599879</v>
      </c>
      <c r="R24" s="2425">
        <f>+R39*R45+R50*R56+R61*R67+R72*R78</f>
        <v>198.08629899537857</v>
      </c>
      <c r="S24" s="4141"/>
      <c r="T24" s="4141"/>
      <c r="U24" s="4141"/>
      <c r="V24" s="2424">
        <f t="shared" ref="V24:Z24" si="177">+V39*V45+V50*V56+V61*V67+V72*V78</f>
        <v>0</v>
      </c>
      <c r="W24" s="2424">
        <f t="shared" si="177"/>
        <v>0</v>
      </c>
      <c r="X24" s="2424">
        <f t="shared" si="177"/>
        <v>0</v>
      </c>
      <c r="Y24" s="2424">
        <f t="shared" si="177"/>
        <v>188.15087703025154</v>
      </c>
      <c r="Z24" s="2426">
        <f t="shared" si="177"/>
        <v>216.4268594951003</v>
      </c>
      <c r="AA24" s="4141"/>
      <c r="AB24" s="4141"/>
      <c r="AC24" s="4141"/>
      <c r="AD24" s="2424">
        <f t="shared" ref="AD24:AH24" si="178">+AD39*AD45+AD50*AD56+AD61*AD67+AD72*AD78</f>
        <v>0</v>
      </c>
      <c r="AE24" s="2424">
        <f t="shared" si="178"/>
        <v>0</v>
      </c>
      <c r="AF24" s="2424">
        <f t="shared" si="178"/>
        <v>0</v>
      </c>
      <c r="AG24" s="2424">
        <f t="shared" si="178"/>
        <v>0</v>
      </c>
      <c r="AH24" s="2426">
        <f t="shared" si="178"/>
        <v>0</v>
      </c>
      <c r="AI24" s="4141"/>
      <c r="AJ24" s="4141"/>
      <c r="AK24" s="4141"/>
      <c r="AL24" s="2424">
        <f t="shared" ref="AL24:AP24" si="179">+AL39*AL45+AL50*AL56+AL61*AL67+AL72*AL78</f>
        <v>0</v>
      </c>
      <c r="AM24" s="2424">
        <f t="shared" si="179"/>
        <v>0</v>
      </c>
      <c r="AN24" s="2424">
        <f t="shared" si="179"/>
        <v>0</v>
      </c>
      <c r="AO24" s="2424">
        <f t="shared" si="179"/>
        <v>0</v>
      </c>
      <c r="AP24" s="2426">
        <f t="shared" si="179"/>
        <v>0</v>
      </c>
      <c r="AQ24" s="4141"/>
      <c r="AR24" s="4141"/>
      <c r="AS24" s="4141"/>
      <c r="AT24" s="2424">
        <f t="shared" ref="AT24" si="180">F24+N24+V24+AD24+AL24</f>
        <v>58</v>
      </c>
      <c r="AU24" s="2424">
        <f t="shared" ref="AU24" si="181">G24+O24+W24+AE24+AM24</f>
        <v>58</v>
      </c>
      <c r="AV24" s="2424">
        <f t="shared" ref="AV24" si="182">H24+P24+X24+AF24+AN24</f>
        <v>16</v>
      </c>
      <c r="AW24" s="2424">
        <f t="shared" ref="AW24" si="183">I24+Q24+Y24+AG24+AO24</f>
        <v>1058</v>
      </c>
      <c r="AX24" s="2426">
        <f t="shared" ref="AX24" si="184">J24+R24+Z24+AH24+AP24</f>
        <v>1217</v>
      </c>
      <c r="AY24" s="4422"/>
      <c r="AZ24" s="3"/>
      <c r="BA24" s="3"/>
      <c r="BB24" s="3"/>
      <c r="BC24" s="4438">
        <f>IFERROR(F24/$C$1,0)</f>
        <v>29.654929109380674</v>
      </c>
      <c r="BD24" s="4438">
        <f t="shared" ref="BD24" si="185">IFERROR(G24/$C$1,0)</f>
        <v>29.654929109380674</v>
      </c>
      <c r="BE24" s="4438">
        <f t="shared" ref="BE24" si="186">IFERROR(H24/$C$1,0)</f>
        <v>8.1806700991394958</v>
      </c>
      <c r="BF24" s="4438">
        <f t="shared" ref="BF24" si="187">IFERROR(I24/$C$1,0)</f>
        <v>356.69901169004964</v>
      </c>
      <c r="BG24" s="4438">
        <f t="shared" ref="BG24" si="188">IFERROR(J24/$C$1,0)</f>
        <v>410.30500683061473</v>
      </c>
      <c r="BH24" s="3"/>
      <c r="BI24" s="3"/>
      <c r="BJ24" s="3"/>
      <c r="BK24" s="4438">
        <f>IFERROR(N24/$C$1,0)</f>
        <v>0</v>
      </c>
      <c r="BL24" s="4438">
        <f t="shared" ref="BL24" si="189">IFERROR(O24/$C$1,0)</f>
        <v>0</v>
      </c>
      <c r="BM24" s="4438">
        <f t="shared" ref="BM24" si="190">IFERROR(P24/$C$1,0)</f>
        <v>0</v>
      </c>
      <c r="BN24" s="4438">
        <f t="shared" ref="BN24" si="191">IFERROR(Q24/$C$1,0)</f>
        <v>88.047782750033889</v>
      </c>
      <c r="BO24" s="4438">
        <f t="shared" ref="BO24" si="192">IFERROR(R24/$C$1,0)</f>
        <v>101.27991645254372</v>
      </c>
      <c r="BP24" s="3"/>
      <c r="BQ24" s="3"/>
      <c r="BR24" s="3"/>
      <c r="BS24" s="4438">
        <f>IFERROR(V24/$C$1,0)</f>
        <v>0</v>
      </c>
      <c r="BT24" s="4438">
        <f t="shared" ref="BT24" si="193">IFERROR(W24/$C$1,0)</f>
        <v>0</v>
      </c>
      <c r="BU24" s="4438">
        <f t="shared" ref="BU24" si="194">IFERROR(X24/$C$1,0)</f>
        <v>0</v>
      </c>
      <c r="BV24" s="4438">
        <f t="shared" ref="BV24" si="195">IFERROR(Y24/$C$1,0)</f>
        <v>96.200015865515681</v>
      </c>
      <c r="BW24" s="4438">
        <f t="shared" ref="BW24" si="196">IFERROR(Z24/$C$1,0)</f>
        <v>110.6572961326395</v>
      </c>
      <c r="BX24" s="3"/>
      <c r="BY24" s="3"/>
      <c r="BZ24" s="3"/>
      <c r="CA24" s="4438">
        <f>IFERROR(AD24/$C$1,0)</f>
        <v>0</v>
      </c>
      <c r="CB24" s="4438">
        <f t="shared" ref="CB24" si="197">IFERROR(AE24/$C$1,0)</f>
        <v>0</v>
      </c>
      <c r="CC24" s="4438">
        <f t="shared" ref="CC24" si="198">IFERROR(AF24/$C$1,0)</f>
        <v>0</v>
      </c>
      <c r="CD24" s="4438">
        <f t="shared" ref="CD24" si="199">IFERROR(AG24/$C$1,0)</f>
        <v>0</v>
      </c>
      <c r="CE24" s="4438">
        <f t="shared" ref="CE24" si="200">IFERROR(AH24/$C$1,0)</f>
        <v>0</v>
      </c>
      <c r="CF24" s="3"/>
      <c r="CG24" s="3"/>
      <c r="CH24" s="3"/>
      <c r="CI24" s="4438">
        <f>IFERROR(AL24/$C$1,0)</f>
        <v>0</v>
      </c>
      <c r="CJ24" s="4438">
        <f t="shared" ref="CJ24" si="201">IFERROR(AM24/$C$1,0)</f>
        <v>0</v>
      </c>
      <c r="CK24" s="4438">
        <f t="shared" ref="CK24" si="202">IFERROR(AN24/$C$1,0)</f>
        <v>0</v>
      </c>
      <c r="CL24" s="4438">
        <f t="shared" ref="CL24" si="203">IFERROR(AO24/$C$1,0)</f>
        <v>0</v>
      </c>
      <c r="CM24" s="4438">
        <f t="shared" ref="CM24" si="204">IFERROR(AP24/$C$1,0)</f>
        <v>0</v>
      </c>
      <c r="CN24" s="3"/>
      <c r="CO24" s="3"/>
      <c r="CP24" s="3"/>
      <c r="CQ24" s="4438">
        <f>IFERROR(AT24/$C$1,0)</f>
        <v>29.654929109380674</v>
      </c>
      <c r="CR24" s="4438">
        <f t="shared" ref="CR24" si="205">IFERROR(AU24/$C$1,0)</f>
        <v>29.654929109380674</v>
      </c>
      <c r="CS24" s="4438">
        <f t="shared" ref="CS24" si="206">IFERROR(AV24/$C$1,0)</f>
        <v>8.1806700991394958</v>
      </c>
      <c r="CT24" s="4438">
        <f t="shared" ref="CT24" si="207">IFERROR(AW24/$C$1,0)</f>
        <v>540.94681030559912</v>
      </c>
      <c r="CU24" s="4438">
        <f t="shared" ref="CU24" si="208">IFERROR(AX24/$C$1,0)</f>
        <v>622.24221941579788</v>
      </c>
    </row>
    <row r="25" spans="1:99" s="1" customFormat="1" ht="13.5" thickBot="1">
      <c r="A25" s="1743"/>
      <c r="B25" s="2427"/>
      <c r="C25" s="3342"/>
      <c r="D25" s="3342"/>
      <c r="E25" s="3342"/>
      <c r="F25" s="3342"/>
      <c r="G25" s="3342"/>
      <c r="H25" s="3342"/>
      <c r="I25" s="3342"/>
      <c r="J25" s="3342"/>
      <c r="K25" s="3342"/>
      <c r="L25" s="3342"/>
      <c r="M25" s="3342"/>
      <c r="N25" s="3337"/>
      <c r="O25" s="3329"/>
      <c r="P25" s="3329"/>
      <c r="Q25" s="3329"/>
      <c r="R25" s="3329"/>
      <c r="S25" s="3342"/>
      <c r="T25" s="3342"/>
      <c r="U25" s="3342"/>
      <c r="V25" s="3329"/>
      <c r="W25" s="3329"/>
      <c r="X25" s="3329"/>
      <c r="Y25" s="3329"/>
      <c r="Z25" s="3329"/>
      <c r="AA25" s="3342"/>
      <c r="AB25" s="3342"/>
      <c r="AC25" s="3342"/>
      <c r="AD25" s="3329"/>
      <c r="AE25" s="3329"/>
      <c r="AF25" s="3329"/>
      <c r="AG25" s="3329"/>
      <c r="AH25" s="3329"/>
      <c r="AI25" s="3342"/>
      <c r="AJ25" s="3342"/>
      <c r="AK25" s="3342"/>
      <c r="AL25" s="3329"/>
      <c r="AM25" s="3329"/>
      <c r="AN25" s="3329"/>
      <c r="AO25" s="3329"/>
      <c r="AP25" s="3329"/>
      <c r="AQ25" s="3342"/>
      <c r="AR25" s="3342"/>
      <c r="AS25" s="3342"/>
      <c r="AT25" s="3329"/>
      <c r="AU25" s="3329"/>
      <c r="AV25" s="3329"/>
      <c r="AW25" s="3329"/>
      <c r="AX25" s="3329"/>
      <c r="AY25" s="4422"/>
    </row>
    <row r="26" spans="1:99" s="1" customFormat="1">
      <c r="A26" s="2428" t="s">
        <v>568</v>
      </c>
      <c r="B26" s="3815" t="s">
        <v>943</v>
      </c>
      <c r="C26" s="384"/>
      <c r="D26" s="384"/>
      <c r="E26" s="384"/>
      <c r="F26" s="3343">
        <f>'11. Амортиз. план'!G35</f>
        <v>445.55350990362297</v>
      </c>
      <c r="G26" s="3343">
        <f>'11. Амортиз. план'!H35</f>
        <v>500.76902917739545</v>
      </c>
      <c r="H26" s="3343">
        <f>'11. Амортиз. план'!I35</f>
        <v>537.17051184677211</v>
      </c>
      <c r="I26" s="3343">
        <f>'11. Амортиз. план'!J35</f>
        <v>567.11976345772121</v>
      </c>
      <c r="J26" s="3344">
        <f>'11. Амортиз. план'!K35</f>
        <v>586.12238888054344</v>
      </c>
      <c r="K26" s="384"/>
      <c r="L26" s="384"/>
      <c r="M26" s="384"/>
      <c r="N26" s="3343">
        <f>'11. Амортиз. план'!N35</f>
        <v>56.708742648501243</v>
      </c>
      <c r="O26" s="3343">
        <f>'11. Амортиз. план'!O35</f>
        <v>56.906983477187197</v>
      </c>
      <c r="P26" s="3343">
        <f>'11. Амортиз. план'!P35</f>
        <v>-12.295318230304865</v>
      </c>
      <c r="Q26" s="3343">
        <f>'11. Амортиз. план'!Q35</f>
        <v>-12.841088004749871</v>
      </c>
      <c r="R26" s="3345">
        <f>'11. Амортиз. план'!R35</f>
        <v>-13.097535492124287</v>
      </c>
      <c r="S26" s="384"/>
      <c r="T26" s="384"/>
      <c r="U26" s="384"/>
      <c r="V26" s="3343">
        <f>'11. Амортиз. план'!U35</f>
        <v>59.827747447875652</v>
      </c>
      <c r="W26" s="3343">
        <f>'11. Амортиз. план'!V35</f>
        <v>61.403987345417235</v>
      </c>
      <c r="X26" s="3343">
        <f>'11. Амортиз. план'!W35</f>
        <v>62.344806383532394</v>
      </c>
      <c r="Y26" s="3343">
        <f>'11. Амортиз. план'!X35</f>
        <v>62.741324547028569</v>
      </c>
      <c r="Z26" s="3344">
        <f>'11. Амортиз. план'!Y35</f>
        <v>62.835146611581031</v>
      </c>
      <c r="AA26" s="384"/>
      <c r="AB26" s="384"/>
      <c r="AC26" s="384"/>
      <c r="AD26" s="3343">
        <f>'11. Амортиз. план'!AB35</f>
        <v>0</v>
      </c>
      <c r="AE26" s="3343">
        <f>'11. Амортиз. план'!AC35</f>
        <v>0</v>
      </c>
      <c r="AF26" s="3343">
        <f>'11. Амортиз. план'!AD35</f>
        <v>0</v>
      </c>
      <c r="AG26" s="3343">
        <f>'11. Амортиз. план'!AE35</f>
        <v>0</v>
      </c>
      <c r="AH26" s="3344">
        <f>'11. Амортиз. план'!AF35</f>
        <v>0</v>
      </c>
      <c r="AI26" s="384"/>
      <c r="AJ26" s="384"/>
      <c r="AK26" s="384"/>
      <c r="AL26" s="3343">
        <f>'11. Амортиз. план'!AI35</f>
        <v>0</v>
      </c>
      <c r="AM26" s="3343">
        <f>'11. Амортиз. план'!AJ35</f>
        <v>0</v>
      </c>
      <c r="AN26" s="3343">
        <f>'11. Амортиз. план'!AK35</f>
        <v>0</v>
      </c>
      <c r="AO26" s="3343">
        <f>'11. Амортиз. план'!AL35</f>
        <v>0</v>
      </c>
      <c r="AP26" s="3344">
        <f>'11. Амортиз. план'!AM35</f>
        <v>0</v>
      </c>
      <c r="AQ26" s="384"/>
      <c r="AR26" s="384"/>
      <c r="AS26" s="384"/>
      <c r="AT26" s="3343">
        <f t="shared" ref="AT26:AX26" si="209">F26+N26+V26+AD26+AL26</f>
        <v>562.08999999999992</v>
      </c>
      <c r="AU26" s="3343">
        <f t="shared" si="209"/>
        <v>619.07999999999993</v>
      </c>
      <c r="AV26" s="3343">
        <f t="shared" si="209"/>
        <v>587.21999999999969</v>
      </c>
      <c r="AW26" s="3343">
        <f t="shared" si="209"/>
        <v>617.02</v>
      </c>
      <c r="AX26" s="3344">
        <f t="shared" si="209"/>
        <v>635.86000000000024</v>
      </c>
      <c r="AY26" s="4422"/>
      <c r="AZ26" s="3"/>
      <c r="BA26" s="3"/>
      <c r="BB26" s="3"/>
      <c r="BC26" s="4438">
        <f t="shared" ref="BC26:BC31" si="210">IFERROR(F26/$C$1,0)</f>
        <v>227.80789225220136</v>
      </c>
      <c r="BD26" s="4438">
        <f t="shared" ref="BD26:BD31" si="211">IFERROR(G26/$C$1,0)</f>
        <v>256.03913897291454</v>
      </c>
      <c r="BE26" s="4438">
        <f t="shared" ref="BE26:BE31" si="212">IFERROR(H26/$C$1,0)</f>
        <v>274.65092152527171</v>
      </c>
      <c r="BF26" s="4438">
        <f t="shared" ref="BF26:BF31" si="213">IFERROR(I26/$C$1,0)</f>
        <v>289.9637307218527</v>
      </c>
      <c r="BG26" s="4438">
        <f t="shared" ref="BG26:BG31" si="214">IFERROR(J26/$C$1,0)</f>
        <v>299.67961882195459</v>
      </c>
      <c r="BH26" s="3"/>
      <c r="BI26" s="3"/>
      <c r="BJ26" s="3"/>
      <c r="BK26" s="4438">
        <f t="shared" ref="BK26:BK31" si="215">IFERROR(N26/$C$1,0)</f>
        <v>28.994719709024427</v>
      </c>
      <c r="BL26" s="4438">
        <f t="shared" ref="BL26:BL31" si="216">IFERROR(O26/$C$1,0)</f>
        <v>29.096078635253164</v>
      </c>
      <c r="BM26" s="4438">
        <f t="shared" ref="BM26:BM31" si="217">IFERROR(P26/$C$1,0)</f>
        <v>-6.2864963878787341</v>
      </c>
      <c r="BN26" s="4438">
        <f t="shared" ref="BN26:BN31" si="218">IFERROR(Q26/$C$1,0)</f>
        <v>-6.5655440425547571</v>
      </c>
      <c r="BO26" s="4438">
        <f t="shared" ref="BO26:BO31" si="219">IFERROR(R26/$C$1,0)</f>
        <v>-6.6966635608024658</v>
      </c>
      <c r="BP26" s="3"/>
      <c r="BQ26" s="3"/>
      <c r="BR26" s="3"/>
      <c r="BS26" s="4438">
        <f t="shared" ref="BS26:BS31" si="220">IFERROR(V26/$C$1,0)</f>
        <v>30.589441540356603</v>
      </c>
      <c r="BT26" s="4438">
        <f t="shared" ref="BT26:BT31" si="221">IFERROR(W26/$C$1,0)</f>
        <v>31.395360202787174</v>
      </c>
      <c r="BU26" s="4438">
        <f t="shared" ref="BU26:BU31" si="222">IFERROR(X26/$C$1,0)</f>
        <v>31.876393338650288</v>
      </c>
      <c r="BV26" s="4438">
        <f t="shared" ref="BV26:BV31" si="223">IFERROR(Y26/$C$1,0)</f>
        <v>32.079129856392719</v>
      </c>
      <c r="BW26" s="4438">
        <f t="shared" ref="BW26:BW31" si="224">IFERROR(Z26/$C$1,0)</f>
        <v>32.12710031627546</v>
      </c>
      <c r="BX26" s="3"/>
      <c r="BY26" s="3"/>
      <c r="BZ26" s="3"/>
      <c r="CA26" s="4438">
        <f t="shared" ref="CA26:CA31" si="225">IFERROR(AD26/$C$1,0)</f>
        <v>0</v>
      </c>
      <c r="CB26" s="4438">
        <f t="shared" ref="CB26:CB31" si="226">IFERROR(AE26/$C$1,0)</f>
        <v>0</v>
      </c>
      <c r="CC26" s="4438">
        <f t="shared" ref="CC26:CC31" si="227">IFERROR(AF26/$C$1,0)</f>
        <v>0</v>
      </c>
      <c r="CD26" s="4438">
        <f t="shared" ref="CD26:CD31" si="228">IFERROR(AG26/$C$1,0)</f>
        <v>0</v>
      </c>
      <c r="CE26" s="4438">
        <f t="shared" ref="CE26:CE31" si="229">IFERROR(AH26/$C$1,0)</f>
        <v>0</v>
      </c>
      <c r="CF26" s="3"/>
      <c r="CG26" s="3"/>
      <c r="CH26" s="3"/>
      <c r="CI26" s="4438">
        <f t="shared" ref="CI26:CI31" si="230">IFERROR(AL26/$C$1,0)</f>
        <v>0</v>
      </c>
      <c r="CJ26" s="4438">
        <f t="shared" ref="CJ26:CJ31" si="231">IFERROR(AM26/$C$1,0)</f>
        <v>0</v>
      </c>
      <c r="CK26" s="4438">
        <f t="shared" ref="CK26:CK31" si="232">IFERROR(AN26/$C$1,0)</f>
        <v>0</v>
      </c>
      <c r="CL26" s="4438">
        <f t="shared" ref="CL26:CL31" si="233">IFERROR(AO26/$C$1,0)</f>
        <v>0</v>
      </c>
      <c r="CM26" s="4438">
        <f t="shared" ref="CM26:CM31" si="234">IFERROR(AP26/$C$1,0)</f>
        <v>0</v>
      </c>
      <c r="CN26" s="3"/>
      <c r="CO26" s="3"/>
      <c r="CP26" s="3"/>
      <c r="CQ26" s="4438">
        <f t="shared" ref="CQ26:CQ31" si="235">IFERROR(AT26/$C$1,0)</f>
        <v>287.39205350158244</v>
      </c>
      <c r="CR26" s="4438">
        <f t="shared" ref="CR26:CR31" si="236">IFERROR(AU26/$C$1,0)</f>
        <v>316.53057781095492</v>
      </c>
      <c r="CS26" s="4438">
        <f t="shared" ref="CS26:CS31" si="237">IFERROR(AV26/$C$1,0)</f>
        <v>300.24081847604327</v>
      </c>
      <c r="CT26" s="4438">
        <f t="shared" ref="CT26:CT31" si="238">IFERROR(AW26/$C$1,0)</f>
        <v>315.4773165356907</v>
      </c>
      <c r="CU26" s="4438">
        <f t="shared" ref="CU26:CU31" si="239">IFERROR(AX26/$C$1,0)</f>
        <v>325.1100555774276</v>
      </c>
    </row>
    <row r="27" spans="1:99" s="1" customFormat="1" ht="24">
      <c r="A27" s="2429" t="s">
        <v>569</v>
      </c>
      <c r="B27" s="871" t="s">
        <v>942</v>
      </c>
      <c r="C27" s="383"/>
      <c r="D27" s="383"/>
      <c r="E27" s="383"/>
      <c r="F27" s="2430">
        <f t="shared" ref="F27:AP27" si="240">F26-F15</f>
        <v>422.88684323695628</v>
      </c>
      <c r="G27" s="2430">
        <f t="shared" si="240"/>
        <v>493.10236251072877</v>
      </c>
      <c r="H27" s="2430">
        <f t="shared" si="240"/>
        <v>529.50384518010549</v>
      </c>
      <c r="I27" s="2430">
        <f t="shared" si="240"/>
        <v>559.45309679105458</v>
      </c>
      <c r="J27" s="2431">
        <f t="shared" si="240"/>
        <v>578.45572221387681</v>
      </c>
      <c r="K27" s="383"/>
      <c r="L27" s="383"/>
      <c r="M27" s="383"/>
      <c r="N27" s="2430">
        <f t="shared" si="240"/>
        <v>30.042075981834579</v>
      </c>
      <c r="O27" s="2430">
        <f t="shared" si="240"/>
        <v>49.240316810520532</v>
      </c>
      <c r="P27" s="2430">
        <f t="shared" si="240"/>
        <v>-19.961984896971529</v>
      </c>
      <c r="Q27" s="2430">
        <f t="shared" si="240"/>
        <v>-20.507754671416535</v>
      </c>
      <c r="R27" s="2432">
        <f t="shared" si="240"/>
        <v>-20.764202158790951</v>
      </c>
      <c r="S27" s="383"/>
      <c r="T27" s="383"/>
      <c r="U27" s="383"/>
      <c r="V27" s="2430">
        <f t="shared" si="240"/>
        <v>37.161080781208987</v>
      </c>
      <c r="W27" s="2430">
        <f t="shared" si="240"/>
        <v>53.737320678750571</v>
      </c>
      <c r="X27" s="2430">
        <f t="shared" si="240"/>
        <v>54.678139716865729</v>
      </c>
      <c r="Y27" s="2430">
        <f t="shared" si="240"/>
        <v>55.074657880361904</v>
      </c>
      <c r="Z27" s="2431">
        <f t="shared" si="240"/>
        <v>55.168479944914367</v>
      </c>
      <c r="AA27" s="383"/>
      <c r="AB27" s="383"/>
      <c r="AC27" s="383"/>
      <c r="AD27" s="2430">
        <f t="shared" si="240"/>
        <v>0</v>
      </c>
      <c r="AE27" s="2430">
        <f t="shared" si="240"/>
        <v>0</v>
      </c>
      <c r="AF27" s="2430">
        <f t="shared" si="240"/>
        <v>0</v>
      </c>
      <c r="AG27" s="2430">
        <f t="shared" si="240"/>
        <v>0</v>
      </c>
      <c r="AH27" s="2431">
        <f t="shared" si="240"/>
        <v>0</v>
      </c>
      <c r="AI27" s="383"/>
      <c r="AJ27" s="383"/>
      <c r="AK27" s="383"/>
      <c r="AL27" s="2430">
        <f t="shared" si="240"/>
        <v>0</v>
      </c>
      <c r="AM27" s="2430">
        <f t="shared" si="240"/>
        <v>0</v>
      </c>
      <c r="AN27" s="2430">
        <f t="shared" si="240"/>
        <v>0</v>
      </c>
      <c r="AO27" s="2430">
        <f t="shared" si="240"/>
        <v>0</v>
      </c>
      <c r="AP27" s="2431">
        <f t="shared" si="240"/>
        <v>0</v>
      </c>
      <c r="AQ27" s="383"/>
      <c r="AR27" s="383"/>
      <c r="AS27" s="383"/>
      <c r="AT27" s="2430">
        <f t="shared" ref="AT27:AX27" si="241">AT26-AT15</f>
        <v>490.08999999999992</v>
      </c>
      <c r="AU27" s="2430">
        <f t="shared" si="241"/>
        <v>596.07999999999993</v>
      </c>
      <c r="AV27" s="2430">
        <f t="shared" si="241"/>
        <v>564.21999999999969</v>
      </c>
      <c r="AW27" s="2430">
        <f t="shared" si="241"/>
        <v>594.02</v>
      </c>
      <c r="AX27" s="2431">
        <f t="shared" si="241"/>
        <v>612.86000000000024</v>
      </c>
      <c r="AY27" s="4422"/>
      <c r="AZ27" s="3"/>
      <c r="BA27" s="3"/>
      <c r="BB27" s="3"/>
      <c r="BC27" s="4438">
        <f t="shared" si="210"/>
        <v>216.21860961175372</v>
      </c>
      <c r="BD27" s="4438">
        <f t="shared" si="211"/>
        <v>252.1192345504102</v>
      </c>
      <c r="BE27" s="4438">
        <f t="shared" si="212"/>
        <v>270.73101710276734</v>
      </c>
      <c r="BF27" s="4438">
        <f t="shared" si="213"/>
        <v>286.04382629934838</v>
      </c>
      <c r="BG27" s="4438">
        <f t="shared" si="214"/>
        <v>295.75971439945027</v>
      </c>
      <c r="BH27" s="3"/>
      <c r="BI27" s="3"/>
      <c r="BJ27" s="3"/>
      <c r="BK27" s="4438">
        <f t="shared" si="215"/>
        <v>15.360269543791935</v>
      </c>
      <c r="BL27" s="4438">
        <f t="shared" si="216"/>
        <v>25.176174212748826</v>
      </c>
      <c r="BM27" s="4438">
        <f t="shared" si="217"/>
        <v>-10.206400810383075</v>
      </c>
      <c r="BN27" s="4438">
        <f t="shared" si="218"/>
        <v>-10.485448465059099</v>
      </c>
      <c r="BO27" s="4438">
        <f t="shared" si="219"/>
        <v>-10.616567983306807</v>
      </c>
      <c r="BP27" s="3"/>
      <c r="BQ27" s="3"/>
      <c r="BR27" s="3"/>
      <c r="BS27" s="4438">
        <f t="shared" si="220"/>
        <v>19.000158899908985</v>
      </c>
      <c r="BT27" s="4438">
        <f t="shared" si="221"/>
        <v>27.475455780282832</v>
      </c>
      <c r="BU27" s="4438">
        <f t="shared" si="222"/>
        <v>27.956488916145947</v>
      </c>
      <c r="BV27" s="4438">
        <f t="shared" si="223"/>
        <v>28.159225433888377</v>
      </c>
      <c r="BW27" s="4438">
        <f t="shared" si="224"/>
        <v>28.207195893771118</v>
      </c>
      <c r="BX27" s="3"/>
      <c r="BY27" s="3"/>
      <c r="BZ27" s="3"/>
      <c r="CA27" s="4438">
        <f t="shared" si="225"/>
        <v>0</v>
      </c>
      <c r="CB27" s="4438">
        <f t="shared" si="226"/>
        <v>0</v>
      </c>
      <c r="CC27" s="4438">
        <f t="shared" si="227"/>
        <v>0</v>
      </c>
      <c r="CD27" s="4438">
        <f t="shared" si="228"/>
        <v>0</v>
      </c>
      <c r="CE27" s="4438">
        <f t="shared" si="229"/>
        <v>0</v>
      </c>
      <c r="CF27" s="3"/>
      <c r="CG27" s="3"/>
      <c r="CH27" s="3"/>
      <c r="CI27" s="4438">
        <f t="shared" si="230"/>
        <v>0</v>
      </c>
      <c r="CJ27" s="4438">
        <f t="shared" si="231"/>
        <v>0</v>
      </c>
      <c r="CK27" s="4438">
        <f t="shared" si="232"/>
        <v>0</v>
      </c>
      <c r="CL27" s="4438">
        <f t="shared" si="233"/>
        <v>0</v>
      </c>
      <c r="CM27" s="4438">
        <f t="shared" si="234"/>
        <v>0</v>
      </c>
      <c r="CN27" s="3"/>
      <c r="CO27" s="3"/>
      <c r="CP27" s="3"/>
      <c r="CQ27" s="4438">
        <f t="shared" si="235"/>
        <v>250.57903805545467</v>
      </c>
      <c r="CR27" s="4438">
        <f t="shared" si="236"/>
        <v>304.77086454344186</v>
      </c>
      <c r="CS27" s="4438">
        <f t="shared" si="237"/>
        <v>288.48110520853027</v>
      </c>
      <c r="CT27" s="4438">
        <f t="shared" si="238"/>
        <v>303.7176032681777</v>
      </c>
      <c r="CU27" s="4438">
        <f t="shared" si="239"/>
        <v>313.35034230991459</v>
      </c>
    </row>
    <row r="28" spans="1:99" s="1" customFormat="1" ht="24">
      <c r="A28" s="2429" t="s">
        <v>956</v>
      </c>
      <c r="B28" s="3816" t="s">
        <v>944</v>
      </c>
      <c r="C28" s="383"/>
      <c r="D28" s="383"/>
      <c r="E28" s="383"/>
      <c r="F28" s="3346">
        <f>'11. Амортиз. план'!G131</f>
        <v>557.78384516617064</v>
      </c>
      <c r="G28" s="3346">
        <f>'11. Амортиз. план'!H131</f>
        <v>827.83516164315643</v>
      </c>
      <c r="H28" s="3346">
        <f>'11. Амортиз. план'!I131</f>
        <v>1149.4192322207678</v>
      </c>
      <c r="I28" s="3346">
        <f>'11. Амортиз. план'!J131</f>
        <v>1356.0780045234512</v>
      </c>
      <c r="J28" s="3347">
        <f>'11. Амортиз. план'!K131</f>
        <v>1461.0951794967566</v>
      </c>
      <c r="K28" s="383"/>
      <c r="L28" s="383"/>
      <c r="M28" s="383"/>
      <c r="N28" s="3346">
        <f>'11. Амортиз. план'!N131</f>
        <v>57.917716880257544</v>
      </c>
      <c r="O28" s="3346">
        <f>'11. Амортиз. план'!O131</f>
        <v>100.00904484736972</v>
      </c>
      <c r="P28" s="3346">
        <f>'11. Амортиз. план'!P131</f>
        <v>149.43960943732924</v>
      </c>
      <c r="Q28" s="3346">
        <f>'11. Амортиз. план'!Q131</f>
        <v>176.12603401038271</v>
      </c>
      <c r="R28" s="3348">
        <f>'11. Амортиз. план'!R131</f>
        <v>180.12337770303222</v>
      </c>
      <c r="S28" s="383"/>
      <c r="T28" s="383"/>
      <c r="U28" s="383"/>
      <c r="V28" s="3346">
        <f>'11. Амортиз. план'!U131</f>
        <v>82.981060313571732</v>
      </c>
      <c r="W28" s="3346">
        <f>'11. Амортиз. план'!V131</f>
        <v>169.71128294947394</v>
      </c>
      <c r="X28" s="3346">
        <f>'11. Амортиз. план'!W131</f>
        <v>280.70713722190305</v>
      </c>
      <c r="Y28" s="3346">
        <f>'11. Амортиз. план'!X131</f>
        <v>339.43718506616591</v>
      </c>
      <c r="Z28" s="3347">
        <f>'11. Амортиз. план'!Y131</f>
        <v>349.97266640021132</v>
      </c>
      <c r="AA28" s="383"/>
      <c r="AB28" s="383"/>
      <c r="AC28" s="383"/>
      <c r="AD28" s="3346">
        <f>'11. Амортиз. план'!AB131</f>
        <v>0</v>
      </c>
      <c r="AE28" s="3346">
        <f>'11. Амортиз. план'!AC131</f>
        <v>0</v>
      </c>
      <c r="AF28" s="3346">
        <f>'11. Амортиз. план'!AD131</f>
        <v>0</v>
      </c>
      <c r="AG28" s="3346">
        <f>'11. Амортиз. план'!AE131</f>
        <v>0</v>
      </c>
      <c r="AH28" s="3347">
        <f>'11. Амортиз. план'!AF131</f>
        <v>0</v>
      </c>
      <c r="AI28" s="383"/>
      <c r="AJ28" s="383"/>
      <c r="AK28" s="383"/>
      <c r="AL28" s="3346">
        <f>'11. Амортиз. план'!AI131</f>
        <v>0</v>
      </c>
      <c r="AM28" s="3346">
        <f>'11. Амортиз. план'!AJ131</f>
        <v>0</v>
      </c>
      <c r="AN28" s="3346">
        <f>'11. Амортиз. план'!AK131</f>
        <v>0</v>
      </c>
      <c r="AO28" s="3346">
        <f>'11. Амортиз. план'!AL131</f>
        <v>0</v>
      </c>
      <c r="AP28" s="3347">
        <f>'11. Амортиз. план'!AM131</f>
        <v>0</v>
      </c>
      <c r="AQ28" s="383"/>
      <c r="AR28" s="383"/>
      <c r="AS28" s="383"/>
      <c r="AT28" s="3346">
        <f t="shared" ref="AT28:AX31" si="242">F28+N28+V28+AD28+AL28</f>
        <v>698.68262235999987</v>
      </c>
      <c r="AU28" s="3346">
        <f t="shared" si="242"/>
        <v>1097.5554894400002</v>
      </c>
      <c r="AV28" s="3346">
        <f t="shared" si="242"/>
        <v>1579.5659788799999</v>
      </c>
      <c r="AW28" s="3346">
        <f t="shared" si="242"/>
        <v>1871.6412235999999</v>
      </c>
      <c r="AX28" s="3347">
        <f t="shared" si="242"/>
        <v>1991.1912236000003</v>
      </c>
      <c r="AY28" s="4422"/>
      <c r="AZ28" s="3"/>
      <c r="BA28" s="3"/>
      <c r="BB28" s="3"/>
      <c r="BC28" s="4438">
        <f t="shared" si="210"/>
        <v>285.19035149587165</v>
      </c>
      <c r="BD28" s="4438">
        <f t="shared" si="211"/>
        <v>423.26539711690509</v>
      </c>
      <c r="BE28" s="4438">
        <f t="shared" si="212"/>
        <v>587.68872152526944</v>
      </c>
      <c r="BF28" s="4438">
        <f t="shared" si="213"/>
        <v>693.35167398160945</v>
      </c>
      <c r="BG28" s="4438">
        <f t="shared" si="214"/>
        <v>747.04610293162318</v>
      </c>
      <c r="BH28" s="3"/>
      <c r="BI28" s="3"/>
      <c r="BJ28" s="3"/>
      <c r="BK28" s="4438">
        <f t="shared" si="215"/>
        <v>29.612858418296859</v>
      </c>
      <c r="BL28" s="4438">
        <f t="shared" si="216"/>
        <v>51.133812676648645</v>
      </c>
      <c r="BM28" s="4438">
        <f t="shared" si="217"/>
        <v>76.40725903444023</v>
      </c>
      <c r="BN28" s="4438">
        <f t="shared" si="218"/>
        <v>90.051811256797734</v>
      </c>
      <c r="BO28" s="4438">
        <f t="shared" si="219"/>
        <v>92.09562063320034</v>
      </c>
      <c r="BP28" s="3"/>
      <c r="BQ28" s="3"/>
      <c r="BR28" s="3"/>
      <c r="BS28" s="4438">
        <f t="shared" si="220"/>
        <v>42.42754243138296</v>
      </c>
      <c r="BT28" s="4438">
        <f t="shared" si="221"/>
        <v>86.772001119460256</v>
      </c>
      <c r="BU28" s="4438">
        <f t="shared" si="222"/>
        <v>143.52328025539185</v>
      </c>
      <c r="BV28" s="4438">
        <f t="shared" si="223"/>
        <v>173.55147690042892</v>
      </c>
      <c r="BW28" s="4438">
        <f t="shared" si="224"/>
        <v>178.93818297102067</v>
      </c>
      <c r="BX28" s="3"/>
      <c r="BY28" s="3"/>
      <c r="BZ28" s="3"/>
      <c r="CA28" s="4438">
        <f t="shared" si="225"/>
        <v>0</v>
      </c>
      <c r="CB28" s="4438">
        <f t="shared" si="226"/>
        <v>0</v>
      </c>
      <c r="CC28" s="4438">
        <f t="shared" si="227"/>
        <v>0</v>
      </c>
      <c r="CD28" s="4438">
        <f t="shared" si="228"/>
        <v>0</v>
      </c>
      <c r="CE28" s="4438">
        <f t="shared" si="229"/>
        <v>0</v>
      </c>
      <c r="CF28" s="3"/>
      <c r="CG28" s="3"/>
      <c r="CH28" s="3"/>
      <c r="CI28" s="4438">
        <f t="shared" si="230"/>
        <v>0</v>
      </c>
      <c r="CJ28" s="4438">
        <f t="shared" si="231"/>
        <v>0</v>
      </c>
      <c r="CK28" s="4438">
        <f t="shared" si="232"/>
        <v>0</v>
      </c>
      <c r="CL28" s="4438">
        <f t="shared" si="233"/>
        <v>0</v>
      </c>
      <c r="CM28" s="4438">
        <f t="shared" si="234"/>
        <v>0</v>
      </c>
      <c r="CN28" s="3"/>
      <c r="CO28" s="3"/>
      <c r="CP28" s="3"/>
      <c r="CQ28" s="4438">
        <f t="shared" si="235"/>
        <v>357.23075234555142</v>
      </c>
      <c r="CR28" s="4438">
        <f t="shared" si="236"/>
        <v>561.17121091301408</v>
      </c>
      <c r="CS28" s="4438">
        <f t="shared" si="237"/>
        <v>807.61926081510148</v>
      </c>
      <c r="CT28" s="4438">
        <f t="shared" si="238"/>
        <v>956.95496213883621</v>
      </c>
      <c r="CU28" s="4438">
        <f t="shared" si="239"/>
        <v>1018.0799065358443</v>
      </c>
    </row>
    <row r="29" spans="1:99" s="1" customFormat="1" ht="36">
      <c r="A29" s="2429" t="s">
        <v>957</v>
      </c>
      <c r="B29" s="871" t="s">
        <v>945</v>
      </c>
      <c r="C29" s="383"/>
      <c r="D29" s="383"/>
      <c r="E29" s="383"/>
      <c r="F29" s="2430">
        <f t="shared" ref="F29:AP29" si="243">F28-F18-F24</f>
        <v>-578.54948816716262</v>
      </c>
      <c r="G29" s="2430">
        <f>G28-G18-G24</f>
        <v>-375.49817169017683</v>
      </c>
      <c r="H29" s="2430">
        <f t="shared" si="243"/>
        <v>-205.24743444589876</v>
      </c>
      <c r="I29" s="2430">
        <f t="shared" si="243"/>
        <v>-496.29795684363194</v>
      </c>
      <c r="J29" s="2431">
        <f t="shared" si="243"/>
        <v>-466.05832867943116</v>
      </c>
      <c r="K29" s="383"/>
      <c r="L29" s="383"/>
      <c r="M29" s="383"/>
      <c r="N29" s="2430">
        <f t="shared" si="243"/>
        <v>-406.41561645307576</v>
      </c>
      <c r="O29" s="2430">
        <f t="shared" si="243"/>
        <v>-389.32428848596362</v>
      </c>
      <c r="P29" s="2430">
        <f t="shared" si="243"/>
        <v>-216.22705722933739</v>
      </c>
      <c r="Q29" s="2430">
        <f t="shared" si="243"/>
        <v>-327.81379425894937</v>
      </c>
      <c r="R29" s="2432">
        <f t="shared" si="243"/>
        <v>-363.62958795901295</v>
      </c>
      <c r="S29" s="383"/>
      <c r="T29" s="383"/>
      <c r="U29" s="383"/>
      <c r="V29" s="2430">
        <f t="shared" si="243"/>
        <v>-324.35227301976158</v>
      </c>
      <c r="W29" s="2430">
        <f t="shared" si="243"/>
        <v>-316.62205038385935</v>
      </c>
      <c r="X29" s="2430">
        <f t="shared" si="243"/>
        <v>-151.95952944476358</v>
      </c>
      <c r="Y29" s="2430">
        <f t="shared" si="243"/>
        <v>-162.44702529741892</v>
      </c>
      <c r="Z29" s="2431">
        <f t="shared" si="243"/>
        <v>-187.12085976155561</v>
      </c>
      <c r="AA29" s="383"/>
      <c r="AB29" s="383"/>
      <c r="AC29" s="383"/>
      <c r="AD29" s="2430">
        <f t="shared" si="243"/>
        <v>0</v>
      </c>
      <c r="AE29" s="2430">
        <f t="shared" si="243"/>
        <v>0</v>
      </c>
      <c r="AF29" s="2430">
        <f t="shared" si="243"/>
        <v>0</v>
      </c>
      <c r="AG29" s="2430">
        <f t="shared" si="243"/>
        <v>0</v>
      </c>
      <c r="AH29" s="2431">
        <f t="shared" si="243"/>
        <v>0</v>
      </c>
      <c r="AI29" s="383"/>
      <c r="AJ29" s="383"/>
      <c r="AK29" s="383"/>
      <c r="AL29" s="2430">
        <f t="shared" si="243"/>
        <v>0</v>
      </c>
      <c r="AM29" s="2430">
        <f t="shared" si="243"/>
        <v>0</v>
      </c>
      <c r="AN29" s="2430">
        <f t="shared" si="243"/>
        <v>0</v>
      </c>
      <c r="AO29" s="2430">
        <f t="shared" si="243"/>
        <v>0</v>
      </c>
      <c r="AP29" s="2431">
        <f t="shared" si="243"/>
        <v>0</v>
      </c>
      <c r="AQ29" s="383"/>
      <c r="AR29" s="383"/>
      <c r="AS29" s="383"/>
      <c r="AT29" s="2430">
        <f t="shared" si="242"/>
        <v>-1309.3173776399999</v>
      </c>
      <c r="AU29" s="2430">
        <f t="shared" si="242"/>
        <v>-1081.4445105599998</v>
      </c>
      <c r="AV29" s="2430">
        <f t="shared" si="242"/>
        <v>-573.43402111999967</v>
      </c>
      <c r="AW29" s="2430">
        <f t="shared" si="242"/>
        <v>-986.55877640000028</v>
      </c>
      <c r="AX29" s="2431">
        <f t="shared" si="242"/>
        <v>-1016.8087763999997</v>
      </c>
      <c r="AY29" s="4422"/>
      <c r="AZ29" s="3"/>
      <c r="BA29" s="3"/>
      <c r="BB29" s="3"/>
      <c r="BC29" s="4438">
        <f t="shared" si="210"/>
        <v>-295.80765617009791</v>
      </c>
      <c r="BD29" s="4438">
        <f t="shared" si="211"/>
        <v>-191.98916658921115</v>
      </c>
      <c r="BE29" s="4438">
        <f t="shared" si="212"/>
        <v>-104.94134686854112</v>
      </c>
      <c r="BF29" s="4438">
        <f t="shared" si="213"/>
        <v>-253.75311598842023</v>
      </c>
      <c r="BG29" s="4438">
        <f t="shared" si="214"/>
        <v>-238.29183961767185</v>
      </c>
      <c r="BH29" s="3"/>
      <c r="BI29" s="3"/>
      <c r="BJ29" s="3"/>
      <c r="BK29" s="4438">
        <f t="shared" si="215"/>
        <v>-207.7970050838139</v>
      </c>
      <c r="BL29" s="4438">
        <f t="shared" si="216"/>
        <v>-199.0583478553676</v>
      </c>
      <c r="BM29" s="4438">
        <f t="shared" si="217"/>
        <v>-110.55513885631031</v>
      </c>
      <c r="BN29" s="4438">
        <f t="shared" si="218"/>
        <v>-167.60853154872837</v>
      </c>
      <c r="BO29" s="4438">
        <f t="shared" si="219"/>
        <v>-185.92085608616952</v>
      </c>
      <c r="BP29" s="3"/>
      <c r="BQ29" s="3"/>
      <c r="BR29" s="3"/>
      <c r="BS29" s="4438">
        <f t="shared" si="220"/>
        <v>-165.83868384254336</v>
      </c>
      <c r="BT29" s="4438">
        <f t="shared" si="221"/>
        <v>-161.88628376896733</v>
      </c>
      <c r="BU29" s="4438">
        <f t="shared" si="222"/>
        <v>-77.695673675505319</v>
      </c>
      <c r="BV29" s="4438">
        <f t="shared" si="223"/>
        <v>-83.057845159047019</v>
      </c>
      <c r="BW29" s="4438">
        <f t="shared" si="224"/>
        <v>-95.673376398539546</v>
      </c>
      <c r="BX29" s="3"/>
      <c r="BY29" s="3"/>
      <c r="BZ29" s="3"/>
      <c r="CA29" s="4438">
        <f t="shared" si="225"/>
        <v>0</v>
      </c>
      <c r="CB29" s="4438">
        <f t="shared" si="226"/>
        <v>0</v>
      </c>
      <c r="CC29" s="4438">
        <f t="shared" si="227"/>
        <v>0</v>
      </c>
      <c r="CD29" s="4438">
        <f t="shared" si="228"/>
        <v>0</v>
      </c>
      <c r="CE29" s="4438">
        <f t="shared" si="229"/>
        <v>0</v>
      </c>
      <c r="CF29" s="3"/>
      <c r="CG29" s="3"/>
      <c r="CH29" s="3"/>
      <c r="CI29" s="4438">
        <f t="shared" si="230"/>
        <v>0</v>
      </c>
      <c r="CJ29" s="4438">
        <f t="shared" si="231"/>
        <v>0</v>
      </c>
      <c r="CK29" s="4438">
        <f t="shared" si="232"/>
        <v>0</v>
      </c>
      <c r="CL29" s="4438">
        <f t="shared" si="233"/>
        <v>0</v>
      </c>
      <c r="CM29" s="4438">
        <f t="shared" si="234"/>
        <v>0</v>
      </c>
      <c r="CN29" s="3"/>
      <c r="CO29" s="3"/>
      <c r="CP29" s="3"/>
      <c r="CQ29" s="4438">
        <f t="shared" si="235"/>
        <v>-669.44334509645523</v>
      </c>
      <c r="CR29" s="4438">
        <f t="shared" si="236"/>
        <v>-552.93379821354608</v>
      </c>
      <c r="CS29" s="4438">
        <f t="shared" si="237"/>
        <v>-293.19215940035673</v>
      </c>
      <c r="CT29" s="4438">
        <f t="shared" si="238"/>
        <v>-504.41949269619562</v>
      </c>
      <c r="CU29" s="4438">
        <f t="shared" si="239"/>
        <v>-519.88607210238092</v>
      </c>
    </row>
    <row r="30" spans="1:99" s="1" customFormat="1" ht="24.75" thickBot="1">
      <c r="A30" s="4144" t="s">
        <v>958</v>
      </c>
      <c r="B30" s="4145" t="s">
        <v>946</v>
      </c>
      <c r="C30" s="3951"/>
      <c r="D30" s="3951"/>
      <c r="E30" s="3951"/>
      <c r="F30" s="4146">
        <f>'11. Амортиз. план'!G214</f>
        <v>2229</v>
      </c>
      <c r="G30" s="4146">
        <f>'11. Амортиз. план'!H214</f>
        <v>2225.21</v>
      </c>
      <c r="H30" s="4146">
        <f>'11. Амортиз. план'!I214</f>
        <v>2210.5700000000002</v>
      </c>
      <c r="I30" s="4146">
        <f>'11. Амортиз. план'!J214</f>
        <v>2207.77</v>
      </c>
      <c r="J30" s="4147">
        <f>'11. Амортиз. план'!K214</f>
        <v>2207.77</v>
      </c>
      <c r="K30" s="3951"/>
      <c r="L30" s="3951"/>
      <c r="M30" s="3951"/>
      <c r="N30" s="4146">
        <f>'11. Амортиз. план'!N214</f>
        <v>1940</v>
      </c>
      <c r="O30" s="4146">
        <f>'11. Амортиз. план'!O214</f>
        <v>1940</v>
      </c>
      <c r="P30" s="4146">
        <f>'11. Амортиз. план'!P214</f>
        <v>1940</v>
      </c>
      <c r="Q30" s="4146">
        <f>'11. Амортиз. план'!Q214</f>
        <v>1940</v>
      </c>
      <c r="R30" s="4148">
        <f>'11. Амортиз. план'!R214</f>
        <v>1940</v>
      </c>
      <c r="S30" s="3951"/>
      <c r="T30" s="3951"/>
      <c r="U30" s="3951"/>
      <c r="V30" s="4146">
        <f>'11. Амортиз. план'!U214</f>
        <v>3835</v>
      </c>
      <c r="W30" s="4146">
        <f>'11. Амортиз. план'!V214</f>
        <v>3835</v>
      </c>
      <c r="X30" s="4146">
        <f>'11. Амортиз. план'!W214</f>
        <v>3835</v>
      </c>
      <c r="Y30" s="4146">
        <f>'11. Амортиз. план'!X214</f>
        <v>3835</v>
      </c>
      <c r="Z30" s="4147">
        <f>'11. Амортиз. план'!Y214</f>
        <v>3835</v>
      </c>
      <c r="AA30" s="3951"/>
      <c r="AB30" s="3951"/>
      <c r="AC30" s="3951"/>
      <c r="AD30" s="4146">
        <f>'11. Амортиз. план'!AB214</f>
        <v>0</v>
      </c>
      <c r="AE30" s="4146">
        <f>'11. Амортиз. план'!AC214</f>
        <v>0</v>
      </c>
      <c r="AF30" s="4146">
        <f>'11. Амортиз. план'!AD214</f>
        <v>0</v>
      </c>
      <c r="AG30" s="4146">
        <f>'11. Амортиз. план'!AE214</f>
        <v>0</v>
      </c>
      <c r="AH30" s="4147">
        <f>'11. Амортиз. план'!AF214</f>
        <v>0</v>
      </c>
      <c r="AI30" s="3951"/>
      <c r="AJ30" s="3951"/>
      <c r="AK30" s="3951"/>
      <c r="AL30" s="4146">
        <f>'11. Амортиз. план'!AI214</f>
        <v>0</v>
      </c>
      <c r="AM30" s="4146">
        <f>'11. Амортиз. план'!AJ214</f>
        <v>0</v>
      </c>
      <c r="AN30" s="4146">
        <f>'11. Амортиз. план'!AK214</f>
        <v>0</v>
      </c>
      <c r="AO30" s="4146">
        <f>'11. Амортиз. план'!AL214</f>
        <v>0</v>
      </c>
      <c r="AP30" s="4147">
        <f>'11. Амортиз. план'!AM214</f>
        <v>0</v>
      </c>
      <c r="AQ30" s="3951"/>
      <c r="AR30" s="3951"/>
      <c r="AS30" s="3951"/>
      <c r="AT30" s="4146">
        <f t="shared" si="242"/>
        <v>8004</v>
      </c>
      <c r="AU30" s="4146">
        <f t="shared" si="242"/>
        <v>8000.21</v>
      </c>
      <c r="AV30" s="4146">
        <f t="shared" si="242"/>
        <v>7985.57</v>
      </c>
      <c r="AW30" s="4146">
        <f t="shared" si="242"/>
        <v>7982.77</v>
      </c>
      <c r="AX30" s="4147">
        <f t="shared" si="242"/>
        <v>7982.77</v>
      </c>
      <c r="AY30" s="4422"/>
      <c r="AZ30" s="3"/>
      <c r="BA30" s="3"/>
      <c r="BB30" s="3"/>
      <c r="BC30" s="4438">
        <f t="shared" si="210"/>
        <v>1139.669603186371</v>
      </c>
      <c r="BD30" s="4438">
        <f t="shared" si="211"/>
        <v>1137.7318069566375</v>
      </c>
      <c r="BE30" s="4438">
        <f t="shared" si="212"/>
        <v>1130.2464938159249</v>
      </c>
      <c r="BF30" s="4438">
        <f t="shared" si="213"/>
        <v>1128.8148765485753</v>
      </c>
      <c r="BG30" s="4438">
        <f t="shared" si="214"/>
        <v>1128.8148765485753</v>
      </c>
      <c r="BH30" s="3"/>
      <c r="BI30" s="3"/>
      <c r="BJ30" s="3"/>
      <c r="BK30" s="4438">
        <f t="shared" si="215"/>
        <v>991.90624952066389</v>
      </c>
      <c r="BL30" s="4438">
        <f t="shared" si="216"/>
        <v>991.90624952066389</v>
      </c>
      <c r="BM30" s="4438">
        <f t="shared" si="217"/>
        <v>991.90624952066389</v>
      </c>
      <c r="BN30" s="4438">
        <f t="shared" si="218"/>
        <v>991.90624952066389</v>
      </c>
      <c r="BO30" s="4438">
        <f t="shared" si="219"/>
        <v>991.90624952066389</v>
      </c>
      <c r="BP30" s="3"/>
      <c r="BQ30" s="3"/>
      <c r="BR30" s="3"/>
      <c r="BS30" s="4438">
        <f t="shared" si="220"/>
        <v>1960.804364387498</v>
      </c>
      <c r="BT30" s="4438">
        <f t="shared" si="221"/>
        <v>1960.804364387498</v>
      </c>
      <c r="BU30" s="4438">
        <f t="shared" si="222"/>
        <v>1960.804364387498</v>
      </c>
      <c r="BV30" s="4438">
        <f t="shared" si="223"/>
        <v>1960.804364387498</v>
      </c>
      <c r="BW30" s="4438">
        <f t="shared" si="224"/>
        <v>1960.804364387498</v>
      </c>
      <c r="BX30" s="3"/>
      <c r="BY30" s="3"/>
      <c r="BZ30" s="3"/>
      <c r="CA30" s="4438">
        <f t="shared" si="225"/>
        <v>0</v>
      </c>
      <c r="CB30" s="4438">
        <f t="shared" si="226"/>
        <v>0</v>
      </c>
      <c r="CC30" s="4438">
        <f t="shared" si="227"/>
        <v>0</v>
      </c>
      <c r="CD30" s="4438">
        <f t="shared" si="228"/>
        <v>0</v>
      </c>
      <c r="CE30" s="4438">
        <f t="shared" si="229"/>
        <v>0</v>
      </c>
      <c r="CF30" s="3"/>
      <c r="CG30" s="3"/>
      <c r="CH30" s="3"/>
      <c r="CI30" s="4438">
        <f t="shared" si="230"/>
        <v>0</v>
      </c>
      <c r="CJ30" s="4438">
        <f t="shared" si="231"/>
        <v>0</v>
      </c>
      <c r="CK30" s="4438">
        <f t="shared" si="232"/>
        <v>0</v>
      </c>
      <c r="CL30" s="4438">
        <f t="shared" si="233"/>
        <v>0</v>
      </c>
      <c r="CM30" s="4438">
        <f t="shared" si="234"/>
        <v>0</v>
      </c>
      <c r="CN30" s="3"/>
      <c r="CO30" s="3"/>
      <c r="CP30" s="3"/>
      <c r="CQ30" s="4438">
        <f t="shared" si="235"/>
        <v>4092.3802170945328</v>
      </c>
      <c r="CR30" s="4438">
        <f t="shared" si="236"/>
        <v>4090.4424208647993</v>
      </c>
      <c r="CS30" s="4438">
        <f t="shared" si="237"/>
        <v>4082.9571077240862</v>
      </c>
      <c r="CT30" s="4438">
        <f t="shared" si="238"/>
        <v>4081.5254904567373</v>
      </c>
      <c r="CU30" s="4438">
        <f t="shared" si="239"/>
        <v>4081.5254904567373</v>
      </c>
    </row>
    <row r="31" spans="1:99" s="1" customFormat="1" ht="48.75" thickBot="1">
      <c r="A31" s="2434" t="s">
        <v>959</v>
      </c>
      <c r="B31" s="3886" t="s">
        <v>1047</v>
      </c>
      <c r="C31" s="4149"/>
      <c r="D31" s="4149"/>
      <c r="E31" s="4149"/>
      <c r="F31" s="4150">
        <v>578.54999999999995</v>
      </c>
      <c r="G31" s="4150">
        <v>375.5</v>
      </c>
      <c r="H31" s="4150">
        <v>205.25</v>
      </c>
      <c r="I31" s="4150">
        <v>496.3</v>
      </c>
      <c r="J31" s="4151">
        <v>466.06</v>
      </c>
      <c r="K31" s="4149"/>
      <c r="L31" s="4149"/>
      <c r="M31" s="4149"/>
      <c r="N31" s="4150">
        <v>406.42</v>
      </c>
      <c r="O31" s="4150">
        <v>389.32</v>
      </c>
      <c r="P31" s="4150">
        <v>216.23</v>
      </c>
      <c r="Q31" s="4150">
        <v>327.81</v>
      </c>
      <c r="R31" s="4151">
        <v>363.63</v>
      </c>
      <c r="S31" s="4149"/>
      <c r="T31" s="4149"/>
      <c r="U31" s="4149"/>
      <c r="V31" s="4150">
        <v>324.35000000000002</v>
      </c>
      <c r="W31" s="4150">
        <v>316.62</v>
      </c>
      <c r="X31" s="4150">
        <v>151.96</v>
      </c>
      <c r="Y31" s="4150">
        <v>162.44999999999999</v>
      </c>
      <c r="Z31" s="4152">
        <v>187.12</v>
      </c>
      <c r="AA31" s="4149"/>
      <c r="AB31" s="4149"/>
      <c r="AC31" s="4149"/>
      <c r="AD31" s="4150"/>
      <c r="AE31" s="4150"/>
      <c r="AF31" s="4150"/>
      <c r="AG31" s="4150"/>
      <c r="AH31" s="4151"/>
      <c r="AI31" s="4149"/>
      <c r="AJ31" s="4149"/>
      <c r="AK31" s="4149"/>
      <c r="AL31" s="4150"/>
      <c r="AM31" s="4150"/>
      <c r="AN31" s="4150"/>
      <c r="AO31" s="4150"/>
      <c r="AP31" s="4151"/>
      <c r="AQ31" s="4149"/>
      <c r="AR31" s="4149"/>
      <c r="AS31" s="4149"/>
      <c r="AT31" s="4153">
        <f t="shared" si="242"/>
        <v>1309.3200000000002</v>
      </c>
      <c r="AU31" s="4153">
        <f t="shared" si="242"/>
        <v>1081.44</v>
      </c>
      <c r="AV31" s="4153">
        <f t="shared" si="242"/>
        <v>573.44000000000005</v>
      </c>
      <c r="AW31" s="4153">
        <f t="shared" si="242"/>
        <v>986.56</v>
      </c>
      <c r="AX31" s="4154">
        <f t="shared" si="242"/>
        <v>1016.8100000000001</v>
      </c>
      <c r="AY31" s="4422"/>
      <c r="AZ31" s="3"/>
      <c r="BA31" s="3"/>
      <c r="BB31" s="3"/>
      <c r="BC31" s="4438">
        <f t="shared" si="210"/>
        <v>295.80791786607216</v>
      </c>
      <c r="BD31" s="4438">
        <f t="shared" si="211"/>
        <v>191.99010138918004</v>
      </c>
      <c r="BE31" s="4438">
        <f t="shared" si="212"/>
        <v>104.94265861552384</v>
      </c>
      <c r="BF31" s="4438">
        <f t="shared" si="213"/>
        <v>253.75416063768324</v>
      </c>
      <c r="BG31" s="4438">
        <f t="shared" si="214"/>
        <v>238.29269415030959</v>
      </c>
      <c r="BH31" s="3"/>
      <c r="BI31" s="3"/>
      <c r="BJ31" s="3"/>
      <c r="BK31" s="4438">
        <f t="shared" si="215"/>
        <v>207.79924635576714</v>
      </c>
      <c r="BL31" s="4438">
        <f t="shared" si="216"/>
        <v>199.05615518731179</v>
      </c>
      <c r="BM31" s="4438">
        <f t="shared" si="217"/>
        <v>110.55664347105832</v>
      </c>
      <c r="BN31" s="4438">
        <f t="shared" si="218"/>
        <v>167.60659157493239</v>
      </c>
      <c r="BO31" s="4438">
        <f t="shared" si="219"/>
        <v>185.92106675938092</v>
      </c>
      <c r="BP31" s="3"/>
      <c r="BQ31" s="3"/>
      <c r="BR31" s="3"/>
      <c r="BS31" s="4438">
        <f t="shared" si="220"/>
        <v>165.83752166599348</v>
      </c>
      <c r="BT31" s="4438">
        <f t="shared" si="221"/>
        <v>161.88523542434669</v>
      </c>
      <c r="BU31" s="4438">
        <f t="shared" si="222"/>
        <v>77.695914266577361</v>
      </c>
      <c r="BV31" s="4438">
        <f t="shared" si="223"/>
        <v>83.05936610032569</v>
      </c>
      <c r="BW31" s="4438">
        <f t="shared" si="224"/>
        <v>95.672936809436408</v>
      </c>
      <c r="BX31" s="3"/>
      <c r="BY31" s="3"/>
      <c r="BZ31" s="3"/>
      <c r="CA31" s="4438">
        <f t="shared" si="225"/>
        <v>0</v>
      </c>
      <c r="CB31" s="4438">
        <f t="shared" si="226"/>
        <v>0</v>
      </c>
      <c r="CC31" s="4438">
        <f t="shared" si="227"/>
        <v>0</v>
      </c>
      <c r="CD31" s="4438">
        <f t="shared" si="228"/>
        <v>0</v>
      </c>
      <c r="CE31" s="4438">
        <f t="shared" si="229"/>
        <v>0</v>
      </c>
      <c r="CF31" s="3"/>
      <c r="CG31" s="3"/>
      <c r="CH31" s="3"/>
      <c r="CI31" s="4438">
        <f t="shared" si="230"/>
        <v>0</v>
      </c>
      <c r="CJ31" s="4438">
        <f t="shared" si="231"/>
        <v>0</v>
      </c>
      <c r="CK31" s="4438">
        <f t="shared" si="232"/>
        <v>0</v>
      </c>
      <c r="CL31" s="4438">
        <f t="shared" si="233"/>
        <v>0</v>
      </c>
      <c r="CM31" s="4438">
        <f t="shared" si="234"/>
        <v>0</v>
      </c>
      <c r="CN31" s="3"/>
      <c r="CO31" s="3"/>
      <c r="CP31" s="3"/>
      <c r="CQ31" s="4438">
        <f t="shared" si="235"/>
        <v>669.44468588783286</v>
      </c>
      <c r="CR31" s="4438">
        <f t="shared" si="236"/>
        <v>552.9314920008386</v>
      </c>
      <c r="CS31" s="4438">
        <f t="shared" si="237"/>
        <v>293.19521635315954</v>
      </c>
      <c r="CT31" s="4438">
        <f t="shared" si="238"/>
        <v>504.42011831294127</v>
      </c>
      <c r="CU31" s="4438">
        <f t="shared" si="239"/>
        <v>519.88669771912691</v>
      </c>
    </row>
    <row r="32" spans="1:99" s="1" customFormat="1" ht="24.75" thickBot="1">
      <c r="A32" s="2433" t="s">
        <v>960</v>
      </c>
      <c r="B32" s="381" t="s">
        <v>947</v>
      </c>
      <c r="C32" s="4141"/>
      <c r="D32" s="4141"/>
      <c r="E32" s="4141"/>
      <c r="F32" s="4157">
        <f t="shared" ref="F32:AX32" si="244">IF(F31=0,0,F31/F30)</f>
        <v>0.2595558546433378</v>
      </c>
      <c r="G32" s="4157">
        <f t="shared" si="244"/>
        <v>0.1687481181551404</v>
      </c>
      <c r="H32" s="4157">
        <f t="shared" si="244"/>
        <v>9.2849355596067981E-2</v>
      </c>
      <c r="I32" s="4157">
        <f t="shared" si="244"/>
        <v>0.22479696707537469</v>
      </c>
      <c r="J32" s="4158">
        <f t="shared" si="244"/>
        <v>0.21109988812240404</v>
      </c>
      <c r="K32" s="4141"/>
      <c r="L32" s="4141"/>
      <c r="M32" s="4141"/>
      <c r="N32" s="4157">
        <f t="shared" si="244"/>
        <v>0.20949484536082474</v>
      </c>
      <c r="O32" s="4157">
        <f t="shared" si="244"/>
        <v>0.20068041237113401</v>
      </c>
      <c r="P32" s="4157">
        <f t="shared" si="244"/>
        <v>0.11145876288659794</v>
      </c>
      <c r="Q32" s="4157">
        <f t="shared" si="244"/>
        <v>0.16897422680412372</v>
      </c>
      <c r="R32" s="4159">
        <f t="shared" si="244"/>
        <v>0.18743814432989692</v>
      </c>
      <c r="S32" s="4141"/>
      <c r="T32" s="4141"/>
      <c r="U32" s="4141"/>
      <c r="V32" s="4157">
        <f t="shared" si="244"/>
        <v>8.4576271186440691E-2</v>
      </c>
      <c r="W32" s="4157">
        <f t="shared" si="244"/>
        <v>8.2560625814863106E-2</v>
      </c>
      <c r="X32" s="4157">
        <f t="shared" si="244"/>
        <v>3.96245110821382E-2</v>
      </c>
      <c r="Y32" s="4157">
        <f t="shared" si="244"/>
        <v>4.235984354628422E-2</v>
      </c>
      <c r="Z32" s="4159">
        <f t="shared" si="244"/>
        <v>4.8792698826597133E-2</v>
      </c>
      <c r="AA32" s="4141"/>
      <c r="AB32" s="4141"/>
      <c r="AC32" s="4141"/>
      <c r="AD32" s="4157">
        <f t="shared" si="244"/>
        <v>0</v>
      </c>
      <c r="AE32" s="4157">
        <f t="shared" si="244"/>
        <v>0</v>
      </c>
      <c r="AF32" s="4157">
        <f t="shared" si="244"/>
        <v>0</v>
      </c>
      <c r="AG32" s="4157">
        <f t="shared" si="244"/>
        <v>0</v>
      </c>
      <c r="AH32" s="4157">
        <f t="shared" si="244"/>
        <v>0</v>
      </c>
      <c r="AI32" s="4141"/>
      <c r="AJ32" s="4141"/>
      <c r="AK32" s="4141"/>
      <c r="AL32" s="4157">
        <f t="shared" si="244"/>
        <v>0</v>
      </c>
      <c r="AM32" s="4157">
        <f t="shared" si="244"/>
        <v>0</v>
      </c>
      <c r="AN32" s="4157">
        <f t="shared" si="244"/>
        <v>0</v>
      </c>
      <c r="AO32" s="4157">
        <f t="shared" si="244"/>
        <v>0</v>
      </c>
      <c r="AP32" s="4157">
        <f t="shared" si="244"/>
        <v>0</v>
      </c>
      <c r="AQ32" s="4141"/>
      <c r="AR32" s="4141"/>
      <c r="AS32" s="4141"/>
      <c r="AT32" s="4157">
        <f t="shared" si="244"/>
        <v>0.16358320839580212</v>
      </c>
      <c r="AU32" s="4157">
        <f t="shared" si="244"/>
        <v>0.13517645161814504</v>
      </c>
      <c r="AV32" s="4157">
        <f t="shared" si="244"/>
        <v>7.1809526433304086E-2</v>
      </c>
      <c r="AW32" s="4157">
        <f t="shared" si="244"/>
        <v>0.12358617372165299</v>
      </c>
      <c r="AX32" s="4159">
        <f t="shared" si="244"/>
        <v>0.12737558516655245</v>
      </c>
      <c r="AY32" s="4422"/>
    </row>
    <row r="33" spans="1:99" s="1" customFormat="1" ht="24.75" thickBot="1">
      <c r="A33" s="4142">
        <v>8</v>
      </c>
      <c r="B33" s="4143" t="s">
        <v>1058</v>
      </c>
      <c r="C33" s="3949"/>
      <c r="D33" s="3949"/>
      <c r="E33" s="3949"/>
      <c r="F33" s="4155">
        <f t="shared" ref="F33:I33" si="245">F29+F31</f>
        <v>5.1183283733280405E-4</v>
      </c>
      <c r="G33" s="4155">
        <f t="shared" si="245"/>
        <v>1.8283098231677286E-3</v>
      </c>
      <c r="H33" s="4155">
        <f t="shared" si="245"/>
        <v>2.5655541012383765E-3</v>
      </c>
      <c r="I33" s="4155">
        <f t="shared" si="245"/>
        <v>2.0431563680745057E-3</v>
      </c>
      <c r="J33" s="4156">
        <f>J29+J31</f>
        <v>1.671320568846113E-3</v>
      </c>
      <c r="K33" s="3949"/>
      <c r="L33" s="3949"/>
      <c r="M33" s="3949"/>
      <c r="N33" s="4155">
        <f t="shared" ref="N33:AX33" si="246">N29+N31</f>
        <v>4.3835469242594627E-3</v>
      </c>
      <c r="O33" s="4155">
        <f t="shared" si="246"/>
        <v>-4.2884859636274086E-3</v>
      </c>
      <c r="P33" s="4155">
        <f t="shared" si="246"/>
        <v>2.9427706625995143E-3</v>
      </c>
      <c r="Q33" s="4155">
        <f t="shared" si="246"/>
        <v>-3.7942589493695777E-3</v>
      </c>
      <c r="R33" s="4156">
        <f t="shared" si="246"/>
        <v>4.1204098704383796E-4</v>
      </c>
      <c r="S33" s="3949"/>
      <c r="T33" s="3949"/>
      <c r="U33" s="3949"/>
      <c r="V33" s="4155">
        <f t="shared" si="246"/>
        <v>-2.2730197615601355E-3</v>
      </c>
      <c r="W33" s="4155">
        <f t="shared" si="246"/>
        <v>-2.0503838593413093E-3</v>
      </c>
      <c r="X33" s="4155">
        <f t="shared" si="246"/>
        <v>4.7055523643280139E-4</v>
      </c>
      <c r="Y33" s="4155">
        <f t="shared" si="246"/>
        <v>2.9747025810706873E-3</v>
      </c>
      <c r="Z33" s="4156">
        <f t="shared" si="246"/>
        <v>-8.5976155560274492E-4</v>
      </c>
      <c r="AA33" s="3949"/>
      <c r="AB33" s="3949"/>
      <c r="AC33" s="3949"/>
      <c r="AD33" s="4155">
        <f t="shared" si="246"/>
        <v>0</v>
      </c>
      <c r="AE33" s="4155">
        <f t="shared" si="246"/>
        <v>0</v>
      </c>
      <c r="AF33" s="4155">
        <f t="shared" si="246"/>
        <v>0</v>
      </c>
      <c r="AG33" s="4155">
        <f t="shared" si="246"/>
        <v>0</v>
      </c>
      <c r="AH33" s="4155">
        <f t="shared" si="246"/>
        <v>0</v>
      </c>
      <c r="AI33" s="3949"/>
      <c r="AJ33" s="3949"/>
      <c r="AK33" s="3949"/>
      <c r="AL33" s="4155">
        <f t="shared" si="246"/>
        <v>0</v>
      </c>
      <c r="AM33" s="4155">
        <f t="shared" si="246"/>
        <v>0</v>
      </c>
      <c r="AN33" s="4155">
        <f t="shared" si="246"/>
        <v>0</v>
      </c>
      <c r="AO33" s="4155">
        <f t="shared" si="246"/>
        <v>0</v>
      </c>
      <c r="AP33" s="4155">
        <f t="shared" si="246"/>
        <v>0</v>
      </c>
      <c r="AQ33" s="3949"/>
      <c r="AR33" s="3949"/>
      <c r="AS33" s="3949"/>
      <c r="AT33" s="4155">
        <f t="shared" si="246"/>
        <v>2.6223600002595049E-3</v>
      </c>
      <c r="AU33" s="4155">
        <f t="shared" si="246"/>
        <v>-4.5105599997441459E-3</v>
      </c>
      <c r="AV33" s="4155">
        <f t="shared" si="246"/>
        <v>5.9788800003843789E-3</v>
      </c>
      <c r="AW33" s="4155">
        <f t="shared" si="246"/>
        <v>1.2235999996619285E-3</v>
      </c>
      <c r="AX33" s="4155">
        <f t="shared" si="246"/>
        <v>1.2236000003440495E-3</v>
      </c>
      <c r="AY33" s="4422"/>
      <c r="AZ33" s="3"/>
      <c r="BA33" s="3"/>
      <c r="BB33" s="3"/>
      <c r="BC33" s="4438">
        <f>IFERROR(F33/$C$1,0)</f>
        <v>2.6169597425788747E-4</v>
      </c>
      <c r="BD33" s="4438">
        <f t="shared" ref="BD33" si="247">IFERROR(G33/$C$1,0)</f>
        <v>9.3479996889695349E-4</v>
      </c>
      <c r="BE33" s="4438">
        <f t="shared" ref="BE33" si="248">IFERROR(H33/$C$1,0)</f>
        <v>1.3117469827328432E-3</v>
      </c>
      <c r="BF33" s="4438">
        <f t="shared" ref="BF33" si="249">IFERROR(I33/$C$1,0)</f>
        <v>1.0446492630108474E-3</v>
      </c>
      <c r="BG33" s="4438">
        <f t="shared" ref="BG33" si="250">IFERROR(J33/$C$1,0)</f>
        <v>8.5453263772726311E-4</v>
      </c>
      <c r="BH33" s="3"/>
      <c r="BI33" s="3"/>
      <c r="BJ33" s="3"/>
      <c r="BK33" s="4438">
        <f>IFERROR(N33/$C$1,0)</f>
        <v>2.2412719532165183E-3</v>
      </c>
      <c r="BL33" s="4438">
        <f t="shared" ref="BL33" si="251">IFERROR(O33/$C$1,0)</f>
        <v>-2.1926680558266355E-3</v>
      </c>
      <c r="BM33" s="4438">
        <f t="shared" ref="BM33" si="252">IFERROR(P33/$C$1,0)</f>
        <v>1.504614748009548E-3</v>
      </c>
      <c r="BN33" s="4438">
        <f t="shared" ref="BN33" si="253">IFERROR(Q33/$C$1,0)</f>
        <v>-1.939973795968759E-3</v>
      </c>
      <c r="BO33" s="4438">
        <f t="shared" ref="BO33" si="254">IFERROR(R33/$C$1,0)</f>
        <v>2.106732113955906E-4</v>
      </c>
      <c r="BP33" s="3"/>
      <c r="BQ33" s="3"/>
      <c r="BR33" s="3"/>
      <c r="BS33" s="4438">
        <f>IFERROR(V33/$C$1,0)</f>
        <v>-1.1621765498842616E-3</v>
      </c>
      <c r="BT33" s="4438">
        <f t="shared" ref="BT33" si="255">IFERROR(W33/$C$1,0)</f>
        <v>-1.0483446206169806E-3</v>
      </c>
      <c r="BU33" s="4438">
        <f t="shared" ref="BU33" si="256">IFERROR(X33/$C$1,0)</f>
        <v>2.4059107204245838E-4</v>
      </c>
      <c r="BV33" s="4438">
        <f t="shared" ref="BV33" si="257">IFERROR(Y33/$C$1,0)</f>
        <v>1.5209412786748784E-3</v>
      </c>
      <c r="BW33" s="4438">
        <f t="shared" ref="BW33" si="258">IFERROR(Z33/$C$1,0)</f>
        <v>-4.3958910314431465E-4</v>
      </c>
      <c r="BX33" s="3"/>
      <c r="BY33" s="3"/>
      <c r="BZ33" s="3"/>
      <c r="CA33" s="4438">
        <f>IFERROR(AD33/$C$1,0)</f>
        <v>0</v>
      </c>
      <c r="CB33" s="4438">
        <f t="shared" ref="CB33" si="259">IFERROR(AE33/$C$1,0)</f>
        <v>0</v>
      </c>
      <c r="CC33" s="4438">
        <f t="shared" ref="CC33" si="260">IFERROR(AF33/$C$1,0)</f>
        <v>0</v>
      </c>
      <c r="CD33" s="4438">
        <f t="shared" ref="CD33" si="261">IFERROR(AG33/$C$1,0)</f>
        <v>0</v>
      </c>
      <c r="CE33" s="4438">
        <f t="shared" ref="CE33" si="262">IFERROR(AH33/$C$1,0)</f>
        <v>0</v>
      </c>
      <c r="CF33" s="3"/>
      <c r="CG33" s="3"/>
      <c r="CH33" s="3"/>
      <c r="CI33" s="4438">
        <f>IFERROR(AL33/$C$1,0)</f>
        <v>0</v>
      </c>
      <c r="CJ33" s="4438">
        <f t="shared" ref="CJ33" si="263">IFERROR(AM33/$C$1,0)</f>
        <v>0</v>
      </c>
      <c r="CK33" s="4438">
        <f t="shared" ref="CK33" si="264">IFERROR(AN33/$C$1,0)</f>
        <v>0</v>
      </c>
      <c r="CL33" s="4438">
        <f t="shared" ref="CL33" si="265">IFERROR(AO33/$C$1,0)</f>
        <v>0</v>
      </c>
      <c r="CM33" s="4438">
        <f t="shared" ref="CM33" si="266">IFERROR(AP33/$C$1,0)</f>
        <v>0</v>
      </c>
      <c r="CN33" s="3"/>
      <c r="CO33" s="3"/>
      <c r="CP33" s="3"/>
      <c r="CQ33" s="4438">
        <f>IFERROR(AT33/$C$1,0)</f>
        <v>1.3407913777063983E-3</v>
      </c>
      <c r="CR33" s="4438">
        <f t="shared" ref="CR33" si="267">IFERROR(AU33/$C$1,0)</f>
        <v>-2.3062127075175994E-3</v>
      </c>
      <c r="CS33" s="4438">
        <f t="shared" ref="CS33" si="268">IFERROR(AV33/$C$1,0)</f>
        <v>3.0569528028429765E-3</v>
      </c>
      <c r="CT33" s="4438">
        <f t="shared" ref="CT33" si="269">IFERROR(AW33/$C$1,0)</f>
        <v>6.2561674565883975E-4</v>
      </c>
      <c r="CU33" s="4438">
        <f t="shared" ref="CU33" si="270">IFERROR(AX33/$C$1,0)</f>
        <v>6.2561674600760265E-4</v>
      </c>
    </row>
    <row r="34" spans="1:99" s="1" customFormat="1" ht="13.5" hidden="1" thickBot="1">
      <c r="A34" s="2435"/>
      <c r="B34" s="926"/>
      <c r="C34" s="926"/>
      <c r="D34" s="926"/>
      <c r="E34" s="926"/>
      <c r="F34" s="926"/>
      <c r="G34" s="926"/>
      <c r="H34" s="926"/>
      <c r="I34" s="926"/>
      <c r="J34" s="926"/>
      <c r="K34" s="926"/>
      <c r="L34" s="926"/>
      <c r="M34" s="926"/>
      <c r="N34" s="926"/>
      <c r="O34" s="926"/>
      <c r="P34" s="926"/>
      <c r="Q34" s="926"/>
      <c r="R34" s="926"/>
      <c r="S34" s="4130"/>
      <c r="T34" s="926"/>
      <c r="U34" s="926"/>
      <c r="V34" s="926"/>
      <c r="W34" s="926"/>
      <c r="X34" s="926"/>
      <c r="Y34" s="926"/>
      <c r="Z34" s="927"/>
      <c r="AA34" s="4131"/>
      <c r="AB34" s="926"/>
      <c r="AC34" s="926"/>
      <c r="AD34" s="926"/>
      <c r="AE34" s="926"/>
      <c r="AF34" s="926"/>
      <c r="AG34" s="926"/>
      <c r="AH34" s="927"/>
      <c r="AI34" s="4130"/>
      <c r="AJ34" s="926"/>
      <c r="AK34" s="926"/>
      <c r="AL34" s="926"/>
      <c r="AM34" s="926"/>
      <c r="AN34" s="926"/>
      <c r="AO34" s="926"/>
      <c r="AP34" s="927"/>
      <c r="AQ34" s="4130"/>
      <c r="AR34" s="926"/>
      <c r="AS34" s="926"/>
      <c r="AT34" s="926"/>
      <c r="AU34" s="926"/>
      <c r="AV34" s="926"/>
      <c r="AW34" s="926"/>
      <c r="AX34" s="927"/>
      <c r="AY34" s="4422"/>
    </row>
    <row r="35" spans="1:99" ht="12.75" customHeight="1" thickBot="1">
      <c r="A35" s="5131">
        <v>9</v>
      </c>
      <c r="B35" s="5146" t="s">
        <v>1863</v>
      </c>
      <c r="C35" s="5125" t="s">
        <v>210</v>
      </c>
      <c r="D35" s="5126"/>
      <c r="E35" s="5126"/>
      <c r="F35" s="5126"/>
      <c r="G35" s="5126"/>
      <c r="H35" s="5126"/>
      <c r="I35" s="5126"/>
      <c r="J35" s="5127"/>
      <c r="K35" s="5125" t="s">
        <v>174</v>
      </c>
      <c r="L35" s="5126"/>
      <c r="M35" s="5126"/>
      <c r="N35" s="5126"/>
      <c r="O35" s="5126"/>
      <c r="P35" s="5126"/>
      <c r="Q35" s="5126"/>
      <c r="R35" s="5127"/>
      <c r="S35" s="5128" t="s">
        <v>184</v>
      </c>
      <c r="T35" s="5129"/>
      <c r="U35" s="5129"/>
      <c r="V35" s="5129"/>
      <c r="W35" s="5129"/>
      <c r="X35" s="5129"/>
      <c r="Y35" s="5129"/>
      <c r="Z35" s="5130"/>
      <c r="AA35" s="5139" t="s">
        <v>1029</v>
      </c>
      <c r="AB35" s="5140"/>
      <c r="AC35" s="5140"/>
      <c r="AD35" s="5140"/>
      <c r="AE35" s="5140"/>
      <c r="AF35" s="5140"/>
      <c r="AG35" s="5140"/>
      <c r="AH35" s="5141"/>
      <c r="AI35" s="5139" t="s">
        <v>1092</v>
      </c>
      <c r="AJ35" s="5140"/>
      <c r="AK35" s="5140"/>
      <c r="AL35" s="5140"/>
      <c r="AM35" s="5140"/>
      <c r="AN35" s="5140"/>
      <c r="AO35" s="5140"/>
      <c r="AP35" s="5141"/>
      <c r="AQ35" s="5139" t="s">
        <v>1250</v>
      </c>
      <c r="AR35" s="5140"/>
      <c r="AS35" s="5140"/>
      <c r="AT35" s="5140"/>
      <c r="AU35" s="5140"/>
      <c r="AV35" s="5140"/>
      <c r="AW35" s="5140"/>
      <c r="AX35" s="5141"/>
      <c r="AY35" s="4422"/>
    </row>
    <row r="36" spans="1:99" s="1" customFormat="1" ht="13.5" thickBot="1">
      <c r="A36" s="5135"/>
      <c r="B36" s="5134"/>
      <c r="C36" s="4117" t="str">
        <f t="shared" ref="C36" si="271">C8</f>
        <v>2024 г.</v>
      </c>
      <c r="D36" s="2439" t="str">
        <f t="shared" ref="D36:AX36" si="272">D8</f>
        <v>2025 г.</v>
      </c>
      <c r="E36" s="2437" t="str">
        <f t="shared" si="272"/>
        <v>2026 г.</v>
      </c>
      <c r="F36" s="2437" t="str">
        <f t="shared" si="272"/>
        <v>2027 г.</v>
      </c>
      <c r="G36" s="2437" t="str">
        <f t="shared" si="272"/>
        <v>2028 г.</v>
      </c>
      <c r="H36" s="2437" t="str">
        <f t="shared" si="272"/>
        <v>2029 г.</v>
      </c>
      <c r="I36" s="2437" t="str">
        <f t="shared" si="272"/>
        <v>2030 г.</v>
      </c>
      <c r="J36" s="2438" t="str">
        <f t="shared" si="272"/>
        <v>2031 г.</v>
      </c>
      <c r="K36" s="4117" t="str">
        <f t="shared" ref="K36" si="273">K8</f>
        <v>2024 г.</v>
      </c>
      <c r="L36" s="2439" t="str">
        <f t="shared" si="272"/>
        <v>2025 г.</v>
      </c>
      <c r="M36" s="2437" t="str">
        <f t="shared" si="272"/>
        <v>2026 г.</v>
      </c>
      <c r="N36" s="2437" t="str">
        <f t="shared" si="272"/>
        <v>2027 г.</v>
      </c>
      <c r="O36" s="2437" t="str">
        <f t="shared" si="272"/>
        <v>2028 г.</v>
      </c>
      <c r="P36" s="2437" t="str">
        <f t="shared" si="272"/>
        <v>2029 г.</v>
      </c>
      <c r="Q36" s="2437" t="str">
        <f t="shared" si="272"/>
        <v>2030 г.</v>
      </c>
      <c r="R36" s="2438" t="str">
        <f t="shared" si="272"/>
        <v>2031 г.</v>
      </c>
      <c r="S36" s="2439" t="str">
        <f t="shared" ref="S36" si="274">S8</f>
        <v>2024 г.</v>
      </c>
      <c r="T36" s="2439" t="str">
        <f t="shared" si="272"/>
        <v>2025 г.</v>
      </c>
      <c r="U36" s="2437" t="str">
        <f t="shared" si="272"/>
        <v>2026 г.</v>
      </c>
      <c r="V36" s="2437" t="str">
        <f t="shared" si="272"/>
        <v>2027 г.</v>
      </c>
      <c r="W36" s="2437" t="str">
        <f t="shared" si="272"/>
        <v>2028 г.</v>
      </c>
      <c r="X36" s="2437" t="str">
        <f t="shared" si="272"/>
        <v>2029 г.</v>
      </c>
      <c r="Y36" s="2437" t="str">
        <f t="shared" si="272"/>
        <v>2030 г.</v>
      </c>
      <c r="Z36" s="2438" t="str">
        <f t="shared" si="272"/>
        <v>2031 г.</v>
      </c>
      <c r="AA36" s="2436" t="str">
        <f t="shared" ref="AA36" si="275">AA8</f>
        <v>2024 г.</v>
      </c>
      <c r="AB36" s="2439" t="str">
        <f t="shared" si="272"/>
        <v>2025 г.</v>
      </c>
      <c r="AC36" s="2437" t="str">
        <f t="shared" si="272"/>
        <v>2026 г.</v>
      </c>
      <c r="AD36" s="2437" t="str">
        <f t="shared" si="272"/>
        <v>2027 г.</v>
      </c>
      <c r="AE36" s="2437" t="str">
        <f t="shared" si="272"/>
        <v>2028 г.</v>
      </c>
      <c r="AF36" s="2437" t="str">
        <f t="shared" si="272"/>
        <v>2029 г.</v>
      </c>
      <c r="AG36" s="2437" t="str">
        <f t="shared" si="272"/>
        <v>2030 г.</v>
      </c>
      <c r="AH36" s="2438" t="str">
        <f t="shared" si="272"/>
        <v>2031 г.</v>
      </c>
      <c r="AI36" s="2439" t="str">
        <f t="shared" ref="AI36" si="276">AI8</f>
        <v>2024 г.</v>
      </c>
      <c r="AJ36" s="2439" t="str">
        <f t="shared" si="272"/>
        <v>2025 г.</v>
      </c>
      <c r="AK36" s="2437" t="str">
        <f t="shared" si="272"/>
        <v>2026 г.</v>
      </c>
      <c r="AL36" s="2437" t="str">
        <f t="shared" si="272"/>
        <v>2027 г.</v>
      </c>
      <c r="AM36" s="2437" t="str">
        <f t="shared" si="272"/>
        <v>2028 г.</v>
      </c>
      <c r="AN36" s="2437" t="str">
        <f t="shared" si="272"/>
        <v>2029 г.</v>
      </c>
      <c r="AO36" s="2437" t="str">
        <f t="shared" si="272"/>
        <v>2030 г.</v>
      </c>
      <c r="AP36" s="2438" t="str">
        <f t="shared" si="272"/>
        <v>2031 г.</v>
      </c>
      <c r="AQ36" s="2439" t="str">
        <f t="shared" ref="AQ36" si="277">AQ8</f>
        <v>2024 г.</v>
      </c>
      <c r="AR36" s="2439" t="str">
        <f t="shared" si="272"/>
        <v>2025 г.</v>
      </c>
      <c r="AS36" s="2437" t="str">
        <f t="shared" si="272"/>
        <v>2026 г.</v>
      </c>
      <c r="AT36" s="2437" t="str">
        <f t="shared" si="272"/>
        <v>2027 г.</v>
      </c>
      <c r="AU36" s="2437" t="str">
        <f t="shared" si="272"/>
        <v>2028 г.</v>
      </c>
      <c r="AV36" s="2437" t="str">
        <f t="shared" si="272"/>
        <v>2029 г.</v>
      </c>
      <c r="AW36" s="2437" t="str">
        <f t="shared" si="272"/>
        <v>2030 г.</v>
      </c>
      <c r="AX36" s="2438" t="str">
        <f t="shared" si="272"/>
        <v>2031 г.</v>
      </c>
      <c r="AY36" s="4422"/>
    </row>
    <row r="37" spans="1:99" s="1" customFormat="1">
      <c r="A37" s="3827" t="s">
        <v>961</v>
      </c>
      <c r="B37" s="2440" t="s">
        <v>195</v>
      </c>
      <c r="C37" s="102">
        <v>0</v>
      </c>
      <c r="D37" s="3818">
        <f>C43</f>
        <v>248</v>
      </c>
      <c r="E37" s="3818">
        <f t="shared" ref="E37:J37" si="278">D43</f>
        <v>190</v>
      </c>
      <c r="F37" s="3819">
        <f t="shared" si="278"/>
        <v>132</v>
      </c>
      <c r="G37" s="3819">
        <f t="shared" si="278"/>
        <v>74</v>
      </c>
      <c r="H37" s="3819">
        <f t="shared" si="278"/>
        <v>16</v>
      </c>
      <c r="I37" s="3819">
        <f t="shared" si="278"/>
        <v>0</v>
      </c>
      <c r="J37" s="3820">
        <f t="shared" si="278"/>
        <v>0</v>
      </c>
      <c r="K37" s="3817"/>
      <c r="L37" s="4126">
        <f t="shared" ref="L37:R37" si="279">K43</f>
        <v>0</v>
      </c>
      <c r="M37" s="3821">
        <f t="shared" si="279"/>
        <v>0</v>
      </c>
      <c r="N37" s="3819">
        <f t="shared" si="279"/>
        <v>0</v>
      </c>
      <c r="O37" s="3819">
        <f t="shared" si="279"/>
        <v>0</v>
      </c>
      <c r="P37" s="3819">
        <f t="shared" si="279"/>
        <v>0</v>
      </c>
      <c r="Q37" s="3819">
        <f t="shared" si="279"/>
        <v>0</v>
      </c>
      <c r="R37" s="3820">
        <f t="shared" si="279"/>
        <v>0</v>
      </c>
      <c r="S37" s="3817"/>
      <c r="T37" s="3821">
        <f t="shared" ref="T37:Z37" si="280">S43</f>
        <v>0</v>
      </c>
      <c r="U37" s="3821">
        <f t="shared" si="280"/>
        <v>0</v>
      </c>
      <c r="V37" s="3819">
        <f t="shared" si="280"/>
        <v>0</v>
      </c>
      <c r="W37" s="3819">
        <f t="shared" si="280"/>
        <v>0</v>
      </c>
      <c r="X37" s="3819">
        <f t="shared" si="280"/>
        <v>0</v>
      </c>
      <c r="Y37" s="3819">
        <f t="shared" si="280"/>
        <v>0</v>
      </c>
      <c r="Z37" s="3820">
        <f t="shared" si="280"/>
        <v>0</v>
      </c>
      <c r="AA37" s="3817"/>
      <c r="AB37" s="3821">
        <f>AA43</f>
        <v>0</v>
      </c>
      <c r="AC37" s="3821">
        <f t="shared" ref="AC37:AH37" si="281">AB43</f>
        <v>0</v>
      </c>
      <c r="AD37" s="3819">
        <f t="shared" si="281"/>
        <v>0</v>
      </c>
      <c r="AE37" s="3819">
        <f t="shared" si="281"/>
        <v>0</v>
      </c>
      <c r="AF37" s="3819">
        <f t="shared" si="281"/>
        <v>0</v>
      </c>
      <c r="AG37" s="3819">
        <f t="shared" si="281"/>
        <v>0</v>
      </c>
      <c r="AH37" s="3820">
        <f t="shared" si="281"/>
        <v>0</v>
      </c>
      <c r="AI37" s="3817"/>
      <c r="AJ37" s="3821">
        <f t="shared" ref="AJ37:AP37" si="282">AI43</f>
        <v>0</v>
      </c>
      <c r="AK37" s="3821">
        <f t="shared" si="282"/>
        <v>0</v>
      </c>
      <c r="AL37" s="3819">
        <f t="shared" si="282"/>
        <v>0</v>
      </c>
      <c r="AM37" s="3819">
        <f t="shared" si="282"/>
        <v>0</v>
      </c>
      <c r="AN37" s="3819">
        <f t="shared" si="282"/>
        <v>0</v>
      </c>
      <c r="AO37" s="3819">
        <f t="shared" si="282"/>
        <v>0</v>
      </c>
      <c r="AP37" s="3820">
        <f t="shared" si="282"/>
        <v>0</v>
      </c>
      <c r="AQ37" s="3822">
        <f t="shared" ref="AQ37:AR40" si="283">C37+K37+S37+AA37+AI37</f>
        <v>0</v>
      </c>
      <c r="AR37" s="4133">
        <f t="shared" si="283"/>
        <v>248</v>
      </c>
      <c r="AS37" s="3823">
        <f t="shared" ref="AS37" si="284">AR43</f>
        <v>190</v>
      </c>
      <c r="AT37" s="3824">
        <f>AS43</f>
        <v>132</v>
      </c>
      <c r="AU37" s="3824">
        <f t="shared" ref="AU37:AX37" si="285">AT43</f>
        <v>74</v>
      </c>
      <c r="AV37" s="3824">
        <f t="shared" si="285"/>
        <v>16</v>
      </c>
      <c r="AW37" s="3824">
        <f t="shared" si="285"/>
        <v>0</v>
      </c>
      <c r="AX37" s="3825">
        <f t="shared" si="285"/>
        <v>0</v>
      </c>
      <c r="AY37" s="4422"/>
      <c r="AZ37" s="4438">
        <f>IFERROR(C37/$C$1,0)</f>
        <v>0</v>
      </c>
      <c r="BA37" s="4438">
        <f t="shared" ref="BA37:BA40" si="286">IFERROR(D37/$C$1,0)</f>
        <v>126.80038653666219</v>
      </c>
      <c r="BB37" s="4438">
        <f t="shared" ref="BB37:BB40" si="287">IFERROR(E37/$C$1,0)</f>
        <v>97.145457427281514</v>
      </c>
      <c r="BC37" s="4438">
        <f t="shared" ref="BC37:BC40" si="288">IFERROR(F37/$C$1,0)</f>
        <v>67.490528317900839</v>
      </c>
      <c r="BD37" s="4438">
        <f t="shared" ref="BD37:BD40" si="289">IFERROR(G37/$C$1,0)</f>
        <v>37.835599208520172</v>
      </c>
      <c r="BE37" s="4438">
        <f t="shared" ref="BE37:BE40" si="290">IFERROR(H37/$C$1,0)</f>
        <v>8.1806700991394958</v>
      </c>
      <c r="BF37" s="4438">
        <f t="shared" ref="BF37:BF40" si="291">IFERROR(I37/$C$1,0)</f>
        <v>0</v>
      </c>
      <c r="BG37" s="4438">
        <f t="shared" ref="BG37:BG40" si="292">IFERROR(J37/$C$1,0)</f>
        <v>0</v>
      </c>
      <c r="BH37" s="4438">
        <f t="shared" ref="BH37:BH40" si="293">IFERROR(K37/$C$1,0)</f>
        <v>0</v>
      </c>
      <c r="BI37" s="4438">
        <f t="shared" ref="BI37:BI40" si="294">IFERROR(L37/$C$1,0)</f>
        <v>0</v>
      </c>
      <c r="BJ37" s="4438">
        <f t="shared" ref="BJ37:BJ40" si="295">IFERROR(M37/$C$1,0)</f>
        <v>0</v>
      </c>
      <c r="BK37" s="4438">
        <f t="shared" ref="BK37:BK40" si="296">IFERROR(N37/$C$1,0)</f>
        <v>0</v>
      </c>
      <c r="BL37" s="4438">
        <f t="shared" ref="BL37:BL40" si="297">IFERROR(O37/$C$1,0)</f>
        <v>0</v>
      </c>
      <c r="BM37" s="4438">
        <f t="shared" ref="BM37:BM40" si="298">IFERROR(P37/$C$1,0)</f>
        <v>0</v>
      </c>
      <c r="BN37" s="4438">
        <f t="shared" ref="BN37:BN40" si="299">IFERROR(Q37/$C$1,0)</f>
        <v>0</v>
      </c>
      <c r="BO37" s="4438">
        <f t="shared" ref="BO37:BO40" si="300">IFERROR(R37/$C$1,0)</f>
        <v>0</v>
      </c>
      <c r="BP37" s="4438">
        <f t="shared" ref="BP37:BP40" si="301">IFERROR(S37/$C$1,0)</f>
        <v>0</v>
      </c>
      <c r="BQ37" s="4438">
        <f t="shared" ref="BQ37:BQ40" si="302">IFERROR(T37/$C$1,0)</f>
        <v>0</v>
      </c>
      <c r="BR37" s="4438">
        <f t="shared" ref="BR37:BR40" si="303">IFERROR(U37/$C$1,0)</f>
        <v>0</v>
      </c>
      <c r="BS37" s="4438">
        <f t="shared" ref="BS37:BS40" si="304">IFERROR(V37/$C$1,0)</f>
        <v>0</v>
      </c>
      <c r="BT37" s="4438">
        <f t="shared" ref="BT37:BT40" si="305">IFERROR(W37/$C$1,0)</f>
        <v>0</v>
      </c>
      <c r="BU37" s="4438">
        <f t="shared" ref="BU37:BU40" si="306">IFERROR(X37/$C$1,0)</f>
        <v>0</v>
      </c>
      <c r="BV37" s="4438">
        <f t="shared" ref="BV37:BV40" si="307">IFERROR(Y37/$C$1,0)</f>
        <v>0</v>
      </c>
      <c r="BW37" s="4438">
        <f t="shared" ref="BW37:BW40" si="308">IFERROR(Z37/$C$1,0)</f>
        <v>0</v>
      </c>
      <c r="BX37" s="4438">
        <f t="shared" ref="BX37:BX40" si="309">IFERROR(AA37/$C$1,0)</f>
        <v>0</v>
      </c>
      <c r="BY37" s="4438">
        <f t="shared" ref="BY37:BY40" si="310">IFERROR(AB37/$C$1,0)</f>
        <v>0</v>
      </c>
      <c r="BZ37" s="4438">
        <f t="shared" ref="BZ37:BZ40" si="311">IFERROR(AC37/$C$1,0)</f>
        <v>0</v>
      </c>
      <c r="CA37" s="4438">
        <f t="shared" ref="CA37:CA40" si="312">IFERROR(AD37/$C$1,0)</f>
        <v>0</v>
      </c>
      <c r="CB37" s="4438">
        <f t="shared" ref="CB37:CB40" si="313">IFERROR(AE37/$C$1,0)</f>
        <v>0</v>
      </c>
      <c r="CC37" s="4438">
        <f t="shared" ref="CC37:CC40" si="314">IFERROR(AF37/$C$1,0)</f>
        <v>0</v>
      </c>
      <c r="CD37" s="4438">
        <f t="shared" ref="CD37:CD40" si="315">IFERROR(AG37/$C$1,0)</f>
        <v>0</v>
      </c>
      <c r="CE37" s="4438">
        <f t="shared" ref="CE37:CE40" si="316">IFERROR(AH37/$C$1,0)</f>
        <v>0</v>
      </c>
      <c r="CF37" s="4438">
        <f t="shared" ref="CF37:CF40" si="317">IFERROR(AI37/$C$1,0)</f>
        <v>0</v>
      </c>
      <c r="CG37" s="4438">
        <f t="shared" ref="CG37:CG40" si="318">IFERROR(AJ37/$C$1,0)</f>
        <v>0</v>
      </c>
      <c r="CH37" s="4438">
        <f t="shared" ref="CH37:CH40" si="319">IFERROR(AK37/$C$1,0)</f>
        <v>0</v>
      </c>
      <c r="CI37" s="4438">
        <f t="shared" ref="CI37:CI40" si="320">IFERROR(AL37/$C$1,0)</f>
        <v>0</v>
      </c>
      <c r="CJ37" s="4438">
        <f t="shared" ref="CJ37:CJ40" si="321">IFERROR(AM37/$C$1,0)</f>
        <v>0</v>
      </c>
      <c r="CK37" s="4438">
        <f t="shared" ref="CK37:CK40" si="322">IFERROR(AN37/$C$1,0)</f>
        <v>0</v>
      </c>
      <c r="CL37" s="4438">
        <f t="shared" ref="CL37:CL40" si="323">IFERROR(AO37/$C$1,0)</f>
        <v>0</v>
      </c>
      <c r="CM37" s="4438">
        <f t="shared" ref="CM37:CM40" si="324">IFERROR(AP37/$C$1,0)</f>
        <v>0</v>
      </c>
      <c r="CN37" s="4438">
        <f t="shared" ref="CN37:CN40" si="325">IFERROR(AQ37/$C$1,0)</f>
        <v>0</v>
      </c>
      <c r="CO37" s="4438">
        <f t="shared" ref="CO37:CO40" si="326">IFERROR(AR37/$C$1,0)</f>
        <v>126.80038653666219</v>
      </c>
      <c r="CP37" s="4438">
        <f t="shared" ref="CP37:CP40" si="327">IFERROR(AS37/$C$1,0)</f>
        <v>97.145457427281514</v>
      </c>
      <c r="CQ37" s="4438">
        <f t="shared" ref="CQ37:CQ40" si="328">IFERROR(AT37/$C$1,0)</f>
        <v>67.490528317900839</v>
      </c>
      <c r="CR37" s="4438">
        <f t="shared" ref="CR37:CR40" si="329">IFERROR(AU37/$C$1,0)</f>
        <v>37.835599208520172</v>
      </c>
      <c r="CS37" s="4438">
        <f t="shared" ref="CS37:CS40" si="330">IFERROR(AV37/$C$1,0)</f>
        <v>8.1806700991394958</v>
      </c>
      <c r="CT37" s="4438">
        <f t="shared" ref="CT37:CT40" si="331">IFERROR(AW37/$C$1,0)</f>
        <v>0</v>
      </c>
      <c r="CU37" s="4438">
        <f t="shared" ref="CU37:CU40" si="332">IFERROR(AX37/$C$1,0)</f>
        <v>0</v>
      </c>
    </row>
    <row r="38" spans="1:99" s="1" customFormat="1">
      <c r="A38" s="3826" t="s">
        <v>962</v>
      </c>
      <c r="B38" s="2442" t="s">
        <v>196</v>
      </c>
      <c r="C38" s="393">
        <v>278</v>
      </c>
      <c r="D38" s="404">
        <v>0</v>
      </c>
      <c r="E38" s="402">
        <v>0</v>
      </c>
      <c r="F38" s="402">
        <v>0</v>
      </c>
      <c r="G38" s="402">
        <v>0</v>
      </c>
      <c r="H38" s="402">
        <v>0</v>
      </c>
      <c r="I38" s="402">
        <v>0</v>
      </c>
      <c r="J38" s="403">
        <v>0</v>
      </c>
      <c r="K38" s="393"/>
      <c r="L38" s="404"/>
      <c r="M38" s="402"/>
      <c r="N38" s="402"/>
      <c r="O38" s="402"/>
      <c r="P38" s="402"/>
      <c r="Q38" s="402"/>
      <c r="R38" s="403"/>
      <c r="S38" s="393"/>
      <c r="T38" s="404"/>
      <c r="U38" s="402"/>
      <c r="V38" s="402"/>
      <c r="W38" s="402"/>
      <c r="X38" s="402"/>
      <c r="Y38" s="402"/>
      <c r="Z38" s="403"/>
      <c r="AA38" s="393"/>
      <c r="AB38" s="404"/>
      <c r="AC38" s="402"/>
      <c r="AD38" s="402"/>
      <c r="AE38" s="402"/>
      <c r="AF38" s="402"/>
      <c r="AG38" s="402"/>
      <c r="AH38" s="403"/>
      <c r="AI38" s="393"/>
      <c r="AJ38" s="404"/>
      <c r="AK38" s="402"/>
      <c r="AL38" s="402"/>
      <c r="AM38" s="402"/>
      <c r="AN38" s="402"/>
      <c r="AO38" s="402"/>
      <c r="AP38" s="403"/>
      <c r="AQ38" s="2441">
        <f t="shared" si="283"/>
        <v>278</v>
      </c>
      <c r="AR38" s="4110">
        <f t="shared" si="283"/>
        <v>0</v>
      </c>
      <c r="AS38" s="2443">
        <f t="shared" ref="AS38:AX40" si="333">E38+M38+U38+AC38+AK38</f>
        <v>0</v>
      </c>
      <c r="AT38" s="2443">
        <f t="shared" si="333"/>
        <v>0</v>
      </c>
      <c r="AU38" s="2443">
        <f t="shared" si="333"/>
        <v>0</v>
      </c>
      <c r="AV38" s="2443">
        <f t="shared" si="333"/>
        <v>0</v>
      </c>
      <c r="AW38" s="2443">
        <f t="shared" si="333"/>
        <v>0</v>
      </c>
      <c r="AX38" s="2444">
        <f t="shared" si="333"/>
        <v>0</v>
      </c>
      <c r="AY38" s="4422"/>
      <c r="AZ38" s="4438">
        <f t="shared" ref="AZ38:AZ40" si="334">IFERROR(C38/$C$1,0)</f>
        <v>142.13914297254874</v>
      </c>
      <c r="BA38" s="4438">
        <f t="shared" si="286"/>
        <v>0</v>
      </c>
      <c r="BB38" s="4438">
        <f t="shared" si="287"/>
        <v>0</v>
      </c>
      <c r="BC38" s="4438">
        <f t="shared" si="288"/>
        <v>0</v>
      </c>
      <c r="BD38" s="4438">
        <f t="shared" si="289"/>
        <v>0</v>
      </c>
      <c r="BE38" s="4438">
        <f t="shared" si="290"/>
        <v>0</v>
      </c>
      <c r="BF38" s="4438">
        <f t="shared" si="291"/>
        <v>0</v>
      </c>
      <c r="BG38" s="4438">
        <f t="shared" si="292"/>
        <v>0</v>
      </c>
      <c r="BH38" s="4438">
        <f t="shared" si="293"/>
        <v>0</v>
      </c>
      <c r="BI38" s="4438">
        <f t="shared" si="294"/>
        <v>0</v>
      </c>
      <c r="BJ38" s="4438">
        <f t="shared" si="295"/>
        <v>0</v>
      </c>
      <c r="BK38" s="4438">
        <f t="shared" si="296"/>
        <v>0</v>
      </c>
      <c r="BL38" s="4438">
        <f t="shared" si="297"/>
        <v>0</v>
      </c>
      <c r="BM38" s="4438">
        <f t="shared" si="298"/>
        <v>0</v>
      </c>
      <c r="BN38" s="4438">
        <f t="shared" si="299"/>
        <v>0</v>
      </c>
      <c r="BO38" s="4438">
        <f t="shared" si="300"/>
        <v>0</v>
      </c>
      <c r="BP38" s="4438">
        <f t="shared" si="301"/>
        <v>0</v>
      </c>
      <c r="BQ38" s="4438">
        <f t="shared" si="302"/>
        <v>0</v>
      </c>
      <c r="BR38" s="4438">
        <f t="shared" si="303"/>
        <v>0</v>
      </c>
      <c r="BS38" s="4438">
        <f t="shared" si="304"/>
        <v>0</v>
      </c>
      <c r="BT38" s="4438">
        <f t="shared" si="305"/>
        <v>0</v>
      </c>
      <c r="BU38" s="4438">
        <f t="shared" si="306"/>
        <v>0</v>
      </c>
      <c r="BV38" s="4438">
        <f t="shared" si="307"/>
        <v>0</v>
      </c>
      <c r="BW38" s="4438">
        <f t="shared" si="308"/>
        <v>0</v>
      </c>
      <c r="BX38" s="4438">
        <f t="shared" si="309"/>
        <v>0</v>
      </c>
      <c r="BY38" s="4438">
        <f t="shared" si="310"/>
        <v>0</v>
      </c>
      <c r="BZ38" s="4438">
        <f t="shared" si="311"/>
        <v>0</v>
      </c>
      <c r="CA38" s="4438">
        <f t="shared" si="312"/>
        <v>0</v>
      </c>
      <c r="CB38" s="4438">
        <f t="shared" si="313"/>
        <v>0</v>
      </c>
      <c r="CC38" s="4438">
        <f t="shared" si="314"/>
        <v>0</v>
      </c>
      <c r="CD38" s="4438">
        <f t="shared" si="315"/>
        <v>0</v>
      </c>
      <c r="CE38" s="4438">
        <f t="shared" si="316"/>
        <v>0</v>
      </c>
      <c r="CF38" s="4438">
        <f t="shared" si="317"/>
        <v>0</v>
      </c>
      <c r="CG38" s="4438">
        <f t="shared" si="318"/>
        <v>0</v>
      </c>
      <c r="CH38" s="4438">
        <f t="shared" si="319"/>
        <v>0</v>
      </c>
      <c r="CI38" s="4438">
        <f t="shared" si="320"/>
        <v>0</v>
      </c>
      <c r="CJ38" s="4438">
        <f t="shared" si="321"/>
        <v>0</v>
      </c>
      <c r="CK38" s="4438">
        <f t="shared" si="322"/>
        <v>0</v>
      </c>
      <c r="CL38" s="4438">
        <f t="shared" si="323"/>
        <v>0</v>
      </c>
      <c r="CM38" s="4438">
        <f t="shared" si="324"/>
        <v>0</v>
      </c>
      <c r="CN38" s="4438">
        <f t="shared" si="325"/>
        <v>142.13914297254874</v>
      </c>
      <c r="CO38" s="4438">
        <f t="shared" si="326"/>
        <v>0</v>
      </c>
      <c r="CP38" s="4438">
        <f t="shared" si="327"/>
        <v>0</v>
      </c>
      <c r="CQ38" s="4438">
        <f t="shared" si="328"/>
        <v>0</v>
      </c>
      <c r="CR38" s="4438">
        <f t="shared" si="329"/>
        <v>0</v>
      </c>
      <c r="CS38" s="4438">
        <f t="shared" si="330"/>
        <v>0</v>
      </c>
      <c r="CT38" s="4438">
        <f t="shared" si="331"/>
        <v>0</v>
      </c>
      <c r="CU38" s="4438">
        <f t="shared" si="332"/>
        <v>0</v>
      </c>
    </row>
    <row r="39" spans="1:99" s="1" customFormat="1">
      <c r="A39" s="3826" t="s">
        <v>963</v>
      </c>
      <c r="B39" s="2442" t="s">
        <v>197</v>
      </c>
      <c r="C39" s="393">
        <v>30</v>
      </c>
      <c r="D39" s="404">
        <v>58</v>
      </c>
      <c r="E39" s="402">
        <v>58</v>
      </c>
      <c r="F39" s="402">
        <v>58</v>
      </c>
      <c r="G39" s="402">
        <v>58</v>
      </c>
      <c r="H39" s="404">
        <v>16</v>
      </c>
      <c r="I39" s="402"/>
      <c r="J39" s="403"/>
      <c r="K39" s="393"/>
      <c r="L39" s="404"/>
      <c r="M39" s="402"/>
      <c r="N39" s="402"/>
      <c r="O39" s="402"/>
      <c r="P39" s="402"/>
      <c r="Q39" s="402"/>
      <c r="R39" s="403"/>
      <c r="S39" s="393"/>
      <c r="T39" s="404"/>
      <c r="U39" s="402"/>
      <c r="V39" s="402"/>
      <c r="W39" s="402"/>
      <c r="X39" s="402"/>
      <c r="Y39" s="402"/>
      <c r="Z39" s="403"/>
      <c r="AA39" s="393"/>
      <c r="AB39" s="404"/>
      <c r="AC39" s="402"/>
      <c r="AD39" s="402"/>
      <c r="AE39" s="402"/>
      <c r="AF39" s="402"/>
      <c r="AG39" s="402"/>
      <c r="AH39" s="403"/>
      <c r="AI39" s="393"/>
      <c r="AJ39" s="404"/>
      <c r="AK39" s="402"/>
      <c r="AL39" s="402"/>
      <c r="AM39" s="402"/>
      <c r="AN39" s="402"/>
      <c r="AO39" s="402"/>
      <c r="AP39" s="403"/>
      <c r="AQ39" s="2441">
        <f t="shared" si="283"/>
        <v>30</v>
      </c>
      <c r="AR39" s="4110">
        <f t="shared" si="283"/>
        <v>58</v>
      </c>
      <c r="AS39" s="2443">
        <f t="shared" si="333"/>
        <v>58</v>
      </c>
      <c r="AT39" s="2443">
        <f t="shared" si="333"/>
        <v>58</v>
      </c>
      <c r="AU39" s="2443">
        <f t="shared" si="333"/>
        <v>58</v>
      </c>
      <c r="AV39" s="2443">
        <f t="shared" si="333"/>
        <v>16</v>
      </c>
      <c r="AW39" s="2443">
        <f t="shared" si="333"/>
        <v>0</v>
      </c>
      <c r="AX39" s="2444">
        <f t="shared" si="333"/>
        <v>0</v>
      </c>
      <c r="AY39" s="4422"/>
      <c r="AZ39" s="4438">
        <f t="shared" si="334"/>
        <v>15.338756435886555</v>
      </c>
      <c r="BA39" s="4438">
        <f t="shared" si="286"/>
        <v>29.654929109380674</v>
      </c>
      <c r="BB39" s="4438">
        <f t="shared" si="287"/>
        <v>29.654929109380674</v>
      </c>
      <c r="BC39" s="4438">
        <f t="shared" si="288"/>
        <v>29.654929109380674</v>
      </c>
      <c r="BD39" s="4438">
        <f t="shared" si="289"/>
        <v>29.654929109380674</v>
      </c>
      <c r="BE39" s="4438">
        <f t="shared" si="290"/>
        <v>8.1806700991394958</v>
      </c>
      <c r="BF39" s="4438">
        <f t="shared" si="291"/>
        <v>0</v>
      </c>
      <c r="BG39" s="4438">
        <f t="shared" si="292"/>
        <v>0</v>
      </c>
      <c r="BH39" s="4438">
        <f t="shared" si="293"/>
        <v>0</v>
      </c>
      <c r="BI39" s="4438">
        <f t="shared" si="294"/>
        <v>0</v>
      </c>
      <c r="BJ39" s="4438">
        <f t="shared" si="295"/>
        <v>0</v>
      </c>
      <c r="BK39" s="4438">
        <f t="shared" si="296"/>
        <v>0</v>
      </c>
      <c r="BL39" s="4438">
        <f t="shared" si="297"/>
        <v>0</v>
      </c>
      <c r="BM39" s="4438">
        <f t="shared" si="298"/>
        <v>0</v>
      </c>
      <c r="BN39" s="4438">
        <f t="shared" si="299"/>
        <v>0</v>
      </c>
      <c r="BO39" s="4438">
        <f t="shared" si="300"/>
        <v>0</v>
      </c>
      <c r="BP39" s="4438">
        <f t="shared" si="301"/>
        <v>0</v>
      </c>
      <c r="BQ39" s="4438">
        <f t="shared" si="302"/>
        <v>0</v>
      </c>
      <c r="BR39" s="4438">
        <f t="shared" si="303"/>
        <v>0</v>
      </c>
      <c r="BS39" s="4438">
        <f t="shared" si="304"/>
        <v>0</v>
      </c>
      <c r="BT39" s="4438">
        <f t="shared" si="305"/>
        <v>0</v>
      </c>
      <c r="BU39" s="4438">
        <f t="shared" si="306"/>
        <v>0</v>
      </c>
      <c r="BV39" s="4438">
        <f t="shared" si="307"/>
        <v>0</v>
      </c>
      <c r="BW39" s="4438">
        <f t="shared" si="308"/>
        <v>0</v>
      </c>
      <c r="BX39" s="4438">
        <f t="shared" si="309"/>
        <v>0</v>
      </c>
      <c r="BY39" s="4438">
        <f t="shared" si="310"/>
        <v>0</v>
      </c>
      <c r="BZ39" s="4438">
        <f t="shared" si="311"/>
        <v>0</v>
      </c>
      <c r="CA39" s="4438">
        <f t="shared" si="312"/>
        <v>0</v>
      </c>
      <c r="CB39" s="4438">
        <f t="shared" si="313"/>
        <v>0</v>
      </c>
      <c r="CC39" s="4438">
        <f t="shared" si="314"/>
        <v>0</v>
      </c>
      <c r="CD39" s="4438">
        <f t="shared" si="315"/>
        <v>0</v>
      </c>
      <c r="CE39" s="4438">
        <f t="shared" si="316"/>
        <v>0</v>
      </c>
      <c r="CF39" s="4438">
        <f t="shared" si="317"/>
        <v>0</v>
      </c>
      <c r="CG39" s="4438">
        <f t="shared" si="318"/>
        <v>0</v>
      </c>
      <c r="CH39" s="4438">
        <f t="shared" si="319"/>
        <v>0</v>
      </c>
      <c r="CI39" s="4438">
        <f t="shared" si="320"/>
        <v>0</v>
      </c>
      <c r="CJ39" s="4438">
        <f t="shared" si="321"/>
        <v>0</v>
      </c>
      <c r="CK39" s="4438">
        <f t="shared" si="322"/>
        <v>0</v>
      </c>
      <c r="CL39" s="4438">
        <f t="shared" si="323"/>
        <v>0</v>
      </c>
      <c r="CM39" s="4438">
        <f t="shared" si="324"/>
        <v>0</v>
      </c>
      <c r="CN39" s="4438">
        <f t="shared" si="325"/>
        <v>15.338756435886555</v>
      </c>
      <c r="CO39" s="4438">
        <f t="shared" si="326"/>
        <v>29.654929109380674</v>
      </c>
      <c r="CP39" s="4438">
        <f t="shared" si="327"/>
        <v>29.654929109380674</v>
      </c>
      <c r="CQ39" s="4438">
        <f t="shared" si="328"/>
        <v>29.654929109380674</v>
      </c>
      <c r="CR39" s="4438">
        <f t="shared" si="329"/>
        <v>29.654929109380674</v>
      </c>
      <c r="CS39" s="4438">
        <f t="shared" si="330"/>
        <v>8.1806700991394958</v>
      </c>
      <c r="CT39" s="4438">
        <f t="shared" si="331"/>
        <v>0</v>
      </c>
      <c r="CU39" s="4438">
        <f t="shared" si="332"/>
        <v>0</v>
      </c>
    </row>
    <row r="40" spans="1:99" s="1" customFormat="1">
      <c r="A40" s="3826" t="s">
        <v>964</v>
      </c>
      <c r="B40" s="2442" t="s">
        <v>198</v>
      </c>
      <c r="C40" s="393">
        <v>6</v>
      </c>
      <c r="D40" s="404">
        <v>11</v>
      </c>
      <c r="E40" s="402">
        <v>9</v>
      </c>
      <c r="F40" s="402">
        <v>6</v>
      </c>
      <c r="G40" s="402">
        <v>2</v>
      </c>
      <c r="H40" s="404">
        <v>0</v>
      </c>
      <c r="I40" s="402">
        <v>0</v>
      </c>
      <c r="J40" s="403">
        <v>0</v>
      </c>
      <c r="K40" s="393"/>
      <c r="L40" s="404"/>
      <c r="M40" s="402"/>
      <c r="N40" s="402"/>
      <c r="O40" s="402"/>
      <c r="P40" s="402"/>
      <c r="Q40" s="402"/>
      <c r="R40" s="403"/>
      <c r="S40" s="393"/>
      <c r="T40" s="404"/>
      <c r="U40" s="402"/>
      <c r="V40" s="402"/>
      <c r="W40" s="402"/>
      <c r="X40" s="402"/>
      <c r="Y40" s="402"/>
      <c r="Z40" s="403"/>
      <c r="AA40" s="393"/>
      <c r="AB40" s="404"/>
      <c r="AC40" s="402"/>
      <c r="AD40" s="402"/>
      <c r="AE40" s="402"/>
      <c r="AF40" s="402"/>
      <c r="AG40" s="402"/>
      <c r="AH40" s="403"/>
      <c r="AI40" s="393"/>
      <c r="AJ40" s="404"/>
      <c r="AK40" s="402"/>
      <c r="AL40" s="402"/>
      <c r="AM40" s="402"/>
      <c r="AN40" s="402"/>
      <c r="AO40" s="402"/>
      <c r="AP40" s="403"/>
      <c r="AQ40" s="2441">
        <f t="shared" si="283"/>
        <v>6</v>
      </c>
      <c r="AR40" s="4110">
        <f t="shared" si="283"/>
        <v>11</v>
      </c>
      <c r="AS40" s="2443">
        <f t="shared" si="333"/>
        <v>9</v>
      </c>
      <c r="AT40" s="2443">
        <f t="shared" si="333"/>
        <v>6</v>
      </c>
      <c r="AU40" s="2443">
        <f t="shared" si="333"/>
        <v>2</v>
      </c>
      <c r="AV40" s="2443">
        <f t="shared" si="333"/>
        <v>0</v>
      </c>
      <c r="AW40" s="2443">
        <f t="shared" si="333"/>
        <v>0</v>
      </c>
      <c r="AX40" s="2444">
        <f t="shared" si="333"/>
        <v>0</v>
      </c>
      <c r="AY40" s="4422"/>
      <c r="AZ40" s="4438">
        <f t="shared" si="334"/>
        <v>3.0677512871773112</v>
      </c>
      <c r="BA40" s="4438">
        <f t="shared" si="286"/>
        <v>5.6242106931584033</v>
      </c>
      <c r="BB40" s="4438">
        <f t="shared" si="287"/>
        <v>4.6016269307659661</v>
      </c>
      <c r="BC40" s="4438">
        <f t="shared" si="288"/>
        <v>3.0677512871773112</v>
      </c>
      <c r="BD40" s="4438">
        <f t="shared" si="289"/>
        <v>1.022583762392437</v>
      </c>
      <c r="BE40" s="4438">
        <f t="shared" si="290"/>
        <v>0</v>
      </c>
      <c r="BF40" s="4438">
        <f t="shared" si="291"/>
        <v>0</v>
      </c>
      <c r="BG40" s="4438">
        <f t="shared" si="292"/>
        <v>0</v>
      </c>
      <c r="BH40" s="4438">
        <f t="shared" si="293"/>
        <v>0</v>
      </c>
      <c r="BI40" s="4438">
        <f t="shared" si="294"/>
        <v>0</v>
      </c>
      <c r="BJ40" s="4438">
        <f t="shared" si="295"/>
        <v>0</v>
      </c>
      <c r="BK40" s="4438">
        <f t="shared" si="296"/>
        <v>0</v>
      </c>
      <c r="BL40" s="4438">
        <f t="shared" si="297"/>
        <v>0</v>
      </c>
      <c r="BM40" s="4438">
        <f t="shared" si="298"/>
        <v>0</v>
      </c>
      <c r="BN40" s="4438">
        <f t="shared" si="299"/>
        <v>0</v>
      </c>
      <c r="BO40" s="4438">
        <f t="shared" si="300"/>
        <v>0</v>
      </c>
      <c r="BP40" s="4438">
        <f t="shared" si="301"/>
        <v>0</v>
      </c>
      <c r="BQ40" s="4438">
        <f t="shared" si="302"/>
        <v>0</v>
      </c>
      <c r="BR40" s="4438">
        <f t="shared" si="303"/>
        <v>0</v>
      </c>
      <c r="BS40" s="4438">
        <f t="shared" si="304"/>
        <v>0</v>
      </c>
      <c r="BT40" s="4438">
        <f t="shared" si="305"/>
        <v>0</v>
      </c>
      <c r="BU40" s="4438">
        <f t="shared" si="306"/>
        <v>0</v>
      </c>
      <c r="BV40" s="4438">
        <f t="shared" si="307"/>
        <v>0</v>
      </c>
      <c r="BW40" s="4438">
        <f t="shared" si="308"/>
        <v>0</v>
      </c>
      <c r="BX40" s="4438">
        <f t="shared" si="309"/>
        <v>0</v>
      </c>
      <c r="BY40" s="4438">
        <f t="shared" si="310"/>
        <v>0</v>
      </c>
      <c r="BZ40" s="4438">
        <f t="shared" si="311"/>
        <v>0</v>
      </c>
      <c r="CA40" s="4438">
        <f t="shared" si="312"/>
        <v>0</v>
      </c>
      <c r="CB40" s="4438">
        <f t="shared" si="313"/>
        <v>0</v>
      </c>
      <c r="CC40" s="4438">
        <f t="shared" si="314"/>
        <v>0</v>
      </c>
      <c r="CD40" s="4438">
        <f t="shared" si="315"/>
        <v>0</v>
      </c>
      <c r="CE40" s="4438">
        <f t="shared" si="316"/>
        <v>0</v>
      </c>
      <c r="CF40" s="4438">
        <f t="shared" si="317"/>
        <v>0</v>
      </c>
      <c r="CG40" s="4438">
        <f t="shared" si="318"/>
        <v>0</v>
      </c>
      <c r="CH40" s="4438">
        <f t="shared" si="319"/>
        <v>0</v>
      </c>
      <c r="CI40" s="4438">
        <f t="shared" si="320"/>
        <v>0</v>
      </c>
      <c r="CJ40" s="4438">
        <f t="shared" si="321"/>
        <v>0</v>
      </c>
      <c r="CK40" s="4438">
        <f t="shared" si="322"/>
        <v>0</v>
      </c>
      <c r="CL40" s="4438">
        <f t="shared" si="323"/>
        <v>0</v>
      </c>
      <c r="CM40" s="4438">
        <f t="shared" si="324"/>
        <v>0</v>
      </c>
      <c r="CN40" s="4438">
        <f t="shared" si="325"/>
        <v>3.0677512871773112</v>
      </c>
      <c r="CO40" s="4438">
        <f t="shared" si="326"/>
        <v>5.6242106931584033</v>
      </c>
      <c r="CP40" s="4438">
        <f t="shared" si="327"/>
        <v>4.6016269307659661</v>
      </c>
      <c r="CQ40" s="4438">
        <f t="shared" si="328"/>
        <v>3.0677512871773112</v>
      </c>
      <c r="CR40" s="4438">
        <f t="shared" si="329"/>
        <v>1.022583762392437</v>
      </c>
      <c r="CS40" s="4438">
        <f t="shared" si="330"/>
        <v>0</v>
      </c>
      <c r="CT40" s="4438">
        <f t="shared" si="331"/>
        <v>0</v>
      </c>
      <c r="CU40" s="4438">
        <f t="shared" si="332"/>
        <v>0</v>
      </c>
    </row>
    <row r="41" spans="1:99" s="1" customFormat="1">
      <c r="A41" s="3826" t="s">
        <v>965</v>
      </c>
      <c r="B41" s="2442" t="s">
        <v>199</v>
      </c>
      <c r="C41" s="4116">
        <f t="shared" ref="C41" si="335">IF(C37=0,0,C40/((C37+C43)/2))</f>
        <v>0</v>
      </c>
      <c r="D41" s="4109">
        <f t="shared" ref="D41:J41" si="336">IF(D37=0,0,D40/((D37+D43)/2))</f>
        <v>5.0228310502283102E-2</v>
      </c>
      <c r="E41" s="1365">
        <f t="shared" si="336"/>
        <v>5.5900621118012424E-2</v>
      </c>
      <c r="F41" s="1365">
        <f t="shared" si="336"/>
        <v>5.8252427184466021E-2</v>
      </c>
      <c r="G41" s="1365">
        <f t="shared" si="336"/>
        <v>4.4444444444444446E-2</v>
      </c>
      <c r="H41" s="1365">
        <f t="shared" si="336"/>
        <v>0</v>
      </c>
      <c r="I41" s="1365">
        <f t="shared" si="336"/>
        <v>0</v>
      </c>
      <c r="J41" s="2445">
        <f t="shared" si="336"/>
        <v>0</v>
      </c>
      <c r="K41" s="2446">
        <f>IF(K37=0,0,K40/((K37+K43)/2))</f>
        <v>0</v>
      </c>
      <c r="L41" s="2455">
        <f>IF(L37=0,0,L40/((L37+L43)/2))</f>
        <v>0</v>
      </c>
      <c r="M41" s="2447">
        <f>IF(M37=0,0,M40/((M37+M43)/2))</f>
        <v>0</v>
      </c>
      <c r="N41" s="2447">
        <f t="shared" ref="N41:R41" si="337">IF(N37=0,0,N40/((N37+N43)/2))</f>
        <v>0</v>
      </c>
      <c r="O41" s="2447">
        <f t="shared" si="337"/>
        <v>0</v>
      </c>
      <c r="P41" s="2447">
        <f t="shared" si="337"/>
        <v>0</v>
      </c>
      <c r="Q41" s="2447">
        <f t="shared" si="337"/>
        <v>0</v>
      </c>
      <c r="R41" s="2448">
        <f t="shared" si="337"/>
        <v>0</v>
      </c>
      <c r="S41" s="2446">
        <f>IF(S37=0,0,S40/((S37+S43)/2))</f>
        <v>0</v>
      </c>
      <c r="T41" s="2455">
        <f>IF(T37=0,0,T40/((T37+T43)/2))</f>
        <v>0</v>
      </c>
      <c r="U41" s="2447">
        <f>IF(U37=0,0,U40/((U37+U43)/2))</f>
        <v>0</v>
      </c>
      <c r="V41" s="2447">
        <f t="shared" ref="V41:Z41" si="338">IF(V37=0,0,V40/((V37+V43)/2))</f>
        <v>0</v>
      </c>
      <c r="W41" s="2447">
        <f t="shared" si="338"/>
        <v>0</v>
      </c>
      <c r="X41" s="2447">
        <f t="shared" si="338"/>
        <v>0</v>
      </c>
      <c r="Y41" s="2447">
        <f t="shared" si="338"/>
        <v>0</v>
      </c>
      <c r="Z41" s="2448">
        <f t="shared" si="338"/>
        <v>0</v>
      </c>
      <c r="AA41" s="2446">
        <f>IF(AA37=0,0,AA40/((AA37+AA43)/2))</f>
        <v>0</v>
      </c>
      <c r="AB41" s="2455">
        <f>IF(AB37=0,0,AB40/((AB37+AB43)/2))</f>
        <v>0</v>
      </c>
      <c r="AC41" s="2447">
        <f>IF(AC37=0,0,AC40/((AC37+AC43)/2))</f>
        <v>0</v>
      </c>
      <c r="AD41" s="2447">
        <f t="shared" ref="AD41:AH41" si="339">IF(AD37=0,0,AD40/((AD37+AD43)/2))</f>
        <v>0</v>
      </c>
      <c r="AE41" s="2447">
        <f t="shared" si="339"/>
        <v>0</v>
      </c>
      <c r="AF41" s="2447">
        <f t="shared" si="339"/>
        <v>0</v>
      </c>
      <c r="AG41" s="2447">
        <f t="shared" si="339"/>
        <v>0</v>
      </c>
      <c r="AH41" s="2448">
        <f t="shared" si="339"/>
        <v>0</v>
      </c>
      <c r="AI41" s="2446">
        <f>IF(AI37=0,0,AI40/((AI37+AI43)/2))</f>
        <v>0</v>
      </c>
      <c r="AJ41" s="2455">
        <f>IF(AJ37=0,0,AJ40/((AJ37+AJ43)/2))</f>
        <v>0</v>
      </c>
      <c r="AK41" s="2447">
        <f>IF(AK37=0,0,AK40/((AK37+AK43)/2))</f>
        <v>0</v>
      </c>
      <c r="AL41" s="2447">
        <f t="shared" ref="AL41:AP41" si="340">IF(AL37=0,0,AL40/((AL37+AL43)/2))</f>
        <v>0</v>
      </c>
      <c r="AM41" s="2447">
        <f t="shared" si="340"/>
        <v>0</v>
      </c>
      <c r="AN41" s="2447">
        <f t="shared" si="340"/>
        <v>0</v>
      </c>
      <c r="AO41" s="2447">
        <f t="shared" si="340"/>
        <v>0</v>
      </c>
      <c r="AP41" s="2448">
        <f t="shared" si="340"/>
        <v>0</v>
      </c>
      <c r="AQ41" s="2446">
        <f>IF(AQ37=0,0,AQ40/((AQ37+AQ43)/2))</f>
        <v>0</v>
      </c>
      <c r="AR41" s="2455">
        <f>IF(AR37=0,0,AR40/((AR37+AR43)/2))</f>
        <v>5.0228310502283102E-2</v>
      </c>
      <c r="AS41" s="2447">
        <f>IF(AS37=0,0,AS40/((AS37+AS43)/2))</f>
        <v>5.5900621118012424E-2</v>
      </c>
      <c r="AT41" s="2447">
        <f t="shared" ref="AT41:AX41" si="341">IF(AT37=0,0,AT40/((AT37+AT43)/2))</f>
        <v>5.8252427184466021E-2</v>
      </c>
      <c r="AU41" s="2447">
        <f t="shared" si="341"/>
        <v>4.4444444444444446E-2</v>
      </c>
      <c r="AV41" s="2447">
        <f t="shared" si="341"/>
        <v>0</v>
      </c>
      <c r="AW41" s="2447">
        <f t="shared" si="341"/>
        <v>0</v>
      </c>
      <c r="AX41" s="2448">
        <f t="shared" si="341"/>
        <v>0</v>
      </c>
      <c r="AY41" s="4422"/>
    </row>
    <row r="42" spans="1:99" s="1" customFormat="1">
      <c r="A42" s="3826" t="s">
        <v>966</v>
      </c>
      <c r="B42" s="2442" t="s">
        <v>200</v>
      </c>
      <c r="C42" s="2449">
        <f>C39+C40</f>
        <v>36</v>
      </c>
      <c r="D42" s="2456">
        <f>D39+D40</f>
        <v>69</v>
      </c>
      <c r="E42" s="2450">
        <f t="shared" ref="E42:J42" si="342">E39+E40</f>
        <v>67</v>
      </c>
      <c r="F42" s="2450">
        <f t="shared" si="342"/>
        <v>64</v>
      </c>
      <c r="G42" s="2450">
        <f t="shared" si="342"/>
        <v>60</v>
      </c>
      <c r="H42" s="2450">
        <f t="shared" si="342"/>
        <v>16</v>
      </c>
      <c r="I42" s="2450">
        <f t="shared" si="342"/>
        <v>0</v>
      </c>
      <c r="J42" s="2451">
        <f t="shared" si="342"/>
        <v>0</v>
      </c>
      <c r="K42" s="2449">
        <f>K39+K40</f>
        <v>0</v>
      </c>
      <c r="L42" s="2456">
        <f>L39+L40</f>
        <v>0</v>
      </c>
      <c r="M42" s="2450">
        <f t="shared" ref="M42:R42" si="343">M39+M40</f>
        <v>0</v>
      </c>
      <c r="N42" s="2450">
        <f t="shared" si="343"/>
        <v>0</v>
      </c>
      <c r="O42" s="2450">
        <f t="shared" si="343"/>
        <v>0</v>
      </c>
      <c r="P42" s="2450">
        <f t="shared" si="343"/>
        <v>0</v>
      </c>
      <c r="Q42" s="2450">
        <f t="shared" si="343"/>
        <v>0</v>
      </c>
      <c r="R42" s="2451">
        <f t="shared" si="343"/>
        <v>0</v>
      </c>
      <c r="S42" s="2449">
        <f>S39+S40</f>
        <v>0</v>
      </c>
      <c r="T42" s="2456">
        <f>T39+T40</f>
        <v>0</v>
      </c>
      <c r="U42" s="2450">
        <f t="shared" ref="U42:Z42" si="344">U39+U40</f>
        <v>0</v>
      </c>
      <c r="V42" s="2450">
        <f t="shared" si="344"/>
        <v>0</v>
      </c>
      <c r="W42" s="2450">
        <f t="shared" si="344"/>
        <v>0</v>
      </c>
      <c r="X42" s="2450">
        <f t="shared" si="344"/>
        <v>0</v>
      </c>
      <c r="Y42" s="2450">
        <f t="shared" si="344"/>
        <v>0</v>
      </c>
      <c r="Z42" s="2451">
        <f t="shared" si="344"/>
        <v>0</v>
      </c>
      <c r="AA42" s="2449">
        <f>AA39+AA40</f>
        <v>0</v>
      </c>
      <c r="AB42" s="2456">
        <f>AB39+AB40</f>
        <v>0</v>
      </c>
      <c r="AC42" s="2450">
        <f t="shared" ref="AC42:AH42" si="345">AC39+AC40</f>
        <v>0</v>
      </c>
      <c r="AD42" s="2450">
        <f t="shared" si="345"/>
        <v>0</v>
      </c>
      <c r="AE42" s="2450">
        <f t="shared" si="345"/>
        <v>0</v>
      </c>
      <c r="AF42" s="2450">
        <f t="shared" si="345"/>
        <v>0</v>
      </c>
      <c r="AG42" s="2450">
        <f t="shared" si="345"/>
        <v>0</v>
      </c>
      <c r="AH42" s="2451">
        <f t="shared" si="345"/>
        <v>0</v>
      </c>
      <c r="AI42" s="2449">
        <f>AI39+AI40</f>
        <v>0</v>
      </c>
      <c r="AJ42" s="2456">
        <f>AJ39+AJ40</f>
        <v>0</v>
      </c>
      <c r="AK42" s="2450">
        <f t="shared" ref="AK42:AP42" si="346">AK39+AK40</f>
        <v>0</v>
      </c>
      <c r="AL42" s="2450">
        <f t="shared" si="346"/>
        <v>0</v>
      </c>
      <c r="AM42" s="2450">
        <f t="shared" si="346"/>
        <v>0</v>
      </c>
      <c r="AN42" s="2450">
        <f t="shared" si="346"/>
        <v>0</v>
      </c>
      <c r="AO42" s="2450">
        <f t="shared" si="346"/>
        <v>0</v>
      </c>
      <c r="AP42" s="2451">
        <f t="shared" si="346"/>
        <v>0</v>
      </c>
      <c r="AQ42" s="2449">
        <f>AQ39+AQ40</f>
        <v>36</v>
      </c>
      <c r="AR42" s="2456">
        <f>AR39+AR40</f>
        <v>69</v>
      </c>
      <c r="AS42" s="2450">
        <f t="shared" ref="AS42:AX42" si="347">AS39+AS40</f>
        <v>67</v>
      </c>
      <c r="AT42" s="2450">
        <f t="shared" si="347"/>
        <v>64</v>
      </c>
      <c r="AU42" s="2450">
        <f t="shared" si="347"/>
        <v>60</v>
      </c>
      <c r="AV42" s="2450">
        <f t="shared" si="347"/>
        <v>16</v>
      </c>
      <c r="AW42" s="2450">
        <f t="shared" si="347"/>
        <v>0</v>
      </c>
      <c r="AX42" s="2451">
        <f t="shared" si="347"/>
        <v>0</v>
      </c>
      <c r="AY42" s="4422"/>
      <c r="AZ42" s="4438">
        <f t="shared" ref="AZ42:AZ43" si="348">IFERROR(C42/$C$1,0)</f>
        <v>18.406507723063864</v>
      </c>
      <c r="BA42" s="4438">
        <f t="shared" ref="BA42:BA43" si="349">IFERROR(D42/$C$1,0)</f>
        <v>35.279139802539078</v>
      </c>
      <c r="BB42" s="4438">
        <f t="shared" ref="BB42:BB43" si="350">IFERROR(E42/$C$1,0)</f>
        <v>34.256556040146641</v>
      </c>
      <c r="BC42" s="4438">
        <f t="shared" ref="BC42:BC43" si="351">IFERROR(F42/$C$1,0)</f>
        <v>32.722680396557983</v>
      </c>
      <c r="BD42" s="4438">
        <f t="shared" ref="BD42:BD43" si="352">IFERROR(G42/$C$1,0)</f>
        <v>30.677512871773111</v>
      </c>
      <c r="BE42" s="4438">
        <f t="shared" ref="BE42:BE43" si="353">IFERROR(H42/$C$1,0)</f>
        <v>8.1806700991394958</v>
      </c>
      <c r="BF42" s="4438">
        <f t="shared" ref="BF42:BF43" si="354">IFERROR(I42/$C$1,0)</f>
        <v>0</v>
      </c>
      <c r="BG42" s="4438">
        <f t="shared" ref="BG42:BG43" si="355">IFERROR(J42/$C$1,0)</f>
        <v>0</v>
      </c>
      <c r="BH42" s="4438">
        <f t="shared" ref="BH42:BH43" si="356">IFERROR(K42/$C$1,0)</f>
        <v>0</v>
      </c>
      <c r="BI42" s="4438">
        <f t="shared" ref="BI42:BI43" si="357">IFERROR(L42/$C$1,0)</f>
        <v>0</v>
      </c>
      <c r="BJ42" s="4438">
        <f t="shared" ref="BJ42:BJ43" si="358">IFERROR(M42/$C$1,0)</f>
        <v>0</v>
      </c>
      <c r="BK42" s="4438">
        <f t="shared" ref="BK42:BK43" si="359">IFERROR(N42/$C$1,0)</f>
        <v>0</v>
      </c>
      <c r="BL42" s="4438">
        <f t="shared" ref="BL42:BL43" si="360">IFERROR(O42/$C$1,0)</f>
        <v>0</v>
      </c>
      <c r="BM42" s="4438">
        <f t="shared" ref="BM42:BM43" si="361">IFERROR(P42/$C$1,0)</f>
        <v>0</v>
      </c>
      <c r="BN42" s="4438">
        <f t="shared" ref="BN42:BN43" si="362">IFERROR(Q42/$C$1,0)</f>
        <v>0</v>
      </c>
      <c r="BO42" s="4438">
        <f t="shared" ref="BO42:BO43" si="363">IFERROR(R42/$C$1,0)</f>
        <v>0</v>
      </c>
      <c r="BP42" s="4438">
        <f t="shared" ref="BP42:BP43" si="364">IFERROR(S42/$C$1,0)</f>
        <v>0</v>
      </c>
      <c r="BQ42" s="4438">
        <f t="shared" ref="BQ42:BQ43" si="365">IFERROR(T42/$C$1,0)</f>
        <v>0</v>
      </c>
      <c r="BR42" s="4438">
        <f t="shared" ref="BR42:BR43" si="366">IFERROR(U42/$C$1,0)</f>
        <v>0</v>
      </c>
      <c r="BS42" s="4438">
        <f t="shared" ref="BS42:BS43" si="367">IFERROR(V42/$C$1,0)</f>
        <v>0</v>
      </c>
      <c r="BT42" s="4438">
        <f t="shared" ref="BT42:BT43" si="368">IFERROR(W42/$C$1,0)</f>
        <v>0</v>
      </c>
      <c r="BU42" s="4438">
        <f t="shared" ref="BU42:BU43" si="369">IFERROR(X42/$C$1,0)</f>
        <v>0</v>
      </c>
      <c r="BV42" s="4438">
        <f t="shared" ref="BV42:BV43" si="370">IFERROR(Y42/$C$1,0)</f>
        <v>0</v>
      </c>
      <c r="BW42" s="4438">
        <f t="shared" ref="BW42:BW43" si="371">IFERROR(Z42/$C$1,0)</f>
        <v>0</v>
      </c>
      <c r="BX42" s="4438">
        <f t="shared" ref="BX42:BX43" si="372">IFERROR(AA42/$C$1,0)</f>
        <v>0</v>
      </c>
      <c r="BY42" s="4438">
        <f t="shared" ref="BY42:BY43" si="373">IFERROR(AB42/$C$1,0)</f>
        <v>0</v>
      </c>
      <c r="BZ42" s="4438">
        <f t="shared" ref="BZ42:BZ43" si="374">IFERROR(AC42/$C$1,0)</f>
        <v>0</v>
      </c>
      <c r="CA42" s="4438">
        <f t="shared" ref="CA42:CA43" si="375">IFERROR(AD42/$C$1,0)</f>
        <v>0</v>
      </c>
      <c r="CB42" s="4438">
        <f t="shared" ref="CB42:CB43" si="376">IFERROR(AE42/$C$1,0)</f>
        <v>0</v>
      </c>
      <c r="CC42" s="4438">
        <f t="shared" ref="CC42:CC43" si="377">IFERROR(AF42/$C$1,0)</f>
        <v>0</v>
      </c>
      <c r="CD42" s="4438">
        <f t="shared" ref="CD42:CD43" si="378">IFERROR(AG42/$C$1,0)</f>
        <v>0</v>
      </c>
      <c r="CE42" s="4438">
        <f t="shared" ref="CE42:CE43" si="379">IFERROR(AH42/$C$1,0)</f>
        <v>0</v>
      </c>
      <c r="CF42" s="4438">
        <f t="shared" ref="CF42:CF43" si="380">IFERROR(AI42/$C$1,0)</f>
        <v>0</v>
      </c>
      <c r="CG42" s="4438">
        <f t="shared" ref="CG42:CG43" si="381">IFERROR(AJ42/$C$1,0)</f>
        <v>0</v>
      </c>
      <c r="CH42" s="4438">
        <f t="shared" ref="CH42:CH43" si="382">IFERROR(AK42/$C$1,0)</f>
        <v>0</v>
      </c>
      <c r="CI42" s="4438">
        <f t="shared" ref="CI42:CI43" si="383">IFERROR(AL42/$C$1,0)</f>
        <v>0</v>
      </c>
      <c r="CJ42" s="4438">
        <f t="shared" ref="CJ42:CJ43" si="384">IFERROR(AM42/$C$1,0)</f>
        <v>0</v>
      </c>
      <c r="CK42" s="4438">
        <f t="shared" ref="CK42:CK43" si="385">IFERROR(AN42/$C$1,0)</f>
        <v>0</v>
      </c>
      <c r="CL42" s="4438">
        <f t="shared" ref="CL42:CL43" si="386">IFERROR(AO42/$C$1,0)</f>
        <v>0</v>
      </c>
      <c r="CM42" s="4438">
        <f t="shared" ref="CM42:CM43" si="387">IFERROR(AP42/$C$1,0)</f>
        <v>0</v>
      </c>
      <c r="CN42" s="4438">
        <f t="shared" ref="CN42:CN43" si="388">IFERROR(AQ42/$C$1,0)</f>
        <v>18.406507723063864</v>
      </c>
      <c r="CO42" s="4438">
        <f t="shared" ref="CO42:CO43" si="389">IFERROR(AR42/$C$1,0)</f>
        <v>35.279139802539078</v>
      </c>
      <c r="CP42" s="4438">
        <f t="shared" ref="CP42:CP43" si="390">IFERROR(AS42/$C$1,0)</f>
        <v>34.256556040146641</v>
      </c>
      <c r="CQ42" s="4438">
        <f t="shared" ref="CQ42:CQ43" si="391">IFERROR(AT42/$C$1,0)</f>
        <v>32.722680396557983</v>
      </c>
      <c r="CR42" s="4438">
        <f t="shared" ref="CR42:CR43" si="392">IFERROR(AU42/$C$1,0)</f>
        <v>30.677512871773111</v>
      </c>
      <c r="CS42" s="4438">
        <f t="shared" ref="CS42:CS43" si="393">IFERROR(AV42/$C$1,0)</f>
        <v>8.1806700991394958</v>
      </c>
      <c r="CT42" s="4438">
        <f t="shared" ref="CT42:CT43" si="394">IFERROR(AW42/$C$1,0)</f>
        <v>0</v>
      </c>
      <c r="CU42" s="4438">
        <f t="shared" ref="CU42:CU43" si="395">IFERROR(AX42/$C$1,0)</f>
        <v>0</v>
      </c>
    </row>
    <row r="43" spans="1:99" s="1" customFormat="1">
      <c r="A43" s="3826" t="s">
        <v>967</v>
      </c>
      <c r="B43" s="2442" t="s">
        <v>201</v>
      </c>
      <c r="C43" s="2449">
        <f>C37+C38-C39</f>
        <v>248</v>
      </c>
      <c r="D43" s="2456">
        <f>D37+D38-D39</f>
        <v>190</v>
      </c>
      <c r="E43" s="2450">
        <f t="shared" ref="E43:J43" si="396">E37+E38-E39</f>
        <v>132</v>
      </c>
      <c r="F43" s="2450">
        <f t="shared" si="396"/>
        <v>74</v>
      </c>
      <c r="G43" s="2450">
        <f t="shared" si="396"/>
        <v>16</v>
      </c>
      <c r="H43" s="2450">
        <f t="shared" si="396"/>
        <v>0</v>
      </c>
      <c r="I43" s="2450">
        <f t="shared" si="396"/>
        <v>0</v>
      </c>
      <c r="J43" s="2451">
        <f t="shared" si="396"/>
        <v>0</v>
      </c>
      <c r="K43" s="2449">
        <f>K37+K38-K39</f>
        <v>0</v>
      </c>
      <c r="L43" s="2456">
        <f>L37+L38-L39</f>
        <v>0</v>
      </c>
      <c r="M43" s="2450">
        <f t="shared" ref="M43:R43" si="397">M37+M38-M39</f>
        <v>0</v>
      </c>
      <c r="N43" s="2450">
        <f t="shared" si="397"/>
        <v>0</v>
      </c>
      <c r="O43" s="2450">
        <f t="shared" si="397"/>
        <v>0</v>
      </c>
      <c r="P43" s="2450">
        <f t="shared" si="397"/>
        <v>0</v>
      </c>
      <c r="Q43" s="2450">
        <f t="shared" si="397"/>
        <v>0</v>
      </c>
      <c r="R43" s="2451">
        <f t="shared" si="397"/>
        <v>0</v>
      </c>
      <c r="S43" s="2449">
        <f>S37+S38-S39</f>
        <v>0</v>
      </c>
      <c r="T43" s="2456">
        <f>T37+T38-T39</f>
        <v>0</v>
      </c>
      <c r="U43" s="2450">
        <f t="shared" ref="U43:Z43" si="398">U37+U38-U39</f>
        <v>0</v>
      </c>
      <c r="V43" s="2450">
        <f t="shared" si="398"/>
        <v>0</v>
      </c>
      <c r="W43" s="2450">
        <f t="shared" si="398"/>
        <v>0</v>
      </c>
      <c r="X43" s="2450">
        <f t="shared" si="398"/>
        <v>0</v>
      </c>
      <c r="Y43" s="2450">
        <f t="shared" si="398"/>
        <v>0</v>
      </c>
      <c r="Z43" s="2451">
        <f t="shared" si="398"/>
        <v>0</v>
      </c>
      <c r="AA43" s="2449">
        <f>AA37+AA38-AA39</f>
        <v>0</v>
      </c>
      <c r="AB43" s="2456">
        <f>AB37+AB38-AB39</f>
        <v>0</v>
      </c>
      <c r="AC43" s="2450">
        <f t="shared" ref="AC43:AH43" si="399">AC37+AC38-AC39</f>
        <v>0</v>
      </c>
      <c r="AD43" s="2450">
        <f t="shared" si="399"/>
        <v>0</v>
      </c>
      <c r="AE43" s="2450">
        <f t="shared" si="399"/>
        <v>0</v>
      </c>
      <c r="AF43" s="2450">
        <f t="shared" si="399"/>
        <v>0</v>
      </c>
      <c r="AG43" s="2450">
        <f t="shared" si="399"/>
        <v>0</v>
      </c>
      <c r="AH43" s="2451">
        <f t="shared" si="399"/>
        <v>0</v>
      </c>
      <c r="AI43" s="2449">
        <f>AI37+AI38-AI39</f>
        <v>0</v>
      </c>
      <c r="AJ43" s="2456">
        <f>AJ37+AJ38-AJ39</f>
        <v>0</v>
      </c>
      <c r="AK43" s="2450">
        <f t="shared" ref="AK43:AP43" si="400">AK37+AK38-AK39</f>
        <v>0</v>
      </c>
      <c r="AL43" s="2450">
        <f t="shared" si="400"/>
        <v>0</v>
      </c>
      <c r="AM43" s="2450">
        <f t="shared" si="400"/>
        <v>0</v>
      </c>
      <c r="AN43" s="2450">
        <f t="shared" si="400"/>
        <v>0</v>
      </c>
      <c r="AO43" s="2450">
        <f t="shared" si="400"/>
        <v>0</v>
      </c>
      <c r="AP43" s="2451">
        <f t="shared" si="400"/>
        <v>0</v>
      </c>
      <c r="AQ43" s="2449">
        <f>AQ37+AQ38-AQ39</f>
        <v>248</v>
      </c>
      <c r="AR43" s="2456">
        <f>AR37+AR38-AR39</f>
        <v>190</v>
      </c>
      <c r="AS43" s="2450">
        <f t="shared" ref="AS43:AX43" si="401">AS37+AS38-AS39</f>
        <v>132</v>
      </c>
      <c r="AT43" s="2450">
        <f t="shared" si="401"/>
        <v>74</v>
      </c>
      <c r="AU43" s="2450">
        <f t="shared" si="401"/>
        <v>16</v>
      </c>
      <c r="AV43" s="2450">
        <f t="shared" si="401"/>
        <v>0</v>
      </c>
      <c r="AW43" s="2450">
        <f t="shared" si="401"/>
        <v>0</v>
      </c>
      <c r="AX43" s="2451">
        <f t="shared" si="401"/>
        <v>0</v>
      </c>
      <c r="AY43" s="4422"/>
      <c r="AZ43" s="4438">
        <f t="shared" si="348"/>
        <v>126.80038653666219</v>
      </c>
      <c r="BA43" s="4438">
        <f t="shared" si="349"/>
        <v>97.145457427281514</v>
      </c>
      <c r="BB43" s="4438">
        <f t="shared" si="350"/>
        <v>67.490528317900839</v>
      </c>
      <c r="BC43" s="4438">
        <f t="shared" si="351"/>
        <v>37.835599208520172</v>
      </c>
      <c r="BD43" s="4438">
        <f t="shared" si="352"/>
        <v>8.1806700991394958</v>
      </c>
      <c r="BE43" s="4438">
        <f t="shared" si="353"/>
        <v>0</v>
      </c>
      <c r="BF43" s="4438">
        <f t="shared" si="354"/>
        <v>0</v>
      </c>
      <c r="BG43" s="4438">
        <f t="shared" si="355"/>
        <v>0</v>
      </c>
      <c r="BH43" s="4438">
        <f t="shared" si="356"/>
        <v>0</v>
      </c>
      <c r="BI43" s="4438">
        <f t="shared" si="357"/>
        <v>0</v>
      </c>
      <c r="BJ43" s="4438">
        <f t="shared" si="358"/>
        <v>0</v>
      </c>
      <c r="BK43" s="4438">
        <f t="shared" si="359"/>
        <v>0</v>
      </c>
      <c r="BL43" s="4438">
        <f t="shared" si="360"/>
        <v>0</v>
      </c>
      <c r="BM43" s="4438">
        <f t="shared" si="361"/>
        <v>0</v>
      </c>
      <c r="BN43" s="4438">
        <f t="shared" si="362"/>
        <v>0</v>
      </c>
      <c r="BO43" s="4438">
        <f t="shared" si="363"/>
        <v>0</v>
      </c>
      <c r="BP43" s="4438">
        <f t="shared" si="364"/>
        <v>0</v>
      </c>
      <c r="BQ43" s="4438">
        <f t="shared" si="365"/>
        <v>0</v>
      </c>
      <c r="BR43" s="4438">
        <f t="shared" si="366"/>
        <v>0</v>
      </c>
      <c r="BS43" s="4438">
        <f t="shared" si="367"/>
        <v>0</v>
      </c>
      <c r="BT43" s="4438">
        <f t="shared" si="368"/>
        <v>0</v>
      </c>
      <c r="BU43" s="4438">
        <f t="shared" si="369"/>
        <v>0</v>
      </c>
      <c r="BV43" s="4438">
        <f t="shared" si="370"/>
        <v>0</v>
      </c>
      <c r="BW43" s="4438">
        <f t="shared" si="371"/>
        <v>0</v>
      </c>
      <c r="BX43" s="4438">
        <f t="shared" si="372"/>
        <v>0</v>
      </c>
      <c r="BY43" s="4438">
        <f t="shared" si="373"/>
        <v>0</v>
      </c>
      <c r="BZ43" s="4438">
        <f t="shared" si="374"/>
        <v>0</v>
      </c>
      <c r="CA43" s="4438">
        <f t="shared" si="375"/>
        <v>0</v>
      </c>
      <c r="CB43" s="4438">
        <f t="shared" si="376"/>
        <v>0</v>
      </c>
      <c r="CC43" s="4438">
        <f t="shared" si="377"/>
        <v>0</v>
      </c>
      <c r="CD43" s="4438">
        <f t="shared" si="378"/>
        <v>0</v>
      </c>
      <c r="CE43" s="4438">
        <f t="shared" si="379"/>
        <v>0</v>
      </c>
      <c r="CF43" s="4438">
        <f t="shared" si="380"/>
        <v>0</v>
      </c>
      <c r="CG43" s="4438">
        <f t="shared" si="381"/>
        <v>0</v>
      </c>
      <c r="CH43" s="4438">
        <f t="shared" si="382"/>
        <v>0</v>
      </c>
      <c r="CI43" s="4438">
        <f t="shared" si="383"/>
        <v>0</v>
      </c>
      <c r="CJ43" s="4438">
        <f t="shared" si="384"/>
        <v>0</v>
      </c>
      <c r="CK43" s="4438">
        <f t="shared" si="385"/>
        <v>0</v>
      </c>
      <c r="CL43" s="4438">
        <f t="shared" si="386"/>
        <v>0</v>
      </c>
      <c r="CM43" s="4438">
        <f t="shared" si="387"/>
        <v>0</v>
      </c>
      <c r="CN43" s="4438">
        <f t="shared" si="388"/>
        <v>126.80038653666219</v>
      </c>
      <c r="CO43" s="4438">
        <f t="shared" si="389"/>
        <v>97.145457427281514</v>
      </c>
      <c r="CP43" s="4438">
        <f t="shared" si="390"/>
        <v>67.490528317900839</v>
      </c>
      <c r="CQ43" s="4438">
        <f t="shared" si="391"/>
        <v>37.835599208520172</v>
      </c>
      <c r="CR43" s="4438">
        <f t="shared" si="392"/>
        <v>8.1806700991394958</v>
      </c>
      <c r="CS43" s="4438">
        <f t="shared" si="393"/>
        <v>0</v>
      </c>
      <c r="CT43" s="4438">
        <f t="shared" si="394"/>
        <v>0</v>
      </c>
      <c r="CU43" s="4438">
        <f t="shared" si="395"/>
        <v>0</v>
      </c>
    </row>
    <row r="44" spans="1:99" s="1" customFormat="1">
      <c r="A44" s="3826" t="s">
        <v>1381</v>
      </c>
      <c r="B44" s="2442" t="s">
        <v>1382</v>
      </c>
      <c r="C44" s="1339"/>
      <c r="D44" s="4115"/>
      <c r="E44" s="1340"/>
      <c r="F44" s="1340"/>
      <c r="G44" s="1340"/>
      <c r="H44" s="1340"/>
      <c r="I44" s="1340"/>
      <c r="J44" s="1341"/>
      <c r="K44" s="1339"/>
      <c r="L44" s="4115"/>
      <c r="M44" s="1340"/>
      <c r="N44" s="1340"/>
      <c r="O44" s="1340"/>
      <c r="P44" s="1340"/>
      <c r="Q44" s="1340"/>
      <c r="R44" s="1341"/>
      <c r="S44" s="1339"/>
      <c r="T44" s="4115"/>
      <c r="U44" s="1340"/>
      <c r="V44" s="1340"/>
      <c r="W44" s="1340"/>
      <c r="X44" s="1340"/>
      <c r="Y44" s="1340"/>
      <c r="Z44" s="1341"/>
      <c r="AA44" s="1339"/>
      <c r="AB44" s="4115"/>
      <c r="AC44" s="1340"/>
      <c r="AD44" s="1340"/>
      <c r="AE44" s="1340"/>
      <c r="AF44" s="1340"/>
      <c r="AG44" s="1340"/>
      <c r="AH44" s="1341"/>
      <c r="AI44" s="1339"/>
      <c r="AJ44" s="4115"/>
      <c r="AK44" s="1340"/>
      <c r="AL44" s="1340"/>
      <c r="AM44" s="1340"/>
      <c r="AN44" s="1340"/>
      <c r="AO44" s="1340"/>
      <c r="AP44" s="1341"/>
      <c r="AQ44" s="2449"/>
      <c r="AR44" s="2456"/>
      <c r="AS44" s="2450"/>
      <c r="AT44" s="2450"/>
      <c r="AU44" s="2450"/>
      <c r="AV44" s="2450"/>
      <c r="AW44" s="2450"/>
      <c r="AX44" s="2451"/>
      <c r="AY44" s="4422"/>
    </row>
    <row r="45" spans="1:99" s="1" customFormat="1" ht="13.5" thickBot="1">
      <c r="A45" s="3828" t="s">
        <v>1383</v>
      </c>
      <c r="B45" s="2461" t="s">
        <v>1384</v>
      </c>
      <c r="C45" s="1342">
        <v>1</v>
      </c>
      <c r="D45" s="1342">
        <v>1</v>
      </c>
      <c r="E45" s="1342">
        <v>1</v>
      </c>
      <c r="F45" s="1342">
        <v>1</v>
      </c>
      <c r="G45" s="1342">
        <v>1</v>
      </c>
      <c r="H45" s="1342">
        <v>1</v>
      </c>
      <c r="I45" s="1342"/>
      <c r="J45" s="1344"/>
      <c r="K45" s="1342"/>
      <c r="L45" s="4118"/>
      <c r="M45" s="1343"/>
      <c r="N45" s="1343"/>
      <c r="O45" s="1343"/>
      <c r="P45" s="1343"/>
      <c r="Q45" s="1343"/>
      <c r="R45" s="1344"/>
      <c r="S45" s="1342"/>
      <c r="T45" s="4118"/>
      <c r="U45" s="1343"/>
      <c r="V45" s="1343"/>
      <c r="W45" s="1343"/>
      <c r="X45" s="1343"/>
      <c r="Y45" s="1343"/>
      <c r="Z45" s="1344"/>
      <c r="AA45" s="1342"/>
      <c r="AB45" s="4118"/>
      <c r="AC45" s="1343"/>
      <c r="AD45" s="1343"/>
      <c r="AE45" s="1343"/>
      <c r="AF45" s="1343"/>
      <c r="AG45" s="1343"/>
      <c r="AH45" s="1344"/>
      <c r="AI45" s="1342"/>
      <c r="AJ45" s="4118"/>
      <c r="AK45" s="1343"/>
      <c r="AL45" s="1343"/>
      <c r="AM45" s="1343"/>
      <c r="AN45" s="1343"/>
      <c r="AO45" s="1343"/>
      <c r="AP45" s="1344"/>
      <c r="AQ45" s="2462"/>
      <c r="AR45" s="4134"/>
      <c r="AS45" s="2463"/>
      <c r="AT45" s="2463"/>
      <c r="AU45" s="2463"/>
      <c r="AV45" s="2463"/>
      <c r="AW45" s="2463"/>
      <c r="AX45" s="2464"/>
      <c r="AY45" s="4422"/>
    </row>
    <row r="46" spans="1:99" s="1" customFormat="1" ht="12.75" hidden="1" customHeight="1" thickBot="1">
      <c r="A46" s="5131">
        <v>10</v>
      </c>
      <c r="B46" s="5136" t="s">
        <v>1639</v>
      </c>
      <c r="C46" s="5125" t="s">
        <v>210</v>
      </c>
      <c r="D46" s="5126"/>
      <c r="E46" s="5126"/>
      <c r="F46" s="5126"/>
      <c r="G46" s="5126"/>
      <c r="H46" s="5126"/>
      <c r="I46" s="5126"/>
      <c r="J46" s="5127"/>
      <c r="K46" s="5125" t="s">
        <v>174</v>
      </c>
      <c r="L46" s="5126"/>
      <c r="M46" s="5126"/>
      <c r="N46" s="5126"/>
      <c r="O46" s="5126"/>
      <c r="P46" s="5126"/>
      <c r="Q46" s="5126"/>
      <c r="R46" s="5127"/>
      <c r="S46" s="5128" t="s">
        <v>184</v>
      </c>
      <c r="T46" s="5129"/>
      <c r="U46" s="5129"/>
      <c r="V46" s="5129"/>
      <c r="W46" s="5129"/>
      <c r="X46" s="5129"/>
      <c r="Y46" s="5129"/>
      <c r="Z46" s="5130"/>
      <c r="AA46" s="5139" t="s">
        <v>1029</v>
      </c>
      <c r="AB46" s="5140"/>
      <c r="AC46" s="5140"/>
      <c r="AD46" s="5140"/>
      <c r="AE46" s="5140"/>
      <c r="AF46" s="5140"/>
      <c r="AG46" s="5140"/>
      <c r="AH46" s="5141"/>
      <c r="AI46" s="5139" t="s">
        <v>1092</v>
      </c>
      <c r="AJ46" s="5140"/>
      <c r="AK46" s="5140"/>
      <c r="AL46" s="5140"/>
      <c r="AM46" s="5140"/>
      <c r="AN46" s="5140"/>
      <c r="AO46" s="5140"/>
      <c r="AP46" s="5141"/>
      <c r="AQ46" s="5139" t="s">
        <v>1250</v>
      </c>
      <c r="AR46" s="5140"/>
      <c r="AS46" s="5140"/>
      <c r="AT46" s="5140"/>
      <c r="AU46" s="5140"/>
      <c r="AV46" s="5140"/>
      <c r="AW46" s="5140"/>
      <c r="AX46" s="5141"/>
      <c r="AY46" s="4422"/>
    </row>
    <row r="47" spans="1:99" s="1" customFormat="1" ht="13.5" hidden="1" thickBot="1">
      <c r="A47" s="5135"/>
      <c r="B47" s="5137"/>
      <c r="C47" s="4117" t="str">
        <f t="shared" ref="C47" si="402">C36</f>
        <v>2024 г.</v>
      </c>
      <c r="D47" s="2439" t="str">
        <f t="shared" ref="D47:AX47" si="403">D36</f>
        <v>2025 г.</v>
      </c>
      <c r="E47" s="2437" t="str">
        <f t="shared" si="403"/>
        <v>2026 г.</v>
      </c>
      <c r="F47" s="2437" t="str">
        <f t="shared" si="403"/>
        <v>2027 г.</v>
      </c>
      <c r="G47" s="2437" t="str">
        <f t="shared" si="403"/>
        <v>2028 г.</v>
      </c>
      <c r="H47" s="2437" t="str">
        <f t="shared" si="403"/>
        <v>2029 г.</v>
      </c>
      <c r="I47" s="2437" t="str">
        <f t="shared" si="403"/>
        <v>2030 г.</v>
      </c>
      <c r="J47" s="2438" t="str">
        <f t="shared" si="403"/>
        <v>2031 г.</v>
      </c>
      <c r="K47" s="2452" t="str">
        <f t="shared" ref="K47" si="404">K36</f>
        <v>2024 г.</v>
      </c>
      <c r="L47" s="2452" t="str">
        <f t="shared" si="403"/>
        <v>2025 г.</v>
      </c>
      <c r="M47" s="2453" t="str">
        <f t="shared" si="403"/>
        <v>2026 г.</v>
      </c>
      <c r="N47" s="2453" t="str">
        <f t="shared" si="403"/>
        <v>2027 г.</v>
      </c>
      <c r="O47" s="2453" t="str">
        <f t="shared" si="403"/>
        <v>2028 г.</v>
      </c>
      <c r="P47" s="2453" t="str">
        <f t="shared" si="403"/>
        <v>2029 г.</v>
      </c>
      <c r="Q47" s="2453" t="str">
        <f t="shared" si="403"/>
        <v>2030 г.</v>
      </c>
      <c r="R47" s="2454" t="str">
        <f t="shared" si="403"/>
        <v>2031 г.</v>
      </c>
      <c r="S47" s="2452" t="str">
        <f t="shared" ref="S47" si="405">S36</f>
        <v>2024 г.</v>
      </c>
      <c r="T47" s="2452" t="str">
        <f t="shared" si="403"/>
        <v>2025 г.</v>
      </c>
      <c r="U47" s="2453" t="str">
        <f t="shared" si="403"/>
        <v>2026 г.</v>
      </c>
      <c r="V47" s="2453" t="str">
        <f t="shared" si="403"/>
        <v>2027 г.</v>
      </c>
      <c r="W47" s="2453" t="str">
        <f t="shared" si="403"/>
        <v>2028 г.</v>
      </c>
      <c r="X47" s="2453" t="str">
        <f t="shared" si="403"/>
        <v>2029 г.</v>
      </c>
      <c r="Y47" s="2453" t="str">
        <f t="shared" si="403"/>
        <v>2030 г.</v>
      </c>
      <c r="Z47" s="2454" t="str">
        <f t="shared" si="403"/>
        <v>2031 г.</v>
      </c>
      <c r="AA47" s="4132" t="str">
        <f t="shared" ref="AA47" si="406">AA36</f>
        <v>2024 г.</v>
      </c>
      <c r="AB47" s="2452" t="str">
        <f t="shared" si="403"/>
        <v>2025 г.</v>
      </c>
      <c r="AC47" s="2453" t="str">
        <f t="shared" si="403"/>
        <v>2026 г.</v>
      </c>
      <c r="AD47" s="2453" t="str">
        <f t="shared" si="403"/>
        <v>2027 г.</v>
      </c>
      <c r="AE47" s="2453" t="str">
        <f t="shared" si="403"/>
        <v>2028 г.</v>
      </c>
      <c r="AF47" s="2453" t="str">
        <f t="shared" si="403"/>
        <v>2029 г.</v>
      </c>
      <c r="AG47" s="2453" t="str">
        <f t="shared" si="403"/>
        <v>2030 г.</v>
      </c>
      <c r="AH47" s="2454" t="str">
        <f t="shared" si="403"/>
        <v>2031 г.</v>
      </c>
      <c r="AI47" s="2452" t="str">
        <f t="shared" ref="AI47" si="407">AI36</f>
        <v>2024 г.</v>
      </c>
      <c r="AJ47" s="2452" t="str">
        <f t="shared" si="403"/>
        <v>2025 г.</v>
      </c>
      <c r="AK47" s="2453" t="str">
        <f t="shared" si="403"/>
        <v>2026 г.</v>
      </c>
      <c r="AL47" s="2453" t="str">
        <f t="shared" si="403"/>
        <v>2027 г.</v>
      </c>
      <c r="AM47" s="2453" t="str">
        <f t="shared" si="403"/>
        <v>2028 г.</v>
      </c>
      <c r="AN47" s="2453" t="str">
        <f t="shared" si="403"/>
        <v>2029 г.</v>
      </c>
      <c r="AO47" s="2453" t="str">
        <f t="shared" si="403"/>
        <v>2030 г.</v>
      </c>
      <c r="AP47" s="2454" t="str">
        <f t="shared" si="403"/>
        <v>2031 г.</v>
      </c>
      <c r="AQ47" s="2452" t="str">
        <f t="shared" ref="AQ47" si="408">AQ36</f>
        <v>2024 г.</v>
      </c>
      <c r="AR47" s="2452" t="str">
        <f t="shared" si="403"/>
        <v>2025 г.</v>
      </c>
      <c r="AS47" s="2453" t="str">
        <f t="shared" si="403"/>
        <v>2026 г.</v>
      </c>
      <c r="AT47" s="2453" t="str">
        <f t="shared" si="403"/>
        <v>2027 г.</v>
      </c>
      <c r="AU47" s="2453" t="str">
        <f t="shared" si="403"/>
        <v>2028 г.</v>
      </c>
      <c r="AV47" s="2453" t="str">
        <f t="shared" si="403"/>
        <v>2029 г.</v>
      </c>
      <c r="AW47" s="2453" t="str">
        <f t="shared" si="403"/>
        <v>2030 г.</v>
      </c>
      <c r="AX47" s="2454" t="str">
        <f t="shared" si="403"/>
        <v>2031 г.</v>
      </c>
      <c r="AY47" s="4422"/>
    </row>
    <row r="48" spans="1:99" s="1" customFormat="1" hidden="1">
      <c r="A48" s="3827" t="s">
        <v>968</v>
      </c>
      <c r="B48" s="3831" t="s">
        <v>195</v>
      </c>
      <c r="C48" s="102"/>
      <c r="D48" s="656">
        <f t="shared" ref="D48:J48" si="409">C54</f>
        <v>0</v>
      </c>
      <c r="E48" s="656">
        <f t="shared" si="409"/>
        <v>0</v>
      </c>
      <c r="F48" s="654">
        <f t="shared" si="409"/>
        <v>0</v>
      </c>
      <c r="G48" s="654">
        <f t="shared" si="409"/>
        <v>0</v>
      </c>
      <c r="H48" s="654">
        <f t="shared" si="409"/>
        <v>0</v>
      </c>
      <c r="I48" s="654">
        <f t="shared" si="409"/>
        <v>0</v>
      </c>
      <c r="J48" s="655">
        <f t="shared" si="409"/>
        <v>0</v>
      </c>
      <c r="K48" s="102"/>
      <c r="L48" s="656">
        <f t="shared" ref="L48:R48" si="410">K54</f>
        <v>0</v>
      </c>
      <c r="M48" s="656">
        <f t="shared" si="410"/>
        <v>0</v>
      </c>
      <c r="N48" s="654">
        <f t="shared" si="410"/>
        <v>0</v>
      </c>
      <c r="O48" s="654">
        <f t="shared" si="410"/>
        <v>0</v>
      </c>
      <c r="P48" s="654">
        <f t="shared" si="410"/>
        <v>0</v>
      </c>
      <c r="Q48" s="654">
        <f t="shared" si="410"/>
        <v>0</v>
      </c>
      <c r="R48" s="655">
        <f t="shared" si="410"/>
        <v>0</v>
      </c>
      <c r="S48" s="102"/>
      <c r="T48" s="656">
        <f t="shared" ref="T48:Z48" si="411">S54</f>
        <v>0</v>
      </c>
      <c r="U48" s="656">
        <f t="shared" si="411"/>
        <v>0</v>
      </c>
      <c r="V48" s="654">
        <f t="shared" si="411"/>
        <v>0</v>
      </c>
      <c r="W48" s="654">
        <f t="shared" si="411"/>
        <v>0</v>
      </c>
      <c r="X48" s="654">
        <f t="shared" si="411"/>
        <v>0</v>
      </c>
      <c r="Y48" s="654">
        <f t="shared" si="411"/>
        <v>0</v>
      </c>
      <c r="Z48" s="655">
        <f t="shared" si="411"/>
        <v>0</v>
      </c>
      <c r="AA48" s="102"/>
      <c r="AB48" s="3540"/>
      <c r="AC48" s="656">
        <f t="shared" ref="AC48:AH48" si="412">AB54</f>
        <v>0</v>
      </c>
      <c r="AD48" s="654">
        <f t="shared" si="412"/>
        <v>0</v>
      </c>
      <c r="AE48" s="654">
        <f t="shared" si="412"/>
        <v>0</v>
      </c>
      <c r="AF48" s="654">
        <f t="shared" si="412"/>
        <v>0</v>
      </c>
      <c r="AG48" s="654">
        <f t="shared" si="412"/>
        <v>0</v>
      </c>
      <c r="AH48" s="655">
        <f t="shared" si="412"/>
        <v>0</v>
      </c>
      <c r="AI48" s="102"/>
      <c r="AJ48" s="3540"/>
      <c r="AK48" s="656">
        <f t="shared" ref="AK48:AP48" si="413">AJ54</f>
        <v>0</v>
      </c>
      <c r="AL48" s="654">
        <f t="shared" si="413"/>
        <v>0</v>
      </c>
      <c r="AM48" s="654">
        <f t="shared" si="413"/>
        <v>0</v>
      </c>
      <c r="AN48" s="654">
        <f t="shared" si="413"/>
        <v>0</v>
      </c>
      <c r="AO48" s="654">
        <f t="shared" si="413"/>
        <v>0</v>
      </c>
      <c r="AP48" s="655">
        <f t="shared" si="413"/>
        <v>0</v>
      </c>
      <c r="AQ48" s="2441">
        <f t="shared" ref="AQ48:AR51" si="414">C48+K48+S48+AA48+AI48</f>
        <v>0</v>
      </c>
      <c r="AR48" s="4110">
        <f t="shared" si="414"/>
        <v>0</v>
      </c>
      <c r="AS48" s="1345">
        <f t="shared" ref="AS48:AX48" si="415">AR54</f>
        <v>0</v>
      </c>
      <c r="AT48" s="1346">
        <f t="shared" si="415"/>
        <v>0</v>
      </c>
      <c r="AU48" s="1346">
        <f t="shared" si="415"/>
        <v>0</v>
      </c>
      <c r="AV48" s="1346">
        <f t="shared" si="415"/>
        <v>0</v>
      </c>
      <c r="AW48" s="1346">
        <f t="shared" si="415"/>
        <v>0</v>
      </c>
      <c r="AX48" s="1347">
        <f t="shared" si="415"/>
        <v>0</v>
      </c>
      <c r="AY48" s="4422"/>
    </row>
    <row r="49" spans="1:99" s="1" customFormat="1" hidden="1">
      <c r="A49" s="3826" t="s">
        <v>969</v>
      </c>
      <c r="B49" s="3832" t="s">
        <v>196</v>
      </c>
      <c r="C49" s="393"/>
      <c r="D49" s="404"/>
      <c r="E49" s="402"/>
      <c r="F49" s="402"/>
      <c r="G49" s="402"/>
      <c r="H49" s="402"/>
      <c r="I49" s="402"/>
      <c r="J49" s="403"/>
      <c r="K49" s="393"/>
      <c r="L49" s="404"/>
      <c r="M49" s="402"/>
      <c r="N49" s="402"/>
      <c r="O49" s="402"/>
      <c r="P49" s="402"/>
      <c r="Q49" s="402"/>
      <c r="R49" s="403"/>
      <c r="S49" s="393"/>
      <c r="T49" s="404"/>
      <c r="U49" s="402"/>
      <c r="V49" s="402"/>
      <c r="W49" s="402"/>
      <c r="X49" s="402"/>
      <c r="Y49" s="402"/>
      <c r="Z49" s="403"/>
      <c r="AA49" s="393"/>
      <c r="AB49" s="404"/>
      <c r="AC49" s="402"/>
      <c r="AD49" s="402"/>
      <c r="AE49" s="402"/>
      <c r="AF49" s="402"/>
      <c r="AG49" s="402"/>
      <c r="AH49" s="403"/>
      <c r="AI49" s="393"/>
      <c r="AJ49" s="404"/>
      <c r="AK49" s="402"/>
      <c r="AL49" s="402"/>
      <c r="AM49" s="402"/>
      <c r="AN49" s="402"/>
      <c r="AO49" s="402"/>
      <c r="AP49" s="403"/>
      <c r="AQ49" s="2441">
        <f t="shared" si="414"/>
        <v>0</v>
      </c>
      <c r="AR49" s="4110">
        <f t="shared" si="414"/>
        <v>0</v>
      </c>
      <c r="AS49" s="2443">
        <f t="shared" ref="AS49:AX51" si="416">E49+M49+U49+AC49+AK49</f>
        <v>0</v>
      </c>
      <c r="AT49" s="2443">
        <f t="shared" si="416"/>
        <v>0</v>
      </c>
      <c r="AU49" s="2443">
        <f t="shared" si="416"/>
        <v>0</v>
      </c>
      <c r="AV49" s="2443">
        <f t="shared" si="416"/>
        <v>0</v>
      </c>
      <c r="AW49" s="2443">
        <f t="shared" si="416"/>
        <v>0</v>
      </c>
      <c r="AX49" s="2444">
        <f t="shared" si="416"/>
        <v>0</v>
      </c>
      <c r="AY49" s="4422"/>
    </row>
    <row r="50" spans="1:99" s="1" customFormat="1" hidden="1">
      <c r="A50" s="3826" t="s">
        <v>970</v>
      </c>
      <c r="B50" s="3832" t="s">
        <v>197</v>
      </c>
      <c r="C50" s="393"/>
      <c r="D50" s="404"/>
      <c r="E50" s="402"/>
      <c r="F50" s="402"/>
      <c r="G50" s="402"/>
      <c r="H50" s="402"/>
      <c r="I50" s="402"/>
      <c r="J50" s="403"/>
      <c r="K50" s="393"/>
      <c r="L50" s="404"/>
      <c r="M50" s="402"/>
      <c r="N50" s="402"/>
      <c r="O50" s="402"/>
      <c r="P50" s="402"/>
      <c r="Q50" s="402"/>
      <c r="R50" s="403"/>
      <c r="S50" s="393"/>
      <c r="T50" s="404"/>
      <c r="U50" s="402"/>
      <c r="V50" s="402"/>
      <c r="W50" s="402"/>
      <c r="X50" s="402"/>
      <c r="Y50" s="402"/>
      <c r="Z50" s="403"/>
      <c r="AA50" s="393"/>
      <c r="AB50" s="404"/>
      <c r="AC50" s="402"/>
      <c r="AD50" s="402"/>
      <c r="AE50" s="402"/>
      <c r="AF50" s="402"/>
      <c r="AG50" s="402"/>
      <c r="AH50" s="403"/>
      <c r="AI50" s="393"/>
      <c r="AJ50" s="404"/>
      <c r="AK50" s="402"/>
      <c r="AL50" s="402"/>
      <c r="AM50" s="402"/>
      <c r="AN50" s="402"/>
      <c r="AO50" s="402"/>
      <c r="AP50" s="403"/>
      <c r="AQ50" s="2441">
        <f t="shared" si="414"/>
        <v>0</v>
      </c>
      <c r="AR50" s="4110">
        <f t="shared" si="414"/>
        <v>0</v>
      </c>
      <c r="AS50" s="2443">
        <f t="shared" si="416"/>
        <v>0</v>
      </c>
      <c r="AT50" s="2443">
        <f t="shared" si="416"/>
        <v>0</v>
      </c>
      <c r="AU50" s="2443">
        <f t="shared" si="416"/>
        <v>0</v>
      </c>
      <c r="AV50" s="2443">
        <f t="shared" si="416"/>
        <v>0</v>
      </c>
      <c r="AW50" s="2443">
        <f t="shared" si="416"/>
        <v>0</v>
      </c>
      <c r="AX50" s="2444">
        <f t="shared" si="416"/>
        <v>0</v>
      </c>
      <c r="AY50" s="4422"/>
    </row>
    <row r="51" spans="1:99" s="1" customFormat="1" hidden="1">
      <c r="A51" s="3826" t="s">
        <v>971</v>
      </c>
      <c r="B51" s="3832" t="s">
        <v>198</v>
      </c>
      <c r="C51" s="393"/>
      <c r="D51" s="404"/>
      <c r="E51" s="402"/>
      <c r="F51" s="402"/>
      <c r="G51" s="402"/>
      <c r="H51" s="402"/>
      <c r="I51" s="402"/>
      <c r="J51" s="403"/>
      <c r="K51" s="393"/>
      <c r="L51" s="404"/>
      <c r="M51" s="402"/>
      <c r="N51" s="402"/>
      <c r="O51" s="402"/>
      <c r="P51" s="402"/>
      <c r="Q51" s="402"/>
      <c r="R51" s="403"/>
      <c r="S51" s="393"/>
      <c r="T51" s="404"/>
      <c r="U51" s="402"/>
      <c r="V51" s="402"/>
      <c r="W51" s="402"/>
      <c r="X51" s="402"/>
      <c r="Y51" s="402"/>
      <c r="Z51" s="403"/>
      <c r="AA51" s="393"/>
      <c r="AB51" s="404"/>
      <c r="AC51" s="402"/>
      <c r="AD51" s="402"/>
      <c r="AE51" s="402"/>
      <c r="AF51" s="402"/>
      <c r="AG51" s="402"/>
      <c r="AH51" s="403"/>
      <c r="AI51" s="393"/>
      <c r="AJ51" s="404"/>
      <c r="AK51" s="402"/>
      <c r="AL51" s="402"/>
      <c r="AM51" s="402"/>
      <c r="AN51" s="402"/>
      <c r="AO51" s="402"/>
      <c r="AP51" s="403"/>
      <c r="AQ51" s="2441">
        <f t="shared" si="414"/>
        <v>0</v>
      </c>
      <c r="AR51" s="4110">
        <f t="shared" si="414"/>
        <v>0</v>
      </c>
      <c r="AS51" s="2443">
        <f t="shared" si="416"/>
        <v>0</v>
      </c>
      <c r="AT51" s="2443">
        <f t="shared" si="416"/>
        <v>0</v>
      </c>
      <c r="AU51" s="2443">
        <f t="shared" si="416"/>
        <v>0</v>
      </c>
      <c r="AV51" s="2443">
        <f t="shared" si="416"/>
        <v>0</v>
      </c>
      <c r="AW51" s="2443">
        <f t="shared" si="416"/>
        <v>0</v>
      </c>
      <c r="AX51" s="2444">
        <f t="shared" si="416"/>
        <v>0</v>
      </c>
      <c r="AY51" s="4422"/>
    </row>
    <row r="52" spans="1:99" s="1" customFormat="1" hidden="1">
      <c r="A52" s="3826" t="s">
        <v>972</v>
      </c>
      <c r="B52" s="3832" t="s">
        <v>199</v>
      </c>
      <c r="C52" s="2446">
        <f>IF(C48=0,0,C51/((C48+C54)/2))</f>
        <v>0</v>
      </c>
      <c r="D52" s="2455">
        <f>IF(D48=0,0,D51/((D48+D54)/2))</f>
        <v>0</v>
      </c>
      <c r="E52" s="2447">
        <f>IF(E48=0,0,E51/((E48+E54)/2))</f>
        <v>0</v>
      </c>
      <c r="F52" s="2447">
        <f t="shared" ref="F52:J52" si="417">IF(F48=0,0,F51/((F48+F54)/2))</f>
        <v>0</v>
      </c>
      <c r="G52" s="2447">
        <f t="shared" si="417"/>
        <v>0</v>
      </c>
      <c r="H52" s="2447">
        <f t="shared" si="417"/>
        <v>0</v>
      </c>
      <c r="I52" s="2447">
        <f t="shared" si="417"/>
        <v>0</v>
      </c>
      <c r="J52" s="2448">
        <f t="shared" si="417"/>
        <v>0</v>
      </c>
      <c r="K52" s="2455">
        <f>IF(K48=0,0,K51/((K48+K54)/2))</f>
        <v>0</v>
      </c>
      <c r="L52" s="2455">
        <f>IF(L48=0,0,L51/((L48+L54)/2))</f>
        <v>0</v>
      </c>
      <c r="M52" s="2447">
        <f>IF(M48=0,0,M51/((M48+M54)/2))</f>
        <v>0</v>
      </c>
      <c r="N52" s="2447">
        <f t="shared" ref="N52:R52" si="418">IF(N48=0,0,N51/((N48+N54)/2))</f>
        <v>0</v>
      </c>
      <c r="O52" s="2447">
        <f t="shared" si="418"/>
        <v>0</v>
      </c>
      <c r="P52" s="2447">
        <f t="shared" si="418"/>
        <v>0</v>
      </c>
      <c r="Q52" s="2447">
        <f t="shared" si="418"/>
        <v>0</v>
      </c>
      <c r="R52" s="2448">
        <f t="shared" si="418"/>
        <v>0</v>
      </c>
      <c r="S52" s="2455">
        <f>IF(S48=0,0,S51/((S48+S54)/2))</f>
        <v>0</v>
      </c>
      <c r="T52" s="2455">
        <f>IF(T48=0,0,T51/((T48+T54)/2))</f>
        <v>0</v>
      </c>
      <c r="U52" s="2447">
        <f>IF(U48=0,0,U51/((U48+U54)/2))</f>
        <v>0</v>
      </c>
      <c r="V52" s="2447">
        <f t="shared" ref="V52:Z52" si="419">IF(V48=0,0,V51/((V48+V54)/2))</f>
        <v>0</v>
      </c>
      <c r="W52" s="2447">
        <f t="shared" si="419"/>
        <v>0</v>
      </c>
      <c r="X52" s="2447">
        <f t="shared" si="419"/>
        <v>0</v>
      </c>
      <c r="Y52" s="2447">
        <f t="shared" si="419"/>
        <v>0</v>
      </c>
      <c r="Z52" s="2448">
        <f t="shared" si="419"/>
        <v>0</v>
      </c>
      <c r="AA52" s="2446">
        <f>IF(AA48=0,0,AA51/((AA48+AA54)/2))</f>
        <v>0</v>
      </c>
      <c r="AB52" s="2455">
        <f>IF(AB48=0,0,AB51/((AB48+AB54)/2))</f>
        <v>0</v>
      </c>
      <c r="AC52" s="2447">
        <f>IF(AC48=0,0,AC51/((AC48+AC54)/2))</f>
        <v>0</v>
      </c>
      <c r="AD52" s="2447">
        <f t="shared" ref="AD52:AH52" si="420">IF(AD48=0,0,AD51/((AD48+AD54)/2))</f>
        <v>0</v>
      </c>
      <c r="AE52" s="2447">
        <f t="shared" si="420"/>
        <v>0</v>
      </c>
      <c r="AF52" s="2447">
        <f t="shared" si="420"/>
        <v>0</v>
      </c>
      <c r="AG52" s="2447">
        <f t="shared" si="420"/>
        <v>0</v>
      </c>
      <c r="AH52" s="2448">
        <f t="shared" si="420"/>
        <v>0</v>
      </c>
      <c r="AI52" s="2455">
        <f>IF(AI48=0,0,AI51/((AI48+AI54)/2))</f>
        <v>0</v>
      </c>
      <c r="AJ52" s="2455">
        <f>IF(AJ48=0,0,AJ51/((AJ48+AJ54)/2))</f>
        <v>0</v>
      </c>
      <c r="AK52" s="2447">
        <f>IF(AK48=0,0,AK51/((AK48+AK54)/2))</f>
        <v>0</v>
      </c>
      <c r="AL52" s="2447">
        <f t="shared" ref="AL52:AP52" si="421">IF(AL48=0,0,AL51/((AL48+AL54)/2))</f>
        <v>0</v>
      </c>
      <c r="AM52" s="2447">
        <f t="shared" si="421"/>
        <v>0</v>
      </c>
      <c r="AN52" s="2447">
        <f t="shared" si="421"/>
        <v>0</v>
      </c>
      <c r="AO52" s="2447">
        <f t="shared" si="421"/>
        <v>0</v>
      </c>
      <c r="AP52" s="2448">
        <f t="shared" si="421"/>
        <v>0</v>
      </c>
      <c r="AQ52" s="2455">
        <f>IF(AQ48=0,0,AQ51/((AQ48+AQ54)/2))</f>
        <v>0</v>
      </c>
      <c r="AR52" s="2455">
        <f>IF(AR48=0,0,AR51/((AR48+AR54)/2))</f>
        <v>0</v>
      </c>
      <c r="AS52" s="2447">
        <f>IF(AS48=0,0,AS51/((AS48+AS54)/2))</f>
        <v>0</v>
      </c>
      <c r="AT52" s="2447">
        <f t="shared" ref="AT52:AX52" si="422">IF(AT48=0,0,AT51/((AT48+AT54)/2))</f>
        <v>0</v>
      </c>
      <c r="AU52" s="2447">
        <f t="shared" si="422"/>
        <v>0</v>
      </c>
      <c r="AV52" s="2447">
        <f t="shared" si="422"/>
        <v>0</v>
      </c>
      <c r="AW52" s="2447">
        <f t="shared" si="422"/>
        <v>0</v>
      </c>
      <c r="AX52" s="2448">
        <f t="shared" si="422"/>
        <v>0</v>
      </c>
      <c r="AY52" s="4422"/>
    </row>
    <row r="53" spans="1:99" s="1" customFormat="1" hidden="1">
      <c r="A53" s="3826" t="s">
        <v>973</v>
      </c>
      <c r="B53" s="3832" t="s">
        <v>200</v>
      </c>
      <c r="C53" s="2449">
        <f>C50+C51</f>
        <v>0</v>
      </c>
      <c r="D53" s="2456">
        <f>D50+D51</f>
        <v>0</v>
      </c>
      <c r="E53" s="2450">
        <f t="shared" ref="E53:J53" si="423">E50+E51</f>
        <v>0</v>
      </c>
      <c r="F53" s="2450">
        <f t="shared" si="423"/>
        <v>0</v>
      </c>
      <c r="G53" s="2450">
        <f t="shared" si="423"/>
        <v>0</v>
      </c>
      <c r="H53" s="2450">
        <f t="shared" si="423"/>
        <v>0</v>
      </c>
      <c r="I53" s="2450">
        <f t="shared" si="423"/>
        <v>0</v>
      </c>
      <c r="J53" s="2451">
        <f t="shared" si="423"/>
        <v>0</v>
      </c>
      <c r="K53" s="2456">
        <f>K50+K51</f>
        <v>0</v>
      </c>
      <c r="L53" s="2456">
        <f>L50+L51</f>
        <v>0</v>
      </c>
      <c r="M53" s="2450">
        <f t="shared" ref="M53:R53" si="424">M50+M51</f>
        <v>0</v>
      </c>
      <c r="N53" s="2450">
        <f t="shared" si="424"/>
        <v>0</v>
      </c>
      <c r="O53" s="2450">
        <f t="shared" si="424"/>
        <v>0</v>
      </c>
      <c r="P53" s="2450">
        <f t="shared" si="424"/>
        <v>0</v>
      </c>
      <c r="Q53" s="2450">
        <f t="shared" si="424"/>
        <v>0</v>
      </c>
      <c r="R53" s="2451">
        <f t="shared" si="424"/>
        <v>0</v>
      </c>
      <c r="S53" s="2456">
        <f>S50+S51</f>
        <v>0</v>
      </c>
      <c r="T53" s="2456">
        <f>T50+T51</f>
        <v>0</v>
      </c>
      <c r="U53" s="2450">
        <f t="shared" ref="U53:Z53" si="425">U50+U51</f>
        <v>0</v>
      </c>
      <c r="V53" s="2450">
        <f t="shared" si="425"/>
        <v>0</v>
      </c>
      <c r="W53" s="2450">
        <f t="shared" si="425"/>
        <v>0</v>
      </c>
      <c r="X53" s="2450">
        <f t="shared" si="425"/>
        <v>0</v>
      </c>
      <c r="Y53" s="2450">
        <f t="shared" si="425"/>
        <v>0</v>
      </c>
      <c r="Z53" s="2451">
        <f t="shared" si="425"/>
        <v>0</v>
      </c>
      <c r="AA53" s="2449">
        <f>AA50+AA51</f>
        <v>0</v>
      </c>
      <c r="AB53" s="2456">
        <f>AB50+AB51</f>
        <v>0</v>
      </c>
      <c r="AC53" s="2450">
        <f t="shared" ref="AC53:AH53" si="426">AC50+AC51</f>
        <v>0</v>
      </c>
      <c r="AD53" s="2450">
        <f t="shared" si="426"/>
        <v>0</v>
      </c>
      <c r="AE53" s="2450">
        <f t="shared" si="426"/>
        <v>0</v>
      </c>
      <c r="AF53" s="2450">
        <f t="shared" si="426"/>
        <v>0</v>
      </c>
      <c r="AG53" s="2450">
        <f t="shared" si="426"/>
        <v>0</v>
      </c>
      <c r="AH53" s="2451">
        <f t="shared" si="426"/>
        <v>0</v>
      </c>
      <c r="AI53" s="2456">
        <f>AI50+AI51</f>
        <v>0</v>
      </c>
      <c r="AJ53" s="2456">
        <f>AJ50+AJ51</f>
        <v>0</v>
      </c>
      <c r="AK53" s="2450">
        <f t="shared" ref="AK53:AP53" si="427">AK50+AK51</f>
        <v>0</v>
      </c>
      <c r="AL53" s="2450">
        <f t="shared" si="427"/>
        <v>0</v>
      </c>
      <c r="AM53" s="2450">
        <f t="shared" si="427"/>
        <v>0</v>
      </c>
      <c r="AN53" s="2450">
        <f t="shared" si="427"/>
        <v>0</v>
      </c>
      <c r="AO53" s="2450">
        <f t="shared" si="427"/>
        <v>0</v>
      </c>
      <c r="AP53" s="2451">
        <f t="shared" si="427"/>
        <v>0</v>
      </c>
      <c r="AQ53" s="2456">
        <f>AQ50+AQ51</f>
        <v>0</v>
      </c>
      <c r="AR53" s="2456">
        <f>AR50+AR51</f>
        <v>0</v>
      </c>
      <c r="AS53" s="2450">
        <f t="shared" ref="AS53:AX53" si="428">AS50+AS51</f>
        <v>0</v>
      </c>
      <c r="AT53" s="2450">
        <f t="shared" si="428"/>
        <v>0</v>
      </c>
      <c r="AU53" s="2450">
        <f t="shared" si="428"/>
        <v>0</v>
      </c>
      <c r="AV53" s="2450">
        <f t="shared" si="428"/>
        <v>0</v>
      </c>
      <c r="AW53" s="2450">
        <f t="shared" si="428"/>
        <v>0</v>
      </c>
      <c r="AX53" s="2451">
        <f t="shared" si="428"/>
        <v>0</v>
      </c>
      <c r="AY53" s="4422"/>
    </row>
    <row r="54" spans="1:99" s="1" customFormat="1" hidden="1">
      <c r="A54" s="3830" t="s">
        <v>974</v>
      </c>
      <c r="B54" s="3833" t="s">
        <v>201</v>
      </c>
      <c r="C54" s="2457">
        <f>C48+C49-C50</f>
        <v>0</v>
      </c>
      <c r="D54" s="2460">
        <f>D48+D49-D50</f>
        <v>0</v>
      </c>
      <c r="E54" s="2458">
        <f t="shared" ref="E54:J54" si="429">E48+E49-E50</f>
        <v>0</v>
      </c>
      <c r="F54" s="2458">
        <f t="shared" si="429"/>
        <v>0</v>
      </c>
      <c r="G54" s="2458">
        <f t="shared" si="429"/>
        <v>0</v>
      </c>
      <c r="H54" s="2458">
        <f t="shared" si="429"/>
        <v>0</v>
      </c>
      <c r="I54" s="2458">
        <f t="shared" si="429"/>
        <v>0</v>
      </c>
      <c r="J54" s="2459">
        <f t="shared" si="429"/>
        <v>0</v>
      </c>
      <c r="K54" s="2460">
        <f>K48+K49-K50</f>
        <v>0</v>
      </c>
      <c r="L54" s="2460">
        <f>L48+L49-L50</f>
        <v>0</v>
      </c>
      <c r="M54" s="2458">
        <f t="shared" ref="M54:R54" si="430">M48+M49-M50</f>
        <v>0</v>
      </c>
      <c r="N54" s="2458">
        <f t="shared" si="430"/>
        <v>0</v>
      </c>
      <c r="O54" s="2458">
        <f t="shared" si="430"/>
        <v>0</v>
      </c>
      <c r="P54" s="2458">
        <f t="shared" si="430"/>
        <v>0</v>
      </c>
      <c r="Q54" s="2458">
        <f t="shared" si="430"/>
        <v>0</v>
      </c>
      <c r="R54" s="2459">
        <f t="shared" si="430"/>
        <v>0</v>
      </c>
      <c r="S54" s="2460">
        <f>S48+S49-S50</f>
        <v>0</v>
      </c>
      <c r="T54" s="2460">
        <f>T48+T49-T50</f>
        <v>0</v>
      </c>
      <c r="U54" s="2458">
        <f t="shared" ref="U54:Z54" si="431">U48+U49-U50</f>
        <v>0</v>
      </c>
      <c r="V54" s="2458">
        <f t="shared" si="431"/>
        <v>0</v>
      </c>
      <c r="W54" s="2458">
        <f t="shared" si="431"/>
        <v>0</v>
      </c>
      <c r="X54" s="2458">
        <f t="shared" si="431"/>
        <v>0</v>
      </c>
      <c r="Y54" s="2458">
        <f t="shared" si="431"/>
        <v>0</v>
      </c>
      <c r="Z54" s="2459">
        <f t="shared" si="431"/>
        <v>0</v>
      </c>
      <c r="AA54" s="2457">
        <f>AA48+AA49-AA50</f>
        <v>0</v>
      </c>
      <c r="AB54" s="2460">
        <f>AB48+AB49-AB50</f>
        <v>0</v>
      </c>
      <c r="AC54" s="2458">
        <f t="shared" ref="AC54:AH54" si="432">AC48+AC49-AC50</f>
        <v>0</v>
      </c>
      <c r="AD54" s="2458">
        <f t="shared" si="432"/>
        <v>0</v>
      </c>
      <c r="AE54" s="2458">
        <f t="shared" si="432"/>
        <v>0</v>
      </c>
      <c r="AF54" s="2458">
        <f t="shared" si="432"/>
        <v>0</v>
      </c>
      <c r="AG54" s="2458">
        <f t="shared" si="432"/>
        <v>0</v>
      </c>
      <c r="AH54" s="2459">
        <f t="shared" si="432"/>
        <v>0</v>
      </c>
      <c r="AI54" s="2460">
        <f>AI48+AI49-AI50</f>
        <v>0</v>
      </c>
      <c r="AJ54" s="2460">
        <f>AJ48+AJ49-AJ50</f>
        <v>0</v>
      </c>
      <c r="AK54" s="2458">
        <f t="shared" ref="AK54:AP54" si="433">AK48+AK49-AK50</f>
        <v>0</v>
      </c>
      <c r="AL54" s="2458">
        <f t="shared" si="433"/>
        <v>0</v>
      </c>
      <c r="AM54" s="2458">
        <f t="shared" si="433"/>
        <v>0</v>
      </c>
      <c r="AN54" s="2458">
        <f t="shared" si="433"/>
        <v>0</v>
      </c>
      <c r="AO54" s="2458">
        <f t="shared" si="433"/>
        <v>0</v>
      </c>
      <c r="AP54" s="2459">
        <f t="shared" si="433"/>
        <v>0</v>
      </c>
      <c r="AQ54" s="2460">
        <f>AQ48+AQ49-AQ50</f>
        <v>0</v>
      </c>
      <c r="AR54" s="2460">
        <f>AR48+AR49-AR50</f>
        <v>0</v>
      </c>
      <c r="AS54" s="2458">
        <f t="shared" ref="AS54:AX54" si="434">AS48+AS49-AS50</f>
        <v>0</v>
      </c>
      <c r="AT54" s="2458">
        <f t="shared" si="434"/>
        <v>0</v>
      </c>
      <c r="AU54" s="2458">
        <f t="shared" si="434"/>
        <v>0</v>
      </c>
      <c r="AV54" s="2458">
        <f t="shared" si="434"/>
        <v>0</v>
      </c>
      <c r="AW54" s="2458">
        <f t="shared" si="434"/>
        <v>0</v>
      </c>
      <c r="AX54" s="2459">
        <f t="shared" si="434"/>
        <v>0</v>
      </c>
      <c r="AY54" s="4422"/>
    </row>
    <row r="55" spans="1:99" s="1" customFormat="1" hidden="1">
      <c r="A55" s="3826" t="s">
        <v>1385</v>
      </c>
      <c r="B55" s="2442" t="s">
        <v>1382</v>
      </c>
      <c r="C55" s="1339"/>
      <c r="D55" s="4115"/>
      <c r="E55" s="1340"/>
      <c r="F55" s="1340"/>
      <c r="G55" s="1340"/>
      <c r="H55" s="1340"/>
      <c r="I55" s="1340"/>
      <c r="J55" s="1341"/>
      <c r="K55" s="1339"/>
      <c r="L55" s="4115"/>
      <c r="M55" s="1340"/>
      <c r="N55" s="1340"/>
      <c r="O55" s="1340"/>
      <c r="P55" s="1340"/>
      <c r="Q55" s="1340"/>
      <c r="R55" s="1341"/>
      <c r="S55" s="1339"/>
      <c r="T55" s="4115"/>
      <c r="U55" s="1340"/>
      <c r="V55" s="1340"/>
      <c r="W55" s="1340"/>
      <c r="X55" s="1340"/>
      <c r="Y55" s="1340"/>
      <c r="Z55" s="1341"/>
      <c r="AA55" s="1339"/>
      <c r="AB55" s="4115"/>
      <c r="AC55" s="1340"/>
      <c r="AD55" s="1340"/>
      <c r="AE55" s="1340"/>
      <c r="AF55" s="1340"/>
      <c r="AG55" s="1340"/>
      <c r="AH55" s="1341"/>
      <c r="AI55" s="1339"/>
      <c r="AJ55" s="4115"/>
      <c r="AK55" s="1340"/>
      <c r="AL55" s="1340"/>
      <c r="AM55" s="1340"/>
      <c r="AN55" s="1340"/>
      <c r="AO55" s="1340"/>
      <c r="AP55" s="1341"/>
      <c r="AQ55" s="2449"/>
      <c r="AR55" s="2456"/>
      <c r="AS55" s="2450"/>
      <c r="AT55" s="2450"/>
      <c r="AU55" s="2450"/>
      <c r="AV55" s="2450"/>
      <c r="AW55" s="2450"/>
      <c r="AX55" s="2451"/>
      <c r="AY55" s="4422"/>
    </row>
    <row r="56" spans="1:99" s="1" customFormat="1" ht="13.5" hidden="1" thickBot="1">
      <c r="A56" s="3828" t="s">
        <v>1386</v>
      </c>
      <c r="B56" s="2461" t="s">
        <v>1384</v>
      </c>
      <c r="C56" s="1342"/>
      <c r="D56" s="4118"/>
      <c r="E56" s="1343"/>
      <c r="F56" s="1343"/>
      <c r="G56" s="1343"/>
      <c r="H56" s="1343"/>
      <c r="I56" s="1343"/>
      <c r="J56" s="1344"/>
      <c r="K56" s="1342"/>
      <c r="L56" s="4118"/>
      <c r="M56" s="1343"/>
      <c r="N56" s="1343"/>
      <c r="O56" s="1343"/>
      <c r="P56" s="1343"/>
      <c r="Q56" s="1343"/>
      <c r="R56" s="1344"/>
      <c r="S56" s="1342"/>
      <c r="T56" s="4118"/>
      <c r="U56" s="1343"/>
      <c r="V56" s="1343"/>
      <c r="W56" s="1343"/>
      <c r="X56" s="1343"/>
      <c r="Y56" s="1343"/>
      <c r="Z56" s="1344"/>
      <c r="AA56" s="1342"/>
      <c r="AB56" s="4118"/>
      <c r="AC56" s="1343"/>
      <c r="AD56" s="1343"/>
      <c r="AE56" s="1343"/>
      <c r="AF56" s="1343"/>
      <c r="AG56" s="1343"/>
      <c r="AH56" s="1344"/>
      <c r="AI56" s="1342"/>
      <c r="AJ56" s="4118"/>
      <c r="AK56" s="1343"/>
      <c r="AL56" s="1343"/>
      <c r="AM56" s="1343"/>
      <c r="AN56" s="1343"/>
      <c r="AO56" s="1343"/>
      <c r="AP56" s="1344"/>
      <c r="AQ56" s="2462"/>
      <c r="AR56" s="4134"/>
      <c r="AS56" s="2463"/>
      <c r="AT56" s="2463"/>
      <c r="AU56" s="2463"/>
      <c r="AV56" s="2463"/>
      <c r="AW56" s="2463"/>
      <c r="AX56" s="2464"/>
      <c r="AY56" s="4422"/>
    </row>
    <row r="57" spans="1:99" s="1" customFormat="1" ht="13.5" customHeight="1" thickBot="1">
      <c r="A57" s="5131" t="s">
        <v>1856</v>
      </c>
      <c r="B57" s="5133" t="s">
        <v>1864</v>
      </c>
      <c r="C57" s="5125" t="s">
        <v>210</v>
      </c>
      <c r="D57" s="5126"/>
      <c r="E57" s="5126"/>
      <c r="F57" s="5126"/>
      <c r="G57" s="5126"/>
      <c r="H57" s="5126"/>
      <c r="I57" s="5126"/>
      <c r="J57" s="5127"/>
      <c r="K57" s="5125" t="s">
        <v>174</v>
      </c>
      <c r="L57" s="5126"/>
      <c r="M57" s="5126"/>
      <c r="N57" s="5126"/>
      <c r="O57" s="5126"/>
      <c r="P57" s="5126"/>
      <c r="Q57" s="5126"/>
      <c r="R57" s="5127"/>
      <c r="S57" s="5128" t="s">
        <v>184</v>
      </c>
      <c r="T57" s="5129"/>
      <c r="U57" s="5129"/>
      <c r="V57" s="5129"/>
      <c r="W57" s="5129"/>
      <c r="X57" s="5129"/>
      <c r="Y57" s="5129"/>
      <c r="Z57" s="5130"/>
      <c r="AA57" s="5139" t="s">
        <v>1029</v>
      </c>
      <c r="AB57" s="5140"/>
      <c r="AC57" s="5140"/>
      <c r="AD57" s="5140"/>
      <c r="AE57" s="5140"/>
      <c r="AF57" s="5140"/>
      <c r="AG57" s="5140"/>
      <c r="AH57" s="5141"/>
      <c r="AI57" s="5139" t="s">
        <v>1092</v>
      </c>
      <c r="AJ57" s="5140"/>
      <c r="AK57" s="5140"/>
      <c r="AL57" s="5140"/>
      <c r="AM57" s="5140"/>
      <c r="AN57" s="5140"/>
      <c r="AO57" s="5140"/>
      <c r="AP57" s="5141"/>
      <c r="AQ57" s="5139" t="s">
        <v>1250</v>
      </c>
      <c r="AR57" s="5140"/>
      <c r="AS57" s="5140"/>
      <c r="AT57" s="5140"/>
      <c r="AU57" s="5140"/>
      <c r="AV57" s="5140"/>
      <c r="AW57" s="5140"/>
      <c r="AX57" s="5141"/>
      <c r="AY57" s="4422"/>
    </row>
    <row r="58" spans="1:99" s="1" customFormat="1" ht="13.5" thickBot="1">
      <c r="A58" s="5132"/>
      <c r="B58" s="5134"/>
      <c r="C58" s="2465" t="str">
        <f t="shared" ref="C58" si="435">C8</f>
        <v>2024 г.</v>
      </c>
      <c r="D58" s="4119" t="str">
        <f t="shared" ref="D58:AX58" si="436">D8</f>
        <v>2025 г.</v>
      </c>
      <c r="E58" s="2466" t="str">
        <f t="shared" si="436"/>
        <v>2026 г.</v>
      </c>
      <c r="F58" s="2466" t="str">
        <f t="shared" si="436"/>
        <v>2027 г.</v>
      </c>
      <c r="G58" s="2466" t="str">
        <f t="shared" si="436"/>
        <v>2028 г.</v>
      </c>
      <c r="H58" s="2466" t="str">
        <f t="shared" si="436"/>
        <v>2029 г.</v>
      </c>
      <c r="I58" s="2466" t="str">
        <f t="shared" si="436"/>
        <v>2030 г.</v>
      </c>
      <c r="J58" s="2467" t="str">
        <f t="shared" si="436"/>
        <v>2031 г.</v>
      </c>
      <c r="K58" s="2465" t="str">
        <f t="shared" ref="K58" si="437">K8</f>
        <v>2024 г.</v>
      </c>
      <c r="L58" s="4119" t="str">
        <f t="shared" si="436"/>
        <v>2025 г.</v>
      </c>
      <c r="M58" s="2466" t="str">
        <f t="shared" si="436"/>
        <v>2026 г.</v>
      </c>
      <c r="N58" s="2466" t="str">
        <f t="shared" si="436"/>
        <v>2027 г.</v>
      </c>
      <c r="O58" s="2466" t="str">
        <f t="shared" si="436"/>
        <v>2028 г.</v>
      </c>
      <c r="P58" s="2466" t="str">
        <f t="shared" si="436"/>
        <v>2029 г.</v>
      </c>
      <c r="Q58" s="2466" t="str">
        <f t="shared" si="436"/>
        <v>2030 г.</v>
      </c>
      <c r="R58" s="2467" t="str">
        <f t="shared" si="436"/>
        <v>2031 г.</v>
      </c>
      <c r="S58" s="2465" t="str">
        <f t="shared" ref="S58" si="438">S8</f>
        <v>2024 г.</v>
      </c>
      <c r="T58" s="4119" t="str">
        <f t="shared" si="436"/>
        <v>2025 г.</v>
      </c>
      <c r="U58" s="2466" t="str">
        <f t="shared" si="436"/>
        <v>2026 г.</v>
      </c>
      <c r="V58" s="2466" t="str">
        <f t="shared" si="436"/>
        <v>2027 г.</v>
      </c>
      <c r="W58" s="2466" t="str">
        <f t="shared" si="436"/>
        <v>2028 г.</v>
      </c>
      <c r="X58" s="2466" t="str">
        <f t="shared" si="436"/>
        <v>2029 г.</v>
      </c>
      <c r="Y58" s="2466" t="str">
        <f t="shared" si="436"/>
        <v>2030 г.</v>
      </c>
      <c r="Z58" s="2467" t="str">
        <f t="shared" si="436"/>
        <v>2031 г.</v>
      </c>
      <c r="AA58" s="2465" t="str">
        <f t="shared" ref="AA58" si="439">AA8</f>
        <v>2024 г.</v>
      </c>
      <c r="AB58" s="4119" t="str">
        <f t="shared" si="436"/>
        <v>2025 г.</v>
      </c>
      <c r="AC58" s="2466" t="str">
        <f t="shared" si="436"/>
        <v>2026 г.</v>
      </c>
      <c r="AD58" s="2466" t="str">
        <f t="shared" si="436"/>
        <v>2027 г.</v>
      </c>
      <c r="AE58" s="2466" t="str">
        <f t="shared" si="436"/>
        <v>2028 г.</v>
      </c>
      <c r="AF58" s="2466" t="str">
        <f t="shared" si="436"/>
        <v>2029 г.</v>
      </c>
      <c r="AG58" s="2466" t="str">
        <f t="shared" si="436"/>
        <v>2030 г.</v>
      </c>
      <c r="AH58" s="2467" t="str">
        <f t="shared" si="436"/>
        <v>2031 г.</v>
      </c>
      <c r="AI58" s="2436" t="str">
        <f t="shared" ref="AI58" si="440">AI8</f>
        <v>2024 г.</v>
      </c>
      <c r="AJ58" s="2439" t="str">
        <f t="shared" si="436"/>
        <v>2025 г.</v>
      </c>
      <c r="AK58" s="2437" t="str">
        <f t="shared" si="436"/>
        <v>2026 г.</v>
      </c>
      <c r="AL58" s="2437" t="str">
        <f t="shared" si="436"/>
        <v>2027 г.</v>
      </c>
      <c r="AM58" s="2437" t="str">
        <f t="shared" si="436"/>
        <v>2028 г.</v>
      </c>
      <c r="AN58" s="2437" t="str">
        <f t="shared" si="436"/>
        <v>2029 г.</v>
      </c>
      <c r="AO58" s="2437" t="str">
        <f t="shared" si="436"/>
        <v>2030 г.</v>
      </c>
      <c r="AP58" s="2438" t="str">
        <f t="shared" si="436"/>
        <v>2031 г.</v>
      </c>
      <c r="AQ58" s="2436" t="str">
        <f t="shared" ref="AQ58" si="441">AQ8</f>
        <v>2024 г.</v>
      </c>
      <c r="AR58" s="2439" t="str">
        <f t="shared" si="436"/>
        <v>2025 г.</v>
      </c>
      <c r="AS58" s="2437" t="str">
        <f t="shared" si="436"/>
        <v>2026 г.</v>
      </c>
      <c r="AT58" s="2437" t="str">
        <f t="shared" si="436"/>
        <v>2027 г.</v>
      </c>
      <c r="AU58" s="2437" t="str">
        <f t="shared" si="436"/>
        <v>2028 г.</v>
      </c>
      <c r="AV58" s="2437" t="str">
        <f t="shared" si="436"/>
        <v>2029 г.</v>
      </c>
      <c r="AW58" s="2437" t="str">
        <f t="shared" si="436"/>
        <v>2030 г.</v>
      </c>
      <c r="AX58" s="2438" t="str">
        <f t="shared" si="436"/>
        <v>2031 г.</v>
      </c>
      <c r="AY58" s="4422"/>
    </row>
    <row r="59" spans="1:99" s="1" customFormat="1">
      <c r="A59" s="3826" t="s">
        <v>968</v>
      </c>
      <c r="B59" s="2440" t="s">
        <v>195</v>
      </c>
      <c r="C59" s="384"/>
      <c r="D59" s="4120"/>
      <c r="E59" s="4692">
        <f t="shared" ref="E59:J59" si="442">D65</f>
        <v>0</v>
      </c>
      <c r="F59" s="4693">
        <f t="shared" si="442"/>
        <v>0</v>
      </c>
      <c r="G59" s="4693">
        <f t="shared" si="442"/>
        <v>990</v>
      </c>
      <c r="H59" s="4693">
        <f t="shared" si="442"/>
        <v>1526</v>
      </c>
      <c r="I59" s="4693">
        <f t="shared" si="442"/>
        <v>2062</v>
      </c>
      <c r="J59" s="4694">
        <f t="shared" si="442"/>
        <v>2598</v>
      </c>
      <c r="K59" s="384"/>
      <c r="L59" s="4120"/>
      <c r="M59" s="4692">
        <f t="shared" ref="M59:R59" si="443">L65</f>
        <v>0</v>
      </c>
      <c r="N59" s="4693">
        <f t="shared" si="443"/>
        <v>0</v>
      </c>
      <c r="O59" s="4693">
        <f t="shared" si="443"/>
        <v>0</v>
      </c>
      <c r="P59" s="4693">
        <f t="shared" si="443"/>
        <v>0</v>
      </c>
      <c r="Q59" s="4693">
        <f t="shared" si="443"/>
        <v>0</v>
      </c>
      <c r="R59" s="4694">
        <f t="shared" si="443"/>
        <v>0</v>
      </c>
      <c r="S59" s="384"/>
      <c r="T59" s="4120"/>
      <c r="U59" s="4692">
        <f t="shared" ref="U59:Z59" si="444">T65</f>
        <v>0</v>
      </c>
      <c r="V59" s="4693">
        <f t="shared" si="444"/>
        <v>0</v>
      </c>
      <c r="W59" s="4693">
        <f t="shared" si="444"/>
        <v>0</v>
      </c>
      <c r="X59" s="4693">
        <f t="shared" si="444"/>
        <v>0</v>
      </c>
      <c r="Y59" s="4693">
        <f t="shared" si="444"/>
        <v>0</v>
      </c>
      <c r="Z59" s="4694">
        <f t="shared" si="444"/>
        <v>0</v>
      </c>
      <c r="AA59" s="384"/>
      <c r="AB59" s="4120"/>
      <c r="AC59" s="4692">
        <f t="shared" ref="AC59:AH59" si="445">AB65</f>
        <v>0</v>
      </c>
      <c r="AD59" s="4693">
        <f t="shared" si="445"/>
        <v>0</v>
      </c>
      <c r="AE59" s="4693">
        <f t="shared" si="445"/>
        <v>0</v>
      </c>
      <c r="AF59" s="4693">
        <f t="shared" si="445"/>
        <v>0</v>
      </c>
      <c r="AG59" s="4693">
        <f t="shared" si="445"/>
        <v>0</v>
      </c>
      <c r="AH59" s="4694">
        <f t="shared" si="445"/>
        <v>0</v>
      </c>
      <c r="AI59" s="384"/>
      <c r="AJ59" s="4120"/>
      <c r="AK59" s="4692">
        <f t="shared" ref="AK59:AP59" si="446">AJ65</f>
        <v>0</v>
      </c>
      <c r="AL59" s="4693">
        <f t="shared" si="446"/>
        <v>0</v>
      </c>
      <c r="AM59" s="4693">
        <f t="shared" si="446"/>
        <v>0</v>
      </c>
      <c r="AN59" s="4693">
        <f t="shared" si="446"/>
        <v>0</v>
      </c>
      <c r="AO59" s="4693">
        <f t="shared" si="446"/>
        <v>0</v>
      </c>
      <c r="AP59" s="4694">
        <f t="shared" si="446"/>
        <v>0</v>
      </c>
      <c r="AQ59" s="384"/>
      <c r="AR59" s="4120"/>
      <c r="AS59" s="4692">
        <f>AR65</f>
        <v>0</v>
      </c>
      <c r="AT59" s="4693">
        <f t="shared" ref="AT59:AX59" si="447">AS65</f>
        <v>0</v>
      </c>
      <c r="AU59" s="4693">
        <f t="shared" si="447"/>
        <v>990</v>
      </c>
      <c r="AV59" s="4693">
        <f t="shared" si="447"/>
        <v>1526</v>
      </c>
      <c r="AW59" s="4693">
        <f t="shared" si="447"/>
        <v>2062</v>
      </c>
      <c r="AX59" s="4694">
        <f t="shared" si="447"/>
        <v>2598</v>
      </c>
      <c r="AY59" s="4422"/>
      <c r="AZ59" s="3"/>
      <c r="BA59" s="3"/>
      <c r="BB59" s="4438">
        <f t="shared" ref="BB59:BC62" si="448">IFERROR(E59/$C$1,0)</f>
        <v>0</v>
      </c>
      <c r="BC59" s="4438">
        <f t="shared" si="448"/>
        <v>0</v>
      </c>
      <c r="BD59" s="4438">
        <f t="shared" ref="BD59:BD62" si="449">IFERROR(G59/$C$1,0)</f>
        <v>506.17896238425629</v>
      </c>
      <c r="BE59" s="4438">
        <f t="shared" ref="BE59:BE62" si="450">IFERROR(H59/$C$1,0)</f>
        <v>780.23141070542943</v>
      </c>
      <c r="BF59" s="4438">
        <f t="shared" ref="BF59:BF62" si="451">IFERROR(I59/$C$1,0)</f>
        <v>1054.2838590266026</v>
      </c>
      <c r="BG59" s="4438">
        <f t="shared" ref="BG59:BG62" si="452">IFERROR(J59/$C$1,0)</f>
        <v>1328.3363073477756</v>
      </c>
      <c r="BH59" s="3"/>
      <c r="BI59" s="3"/>
      <c r="BJ59" s="4438">
        <f t="shared" ref="BJ59:BJ62" si="453">IFERROR(M59/$C$1,0)</f>
        <v>0</v>
      </c>
      <c r="BK59" s="4438">
        <f t="shared" ref="BK59:BK62" si="454">IFERROR(N59/$C$1,0)</f>
        <v>0</v>
      </c>
      <c r="BL59" s="4438">
        <f t="shared" ref="BL59:BL62" si="455">IFERROR(O59/$C$1,0)</f>
        <v>0</v>
      </c>
      <c r="BM59" s="4438">
        <f t="shared" ref="BM59:BM62" si="456">IFERROR(P59/$C$1,0)</f>
        <v>0</v>
      </c>
      <c r="BN59" s="4438">
        <f t="shared" ref="BN59:BN62" si="457">IFERROR(Q59/$C$1,0)</f>
        <v>0</v>
      </c>
      <c r="BO59" s="4438">
        <f t="shared" ref="BO59:BO62" si="458">IFERROR(R59/$C$1,0)</f>
        <v>0</v>
      </c>
      <c r="BP59" s="3"/>
      <c r="BQ59" s="3"/>
      <c r="BR59" s="4438">
        <f t="shared" ref="BR59:BR62" si="459">IFERROR(U59/$C$1,0)</f>
        <v>0</v>
      </c>
      <c r="BS59" s="4438">
        <f t="shared" ref="BS59:BS62" si="460">IFERROR(V59/$C$1,0)</f>
        <v>0</v>
      </c>
      <c r="BT59" s="4438">
        <f t="shared" ref="BT59:BT62" si="461">IFERROR(W59/$C$1,0)</f>
        <v>0</v>
      </c>
      <c r="BU59" s="4438">
        <f t="shared" ref="BU59:BU62" si="462">IFERROR(X59/$C$1,0)</f>
        <v>0</v>
      </c>
      <c r="BV59" s="4438">
        <f t="shared" ref="BV59:BV62" si="463">IFERROR(Y59/$C$1,0)</f>
        <v>0</v>
      </c>
      <c r="BW59" s="4438">
        <f t="shared" ref="BW59:BW62" si="464">IFERROR(Z59/$C$1,0)</f>
        <v>0</v>
      </c>
      <c r="BX59" s="3"/>
      <c r="BY59" s="3"/>
      <c r="BZ59" s="4438">
        <f t="shared" ref="BZ59:BZ62" si="465">IFERROR(AC59/$C$1,0)</f>
        <v>0</v>
      </c>
      <c r="CA59" s="4438">
        <f t="shared" ref="CA59:CA62" si="466">IFERROR(AD59/$C$1,0)</f>
        <v>0</v>
      </c>
      <c r="CB59" s="4438">
        <f t="shared" ref="CB59:CB62" si="467">IFERROR(AE59/$C$1,0)</f>
        <v>0</v>
      </c>
      <c r="CC59" s="4438">
        <f t="shared" ref="CC59:CC62" si="468">IFERROR(AF59/$C$1,0)</f>
        <v>0</v>
      </c>
      <c r="CD59" s="4438">
        <f t="shared" ref="CD59:CD62" si="469">IFERROR(AG59/$C$1,0)</f>
        <v>0</v>
      </c>
      <c r="CE59" s="4438">
        <f t="shared" ref="CE59:CE62" si="470">IFERROR(AH59/$C$1,0)</f>
        <v>0</v>
      </c>
      <c r="CF59" s="3"/>
      <c r="CG59" s="3"/>
      <c r="CH59" s="4438">
        <f t="shared" ref="CH59:CH62" si="471">IFERROR(AK59/$C$1,0)</f>
        <v>0</v>
      </c>
      <c r="CI59" s="4438">
        <f t="shared" ref="CI59:CI62" si="472">IFERROR(AL59/$C$1,0)</f>
        <v>0</v>
      </c>
      <c r="CJ59" s="4438">
        <f t="shared" ref="CJ59:CJ62" si="473">IFERROR(AM59/$C$1,0)</f>
        <v>0</v>
      </c>
      <c r="CK59" s="4438">
        <f t="shared" ref="CK59:CK62" si="474">IFERROR(AN59/$C$1,0)</f>
        <v>0</v>
      </c>
      <c r="CL59" s="4438">
        <f t="shared" ref="CL59:CL62" si="475">IFERROR(AO59/$C$1,0)</f>
        <v>0</v>
      </c>
      <c r="CM59" s="4438">
        <f t="shared" ref="CM59:CM62" si="476">IFERROR(AP59/$C$1,0)</f>
        <v>0</v>
      </c>
      <c r="CN59" s="3"/>
      <c r="CO59" s="3"/>
      <c r="CP59" s="4438">
        <f t="shared" ref="CP59:CP62" si="477">IFERROR(AS59/$C$1,0)</f>
        <v>0</v>
      </c>
      <c r="CQ59" s="4438">
        <f t="shared" ref="CQ59:CQ62" si="478">IFERROR(AT59/$C$1,0)</f>
        <v>0</v>
      </c>
      <c r="CR59" s="4438">
        <f t="shared" ref="CR59:CR62" si="479">IFERROR(AU59/$C$1,0)</f>
        <v>506.17896238425629</v>
      </c>
      <c r="CS59" s="4438">
        <f t="shared" ref="CS59:CS62" si="480">IFERROR(AV59/$C$1,0)</f>
        <v>780.23141070542943</v>
      </c>
      <c r="CT59" s="4438">
        <f t="shared" ref="CT59:CT62" si="481">IFERROR(AW59/$C$1,0)</f>
        <v>1054.2838590266026</v>
      </c>
      <c r="CU59" s="4438">
        <f t="shared" ref="CU59:CU62" si="482">IFERROR(AX59/$C$1,0)</f>
        <v>1328.3363073477756</v>
      </c>
    </row>
    <row r="60" spans="1:99" s="1" customFormat="1">
      <c r="A60" s="3826" t="s">
        <v>969</v>
      </c>
      <c r="B60" s="2442" t="s">
        <v>196</v>
      </c>
      <c r="C60" s="383"/>
      <c r="D60" s="4121"/>
      <c r="E60" s="2443">
        <f>+'9.Инвестиционна програма'!Y140</f>
        <v>0</v>
      </c>
      <c r="F60" s="2443">
        <f>+'9.Инвестиционна програма'!Z140</f>
        <v>990</v>
      </c>
      <c r="G60" s="2443">
        <f>+'9.Инвестиционна програма'!AA140</f>
        <v>536</v>
      </c>
      <c r="H60" s="2443">
        <f>+'9.Инвестиционна програма'!AB140</f>
        <v>536</v>
      </c>
      <c r="I60" s="2443">
        <f>+'9.Инвестиционна програма'!AC140</f>
        <v>536</v>
      </c>
      <c r="J60" s="2444">
        <f>+'9.Инвестиционна програма'!AD140</f>
        <v>536</v>
      </c>
      <c r="K60" s="383"/>
      <c r="L60" s="4121"/>
      <c r="M60" s="2443">
        <f>+'9.Инвестиционна програма'!Y141</f>
        <v>0</v>
      </c>
      <c r="N60" s="2443">
        <f>+'9.Инвестиционна програма'!Z141</f>
        <v>0</v>
      </c>
      <c r="O60" s="2443">
        <f>+'9.Инвестиционна програма'!AA141</f>
        <v>0</v>
      </c>
      <c r="P60" s="2443">
        <f>+'9.Инвестиционна програма'!AB141</f>
        <v>0</v>
      </c>
      <c r="Q60" s="2443">
        <f>+'9.Инвестиционна програма'!AC141</f>
        <v>0</v>
      </c>
      <c r="R60" s="2443">
        <f>+'9.Инвестиционна програма'!AD141</f>
        <v>0</v>
      </c>
      <c r="S60" s="383"/>
      <c r="T60" s="4121"/>
      <c r="U60" s="2443">
        <f>+'9.Инвестиционна програма'!Y142</f>
        <v>0</v>
      </c>
      <c r="V60" s="2443">
        <f>+'9.Инвестиционна програма'!Z142</f>
        <v>0</v>
      </c>
      <c r="W60" s="2443">
        <f>+'9.Инвестиционна програма'!AA142</f>
        <v>0</v>
      </c>
      <c r="X60" s="2443">
        <f>+'9.Инвестиционна програма'!AB142</f>
        <v>0</v>
      </c>
      <c r="Y60" s="2443">
        <f>+'9.Инвестиционна програма'!AC142</f>
        <v>0</v>
      </c>
      <c r="Z60" s="2443">
        <f>+'9.Инвестиционна програма'!AD142</f>
        <v>0</v>
      </c>
      <c r="AA60" s="383"/>
      <c r="AB60" s="4121"/>
      <c r="AC60" s="2443">
        <f>+'9.Инвестиционна програма'!Y143</f>
        <v>0</v>
      </c>
      <c r="AD60" s="2443">
        <f>+'9.Инвестиционна програма'!Z143</f>
        <v>0</v>
      </c>
      <c r="AE60" s="2443">
        <f>+'9.Инвестиционна програма'!AA143</f>
        <v>0</v>
      </c>
      <c r="AF60" s="2443">
        <f>+'9.Инвестиционна програма'!AB143</f>
        <v>0</v>
      </c>
      <c r="AG60" s="2443">
        <f>+'9.Инвестиционна програма'!AC143</f>
        <v>0</v>
      </c>
      <c r="AH60" s="2443">
        <f>+'9.Инвестиционна програма'!AD143</f>
        <v>0</v>
      </c>
      <c r="AI60" s="383"/>
      <c r="AJ60" s="4121"/>
      <c r="AK60" s="2443">
        <f>+'9.Инвестиционна програма'!Y144</f>
        <v>0</v>
      </c>
      <c r="AL60" s="2443">
        <f>+'9.Инвестиционна програма'!Z144</f>
        <v>0</v>
      </c>
      <c r="AM60" s="2443">
        <f>+'9.Инвестиционна програма'!AA144</f>
        <v>0</v>
      </c>
      <c r="AN60" s="2443">
        <f>+'9.Инвестиционна програма'!AB144</f>
        <v>0</v>
      </c>
      <c r="AO60" s="2443">
        <f>+'9.Инвестиционна програма'!AC144</f>
        <v>0</v>
      </c>
      <c r="AP60" s="2443">
        <f>+'9.Инвестиционна програма'!AD144</f>
        <v>0</v>
      </c>
      <c r="AQ60" s="383"/>
      <c r="AR60" s="4121"/>
      <c r="AS60" s="2443">
        <f t="shared" ref="AS60:AX60" si="483">E60+M60+U60+AC60+AK60</f>
        <v>0</v>
      </c>
      <c r="AT60" s="2443">
        <f t="shared" si="483"/>
        <v>990</v>
      </c>
      <c r="AU60" s="2443">
        <f t="shared" si="483"/>
        <v>536</v>
      </c>
      <c r="AV60" s="2443">
        <f t="shared" si="483"/>
        <v>536</v>
      </c>
      <c r="AW60" s="2443">
        <f t="shared" si="483"/>
        <v>536</v>
      </c>
      <c r="AX60" s="2444">
        <f t="shared" si="483"/>
        <v>536</v>
      </c>
      <c r="AY60" s="4422"/>
      <c r="AZ60" s="3"/>
      <c r="BA60" s="3"/>
      <c r="BB60" s="4438">
        <f t="shared" si="448"/>
        <v>0</v>
      </c>
      <c r="BC60" s="4438">
        <f t="shared" si="448"/>
        <v>506.17896238425629</v>
      </c>
      <c r="BD60" s="4438">
        <f t="shared" si="449"/>
        <v>274.05244832117313</v>
      </c>
      <c r="BE60" s="4438">
        <f t="shared" si="450"/>
        <v>274.05244832117313</v>
      </c>
      <c r="BF60" s="4438">
        <f t="shared" si="451"/>
        <v>274.05244832117313</v>
      </c>
      <c r="BG60" s="4438">
        <f t="shared" si="452"/>
        <v>274.05244832117313</v>
      </c>
      <c r="BH60" s="3"/>
      <c r="BI60" s="3"/>
      <c r="BJ60" s="4438">
        <f t="shared" si="453"/>
        <v>0</v>
      </c>
      <c r="BK60" s="4438">
        <f t="shared" si="454"/>
        <v>0</v>
      </c>
      <c r="BL60" s="4438">
        <f t="shared" si="455"/>
        <v>0</v>
      </c>
      <c r="BM60" s="4438">
        <f t="shared" si="456"/>
        <v>0</v>
      </c>
      <c r="BN60" s="4438">
        <f t="shared" si="457"/>
        <v>0</v>
      </c>
      <c r="BO60" s="4438">
        <f t="shared" si="458"/>
        <v>0</v>
      </c>
      <c r="BP60" s="3"/>
      <c r="BQ60" s="3"/>
      <c r="BR60" s="4438">
        <f t="shared" si="459"/>
        <v>0</v>
      </c>
      <c r="BS60" s="4438">
        <f t="shared" si="460"/>
        <v>0</v>
      </c>
      <c r="BT60" s="4438">
        <f t="shared" si="461"/>
        <v>0</v>
      </c>
      <c r="BU60" s="4438">
        <f t="shared" si="462"/>
        <v>0</v>
      </c>
      <c r="BV60" s="4438">
        <f t="shared" si="463"/>
        <v>0</v>
      </c>
      <c r="BW60" s="4438">
        <f t="shared" si="464"/>
        <v>0</v>
      </c>
      <c r="BX60" s="3"/>
      <c r="BY60" s="3"/>
      <c r="BZ60" s="4438">
        <f t="shared" si="465"/>
        <v>0</v>
      </c>
      <c r="CA60" s="4438">
        <f t="shared" si="466"/>
        <v>0</v>
      </c>
      <c r="CB60" s="4438">
        <f t="shared" si="467"/>
        <v>0</v>
      </c>
      <c r="CC60" s="4438">
        <f t="shared" si="468"/>
        <v>0</v>
      </c>
      <c r="CD60" s="4438">
        <f t="shared" si="469"/>
        <v>0</v>
      </c>
      <c r="CE60" s="4438">
        <f t="shared" si="470"/>
        <v>0</v>
      </c>
      <c r="CF60" s="3"/>
      <c r="CG60" s="3"/>
      <c r="CH60" s="4438">
        <f t="shared" si="471"/>
        <v>0</v>
      </c>
      <c r="CI60" s="4438">
        <f t="shared" si="472"/>
        <v>0</v>
      </c>
      <c r="CJ60" s="4438">
        <f t="shared" si="473"/>
        <v>0</v>
      </c>
      <c r="CK60" s="4438">
        <f t="shared" si="474"/>
        <v>0</v>
      </c>
      <c r="CL60" s="4438">
        <f t="shared" si="475"/>
        <v>0</v>
      </c>
      <c r="CM60" s="4438">
        <f t="shared" si="476"/>
        <v>0</v>
      </c>
      <c r="CN60" s="3"/>
      <c r="CO60" s="3"/>
      <c r="CP60" s="4438">
        <f t="shared" si="477"/>
        <v>0</v>
      </c>
      <c r="CQ60" s="4438">
        <f t="shared" si="478"/>
        <v>506.17896238425629</v>
      </c>
      <c r="CR60" s="4438">
        <f t="shared" si="479"/>
        <v>274.05244832117313</v>
      </c>
      <c r="CS60" s="4438">
        <f t="shared" si="480"/>
        <v>274.05244832117313</v>
      </c>
      <c r="CT60" s="4438">
        <f t="shared" si="481"/>
        <v>274.05244832117313</v>
      </c>
      <c r="CU60" s="4438">
        <f t="shared" si="482"/>
        <v>274.05244832117313</v>
      </c>
    </row>
    <row r="61" spans="1:99" s="1" customFormat="1">
      <c r="A61" s="3826" t="s">
        <v>970</v>
      </c>
      <c r="B61" s="2442" t="s">
        <v>197</v>
      </c>
      <c r="C61" s="383"/>
      <c r="D61" s="4121"/>
      <c r="E61" s="2443">
        <f>IFERROR(E60/$AS60*$AS61,0)</f>
        <v>0</v>
      </c>
      <c r="F61" s="2443">
        <f>IFERROR(SUM($E60:F60)/SUM($AS60:AT60)*AT61,0)</f>
        <v>0</v>
      </c>
      <c r="G61" s="2443">
        <f>IFERROR(SUM($E60:G60)/SUM($AS60:AU60)*AU61,0)</f>
        <v>0</v>
      </c>
      <c r="H61" s="2443">
        <f>IFERROR(SUM($E60:H60)/SUM($AS60:AV60)*AV61,0)</f>
        <v>0</v>
      </c>
      <c r="I61" s="2443">
        <f>IFERROR(SUM($E60:I60)/SUM($AS60:AW60)*AW61,0)</f>
        <v>0</v>
      </c>
      <c r="J61" s="2443">
        <f>IFERROR(SUM($E60:J60)/SUM($AS60:AX60)*AX61,0)</f>
        <v>0</v>
      </c>
      <c r="K61" s="383"/>
      <c r="L61" s="4121"/>
      <c r="M61" s="2443">
        <f>IFERROR(M60/$AS60*$AS61,0)</f>
        <v>0</v>
      </c>
      <c r="N61" s="2443">
        <f>IFERROR(SUM($M60:N60)/SUM($AS60:AT60)*AT61,0)</f>
        <v>0</v>
      </c>
      <c r="O61" s="2443">
        <f>IFERROR(SUM($M60:O60)/SUM($AS60:AU60)*AU61,0)</f>
        <v>0</v>
      </c>
      <c r="P61" s="2443">
        <f>IFERROR(SUM($M60:P60)/SUM($AS60:AV60)*AV61,0)</f>
        <v>0</v>
      </c>
      <c r="Q61" s="2443">
        <f>IFERROR(SUM($M60:Q60)/SUM($AS60:AW60)*AW61,0)</f>
        <v>0</v>
      </c>
      <c r="R61" s="2443">
        <f>IFERROR(SUM($M60:R60)/SUM($AS60:AX60)*AX61,0)</f>
        <v>0</v>
      </c>
      <c r="S61" s="383"/>
      <c r="T61" s="4121"/>
      <c r="U61" s="2443">
        <f>IFERROR(U60/$AS60*$AS61,0)</f>
        <v>0</v>
      </c>
      <c r="V61" s="2443">
        <f>IFERROR(SUM($U60:V60)/SUM($AS60:AT60)*AT61,0)</f>
        <v>0</v>
      </c>
      <c r="W61" s="2443">
        <f>IFERROR(SUM($U60:W60)/SUM($AS60:AU60)*AU61,0)</f>
        <v>0</v>
      </c>
      <c r="X61" s="2443">
        <f>IFERROR(SUM($U60:X60)/SUM($AS60:AV60)*AV61,0)</f>
        <v>0</v>
      </c>
      <c r="Y61" s="2443">
        <f>IFERROR(SUM($U60:Y60)/SUM($AS60:AW60)*AW61,0)</f>
        <v>0</v>
      </c>
      <c r="Z61" s="2443">
        <f>IFERROR(SUM($U60:Z60)/SUM($AS60:AX60)*AX61,0)</f>
        <v>0</v>
      </c>
      <c r="AA61" s="383"/>
      <c r="AB61" s="4121"/>
      <c r="AC61" s="2443">
        <f>IFERROR(AC60/$AS60*$AS61,0)</f>
        <v>0</v>
      </c>
      <c r="AD61" s="2443">
        <f>IFERROR(SUM($AC60:AD60)/SUM($AS60:AT60)*AT61,0)</f>
        <v>0</v>
      </c>
      <c r="AE61" s="2443">
        <f>IFERROR(SUM($AC60:AE60)/SUM($AS60:AU60)*AU61,0)</f>
        <v>0</v>
      </c>
      <c r="AF61" s="2443">
        <f>IFERROR(SUM($AC60:AF60)/SUM($AS60:AV60)*AV61,0)</f>
        <v>0</v>
      </c>
      <c r="AG61" s="2443">
        <f>IFERROR(SUM($AC60:AG60)/SUM($AS60:AW60)*AW61,0)</f>
        <v>0</v>
      </c>
      <c r="AH61" s="2443">
        <f>IFERROR(SUM($AC60:AH60)/SUM($AS60:AX60)*AX61,0)</f>
        <v>0</v>
      </c>
      <c r="AI61" s="383"/>
      <c r="AJ61" s="4121"/>
      <c r="AK61" s="2443">
        <f>IFERROR(AK60/$AS60*$AS61,0)</f>
        <v>0</v>
      </c>
      <c r="AL61" s="2443">
        <f>IFERROR(SUM($AK60:AL60)/SUM($AS60:AT60)*AT61,0)</f>
        <v>0</v>
      </c>
      <c r="AM61" s="2443">
        <f>IFERROR(SUM($AK60:AM60)/SUM($AS60:AU60)*AU61,0)</f>
        <v>0</v>
      </c>
      <c r="AN61" s="2443">
        <f>IFERROR(SUM($AK60:AN60)/SUM($AS60:AV60)*AV61,0)</f>
        <v>0</v>
      </c>
      <c r="AO61" s="2443">
        <f>IFERROR(SUM($AK60:AO60)/SUM($AS60:AW60)*AW61,0)</f>
        <v>0</v>
      </c>
      <c r="AP61" s="2443">
        <f>IFERROR(SUM($AK60:AP60)/SUM($AS60:AX60)*AX61,0)</f>
        <v>0</v>
      </c>
      <c r="AQ61" s="383"/>
      <c r="AR61" s="4121"/>
      <c r="AS61" s="402"/>
      <c r="AT61" s="402"/>
      <c r="AU61" s="402"/>
      <c r="AV61" s="402"/>
      <c r="AW61" s="402"/>
      <c r="AX61" s="403"/>
      <c r="AY61" s="4422"/>
      <c r="AZ61" s="3"/>
      <c r="BA61" s="3"/>
      <c r="BB61" s="4438">
        <f t="shared" si="448"/>
        <v>0</v>
      </c>
      <c r="BC61" s="4438">
        <f t="shared" si="448"/>
        <v>0</v>
      </c>
      <c r="BD61" s="4438">
        <f t="shared" si="449"/>
        <v>0</v>
      </c>
      <c r="BE61" s="4438">
        <f t="shared" si="450"/>
        <v>0</v>
      </c>
      <c r="BF61" s="4438">
        <f t="shared" si="451"/>
        <v>0</v>
      </c>
      <c r="BG61" s="4438">
        <f t="shared" si="452"/>
        <v>0</v>
      </c>
      <c r="BH61" s="3"/>
      <c r="BI61" s="3"/>
      <c r="BJ61" s="4438">
        <f t="shared" si="453"/>
        <v>0</v>
      </c>
      <c r="BK61" s="4438">
        <f t="shared" si="454"/>
        <v>0</v>
      </c>
      <c r="BL61" s="4438">
        <f t="shared" si="455"/>
        <v>0</v>
      </c>
      <c r="BM61" s="4438">
        <f t="shared" si="456"/>
        <v>0</v>
      </c>
      <c r="BN61" s="4438">
        <f t="shared" si="457"/>
        <v>0</v>
      </c>
      <c r="BO61" s="4438">
        <f t="shared" si="458"/>
        <v>0</v>
      </c>
      <c r="BP61" s="3"/>
      <c r="BQ61" s="3"/>
      <c r="BR61" s="4438">
        <f t="shared" si="459"/>
        <v>0</v>
      </c>
      <c r="BS61" s="4438">
        <f t="shared" si="460"/>
        <v>0</v>
      </c>
      <c r="BT61" s="4438">
        <f t="shared" si="461"/>
        <v>0</v>
      </c>
      <c r="BU61" s="4438">
        <f t="shared" si="462"/>
        <v>0</v>
      </c>
      <c r="BV61" s="4438">
        <f t="shared" si="463"/>
        <v>0</v>
      </c>
      <c r="BW61" s="4438">
        <f t="shared" si="464"/>
        <v>0</v>
      </c>
      <c r="BX61" s="3"/>
      <c r="BY61" s="3"/>
      <c r="BZ61" s="4438">
        <f t="shared" si="465"/>
        <v>0</v>
      </c>
      <c r="CA61" s="4438">
        <f t="shared" si="466"/>
        <v>0</v>
      </c>
      <c r="CB61" s="4438">
        <f t="shared" si="467"/>
        <v>0</v>
      </c>
      <c r="CC61" s="4438">
        <f t="shared" si="468"/>
        <v>0</v>
      </c>
      <c r="CD61" s="4438">
        <f t="shared" si="469"/>
        <v>0</v>
      </c>
      <c r="CE61" s="4438">
        <f t="shared" si="470"/>
        <v>0</v>
      </c>
      <c r="CF61" s="3"/>
      <c r="CG61" s="3"/>
      <c r="CH61" s="4438">
        <f t="shared" si="471"/>
        <v>0</v>
      </c>
      <c r="CI61" s="4438">
        <f t="shared" si="472"/>
        <v>0</v>
      </c>
      <c r="CJ61" s="4438">
        <f t="shared" si="473"/>
        <v>0</v>
      </c>
      <c r="CK61" s="4438">
        <f t="shared" si="474"/>
        <v>0</v>
      </c>
      <c r="CL61" s="4438">
        <f t="shared" si="475"/>
        <v>0</v>
      </c>
      <c r="CM61" s="4438">
        <f t="shared" si="476"/>
        <v>0</v>
      </c>
      <c r="CN61" s="3"/>
      <c r="CO61" s="3"/>
      <c r="CP61" s="4438">
        <f t="shared" si="477"/>
        <v>0</v>
      </c>
      <c r="CQ61" s="4438">
        <f t="shared" si="478"/>
        <v>0</v>
      </c>
      <c r="CR61" s="4438">
        <f t="shared" si="479"/>
        <v>0</v>
      </c>
      <c r="CS61" s="4438">
        <f t="shared" si="480"/>
        <v>0</v>
      </c>
      <c r="CT61" s="4438">
        <f t="shared" si="481"/>
        <v>0</v>
      </c>
      <c r="CU61" s="4438">
        <f t="shared" si="482"/>
        <v>0</v>
      </c>
    </row>
    <row r="62" spans="1:99" s="1" customFormat="1">
      <c r="A62" s="3826" t="s">
        <v>971</v>
      </c>
      <c r="B62" s="2442" t="s">
        <v>198</v>
      </c>
      <c r="C62" s="383"/>
      <c r="D62" s="4121"/>
      <c r="E62" s="2443">
        <f>+(E65+E59+E60)/2*E63</f>
        <v>0</v>
      </c>
      <c r="F62" s="2443">
        <f t="shared" ref="F62:J62" si="484">+(F65+F59+F60)/2*F63</f>
        <v>0</v>
      </c>
      <c r="G62" s="2443">
        <f t="shared" si="484"/>
        <v>0</v>
      </c>
      <c r="H62" s="2443">
        <f t="shared" si="484"/>
        <v>0</v>
      </c>
      <c r="I62" s="2443">
        <f>+(I65+I59+I60)/2*I63</f>
        <v>0</v>
      </c>
      <c r="J62" s="2443">
        <f t="shared" si="484"/>
        <v>0</v>
      </c>
      <c r="K62" s="383"/>
      <c r="L62" s="4121"/>
      <c r="M62" s="2443">
        <f>+(M65+M59+M60)/2*M63</f>
        <v>0</v>
      </c>
      <c r="N62" s="2443">
        <f t="shared" ref="N62:R62" si="485">+(N65+N59+N60)/2*N63</f>
        <v>0</v>
      </c>
      <c r="O62" s="2443">
        <f t="shared" si="485"/>
        <v>0</v>
      </c>
      <c r="P62" s="2443">
        <f t="shared" si="485"/>
        <v>0</v>
      </c>
      <c r="Q62" s="2443">
        <f t="shared" si="485"/>
        <v>0</v>
      </c>
      <c r="R62" s="2443">
        <f t="shared" si="485"/>
        <v>0</v>
      </c>
      <c r="S62" s="383"/>
      <c r="T62" s="4121"/>
      <c r="U62" s="2443">
        <f t="shared" ref="U62:Z62" si="486">+(U65+U59+U60)/2*U63</f>
        <v>0</v>
      </c>
      <c r="V62" s="2443">
        <f t="shared" si="486"/>
        <v>0</v>
      </c>
      <c r="W62" s="2443">
        <f t="shared" si="486"/>
        <v>0</v>
      </c>
      <c r="X62" s="2443">
        <f t="shared" si="486"/>
        <v>0</v>
      </c>
      <c r="Y62" s="2443">
        <f t="shared" si="486"/>
        <v>0</v>
      </c>
      <c r="Z62" s="2443">
        <f t="shared" si="486"/>
        <v>0</v>
      </c>
      <c r="AA62" s="383"/>
      <c r="AB62" s="4121"/>
      <c r="AC62" s="2443">
        <f t="shared" ref="AC62:AH62" si="487">+(AC65+AC59+AC60)/2*AC63</f>
        <v>0</v>
      </c>
      <c r="AD62" s="2443">
        <f t="shared" si="487"/>
        <v>0</v>
      </c>
      <c r="AE62" s="2443">
        <f t="shared" si="487"/>
        <v>0</v>
      </c>
      <c r="AF62" s="2443">
        <f t="shared" si="487"/>
        <v>0</v>
      </c>
      <c r="AG62" s="2443">
        <f t="shared" si="487"/>
        <v>0</v>
      </c>
      <c r="AH62" s="2443">
        <f t="shared" si="487"/>
        <v>0</v>
      </c>
      <c r="AI62" s="383"/>
      <c r="AJ62" s="4121"/>
      <c r="AK62" s="2443">
        <f t="shared" ref="AK62:AP62" si="488">+(AK65+AK59+AK60)/2*AK63</f>
        <v>0</v>
      </c>
      <c r="AL62" s="2443">
        <f t="shared" si="488"/>
        <v>0</v>
      </c>
      <c r="AM62" s="2443">
        <f t="shared" si="488"/>
        <v>0</v>
      </c>
      <c r="AN62" s="2443">
        <f t="shared" si="488"/>
        <v>0</v>
      </c>
      <c r="AO62" s="2443">
        <f t="shared" si="488"/>
        <v>0</v>
      </c>
      <c r="AP62" s="2443">
        <f t="shared" si="488"/>
        <v>0</v>
      </c>
      <c r="AQ62" s="383"/>
      <c r="AR62" s="4121"/>
      <c r="AS62" s="402"/>
      <c r="AT62" s="402"/>
      <c r="AU62" s="402"/>
      <c r="AV62" s="402"/>
      <c r="AW62" s="402"/>
      <c r="AX62" s="403"/>
      <c r="AY62" s="4422"/>
      <c r="AZ62" s="3"/>
      <c r="BA62" s="3"/>
      <c r="BB62" s="4438">
        <f t="shared" si="448"/>
        <v>0</v>
      </c>
      <c r="BC62" s="4438">
        <f t="shared" si="448"/>
        <v>0</v>
      </c>
      <c r="BD62" s="4438">
        <f t="shared" si="449"/>
        <v>0</v>
      </c>
      <c r="BE62" s="4438">
        <f t="shared" si="450"/>
        <v>0</v>
      </c>
      <c r="BF62" s="4438">
        <f t="shared" si="451"/>
        <v>0</v>
      </c>
      <c r="BG62" s="4438">
        <f t="shared" si="452"/>
        <v>0</v>
      </c>
      <c r="BH62" s="3"/>
      <c r="BI62" s="3"/>
      <c r="BJ62" s="4438">
        <f t="shared" si="453"/>
        <v>0</v>
      </c>
      <c r="BK62" s="4438">
        <f t="shared" si="454"/>
        <v>0</v>
      </c>
      <c r="BL62" s="4438">
        <f t="shared" si="455"/>
        <v>0</v>
      </c>
      <c r="BM62" s="4438">
        <f t="shared" si="456"/>
        <v>0</v>
      </c>
      <c r="BN62" s="4438">
        <f t="shared" si="457"/>
        <v>0</v>
      </c>
      <c r="BO62" s="4438">
        <f t="shared" si="458"/>
        <v>0</v>
      </c>
      <c r="BP62" s="3"/>
      <c r="BQ62" s="3"/>
      <c r="BR62" s="4438">
        <f t="shared" si="459"/>
        <v>0</v>
      </c>
      <c r="BS62" s="4438">
        <f t="shared" si="460"/>
        <v>0</v>
      </c>
      <c r="BT62" s="4438">
        <f t="shared" si="461"/>
        <v>0</v>
      </c>
      <c r="BU62" s="4438">
        <f t="shared" si="462"/>
        <v>0</v>
      </c>
      <c r="BV62" s="4438">
        <f t="shared" si="463"/>
        <v>0</v>
      </c>
      <c r="BW62" s="4438">
        <f t="shared" si="464"/>
        <v>0</v>
      </c>
      <c r="BX62" s="3"/>
      <c r="BY62" s="3"/>
      <c r="BZ62" s="4438">
        <f t="shared" si="465"/>
        <v>0</v>
      </c>
      <c r="CA62" s="4438">
        <f t="shared" si="466"/>
        <v>0</v>
      </c>
      <c r="CB62" s="4438">
        <f t="shared" si="467"/>
        <v>0</v>
      </c>
      <c r="CC62" s="4438">
        <f t="shared" si="468"/>
        <v>0</v>
      </c>
      <c r="CD62" s="4438">
        <f t="shared" si="469"/>
        <v>0</v>
      </c>
      <c r="CE62" s="4438">
        <f t="shared" si="470"/>
        <v>0</v>
      </c>
      <c r="CF62" s="3"/>
      <c r="CG62" s="3"/>
      <c r="CH62" s="4438">
        <f t="shared" si="471"/>
        <v>0</v>
      </c>
      <c r="CI62" s="4438">
        <f t="shared" si="472"/>
        <v>0</v>
      </c>
      <c r="CJ62" s="4438">
        <f t="shared" si="473"/>
        <v>0</v>
      </c>
      <c r="CK62" s="4438">
        <f t="shared" si="474"/>
        <v>0</v>
      </c>
      <c r="CL62" s="4438">
        <f t="shared" si="475"/>
        <v>0</v>
      </c>
      <c r="CM62" s="4438">
        <f t="shared" si="476"/>
        <v>0</v>
      </c>
      <c r="CN62" s="3"/>
      <c r="CO62" s="3"/>
      <c r="CP62" s="4438">
        <f t="shared" si="477"/>
        <v>0</v>
      </c>
      <c r="CQ62" s="4438">
        <f t="shared" si="478"/>
        <v>0</v>
      </c>
      <c r="CR62" s="4438">
        <f t="shared" si="479"/>
        <v>0</v>
      </c>
      <c r="CS62" s="4438">
        <f t="shared" si="480"/>
        <v>0</v>
      </c>
      <c r="CT62" s="4438">
        <f t="shared" si="481"/>
        <v>0</v>
      </c>
      <c r="CU62" s="4438">
        <f t="shared" si="482"/>
        <v>0</v>
      </c>
    </row>
    <row r="63" spans="1:99" s="1" customFormat="1">
      <c r="A63" s="3826" t="s">
        <v>972</v>
      </c>
      <c r="B63" s="2442" t="s">
        <v>199</v>
      </c>
      <c r="C63" s="383"/>
      <c r="D63" s="4121"/>
      <c r="E63" s="4695">
        <f>+AS63</f>
        <v>0</v>
      </c>
      <c r="F63" s="4695">
        <f t="shared" ref="F63:J63" si="489">+AT63</f>
        <v>0</v>
      </c>
      <c r="G63" s="4695">
        <f t="shared" si="489"/>
        <v>0</v>
      </c>
      <c r="H63" s="4695">
        <f t="shared" si="489"/>
        <v>0</v>
      </c>
      <c r="I63" s="4695">
        <f t="shared" si="489"/>
        <v>0</v>
      </c>
      <c r="J63" s="4695">
        <f t="shared" si="489"/>
        <v>0</v>
      </c>
      <c r="K63" s="383"/>
      <c r="L63" s="4121"/>
      <c r="M63" s="4695">
        <f>+AS63</f>
        <v>0</v>
      </c>
      <c r="N63" s="4695">
        <f t="shared" ref="N63:R63" si="490">+AT63</f>
        <v>0</v>
      </c>
      <c r="O63" s="4695">
        <f t="shared" si="490"/>
        <v>0</v>
      </c>
      <c r="P63" s="4695">
        <f t="shared" si="490"/>
        <v>0</v>
      </c>
      <c r="Q63" s="4695">
        <f t="shared" si="490"/>
        <v>0</v>
      </c>
      <c r="R63" s="4695">
        <f t="shared" si="490"/>
        <v>0</v>
      </c>
      <c r="S63" s="383"/>
      <c r="T63" s="4121"/>
      <c r="U63" s="4695">
        <f>+AS63</f>
        <v>0</v>
      </c>
      <c r="V63" s="4695">
        <f t="shared" ref="V63:Z63" si="491">+AT63</f>
        <v>0</v>
      </c>
      <c r="W63" s="4695">
        <f t="shared" si="491"/>
        <v>0</v>
      </c>
      <c r="X63" s="4695">
        <f t="shared" si="491"/>
        <v>0</v>
      </c>
      <c r="Y63" s="4695">
        <f t="shared" si="491"/>
        <v>0</v>
      </c>
      <c r="Z63" s="4695">
        <f t="shared" si="491"/>
        <v>0</v>
      </c>
      <c r="AA63" s="383"/>
      <c r="AB63" s="4121"/>
      <c r="AC63" s="4695">
        <f>+AS63</f>
        <v>0</v>
      </c>
      <c r="AD63" s="4695">
        <f t="shared" ref="AD63:AH63" si="492">+AT63</f>
        <v>0</v>
      </c>
      <c r="AE63" s="4695">
        <f t="shared" si="492"/>
        <v>0</v>
      </c>
      <c r="AF63" s="4695">
        <f t="shared" si="492"/>
        <v>0</v>
      </c>
      <c r="AG63" s="4695">
        <f t="shared" si="492"/>
        <v>0</v>
      </c>
      <c r="AH63" s="4695">
        <f t="shared" si="492"/>
        <v>0</v>
      </c>
      <c r="AI63" s="383"/>
      <c r="AJ63" s="4121"/>
      <c r="AK63" s="4695">
        <f>+AS63</f>
        <v>0</v>
      </c>
      <c r="AL63" s="4695">
        <f t="shared" ref="AL63:AP63" si="493">+AT63</f>
        <v>0</v>
      </c>
      <c r="AM63" s="4695">
        <f t="shared" si="493"/>
        <v>0</v>
      </c>
      <c r="AN63" s="4695">
        <f t="shared" si="493"/>
        <v>0</v>
      </c>
      <c r="AO63" s="4695">
        <f t="shared" si="493"/>
        <v>0</v>
      </c>
      <c r="AP63" s="4695">
        <f t="shared" si="493"/>
        <v>0</v>
      </c>
      <c r="AQ63" s="383"/>
      <c r="AR63" s="4121"/>
      <c r="AS63" s="4695">
        <f t="shared" ref="AS63:AX63" si="494">IF(AND(AS59=0,AS60=0),0,AS62/((AS59+AS60+AS65)/2))</f>
        <v>0</v>
      </c>
      <c r="AT63" s="4695">
        <f t="shared" si="494"/>
        <v>0</v>
      </c>
      <c r="AU63" s="4695">
        <f t="shared" si="494"/>
        <v>0</v>
      </c>
      <c r="AV63" s="4695">
        <f t="shared" si="494"/>
        <v>0</v>
      </c>
      <c r="AW63" s="4695">
        <f t="shared" si="494"/>
        <v>0</v>
      </c>
      <c r="AX63" s="4700">
        <f t="shared" si="494"/>
        <v>0</v>
      </c>
      <c r="AY63" s="4422"/>
    </row>
    <row r="64" spans="1:99" s="1" customFormat="1">
      <c r="A64" s="3826" t="s">
        <v>973</v>
      </c>
      <c r="B64" s="2442" t="s">
        <v>200</v>
      </c>
      <c r="C64" s="383"/>
      <c r="D64" s="4121"/>
      <c r="E64" s="4696">
        <f t="shared" ref="E64:J64" si="495">E61+E62</f>
        <v>0</v>
      </c>
      <c r="F64" s="4696">
        <f t="shared" si="495"/>
        <v>0</v>
      </c>
      <c r="G64" s="4696">
        <f t="shared" si="495"/>
        <v>0</v>
      </c>
      <c r="H64" s="4696">
        <f t="shared" si="495"/>
        <v>0</v>
      </c>
      <c r="I64" s="4696">
        <f t="shared" si="495"/>
        <v>0</v>
      </c>
      <c r="J64" s="4697">
        <f t="shared" si="495"/>
        <v>0</v>
      </c>
      <c r="K64" s="383"/>
      <c r="L64" s="4121"/>
      <c r="M64" s="4696">
        <f t="shared" ref="M64:R64" si="496">M61+M62</f>
        <v>0</v>
      </c>
      <c r="N64" s="4696">
        <f t="shared" si="496"/>
        <v>0</v>
      </c>
      <c r="O64" s="4696">
        <f t="shared" si="496"/>
        <v>0</v>
      </c>
      <c r="P64" s="4696">
        <f t="shared" si="496"/>
        <v>0</v>
      </c>
      <c r="Q64" s="4696">
        <f t="shared" si="496"/>
        <v>0</v>
      </c>
      <c r="R64" s="4697">
        <f t="shared" si="496"/>
        <v>0</v>
      </c>
      <c r="S64" s="383"/>
      <c r="T64" s="4121"/>
      <c r="U64" s="4696">
        <f t="shared" ref="U64:Z64" si="497">U61+U62</f>
        <v>0</v>
      </c>
      <c r="V64" s="4696">
        <f t="shared" si="497"/>
        <v>0</v>
      </c>
      <c r="W64" s="4696">
        <f t="shared" si="497"/>
        <v>0</v>
      </c>
      <c r="X64" s="4696">
        <f t="shared" si="497"/>
        <v>0</v>
      </c>
      <c r="Y64" s="4696">
        <f t="shared" si="497"/>
        <v>0</v>
      </c>
      <c r="Z64" s="4697">
        <f t="shared" si="497"/>
        <v>0</v>
      </c>
      <c r="AA64" s="383"/>
      <c r="AB64" s="4121"/>
      <c r="AC64" s="4696">
        <f t="shared" ref="AC64:AH64" si="498">AC61+AC62</f>
        <v>0</v>
      </c>
      <c r="AD64" s="4696">
        <f t="shared" si="498"/>
        <v>0</v>
      </c>
      <c r="AE64" s="4696">
        <f t="shared" si="498"/>
        <v>0</v>
      </c>
      <c r="AF64" s="4696">
        <f t="shared" si="498"/>
        <v>0</v>
      </c>
      <c r="AG64" s="4696">
        <f t="shared" si="498"/>
        <v>0</v>
      </c>
      <c r="AH64" s="4697">
        <f t="shared" si="498"/>
        <v>0</v>
      </c>
      <c r="AI64" s="383"/>
      <c r="AJ64" s="4121"/>
      <c r="AK64" s="4696">
        <f t="shared" ref="AK64:AP64" si="499">AK61+AK62</f>
        <v>0</v>
      </c>
      <c r="AL64" s="4696">
        <f t="shared" si="499"/>
        <v>0</v>
      </c>
      <c r="AM64" s="4696">
        <f t="shared" si="499"/>
        <v>0</v>
      </c>
      <c r="AN64" s="4696">
        <f t="shared" si="499"/>
        <v>0</v>
      </c>
      <c r="AO64" s="4696">
        <f t="shared" si="499"/>
        <v>0</v>
      </c>
      <c r="AP64" s="4697">
        <f t="shared" si="499"/>
        <v>0</v>
      </c>
      <c r="AQ64" s="383"/>
      <c r="AR64" s="4121"/>
      <c r="AS64" s="4696">
        <f t="shared" ref="AS64:AX64" si="500">AS61+AS62</f>
        <v>0</v>
      </c>
      <c r="AT64" s="4696">
        <f t="shared" si="500"/>
        <v>0</v>
      </c>
      <c r="AU64" s="4696">
        <f t="shared" si="500"/>
        <v>0</v>
      </c>
      <c r="AV64" s="4696">
        <f t="shared" si="500"/>
        <v>0</v>
      </c>
      <c r="AW64" s="4696">
        <f t="shared" si="500"/>
        <v>0</v>
      </c>
      <c r="AX64" s="4697">
        <f t="shared" si="500"/>
        <v>0</v>
      </c>
      <c r="AY64" s="4422"/>
      <c r="AZ64" s="3"/>
      <c r="BA64" s="3"/>
      <c r="BB64" s="4438">
        <f t="shared" ref="BB64:BC65" si="501">IFERROR(E64/$C$1,0)</f>
        <v>0</v>
      </c>
      <c r="BC64" s="4438">
        <f t="shared" si="501"/>
        <v>0</v>
      </c>
      <c r="BD64" s="4438">
        <f t="shared" ref="BD64:BD65" si="502">IFERROR(G64/$C$1,0)</f>
        <v>0</v>
      </c>
      <c r="BE64" s="4438">
        <f t="shared" ref="BE64:BE65" si="503">IFERROR(H64/$C$1,0)</f>
        <v>0</v>
      </c>
      <c r="BF64" s="4438">
        <f t="shared" ref="BF64:BF65" si="504">IFERROR(I64/$C$1,0)</f>
        <v>0</v>
      </c>
      <c r="BG64" s="4438">
        <f t="shared" ref="BG64:BG65" si="505">IFERROR(J64/$C$1,0)</f>
        <v>0</v>
      </c>
      <c r="BH64" s="3"/>
      <c r="BI64" s="3"/>
      <c r="BJ64" s="4438">
        <f t="shared" ref="BJ64:BJ65" si="506">IFERROR(M64/$C$1,0)</f>
        <v>0</v>
      </c>
      <c r="BK64" s="4438">
        <f t="shared" ref="BK64:BK65" si="507">IFERROR(N64/$C$1,0)</f>
        <v>0</v>
      </c>
      <c r="BL64" s="4438">
        <f t="shared" ref="BL64:BL65" si="508">IFERROR(O64/$C$1,0)</f>
        <v>0</v>
      </c>
      <c r="BM64" s="4438">
        <f t="shared" ref="BM64:BM65" si="509">IFERROR(P64/$C$1,0)</f>
        <v>0</v>
      </c>
      <c r="BN64" s="4438">
        <f t="shared" ref="BN64:BN65" si="510">IFERROR(Q64/$C$1,0)</f>
        <v>0</v>
      </c>
      <c r="BO64" s="4438">
        <f t="shared" ref="BO64:BO65" si="511">IFERROR(R64/$C$1,0)</f>
        <v>0</v>
      </c>
      <c r="BP64" s="3"/>
      <c r="BQ64" s="3"/>
      <c r="BR64" s="4438">
        <f t="shared" ref="BR64:BR65" si="512">IFERROR(U64/$C$1,0)</f>
        <v>0</v>
      </c>
      <c r="BS64" s="4438">
        <f t="shared" ref="BS64:BS65" si="513">IFERROR(V64/$C$1,0)</f>
        <v>0</v>
      </c>
      <c r="BT64" s="4438">
        <f t="shared" ref="BT64:BT65" si="514">IFERROR(W64/$C$1,0)</f>
        <v>0</v>
      </c>
      <c r="BU64" s="4438">
        <f t="shared" ref="BU64:BU65" si="515">IFERROR(X64/$C$1,0)</f>
        <v>0</v>
      </c>
      <c r="BV64" s="4438">
        <f t="shared" ref="BV64:BV65" si="516">IFERROR(Y64/$C$1,0)</f>
        <v>0</v>
      </c>
      <c r="BW64" s="4438">
        <f t="shared" ref="BW64:BW65" si="517">IFERROR(Z64/$C$1,0)</f>
        <v>0</v>
      </c>
      <c r="BX64" s="3"/>
      <c r="BY64" s="3"/>
      <c r="BZ64" s="4438">
        <f t="shared" ref="BZ64:BZ65" si="518">IFERROR(AC64/$C$1,0)</f>
        <v>0</v>
      </c>
      <c r="CA64" s="4438">
        <f t="shared" ref="CA64:CA65" si="519">IFERROR(AD64/$C$1,0)</f>
        <v>0</v>
      </c>
      <c r="CB64" s="4438">
        <f t="shared" ref="CB64:CB65" si="520">IFERROR(AE64/$C$1,0)</f>
        <v>0</v>
      </c>
      <c r="CC64" s="4438">
        <f t="shared" ref="CC64:CC65" si="521">IFERROR(AF64/$C$1,0)</f>
        <v>0</v>
      </c>
      <c r="CD64" s="4438">
        <f t="shared" ref="CD64:CD65" si="522">IFERROR(AG64/$C$1,0)</f>
        <v>0</v>
      </c>
      <c r="CE64" s="4438">
        <f t="shared" ref="CE64:CE65" si="523">IFERROR(AH64/$C$1,0)</f>
        <v>0</v>
      </c>
      <c r="CF64" s="3"/>
      <c r="CG64" s="3"/>
      <c r="CH64" s="4438">
        <f t="shared" ref="CH64:CH65" si="524">IFERROR(AK64/$C$1,0)</f>
        <v>0</v>
      </c>
      <c r="CI64" s="4438">
        <f t="shared" ref="CI64:CI65" si="525">IFERROR(AL64/$C$1,0)</f>
        <v>0</v>
      </c>
      <c r="CJ64" s="4438">
        <f t="shared" ref="CJ64:CJ65" si="526">IFERROR(AM64/$C$1,0)</f>
        <v>0</v>
      </c>
      <c r="CK64" s="4438">
        <f t="shared" ref="CK64:CK65" si="527">IFERROR(AN64/$C$1,0)</f>
        <v>0</v>
      </c>
      <c r="CL64" s="4438">
        <f t="shared" ref="CL64:CL65" si="528">IFERROR(AO64/$C$1,0)</f>
        <v>0</v>
      </c>
      <c r="CM64" s="4438">
        <f t="shared" ref="CM64:CM65" si="529">IFERROR(AP64/$C$1,0)</f>
        <v>0</v>
      </c>
      <c r="CN64" s="3"/>
      <c r="CO64" s="3"/>
      <c r="CP64" s="4438">
        <f t="shared" ref="CP64:CP65" si="530">IFERROR(AS64/$C$1,0)</f>
        <v>0</v>
      </c>
      <c r="CQ64" s="4438">
        <f t="shared" ref="CQ64:CQ65" si="531">IFERROR(AT64/$C$1,0)</f>
        <v>0</v>
      </c>
      <c r="CR64" s="4438">
        <f t="shared" ref="CR64:CR65" si="532">IFERROR(AU64/$C$1,0)</f>
        <v>0</v>
      </c>
      <c r="CS64" s="4438">
        <f t="shared" ref="CS64:CS65" si="533">IFERROR(AV64/$C$1,0)</f>
        <v>0</v>
      </c>
      <c r="CT64" s="4438">
        <f t="shared" ref="CT64:CT65" si="534">IFERROR(AW64/$C$1,0)</f>
        <v>0</v>
      </c>
      <c r="CU64" s="4438">
        <f t="shared" ref="CU64:CU65" si="535">IFERROR(AX64/$C$1,0)</f>
        <v>0</v>
      </c>
    </row>
    <row r="65" spans="1:99" s="1" customFormat="1">
      <c r="A65" s="3830" t="s">
        <v>974</v>
      </c>
      <c r="B65" s="3829" t="s">
        <v>201</v>
      </c>
      <c r="C65" s="383"/>
      <c r="D65" s="4121"/>
      <c r="E65" s="4698">
        <f t="shared" ref="E65:J65" si="536">E59+E60-E61</f>
        <v>0</v>
      </c>
      <c r="F65" s="4698">
        <f t="shared" si="536"/>
        <v>990</v>
      </c>
      <c r="G65" s="4698">
        <f t="shared" si="536"/>
        <v>1526</v>
      </c>
      <c r="H65" s="4698">
        <f t="shared" si="536"/>
        <v>2062</v>
      </c>
      <c r="I65" s="4698">
        <f t="shared" si="536"/>
        <v>2598</v>
      </c>
      <c r="J65" s="4699">
        <f t="shared" si="536"/>
        <v>3134</v>
      </c>
      <c r="K65" s="383"/>
      <c r="L65" s="4121"/>
      <c r="M65" s="4698">
        <f t="shared" ref="M65:R65" si="537">M59+M60-M61</f>
        <v>0</v>
      </c>
      <c r="N65" s="4698">
        <f t="shared" si="537"/>
        <v>0</v>
      </c>
      <c r="O65" s="4698">
        <f t="shared" si="537"/>
        <v>0</v>
      </c>
      <c r="P65" s="4698">
        <f t="shared" si="537"/>
        <v>0</v>
      </c>
      <c r="Q65" s="4698">
        <f t="shared" si="537"/>
        <v>0</v>
      </c>
      <c r="R65" s="4699">
        <f t="shared" si="537"/>
        <v>0</v>
      </c>
      <c r="S65" s="383"/>
      <c r="T65" s="4121"/>
      <c r="U65" s="4698">
        <f t="shared" ref="U65:Z65" si="538">U59+U60-U61</f>
        <v>0</v>
      </c>
      <c r="V65" s="4698">
        <f t="shared" si="538"/>
        <v>0</v>
      </c>
      <c r="W65" s="4698">
        <f t="shared" si="538"/>
        <v>0</v>
      </c>
      <c r="X65" s="4698">
        <f t="shared" si="538"/>
        <v>0</v>
      </c>
      <c r="Y65" s="4698">
        <f t="shared" si="538"/>
        <v>0</v>
      </c>
      <c r="Z65" s="4699">
        <f t="shared" si="538"/>
        <v>0</v>
      </c>
      <c r="AA65" s="383"/>
      <c r="AB65" s="4121"/>
      <c r="AC65" s="4698">
        <f>AC59+AC60-AC61</f>
        <v>0</v>
      </c>
      <c r="AD65" s="4698">
        <f t="shared" ref="AD65:AH65" si="539">AD59+AD60-AD61</f>
        <v>0</v>
      </c>
      <c r="AE65" s="4698">
        <f t="shared" si="539"/>
        <v>0</v>
      </c>
      <c r="AF65" s="4698">
        <f t="shared" si="539"/>
        <v>0</v>
      </c>
      <c r="AG65" s="4698">
        <f t="shared" si="539"/>
        <v>0</v>
      </c>
      <c r="AH65" s="4699">
        <f t="shared" si="539"/>
        <v>0</v>
      </c>
      <c r="AI65" s="383"/>
      <c r="AJ65" s="4121"/>
      <c r="AK65" s="4698">
        <f t="shared" ref="AK65:AP65" si="540">AK59+AK60-AK61</f>
        <v>0</v>
      </c>
      <c r="AL65" s="4698">
        <f t="shared" si="540"/>
        <v>0</v>
      </c>
      <c r="AM65" s="4698">
        <f t="shared" si="540"/>
        <v>0</v>
      </c>
      <c r="AN65" s="4698">
        <f t="shared" si="540"/>
        <v>0</v>
      </c>
      <c r="AO65" s="4698">
        <f t="shared" si="540"/>
        <v>0</v>
      </c>
      <c r="AP65" s="4699">
        <f t="shared" si="540"/>
        <v>0</v>
      </c>
      <c r="AQ65" s="383"/>
      <c r="AR65" s="4121"/>
      <c r="AS65" s="4698">
        <f t="shared" ref="AS65:AX65" si="541">AS59+AS60-AS61</f>
        <v>0</v>
      </c>
      <c r="AT65" s="4698">
        <f t="shared" si="541"/>
        <v>990</v>
      </c>
      <c r="AU65" s="4698">
        <f t="shared" si="541"/>
        <v>1526</v>
      </c>
      <c r="AV65" s="4698">
        <f t="shared" si="541"/>
        <v>2062</v>
      </c>
      <c r="AW65" s="4698">
        <f t="shared" si="541"/>
        <v>2598</v>
      </c>
      <c r="AX65" s="4699">
        <f t="shared" si="541"/>
        <v>3134</v>
      </c>
      <c r="AY65" s="4422"/>
      <c r="AZ65" s="3"/>
      <c r="BA65" s="3"/>
      <c r="BB65" s="4438">
        <f t="shared" si="501"/>
        <v>0</v>
      </c>
      <c r="BC65" s="4438">
        <f t="shared" si="501"/>
        <v>506.17896238425629</v>
      </c>
      <c r="BD65" s="4438">
        <f t="shared" si="502"/>
        <v>780.23141070542943</v>
      </c>
      <c r="BE65" s="4438">
        <f t="shared" si="503"/>
        <v>1054.2838590266026</v>
      </c>
      <c r="BF65" s="4438">
        <f t="shared" si="504"/>
        <v>1328.3363073477756</v>
      </c>
      <c r="BG65" s="4438">
        <f t="shared" si="505"/>
        <v>1602.3887556689488</v>
      </c>
      <c r="BH65" s="3"/>
      <c r="BI65" s="3"/>
      <c r="BJ65" s="4438">
        <f t="shared" si="506"/>
        <v>0</v>
      </c>
      <c r="BK65" s="4438">
        <f t="shared" si="507"/>
        <v>0</v>
      </c>
      <c r="BL65" s="4438">
        <f t="shared" si="508"/>
        <v>0</v>
      </c>
      <c r="BM65" s="4438">
        <f t="shared" si="509"/>
        <v>0</v>
      </c>
      <c r="BN65" s="4438">
        <f t="shared" si="510"/>
        <v>0</v>
      </c>
      <c r="BO65" s="4438">
        <f t="shared" si="511"/>
        <v>0</v>
      </c>
      <c r="BP65" s="3"/>
      <c r="BQ65" s="3"/>
      <c r="BR65" s="4438">
        <f t="shared" si="512"/>
        <v>0</v>
      </c>
      <c r="BS65" s="4438">
        <f t="shared" si="513"/>
        <v>0</v>
      </c>
      <c r="BT65" s="4438">
        <f t="shared" si="514"/>
        <v>0</v>
      </c>
      <c r="BU65" s="4438">
        <f t="shared" si="515"/>
        <v>0</v>
      </c>
      <c r="BV65" s="4438">
        <f t="shared" si="516"/>
        <v>0</v>
      </c>
      <c r="BW65" s="4438">
        <f t="shared" si="517"/>
        <v>0</v>
      </c>
      <c r="BX65" s="3"/>
      <c r="BY65" s="3"/>
      <c r="BZ65" s="4438">
        <f t="shared" si="518"/>
        <v>0</v>
      </c>
      <c r="CA65" s="4438">
        <f t="shared" si="519"/>
        <v>0</v>
      </c>
      <c r="CB65" s="4438">
        <f t="shared" si="520"/>
        <v>0</v>
      </c>
      <c r="CC65" s="4438">
        <f t="shared" si="521"/>
        <v>0</v>
      </c>
      <c r="CD65" s="4438">
        <f t="shared" si="522"/>
        <v>0</v>
      </c>
      <c r="CE65" s="4438">
        <f t="shared" si="523"/>
        <v>0</v>
      </c>
      <c r="CF65" s="3"/>
      <c r="CG65" s="3"/>
      <c r="CH65" s="4438">
        <f t="shared" si="524"/>
        <v>0</v>
      </c>
      <c r="CI65" s="4438">
        <f t="shared" si="525"/>
        <v>0</v>
      </c>
      <c r="CJ65" s="4438">
        <f t="shared" si="526"/>
        <v>0</v>
      </c>
      <c r="CK65" s="4438">
        <f t="shared" si="527"/>
        <v>0</v>
      </c>
      <c r="CL65" s="4438">
        <f t="shared" si="528"/>
        <v>0</v>
      </c>
      <c r="CM65" s="4438">
        <f t="shared" si="529"/>
        <v>0</v>
      </c>
      <c r="CN65" s="3"/>
      <c r="CO65" s="3"/>
      <c r="CP65" s="4438">
        <f t="shared" si="530"/>
        <v>0</v>
      </c>
      <c r="CQ65" s="4438">
        <f t="shared" si="531"/>
        <v>506.17896238425629</v>
      </c>
      <c r="CR65" s="4438">
        <f t="shared" si="532"/>
        <v>780.23141070542943</v>
      </c>
      <c r="CS65" s="4438">
        <f t="shared" si="533"/>
        <v>1054.2838590266026</v>
      </c>
      <c r="CT65" s="4438">
        <f t="shared" si="534"/>
        <v>1328.3363073477756</v>
      </c>
      <c r="CU65" s="4438">
        <f t="shared" si="535"/>
        <v>1602.3887556689488</v>
      </c>
    </row>
    <row r="66" spans="1:99" s="1" customFormat="1">
      <c r="A66" s="3826" t="s">
        <v>1385</v>
      </c>
      <c r="B66" s="2442" t="s">
        <v>1382</v>
      </c>
      <c r="C66" s="383"/>
      <c r="D66" s="4121"/>
      <c r="E66" s="2468">
        <f>IFERROR('9.Инвестиционна програма'!Y147/E60,0)</f>
        <v>0</v>
      </c>
      <c r="F66" s="2468">
        <f>IFERROR(SUM('9.Инвестиционна програма'!$Y147:Z147)/SUM($E60:F60),0)</f>
        <v>1</v>
      </c>
      <c r="G66" s="2468">
        <f>IFERROR(SUM('9.Инвестиционна програма'!$Y147:AA147)/SUM($E60:G60),0)</f>
        <v>1</v>
      </c>
      <c r="H66" s="2468">
        <f>IFERROR(SUM('9.Инвестиционна програма'!$Y147:AB147)/SUM($E60:H60),0)</f>
        <v>1</v>
      </c>
      <c r="I66" s="2468">
        <f>IFERROR(SUM('9.Инвестиционна програма'!$Y147:AC147)/SUM($E60:I60),0)</f>
        <v>1</v>
      </c>
      <c r="J66" s="2469">
        <f>IFERROR(SUM('9.Инвестиционна програма'!$Y147:AD147)/SUM($E60:J60),0)</f>
        <v>1</v>
      </c>
      <c r="K66" s="1366"/>
      <c r="L66" s="4127"/>
      <c r="M66" s="2468">
        <f>IFERROR('9.Инвестиционна програма'!Y148/M60,0)</f>
        <v>0</v>
      </c>
      <c r="N66" s="2468">
        <f>IFERROR(SUM('9.Инвестиционна програма'!$Y148:Z148)/SUM($M60:N60),0)</f>
        <v>0</v>
      </c>
      <c r="O66" s="2468">
        <f>IFERROR(SUM('9.Инвестиционна програма'!$Y148:AA148)/SUM($M60:O60),0)</f>
        <v>0</v>
      </c>
      <c r="P66" s="2468">
        <f>IFERROR(SUM('9.Инвестиционна програма'!$Y148:AB148)/SUM($M60:P60),0)</f>
        <v>0</v>
      </c>
      <c r="Q66" s="2468">
        <f>IFERROR(SUM('9.Инвестиционна програма'!$Y148:AC148)/SUM($M60:Q60),0)</f>
        <v>0</v>
      </c>
      <c r="R66" s="2469">
        <f>IFERROR(SUM('9.Инвестиционна програма'!$Y148:AD148)/SUM($M60:R60),0)</f>
        <v>0</v>
      </c>
      <c r="S66" s="1366"/>
      <c r="T66" s="4127"/>
      <c r="U66" s="2468">
        <f>IFERROR('9.Инвестиционна програма'!Y149/U60,0)</f>
        <v>0</v>
      </c>
      <c r="V66" s="2468">
        <f>IFERROR(SUM('9.Инвестиционна програма'!$Y149:Z149)/SUM($U60:V60),0)</f>
        <v>0</v>
      </c>
      <c r="W66" s="2468">
        <f>IFERROR(SUM('9.Инвестиционна програма'!$Y149:AA149)/SUM($U60:W60),0)</f>
        <v>0</v>
      </c>
      <c r="X66" s="2468">
        <f>IFERROR(SUM('9.Инвестиционна програма'!$Y149:AB149)/SUM($U60:X60),0)</f>
        <v>0</v>
      </c>
      <c r="Y66" s="2468">
        <f>IFERROR(SUM('9.Инвестиционна програма'!$Y149:AC149)/SUM($U60:Y60),0)</f>
        <v>0</v>
      </c>
      <c r="Z66" s="2469">
        <f>IFERROR(SUM('9.Инвестиционна програма'!$Y149:AD149)/SUM($U60:Z60),0)</f>
        <v>0</v>
      </c>
      <c r="AA66" s="1366"/>
      <c r="AB66" s="4127"/>
      <c r="AC66" s="2468">
        <f>IFERROR('9.Инвестиционна програма'!Y150/AC60,0)</f>
        <v>0</v>
      </c>
      <c r="AD66" s="2468">
        <f>IFERROR(SUM('9.Инвестиционна програма'!$Y150:Z150)/SUM($AC60:AD60),0)</f>
        <v>0</v>
      </c>
      <c r="AE66" s="2468">
        <f>IFERROR(SUM('9.Инвестиционна програма'!$Y150:AA150)/SUM($AC60:AE60),0)</f>
        <v>0</v>
      </c>
      <c r="AF66" s="2468">
        <f>IFERROR(SUM('9.Инвестиционна програма'!$Y150:AB150)/SUM($AC60:AF60),0)</f>
        <v>0</v>
      </c>
      <c r="AG66" s="2468">
        <f>IFERROR(SUM('9.Инвестиционна програма'!$Y150:AC150)/SUM($AC60:AG60),0)</f>
        <v>0</v>
      </c>
      <c r="AH66" s="2469">
        <f>IFERROR(SUM('9.Инвестиционна програма'!$Y150:AD150)/SUM($AC60:AH60),0)</f>
        <v>0</v>
      </c>
      <c r="AI66" s="1366"/>
      <c r="AJ66" s="4127"/>
      <c r="AK66" s="2468">
        <f>IFERROR('9.Инвестиционна програма'!Y151/AK60,0)</f>
        <v>0</v>
      </c>
      <c r="AL66" s="2468">
        <f>IFERROR(SUM('9.Инвестиционна програма'!$Y151:Z151)/SUM($AK60:AL60),0)</f>
        <v>0</v>
      </c>
      <c r="AM66" s="2468">
        <f>IFERROR(SUM('9.Инвестиционна програма'!$Y151:AA151)/SUM($AK60:AM60),0)</f>
        <v>0</v>
      </c>
      <c r="AN66" s="2468">
        <f>IFERROR(SUM('9.Инвестиционна програма'!$Y151:AB151)/SUM($AK60:AN60),0)</f>
        <v>0</v>
      </c>
      <c r="AO66" s="2468">
        <f>IFERROR(SUM('9.Инвестиционна програма'!$Y151:AC151)/SUM($AK60:AO60),0)</f>
        <v>0</v>
      </c>
      <c r="AP66" s="2469">
        <f>IFERROR(SUM('9.Инвестиционна програма'!$Y151:AD151)/SUM($AK60:AP60),0)</f>
        <v>0</v>
      </c>
      <c r="AQ66" s="1366"/>
      <c r="AR66" s="4127"/>
      <c r="AS66" s="2468">
        <f>IFERROR((SUM(E60*E66,M60*M66,U60*U66,AC60*AC66,AK60*AK66)/AS60),0)</f>
        <v>0</v>
      </c>
      <c r="AT66" s="2468">
        <f>IFERROR(((SUM($E60:F60)*F66+SUM($M60:N60)*N66+SUM($U60:V60)*V66+SUM($AC60:AD60)*AD66+SUM($AK60:AL60)*AL66)/SUM($AS60:AT60)),0)</f>
        <v>1</v>
      </c>
      <c r="AU66" s="2468">
        <f>IFERROR(((SUM($E60:G60)*G66+SUM($M60:O60)*O66+SUM($U60:W60)*W66+SUM($AC60:AE60)*AE66+SUM($AK60:AM60)*AM66)/SUM($AS60:AU60)),0)</f>
        <v>1</v>
      </c>
      <c r="AV66" s="2468">
        <f>IFERROR(((SUM($E60:H60)*H66+SUM($M60:P60)*P66+SUM($U60:X60)*X66+SUM($AC60:AF60)*AF66+SUM($AK60:AN60)*AN66)/SUM($AS60:AV60)),0)</f>
        <v>1</v>
      </c>
      <c r="AW66" s="2468">
        <f>IFERROR(((SUM($E60:I60)*I66+SUM($M60:Q60)*Q66+SUM($U60:Y60)*Y66+SUM($AC60:AG60)*AG66+SUM($AK60:AO60)*AO66)/SUM($AS60:AW60)),0)</f>
        <v>1</v>
      </c>
      <c r="AX66" s="2469">
        <f>IFERROR(((SUM($E60:J60)*J66+SUM($M60:R60)*R66+SUM($U60:Z60)*Z66+SUM($AC60:AH60)*AH66+SUM($AK60:AP60)*AP66)/SUM($AS60:AX60)),0)</f>
        <v>1</v>
      </c>
      <c r="AY66" s="4422"/>
    </row>
    <row r="67" spans="1:99" s="1" customFormat="1" ht="13.5" thickBot="1">
      <c r="A67" s="3828" t="s">
        <v>1386</v>
      </c>
      <c r="B67" s="2461" t="s">
        <v>1384</v>
      </c>
      <c r="C67" s="383"/>
      <c r="D67" s="4121"/>
      <c r="E67" s="2470">
        <f>IF(E60&gt;0,1-E66,0)</f>
        <v>0</v>
      </c>
      <c r="F67" s="2470">
        <f>IF(SUM($E60:F60)&gt;0,1-F66,0)</f>
        <v>0</v>
      </c>
      <c r="G67" s="2470">
        <f>IF(SUM($E60:G60)&gt;0,1-G66,0)</f>
        <v>0</v>
      </c>
      <c r="H67" s="2470">
        <f>IF(SUM($E60:H60)&gt;0,1-H66,0)</f>
        <v>0</v>
      </c>
      <c r="I67" s="2470">
        <f>IF(SUM($E60:I60)&gt;0,1-I66,0)</f>
        <v>0</v>
      </c>
      <c r="J67" s="2471">
        <f>IF(SUM($E60:J60)&gt;0,1-J66,0)</f>
        <v>0</v>
      </c>
      <c r="K67" s="1366"/>
      <c r="L67" s="4127"/>
      <c r="M67" s="2470">
        <f>IF(M60&gt;0,1-M66,0)</f>
        <v>0</v>
      </c>
      <c r="N67" s="2470">
        <f>IF(SUM($M60:N60)&gt;0,1-N66,0)</f>
        <v>0</v>
      </c>
      <c r="O67" s="2470">
        <f>IF(SUM($M60:O60)&gt;0,1-O66,0)</f>
        <v>0</v>
      </c>
      <c r="P67" s="2470">
        <f>IF(SUM($M60:P60)&gt;0,1-P66,0)</f>
        <v>0</v>
      </c>
      <c r="Q67" s="2470">
        <f>IF(SUM($M60:Q60)&gt;0,1-Q66,0)</f>
        <v>0</v>
      </c>
      <c r="R67" s="2471">
        <f>IF(SUM($M60:R60)&gt;0,1-R66,0)</f>
        <v>0</v>
      </c>
      <c r="S67" s="1366"/>
      <c r="T67" s="4127"/>
      <c r="U67" s="2470">
        <f>IF(U60&gt;0,1-U66,0)</f>
        <v>0</v>
      </c>
      <c r="V67" s="2470">
        <f>IF(SUM($U60:V60)&gt;0,1-V66,0)</f>
        <v>0</v>
      </c>
      <c r="W67" s="2470">
        <f>IF(SUM($U60:W60)&gt;0,1-W66,0)</f>
        <v>0</v>
      </c>
      <c r="X67" s="2470">
        <f>IF(SUM($U60:X60)&gt;0,1-X66,0)</f>
        <v>0</v>
      </c>
      <c r="Y67" s="2470">
        <f>IF(SUM($U60:Y60)&gt;0,1-Y66,0)</f>
        <v>0</v>
      </c>
      <c r="Z67" s="2471">
        <f>IF(SUM($U60:Z60)&gt;0,1-Z66,0)</f>
        <v>0</v>
      </c>
      <c r="AA67" s="1366"/>
      <c r="AB67" s="4127"/>
      <c r="AC67" s="2470">
        <f>IF(AC60&gt;0,1-AC66,0)</f>
        <v>0</v>
      </c>
      <c r="AD67" s="2470">
        <f>IF(SUM($AC60:AD60)&gt;0,1-AD66,0)</f>
        <v>0</v>
      </c>
      <c r="AE67" s="2470">
        <f>IF(SUM($AC60:AE60)&gt;0,1-AE66,0)</f>
        <v>0</v>
      </c>
      <c r="AF67" s="2470">
        <f>IF(SUM($AC60:AF60)&gt;0,1-AF66,0)</f>
        <v>0</v>
      </c>
      <c r="AG67" s="2470">
        <f>IF(SUM($AC60:AG60)&gt;0,1-AG66,0)</f>
        <v>0</v>
      </c>
      <c r="AH67" s="2471">
        <f>IF(SUM($AC60:AH60)&gt;0,1-AH66,0)</f>
        <v>0</v>
      </c>
      <c r="AI67" s="1366"/>
      <c r="AJ67" s="4127"/>
      <c r="AK67" s="2470">
        <f>IF(AK60&gt;0,1-AK66,0)</f>
        <v>0</v>
      </c>
      <c r="AL67" s="2470">
        <f>IF(SUM($AK60:AL60)&gt;0,1-AL66,0)</f>
        <v>0</v>
      </c>
      <c r="AM67" s="2470">
        <f>IF(SUM($AK60:AM60)&gt;0,1-AM66,0)</f>
        <v>0</v>
      </c>
      <c r="AN67" s="2470">
        <f>IF(SUM($AK60:AN60)&gt;0,1-AN66,0)</f>
        <v>0</v>
      </c>
      <c r="AO67" s="2470">
        <f>IF(SUM($AK60:AO60)&gt;0,1-AO66,0)</f>
        <v>0</v>
      </c>
      <c r="AP67" s="2471">
        <f>IF(SUM($AK60:AP60)&gt;0,1-AP66,0)</f>
        <v>0</v>
      </c>
      <c r="AQ67" s="3952"/>
      <c r="AR67" s="4129"/>
      <c r="AS67" s="2470">
        <f>IF(AS60&gt;0,1-AS66,0)</f>
        <v>0</v>
      </c>
      <c r="AT67" s="2470">
        <f>IF(SUM($AS60:AT60)&gt;0,1-AT66,0)</f>
        <v>0</v>
      </c>
      <c r="AU67" s="2470">
        <f>IF(SUM($AS60:AU60)&gt;0,1-AU66,0)</f>
        <v>0</v>
      </c>
      <c r="AV67" s="2470">
        <f>IF(SUM($AS60:AV60)&gt;0,1-AV66,0)</f>
        <v>0</v>
      </c>
      <c r="AW67" s="2470">
        <f>IF(SUM($AS60:AW60)&gt;0,1-AW66,0)</f>
        <v>0</v>
      </c>
      <c r="AX67" s="2471">
        <f>IF(SUM($AS60:AX60)&gt;0,1-AX66,0)</f>
        <v>0</v>
      </c>
      <c r="AY67" s="4422"/>
    </row>
    <row r="68" spans="1:99" s="1" customFormat="1" ht="13.5" customHeight="1" thickBot="1">
      <c r="A68" s="5131" t="s">
        <v>1857</v>
      </c>
      <c r="B68" s="5138" t="s">
        <v>1858</v>
      </c>
      <c r="C68" s="5125" t="s">
        <v>210</v>
      </c>
      <c r="D68" s="5126"/>
      <c r="E68" s="5126"/>
      <c r="F68" s="5126"/>
      <c r="G68" s="5126"/>
      <c r="H68" s="5126"/>
      <c r="I68" s="5126"/>
      <c r="J68" s="5127"/>
      <c r="K68" s="5125" t="s">
        <v>174</v>
      </c>
      <c r="L68" s="5126"/>
      <c r="M68" s="5126"/>
      <c r="N68" s="5126"/>
      <c r="O68" s="5126"/>
      <c r="P68" s="5126"/>
      <c r="Q68" s="5126"/>
      <c r="R68" s="5127"/>
      <c r="S68" s="5128" t="s">
        <v>184</v>
      </c>
      <c r="T68" s="5129"/>
      <c r="U68" s="5129"/>
      <c r="V68" s="5129"/>
      <c r="W68" s="5129"/>
      <c r="X68" s="5129"/>
      <c r="Y68" s="5129"/>
      <c r="Z68" s="5130"/>
      <c r="AA68" s="5139" t="s">
        <v>1029</v>
      </c>
      <c r="AB68" s="5140"/>
      <c r="AC68" s="5140"/>
      <c r="AD68" s="5140"/>
      <c r="AE68" s="5140"/>
      <c r="AF68" s="5140"/>
      <c r="AG68" s="5140"/>
      <c r="AH68" s="5141"/>
      <c r="AI68" s="5139" t="s">
        <v>1092</v>
      </c>
      <c r="AJ68" s="5140"/>
      <c r="AK68" s="5140"/>
      <c r="AL68" s="5140"/>
      <c r="AM68" s="5140"/>
      <c r="AN68" s="5140"/>
      <c r="AO68" s="5140"/>
      <c r="AP68" s="5141"/>
      <c r="AQ68" s="5139" t="s">
        <v>1250</v>
      </c>
      <c r="AR68" s="5140"/>
      <c r="AS68" s="5140"/>
      <c r="AT68" s="5140"/>
      <c r="AU68" s="5140"/>
      <c r="AV68" s="5140"/>
      <c r="AW68" s="5140"/>
      <c r="AX68" s="5141"/>
      <c r="AY68" s="4422"/>
    </row>
    <row r="69" spans="1:99" s="1" customFormat="1" ht="13.5" thickBot="1">
      <c r="A69" s="5132"/>
      <c r="B69" s="5134"/>
      <c r="C69" s="2465" t="str">
        <f>C36</f>
        <v>2024 г.</v>
      </c>
      <c r="D69" s="4119" t="str">
        <f>D36</f>
        <v>2025 г.</v>
      </c>
      <c r="E69" s="2466" t="str">
        <f t="shared" ref="E69:AX69" si="542">E36</f>
        <v>2026 г.</v>
      </c>
      <c r="F69" s="2466" t="str">
        <f t="shared" si="542"/>
        <v>2027 г.</v>
      </c>
      <c r="G69" s="2466" t="str">
        <f t="shared" si="542"/>
        <v>2028 г.</v>
      </c>
      <c r="H69" s="2466" t="str">
        <f t="shared" si="542"/>
        <v>2029 г.</v>
      </c>
      <c r="I69" s="2466" t="str">
        <f t="shared" si="542"/>
        <v>2030 г.</v>
      </c>
      <c r="J69" s="2467" t="str">
        <f t="shared" si="542"/>
        <v>2031 г.</v>
      </c>
      <c r="K69" s="2465" t="str">
        <f>K36</f>
        <v>2024 г.</v>
      </c>
      <c r="L69" s="4119" t="str">
        <f>L36</f>
        <v>2025 г.</v>
      </c>
      <c r="M69" s="2466" t="str">
        <f t="shared" si="542"/>
        <v>2026 г.</v>
      </c>
      <c r="N69" s="2466" t="str">
        <f t="shared" si="542"/>
        <v>2027 г.</v>
      </c>
      <c r="O69" s="2466" t="str">
        <f t="shared" si="542"/>
        <v>2028 г.</v>
      </c>
      <c r="P69" s="2466" t="str">
        <f t="shared" si="542"/>
        <v>2029 г.</v>
      </c>
      <c r="Q69" s="2466" t="str">
        <f t="shared" si="542"/>
        <v>2030 г.</v>
      </c>
      <c r="R69" s="2467" t="str">
        <f t="shared" si="542"/>
        <v>2031 г.</v>
      </c>
      <c r="S69" s="2465" t="str">
        <f>S36</f>
        <v>2024 г.</v>
      </c>
      <c r="T69" s="4119" t="str">
        <f>T36</f>
        <v>2025 г.</v>
      </c>
      <c r="U69" s="2466" t="str">
        <f t="shared" si="542"/>
        <v>2026 г.</v>
      </c>
      <c r="V69" s="2466" t="str">
        <f t="shared" si="542"/>
        <v>2027 г.</v>
      </c>
      <c r="W69" s="2466" t="str">
        <f t="shared" si="542"/>
        <v>2028 г.</v>
      </c>
      <c r="X69" s="2466" t="str">
        <f t="shared" si="542"/>
        <v>2029 г.</v>
      </c>
      <c r="Y69" s="2466" t="str">
        <f t="shared" si="542"/>
        <v>2030 г.</v>
      </c>
      <c r="Z69" s="2467" t="str">
        <f t="shared" si="542"/>
        <v>2031 г.</v>
      </c>
      <c r="AA69" s="2465" t="str">
        <f>AA36</f>
        <v>2024 г.</v>
      </c>
      <c r="AB69" s="4119" t="str">
        <f>AB36</f>
        <v>2025 г.</v>
      </c>
      <c r="AC69" s="2466" t="str">
        <f t="shared" si="542"/>
        <v>2026 г.</v>
      </c>
      <c r="AD69" s="2466" t="str">
        <f t="shared" si="542"/>
        <v>2027 г.</v>
      </c>
      <c r="AE69" s="2466" t="str">
        <f t="shared" si="542"/>
        <v>2028 г.</v>
      </c>
      <c r="AF69" s="2466" t="str">
        <f t="shared" si="542"/>
        <v>2029 г.</v>
      </c>
      <c r="AG69" s="2466" t="str">
        <f t="shared" si="542"/>
        <v>2030 г.</v>
      </c>
      <c r="AH69" s="2467" t="str">
        <f t="shared" si="542"/>
        <v>2031 г.</v>
      </c>
      <c r="AI69" s="2436" t="str">
        <f>AI36</f>
        <v>2024 г.</v>
      </c>
      <c r="AJ69" s="2439" t="str">
        <f>AJ36</f>
        <v>2025 г.</v>
      </c>
      <c r="AK69" s="2437" t="str">
        <f t="shared" si="542"/>
        <v>2026 г.</v>
      </c>
      <c r="AL69" s="2437" t="str">
        <f t="shared" si="542"/>
        <v>2027 г.</v>
      </c>
      <c r="AM69" s="2437" t="str">
        <f t="shared" si="542"/>
        <v>2028 г.</v>
      </c>
      <c r="AN69" s="2437" t="str">
        <f t="shared" si="542"/>
        <v>2029 г.</v>
      </c>
      <c r="AO69" s="2437" t="str">
        <f t="shared" si="542"/>
        <v>2030 г.</v>
      </c>
      <c r="AP69" s="2438" t="str">
        <f t="shared" si="542"/>
        <v>2031 г.</v>
      </c>
      <c r="AQ69" s="2436" t="str">
        <f>AQ36</f>
        <v>2024 г.</v>
      </c>
      <c r="AR69" s="2439" t="str">
        <f>AR36</f>
        <v>2025 г.</v>
      </c>
      <c r="AS69" s="2437" t="str">
        <f t="shared" si="542"/>
        <v>2026 г.</v>
      </c>
      <c r="AT69" s="2437" t="str">
        <f t="shared" si="542"/>
        <v>2027 г.</v>
      </c>
      <c r="AU69" s="2437" t="str">
        <f t="shared" si="542"/>
        <v>2028 г.</v>
      </c>
      <c r="AV69" s="2437" t="str">
        <f t="shared" si="542"/>
        <v>2029 г.</v>
      </c>
      <c r="AW69" s="2437" t="str">
        <f t="shared" si="542"/>
        <v>2030 г.</v>
      </c>
      <c r="AX69" s="2438" t="str">
        <f t="shared" si="542"/>
        <v>2031 г.</v>
      </c>
      <c r="AY69" s="4422"/>
    </row>
    <row r="70" spans="1:99" s="1" customFormat="1">
      <c r="A70" s="3826" t="s">
        <v>975</v>
      </c>
      <c r="B70" s="2440" t="s">
        <v>195</v>
      </c>
      <c r="C70" s="384"/>
      <c r="D70" s="4120"/>
      <c r="E70" s="4692">
        <f t="shared" ref="E70:J70" si="543">D76</f>
        <v>0</v>
      </c>
      <c r="F70" s="4693">
        <f t="shared" si="543"/>
        <v>0</v>
      </c>
      <c r="G70" s="4693">
        <f t="shared" si="543"/>
        <v>3890.1458700000003</v>
      </c>
      <c r="H70" s="4693">
        <f t="shared" si="543"/>
        <v>11670.437610000001</v>
      </c>
      <c r="I70" s="4693">
        <f t="shared" si="543"/>
        <v>19256.729350000001</v>
      </c>
      <c r="J70" s="4694">
        <f t="shared" si="543"/>
        <v>18559.08672196625</v>
      </c>
      <c r="K70" s="384"/>
      <c r="L70" s="4120"/>
      <c r="M70" s="4692">
        <f t="shared" ref="M70:R70" si="544">L76</f>
        <v>0</v>
      </c>
      <c r="N70" s="4693">
        <f t="shared" si="544"/>
        <v>0</v>
      </c>
      <c r="O70" s="4693">
        <f t="shared" si="544"/>
        <v>962.26836000000003</v>
      </c>
      <c r="P70" s="4693">
        <f t="shared" si="544"/>
        <v>2886.8050800000001</v>
      </c>
      <c r="Q70" s="4693">
        <f t="shared" si="544"/>
        <v>4753.3418000000001</v>
      </c>
      <c r="R70" s="4694">
        <f t="shared" si="544"/>
        <v>4581.1353050640009</v>
      </c>
      <c r="S70" s="384"/>
      <c r="T70" s="4120"/>
      <c r="U70" s="4692">
        <f t="shared" ref="U70:Z70" si="545">T76</f>
        <v>0</v>
      </c>
      <c r="V70" s="4693">
        <f t="shared" si="545"/>
        <v>0</v>
      </c>
      <c r="W70" s="4693">
        <f t="shared" si="545"/>
        <v>1049.8895439999999</v>
      </c>
      <c r="X70" s="4693">
        <f t="shared" si="545"/>
        <v>3149.6686319999999</v>
      </c>
      <c r="Y70" s="4693">
        <f t="shared" si="545"/>
        <v>5193.4477200000001</v>
      </c>
      <c r="Z70" s="4694">
        <f t="shared" si="545"/>
        <v>5005.2968429697485</v>
      </c>
      <c r="AA70" s="384"/>
      <c r="AB70" s="4120"/>
      <c r="AC70" s="4692">
        <f t="shared" ref="AC70:AH70" si="546">AB76</f>
        <v>0</v>
      </c>
      <c r="AD70" s="4693">
        <f t="shared" si="546"/>
        <v>0</v>
      </c>
      <c r="AE70" s="4693">
        <f t="shared" si="546"/>
        <v>0</v>
      </c>
      <c r="AF70" s="4693">
        <f t="shared" si="546"/>
        <v>0</v>
      </c>
      <c r="AG70" s="4693">
        <f t="shared" si="546"/>
        <v>0</v>
      </c>
      <c r="AH70" s="4694">
        <f t="shared" si="546"/>
        <v>0</v>
      </c>
      <c r="AI70" s="384"/>
      <c r="AJ70" s="4120"/>
      <c r="AK70" s="4692">
        <f t="shared" ref="AK70:AP70" si="547">AJ76</f>
        <v>0</v>
      </c>
      <c r="AL70" s="4693">
        <f t="shared" si="547"/>
        <v>0</v>
      </c>
      <c r="AM70" s="4693">
        <f t="shared" si="547"/>
        <v>0</v>
      </c>
      <c r="AN70" s="4693">
        <f t="shared" si="547"/>
        <v>0</v>
      </c>
      <c r="AO70" s="4693">
        <f t="shared" si="547"/>
        <v>0</v>
      </c>
      <c r="AP70" s="4694">
        <f t="shared" si="547"/>
        <v>0</v>
      </c>
      <c r="AQ70" s="384"/>
      <c r="AR70" s="4120"/>
      <c r="AS70" s="4692">
        <f t="shared" ref="AS70:AX70" si="548">AR76</f>
        <v>0</v>
      </c>
      <c r="AT70" s="4693">
        <f t="shared" si="548"/>
        <v>0</v>
      </c>
      <c r="AU70" s="4693">
        <f t="shared" si="548"/>
        <v>5902.303774</v>
      </c>
      <c r="AV70" s="4693">
        <f t="shared" si="548"/>
        <v>17706.911322</v>
      </c>
      <c r="AW70" s="4693">
        <f t="shared" si="548"/>
        <v>29203.51887</v>
      </c>
      <c r="AX70" s="4694">
        <f t="shared" si="548"/>
        <v>28145.51887</v>
      </c>
      <c r="AY70" s="4422"/>
      <c r="AZ70" s="3"/>
      <c r="BA70" s="3"/>
      <c r="BB70" s="4438">
        <f t="shared" ref="BB70:BC73" si="549">IFERROR(E70/$C$1,0)</f>
        <v>0</v>
      </c>
      <c r="BC70" s="4438">
        <f t="shared" si="549"/>
        <v>0</v>
      </c>
      <c r="BD70" s="4438">
        <f t="shared" ref="BD70:BD73" si="550">IFERROR(G70/$C$1,0)</f>
        <v>1989.0000000000002</v>
      </c>
      <c r="BE70" s="4438">
        <f t="shared" ref="BE70:BE73" si="551">IFERROR(H70/$C$1,0)</f>
        <v>5967.0000000000009</v>
      </c>
      <c r="BF70" s="4438">
        <f t="shared" ref="BF70:BF73" si="552">IFERROR(I70/$C$1,0)</f>
        <v>9845.8093750479347</v>
      </c>
      <c r="BG70" s="4438">
        <f t="shared" ref="BG70:BG73" si="553">IFERROR(J70/$C$1,0)</f>
        <v>9489.1103633578841</v>
      </c>
      <c r="BH70" s="3"/>
      <c r="BI70" s="3"/>
      <c r="BJ70" s="4438">
        <f t="shared" ref="BJ70:BJ73" si="554">IFERROR(M70/$C$1,0)</f>
        <v>0</v>
      </c>
      <c r="BK70" s="4438">
        <f t="shared" ref="BK70:BK73" si="555">IFERROR(N70/$C$1,0)</f>
        <v>0</v>
      </c>
      <c r="BL70" s="4438">
        <f t="shared" ref="BL70:BL73" si="556">IFERROR(O70/$C$1,0)</f>
        <v>492</v>
      </c>
      <c r="BM70" s="4438">
        <f t="shared" ref="BM70:BM73" si="557">IFERROR(P70/$C$1,0)</f>
        <v>1476</v>
      </c>
      <c r="BN70" s="4438">
        <f t="shared" ref="BN70:BN73" si="558">IFERROR(Q70/$C$1,0)</f>
        <v>2430.3450708906194</v>
      </c>
      <c r="BO70" s="4438">
        <f t="shared" ref="BO70:BO73" si="559">IFERROR(R70/$C$1,0)</f>
        <v>2342.2972881405854</v>
      </c>
      <c r="BP70" s="3"/>
      <c r="BQ70" s="3"/>
      <c r="BR70" s="4438">
        <f t="shared" ref="BR70:BR73" si="560">IFERROR(U70/$C$1,0)</f>
        <v>0</v>
      </c>
      <c r="BS70" s="4438">
        <f t="shared" ref="BS70:BS73" si="561">IFERROR(V70/$C$1,0)</f>
        <v>0</v>
      </c>
      <c r="BT70" s="4438">
        <f t="shared" ref="BT70:BT73" si="562">IFERROR(W70/$C$1,0)</f>
        <v>536.79999999999995</v>
      </c>
      <c r="BU70" s="4438">
        <f t="shared" ref="BU70:BU73" si="563">IFERROR(X70/$C$1,0)</f>
        <v>1610.4</v>
      </c>
      <c r="BV70" s="4438">
        <f t="shared" ref="BV70:BV73" si="564">IFERROR(Y70/$C$1,0)</f>
        <v>2655.3676546530119</v>
      </c>
      <c r="BW70" s="4438">
        <f t="shared" ref="BW70:BW73" si="565">IFERROR(Z70/$C$1,0)</f>
        <v>2559.1676387874963</v>
      </c>
      <c r="BX70" s="3"/>
      <c r="BY70" s="3"/>
      <c r="BZ70" s="4438">
        <f t="shared" ref="BZ70:BZ73" si="566">IFERROR(AC70/$C$1,0)</f>
        <v>0</v>
      </c>
      <c r="CA70" s="4438">
        <f t="shared" ref="CA70:CA73" si="567">IFERROR(AD70/$C$1,0)</f>
        <v>0</v>
      </c>
      <c r="CB70" s="4438">
        <f t="shared" ref="CB70:CB73" si="568">IFERROR(AE70/$C$1,0)</f>
        <v>0</v>
      </c>
      <c r="CC70" s="4438">
        <f t="shared" ref="CC70:CC73" si="569">IFERROR(AF70/$C$1,0)</f>
        <v>0</v>
      </c>
      <c r="CD70" s="4438">
        <f t="shared" ref="CD70:CD73" si="570">IFERROR(AG70/$C$1,0)</f>
        <v>0</v>
      </c>
      <c r="CE70" s="4438">
        <f t="shared" ref="CE70:CE73" si="571">IFERROR(AH70/$C$1,0)</f>
        <v>0</v>
      </c>
      <c r="CF70" s="3"/>
      <c r="CG70" s="3"/>
      <c r="CH70" s="4438">
        <f t="shared" ref="CH70:CH73" si="572">IFERROR(AK70/$C$1,0)</f>
        <v>0</v>
      </c>
      <c r="CI70" s="4438">
        <f t="shared" ref="CI70:CI73" si="573">IFERROR(AL70/$C$1,0)</f>
        <v>0</v>
      </c>
      <c r="CJ70" s="4438">
        <f t="shared" ref="CJ70:CJ73" si="574">IFERROR(AM70/$C$1,0)</f>
        <v>0</v>
      </c>
      <c r="CK70" s="4438">
        <f t="shared" ref="CK70:CK73" si="575">IFERROR(AN70/$C$1,0)</f>
        <v>0</v>
      </c>
      <c r="CL70" s="4438">
        <f t="shared" ref="CL70:CL73" si="576">IFERROR(AO70/$C$1,0)</f>
        <v>0</v>
      </c>
      <c r="CM70" s="4438">
        <f t="shared" ref="CM70:CM73" si="577">IFERROR(AP70/$C$1,0)</f>
        <v>0</v>
      </c>
      <c r="CN70" s="3"/>
      <c r="CO70" s="3"/>
      <c r="CP70" s="4438">
        <f t="shared" ref="CP70:CP73" si="578">IFERROR(AS70/$C$1,0)</f>
        <v>0</v>
      </c>
      <c r="CQ70" s="4438">
        <f t="shared" ref="CQ70:CQ73" si="579">IFERROR(AT70/$C$1,0)</f>
        <v>0</v>
      </c>
      <c r="CR70" s="4438">
        <f t="shared" ref="CR70:CR73" si="580">IFERROR(AU70/$C$1,0)</f>
        <v>3017.8</v>
      </c>
      <c r="CS70" s="4438">
        <f t="shared" ref="CS70:CS73" si="581">IFERROR(AV70/$C$1,0)</f>
        <v>9053.4</v>
      </c>
      <c r="CT70" s="4438">
        <f t="shared" ref="CT70:CT73" si="582">IFERROR(AW70/$C$1,0)</f>
        <v>14931.522100591565</v>
      </c>
      <c r="CU70" s="4438">
        <f t="shared" ref="CU70:CU73" si="583">IFERROR(AX70/$C$1,0)</f>
        <v>14390.575290285966</v>
      </c>
    </row>
    <row r="71" spans="1:99" s="1" customFormat="1">
      <c r="A71" s="3826" t="s">
        <v>976</v>
      </c>
      <c r="B71" s="2442" t="s">
        <v>196</v>
      </c>
      <c r="C71" s="383"/>
      <c r="D71" s="4121"/>
      <c r="E71" s="2443">
        <f>+'9.Инвестиционна програма'!AG140</f>
        <v>0</v>
      </c>
      <c r="F71" s="2443">
        <f>+'9.Инвестиционна програма'!AH140</f>
        <v>3890.1458700000003</v>
      </c>
      <c r="G71" s="2443">
        <f>+'9.Инвестиционна програма'!AI140</f>
        <v>7780.2917400000006</v>
      </c>
      <c r="H71" s="2443">
        <f>+'9.Инвестиционна програма'!AJ140</f>
        <v>7586.2917400000006</v>
      </c>
      <c r="I71" s="2443">
        <f>+'9.Инвестиционна програма'!AK140</f>
        <v>0</v>
      </c>
      <c r="J71" s="2444">
        <f>+'9.Инвестиционна програма'!AL140</f>
        <v>0</v>
      </c>
      <c r="K71" s="383"/>
      <c r="L71" s="4121"/>
      <c r="M71" s="2443">
        <f>+'9.Инвестиционна програма'!AG141</f>
        <v>0</v>
      </c>
      <c r="N71" s="2443">
        <f>+'9.Инвестиционна програма'!AH141</f>
        <v>962.26836000000003</v>
      </c>
      <c r="O71" s="2443">
        <f>+'9.Инвестиционна програма'!AI141</f>
        <v>1924.5367200000001</v>
      </c>
      <c r="P71" s="2443">
        <f>+'9.Инвестиционна програма'!AJ141</f>
        <v>1866.5367200000001</v>
      </c>
      <c r="Q71" s="2443">
        <f>+'9.Инвестиционна програма'!AK141</f>
        <v>0</v>
      </c>
      <c r="R71" s="2443">
        <f>+'9.Инвестиционна програма'!AL141</f>
        <v>0</v>
      </c>
      <c r="S71" s="383"/>
      <c r="T71" s="4121"/>
      <c r="U71" s="2443">
        <f>+'9.Инвестиционна програма'!AG142</f>
        <v>0</v>
      </c>
      <c r="V71" s="2443">
        <f>+'9.Инвестиционна програма'!AH142</f>
        <v>1049.8895439999999</v>
      </c>
      <c r="W71" s="2443">
        <f>+'9.Инвестиционна програма'!AI142</f>
        <v>2099.7790879999998</v>
      </c>
      <c r="X71" s="2443">
        <f>+'9.Инвестиционна програма'!AJ142</f>
        <v>2043.7790879999998</v>
      </c>
      <c r="Y71" s="2443">
        <f>+'9.Инвестиционна програма'!AK142</f>
        <v>0</v>
      </c>
      <c r="Z71" s="2443">
        <f>+'9.Инвестиционна програма'!AL142</f>
        <v>0</v>
      </c>
      <c r="AA71" s="383"/>
      <c r="AB71" s="4121"/>
      <c r="AC71" s="2443">
        <f>+'9.Инвестиционна програма'!AG143</f>
        <v>0</v>
      </c>
      <c r="AD71" s="2443">
        <f>+'9.Инвестиционна програма'!AH143</f>
        <v>0</v>
      </c>
      <c r="AE71" s="2443">
        <f>+'9.Инвестиционна програма'!AI143</f>
        <v>0</v>
      </c>
      <c r="AF71" s="2443">
        <f>+'9.Инвестиционна програма'!AJ143</f>
        <v>0</v>
      </c>
      <c r="AG71" s="2443">
        <f>+'9.Инвестиционна програма'!AK143</f>
        <v>0</v>
      </c>
      <c r="AH71" s="2443">
        <f>+'9.Инвестиционна програма'!AL143</f>
        <v>0</v>
      </c>
      <c r="AI71" s="383"/>
      <c r="AJ71" s="4121"/>
      <c r="AK71" s="2443">
        <f>+'9.Инвестиционна програма'!AG144</f>
        <v>0</v>
      </c>
      <c r="AL71" s="2443">
        <f>+'9.Инвестиционна програма'!AH144</f>
        <v>0</v>
      </c>
      <c r="AM71" s="2443">
        <f>+'9.Инвестиционна програма'!AI144</f>
        <v>0</v>
      </c>
      <c r="AN71" s="2443">
        <f>+'9.Инвестиционна програма'!AJ144</f>
        <v>0</v>
      </c>
      <c r="AO71" s="2443">
        <f>+'9.Инвестиционна програма'!AK144</f>
        <v>0</v>
      </c>
      <c r="AP71" s="2443">
        <f>+'9.Инвестиционна програма'!AL144</f>
        <v>0</v>
      </c>
      <c r="AQ71" s="383"/>
      <c r="AR71" s="4121"/>
      <c r="AS71" s="2443">
        <f t="shared" ref="AS71:AX71" si="584">E71+M71+U71+AC71+AK71</f>
        <v>0</v>
      </c>
      <c r="AT71" s="2443">
        <f t="shared" si="584"/>
        <v>5902.303774</v>
      </c>
      <c r="AU71" s="2443">
        <f t="shared" si="584"/>
        <v>11804.607548</v>
      </c>
      <c r="AV71" s="2443">
        <f t="shared" si="584"/>
        <v>11496.607548</v>
      </c>
      <c r="AW71" s="2443">
        <f t="shared" si="584"/>
        <v>0</v>
      </c>
      <c r="AX71" s="2444">
        <f t="shared" si="584"/>
        <v>0</v>
      </c>
      <c r="AY71" s="4422"/>
      <c r="AZ71" s="3"/>
      <c r="BA71" s="3"/>
      <c r="BB71" s="4438">
        <f t="shared" si="549"/>
        <v>0</v>
      </c>
      <c r="BC71" s="4438">
        <f t="shared" si="549"/>
        <v>1989.0000000000002</v>
      </c>
      <c r="BD71" s="4438">
        <f t="shared" si="550"/>
        <v>3978.0000000000005</v>
      </c>
      <c r="BE71" s="4438">
        <f t="shared" si="551"/>
        <v>3878.8093750479338</v>
      </c>
      <c r="BF71" s="4438">
        <f t="shared" si="552"/>
        <v>0</v>
      </c>
      <c r="BG71" s="4438">
        <f t="shared" si="553"/>
        <v>0</v>
      </c>
      <c r="BH71" s="3"/>
      <c r="BI71" s="3"/>
      <c r="BJ71" s="4438">
        <f t="shared" si="554"/>
        <v>0</v>
      </c>
      <c r="BK71" s="4438">
        <f t="shared" si="555"/>
        <v>492</v>
      </c>
      <c r="BL71" s="4438">
        <f t="shared" si="556"/>
        <v>984</v>
      </c>
      <c r="BM71" s="4438">
        <f t="shared" si="557"/>
        <v>954.34507089061935</v>
      </c>
      <c r="BN71" s="4438">
        <f t="shared" si="558"/>
        <v>0</v>
      </c>
      <c r="BO71" s="4438">
        <f t="shared" si="559"/>
        <v>0</v>
      </c>
      <c r="BP71" s="3"/>
      <c r="BQ71" s="3"/>
      <c r="BR71" s="4438">
        <f t="shared" si="560"/>
        <v>0</v>
      </c>
      <c r="BS71" s="4438">
        <f t="shared" si="561"/>
        <v>536.79999999999995</v>
      </c>
      <c r="BT71" s="4438">
        <f t="shared" si="562"/>
        <v>1073.5999999999999</v>
      </c>
      <c r="BU71" s="4438">
        <f t="shared" si="563"/>
        <v>1044.9676546530118</v>
      </c>
      <c r="BV71" s="4438">
        <f t="shared" si="564"/>
        <v>0</v>
      </c>
      <c r="BW71" s="4438">
        <f t="shared" si="565"/>
        <v>0</v>
      </c>
      <c r="BX71" s="3"/>
      <c r="BY71" s="3"/>
      <c r="BZ71" s="4438">
        <f t="shared" si="566"/>
        <v>0</v>
      </c>
      <c r="CA71" s="4438">
        <f t="shared" si="567"/>
        <v>0</v>
      </c>
      <c r="CB71" s="4438">
        <f t="shared" si="568"/>
        <v>0</v>
      </c>
      <c r="CC71" s="4438">
        <f t="shared" si="569"/>
        <v>0</v>
      </c>
      <c r="CD71" s="4438">
        <f t="shared" si="570"/>
        <v>0</v>
      </c>
      <c r="CE71" s="4438">
        <f t="shared" si="571"/>
        <v>0</v>
      </c>
      <c r="CF71" s="3"/>
      <c r="CG71" s="3"/>
      <c r="CH71" s="4438">
        <f t="shared" si="572"/>
        <v>0</v>
      </c>
      <c r="CI71" s="4438">
        <f t="shared" si="573"/>
        <v>0</v>
      </c>
      <c r="CJ71" s="4438">
        <f t="shared" si="574"/>
        <v>0</v>
      </c>
      <c r="CK71" s="4438">
        <f t="shared" si="575"/>
        <v>0</v>
      </c>
      <c r="CL71" s="4438">
        <f t="shared" si="576"/>
        <v>0</v>
      </c>
      <c r="CM71" s="4438">
        <f t="shared" si="577"/>
        <v>0</v>
      </c>
      <c r="CN71" s="3"/>
      <c r="CO71" s="3"/>
      <c r="CP71" s="4438">
        <f t="shared" si="578"/>
        <v>0</v>
      </c>
      <c r="CQ71" s="4438">
        <f t="shared" si="579"/>
        <v>3017.8</v>
      </c>
      <c r="CR71" s="4438">
        <f t="shared" si="580"/>
        <v>6035.6</v>
      </c>
      <c r="CS71" s="4438">
        <f t="shared" si="581"/>
        <v>5878.122100591565</v>
      </c>
      <c r="CT71" s="4438">
        <f t="shared" si="582"/>
        <v>0</v>
      </c>
      <c r="CU71" s="4438">
        <f t="shared" si="583"/>
        <v>0</v>
      </c>
    </row>
    <row r="72" spans="1:99" s="1" customFormat="1">
      <c r="A72" s="3826" t="s">
        <v>977</v>
      </c>
      <c r="B72" s="2442" t="s">
        <v>197</v>
      </c>
      <c r="C72" s="383"/>
      <c r="D72" s="4121"/>
      <c r="E72" s="2443">
        <f>IFERROR(E71/$AS71*$AS72,0)</f>
        <v>0</v>
      </c>
      <c r="F72" s="2443">
        <f>IFERROR(SUM($E71:F71)/SUM($AS71:AT71)*AT72,0)</f>
        <v>0</v>
      </c>
      <c r="G72" s="2443">
        <f>IFERROR(SUM($E71:G71)/SUM($AS71:AU71)*AU72,0)</f>
        <v>0</v>
      </c>
      <c r="H72" s="2443">
        <f>IFERROR(SUM($E71:H71)/SUM($AS71:AV71)*AV72,0)</f>
        <v>0</v>
      </c>
      <c r="I72" s="2443">
        <f>IFERROR(SUM($E71:I71)/SUM($AS71:AW71)*AW72,0)</f>
        <v>697.64262803374982</v>
      </c>
      <c r="J72" s="2443">
        <f>IFERROR(SUM($E71:J71)/SUM($AS71:AX71)*AX72,0)</f>
        <v>802.48684150952124</v>
      </c>
      <c r="K72" s="383"/>
      <c r="L72" s="4121"/>
      <c r="M72" s="2443">
        <f>IFERROR(M71/$AS71*$AS72,0)</f>
        <v>0</v>
      </c>
      <c r="N72" s="2443">
        <f>IFERROR(SUM($M71:N71)/SUM($AS71:AT71)*AT72,0)</f>
        <v>0</v>
      </c>
      <c r="O72" s="2443">
        <f>IFERROR(SUM($M71:O71)/SUM($AS71:AU71)*AU72,0)</f>
        <v>0</v>
      </c>
      <c r="P72" s="2443">
        <f>IFERROR(SUM($M71:P71)/SUM($AS71:AV71)*AV72,0)</f>
        <v>0</v>
      </c>
      <c r="Q72" s="2443">
        <f>IFERROR(SUM($M71:Q71)/SUM($AS71:AW71)*AW72,0)</f>
        <v>172.20649493599879</v>
      </c>
      <c r="R72" s="2443">
        <f>IFERROR(SUM($M71:R71)/SUM($AS71:AX71)*AX72,0)</f>
        <v>198.08629899537857</v>
      </c>
      <c r="S72" s="383"/>
      <c r="T72" s="4121"/>
      <c r="U72" s="2443">
        <f>IFERROR(U71/$AS71*$AS72,0)</f>
        <v>0</v>
      </c>
      <c r="V72" s="2443">
        <f>IFERROR(SUM($U71:V71)/SUM($AS71:AT71)*AT72,0)</f>
        <v>0</v>
      </c>
      <c r="W72" s="2443">
        <f>IFERROR(SUM($U71:W71)/SUM($AS71:AU71)*AU72,0)</f>
        <v>0</v>
      </c>
      <c r="X72" s="2443">
        <f>IFERROR(SUM($U71:X71)/SUM($AS71:AV71)*AV72,0)</f>
        <v>0</v>
      </c>
      <c r="Y72" s="2443">
        <f>IFERROR(SUM($U71:Y71)/SUM($AS71:AW71)*AW72,0)</f>
        <v>188.15087703025154</v>
      </c>
      <c r="Z72" s="2443">
        <f>IFERROR(SUM($U71:Z71)/SUM($AS71:AX71)*AX72,0)</f>
        <v>216.4268594951003</v>
      </c>
      <c r="AA72" s="383"/>
      <c r="AB72" s="4121"/>
      <c r="AC72" s="2443">
        <f>IFERROR(AC71/$AS71*$AS72,0)</f>
        <v>0</v>
      </c>
      <c r="AD72" s="2443">
        <f>IFERROR(SUM($AC71:AD71)/SUM($AS71:AT71)*AT72,0)</f>
        <v>0</v>
      </c>
      <c r="AE72" s="2443">
        <f>IFERROR(SUM($AC71:AE71)/SUM($AS71:AU71)*AU72,0)</f>
        <v>0</v>
      </c>
      <c r="AF72" s="2443">
        <f>IFERROR(SUM($AC71:AF71)/SUM($AS71:AV71)*AV72,0)</f>
        <v>0</v>
      </c>
      <c r="AG72" s="2443">
        <f>IFERROR(SUM($AC71:AG71)/SUM($AS71:AW71)*AW72,0)</f>
        <v>0</v>
      </c>
      <c r="AH72" s="2443">
        <f>IFERROR(SUM($AC71:AH71)/SUM($AS71:AX71)*AX72,0)</f>
        <v>0</v>
      </c>
      <c r="AI72" s="383"/>
      <c r="AJ72" s="4121"/>
      <c r="AK72" s="2443">
        <f>IFERROR(AK71/$AS71*$AS72,0)</f>
        <v>0</v>
      </c>
      <c r="AL72" s="2443">
        <f>IFERROR(SUM($AK71:AL71)/SUM($AS71:AT71)*AT72,0)</f>
        <v>0</v>
      </c>
      <c r="AM72" s="2443">
        <f>IFERROR(SUM($AK71:AM71)/SUM($AS71:AU71)*AU72,0)</f>
        <v>0</v>
      </c>
      <c r="AN72" s="2443">
        <f>IFERROR(SUM($AK71:AN71)/SUM($AS71:AV71)*AV72,0)</f>
        <v>0</v>
      </c>
      <c r="AO72" s="2443">
        <f>IFERROR(SUM($AK71:AO71)/SUM($AS71:AW71)*AW72,0)</f>
        <v>0</v>
      </c>
      <c r="AP72" s="2443">
        <f>IFERROR(SUM($AK71:AP71)/SUM($AS71:AX71)*AX72,0)</f>
        <v>0</v>
      </c>
      <c r="AQ72" s="383"/>
      <c r="AR72" s="4121"/>
      <c r="AS72" s="402">
        <v>0</v>
      </c>
      <c r="AT72" s="402">
        <v>0</v>
      </c>
      <c r="AU72" s="402">
        <v>0</v>
      </c>
      <c r="AV72" s="402">
        <v>0</v>
      </c>
      <c r="AW72" s="402">
        <v>1058</v>
      </c>
      <c r="AX72" s="403">
        <v>1217</v>
      </c>
      <c r="AY72" s="4422"/>
      <c r="AZ72" s="3"/>
      <c r="BA72" s="3"/>
      <c r="BB72" s="4438">
        <f t="shared" si="549"/>
        <v>0</v>
      </c>
      <c r="BC72" s="4438">
        <f t="shared" si="549"/>
        <v>0</v>
      </c>
      <c r="BD72" s="4438">
        <f t="shared" si="550"/>
        <v>0</v>
      </c>
      <c r="BE72" s="4438">
        <f t="shared" si="551"/>
        <v>0</v>
      </c>
      <c r="BF72" s="4438">
        <f t="shared" si="552"/>
        <v>356.69901169004964</v>
      </c>
      <c r="BG72" s="4438">
        <f t="shared" si="553"/>
        <v>410.30500683061473</v>
      </c>
      <c r="BH72" s="3"/>
      <c r="BI72" s="3"/>
      <c r="BJ72" s="4438">
        <f t="shared" si="554"/>
        <v>0</v>
      </c>
      <c r="BK72" s="4438">
        <f t="shared" si="555"/>
        <v>0</v>
      </c>
      <c r="BL72" s="4438">
        <f t="shared" si="556"/>
        <v>0</v>
      </c>
      <c r="BM72" s="4438">
        <f t="shared" si="557"/>
        <v>0</v>
      </c>
      <c r="BN72" s="4438">
        <f t="shared" si="558"/>
        <v>88.047782750033889</v>
      </c>
      <c r="BO72" s="4438">
        <f t="shared" si="559"/>
        <v>101.27991645254372</v>
      </c>
      <c r="BP72" s="3"/>
      <c r="BQ72" s="3"/>
      <c r="BR72" s="4438">
        <f t="shared" si="560"/>
        <v>0</v>
      </c>
      <c r="BS72" s="4438">
        <f t="shared" si="561"/>
        <v>0</v>
      </c>
      <c r="BT72" s="4438">
        <f t="shared" si="562"/>
        <v>0</v>
      </c>
      <c r="BU72" s="4438">
        <f t="shared" si="563"/>
        <v>0</v>
      </c>
      <c r="BV72" s="4438">
        <f t="shared" si="564"/>
        <v>96.200015865515681</v>
      </c>
      <c r="BW72" s="4438">
        <f t="shared" si="565"/>
        <v>110.6572961326395</v>
      </c>
      <c r="BX72" s="3"/>
      <c r="BY72" s="3"/>
      <c r="BZ72" s="4438">
        <f t="shared" si="566"/>
        <v>0</v>
      </c>
      <c r="CA72" s="4438">
        <f t="shared" si="567"/>
        <v>0</v>
      </c>
      <c r="CB72" s="4438">
        <f t="shared" si="568"/>
        <v>0</v>
      </c>
      <c r="CC72" s="4438">
        <f t="shared" si="569"/>
        <v>0</v>
      </c>
      <c r="CD72" s="4438">
        <f t="shared" si="570"/>
        <v>0</v>
      </c>
      <c r="CE72" s="4438">
        <f t="shared" si="571"/>
        <v>0</v>
      </c>
      <c r="CF72" s="3"/>
      <c r="CG72" s="3"/>
      <c r="CH72" s="4438">
        <f t="shared" si="572"/>
        <v>0</v>
      </c>
      <c r="CI72" s="4438">
        <f t="shared" si="573"/>
        <v>0</v>
      </c>
      <c r="CJ72" s="4438">
        <f t="shared" si="574"/>
        <v>0</v>
      </c>
      <c r="CK72" s="4438">
        <f t="shared" si="575"/>
        <v>0</v>
      </c>
      <c r="CL72" s="4438">
        <f t="shared" si="576"/>
        <v>0</v>
      </c>
      <c r="CM72" s="4438">
        <f t="shared" si="577"/>
        <v>0</v>
      </c>
      <c r="CN72" s="3"/>
      <c r="CO72" s="3"/>
      <c r="CP72" s="4438">
        <f t="shared" si="578"/>
        <v>0</v>
      </c>
      <c r="CQ72" s="4438">
        <f t="shared" si="579"/>
        <v>0</v>
      </c>
      <c r="CR72" s="4438">
        <f t="shared" si="580"/>
        <v>0</v>
      </c>
      <c r="CS72" s="4438">
        <f t="shared" si="581"/>
        <v>0</v>
      </c>
      <c r="CT72" s="4438">
        <f t="shared" si="582"/>
        <v>540.94681030559912</v>
      </c>
      <c r="CU72" s="4438">
        <f t="shared" si="583"/>
        <v>622.24221941579788</v>
      </c>
    </row>
    <row r="73" spans="1:99" s="1" customFormat="1">
      <c r="A73" s="3826" t="s">
        <v>978</v>
      </c>
      <c r="B73" s="2442" t="s">
        <v>198</v>
      </c>
      <c r="C73" s="383"/>
      <c r="D73" s="4121"/>
      <c r="E73" s="2443">
        <f>+(E76+E70+E71)/2*E74</f>
        <v>0</v>
      </c>
      <c r="F73" s="2443">
        <f t="shared" ref="F73:H73" si="585">+(F76+F70+F71)/2*F74</f>
        <v>543.74875737292075</v>
      </c>
      <c r="G73" s="2443">
        <f t="shared" si="585"/>
        <v>543.74875737292064</v>
      </c>
      <c r="H73" s="2443">
        <f t="shared" si="585"/>
        <v>544.00299444975758</v>
      </c>
      <c r="I73" s="2443">
        <f>+(I76+I70+I71)/2*I74</f>
        <v>528.17745279303745</v>
      </c>
      <c r="J73" s="2443">
        <f t="shared" ref="J73" si="586">+(J76+J70+J71)/2*J74</f>
        <v>485.31661080608677</v>
      </c>
      <c r="K73" s="383"/>
      <c r="L73" s="4121"/>
      <c r="M73" s="2443">
        <f>+(M76+M70+M71)/2*M74</f>
        <v>0</v>
      </c>
      <c r="N73" s="2443">
        <f t="shared" ref="N73:R73" si="587">+(N76+N70+N71)/2*N74</f>
        <v>134.50195506660484</v>
      </c>
      <c r="O73" s="2443">
        <f t="shared" si="587"/>
        <v>134.50195506660481</v>
      </c>
      <c r="P73" s="2443">
        <f t="shared" si="587"/>
        <v>134.28200219489509</v>
      </c>
      <c r="Q73" s="2443">
        <f t="shared" si="587"/>
        <v>130.37561667649814</v>
      </c>
      <c r="R73" s="2443">
        <f t="shared" si="587"/>
        <v>119.79582256417306</v>
      </c>
      <c r="S73" s="383"/>
      <c r="T73" s="4121"/>
      <c r="U73" s="2443">
        <f t="shared" ref="U73:Z73" si="588">+(U76+U70+U71)/2*U74</f>
        <v>0</v>
      </c>
      <c r="V73" s="2443">
        <f t="shared" si="588"/>
        <v>146.7492875604745</v>
      </c>
      <c r="W73" s="2443">
        <f t="shared" si="588"/>
        <v>146.7492875604745</v>
      </c>
      <c r="X73" s="2443">
        <f t="shared" si="588"/>
        <v>146.71500335534736</v>
      </c>
      <c r="Y73" s="2443">
        <f t="shared" si="588"/>
        <v>142.44693053046453</v>
      </c>
      <c r="Z73" s="2443">
        <f t="shared" si="588"/>
        <v>130.88756662974021</v>
      </c>
      <c r="AA73" s="383"/>
      <c r="AB73" s="4121"/>
      <c r="AC73" s="2443">
        <f t="shared" ref="AC73:AH73" si="589">+(AC76+AC70+AC71)/2*AC74</f>
        <v>0</v>
      </c>
      <c r="AD73" s="2443">
        <f t="shared" si="589"/>
        <v>0</v>
      </c>
      <c r="AE73" s="2443">
        <f t="shared" si="589"/>
        <v>0</v>
      </c>
      <c r="AF73" s="2443">
        <f t="shared" si="589"/>
        <v>0</v>
      </c>
      <c r="AG73" s="2443">
        <f t="shared" si="589"/>
        <v>0</v>
      </c>
      <c r="AH73" s="2443">
        <f t="shared" si="589"/>
        <v>0</v>
      </c>
      <c r="AI73" s="383"/>
      <c r="AJ73" s="4121"/>
      <c r="AK73" s="2443">
        <f t="shared" ref="AK73:AP73" si="590">+(AK76+AK70+AK71)/2*AK74</f>
        <v>0</v>
      </c>
      <c r="AL73" s="2443">
        <f t="shared" si="590"/>
        <v>0</v>
      </c>
      <c r="AM73" s="2443">
        <f t="shared" si="590"/>
        <v>0</v>
      </c>
      <c r="AN73" s="2443">
        <f t="shared" si="590"/>
        <v>0</v>
      </c>
      <c r="AO73" s="2443">
        <f t="shared" si="590"/>
        <v>0</v>
      </c>
      <c r="AP73" s="2443">
        <f t="shared" si="590"/>
        <v>0</v>
      </c>
      <c r="AQ73" s="383"/>
      <c r="AR73" s="4121"/>
      <c r="AS73" s="402">
        <v>412</v>
      </c>
      <c r="AT73" s="402">
        <v>825</v>
      </c>
      <c r="AU73" s="402">
        <v>825</v>
      </c>
      <c r="AV73" s="402">
        <v>825</v>
      </c>
      <c r="AW73" s="402">
        <v>801</v>
      </c>
      <c r="AX73" s="403">
        <v>736</v>
      </c>
      <c r="AY73" s="4422"/>
      <c r="AZ73" s="3"/>
      <c r="BA73" s="3"/>
      <c r="BB73" s="4438">
        <f t="shared" si="549"/>
        <v>0</v>
      </c>
      <c r="BC73" s="4438">
        <f t="shared" si="549"/>
        <v>278.01432505530681</v>
      </c>
      <c r="BD73" s="4438">
        <f t="shared" si="550"/>
        <v>278.01432505530676</v>
      </c>
      <c r="BE73" s="4438">
        <f t="shared" si="551"/>
        <v>278.14431440859255</v>
      </c>
      <c r="BF73" s="4438">
        <f t="shared" si="552"/>
        <v>270.05284344397899</v>
      </c>
      <c r="BG73" s="4438">
        <f t="shared" si="553"/>
        <v>248.13844291481712</v>
      </c>
      <c r="BH73" s="3"/>
      <c r="BI73" s="3"/>
      <c r="BJ73" s="4438">
        <f t="shared" si="554"/>
        <v>0</v>
      </c>
      <c r="BK73" s="4438">
        <f t="shared" si="555"/>
        <v>68.769757630573636</v>
      </c>
      <c r="BL73" s="4438">
        <f t="shared" si="556"/>
        <v>68.769757630573622</v>
      </c>
      <c r="BM73" s="4438">
        <f t="shared" si="557"/>
        <v>68.657297513022655</v>
      </c>
      <c r="BN73" s="4438">
        <f t="shared" si="558"/>
        <v>66.659994312643803</v>
      </c>
      <c r="BO73" s="4438">
        <f t="shared" si="559"/>
        <v>61.250631478284447</v>
      </c>
      <c r="BP73" s="3"/>
      <c r="BQ73" s="3"/>
      <c r="BR73" s="4438">
        <f t="shared" si="560"/>
        <v>0</v>
      </c>
      <c r="BS73" s="4438">
        <f t="shared" si="561"/>
        <v>75.031719300999839</v>
      </c>
      <c r="BT73" s="4438">
        <f t="shared" si="562"/>
        <v>75.031719300999839</v>
      </c>
      <c r="BU73" s="4438">
        <f t="shared" si="563"/>
        <v>75.014190065265069</v>
      </c>
      <c r="BV73" s="4438">
        <f t="shared" si="564"/>
        <v>72.831959081548263</v>
      </c>
      <c r="BW73" s="4438">
        <f t="shared" si="565"/>
        <v>66.921750167315267</v>
      </c>
      <c r="BX73" s="3"/>
      <c r="BY73" s="3"/>
      <c r="BZ73" s="4438">
        <f t="shared" si="566"/>
        <v>0</v>
      </c>
      <c r="CA73" s="4438">
        <f t="shared" si="567"/>
        <v>0</v>
      </c>
      <c r="CB73" s="4438">
        <f t="shared" si="568"/>
        <v>0</v>
      </c>
      <c r="CC73" s="4438">
        <f t="shared" si="569"/>
        <v>0</v>
      </c>
      <c r="CD73" s="4438">
        <f t="shared" si="570"/>
        <v>0</v>
      </c>
      <c r="CE73" s="4438">
        <f t="shared" si="571"/>
        <v>0</v>
      </c>
      <c r="CF73" s="3"/>
      <c r="CG73" s="3"/>
      <c r="CH73" s="4438">
        <f t="shared" si="572"/>
        <v>0</v>
      </c>
      <c r="CI73" s="4438">
        <f t="shared" si="573"/>
        <v>0</v>
      </c>
      <c r="CJ73" s="4438">
        <f t="shared" si="574"/>
        <v>0</v>
      </c>
      <c r="CK73" s="4438">
        <f t="shared" si="575"/>
        <v>0</v>
      </c>
      <c r="CL73" s="4438">
        <f t="shared" si="576"/>
        <v>0</v>
      </c>
      <c r="CM73" s="4438">
        <f t="shared" si="577"/>
        <v>0</v>
      </c>
      <c r="CN73" s="3"/>
      <c r="CO73" s="3"/>
      <c r="CP73" s="4438">
        <f t="shared" si="578"/>
        <v>210.65225505284201</v>
      </c>
      <c r="CQ73" s="4438">
        <f t="shared" si="579"/>
        <v>421.81580198688027</v>
      </c>
      <c r="CR73" s="4438">
        <f t="shared" si="580"/>
        <v>421.81580198688027</v>
      </c>
      <c r="CS73" s="4438">
        <f t="shared" si="581"/>
        <v>421.81580198688027</v>
      </c>
      <c r="CT73" s="4438">
        <f t="shared" si="582"/>
        <v>409.54479683817101</v>
      </c>
      <c r="CU73" s="4438">
        <f t="shared" si="583"/>
        <v>376.31082456041679</v>
      </c>
    </row>
    <row r="74" spans="1:99" s="1" customFormat="1">
      <c r="A74" s="3826" t="s">
        <v>979</v>
      </c>
      <c r="B74" s="2442" t="s">
        <v>199</v>
      </c>
      <c r="C74" s="383"/>
      <c r="D74" s="4121"/>
      <c r="E74" s="4695">
        <f>+AS74</f>
        <v>0</v>
      </c>
      <c r="F74" s="4695">
        <f t="shared" ref="F74:J74" si="591">+AT74</f>
        <v>0.13977593014344233</v>
      </c>
      <c r="G74" s="4695">
        <f t="shared" si="591"/>
        <v>4.6591976714480773E-2</v>
      </c>
      <c r="H74" s="4695">
        <f t="shared" si="591"/>
        <v>2.8250020268875905E-2</v>
      </c>
      <c r="I74" s="4695">
        <f t="shared" si="591"/>
        <v>2.7934208892272862E-2</v>
      </c>
      <c r="J74" s="4695">
        <f t="shared" si="591"/>
        <v>2.6727657175767479E-2</v>
      </c>
      <c r="K74" s="383"/>
      <c r="L74" s="4121"/>
      <c r="M74" s="4695">
        <f>+AS74</f>
        <v>0</v>
      </c>
      <c r="N74" s="4695">
        <f t="shared" ref="N74:R74" si="592">+AT74</f>
        <v>0.13977593014344233</v>
      </c>
      <c r="O74" s="4695">
        <f t="shared" si="592"/>
        <v>4.6591976714480773E-2</v>
      </c>
      <c r="P74" s="4695">
        <f t="shared" si="592"/>
        <v>2.8250020268875905E-2</v>
      </c>
      <c r="Q74" s="4695">
        <f t="shared" si="592"/>
        <v>2.7934208892272862E-2</v>
      </c>
      <c r="R74" s="4695">
        <f t="shared" si="592"/>
        <v>2.6727657175767479E-2</v>
      </c>
      <c r="S74" s="383"/>
      <c r="T74" s="4121"/>
      <c r="U74" s="4695">
        <f>+AS74</f>
        <v>0</v>
      </c>
      <c r="V74" s="4695">
        <f t="shared" ref="V74:Z74" si="593">+AT74</f>
        <v>0.13977593014344233</v>
      </c>
      <c r="W74" s="4695">
        <f t="shared" si="593"/>
        <v>4.6591976714480773E-2</v>
      </c>
      <c r="X74" s="4695">
        <f t="shared" si="593"/>
        <v>2.8250020268875905E-2</v>
      </c>
      <c r="Y74" s="4695">
        <f t="shared" si="593"/>
        <v>2.7934208892272862E-2</v>
      </c>
      <c r="Z74" s="4695">
        <f t="shared" si="593"/>
        <v>2.6727657175767479E-2</v>
      </c>
      <c r="AA74" s="383"/>
      <c r="AB74" s="4121"/>
      <c r="AC74" s="4695">
        <f>+AS74</f>
        <v>0</v>
      </c>
      <c r="AD74" s="4695">
        <f t="shared" ref="AD74:AH74" si="594">+AT74</f>
        <v>0.13977593014344233</v>
      </c>
      <c r="AE74" s="4695">
        <f t="shared" si="594"/>
        <v>4.6591976714480773E-2</v>
      </c>
      <c r="AF74" s="4695">
        <f t="shared" si="594"/>
        <v>2.8250020268875905E-2</v>
      </c>
      <c r="AG74" s="4695">
        <f t="shared" si="594"/>
        <v>2.7934208892272862E-2</v>
      </c>
      <c r="AH74" s="4695">
        <f t="shared" si="594"/>
        <v>2.6727657175767479E-2</v>
      </c>
      <c r="AI74" s="383"/>
      <c r="AJ74" s="4121"/>
      <c r="AK74" s="4695">
        <f>+AS74</f>
        <v>0</v>
      </c>
      <c r="AL74" s="4695">
        <f t="shared" ref="AL74:AP74" si="595">+AT74</f>
        <v>0.13977593014344233</v>
      </c>
      <c r="AM74" s="4695">
        <f t="shared" si="595"/>
        <v>4.6591976714480773E-2</v>
      </c>
      <c r="AN74" s="4695">
        <f t="shared" si="595"/>
        <v>2.8250020268875905E-2</v>
      </c>
      <c r="AO74" s="4695">
        <f t="shared" si="595"/>
        <v>2.7934208892272862E-2</v>
      </c>
      <c r="AP74" s="4695">
        <f t="shared" si="595"/>
        <v>2.6727657175767479E-2</v>
      </c>
      <c r="AQ74" s="383"/>
      <c r="AR74" s="4121"/>
      <c r="AS74" s="4695">
        <f t="shared" ref="AS74:AX74" si="596">IF(AND(AS70=0,AS71=0),0,AS73/((AS70+AS71+AS76)/2))</f>
        <v>0</v>
      </c>
      <c r="AT74" s="4695">
        <f t="shared" si="596"/>
        <v>0.13977593014344233</v>
      </c>
      <c r="AU74" s="4695">
        <f t="shared" si="596"/>
        <v>4.6591976714480773E-2</v>
      </c>
      <c r="AV74" s="4695">
        <f t="shared" si="596"/>
        <v>2.8250020268875905E-2</v>
      </c>
      <c r="AW74" s="4695">
        <f t="shared" si="596"/>
        <v>2.7934208892272862E-2</v>
      </c>
      <c r="AX74" s="4700">
        <f t="shared" si="596"/>
        <v>2.6727657175767479E-2</v>
      </c>
      <c r="AY74" s="4422"/>
    </row>
    <row r="75" spans="1:99" s="1" customFormat="1">
      <c r="A75" s="3826" t="s">
        <v>980</v>
      </c>
      <c r="B75" s="2442" t="s">
        <v>200</v>
      </c>
      <c r="C75" s="383"/>
      <c r="D75" s="4121"/>
      <c r="E75" s="4696">
        <f t="shared" ref="E75:J75" si="597">E72+E73</f>
        <v>0</v>
      </c>
      <c r="F75" s="4696">
        <f t="shared" si="597"/>
        <v>543.74875737292075</v>
      </c>
      <c r="G75" s="4696">
        <f t="shared" si="597"/>
        <v>543.74875737292064</v>
      </c>
      <c r="H75" s="4696">
        <f t="shared" si="597"/>
        <v>544.00299444975758</v>
      </c>
      <c r="I75" s="4696">
        <f t="shared" si="597"/>
        <v>1225.8200808267873</v>
      </c>
      <c r="J75" s="4697">
        <f t="shared" si="597"/>
        <v>1287.803452315608</v>
      </c>
      <c r="K75" s="383"/>
      <c r="L75" s="4121"/>
      <c r="M75" s="4696">
        <f t="shared" ref="M75:R75" si="598">M72+M73</f>
        <v>0</v>
      </c>
      <c r="N75" s="4696">
        <f t="shared" si="598"/>
        <v>134.50195506660484</v>
      </c>
      <c r="O75" s="4696">
        <f t="shared" si="598"/>
        <v>134.50195506660481</v>
      </c>
      <c r="P75" s="4696">
        <f t="shared" si="598"/>
        <v>134.28200219489509</v>
      </c>
      <c r="Q75" s="4696">
        <f t="shared" si="598"/>
        <v>302.58211161249693</v>
      </c>
      <c r="R75" s="4697">
        <f t="shared" si="598"/>
        <v>317.88212155955165</v>
      </c>
      <c r="S75" s="383"/>
      <c r="T75" s="4121"/>
      <c r="U75" s="4696">
        <f t="shared" ref="U75:Z75" si="599">U72+U73</f>
        <v>0</v>
      </c>
      <c r="V75" s="4696">
        <f t="shared" si="599"/>
        <v>146.7492875604745</v>
      </c>
      <c r="W75" s="4696">
        <f t="shared" si="599"/>
        <v>146.7492875604745</v>
      </c>
      <c r="X75" s="4696">
        <f t="shared" si="599"/>
        <v>146.71500335534736</v>
      </c>
      <c r="Y75" s="4696">
        <f t="shared" si="599"/>
        <v>330.59780756071609</v>
      </c>
      <c r="Z75" s="4697">
        <f t="shared" si="599"/>
        <v>347.31442612484051</v>
      </c>
      <c r="AA75" s="383"/>
      <c r="AB75" s="4121"/>
      <c r="AC75" s="4696">
        <f t="shared" ref="AC75:AH75" si="600">AC72+AC73</f>
        <v>0</v>
      </c>
      <c r="AD75" s="4696">
        <f t="shared" si="600"/>
        <v>0</v>
      </c>
      <c r="AE75" s="4696">
        <f t="shared" si="600"/>
        <v>0</v>
      </c>
      <c r="AF75" s="4696">
        <f t="shared" si="600"/>
        <v>0</v>
      </c>
      <c r="AG75" s="4696">
        <f t="shared" si="600"/>
        <v>0</v>
      </c>
      <c r="AH75" s="4697">
        <f t="shared" si="600"/>
        <v>0</v>
      </c>
      <c r="AI75" s="383"/>
      <c r="AJ75" s="4121"/>
      <c r="AK75" s="4696">
        <f t="shared" ref="AK75:AP75" si="601">AK72+AK73</f>
        <v>0</v>
      </c>
      <c r="AL75" s="4696">
        <f t="shared" si="601"/>
        <v>0</v>
      </c>
      <c r="AM75" s="4696">
        <f t="shared" si="601"/>
        <v>0</v>
      </c>
      <c r="AN75" s="4696">
        <f t="shared" si="601"/>
        <v>0</v>
      </c>
      <c r="AO75" s="4696">
        <f t="shared" si="601"/>
        <v>0</v>
      </c>
      <c r="AP75" s="4697">
        <f t="shared" si="601"/>
        <v>0</v>
      </c>
      <c r="AQ75" s="383"/>
      <c r="AR75" s="4121"/>
      <c r="AS75" s="4696">
        <f t="shared" ref="AS75:AX75" si="602">AS72+AS73</f>
        <v>412</v>
      </c>
      <c r="AT75" s="4696">
        <f t="shared" si="602"/>
        <v>825</v>
      </c>
      <c r="AU75" s="4696">
        <f t="shared" si="602"/>
        <v>825</v>
      </c>
      <c r="AV75" s="4696">
        <f t="shared" si="602"/>
        <v>825</v>
      </c>
      <c r="AW75" s="4696">
        <f t="shared" si="602"/>
        <v>1859</v>
      </c>
      <c r="AX75" s="4697">
        <f t="shared" si="602"/>
        <v>1953</v>
      </c>
      <c r="AY75" s="4422"/>
      <c r="AZ75" s="3"/>
      <c r="BA75" s="3"/>
      <c r="BB75" s="4438">
        <f t="shared" ref="BB75:BC76" si="603">IFERROR(E75/$C$1,0)</f>
        <v>0</v>
      </c>
      <c r="BC75" s="4438">
        <f t="shared" si="603"/>
        <v>278.01432505530681</v>
      </c>
      <c r="BD75" s="4438">
        <f t="shared" ref="BD75:BD76" si="604">IFERROR(G75/$C$1,0)</f>
        <v>278.01432505530676</v>
      </c>
      <c r="BE75" s="4438">
        <f t="shared" ref="BE75:BE76" si="605">IFERROR(H75/$C$1,0)</f>
        <v>278.14431440859255</v>
      </c>
      <c r="BF75" s="4438">
        <f t="shared" ref="BF75:BF76" si="606">IFERROR(I75/$C$1,0)</f>
        <v>626.75185513402869</v>
      </c>
      <c r="BG75" s="4438">
        <f t="shared" ref="BG75:BG76" si="607">IFERROR(J75/$C$1,0)</f>
        <v>658.44344974543185</v>
      </c>
      <c r="BH75" s="3"/>
      <c r="BI75" s="3"/>
      <c r="BJ75" s="4438">
        <f t="shared" ref="BJ75:BJ76" si="608">IFERROR(M75/$C$1,0)</f>
        <v>0</v>
      </c>
      <c r="BK75" s="4438">
        <f t="shared" ref="BK75:BK76" si="609">IFERROR(N75/$C$1,0)</f>
        <v>68.769757630573636</v>
      </c>
      <c r="BL75" s="4438">
        <f t="shared" ref="BL75:BL76" si="610">IFERROR(O75/$C$1,0)</f>
        <v>68.769757630573622</v>
      </c>
      <c r="BM75" s="4438">
        <f t="shared" ref="BM75:BM76" si="611">IFERROR(P75/$C$1,0)</f>
        <v>68.657297513022655</v>
      </c>
      <c r="BN75" s="4438">
        <f t="shared" ref="BN75:BN76" si="612">IFERROR(Q75/$C$1,0)</f>
        <v>154.70777706267771</v>
      </c>
      <c r="BO75" s="4438">
        <f t="shared" ref="BO75:BO76" si="613">IFERROR(R75/$C$1,0)</f>
        <v>162.53054793082816</v>
      </c>
      <c r="BP75" s="3"/>
      <c r="BQ75" s="3"/>
      <c r="BR75" s="4438">
        <f t="shared" ref="BR75:BR76" si="614">IFERROR(U75/$C$1,0)</f>
        <v>0</v>
      </c>
      <c r="BS75" s="4438">
        <f t="shared" ref="BS75:BS76" si="615">IFERROR(V75/$C$1,0)</f>
        <v>75.031719300999839</v>
      </c>
      <c r="BT75" s="4438">
        <f t="shared" ref="BT75:BT76" si="616">IFERROR(W75/$C$1,0)</f>
        <v>75.031719300999839</v>
      </c>
      <c r="BU75" s="4438">
        <f t="shared" ref="BU75:BU76" si="617">IFERROR(X75/$C$1,0)</f>
        <v>75.014190065265069</v>
      </c>
      <c r="BV75" s="4438">
        <f t="shared" ref="BV75:BV76" si="618">IFERROR(Y75/$C$1,0)</f>
        <v>169.03197494706396</v>
      </c>
      <c r="BW75" s="4438">
        <f t="shared" ref="BW75:BW76" si="619">IFERROR(Z75/$C$1,0)</f>
        <v>177.57904629995477</v>
      </c>
      <c r="BX75" s="3"/>
      <c r="BY75" s="3"/>
      <c r="BZ75" s="4438">
        <f t="shared" ref="BZ75:BZ76" si="620">IFERROR(AC75/$C$1,0)</f>
        <v>0</v>
      </c>
      <c r="CA75" s="4438">
        <f t="shared" ref="CA75:CA76" si="621">IFERROR(AD75/$C$1,0)</f>
        <v>0</v>
      </c>
      <c r="CB75" s="4438">
        <f t="shared" ref="CB75:CB76" si="622">IFERROR(AE75/$C$1,0)</f>
        <v>0</v>
      </c>
      <c r="CC75" s="4438">
        <f t="shared" ref="CC75:CC76" si="623">IFERROR(AF75/$C$1,0)</f>
        <v>0</v>
      </c>
      <c r="CD75" s="4438">
        <f t="shared" ref="CD75:CD76" si="624">IFERROR(AG75/$C$1,0)</f>
        <v>0</v>
      </c>
      <c r="CE75" s="4438">
        <f t="shared" ref="CE75:CE76" si="625">IFERROR(AH75/$C$1,0)</f>
        <v>0</v>
      </c>
      <c r="CF75" s="3"/>
      <c r="CG75" s="3"/>
      <c r="CH75" s="4438">
        <f t="shared" ref="CH75:CH76" si="626">IFERROR(AK75/$C$1,0)</f>
        <v>0</v>
      </c>
      <c r="CI75" s="4438">
        <f t="shared" ref="CI75:CI76" si="627">IFERROR(AL75/$C$1,0)</f>
        <v>0</v>
      </c>
      <c r="CJ75" s="4438">
        <f t="shared" ref="CJ75:CJ76" si="628">IFERROR(AM75/$C$1,0)</f>
        <v>0</v>
      </c>
      <c r="CK75" s="4438">
        <f t="shared" ref="CK75:CK76" si="629">IFERROR(AN75/$C$1,0)</f>
        <v>0</v>
      </c>
      <c r="CL75" s="4438">
        <f t="shared" ref="CL75:CL76" si="630">IFERROR(AO75/$C$1,0)</f>
        <v>0</v>
      </c>
      <c r="CM75" s="4438">
        <f t="shared" ref="CM75:CM76" si="631">IFERROR(AP75/$C$1,0)</f>
        <v>0</v>
      </c>
      <c r="CN75" s="3"/>
      <c r="CO75" s="3"/>
      <c r="CP75" s="4438">
        <f t="shared" ref="CP75:CP76" si="632">IFERROR(AS75/$C$1,0)</f>
        <v>210.65225505284201</v>
      </c>
      <c r="CQ75" s="4438">
        <f t="shared" ref="CQ75:CQ76" si="633">IFERROR(AT75/$C$1,0)</f>
        <v>421.81580198688027</v>
      </c>
      <c r="CR75" s="4438">
        <f t="shared" ref="CR75:CR76" si="634">IFERROR(AU75/$C$1,0)</f>
        <v>421.81580198688027</v>
      </c>
      <c r="CS75" s="4438">
        <f t="shared" ref="CS75:CS76" si="635">IFERROR(AV75/$C$1,0)</f>
        <v>421.81580198688027</v>
      </c>
      <c r="CT75" s="4438">
        <f t="shared" ref="CT75:CT76" si="636">IFERROR(AW75/$C$1,0)</f>
        <v>950.49160714377024</v>
      </c>
      <c r="CU75" s="4438">
        <f t="shared" ref="CU75:CU76" si="637">IFERROR(AX75/$C$1,0)</f>
        <v>998.55304397621467</v>
      </c>
    </row>
    <row r="76" spans="1:99" s="1" customFormat="1">
      <c r="A76" s="3826" t="s">
        <v>981</v>
      </c>
      <c r="B76" s="2442" t="s">
        <v>201</v>
      </c>
      <c r="C76" s="383"/>
      <c r="D76" s="4121"/>
      <c r="E76" s="4696">
        <f t="shared" ref="E76:J76" si="638">E70+E71-E72</f>
        <v>0</v>
      </c>
      <c r="F76" s="4696">
        <f t="shared" si="638"/>
        <v>3890.1458700000003</v>
      </c>
      <c r="G76" s="4696">
        <f t="shared" si="638"/>
        <v>11670.437610000001</v>
      </c>
      <c r="H76" s="4696">
        <f t="shared" si="638"/>
        <v>19256.729350000001</v>
      </c>
      <c r="I76" s="4696">
        <f t="shared" si="638"/>
        <v>18559.08672196625</v>
      </c>
      <c r="J76" s="4697">
        <f t="shared" si="638"/>
        <v>17756.599880456728</v>
      </c>
      <c r="K76" s="383"/>
      <c r="L76" s="4121"/>
      <c r="M76" s="4696">
        <f t="shared" ref="M76:R76" si="639">M70+M71-M72</f>
        <v>0</v>
      </c>
      <c r="N76" s="4696">
        <f t="shared" si="639"/>
        <v>962.26836000000003</v>
      </c>
      <c r="O76" s="4696">
        <f t="shared" si="639"/>
        <v>2886.8050800000001</v>
      </c>
      <c r="P76" s="4696">
        <f t="shared" si="639"/>
        <v>4753.3418000000001</v>
      </c>
      <c r="Q76" s="4696">
        <f t="shared" si="639"/>
        <v>4581.1353050640009</v>
      </c>
      <c r="R76" s="4697">
        <f t="shared" si="639"/>
        <v>4383.0490060686225</v>
      </c>
      <c r="S76" s="383"/>
      <c r="T76" s="4121"/>
      <c r="U76" s="4696">
        <f t="shared" ref="U76:Z76" si="640">U70+U71-U72</f>
        <v>0</v>
      </c>
      <c r="V76" s="4696">
        <f t="shared" si="640"/>
        <v>1049.8895439999999</v>
      </c>
      <c r="W76" s="4696">
        <f t="shared" si="640"/>
        <v>3149.6686319999999</v>
      </c>
      <c r="X76" s="4696">
        <f t="shared" si="640"/>
        <v>5193.4477200000001</v>
      </c>
      <c r="Y76" s="4696">
        <f t="shared" si="640"/>
        <v>5005.2968429697485</v>
      </c>
      <c r="Z76" s="4697">
        <f t="shared" si="640"/>
        <v>4788.8699834746485</v>
      </c>
      <c r="AA76" s="383"/>
      <c r="AB76" s="4121"/>
      <c r="AC76" s="4696">
        <f t="shared" ref="AC76:AH76" si="641">AC70+AC71-AC72</f>
        <v>0</v>
      </c>
      <c r="AD76" s="4696">
        <f t="shared" si="641"/>
        <v>0</v>
      </c>
      <c r="AE76" s="4696">
        <f t="shared" si="641"/>
        <v>0</v>
      </c>
      <c r="AF76" s="4696">
        <f t="shared" si="641"/>
        <v>0</v>
      </c>
      <c r="AG76" s="4696">
        <f t="shared" si="641"/>
        <v>0</v>
      </c>
      <c r="AH76" s="4697">
        <f t="shared" si="641"/>
        <v>0</v>
      </c>
      <c r="AI76" s="383"/>
      <c r="AJ76" s="4121"/>
      <c r="AK76" s="4696">
        <f t="shared" ref="AK76:AP76" si="642">AK70+AK71-AK72</f>
        <v>0</v>
      </c>
      <c r="AL76" s="4696">
        <f t="shared" si="642"/>
        <v>0</v>
      </c>
      <c r="AM76" s="4696">
        <f t="shared" si="642"/>
        <v>0</v>
      </c>
      <c r="AN76" s="4696">
        <f t="shared" si="642"/>
        <v>0</v>
      </c>
      <c r="AO76" s="4696">
        <f t="shared" si="642"/>
        <v>0</v>
      </c>
      <c r="AP76" s="4697">
        <f t="shared" si="642"/>
        <v>0</v>
      </c>
      <c r="AQ76" s="383"/>
      <c r="AR76" s="4121"/>
      <c r="AS76" s="4696">
        <f t="shared" ref="AS76:AX76" si="643">AS70+AS71-AS72</f>
        <v>0</v>
      </c>
      <c r="AT76" s="4696">
        <f t="shared" si="643"/>
        <v>5902.303774</v>
      </c>
      <c r="AU76" s="4696">
        <f t="shared" si="643"/>
        <v>17706.911322</v>
      </c>
      <c r="AV76" s="4696">
        <f t="shared" si="643"/>
        <v>29203.51887</v>
      </c>
      <c r="AW76" s="4696">
        <f t="shared" si="643"/>
        <v>28145.51887</v>
      </c>
      <c r="AX76" s="4697">
        <f t="shared" si="643"/>
        <v>26928.51887</v>
      </c>
      <c r="AY76" s="4422"/>
      <c r="AZ76" s="3"/>
      <c r="BA76" s="3"/>
      <c r="BB76" s="4438">
        <f t="shared" si="603"/>
        <v>0</v>
      </c>
      <c r="BC76" s="4438">
        <f t="shared" si="603"/>
        <v>1989.0000000000002</v>
      </c>
      <c r="BD76" s="4438">
        <f t="shared" si="604"/>
        <v>5967.0000000000009</v>
      </c>
      <c r="BE76" s="4438">
        <f t="shared" si="605"/>
        <v>9845.8093750479347</v>
      </c>
      <c r="BF76" s="4438">
        <f t="shared" si="606"/>
        <v>9489.1103633578841</v>
      </c>
      <c r="BG76" s="4438">
        <f t="shared" si="607"/>
        <v>9078.8053565272694</v>
      </c>
      <c r="BH76" s="3"/>
      <c r="BI76" s="3"/>
      <c r="BJ76" s="4438">
        <f t="shared" si="608"/>
        <v>0</v>
      </c>
      <c r="BK76" s="4438">
        <f t="shared" si="609"/>
        <v>492</v>
      </c>
      <c r="BL76" s="4438">
        <f t="shared" si="610"/>
        <v>1476</v>
      </c>
      <c r="BM76" s="4438">
        <f t="shared" si="611"/>
        <v>2430.3450708906194</v>
      </c>
      <c r="BN76" s="4438">
        <f t="shared" si="612"/>
        <v>2342.2972881405854</v>
      </c>
      <c r="BO76" s="4438">
        <f t="shared" si="613"/>
        <v>2241.0173716880417</v>
      </c>
      <c r="BP76" s="3"/>
      <c r="BQ76" s="3"/>
      <c r="BR76" s="4438">
        <f t="shared" si="614"/>
        <v>0</v>
      </c>
      <c r="BS76" s="4438">
        <f t="shared" si="615"/>
        <v>536.79999999999995</v>
      </c>
      <c r="BT76" s="4438">
        <f t="shared" si="616"/>
        <v>1610.4</v>
      </c>
      <c r="BU76" s="4438">
        <f t="shared" si="617"/>
        <v>2655.3676546530119</v>
      </c>
      <c r="BV76" s="4438">
        <f t="shared" si="618"/>
        <v>2559.1676387874963</v>
      </c>
      <c r="BW76" s="4438">
        <f t="shared" si="619"/>
        <v>2448.5103426548567</v>
      </c>
      <c r="BX76" s="3"/>
      <c r="BY76" s="3"/>
      <c r="BZ76" s="4438">
        <f t="shared" si="620"/>
        <v>0</v>
      </c>
      <c r="CA76" s="4438">
        <f t="shared" si="621"/>
        <v>0</v>
      </c>
      <c r="CB76" s="4438">
        <f t="shared" si="622"/>
        <v>0</v>
      </c>
      <c r="CC76" s="4438">
        <f t="shared" si="623"/>
        <v>0</v>
      </c>
      <c r="CD76" s="4438">
        <f t="shared" si="624"/>
        <v>0</v>
      </c>
      <c r="CE76" s="4438">
        <f t="shared" si="625"/>
        <v>0</v>
      </c>
      <c r="CF76" s="3"/>
      <c r="CG76" s="3"/>
      <c r="CH76" s="4438">
        <f t="shared" si="626"/>
        <v>0</v>
      </c>
      <c r="CI76" s="4438">
        <f t="shared" si="627"/>
        <v>0</v>
      </c>
      <c r="CJ76" s="4438">
        <f t="shared" si="628"/>
        <v>0</v>
      </c>
      <c r="CK76" s="4438">
        <f t="shared" si="629"/>
        <v>0</v>
      </c>
      <c r="CL76" s="4438">
        <f t="shared" si="630"/>
        <v>0</v>
      </c>
      <c r="CM76" s="4438">
        <f t="shared" si="631"/>
        <v>0</v>
      </c>
      <c r="CN76" s="3"/>
      <c r="CO76" s="3"/>
      <c r="CP76" s="4438">
        <f t="shared" si="632"/>
        <v>0</v>
      </c>
      <c r="CQ76" s="4438">
        <f t="shared" si="633"/>
        <v>3017.8</v>
      </c>
      <c r="CR76" s="4438">
        <f t="shared" si="634"/>
        <v>9053.4</v>
      </c>
      <c r="CS76" s="4438">
        <f t="shared" si="635"/>
        <v>14931.522100591565</v>
      </c>
      <c r="CT76" s="4438">
        <f t="shared" si="636"/>
        <v>14390.575290285966</v>
      </c>
      <c r="CU76" s="4438">
        <f t="shared" si="637"/>
        <v>13768.333070870169</v>
      </c>
    </row>
    <row r="77" spans="1:99" s="1" customFormat="1">
      <c r="A77" s="3827" t="s">
        <v>1387</v>
      </c>
      <c r="B77" s="2440" t="s">
        <v>1382</v>
      </c>
      <c r="C77" s="3949"/>
      <c r="D77" s="4122"/>
      <c r="E77" s="2472">
        <f>IFERROR('9.Инвестиционна програма'!AG147/E71,0)</f>
        <v>0</v>
      </c>
      <c r="F77" s="2472">
        <f>IFERROR(SUM('9.Инвестиционна програма'!$AG147:AH147)/SUM($E71:F71),0)</f>
        <v>0</v>
      </c>
      <c r="G77" s="2472">
        <f>IFERROR(SUM('9.Инвестиционна програма'!$AG147:AI147)/SUM($E71:G71),0)</f>
        <v>0</v>
      </c>
      <c r="H77" s="2472">
        <f>IFERROR(SUM('9.Инвестиционна програма'!$AG147:AJ147)/SUM($E71:H71),0)</f>
        <v>0</v>
      </c>
      <c r="I77" s="2472">
        <f>IFERROR(SUM('9.Инвестиционна програма'!$AG147:AK147)/SUM($E71:I71),0)</f>
        <v>0</v>
      </c>
      <c r="J77" s="2473">
        <f>IFERROR(SUM('9.Инвестиционна програма'!$AG147:AL147)/SUM($E71:J71),0)</f>
        <v>0</v>
      </c>
      <c r="K77" s="3950"/>
      <c r="L77" s="4128"/>
      <c r="M77" s="2472">
        <f>IFERROR('9.Инвестиционна програма'!AG148/M71,0)</f>
        <v>0</v>
      </c>
      <c r="N77" s="2472">
        <f>IFERROR(SUM('9.Инвестиционна програма'!$AG148:AH148)/SUM($M71:N71),0)</f>
        <v>0</v>
      </c>
      <c r="O77" s="2472">
        <f>IFERROR(SUM('9.Инвестиционна програма'!$AG148:AI148)/SUM($M71:O71),0)</f>
        <v>0</v>
      </c>
      <c r="P77" s="2472">
        <f>IFERROR(SUM('9.Инвестиционна програма'!$AG148:AJ148)/SUM($M71:P71),0)</f>
        <v>0</v>
      </c>
      <c r="Q77" s="2472">
        <f>IFERROR(SUM('9.Инвестиционна програма'!$AG148:AK148)/SUM($M71:Q71),0)</f>
        <v>0</v>
      </c>
      <c r="R77" s="2473">
        <f>IFERROR(SUM('9.Инвестиционна програма'!$AG148:AL148)/SUM($M71:R71),0)</f>
        <v>0</v>
      </c>
      <c r="S77" s="3950"/>
      <c r="T77" s="4128"/>
      <c r="U77" s="2472">
        <f>IFERROR('9.Инвестиционна програма'!AG149/U71,0)</f>
        <v>0</v>
      </c>
      <c r="V77" s="2472">
        <f>IFERROR(SUM('9.Инвестиционна програма'!$AG149:AH149)/SUM($U71:V71),0)</f>
        <v>0</v>
      </c>
      <c r="W77" s="2472">
        <f>IFERROR(SUM('9.Инвестиционна програма'!$AG149:AI149)/SUM($U71:W71),0)</f>
        <v>0</v>
      </c>
      <c r="X77" s="2472">
        <f>IFERROR(SUM('9.Инвестиционна програма'!$AG149:AJ149)/SUM($U71:X71),0)</f>
        <v>0</v>
      </c>
      <c r="Y77" s="2472">
        <f>IFERROR(SUM('9.Инвестиционна програма'!$AG149:AK149)/SUM($U71:Y71),0)</f>
        <v>0</v>
      </c>
      <c r="Z77" s="2473">
        <f>IFERROR(SUM('9.Инвестиционна програма'!$AG149:AL149)/SUM($U71:Z71),0)</f>
        <v>0</v>
      </c>
      <c r="AA77" s="3950"/>
      <c r="AB77" s="4128"/>
      <c r="AC77" s="2472">
        <f>IFERROR('9.Инвестиционна програма'!AG150/AC71,0)</f>
        <v>0</v>
      </c>
      <c r="AD77" s="2472">
        <f>IFERROR(SUM('9.Инвестиционна програма'!$AG150:AH150)/SUM($AC71:AD71),0)</f>
        <v>0</v>
      </c>
      <c r="AE77" s="2472">
        <f>IFERROR(SUM('9.Инвестиционна програма'!$AG150:AI150)/SUM($AC71:AE71),0)</f>
        <v>0</v>
      </c>
      <c r="AF77" s="2472">
        <f>IFERROR(SUM('9.Инвестиционна програма'!$AG150:AJ150)/SUM($AC71:AF71),0)</f>
        <v>0</v>
      </c>
      <c r="AG77" s="2472">
        <f>IFERROR(SUM('9.Инвестиционна програма'!$AG150:AK150)/SUM($AC71:AG71),0)</f>
        <v>0</v>
      </c>
      <c r="AH77" s="2473">
        <f>IFERROR(SUM('9.Инвестиционна програма'!$AG150:AL150)/SUM($AC71:AH71),0)</f>
        <v>0</v>
      </c>
      <c r="AI77" s="3950"/>
      <c r="AJ77" s="4128"/>
      <c r="AK77" s="2472">
        <f>IFERROR('9.Инвестиционна програма'!AG151/AK71,0)</f>
        <v>0</v>
      </c>
      <c r="AL77" s="2472">
        <f>IFERROR(SUM('9.Инвестиционна програма'!$AG151:AH151)/SUM($AK71:AL71),0)</f>
        <v>0</v>
      </c>
      <c r="AM77" s="2472">
        <f>IFERROR(SUM('9.Инвестиционна програма'!$AG151:AI151)/SUM($AK71:AM71),0)</f>
        <v>0</v>
      </c>
      <c r="AN77" s="2472">
        <f>IFERROR(SUM('9.Инвестиционна програма'!$AG151:AJ151)/SUM($AK71:AN71),0)</f>
        <v>0</v>
      </c>
      <c r="AO77" s="2472">
        <f>IFERROR(SUM('9.Инвестиционна програма'!$AG151:AK151)/SUM($AK71:AO71),0)</f>
        <v>0</v>
      </c>
      <c r="AP77" s="2473">
        <f>IFERROR(SUM('9.Инвестиционна програма'!$AG151:AL151)/SUM($AK71:AP71),0)</f>
        <v>0</v>
      </c>
      <c r="AQ77" s="3950"/>
      <c r="AR77" s="4128"/>
      <c r="AS77" s="2468">
        <f>IFERROR((SUM(E71*E77,M71*M77,U71*U77,AC71*AC77,AK71*AK77)/AS71),0)</f>
        <v>0</v>
      </c>
      <c r="AT77" s="2468">
        <f>IFERROR(((SUM($E71:F71)*F77+SUM($M71:N71)*N77+SUM($U71:V71)*V77+SUM($AC71:AD71)*AD77+SUM($AK71:AL71)*AL77)/SUM($AS71:AT71)),0)</f>
        <v>0</v>
      </c>
      <c r="AU77" s="2468">
        <f>IFERROR(((SUM($E71:G71)*G77+SUM($M71:O71)*O77+SUM($U71:W71)*W77+SUM($AC71:AE71)*AE77+SUM($AK71:AM71)*AM77)/SUM($AS71:AU71)),0)</f>
        <v>0</v>
      </c>
      <c r="AV77" s="2468">
        <f>IFERROR(((SUM($E71:H71)*H77+SUM($M71:P71)*P77+SUM($U71:X71)*X77+SUM($AC71:AF71)*AF77+SUM($AK71:AN71)*AN77)/SUM($AS71:AV71)),0)</f>
        <v>0</v>
      </c>
      <c r="AW77" s="2468">
        <f>IFERROR(((SUM($E71:I71)*I77+SUM($M71:Q71)*Q77+SUM($U71:Y71)*Y77+SUM($AC71:AG71)*AG77+SUM($AK71:AO71)*AO77)/SUM($AS71:AW71)),0)</f>
        <v>0</v>
      </c>
      <c r="AX77" s="2469">
        <f>IFERROR(((SUM($E71:J71)*J77+SUM($M71:R71)*R77+SUM($U71:Z71)*Z77+SUM($AC71:AH71)*AH77+SUM($AK71:AP71)*AP77)/SUM($AS71:AX71)),0)</f>
        <v>0</v>
      </c>
      <c r="AY77" s="4422"/>
    </row>
    <row r="78" spans="1:99" s="1" customFormat="1" ht="13.5" thickBot="1">
      <c r="A78" s="3828" t="s">
        <v>1388</v>
      </c>
      <c r="B78" s="2461" t="s">
        <v>1384</v>
      </c>
      <c r="C78" s="3951"/>
      <c r="D78" s="4123"/>
      <c r="E78" s="2470">
        <f>IF(E71&gt;0,1-E77,0)</f>
        <v>0</v>
      </c>
      <c r="F78" s="2470">
        <f>IF(SUM($E71:F71)&gt;0,1-F77,0)</f>
        <v>1</v>
      </c>
      <c r="G78" s="2470">
        <f>IF(SUM($E71:G71)&gt;0,1-G77,0)</f>
        <v>1</v>
      </c>
      <c r="H78" s="2470">
        <f>IF(SUM($E71:H71)&gt;0,1-H77,0)</f>
        <v>1</v>
      </c>
      <c r="I78" s="2470">
        <f>IF(SUM($E71:I71)&gt;0,1-I77,0)</f>
        <v>1</v>
      </c>
      <c r="J78" s="2471">
        <f>IF(SUM($E71:J71)&gt;0,1-J77,0)</f>
        <v>1</v>
      </c>
      <c r="K78" s="3952"/>
      <c r="L78" s="4129"/>
      <c r="M78" s="2470">
        <f>IF(M71&gt;0,1-M77,0)</f>
        <v>0</v>
      </c>
      <c r="N78" s="2470">
        <f>IF(SUM($M71:N71)&gt;0,1-N77,0)</f>
        <v>1</v>
      </c>
      <c r="O78" s="2470">
        <f>IF(SUM($M71:O71)&gt;0,1-O77,0)</f>
        <v>1</v>
      </c>
      <c r="P78" s="2470">
        <f>IF(SUM($M71:P71)&gt;0,1-P77,0)</f>
        <v>1</v>
      </c>
      <c r="Q78" s="2470">
        <f>IF(SUM($M71:Q71)&gt;0,1-Q77,0)</f>
        <v>1</v>
      </c>
      <c r="R78" s="2471">
        <f>IF(SUM($M71:R71)&gt;0,1-R77,0)</f>
        <v>1</v>
      </c>
      <c r="S78" s="3952"/>
      <c r="T78" s="4129"/>
      <c r="U78" s="2470">
        <f>IF(U71&gt;0,1-U77,0)</f>
        <v>0</v>
      </c>
      <c r="V78" s="2470">
        <f>IF(SUM($U71:V71)&gt;0,1-V77,0)</f>
        <v>1</v>
      </c>
      <c r="W78" s="2470">
        <f>IF(SUM($U71:W71)&gt;0,1-W77,0)</f>
        <v>1</v>
      </c>
      <c r="X78" s="2470">
        <f>IF(SUM($U71:X71)&gt;0,1-X77,0)</f>
        <v>1</v>
      </c>
      <c r="Y78" s="2470">
        <f>IF(SUM($U71:Y71)&gt;0,1-Y77,0)</f>
        <v>1</v>
      </c>
      <c r="Z78" s="2471">
        <f>IF(SUM($U71:Z71)&gt;0,1-Z77,0)</f>
        <v>1</v>
      </c>
      <c r="AA78" s="3952"/>
      <c r="AB78" s="4129"/>
      <c r="AC78" s="2470">
        <f>IF(AC71&gt;0,1-AC77,0)</f>
        <v>0</v>
      </c>
      <c r="AD78" s="2470">
        <f>IF(SUM($AC71:AD71)&gt;0,1-AD77,0)</f>
        <v>0</v>
      </c>
      <c r="AE78" s="2470">
        <f>IF(SUM($AC71:AE71)&gt;0,1-AE77,0)</f>
        <v>0</v>
      </c>
      <c r="AF78" s="2470">
        <f>IF(SUM($AC71:AF71)&gt;0,1-AF77,0)</f>
        <v>0</v>
      </c>
      <c r="AG78" s="2470">
        <f>IF(SUM($AC71:AG71)&gt;0,1-AG77,0)</f>
        <v>0</v>
      </c>
      <c r="AH78" s="2471">
        <f>IF(SUM($AC71:AH71)&gt;0,1-AH77,0)</f>
        <v>0</v>
      </c>
      <c r="AI78" s="3952"/>
      <c r="AJ78" s="4129"/>
      <c r="AK78" s="2470">
        <f>IF(AK71&gt;0,1-AK77,0)</f>
        <v>0</v>
      </c>
      <c r="AL78" s="2470">
        <f>IF(SUM($AK71:AL71)&gt;0,1-AL77,0)</f>
        <v>0</v>
      </c>
      <c r="AM78" s="2470">
        <f>IF(SUM($AK71:AM71)&gt;0,1-AM77,0)</f>
        <v>0</v>
      </c>
      <c r="AN78" s="2470">
        <f>IF(SUM($AK71:AN71)&gt;0,1-AN77,0)</f>
        <v>0</v>
      </c>
      <c r="AO78" s="2470">
        <f>IF(SUM($AK71:AO71)&gt;0,1-AO77,0)</f>
        <v>0</v>
      </c>
      <c r="AP78" s="2471">
        <f>IF(SUM($AK71:AP71)&gt;0,1-AP77,0)</f>
        <v>0</v>
      </c>
      <c r="AQ78" s="3952"/>
      <c r="AR78" s="4129"/>
      <c r="AS78" s="2470">
        <f>IF(AS71&gt;0,1-AS77,0)</f>
        <v>0</v>
      </c>
      <c r="AT78" s="2470">
        <f>IF(SUM($AS71:AT71)&gt;0,1-AT77,0)</f>
        <v>1</v>
      </c>
      <c r="AU78" s="2470">
        <f>IF(SUM($AS71:AU71)&gt;0,1-AU77,0)</f>
        <v>1</v>
      </c>
      <c r="AV78" s="2470">
        <f>IF(SUM($AS71:AV71)&gt;0,1-AV77,0)</f>
        <v>1</v>
      </c>
      <c r="AW78" s="2470">
        <f>IF(SUM($AS71:AW71)&gt;0,1-AW77,0)</f>
        <v>1</v>
      </c>
      <c r="AX78" s="2471">
        <f>IF(SUM($AS71:AX71)&gt;0,1-AX77,0)</f>
        <v>1</v>
      </c>
      <c r="AY78" s="4422"/>
    </row>
    <row r="79" spans="1:99">
      <c r="B79" s="2474"/>
      <c r="E79" s="3953"/>
      <c r="F79" s="3953"/>
      <c r="G79" s="3953"/>
      <c r="H79" s="3953"/>
      <c r="I79" s="3953"/>
      <c r="J79" s="3953"/>
      <c r="K79" s="3954"/>
      <c r="L79" s="3954"/>
      <c r="M79" s="3953"/>
      <c r="N79" s="3953"/>
      <c r="O79" s="3953"/>
      <c r="P79" s="3953"/>
      <c r="Q79" s="3953"/>
      <c r="R79" s="3953"/>
      <c r="S79" s="3954"/>
      <c r="T79" s="3954"/>
      <c r="U79" s="3953"/>
      <c r="V79" s="3953"/>
      <c r="W79" s="3953"/>
      <c r="X79" s="3953"/>
      <c r="Y79" s="3953"/>
      <c r="Z79" s="3953"/>
      <c r="AC79" s="3328"/>
      <c r="AD79" s="3328"/>
      <c r="AE79" s="3328"/>
      <c r="AF79" s="3328"/>
      <c r="AG79" s="3328"/>
      <c r="AH79" s="3328"/>
      <c r="AK79" s="3328"/>
      <c r="AL79" s="3328"/>
      <c r="AM79" s="3328"/>
      <c r="AN79" s="3328"/>
      <c r="AO79" s="3328"/>
      <c r="AP79" s="3328"/>
      <c r="AS79" s="3328"/>
      <c r="AT79" s="3328"/>
      <c r="AU79" s="3328"/>
      <c r="AV79" s="3328"/>
      <c r="AW79" s="3328"/>
      <c r="AX79" s="3328"/>
    </row>
    <row r="80" spans="1:99">
      <c r="B80" s="1680"/>
      <c r="C80" s="2475" t="str">
        <f>'Приложение '!B82</f>
        <v>Дата: 29.06.2026</v>
      </c>
      <c r="E80" s="3953"/>
      <c r="F80" s="3953"/>
      <c r="G80" s="3953"/>
      <c r="H80" s="3953"/>
      <c r="I80" s="3953"/>
      <c r="J80" s="3953"/>
      <c r="K80" s="3954"/>
      <c r="L80" s="3954"/>
      <c r="M80" s="3953"/>
      <c r="N80" s="3953"/>
      <c r="O80" s="3953"/>
      <c r="P80" s="3953"/>
      <c r="Q80" s="3953"/>
      <c r="R80" s="3953"/>
      <c r="S80" s="3954"/>
      <c r="T80" s="3954"/>
      <c r="U80" s="3953"/>
      <c r="V80" s="3953"/>
      <c r="W80" s="3953"/>
      <c r="X80" s="3953"/>
      <c r="Y80" s="3953"/>
      <c r="Z80" s="3953"/>
      <c r="AC80" s="3328"/>
      <c r="AD80" s="3328"/>
      <c r="AE80" s="3328"/>
      <c r="AF80" s="3328"/>
      <c r="AG80" s="3328"/>
      <c r="AH80" s="3328"/>
      <c r="AK80" s="3328"/>
      <c r="AL80" s="3328"/>
      <c r="AM80" s="3328"/>
      <c r="AN80" s="3328"/>
      <c r="AO80" s="3328"/>
      <c r="AP80" s="3328"/>
      <c r="AS80" s="3507"/>
      <c r="AT80" s="3507"/>
      <c r="AU80" s="3507"/>
      <c r="AV80" s="3507"/>
      <c r="AW80" s="3507"/>
      <c r="AX80" s="3507"/>
    </row>
    <row r="81" spans="1:50">
      <c r="C81" s="2476"/>
      <c r="D81" s="2476"/>
      <c r="E81" s="3955"/>
      <c r="F81" s="3955"/>
      <c r="G81" s="3955"/>
      <c r="H81" s="3955"/>
      <c r="I81" s="3955"/>
      <c r="J81" s="3955"/>
      <c r="K81" s="3954"/>
      <c r="L81" s="3954"/>
      <c r="M81" s="3955"/>
      <c r="N81" s="3955"/>
      <c r="O81" s="3955"/>
      <c r="P81" s="3955"/>
      <c r="Q81" s="3955"/>
      <c r="R81" s="3955"/>
      <c r="S81" s="3954"/>
      <c r="T81" s="3954"/>
      <c r="U81" s="3955"/>
      <c r="V81" s="3955"/>
      <c r="W81" s="3955"/>
      <c r="X81" s="3955"/>
      <c r="Y81" s="3955"/>
      <c r="Z81" s="3955"/>
      <c r="AM81" s="1681"/>
      <c r="AN81" s="1"/>
      <c r="AO81" s="1"/>
      <c r="AP81" s="1"/>
      <c r="AS81" s="3955"/>
      <c r="AT81" s="3955"/>
      <c r="AU81" s="3955"/>
      <c r="AV81" s="3955"/>
      <c r="AW81" s="3955"/>
      <c r="AX81" s="3955"/>
    </row>
    <row r="82" spans="1:50" ht="13.5">
      <c r="B82" s="657"/>
      <c r="C82" s="4342" t="s">
        <v>187</v>
      </c>
      <c r="F82" s="657"/>
      <c r="G82" s="657"/>
      <c r="H82" s="657"/>
      <c r="I82" s="657"/>
      <c r="J82" s="657"/>
      <c r="K82" s="657"/>
      <c r="L82" s="657"/>
      <c r="M82" s="657"/>
      <c r="AM82" s="2477"/>
      <c r="AO82" s="2478"/>
      <c r="AP82" s="1"/>
    </row>
    <row r="83" spans="1:50">
      <c r="B83" s="3669"/>
      <c r="C83" s="1746" t="s">
        <v>188</v>
      </c>
      <c r="F83" s="3669"/>
      <c r="G83" s="3669"/>
      <c r="H83" s="3669"/>
      <c r="I83" s="3669"/>
      <c r="J83" s="3669"/>
      <c r="K83" s="3669"/>
      <c r="L83" s="3669"/>
      <c r="M83" s="3669"/>
      <c r="AM83" s="2477"/>
      <c r="AO83" s="2478"/>
      <c r="AP83" s="1"/>
    </row>
    <row r="84" spans="1:50" ht="12.75" customHeight="1">
      <c r="B84" s="3682"/>
      <c r="C84" s="1746" t="s">
        <v>1865</v>
      </c>
      <c r="F84" s="1746"/>
      <c r="G84" s="1746"/>
      <c r="H84" s="1746"/>
      <c r="I84" s="1746"/>
      <c r="J84" s="1746"/>
      <c r="K84" s="1746"/>
      <c r="L84" s="1746"/>
      <c r="M84" s="1746"/>
      <c r="AM84" s="1681"/>
      <c r="AN84" s="1"/>
      <c r="AO84" s="1"/>
      <c r="AP84" s="1"/>
    </row>
    <row r="85" spans="1:50" ht="12.75" customHeight="1">
      <c r="B85" s="3682"/>
      <c r="C85" s="1746" t="s">
        <v>1866</v>
      </c>
      <c r="F85" s="1746"/>
      <c r="G85" s="1746"/>
      <c r="H85" s="1746"/>
      <c r="I85" s="1746"/>
      <c r="J85" s="1746"/>
      <c r="K85" s="1746"/>
      <c r="L85" s="1746"/>
      <c r="M85" s="1746"/>
      <c r="AM85" s="2479"/>
      <c r="AO85" s="2478"/>
    </row>
    <row r="86" spans="1:50" ht="27" customHeight="1">
      <c r="B86" s="3682"/>
      <c r="C86" s="5124" t="s">
        <v>1867</v>
      </c>
      <c r="D86" s="5124"/>
      <c r="E86" s="5124"/>
      <c r="F86" s="5124"/>
      <c r="G86" s="5124"/>
      <c r="H86" s="5124"/>
      <c r="I86" s="5124"/>
      <c r="J86" s="5124"/>
      <c r="K86" s="5124"/>
      <c r="L86" s="5124"/>
      <c r="M86" s="5124"/>
      <c r="N86" s="5124"/>
      <c r="O86" s="5124"/>
      <c r="P86" s="5124"/>
      <c r="Q86" s="5124"/>
      <c r="R86" s="5124"/>
      <c r="S86" s="5124"/>
      <c r="T86" s="5124"/>
      <c r="U86" s="5124"/>
      <c r="V86" s="1746"/>
      <c r="W86" s="1746"/>
      <c r="X86" s="1746"/>
      <c r="Y86" s="1746"/>
      <c r="Z86" s="1746"/>
    </row>
    <row r="87" spans="1:50">
      <c r="B87" s="3682"/>
      <c r="C87" s="1746" t="s">
        <v>1868</v>
      </c>
      <c r="D87" s="4306"/>
      <c r="E87" s="4306"/>
      <c r="F87" s="4306"/>
      <c r="G87" s="4306"/>
      <c r="H87" s="4306"/>
      <c r="I87" s="4306"/>
      <c r="J87" s="4306"/>
      <c r="K87" s="4306"/>
      <c r="L87" s="4306"/>
      <c r="M87" s="4306"/>
      <c r="N87" s="4306"/>
      <c r="O87" s="4306"/>
      <c r="P87" s="4306"/>
      <c r="Q87" s="4306"/>
      <c r="R87" s="4306"/>
      <c r="S87" s="4306"/>
      <c r="T87" s="4306"/>
      <c r="U87" s="4306"/>
      <c r="V87" s="4306"/>
      <c r="W87" s="4306"/>
      <c r="X87" s="4306"/>
      <c r="Y87" s="4306"/>
      <c r="Z87" s="4306"/>
    </row>
    <row r="88" spans="1:50" s="3954" customFormat="1">
      <c r="A88" s="4384"/>
      <c r="E88" s="4385"/>
      <c r="F88" s="4385"/>
      <c r="G88" s="4385"/>
      <c r="H88" s="4385"/>
      <c r="I88" s="4385"/>
      <c r="J88" s="4385"/>
      <c r="M88" s="4385"/>
      <c r="N88" s="4385"/>
      <c r="O88" s="4385"/>
      <c r="P88" s="4385"/>
      <c r="Q88" s="4385"/>
      <c r="R88" s="4385"/>
      <c r="U88" s="4385"/>
      <c r="V88" s="4385"/>
      <c r="W88" s="4385"/>
      <c r="X88" s="4385"/>
      <c r="Y88" s="4385"/>
      <c r="Z88" s="4385"/>
      <c r="AC88" s="4385"/>
      <c r="AD88" s="4385"/>
      <c r="AE88" s="4385"/>
      <c r="AF88" s="4385"/>
      <c r="AG88" s="4385"/>
      <c r="AH88" s="4385"/>
      <c r="AK88" s="4385"/>
      <c r="AL88" s="4385"/>
      <c r="AM88" s="4385"/>
      <c r="AN88" s="4385"/>
      <c r="AO88" s="4385"/>
      <c r="AP88" s="4385"/>
      <c r="AS88" s="4385"/>
      <c r="AT88" s="4385"/>
      <c r="AU88" s="4385"/>
      <c r="AV88" s="4385"/>
      <c r="AW88" s="4385"/>
      <c r="AX88" s="4385"/>
    </row>
    <row r="89" spans="1:50" ht="12.75" customHeight="1">
      <c r="A89" s="645"/>
      <c r="N89" s="3682"/>
      <c r="O89" s="3682"/>
      <c r="P89" s="3682"/>
      <c r="Q89" s="3682"/>
      <c r="R89" s="3682"/>
      <c r="S89" s="3682"/>
      <c r="T89" s="3682"/>
      <c r="U89" s="3682"/>
      <c r="V89" s="3682"/>
      <c r="W89" s="3682"/>
      <c r="X89" s="3682"/>
      <c r="Y89" s="3682"/>
    </row>
    <row r="90" spans="1:50">
      <c r="A90" s="645"/>
      <c r="N90" s="3682"/>
      <c r="O90" s="3682"/>
      <c r="P90" s="3682"/>
      <c r="Q90" s="3682"/>
      <c r="R90" s="3682"/>
      <c r="S90" s="3682"/>
      <c r="T90" s="3682"/>
      <c r="U90" s="3682"/>
      <c r="V90" s="3682"/>
      <c r="W90" s="3682"/>
      <c r="X90" s="3682"/>
      <c r="Y90" s="3682"/>
    </row>
    <row r="91" spans="1:50">
      <c r="A91" s="645"/>
      <c r="N91" s="3682"/>
      <c r="O91" s="3682"/>
      <c r="P91" s="3682"/>
      <c r="Q91" s="3682"/>
      <c r="R91" s="3682"/>
      <c r="S91" s="3682"/>
      <c r="T91" s="3682"/>
      <c r="U91" s="3682"/>
      <c r="V91" s="3682"/>
      <c r="W91" s="3682"/>
      <c r="X91" s="3682"/>
      <c r="Y91" s="3682"/>
    </row>
    <row r="92" spans="1:50">
      <c r="A92" s="657"/>
      <c r="N92" s="3682"/>
      <c r="O92" s="3682"/>
      <c r="P92" s="3682"/>
      <c r="Q92" s="3682"/>
      <c r="R92" s="3682"/>
      <c r="S92" s="3682"/>
      <c r="T92" s="3682"/>
      <c r="U92" s="3682"/>
      <c r="V92" s="3682"/>
      <c r="W92" s="3682"/>
      <c r="X92" s="3682"/>
      <c r="Y92" s="3682"/>
    </row>
  </sheetData>
  <sheetProtection algorithmName="SHA-512" hashValue="SJe6/EWcr/wKraIyA87yTS0vAnT/ac08OS7xYyEDS5BUjKTzxqkz/4qF5WmgljkTwpYzMyys9ZGoM0IQMlhzbA==" saltValue="h5weoVzudlWHLSdnD5K5LQ==" spinCount="100000" sheet="1" formatCells="0" formatColumns="0" formatRows="0"/>
  <mergeCells count="53">
    <mergeCell ref="BX7:CE7"/>
    <mergeCell ref="CF7:CM7"/>
    <mergeCell ref="CN7:CU7"/>
    <mergeCell ref="A1:B1"/>
    <mergeCell ref="C1:D1"/>
    <mergeCell ref="AZ7:BG7"/>
    <mergeCell ref="BH7:BO7"/>
    <mergeCell ref="BP7:BW7"/>
    <mergeCell ref="AA7:AH7"/>
    <mergeCell ref="AQ46:AX46"/>
    <mergeCell ref="AQ57:AX57"/>
    <mergeCell ref="AQ68:AX68"/>
    <mergeCell ref="C2:R2"/>
    <mergeCell ref="C3:R3"/>
    <mergeCell ref="C4:R4"/>
    <mergeCell ref="C5:R5"/>
    <mergeCell ref="C46:J46"/>
    <mergeCell ref="AA46:AH46"/>
    <mergeCell ref="AA57:AH57"/>
    <mergeCell ref="AA68:AH68"/>
    <mergeCell ref="AI7:AP7"/>
    <mergeCell ref="AI35:AP35"/>
    <mergeCell ref="AI46:AP46"/>
    <mergeCell ref="AI57:AP57"/>
    <mergeCell ref="AI68:AP68"/>
    <mergeCell ref="AA35:AH35"/>
    <mergeCell ref="AQ7:AX7"/>
    <mergeCell ref="AQ35:AX35"/>
    <mergeCell ref="A7:A8"/>
    <mergeCell ref="A35:A36"/>
    <mergeCell ref="B7:B8"/>
    <mergeCell ref="B35:B36"/>
    <mergeCell ref="C7:J7"/>
    <mergeCell ref="C35:J35"/>
    <mergeCell ref="K7:R7"/>
    <mergeCell ref="S7:Z7"/>
    <mergeCell ref="K35:R35"/>
    <mergeCell ref="S35:Z35"/>
    <mergeCell ref="A57:A58"/>
    <mergeCell ref="B57:B58"/>
    <mergeCell ref="A46:A47"/>
    <mergeCell ref="B46:B47"/>
    <mergeCell ref="A68:A69"/>
    <mergeCell ref="B68:B69"/>
    <mergeCell ref="C86:U86"/>
    <mergeCell ref="C57:J57"/>
    <mergeCell ref="C68:J68"/>
    <mergeCell ref="S46:Z46"/>
    <mergeCell ref="S57:Z57"/>
    <mergeCell ref="S68:Z68"/>
    <mergeCell ref="K46:R46"/>
    <mergeCell ref="K57:R57"/>
    <mergeCell ref="K68:R68"/>
  </mergeCells>
  <conditionalFormatting sqref="F29:J29 N29:R29 V29:Z29">
    <cfRule type="cellIs" dxfId="48" priority="30" operator="lessThan">
      <formula>0</formula>
    </cfRule>
  </conditionalFormatting>
  <conditionalFormatting sqref="F32:J32 N32:R32 V32:Z32">
    <cfRule type="cellIs" dxfId="47" priority="29" operator="greaterThan">
      <formula>1</formula>
    </cfRule>
  </conditionalFormatting>
  <conditionalFormatting sqref="F33:J33 N33:R33 V33:Z33">
    <cfRule type="cellIs" dxfId="46" priority="28" operator="greaterThan">
      <formula>0</formula>
    </cfRule>
  </conditionalFormatting>
  <conditionalFormatting sqref="AD29:AH29">
    <cfRule type="cellIs" dxfId="45" priority="27" operator="lessThan">
      <formula>0</formula>
    </cfRule>
  </conditionalFormatting>
  <conditionalFormatting sqref="AD32:AH32">
    <cfRule type="cellIs" dxfId="44" priority="26" operator="greaterThan">
      <formula>1</formula>
    </cfRule>
  </conditionalFormatting>
  <conditionalFormatting sqref="AD33:AH33">
    <cfRule type="cellIs" dxfId="43" priority="25" operator="greaterThan">
      <formula>0</formula>
    </cfRule>
  </conditionalFormatting>
  <conditionalFormatting sqref="AL29:AP29">
    <cfRule type="cellIs" dxfId="42" priority="24" operator="lessThan">
      <formula>0</formula>
    </cfRule>
  </conditionalFormatting>
  <conditionalFormatting sqref="AL32:AP32">
    <cfRule type="cellIs" dxfId="41" priority="23" operator="greaterThan">
      <formula>1</formula>
    </cfRule>
  </conditionalFormatting>
  <conditionalFormatting sqref="AL33:AP33">
    <cfRule type="cellIs" dxfId="40" priority="22" operator="greaterThan">
      <formula>0</formula>
    </cfRule>
  </conditionalFormatting>
  <conditionalFormatting sqref="AT29:AX29">
    <cfRule type="cellIs" dxfId="39" priority="21" operator="lessThan">
      <formula>0</formula>
    </cfRule>
  </conditionalFormatting>
  <conditionalFormatting sqref="AT32:AX32">
    <cfRule type="cellIs" dxfId="38" priority="20" operator="greaterThan">
      <formula>1</formula>
    </cfRule>
  </conditionalFormatting>
  <conditionalFormatting sqref="AT33:AX33">
    <cfRule type="cellIs" dxfId="37" priority="19" operator="greaterThan">
      <formula>0</formula>
    </cfRule>
  </conditionalFormatting>
  <printOptions horizontalCentered="1"/>
  <pageMargins left="0" right="0" top="0.39370078740157483" bottom="0.27559055118110237" header="0.19685039370078741" footer="0.19685039370078741"/>
  <pageSetup paperSize="9" scale="69" pageOrder="overThenDown" orientation="landscape" r:id="rId1"/>
  <headerFooter alignWithMargins="0">
    <oddFooter>&amp;C&amp;A&amp;RСтр. &amp;P от &amp;N</oddFooter>
  </headerFooter>
  <rowBreaks count="2" manualBreakCount="2">
    <brk id="45" max="49" man="1"/>
    <brk id="87" max="43" man="1"/>
  </rowBreaks>
  <colBreaks count="1" manualBreakCount="1">
    <brk id="26" max="86"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CF6C6"/>
  </sheetPr>
  <dimension ref="A1:BY301"/>
  <sheetViews>
    <sheetView showGridLines="0" zoomScale="70" zoomScaleNormal="70" zoomScaleSheetLayoutView="136" workbookViewId="0">
      <pane xSplit="4" ySplit="8" topLeftCell="E112" activePane="bottomRight" state="frozen"/>
      <selection pane="topRight" activeCell="E1" sqref="E1"/>
      <selection pane="bottomLeft" activeCell="A9" sqref="A9"/>
      <selection pane="bottomRight" activeCell="Y24" sqref="Y24"/>
    </sheetView>
  </sheetViews>
  <sheetFormatPr defaultColWidth="9.140625" defaultRowHeight="12.75"/>
  <cols>
    <col min="1" max="1" width="3.42578125" style="176" customWidth="1"/>
    <col min="2" max="2" width="8.42578125" style="177" customWidth="1"/>
    <col min="3" max="3" width="6.42578125" style="177" customWidth="1"/>
    <col min="4" max="4" width="33.140625" style="177" customWidth="1"/>
    <col min="5" max="5" width="7.42578125" style="176" customWidth="1"/>
    <col min="6" max="11" width="7.42578125" style="177" customWidth="1"/>
    <col min="12" max="12" width="7.42578125" style="176" customWidth="1"/>
    <col min="13" max="18" width="7.42578125" style="177" customWidth="1"/>
    <col min="19" max="19" width="7.42578125" style="176" customWidth="1"/>
    <col min="20" max="25" width="7.42578125" style="177" customWidth="1"/>
    <col min="26" max="26" width="7.42578125" style="176" customWidth="1"/>
    <col min="27" max="32" width="7.42578125" style="177" customWidth="1"/>
    <col min="33" max="33" width="7.42578125" style="176" customWidth="1"/>
    <col min="34" max="39" width="7.42578125" style="177" customWidth="1"/>
    <col min="40" max="40" width="1.42578125" style="1291" customWidth="1"/>
    <col min="41" max="41" width="8.42578125" style="177" customWidth="1"/>
    <col min="42" max="42" width="2.5703125" style="177" customWidth="1"/>
    <col min="43" max="16384" width="9.140625" style="1291"/>
  </cols>
  <sheetData>
    <row r="1" spans="1:77" ht="26.45" customHeight="1" thickBot="1">
      <c r="A1" s="5121" t="str">
        <f>+'1. Обща информация'!B40</f>
        <v>Фиксиран курс на лева към 1 евро</v>
      </c>
      <c r="B1" s="5122"/>
      <c r="C1" s="5123"/>
      <c r="D1" s="4442">
        <f>+'1. Обща информация'!$C$40</f>
        <v>1.95583</v>
      </c>
      <c r="F1" s="2480"/>
      <c r="Y1" s="3678" t="s">
        <v>189</v>
      </c>
      <c r="AF1" s="3678"/>
      <c r="AM1" s="3678"/>
      <c r="AO1" s="1292"/>
      <c r="AP1" s="1292"/>
    </row>
    <row r="2" spans="1:77" ht="18.75">
      <c r="A2" s="5155" t="s">
        <v>1405</v>
      </c>
      <c r="B2" s="5155"/>
      <c r="C2" s="5155"/>
      <c r="D2" s="5155"/>
      <c r="E2" s="5155"/>
      <c r="F2" s="5155"/>
      <c r="G2" s="5155"/>
      <c r="H2" s="5155"/>
      <c r="I2" s="5155"/>
      <c r="J2" s="5155"/>
      <c r="K2" s="5155"/>
      <c r="L2" s="5155"/>
      <c r="M2" s="5155"/>
      <c r="N2" s="5155"/>
      <c r="O2" s="5155"/>
      <c r="P2" s="5155"/>
      <c r="Q2" s="5155"/>
      <c r="R2" s="5155"/>
      <c r="S2" s="5155"/>
      <c r="T2" s="5155"/>
      <c r="U2" s="5155"/>
      <c r="V2" s="5155"/>
      <c r="W2" s="5155"/>
      <c r="X2" s="5155"/>
      <c r="Y2" s="5155"/>
      <c r="Z2" s="3684"/>
      <c r="AA2" s="3684"/>
      <c r="AB2" s="3684"/>
      <c r="AC2" s="3684"/>
      <c r="AD2" s="3684"/>
      <c r="AE2" s="3684"/>
      <c r="AF2" s="3684"/>
      <c r="AG2" s="3684"/>
      <c r="AH2" s="3684"/>
      <c r="AI2" s="3684"/>
      <c r="AJ2" s="3684"/>
      <c r="AK2" s="3684"/>
      <c r="AL2" s="3684"/>
      <c r="AM2" s="3684"/>
      <c r="AN2" s="2481"/>
      <c r="AO2" s="1292"/>
      <c r="AP2" s="1292"/>
    </row>
    <row r="3" spans="1:77" ht="18.75">
      <c r="A3" s="5155" t="s">
        <v>1406</v>
      </c>
      <c r="B3" s="5155"/>
      <c r="C3" s="5155"/>
      <c r="D3" s="5155"/>
      <c r="E3" s="5155"/>
      <c r="F3" s="5155"/>
      <c r="G3" s="5155"/>
      <c r="H3" s="5155"/>
      <c r="I3" s="5155"/>
      <c r="J3" s="5155"/>
      <c r="K3" s="5155"/>
      <c r="L3" s="5155"/>
      <c r="M3" s="5155"/>
      <c r="N3" s="5155"/>
      <c r="O3" s="5155"/>
      <c r="P3" s="5155"/>
      <c r="Q3" s="5155"/>
      <c r="R3" s="5155"/>
      <c r="S3" s="5155"/>
      <c r="T3" s="5155"/>
      <c r="U3" s="5155"/>
      <c r="V3" s="5155"/>
      <c r="W3" s="5155"/>
      <c r="X3" s="5155"/>
      <c r="Y3" s="5155"/>
      <c r="Z3" s="3684"/>
      <c r="AA3" s="3684"/>
      <c r="AB3" s="3684"/>
      <c r="AC3" s="3684"/>
      <c r="AD3" s="3684"/>
      <c r="AE3" s="3684"/>
      <c r="AF3" s="3684"/>
      <c r="AG3" s="3684"/>
      <c r="AH3" s="3684"/>
      <c r="AI3" s="3684"/>
      <c r="AJ3" s="3684"/>
      <c r="AK3" s="3684"/>
      <c r="AL3" s="3684"/>
      <c r="AM3" s="3684"/>
      <c r="AN3" s="2481"/>
      <c r="AO3" s="1292"/>
      <c r="AP3" s="1292"/>
    </row>
    <row r="4" spans="1:77" ht="15.75">
      <c r="A4" s="5161" t="str">
        <f>'1. Обща информация'!A4:D4</f>
        <v>на ВОДОСНАБДЯВАНЕ И КАНАЛИЗАЦИЯ ЕООД, гр. ХАСКОВО</v>
      </c>
      <c r="B4" s="5161"/>
      <c r="C4" s="5161"/>
      <c r="D4" s="5161"/>
      <c r="E4" s="5161"/>
      <c r="F4" s="5161"/>
      <c r="G4" s="5161"/>
      <c r="H4" s="5161"/>
      <c r="I4" s="5161"/>
      <c r="J4" s="5161"/>
      <c r="K4" s="5161"/>
      <c r="L4" s="5161"/>
      <c r="M4" s="5161"/>
      <c r="N4" s="5161"/>
      <c r="O4" s="5161"/>
      <c r="P4" s="5161"/>
      <c r="Q4" s="5161"/>
      <c r="R4" s="5161"/>
      <c r="S4" s="5161"/>
      <c r="T4" s="5161"/>
      <c r="U4" s="5161"/>
      <c r="V4" s="5161"/>
      <c r="W4" s="5161"/>
      <c r="X4" s="5161"/>
      <c r="Y4" s="5161"/>
      <c r="Z4" s="3683"/>
      <c r="AA4" s="3683"/>
      <c r="AB4" s="3683"/>
      <c r="AC4" s="3683"/>
      <c r="AD4" s="3683"/>
      <c r="AE4" s="3683"/>
      <c r="AF4" s="3683"/>
      <c r="AG4" s="3683"/>
      <c r="AH4" s="3683"/>
      <c r="AI4" s="3683"/>
      <c r="AJ4" s="3683"/>
      <c r="AK4" s="3683"/>
      <c r="AL4" s="3683"/>
      <c r="AM4" s="3683"/>
      <c r="AN4" s="175"/>
      <c r="AO4" s="2482"/>
      <c r="AP4" s="175"/>
      <c r="AQ4" s="175"/>
      <c r="AR4" s="175"/>
      <c r="AS4" s="175"/>
    </row>
    <row r="5" spans="1:77" ht="15.75">
      <c r="A5" s="5161" t="str">
        <f>'1. Обща информация'!A5:D5</f>
        <v>ЕИК по БУЛСТАТ: 126004284</v>
      </c>
      <c r="B5" s="5161"/>
      <c r="C5" s="5161"/>
      <c r="D5" s="5161"/>
      <c r="E5" s="5161"/>
      <c r="F5" s="5161"/>
      <c r="G5" s="5161"/>
      <c r="H5" s="5161"/>
      <c r="I5" s="5161"/>
      <c r="J5" s="5161"/>
      <c r="K5" s="5161"/>
      <c r="L5" s="5161"/>
      <c r="M5" s="5161"/>
      <c r="N5" s="5161"/>
      <c r="O5" s="5161"/>
      <c r="P5" s="5161"/>
      <c r="Q5" s="5161"/>
      <c r="R5" s="5161"/>
      <c r="S5" s="5161"/>
      <c r="T5" s="5161"/>
      <c r="U5" s="5161"/>
      <c r="V5" s="5161"/>
      <c r="W5" s="5161"/>
      <c r="X5" s="5161"/>
      <c r="Y5" s="5161"/>
      <c r="Z5" s="3683"/>
      <c r="AA5" s="3683"/>
      <c r="AB5" s="3683"/>
      <c r="AC5" s="3683"/>
      <c r="AD5" s="3683"/>
      <c r="AE5" s="3683"/>
      <c r="AF5" s="3683"/>
      <c r="AG5" s="3683"/>
      <c r="AH5" s="3683"/>
      <c r="AI5" s="3683"/>
      <c r="AJ5" s="3683"/>
      <c r="AK5" s="3683"/>
      <c r="AL5" s="3683"/>
      <c r="AM5" s="3683"/>
      <c r="AN5" s="175"/>
      <c r="AO5" s="2482"/>
      <c r="AP5" s="175"/>
      <c r="AQ5" s="175"/>
      <c r="AR5" s="175"/>
      <c r="AS5" s="175"/>
    </row>
    <row r="6" spans="1:77" ht="16.5" thickBot="1">
      <c r="A6" s="3683"/>
      <c r="B6" s="3683"/>
      <c r="C6" s="3683"/>
      <c r="D6" s="3683"/>
      <c r="E6" s="3683"/>
      <c r="F6" s="3683"/>
      <c r="G6" s="3683"/>
      <c r="H6" s="3683"/>
      <c r="I6" s="3683"/>
      <c r="J6" s="3683"/>
      <c r="K6" s="3683"/>
      <c r="L6" s="3683"/>
      <c r="M6" s="3683"/>
      <c r="N6" s="3683"/>
      <c r="O6" s="3683"/>
      <c r="P6" s="3683"/>
      <c r="Q6" s="3683"/>
      <c r="R6" s="3683"/>
      <c r="S6" s="3683"/>
      <c r="T6" s="3683"/>
      <c r="U6" s="3683"/>
      <c r="V6" s="3683"/>
      <c r="W6" s="3683"/>
      <c r="X6" s="3683"/>
      <c r="Y6" s="3683"/>
      <c r="Z6" s="3683"/>
      <c r="AA6" s="3683"/>
      <c r="AB6" s="3683"/>
      <c r="AC6" s="3683"/>
      <c r="AD6" s="3683"/>
      <c r="AE6" s="3683"/>
      <c r="AF6" s="3683"/>
      <c r="AG6" s="3683"/>
      <c r="AH6" s="3683"/>
      <c r="AI6" s="3683"/>
      <c r="AJ6" s="3683"/>
      <c r="AK6" s="3683"/>
      <c r="AL6" s="3683"/>
      <c r="AM6" s="650" t="s">
        <v>190</v>
      </c>
      <c r="AN6" s="175"/>
      <c r="AO6" s="2482"/>
      <c r="AP6" s="175"/>
      <c r="AQ6" s="175"/>
      <c r="AR6" s="175"/>
      <c r="AS6" s="175"/>
      <c r="BY6" s="650" t="s">
        <v>1892</v>
      </c>
    </row>
    <row r="7" spans="1:77" ht="14.1" customHeight="1" thickBot="1">
      <c r="A7" s="5152" t="s">
        <v>1</v>
      </c>
      <c r="B7" s="5157" t="s">
        <v>1044</v>
      </c>
      <c r="C7" s="5157" t="s">
        <v>1043</v>
      </c>
      <c r="D7" s="5152" t="s">
        <v>87</v>
      </c>
      <c r="E7" s="5152" t="s">
        <v>210</v>
      </c>
      <c r="F7" s="5153"/>
      <c r="G7" s="5153"/>
      <c r="H7" s="5153"/>
      <c r="I7" s="5153"/>
      <c r="J7" s="5153"/>
      <c r="K7" s="5154"/>
      <c r="L7" s="5152" t="s">
        <v>174</v>
      </c>
      <c r="M7" s="5153"/>
      <c r="N7" s="5153"/>
      <c r="O7" s="5153"/>
      <c r="P7" s="5153"/>
      <c r="Q7" s="5153"/>
      <c r="R7" s="5154"/>
      <c r="S7" s="5152" t="s">
        <v>184</v>
      </c>
      <c r="T7" s="5153"/>
      <c r="U7" s="5153"/>
      <c r="V7" s="5153"/>
      <c r="W7" s="5153"/>
      <c r="X7" s="5153"/>
      <c r="Y7" s="5154"/>
      <c r="Z7" s="5152" t="s">
        <v>1029</v>
      </c>
      <c r="AA7" s="5153"/>
      <c r="AB7" s="5153"/>
      <c r="AC7" s="5153"/>
      <c r="AD7" s="5153"/>
      <c r="AE7" s="5153"/>
      <c r="AF7" s="5154"/>
      <c r="AG7" s="5152" t="s">
        <v>1092</v>
      </c>
      <c r="AH7" s="5153"/>
      <c r="AI7" s="5153"/>
      <c r="AJ7" s="5153"/>
      <c r="AK7" s="5153"/>
      <c r="AL7" s="5153"/>
      <c r="AM7" s="5154"/>
      <c r="AN7" s="2483"/>
      <c r="AO7" s="5159" t="s">
        <v>680</v>
      </c>
      <c r="AP7" s="4422"/>
      <c r="AQ7" s="5150" t="s">
        <v>210</v>
      </c>
      <c r="AR7" s="5150"/>
      <c r="AS7" s="5150"/>
      <c r="AT7" s="5150"/>
      <c r="AU7" s="5150"/>
      <c r="AV7" s="5150"/>
      <c r="AW7" s="5150"/>
      <c r="AX7" s="5150" t="s">
        <v>174</v>
      </c>
      <c r="AY7" s="5150"/>
      <c r="AZ7" s="5150"/>
      <c r="BA7" s="5150"/>
      <c r="BB7" s="5150"/>
      <c r="BC7" s="5150"/>
      <c r="BD7" s="5150"/>
      <c r="BE7" s="5150" t="s">
        <v>184</v>
      </c>
      <c r="BF7" s="5150"/>
      <c r="BG7" s="5150"/>
      <c r="BH7" s="5150"/>
      <c r="BI7" s="5150"/>
      <c r="BJ7" s="5150"/>
      <c r="BK7" s="5150"/>
      <c r="BL7" s="5150" t="s">
        <v>1029</v>
      </c>
      <c r="BM7" s="5150"/>
      <c r="BN7" s="5150"/>
      <c r="BO7" s="5150"/>
      <c r="BP7" s="5150"/>
      <c r="BQ7" s="5150"/>
      <c r="BR7" s="5150"/>
      <c r="BS7" s="5150" t="s">
        <v>1092</v>
      </c>
      <c r="BT7" s="5150"/>
      <c r="BU7" s="5150"/>
      <c r="BV7" s="5150"/>
      <c r="BW7" s="5150"/>
      <c r="BX7" s="5150"/>
      <c r="BY7" s="5150"/>
    </row>
    <row r="8" spans="1:77" ht="32.25" customHeight="1" thickBot="1">
      <c r="A8" s="5156"/>
      <c r="B8" s="5158"/>
      <c r="C8" s="5158"/>
      <c r="D8" s="5156"/>
      <c r="E8" s="2484" t="str">
        <f>(LEFT('11. Амортиз. план'!F8,4)-1)&amp;" г."</f>
        <v>2025 г.</v>
      </c>
      <c r="F8" s="2485" t="str">
        <f>'Приложение '!C13</f>
        <v>2026 г.</v>
      </c>
      <c r="G8" s="2486" t="str">
        <f>'Приложение '!C14</f>
        <v>2027 г.</v>
      </c>
      <c r="H8" s="2486" t="str">
        <f>'Приложение '!C15</f>
        <v>2028 г.</v>
      </c>
      <c r="I8" s="2486" t="str">
        <f>'Приложение '!C16</f>
        <v>2029 г.</v>
      </c>
      <c r="J8" s="2486" t="str">
        <f>'Приложение '!C17</f>
        <v>2030 г.</v>
      </c>
      <c r="K8" s="2487" t="str">
        <f>'Приложение '!C18</f>
        <v>2031 г.</v>
      </c>
      <c r="L8" s="2484" t="str">
        <f>E8</f>
        <v>2025 г.</v>
      </c>
      <c r="M8" s="2485" t="str">
        <f>F8</f>
        <v>2026 г.</v>
      </c>
      <c r="N8" s="2486" t="str">
        <f>G8</f>
        <v>2027 г.</v>
      </c>
      <c r="O8" s="2486" t="str">
        <f>H8</f>
        <v>2028 г.</v>
      </c>
      <c r="P8" s="2488" t="str">
        <f>I8</f>
        <v>2029 г.</v>
      </c>
      <c r="Q8" s="2486" t="str">
        <f t="shared" ref="Q8:AM8" si="0">J8</f>
        <v>2030 г.</v>
      </c>
      <c r="R8" s="2487" t="str">
        <f t="shared" si="0"/>
        <v>2031 г.</v>
      </c>
      <c r="S8" s="2489" t="str">
        <f t="shared" si="0"/>
        <v>2025 г.</v>
      </c>
      <c r="T8" s="2488" t="str">
        <f t="shared" si="0"/>
        <v>2026 г.</v>
      </c>
      <c r="U8" s="2486" t="str">
        <f t="shared" si="0"/>
        <v>2027 г.</v>
      </c>
      <c r="V8" s="2486" t="str">
        <f t="shared" si="0"/>
        <v>2028 г.</v>
      </c>
      <c r="W8" s="2488" t="str">
        <f t="shared" si="0"/>
        <v>2029 г.</v>
      </c>
      <c r="X8" s="2486" t="str">
        <f t="shared" si="0"/>
        <v>2030 г.</v>
      </c>
      <c r="Y8" s="2487" t="str">
        <f t="shared" si="0"/>
        <v>2031 г.</v>
      </c>
      <c r="Z8" s="2489" t="str">
        <f t="shared" si="0"/>
        <v>2025 г.</v>
      </c>
      <c r="AA8" s="2488" t="str">
        <f t="shared" si="0"/>
        <v>2026 г.</v>
      </c>
      <c r="AB8" s="2486" t="str">
        <f t="shared" si="0"/>
        <v>2027 г.</v>
      </c>
      <c r="AC8" s="2486" t="str">
        <f t="shared" si="0"/>
        <v>2028 г.</v>
      </c>
      <c r="AD8" s="2488" t="str">
        <f t="shared" si="0"/>
        <v>2029 г.</v>
      </c>
      <c r="AE8" s="2486" t="str">
        <f t="shared" si="0"/>
        <v>2030 г.</v>
      </c>
      <c r="AF8" s="2487" t="str">
        <f t="shared" si="0"/>
        <v>2031 г.</v>
      </c>
      <c r="AG8" s="2489" t="str">
        <f t="shared" si="0"/>
        <v>2025 г.</v>
      </c>
      <c r="AH8" s="2488" t="str">
        <f t="shared" si="0"/>
        <v>2026 г.</v>
      </c>
      <c r="AI8" s="2486" t="str">
        <f t="shared" si="0"/>
        <v>2027 г.</v>
      </c>
      <c r="AJ8" s="2486" t="str">
        <f t="shared" si="0"/>
        <v>2028 г.</v>
      </c>
      <c r="AK8" s="2488" t="str">
        <f t="shared" si="0"/>
        <v>2029 г.</v>
      </c>
      <c r="AL8" s="2486" t="str">
        <f t="shared" si="0"/>
        <v>2030 г.</v>
      </c>
      <c r="AM8" s="2487" t="str">
        <f t="shared" si="0"/>
        <v>2031 г.</v>
      </c>
      <c r="AN8" s="2483"/>
      <c r="AO8" s="5160"/>
      <c r="AP8" s="4422"/>
      <c r="AQ8" s="4443" t="str">
        <f>+E8</f>
        <v>2025 г.</v>
      </c>
      <c r="AR8" s="4443" t="str">
        <f t="shared" ref="AR8:AW8" si="1">+F8</f>
        <v>2026 г.</v>
      </c>
      <c r="AS8" s="4443" t="str">
        <f t="shared" si="1"/>
        <v>2027 г.</v>
      </c>
      <c r="AT8" s="4443" t="str">
        <f t="shared" si="1"/>
        <v>2028 г.</v>
      </c>
      <c r="AU8" s="4443" t="str">
        <f t="shared" si="1"/>
        <v>2029 г.</v>
      </c>
      <c r="AV8" s="4443" t="str">
        <f t="shared" si="1"/>
        <v>2030 г.</v>
      </c>
      <c r="AW8" s="4443" t="str">
        <f t="shared" si="1"/>
        <v>2031 г.</v>
      </c>
      <c r="AX8" s="4443" t="str">
        <f>AQ8</f>
        <v>2025 г.</v>
      </c>
      <c r="AY8" s="4443" t="str">
        <f>AR8</f>
        <v>2026 г.</v>
      </c>
      <c r="AZ8" s="4443" t="str">
        <f>AS8</f>
        <v>2027 г.</v>
      </c>
      <c r="BA8" s="4443" t="str">
        <f>AT8</f>
        <v>2028 г.</v>
      </c>
      <c r="BB8" s="4443" t="str">
        <f>AU8</f>
        <v>2029 г.</v>
      </c>
      <c r="BC8" s="4443" t="str">
        <f t="shared" ref="BC8" si="2">AV8</f>
        <v>2030 г.</v>
      </c>
      <c r="BD8" s="4443" t="str">
        <f t="shared" ref="BD8" si="3">AW8</f>
        <v>2031 г.</v>
      </c>
      <c r="BE8" s="4443" t="str">
        <f t="shared" ref="BE8" si="4">AX8</f>
        <v>2025 г.</v>
      </c>
      <c r="BF8" s="4443" t="str">
        <f t="shared" ref="BF8" si="5">AY8</f>
        <v>2026 г.</v>
      </c>
      <c r="BG8" s="4443" t="str">
        <f t="shared" ref="BG8" si="6">AZ8</f>
        <v>2027 г.</v>
      </c>
      <c r="BH8" s="4443" t="str">
        <f t="shared" ref="BH8" si="7">BA8</f>
        <v>2028 г.</v>
      </c>
      <c r="BI8" s="4443" t="str">
        <f t="shared" ref="BI8" si="8">BB8</f>
        <v>2029 г.</v>
      </c>
      <c r="BJ8" s="4443" t="str">
        <f t="shared" ref="BJ8" si="9">BC8</f>
        <v>2030 г.</v>
      </c>
      <c r="BK8" s="4443" t="str">
        <f t="shared" ref="BK8" si="10">BD8</f>
        <v>2031 г.</v>
      </c>
      <c r="BL8" s="4443" t="str">
        <f t="shared" ref="BL8" si="11">BE8</f>
        <v>2025 г.</v>
      </c>
      <c r="BM8" s="4443" t="str">
        <f t="shared" ref="BM8" si="12">BF8</f>
        <v>2026 г.</v>
      </c>
      <c r="BN8" s="4443" t="str">
        <f t="shared" ref="BN8" si="13">BG8</f>
        <v>2027 г.</v>
      </c>
      <c r="BO8" s="4443" t="str">
        <f t="shared" ref="BO8" si="14">BH8</f>
        <v>2028 г.</v>
      </c>
      <c r="BP8" s="4443" t="str">
        <f t="shared" ref="BP8" si="15">BI8</f>
        <v>2029 г.</v>
      </c>
      <c r="BQ8" s="4443" t="str">
        <f t="shared" ref="BQ8" si="16">BJ8</f>
        <v>2030 г.</v>
      </c>
      <c r="BR8" s="4443" t="str">
        <f t="shared" ref="BR8" si="17">BK8</f>
        <v>2031 г.</v>
      </c>
      <c r="BS8" s="4443" t="str">
        <f t="shared" ref="BS8" si="18">BL8</f>
        <v>2025 г.</v>
      </c>
      <c r="BT8" s="4443" t="str">
        <f t="shared" ref="BT8" si="19">BM8</f>
        <v>2026 г.</v>
      </c>
      <c r="BU8" s="4443" t="str">
        <f t="shared" ref="BU8" si="20">BN8</f>
        <v>2027 г.</v>
      </c>
      <c r="BV8" s="4443" t="str">
        <f t="shared" ref="BV8" si="21">BO8</f>
        <v>2028 г.</v>
      </c>
      <c r="BW8" s="4443" t="str">
        <f t="shared" ref="BW8" si="22">BP8</f>
        <v>2029 г.</v>
      </c>
      <c r="BX8" s="4443" t="str">
        <f t="shared" ref="BX8" si="23">BQ8</f>
        <v>2030 г.</v>
      </c>
      <c r="BY8" s="4443" t="str">
        <f t="shared" ref="BY8" si="24">BR8</f>
        <v>2031 г.</v>
      </c>
    </row>
    <row r="9" spans="1:77" ht="15" thickBot="1">
      <c r="A9" s="2490" t="s">
        <v>402</v>
      </c>
      <c r="B9" s="2490"/>
      <c r="C9" s="2490"/>
      <c r="D9" s="2491" t="s">
        <v>403</v>
      </c>
      <c r="E9" s="2492"/>
      <c r="F9" s="2493"/>
      <c r="G9" s="2494"/>
      <c r="H9" s="2495"/>
      <c r="I9" s="2494"/>
      <c r="J9" s="2494"/>
      <c r="K9" s="2496"/>
      <c r="L9" s="2497"/>
      <c r="M9" s="2498"/>
      <c r="N9" s="2494"/>
      <c r="O9" s="2494"/>
      <c r="P9" s="2494"/>
      <c r="Q9" s="2494"/>
      <c r="R9" s="2496"/>
      <c r="S9" s="2492"/>
      <c r="T9" s="2493"/>
      <c r="U9" s="2494"/>
      <c r="V9" s="2494"/>
      <c r="W9" s="2494"/>
      <c r="X9" s="2494"/>
      <c r="Y9" s="2496"/>
      <c r="Z9" s="2492"/>
      <c r="AA9" s="2493"/>
      <c r="AB9" s="2494"/>
      <c r="AC9" s="2494"/>
      <c r="AD9" s="2494"/>
      <c r="AE9" s="2494"/>
      <c r="AF9" s="2496"/>
      <c r="AG9" s="2492"/>
      <c r="AH9" s="2493"/>
      <c r="AI9" s="2494"/>
      <c r="AJ9" s="2494"/>
      <c r="AK9" s="2494"/>
      <c r="AL9" s="2494"/>
      <c r="AM9" s="2496"/>
      <c r="AN9" s="2499"/>
      <c r="AO9" s="2500"/>
      <c r="AP9" s="4422"/>
    </row>
    <row r="10" spans="1:77" ht="13.5" thickBot="1">
      <c r="A10" s="2501" t="s">
        <v>205</v>
      </c>
      <c r="B10" s="2502"/>
      <c r="C10" s="2502"/>
      <c r="D10" s="2502" t="s">
        <v>334</v>
      </c>
      <c r="E10" s="2503">
        <f>SUM(E11:E34)-E13-E19</f>
        <v>11324</v>
      </c>
      <c r="F10" s="2504">
        <f t="shared" ref="F10:Y10" si="25">SUM(F11:F34)-F13-F19</f>
        <v>11649.666666666672</v>
      </c>
      <c r="G10" s="2505">
        <f t="shared" si="25"/>
        <v>12662.333333333336</v>
      </c>
      <c r="H10" s="2505">
        <f t="shared" si="25"/>
        <v>13206.000000000007</v>
      </c>
      <c r="I10" s="2505">
        <f t="shared" si="25"/>
        <v>13749.666666666672</v>
      </c>
      <c r="J10" s="2505">
        <f t="shared" si="25"/>
        <v>14293.333333333336</v>
      </c>
      <c r="K10" s="2506">
        <f t="shared" si="25"/>
        <v>14837.000000000007</v>
      </c>
      <c r="L10" s="2507">
        <f t="shared" ref="L10" si="26">SUM(L11:L34)-L13-L19</f>
        <v>2035</v>
      </c>
      <c r="M10" s="2504">
        <f t="shared" si="25"/>
        <v>2291.6666666666665</v>
      </c>
      <c r="N10" s="2505">
        <f t="shared" si="25"/>
        <v>2318.333333333333</v>
      </c>
      <c r="O10" s="2505">
        <f t="shared" si="25"/>
        <v>2325.9999999999995</v>
      </c>
      <c r="P10" s="2505">
        <f t="shared" si="25"/>
        <v>2333.6666666666665</v>
      </c>
      <c r="Q10" s="2505">
        <f t="shared" si="25"/>
        <v>2341.333333333333</v>
      </c>
      <c r="R10" s="2506">
        <f t="shared" si="25"/>
        <v>2348.9999999999995</v>
      </c>
      <c r="S10" s="2507">
        <f t="shared" ref="S10" si="27">SUM(S11:S34)-S13-S19</f>
        <v>1664</v>
      </c>
      <c r="T10" s="2504">
        <f t="shared" si="25"/>
        <v>1731.6666666666667</v>
      </c>
      <c r="U10" s="2505">
        <f t="shared" si="25"/>
        <v>1754.3333333333333</v>
      </c>
      <c r="V10" s="2505">
        <f t="shared" si="25"/>
        <v>1762.0000000000002</v>
      </c>
      <c r="W10" s="2505">
        <f t="shared" si="25"/>
        <v>1769.6666666666665</v>
      </c>
      <c r="X10" s="2505">
        <f t="shared" si="25"/>
        <v>1777.3333333333333</v>
      </c>
      <c r="Y10" s="2506">
        <f t="shared" si="25"/>
        <v>1785.0000000000002</v>
      </c>
      <c r="Z10" s="2503">
        <f t="shared" ref="Z10" si="28">SUM(Z11:Z34)-Z13-Z19</f>
        <v>0</v>
      </c>
      <c r="AA10" s="2504">
        <f t="shared" ref="AA10:AM10" si="29">SUM(AA11:AA34)-AA13-AA19</f>
        <v>0</v>
      </c>
      <c r="AB10" s="2505">
        <f t="shared" si="29"/>
        <v>0</v>
      </c>
      <c r="AC10" s="2505">
        <f t="shared" si="29"/>
        <v>0</v>
      </c>
      <c r="AD10" s="2505">
        <f t="shared" si="29"/>
        <v>0</v>
      </c>
      <c r="AE10" s="2505">
        <f t="shared" si="29"/>
        <v>0</v>
      </c>
      <c r="AF10" s="2506">
        <f t="shared" si="29"/>
        <v>0</v>
      </c>
      <c r="AG10" s="2507">
        <f t="shared" si="29"/>
        <v>0</v>
      </c>
      <c r="AH10" s="2504">
        <f t="shared" si="29"/>
        <v>0</v>
      </c>
      <c r="AI10" s="2505">
        <f t="shared" si="29"/>
        <v>0</v>
      </c>
      <c r="AJ10" s="2505">
        <f t="shared" si="29"/>
        <v>0</v>
      </c>
      <c r="AK10" s="2505">
        <f t="shared" si="29"/>
        <v>0</v>
      </c>
      <c r="AL10" s="2505">
        <f t="shared" si="29"/>
        <v>0</v>
      </c>
      <c r="AM10" s="2506">
        <f t="shared" si="29"/>
        <v>0</v>
      </c>
      <c r="AN10" s="2508"/>
      <c r="AO10" s="4012">
        <f>((K10-E10)+(R10-L10)+(Y10-S10)+(AF10-Z10)+(AM10-AG10)+(K111-E111)+(R111-L111)+(Y111-S111)+(AF111-Z111)+(AM111-AG111))-('9.Инвестиционна програма'!N139+'9.Инвестиционна програма'!H139)*'11.1.Амортиз.нови активи'!E6</f>
        <v>0</v>
      </c>
      <c r="AP10" s="4422"/>
      <c r="AQ10" s="4438">
        <f>IFERROR(E10/$D$1,0)</f>
        <v>5789.8692626659786</v>
      </c>
      <c r="AR10" s="4438">
        <f t="shared" ref="AR10:BY10" si="30">IFERROR(F10/$D$1,0)</f>
        <v>5956.3799853088822</v>
      </c>
      <c r="AS10" s="4438">
        <f t="shared" si="30"/>
        <v>6474.1482303335852</v>
      </c>
      <c r="AT10" s="4438">
        <f t="shared" si="30"/>
        <v>6752.1205830772651</v>
      </c>
      <c r="AU10" s="4438">
        <f t="shared" si="30"/>
        <v>7030.0929358209414</v>
      </c>
      <c r="AV10" s="4438">
        <f t="shared" si="30"/>
        <v>7308.0652885646177</v>
      </c>
      <c r="AW10" s="4438">
        <f t="shared" si="30"/>
        <v>7586.0376413082977</v>
      </c>
      <c r="AX10" s="4438">
        <f t="shared" si="30"/>
        <v>1040.4789782343046</v>
      </c>
      <c r="AY10" s="4438">
        <f t="shared" si="30"/>
        <v>1171.7105610746673</v>
      </c>
      <c r="AZ10" s="4438">
        <f t="shared" si="30"/>
        <v>1185.3450112398998</v>
      </c>
      <c r="BA10" s="4438">
        <f t="shared" si="30"/>
        <v>1189.2649156624041</v>
      </c>
      <c r="BB10" s="4438">
        <f t="shared" si="30"/>
        <v>1193.1848200849086</v>
      </c>
      <c r="BC10" s="4438">
        <f t="shared" si="30"/>
        <v>1197.1047245074128</v>
      </c>
      <c r="BD10" s="4438">
        <f t="shared" si="30"/>
        <v>1201.0246289299171</v>
      </c>
      <c r="BE10" s="4438">
        <f t="shared" si="30"/>
        <v>850.78969031050758</v>
      </c>
      <c r="BF10" s="4438">
        <f t="shared" si="30"/>
        <v>885.38710760478511</v>
      </c>
      <c r="BG10" s="4438">
        <f t="shared" si="30"/>
        <v>896.97639024523266</v>
      </c>
      <c r="BH10" s="4438">
        <f t="shared" si="30"/>
        <v>900.89629466773715</v>
      </c>
      <c r="BI10" s="4438">
        <f t="shared" si="30"/>
        <v>904.8161990902413</v>
      </c>
      <c r="BJ10" s="4438">
        <f t="shared" si="30"/>
        <v>908.73610351274567</v>
      </c>
      <c r="BK10" s="4438">
        <f t="shared" si="30"/>
        <v>912.65600793525016</v>
      </c>
      <c r="BL10" s="4438">
        <f t="shared" si="30"/>
        <v>0</v>
      </c>
      <c r="BM10" s="4438">
        <f t="shared" si="30"/>
        <v>0</v>
      </c>
      <c r="BN10" s="4438">
        <f t="shared" si="30"/>
        <v>0</v>
      </c>
      <c r="BO10" s="4438">
        <f t="shared" si="30"/>
        <v>0</v>
      </c>
      <c r="BP10" s="4438">
        <f t="shared" si="30"/>
        <v>0</v>
      </c>
      <c r="BQ10" s="4438">
        <f t="shared" si="30"/>
        <v>0</v>
      </c>
      <c r="BR10" s="4438">
        <f t="shared" si="30"/>
        <v>0</v>
      </c>
      <c r="BS10" s="4438">
        <f t="shared" si="30"/>
        <v>0</v>
      </c>
      <c r="BT10" s="4438">
        <f t="shared" si="30"/>
        <v>0</v>
      </c>
      <c r="BU10" s="4438">
        <f t="shared" si="30"/>
        <v>0</v>
      </c>
      <c r="BV10" s="4438">
        <f t="shared" si="30"/>
        <v>0</v>
      </c>
      <c r="BW10" s="4438">
        <f t="shared" si="30"/>
        <v>0</v>
      </c>
      <c r="BX10" s="4438">
        <f t="shared" si="30"/>
        <v>0</v>
      </c>
      <c r="BY10" s="4438">
        <f t="shared" si="30"/>
        <v>0</v>
      </c>
    </row>
    <row r="11" spans="1:77">
      <c r="A11" s="2509">
        <v>1</v>
      </c>
      <c r="B11" s="2510">
        <v>20101</v>
      </c>
      <c r="C11" s="2511">
        <v>0</v>
      </c>
      <c r="D11" s="2512" t="s">
        <v>556</v>
      </c>
      <c r="E11" s="4386">
        <f>+'11.3. ДА Базова година'!H12</f>
        <v>54</v>
      </c>
      <c r="F11" s="2602">
        <f>E11+SUMIF('11.1.Амортиз.нови активи'!$B$12:$B$59,$B11,'11.1.Амортиз.нови активи'!F$12:F$59)+('9.Инвестиционна програма'!H$130*SUMIF('11.1.Амортиз.нови активи'!$B$12:$B$59,$B11,'11.1.Амортиз.нови активи'!AO$12:AO$59))</f>
        <v>54</v>
      </c>
      <c r="G11" s="2603">
        <f>F11+SUMIF('11.1.Амортиз.нови активи'!$B$12:$B$59,$B11,'11.1.Амортиз.нови активи'!G$12:G$59)+('9.Инвестиционна програма'!I$130*SUMIF('11.1.Амортиз.нови активи'!$B$12:$B$59,$B11,'11.1.Амортиз.нови активи'!AP$12:AP$59))</f>
        <v>54</v>
      </c>
      <c r="H11" s="2603">
        <f>G11+SUMIF('11.1.Амортиз.нови активи'!$B$12:$B$59,$B11,'11.1.Амортиз.нови активи'!H$12:H$59)+('9.Инвестиционна програма'!J$130*SUMIF('11.1.Амортиз.нови активи'!$B$12:$B$59,$B11,'11.1.Амортиз.нови активи'!AQ$12:AQ$59))</f>
        <v>54</v>
      </c>
      <c r="I11" s="2603">
        <f>H11+SUMIF('11.1.Амортиз.нови активи'!$B$12:$B$59,$B11,'11.1.Амортиз.нови активи'!I$12:I$59)+('9.Инвестиционна програма'!K$130*SUMIF('11.1.Амортиз.нови активи'!$B$12:$B$59,$B11,'11.1.Амортиз.нови активи'!AR$12:AR$59))</f>
        <v>54</v>
      </c>
      <c r="J11" s="2603">
        <f>I11+SUMIF('11.1.Амортиз.нови активи'!$B$12:$B$59,$B11,'11.1.Амортиз.нови активи'!J$12:J$59)+('9.Инвестиционна програма'!L$130*SUMIF('11.1.Амортиз.нови активи'!$B$12:$B$59,$B11,'11.1.Амортиз.нови активи'!AS$12:AS$59))</f>
        <v>54</v>
      </c>
      <c r="K11" s="2604">
        <f>J11+SUMIF('11.1.Амортиз.нови активи'!$B$12:$B$59,$B11,'11.1.Амортиз.нови активи'!K$12:K$59)+('9.Инвестиционна програма'!M$130*SUMIF('11.1.Амортиз.нови активи'!$B$12:$B$59,$B11,'11.1.Амортиз.нови активи'!AT$12:AT$59))</f>
        <v>54</v>
      </c>
      <c r="L11" s="4386">
        <f>+'11.3. ДА Базова година'!L12</f>
        <v>37</v>
      </c>
      <c r="M11" s="2605">
        <f>L11+SUMIF('11.1.Амортиз.нови активи'!$B$12:$B$59,$B11,'11.1.Амортиз.нови активи'!M$12:M$59)+('9.Инвестиционна програма'!H$131*SUMIF('11.1.Амортиз.нови активи'!$B$12:$B$59,$B11,'11.1.Амортиз.нови активи'!AO$12:AO$59))</f>
        <v>37</v>
      </c>
      <c r="N11" s="2603">
        <f>M11+SUMIF('11.1.Амортиз.нови активи'!$B$12:$B$59,$B11,'11.1.Амортиз.нови активи'!N$12:N$59)+('9.Инвестиционна програма'!I$131*SUMIF('11.1.Амортиз.нови активи'!$B$12:$B$59,$B11,'11.1.Амортиз.нови активи'!AP$12:AP$59))</f>
        <v>37</v>
      </c>
      <c r="O11" s="2603">
        <f>N11+SUMIF('11.1.Амортиз.нови активи'!$B$12:$B$59,$B11,'11.1.Амортиз.нови активи'!O$12:O$59)+('9.Инвестиционна програма'!J$131*SUMIF('11.1.Амортиз.нови активи'!$B$12:$B$59,$B11,'11.1.Амортиз.нови активи'!AQ$12:AQ$59))</f>
        <v>37</v>
      </c>
      <c r="P11" s="2603">
        <f>O11+SUMIF('11.1.Амортиз.нови активи'!$B$12:$B$59,$B11,'11.1.Амортиз.нови активи'!P$12:P$59)+('9.Инвестиционна програма'!K$131*SUMIF('11.1.Амортиз.нови активи'!$B$12:$B$59,$B11,'11.1.Амортиз.нови активи'!AR$12:AR$59))</f>
        <v>37</v>
      </c>
      <c r="Q11" s="2603">
        <f>P11+SUMIF('11.1.Амортиз.нови активи'!$B$12:$B$59,$B11,'11.1.Амортиз.нови активи'!Q$12:Q$59)+('9.Инвестиционна програма'!L$131*SUMIF('11.1.Амортиз.нови активи'!$B$12:$B$59,$B11,'11.1.Амортиз.нови активи'!AS$12:AS$59))</f>
        <v>37</v>
      </c>
      <c r="R11" s="2604">
        <f>Q11+SUMIF('11.1.Амортиз.нови активи'!$B$12:$B$59,$B11,'11.1.Амортиз.нови активи'!R$12:R$59)+('9.Инвестиционна програма'!M$131*SUMIF('11.1.Амортиз.нови активи'!$B$12:$B$59,$B11,'11.1.Амортиз.нови активи'!AT$12:AT$59))</f>
        <v>37</v>
      </c>
      <c r="S11" s="4386">
        <f>+'11.3. ДА Базова година'!P12</f>
        <v>73</v>
      </c>
      <c r="T11" s="2605">
        <f>S11+SUMIF('11.1.Амортиз.нови активи'!$B$12:$B$59,$B11,'11.1.Амортиз.нови активи'!T$12:T$59)+('9.Инвестиционна програма'!H$132*SUMIF('11.1.Амортиз.нови активи'!$B$12:$B$59,$B11,'11.1.Амортиз.нови активи'!AO$12:AO$59))</f>
        <v>73</v>
      </c>
      <c r="U11" s="2603">
        <f>T11+SUMIF('11.1.Амортиз.нови активи'!$B$12:$B$59,$B11,'11.1.Амортиз.нови активи'!U$12:U$59)+('9.Инвестиционна програма'!I$132*SUMIF('11.1.Амортиз.нови активи'!$B$12:$B$59,$B11,'11.1.Амортиз.нови активи'!AP$12:AP$59))</f>
        <v>73</v>
      </c>
      <c r="V11" s="2603">
        <f>U11+SUMIF('11.1.Амортиз.нови активи'!$B$12:$B$59,$B11,'11.1.Амортиз.нови активи'!V$12:V$59)+('9.Инвестиционна програма'!J$132*SUMIF('11.1.Амортиз.нови активи'!$B$12:$B$59,$B11,'11.1.Амортиз.нови активи'!AQ$12:AQ$59))</f>
        <v>73</v>
      </c>
      <c r="W11" s="2603">
        <f>V11+SUMIF('11.1.Амортиз.нови активи'!$B$12:$B$59,$B11,'11.1.Амортиз.нови активи'!W$12:W$59)+('9.Инвестиционна програма'!K$132*SUMIF('11.1.Амортиз.нови активи'!$B$12:$B$59,$B11,'11.1.Амортиз.нови активи'!AR$12:AR$59))</f>
        <v>73</v>
      </c>
      <c r="X11" s="2603">
        <f>W11+SUMIF('11.1.Амортиз.нови активи'!$B$12:$B$59,$B11,'11.1.Амортиз.нови активи'!X$12:X$59)+('9.Инвестиционна програма'!L$132*SUMIF('11.1.Амортиз.нови активи'!$B$12:$B$59,$B11,'11.1.Амортиз.нови активи'!AS$12:AS$59))</f>
        <v>73</v>
      </c>
      <c r="Y11" s="2604">
        <f>X11+SUMIF('11.1.Амортиз.нови активи'!$B$12:$B$59,$B11,'11.1.Амортиз.нови активи'!Y$12:Y$59)+('9.Инвестиционна програма'!M$132*SUMIF('11.1.Амортиз.нови активи'!$B$12:$B$59,$B11,'11.1.Амортиз.нови активи'!AT$12:AT$59))</f>
        <v>73</v>
      </c>
      <c r="Z11" s="4386">
        <f>+'11.3. ДА Базова година'!T12</f>
        <v>0</v>
      </c>
      <c r="AA11" s="2605">
        <f>Z11+SUMIF('11.1.Амортиз.нови активи'!$B$12:$B$59,$B11,'11.1.Амортиз.нови активи'!AA$12:AA$59)</f>
        <v>0</v>
      </c>
      <c r="AB11" s="2603">
        <f>AA11+SUMIF('11.1.Амортиз.нови активи'!$B$12:$B$59,$B11,'11.1.Амортиз.нови активи'!AB$12:AB$59)</f>
        <v>0</v>
      </c>
      <c r="AC11" s="2603">
        <f>AB11+SUMIF('11.1.Амортиз.нови активи'!$B$12:$B$59,$B11,'11.1.Амортиз.нови активи'!AC$12:AC$59)</f>
        <v>0</v>
      </c>
      <c r="AD11" s="2603">
        <f>AC11+SUMIF('11.1.Амортиз.нови активи'!$B$12:$B$59,$B11,'11.1.Амортиз.нови активи'!AD$12:AD$59)</f>
        <v>0</v>
      </c>
      <c r="AE11" s="2603">
        <f>AD11+SUMIF('11.1.Амортиз.нови активи'!$B$12:$B$59,$B11,'11.1.Амортиз.нови активи'!AE$12:AE$59)</f>
        <v>0</v>
      </c>
      <c r="AF11" s="2604">
        <f>AE11+SUMIF('11.1.Амортиз.нови активи'!$B$12:$B$59,$B11,'11.1.Амортиз.нови активи'!AF$12:AF$59)</f>
        <v>0</v>
      </c>
      <c r="AG11" s="4386">
        <f>+'11.3. ДА Базова година'!X12</f>
        <v>0</v>
      </c>
      <c r="AH11" s="2605">
        <f>AG11+SUMIF('11.1.Амортиз.нови активи'!$B$12:$B$59,$B11,'11.1.Амортиз.нови активи'!AH$12:AH$59)</f>
        <v>0</v>
      </c>
      <c r="AI11" s="2603">
        <f>AH11+SUMIF('11.1.Амортиз.нови активи'!$B$12:$B$59,$B11,'11.1.Амортиз.нови активи'!AI$12:AI$59)</f>
        <v>0</v>
      </c>
      <c r="AJ11" s="2603">
        <f>AI11+SUMIF('11.1.Амортиз.нови активи'!$B$12:$B$59,$B11,'11.1.Амортиз.нови активи'!AJ$12:AJ$59)</f>
        <v>0</v>
      </c>
      <c r="AK11" s="2603">
        <f>AJ11+SUMIF('11.1.Амортиз.нови активи'!$B$12:$B$59,$B11,'11.1.Амортиз.нови активи'!AK$12:AK$59)</f>
        <v>0</v>
      </c>
      <c r="AL11" s="2603">
        <f>AK11+SUMIF('11.1.Амортиз.нови активи'!$B$12:$B$59,$B11,'11.1.Амортиз.нови активи'!AL$12:AL$59)</f>
        <v>0</v>
      </c>
      <c r="AM11" s="2604">
        <f>AL11+SUMIF('11.1.Амортиз.нови активи'!$B$12:$B$59,$B11,'11.1.Амортиз.нови активи'!AM$12:AM$59)</f>
        <v>0</v>
      </c>
      <c r="AN11" s="2513"/>
      <c r="AO11" s="2514"/>
      <c r="AP11" s="4422"/>
      <c r="AQ11" s="4438">
        <f t="shared" ref="AQ11:AQ74" si="31">IFERROR(E11/$D$1,0)</f>
        <v>27.609761584595798</v>
      </c>
      <c r="AR11" s="4438">
        <f t="shared" ref="AR11:AR74" si="32">IFERROR(F11/$D$1,0)</f>
        <v>27.609761584595798</v>
      </c>
      <c r="AS11" s="4438">
        <f t="shared" ref="AS11:AS74" si="33">IFERROR(G11/$D$1,0)</f>
        <v>27.609761584595798</v>
      </c>
      <c r="AT11" s="4438">
        <f t="shared" ref="AT11:AT74" si="34">IFERROR(H11/$D$1,0)</f>
        <v>27.609761584595798</v>
      </c>
      <c r="AU11" s="4438">
        <f t="shared" ref="AU11:AU74" si="35">IFERROR(I11/$D$1,0)</f>
        <v>27.609761584595798</v>
      </c>
      <c r="AV11" s="4438">
        <f t="shared" ref="AV11:AV74" si="36">IFERROR(J11/$D$1,0)</f>
        <v>27.609761584595798</v>
      </c>
      <c r="AW11" s="4438">
        <f t="shared" ref="AW11:AW74" si="37">IFERROR(K11/$D$1,0)</f>
        <v>27.609761584595798</v>
      </c>
      <c r="AX11" s="4438">
        <f t="shared" ref="AX11:AX74" si="38">IFERROR(L11/$D$1,0)</f>
        <v>18.917799604260086</v>
      </c>
      <c r="AY11" s="4438">
        <f t="shared" ref="AY11:AY74" si="39">IFERROR(M11/$D$1,0)</f>
        <v>18.917799604260086</v>
      </c>
      <c r="AZ11" s="4438">
        <f t="shared" ref="AZ11:AZ74" si="40">IFERROR(N11/$D$1,0)</f>
        <v>18.917799604260086</v>
      </c>
      <c r="BA11" s="4438">
        <f t="shared" ref="BA11:BA74" si="41">IFERROR(O11/$D$1,0)</f>
        <v>18.917799604260086</v>
      </c>
      <c r="BB11" s="4438">
        <f t="shared" ref="BB11:BB74" si="42">IFERROR(P11/$D$1,0)</f>
        <v>18.917799604260086</v>
      </c>
      <c r="BC11" s="4438">
        <f t="shared" ref="BC11:BC74" si="43">IFERROR(Q11/$D$1,0)</f>
        <v>18.917799604260086</v>
      </c>
      <c r="BD11" s="4438">
        <f t="shared" ref="BD11:BD74" si="44">IFERROR(R11/$D$1,0)</f>
        <v>18.917799604260086</v>
      </c>
      <c r="BE11" s="4438">
        <f t="shared" ref="BE11:BE74" si="45">IFERROR(S11/$D$1,0)</f>
        <v>37.32430732732395</v>
      </c>
      <c r="BF11" s="4438">
        <f t="shared" ref="BF11:BF74" si="46">IFERROR(T11/$D$1,0)</f>
        <v>37.32430732732395</v>
      </c>
      <c r="BG11" s="4438">
        <f t="shared" ref="BG11:BG74" si="47">IFERROR(U11/$D$1,0)</f>
        <v>37.32430732732395</v>
      </c>
      <c r="BH11" s="4438">
        <f t="shared" ref="BH11:BH74" si="48">IFERROR(V11/$D$1,0)</f>
        <v>37.32430732732395</v>
      </c>
      <c r="BI11" s="4438">
        <f t="shared" ref="BI11:BI74" si="49">IFERROR(W11/$D$1,0)</f>
        <v>37.32430732732395</v>
      </c>
      <c r="BJ11" s="4438">
        <f t="shared" ref="BJ11:BJ74" si="50">IFERROR(X11/$D$1,0)</f>
        <v>37.32430732732395</v>
      </c>
      <c r="BK11" s="4438">
        <f t="shared" ref="BK11:BK74" si="51">IFERROR(Y11/$D$1,0)</f>
        <v>37.32430732732395</v>
      </c>
      <c r="BL11" s="4438">
        <f t="shared" ref="BL11:BL74" si="52">IFERROR(Z11/$D$1,0)</f>
        <v>0</v>
      </c>
      <c r="BM11" s="4438">
        <f t="shared" ref="BM11:BM74" si="53">IFERROR(AA11/$D$1,0)</f>
        <v>0</v>
      </c>
      <c r="BN11" s="4438">
        <f t="shared" ref="BN11:BN74" si="54">IFERROR(AB11/$D$1,0)</f>
        <v>0</v>
      </c>
      <c r="BO11" s="4438">
        <f t="shared" ref="BO11:BO74" si="55">IFERROR(AC11/$D$1,0)</f>
        <v>0</v>
      </c>
      <c r="BP11" s="4438">
        <f t="shared" ref="BP11:BP74" si="56">IFERROR(AD11/$D$1,0)</f>
        <v>0</v>
      </c>
      <c r="BQ11" s="4438">
        <f t="shared" ref="BQ11:BQ74" si="57">IFERROR(AE11/$D$1,0)</f>
        <v>0</v>
      </c>
      <c r="BR11" s="4438">
        <f t="shared" ref="BR11:BR74" si="58">IFERROR(AF11/$D$1,0)</f>
        <v>0</v>
      </c>
      <c r="BS11" s="4438">
        <f t="shared" ref="BS11:BS74" si="59">IFERROR(AG11/$D$1,0)</f>
        <v>0</v>
      </c>
      <c r="BT11" s="4438">
        <f t="shared" ref="BT11:BT74" si="60">IFERROR(AH11/$D$1,0)</f>
        <v>0</v>
      </c>
      <c r="BU11" s="4438">
        <f t="shared" ref="BU11:BU74" si="61">IFERROR(AI11/$D$1,0)</f>
        <v>0</v>
      </c>
      <c r="BV11" s="4438">
        <f t="shared" ref="BV11:BV74" si="62">IFERROR(AJ11/$D$1,0)</f>
        <v>0</v>
      </c>
      <c r="BW11" s="4438">
        <f t="shared" ref="BW11:BW74" si="63">IFERROR(AK11/$D$1,0)</f>
        <v>0</v>
      </c>
      <c r="BX11" s="4438">
        <f t="shared" ref="BX11:BX74" si="64">IFERROR(AL11/$D$1,0)</f>
        <v>0</v>
      </c>
      <c r="BY11" s="4438">
        <f t="shared" ref="BY11:BY74" si="65">IFERROR(AM11/$D$1,0)</f>
        <v>0</v>
      </c>
    </row>
    <row r="12" spans="1:77">
      <c r="A12" s="2515">
        <v>2</v>
      </c>
      <c r="B12" s="2516">
        <v>20201</v>
      </c>
      <c r="C12" s="2517">
        <v>0.03</v>
      </c>
      <c r="D12" s="2518" t="s">
        <v>425</v>
      </c>
      <c r="E12" s="4387">
        <f>+'11.3. ДА Базова година'!H13</f>
        <v>514</v>
      </c>
      <c r="F12" s="883">
        <f>E12+SUMIF('11.1.Амортиз.нови активи'!$B$12:$B$59,$B12,'11.1.Амортиз.нови активи'!F$12:F$59)+('9.Инвестиционна програма'!H$130*SUMIF('11.1.Амортиз.нови активи'!$B$12:$B$59,$B12,'11.1.Амортиз.нови активи'!AO$12:AO$59))</f>
        <v>530.66666666666663</v>
      </c>
      <c r="G12" s="1198">
        <f>F12+SUMIF('11.1.Амортиз.нови активи'!$B$12:$B$59,$B12,'11.1.Амортиз.нови активи'!G$12:G$59)+('9.Инвестиционна програма'!I$130*SUMIF('11.1.Амортиз.нови активи'!$B$12:$B$59,$B12,'11.1.Амортиз.нови активи'!AP$12:AP$59))</f>
        <v>530.66666666666663</v>
      </c>
      <c r="H12" s="1198">
        <f>G12+SUMIF('11.1.Амортиз.нови активи'!$B$12:$B$59,$B12,'11.1.Амортиз.нови активи'!H$12:H$59)+('9.Инвестиционна програма'!J$130*SUMIF('11.1.Амортиз.нови активи'!$B$12:$B$59,$B12,'11.1.Амортиз.нови активи'!AQ$12:AQ$59))</f>
        <v>530.66666666666663</v>
      </c>
      <c r="I12" s="1198">
        <f>H12+SUMIF('11.1.Амортиз.нови активи'!$B$12:$B$59,$B12,'11.1.Амортиз.нови активи'!I$12:I$59)+('9.Инвестиционна програма'!K$130*SUMIF('11.1.Амортиз.нови активи'!$B$12:$B$59,$B12,'11.1.Амортиз.нови активи'!AR$12:AR$59))</f>
        <v>530.66666666666663</v>
      </c>
      <c r="J12" s="1198">
        <f>I12+SUMIF('11.1.Амортиз.нови активи'!$B$12:$B$59,$B12,'11.1.Амортиз.нови активи'!J$12:J$59)+('9.Инвестиционна програма'!L$130*SUMIF('11.1.Амортиз.нови активи'!$B$12:$B$59,$B12,'11.1.Амортиз.нови активи'!AS$12:AS$59))</f>
        <v>530.66666666666663</v>
      </c>
      <c r="K12" s="1203">
        <f>J12+SUMIF('11.1.Амортиз.нови активи'!$B$12:$B$59,$B12,'11.1.Амортиз.нови активи'!K$12:K$59)+('9.Инвестиционна програма'!M$130*SUMIF('11.1.Амортиз.нови активи'!$B$12:$B$59,$B12,'11.1.Амортиз.нови активи'!AT$12:AT$59))</f>
        <v>530.66666666666663</v>
      </c>
      <c r="L12" s="4387">
        <f>+'11.3. ДА Базова година'!L13</f>
        <v>356</v>
      </c>
      <c r="M12" s="1202">
        <f>L12+SUMIF('11.1.Амортиз.нови активи'!$B$12:$B$59,$B12,'11.1.Амортиз.нови активи'!M$12:M$59)+('9.Инвестиционна програма'!H$131*SUMIF('11.1.Амортиз.нови активи'!$B$12:$B$59,$B12,'11.1.Амортиз.нови активи'!AO$12:AO$59))</f>
        <v>372.66666666666669</v>
      </c>
      <c r="N12" s="1198">
        <f>M12+SUMIF('11.1.Амортиз.нови активи'!$B$12:$B$59,$B12,'11.1.Амортиз.нови активи'!N$12:N$59)+('9.Инвестиционна програма'!I$131*SUMIF('11.1.Амортиз.нови активи'!$B$12:$B$59,$B12,'11.1.Амортиз.нови активи'!AP$12:AP$59))</f>
        <v>372.66666666666669</v>
      </c>
      <c r="O12" s="1198">
        <f>N12+SUMIF('11.1.Амортиз.нови активи'!$B$12:$B$59,$B12,'11.1.Амортиз.нови активи'!O$12:O$59)+('9.Инвестиционна програма'!J$131*SUMIF('11.1.Амортиз.нови активи'!$B$12:$B$59,$B12,'11.1.Амортиз.нови активи'!AQ$12:AQ$59))</f>
        <v>372.66666666666669</v>
      </c>
      <c r="P12" s="1198">
        <f>O12+SUMIF('11.1.Амортиз.нови активи'!$B$12:$B$59,$B12,'11.1.Амортиз.нови активи'!P$12:P$59)+('9.Инвестиционна програма'!K$131*SUMIF('11.1.Амортиз.нови активи'!$B$12:$B$59,$B12,'11.1.Амортиз.нови активи'!AR$12:AR$59))</f>
        <v>372.66666666666669</v>
      </c>
      <c r="Q12" s="1198">
        <f>P12+SUMIF('11.1.Амортиз.нови активи'!$B$12:$B$59,$B12,'11.1.Амортиз.нови активи'!Q$12:Q$59)+('9.Инвестиционна програма'!L$131*SUMIF('11.1.Амортиз.нови активи'!$B$12:$B$59,$B12,'11.1.Амортиз.нови активи'!AS$12:AS$59))</f>
        <v>372.66666666666669</v>
      </c>
      <c r="R12" s="1203">
        <f>Q12+SUMIF('11.1.Амортиз.нови активи'!$B$12:$B$59,$B12,'11.1.Амортиз.нови активи'!R$12:R$59)+('9.Инвестиционна програма'!M$131*SUMIF('11.1.Амортиз.нови активи'!$B$12:$B$59,$B12,'11.1.Амортиз.нови активи'!AT$12:AT$59))</f>
        <v>372.66666666666669</v>
      </c>
      <c r="S12" s="4387">
        <f>+'11.3. ДА Базова година'!P13</f>
        <v>701</v>
      </c>
      <c r="T12" s="1202">
        <f>S12+SUMIF('11.1.Амортиз.нови активи'!$B$12:$B$59,$B12,'11.1.Амортиз.нови активи'!T$12:T$59)+('9.Инвестиционна програма'!H$132*SUMIF('11.1.Амортиз.нови активи'!$B$12:$B$59,$B12,'11.1.Амортиз.нови активи'!AO$12:AO$59))</f>
        <v>717.66666666666663</v>
      </c>
      <c r="U12" s="1198">
        <f>T12+SUMIF('11.1.Амортиз.нови активи'!$B$12:$B$59,$B12,'11.1.Амортиз.нови активи'!U$12:U$59)+('9.Инвестиционна програма'!I$132*SUMIF('11.1.Амортиз.нови активи'!$B$12:$B$59,$B12,'11.1.Амортиз.нови активи'!AP$12:AP$59))</f>
        <v>717.66666666666663</v>
      </c>
      <c r="V12" s="1198">
        <f>U12+SUMIF('11.1.Амортиз.нови активи'!$B$12:$B$59,$B12,'11.1.Амортиз.нови активи'!V$12:V$59)+('9.Инвестиционна програма'!J$132*SUMIF('11.1.Амортиз.нови активи'!$B$12:$B$59,$B12,'11.1.Амортиз.нови активи'!AQ$12:AQ$59))</f>
        <v>717.66666666666663</v>
      </c>
      <c r="W12" s="1198">
        <f>V12+SUMIF('11.1.Амортиз.нови активи'!$B$12:$B$59,$B12,'11.1.Амортиз.нови активи'!W$12:W$59)+('9.Инвестиционна програма'!K$132*SUMIF('11.1.Амортиз.нови активи'!$B$12:$B$59,$B12,'11.1.Амортиз.нови активи'!AR$12:AR$59))</f>
        <v>717.66666666666663</v>
      </c>
      <c r="X12" s="1198">
        <f>W12+SUMIF('11.1.Амортиз.нови активи'!$B$12:$B$59,$B12,'11.1.Амортиз.нови активи'!X$12:X$59)+('9.Инвестиционна програма'!L$132*SUMIF('11.1.Амортиз.нови активи'!$B$12:$B$59,$B12,'11.1.Амортиз.нови активи'!AS$12:AS$59))</f>
        <v>717.66666666666663</v>
      </c>
      <c r="Y12" s="1203">
        <f>X12+SUMIF('11.1.Амортиз.нови активи'!$B$12:$B$59,$B12,'11.1.Амортиз.нови активи'!Y$12:Y$59)+('9.Инвестиционна програма'!M$132*SUMIF('11.1.Амортиз.нови активи'!$B$12:$B$59,$B12,'11.1.Амортиз.нови активи'!AT$12:AT$59))</f>
        <v>717.66666666666663</v>
      </c>
      <c r="Z12" s="4387">
        <f>+'11.3. ДА Базова година'!T13</f>
        <v>0</v>
      </c>
      <c r="AA12" s="1202">
        <f>Z12+SUMIF('11.1.Амортиз.нови активи'!$B$12:$B$59,$B12,'11.1.Амортиз.нови активи'!AA$12:AA$59)</f>
        <v>0</v>
      </c>
      <c r="AB12" s="1198">
        <f>AA12+SUMIF('11.1.Амортиз.нови активи'!$B$12:$B$59,$B12,'11.1.Амортиз.нови активи'!AB$12:AB$59)</f>
        <v>0</v>
      </c>
      <c r="AC12" s="1198">
        <f>AB12+SUMIF('11.1.Амортиз.нови активи'!$B$12:$B$59,$B12,'11.1.Амортиз.нови активи'!AC$12:AC$59)</f>
        <v>0</v>
      </c>
      <c r="AD12" s="1198">
        <f>AC12+SUMIF('11.1.Амортиз.нови активи'!$B$12:$B$59,$B12,'11.1.Амортиз.нови активи'!AD$12:AD$59)</f>
        <v>0</v>
      </c>
      <c r="AE12" s="1198">
        <f>AD12+SUMIF('11.1.Амортиз.нови активи'!$B$12:$B$59,$B12,'11.1.Амортиз.нови активи'!AE$12:AE$59)</f>
        <v>0</v>
      </c>
      <c r="AF12" s="1203">
        <f>AE12+SUMIF('11.1.Амортиз.нови активи'!$B$12:$B$59,$B12,'11.1.Амортиз.нови активи'!AF$12:AF$59)</f>
        <v>0</v>
      </c>
      <c r="AG12" s="4387">
        <f>+'11.3. ДА Базова година'!X13</f>
        <v>0</v>
      </c>
      <c r="AH12" s="1202">
        <f>AG12+SUMIF('11.1.Амортиз.нови активи'!$B$12:$B$59,$B12,'11.1.Амортиз.нови активи'!AH$12:AH$59)</f>
        <v>0</v>
      </c>
      <c r="AI12" s="1198">
        <f>AH12+SUMIF('11.1.Амортиз.нови активи'!$B$12:$B$59,$B12,'11.1.Амортиз.нови активи'!AI$12:AI$59)</f>
        <v>0</v>
      </c>
      <c r="AJ12" s="1198">
        <f>AI12+SUMIF('11.1.Амортиз.нови активи'!$B$12:$B$59,$B12,'11.1.Амортиз.нови активи'!AJ$12:AJ$59)</f>
        <v>0</v>
      </c>
      <c r="AK12" s="1198">
        <f>AJ12+SUMIF('11.1.Амортиз.нови активи'!$B$12:$B$59,$B12,'11.1.Амортиз.нови активи'!AK$12:AK$59)</f>
        <v>0</v>
      </c>
      <c r="AL12" s="1198">
        <f>AK12+SUMIF('11.1.Амортиз.нови активи'!$B$12:$B$59,$B12,'11.1.Амортиз.нови активи'!AL$12:AL$59)</f>
        <v>0</v>
      </c>
      <c r="AM12" s="1203">
        <f>AL12+SUMIF('11.1.Амортиз.нови активи'!$B$12:$B$59,$B12,'11.1.Амортиз.нови активи'!AM$12:AM$59)</f>
        <v>0</v>
      </c>
      <c r="AN12" s="2513"/>
      <c r="AO12" s="2519"/>
      <c r="AP12" s="4422"/>
      <c r="AQ12" s="4438">
        <f t="shared" si="31"/>
        <v>262.80402693485632</v>
      </c>
      <c r="AR12" s="4438">
        <f t="shared" si="32"/>
        <v>271.32555828812662</v>
      </c>
      <c r="AS12" s="4438">
        <f t="shared" si="33"/>
        <v>271.32555828812662</v>
      </c>
      <c r="AT12" s="4438">
        <f t="shared" si="34"/>
        <v>271.32555828812662</v>
      </c>
      <c r="AU12" s="4438">
        <f t="shared" si="35"/>
        <v>271.32555828812662</v>
      </c>
      <c r="AV12" s="4438">
        <f t="shared" si="36"/>
        <v>271.32555828812662</v>
      </c>
      <c r="AW12" s="4438">
        <f t="shared" si="37"/>
        <v>271.32555828812662</v>
      </c>
      <c r="AX12" s="4438">
        <f t="shared" si="38"/>
        <v>182.01990970585379</v>
      </c>
      <c r="AY12" s="4438">
        <f t="shared" si="39"/>
        <v>190.54144105912411</v>
      </c>
      <c r="AZ12" s="4438">
        <f t="shared" si="40"/>
        <v>190.54144105912411</v>
      </c>
      <c r="BA12" s="4438">
        <f t="shared" si="41"/>
        <v>190.54144105912411</v>
      </c>
      <c r="BB12" s="4438">
        <f t="shared" si="42"/>
        <v>190.54144105912411</v>
      </c>
      <c r="BC12" s="4438">
        <f t="shared" si="43"/>
        <v>190.54144105912411</v>
      </c>
      <c r="BD12" s="4438">
        <f t="shared" si="44"/>
        <v>190.54144105912411</v>
      </c>
      <c r="BE12" s="4438">
        <f t="shared" si="45"/>
        <v>358.41560871854915</v>
      </c>
      <c r="BF12" s="4438">
        <f t="shared" si="46"/>
        <v>366.93714007181944</v>
      </c>
      <c r="BG12" s="4438">
        <f t="shared" si="47"/>
        <v>366.93714007181944</v>
      </c>
      <c r="BH12" s="4438">
        <f t="shared" si="48"/>
        <v>366.93714007181944</v>
      </c>
      <c r="BI12" s="4438">
        <f t="shared" si="49"/>
        <v>366.93714007181944</v>
      </c>
      <c r="BJ12" s="4438">
        <f t="shared" si="50"/>
        <v>366.93714007181944</v>
      </c>
      <c r="BK12" s="4438">
        <f t="shared" si="51"/>
        <v>366.93714007181944</v>
      </c>
      <c r="BL12" s="4438">
        <f t="shared" si="52"/>
        <v>0</v>
      </c>
      <c r="BM12" s="4438">
        <f t="shared" si="53"/>
        <v>0</v>
      </c>
      <c r="BN12" s="4438">
        <f t="shared" si="54"/>
        <v>0</v>
      </c>
      <c r="BO12" s="4438">
        <f t="shared" si="55"/>
        <v>0</v>
      </c>
      <c r="BP12" s="4438">
        <f t="shared" si="56"/>
        <v>0</v>
      </c>
      <c r="BQ12" s="4438">
        <f t="shared" si="57"/>
        <v>0</v>
      </c>
      <c r="BR12" s="4438">
        <f t="shared" si="58"/>
        <v>0</v>
      </c>
      <c r="BS12" s="4438">
        <f t="shared" si="59"/>
        <v>0</v>
      </c>
      <c r="BT12" s="4438">
        <f t="shared" si="60"/>
        <v>0</v>
      </c>
      <c r="BU12" s="4438">
        <f t="shared" si="61"/>
        <v>0</v>
      </c>
      <c r="BV12" s="4438">
        <f t="shared" si="62"/>
        <v>0</v>
      </c>
      <c r="BW12" s="4438">
        <f t="shared" si="63"/>
        <v>0</v>
      </c>
      <c r="BX12" s="4438">
        <f t="shared" si="64"/>
        <v>0</v>
      </c>
      <c r="BY12" s="4438">
        <f t="shared" si="65"/>
        <v>0</v>
      </c>
    </row>
    <row r="13" spans="1:77" ht="24">
      <c r="A13" s="2515">
        <v>3</v>
      </c>
      <c r="B13" s="2516">
        <v>203</v>
      </c>
      <c r="C13" s="2517"/>
      <c r="D13" s="2520" t="s">
        <v>405</v>
      </c>
      <c r="E13" s="4058">
        <f>SUM(E14:E17)</f>
        <v>4476</v>
      </c>
      <c r="F13" s="2607">
        <f>SUM(F14:F17)</f>
        <v>4675</v>
      </c>
      <c r="G13" s="2608">
        <f t="shared" ref="G13:Y13" si="66">SUM(G14:G17)</f>
        <v>4692.666666666667</v>
      </c>
      <c r="H13" s="2608">
        <f t="shared" si="66"/>
        <v>4695.333333333333</v>
      </c>
      <c r="I13" s="2608">
        <f t="shared" si="66"/>
        <v>4698</v>
      </c>
      <c r="J13" s="2608">
        <f t="shared" si="66"/>
        <v>4700.666666666667</v>
      </c>
      <c r="K13" s="2609">
        <f t="shared" si="66"/>
        <v>4703.333333333333</v>
      </c>
      <c r="L13" s="4058">
        <f>SUM(L14:L17)</f>
        <v>34</v>
      </c>
      <c r="M13" s="2607">
        <f t="shared" si="66"/>
        <v>234</v>
      </c>
      <c r="N13" s="2608">
        <f t="shared" si="66"/>
        <v>255.66666666666666</v>
      </c>
      <c r="O13" s="2608">
        <f t="shared" si="66"/>
        <v>258.33333333333331</v>
      </c>
      <c r="P13" s="2608">
        <f t="shared" si="66"/>
        <v>261</v>
      </c>
      <c r="Q13" s="2608">
        <f t="shared" si="66"/>
        <v>263.66666666666669</v>
      </c>
      <c r="R13" s="2608">
        <f t="shared" si="66"/>
        <v>266.33333333333331</v>
      </c>
      <c r="S13" s="4058">
        <f>SUM(S14:S17)</f>
        <v>79</v>
      </c>
      <c r="T13" s="2607">
        <f t="shared" si="66"/>
        <v>100</v>
      </c>
      <c r="U13" s="2608">
        <f t="shared" si="66"/>
        <v>117.66666666666666</v>
      </c>
      <c r="V13" s="2608">
        <f t="shared" si="66"/>
        <v>120.33333333333333</v>
      </c>
      <c r="W13" s="2608">
        <f t="shared" si="66"/>
        <v>123</v>
      </c>
      <c r="X13" s="2608">
        <f t="shared" si="66"/>
        <v>125.66666666666666</v>
      </c>
      <c r="Y13" s="2609">
        <f t="shared" si="66"/>
        <v>128.33333333333331</v>
      </c>
      <c r="Z13" s="4058">
        <f>SUM(Z14:Z17)</f>
        <v>0</v>
      </c>
      <c r="AA13" s="2607">
        <f t="shared" ref="AA13:AF13" si="67">SUM(AA14:AA17)</f>
        <v>0</v>
      </c>
      <c r="AB13" s="2608">
        <f t="shared" si="67"/>
        <v>0</v>
      </c>
      <c r="AC13" s="2608">
        <f t="shared" si="67"/>
        <v>0</v>
      </c>
      <c r="AD13" s="2608">
        <f t="shared" si="67"/>
        <v>0</v>
      </c>
      <c r="AE13" s="2608">
        <f t="shared" si="67"/>
        <v>0</v>
      </c>
      <c r="AF13" s="2609">
        <f t="shared" si="67"/>
        <v>0</v>
      </c>
      <c r="AG13" s="4058">
        <f>SUM(AG14:AG17)</f>
        <v>0</v>
      </c>
      <c r="AH13" s="2607">
        <f t="shared" ref="AH13:AM13" si="68">SUM(AH14:AH17)</f>
        <v>0</v>
      </c>
      <c r="AI13" s="2608">
        <f t="shared" si="68"/>
        <v>0</v>
      </c>
      <c r="AJ13" s="2608">
        <f t="shared" si="68"/>
        <v>0</v>
      </c>
      <c r="AK13" s="2608">
        <f t="shared" si="68"/>
        <v>0</v>
      </c>
      <c r="AL13" s="2608">
        <f t="shared" si="68"/>
        <v>0</v>
      </c>
      <c r="AM13" s="2609">
        <f t="shared" si="68"/>
        <v>0</v>
      </c>
      <c r="AN13" s="2513"/>
      <c r="AO13" s="2521"/>
      <c r="AP13" s="4422"/>
      <c r="AQ13" s="4438">
        <f t="shared" si="31"/>
        <v>2288.5424602342741</v>
      </c>
      <c r="AR13" s="4438">
        <f t="shared" si="32"/>
        <v>2390.2895445923214</v>
      </c>
      <c r="AS13" s="4438">
        <f t="shared" si="33"/>
        <v>2399.3223678267882</v>
      </c>
      <c r="AT13" s="4438">
        <f t="shared" si="34"/>
        <v>2400.6858128433109</v>
      </c>
      <c r="AU13" s="4438">
        <f t="shared" si="35"/>
        <v>2402.0492578598346</v>
      </c>
      <c r="AV13" s="4438">
        <f t="shared" si="36"/>
        <v>2403.4127028763578</v>
      </c>
      <c r="AW13" s="4438">
        <f t="shared" si="37"/>
        <v>2404.776147892881</v>
      </c>
      <c r="AX13" s="4438">
        <f t="shared" si="38"/>
        <v>17.383923960671428</v>
      </c>
      <c r="AY13" s="4438">
        <f t="shared" si="39"/>
        <v>119.64230019991513</v>
      </c>
      <c r="AZ13" s="4438">
        <f t="shared" si="40"/>
        <v>130.72029095916653</v>
      </c>
      <c r="BA13" s="4438">
        <f t="shared" si="41"/>
        <v>132.08373597568976</v>
      </c>
      <c r="BB13" s="4438">
        <f t="shared" si="42"/>
        <v>133.44718099221302</v>
      </c>
      <c r="BC13" s="4438">
        <f t="shared" si="43"/>
        <v>134.81062600873628</v>
      </c>
      <c r="BD13" s="4438">
        <f t="shared" si="44"/>
        <v>136.17407102525951</v>
      </c>
      <c r="BE13" s="4438">
        <f t="shared" si="45"/>
        <v>40.392058614501259</v>
      </c>
      <c r="BF13" s="4438">
        <f t="shared" si="46"/>
        <v>51.129188119621851</v>
      </c>
      <c r="BG13" s="4438">
        <f t="shared" si="47"/>
        <v>60.162011354088371</v>
      </c>
      <c r="BH13" s="4438">
        <f t="shared" si="48"/>
        <v>61.525456370611622</v>
      </c>
      <c r="BI13" s="4438">
        <f t="shared" si="49"/>
        <v>62.888901387134872</v>
      </c>
      <c r="BJ13" s="4438">
        <f t="shared" si="50"/>
        <v>64.252346403658123</v>
      </c>
      <c r="BK13" s="4438">
        <f t="shared" si="51"/>
        <v>65.615791420181367</v>
      </c>
      <c r="BL13" s="4438">
        <f t="shared" si="52"/>
        <v>0</v>
      </c>
      <c r="BM13" s="4438">
        <f t="shared" si="53"/>
        <v>0</v>
      </c>
      <c r="BN13" s="4438">
        <f t="shared" si="54"/>
        <v>0</v>
      </c>
      <c r="BO13" s="4438">
        <f t="shared" si="55"/>
        <v>0</v>
      </c>
      <c r="BP13" s="4438">
        <f t="shared" si="56"/>
        <v>0</v>
      </c>
      <c r="BQ13" s="4438">
        <f t="shared" si="57"/>
        <v>0</v>
      </c>
      <c r="BR13" s="4438">
        <f t="shared" si="58"/>
        <v>0</v>
      </c>
      <c r="BS13" s="4438">
        <f t="shared" si="59"/>
        <v>0</v>
      </c>
      <c r="BT13" s="4438">
        <f t="shared" si="60"/>
        <v>0</v>
      </c>
      <c r="BU13" s="4438">
        <f t="shared" si="61"/>
        <v>0</v>
      </c>
      <c r="BV13" s="4438">
        <f t="shared" si="62"/>
        <v>0</v>
      </c>
      <c r="BW13" s="4438">
        <f t="shared" si="63"/>
        <v>0</v>
      </c>
      <c r="BX13" s="4438">
        <f t="shared" si="64"/>
        <v>0</v>
      </c>
      <c r="BY13" s="4438">
        <f t="shared" si="65"/>
        <v>0</v>
      </c>
    </row>
    <row r="14" spans="1:77">
      <c r="A14" s="2515"/>
      <c r="B14" s="2516">
        <v>20301</v>
      </c>
      <c r="C14" s="2522">
        <v>0.1</v>
      </c>
      <c r="D14" s="2523" t="s">
        <v>427</v>
      </c>
      <c r="E14" s="4387">
        <f>+'11.3. ДА Базова година'!H15</f>
        <v>84</v>
      </c>
      <c r="F14" s="883">
        <f>E14+SUMIF('11.1.Амортиз.нови активи'!$B$12:$B$59,$B14,'11.1.Амортиз.нови активи'!F$12:F$59)+('9.Инвестиционна програма'!H$130*SUMIF('11.1.Амортиз.нови активи'!$B$12:$B$59,$B14,'11.1.Амортиз.нови активи'!AO$12:AO$59))</f>
        <v>84</v>
      </c>
      <c r="G14" s="1198">
        <f>F14+SUMIF('11.1.Амортиз.нови активи'!$B$12:$B$59,$B14,'11.1.Амортиз.нови активи'!G$12:G$59)+('9.Инвестиционна програма'!I$130*SUMIF('11.1.Амортиз.нови активи'!$B$12:$B$59,$B14,'11.1.Амортиз.нови активи'!AP$12:AP$59))</f>
        <v>84</v>
      </c>
      <c r="H14" s="1198">
        <f>G14+SUMIF('11.1.Амортиз.нови активи'!$B$12:$B$59,$B14,'11.1.Амортиз.нови активи'!H$12:H$59)+('9.Инвестиционна програма'!J$130*SUMIF('11.1.Амортиз.нови активи'!$B$12:$B$59,$B14,'11.1.Амортиз.нови активи'!AQ$12:AQ$59))</f>
        <v>84</v>
      </c>
      <c r="I14" s="1198">
        <f>H14+SUMIF('11.1.Амортиз.нови активи'!$B$12:$B$59,$B14,'11.1.Амортиз.нови активи'!I$12:I$59)+('9.Инвестиционна програма'!K$130*SUMIF('11.1.Амортиз.нови активи'!$B$12:$B$59,$B14,'11.1.Амортиз.нови активи'!AR$12:AR$59))</f>
        <v>84</v>
      </c>
      <c r="J14" s="1198">
        <f>I14+SUMIF('11.1.Амортиз.нови активи'!$B$12:$B$59,$B14,'11.1.Амортиз.нови активи'!J$12:J$59)+('9.Инвестиционна програма'!L$130*SUMIF('11.1.Амортиз.нови активи'!$B$12:$B$59,$B14,'11.1.Амортиз.нови активи'!AS$12:AS$59))</f>
        <v>84</v>
      </c>
      <c r="K14" s="1203">
        <f>J14+SUMIF('11.1.Амортиз.нови активи'!$B$12:$B$59,$B14,'11.1.Амортиз.нови активи'!K$12:K$59)+('9.Инвестиционна програма'!M$130*SUMIF('11.1.Амортиз.нови активи'!$B$12:$B$59,$B14,'11.1.Амортиз.нови активи'!AT$12:AT$59))</f>
        <v>84</v>
      </c>
      <c r="L14" s="4387">
        <f>+'11.3. ДА Базова година'!L15</f>
        <v>0</v>
      </c>
      <c r="M14" s="1202">
        <f>L14+SUMIF('11.1.Амортиз.нови активи'!$B$12:$B$59,$B14,'11.1.Амортиз.нови активи'!M$12:M$59)+('9.Инвестиционна програма'!H$131*SUMIF('11.1.Амортиз.нови активи'!$B$12:$B$59,$B14,'11.1.Амортиз.нови активи'!AO$12:AO$59))</f>
        <v>0</v>
      </c>
      <c r="N14" s="1198">
        <f>M14+SUMIF('11.1.Амортиз.нови активи'!$B$12:$B$59,$B14,'11.1.Амортиз.нови активи'!N$12:N$59)+('9.Инвестиционна програма'!I$131*SUMIF('11.1.Амортиз.нови активи'!$B$12:$B$59,$B14,'11.1.Амортиз.нови активи'!AP$12:AP$59))</f>
        <v>0</v>
      </c>
      <c r="O14" s="1198">
        <f>N14+SUMIF('11.1.Амортиз.нови активи'!$B$12:$B$59,$B14,'11.1.Амортиз.нови активи'!O$12:O$59)+('9.Инвестиционна програма'!J$131*SUMIF('11.1.Амортиз.нови активи'!$B$12:$B$59,$B14,'11.1.Амортиз.нови активи'!AQ$12:AQ$59))</f>
        <v>0</v>
      </c>
      <c r="P14" s="1198">
        <f>O14+SUMIF('11.1.Амортиз.нови активи'!$B$12:$B$59,$B14,'11.1.Амортиз.нови активи'!P$12:P$59)+('9.Инвестиционна програма'!K$131*SUMIF('11.1.Амортиз.нови активи'!$B$12:$B$59,$B14,'11.1.Амортиз.нови активи'!AR$12:AR$59))</f>
        <v>0</v>
      </c>
      <c r="Q14" s="1198">
        <f>P14+SUMIF('11.1.Амортиз.нови активи'!$B$12:$B$59,$B14,'11.1.Амортиз.нови активи'!Q$12:Q$59)+('9.Инвестиционна програма'!L$131*SUMIF('11.1.Амортиз.нови активи'!$B$12:$B$59,$B14,'11.1.Амортиз.нови активи'!AS$12:AS$59))</f>
        <v>0</v>
      </c>
      <c r="R14" s="1203">
        <f>Q14+SUMIF('11.1.Амортиз.нови активи'!$B$12:$B$59,$B14,'11.1.Амортиз.нови активи'!R$12:R$59)+('9.Инвестиционна програма'!M$131*SUMIF('11.1.Амортиз.нови активи'!$B$12:$B$59,$B14,'11.1.Амортиз.нови активи'!AT$12:AT$59))</f>
        <v>0</v>
      </c>
      <c r="S14" s="4387">
        <f>+'11.3. ДА Базова година'!P15</f>
        <v>1</v>
      </c>
      <c r="T14" s="1202">
        <f>S14+SUMIF('11.1.Амортиз.нови активи'!$B$12:$B$59,$B14,'11.1.Амортиз.нови активи'!T$12:T$59)+('9.Инвестиционна програма'!H$132*SUMIF('11.1.Амортиз.нови активи'!$B$12:$B$59,$B14,'11.1.Амортиз.нови активи'!AO$12:AO$59))</f>
        <v>1</v>
      </c>
      <c r="U14" s="1198">
        <f>T14+SUMIF('11.1.Амортиз.нови активи'!$B$12:$B$59,$B14,'11.1.Амортиз.нови активи'!U$12:U$59)+('9.Инвестиционна програма'!I$132*SUMIF('11.1.Амортиз.нови активи'!$B$12:$B$59,$B14,'11.1.Амортиз.нови активи'!AP$12:AP$59))</f>
        <v>1</v>
      </c>
      <c r="V14" s="1198">
        <f>U14+SUMIF('11.1.Амортиз.нови активи'!$B$12:$B$59,$B14,'11.1.Амортиз.нови активи'!V$12:V$59)+('9.Инвестиционна програма'!J$132*SUMIF('11.1.Амортиз.нови активи'!$B$12:$B$59,$B14,'11.1.Амортиз.нови активи'!AQ$12:AQ$59))</f>
        <v>1</v>
      </c>
      <c r="W14" s="1198">
        <f>V14+SUMIF('11.1.Амортиз.нови активи'!$B$12:$B$59,$B14,'11.1.Амортиз.нови активи'!W$12:W$59)+('9.Инвестиционна програма'!K$132*SUMIF('11.1.Амортиз.нови активи'!$B$12:$B$59,$B14,'11.1.Амортиз.нови активи'!AR$12:AR$59))</f>
        <v>1</v>
      </c>
      <c r="X14" s="1198">
        <f>W14+SUMIF('11.1.Амортиз.нови активи'!$B$12:$B$59,$B14,'11.1.Амортиз.нови активи'!X$12:X$59)+('9.Инвестиционна програма'!L$132*SUMIF('11.1.Амортиз.нови активи'!$B$12:$B$59,$B14,'11.1.Амортиз.нови активи'!AS$12:AS$59))</f>
        <v>1</v>
      </c>
      <c r="Y14" s="1203">
        <f>X14+SUMIF('11.1.Амортиз.нови активи'!$B$12:$B$59,$B14,'11.1.Амортиз.нови активи'!Y$12:Y$59)+('9.Инвестиционна програма'!M$132*SUMIF('11.1.Амортиз.нови активи'!$B$12:$B$59,$B14,'11.1.Амортиз.нови активи'!AT$12:AT$59))</f>
        <v>1</v>
      </c>
      <c r="Z14" s="4387">
        <f>+'11.3. ДА Базова година'!T15</f>
        <v>0</v>
      </c>
      <c r="AA14" s="1202">
        <f>Z14+SUMIF('11.1.Амортиз.нови активи'!$B$12:$B$59,$B14,'11.1.Амортиз.нови активи'!AA$12:AA$59)</f>
        <v>0</v>
      </c>
      <c r="AB14" s="1198">
        <f>AA14+SUMIF('11.1.Амортиз.нови активи'!$B$12:$B$59,$B14,'11.1.Амортиз.нови активи'!AB$12:AB$59)</f>
        <v>0</v>
      </c>
      <c r="AC14" s="1198">
        <f>AB14+SUMIF('11.1.Амортиз.нови активи'!$B$12:$B$59,$B14,'11.1.Амортиз.нови активи'!AC$12:AC$59)</f>
        <v>0</v>
      </c>
      <c r="AD14" s="1198">
        <f>AC14+SUMIF('11.1.Амортиз.нови активи'!$B$12:$B$59,$B14,'11.1.Амортиз.нови активи'!AD$12:AD$59)</f>
        <v>0</v>
      </c>
      <c r="AE14" s="1198">
        <f>AD14+SUMIF('11.1.Амортиз.нови активи'!$B$12:$B$59,$B14,'11.1.Амортиз.нови активи'!AE$12:AE$59)</f>
        <v>0</v>
      </c>
      <c r="AF14" s="1203">
        <f>AE14+SUMIF('11.1.Амортиз.нови активи'!$B$12:$B$59,$B14,'11.1.Амортиз.нови активи'!AF$12:AF$59)</f>
        <v>0</v>
      </c>
      <c r="AG14" s="4387">
        <f>+'11.3. ДА Базова година'!X15</f>
        <v>0</v>
      </c>
      <c r="AH14" s="1202">
        <f>AG14+SUMIF('11.1.Амортиз.нови активи'!$B$12:$B$59,$B14,'11.1.Амортиз.нови активи'!AH$12:AH$59)</f>
        <v>0</v>
      </c>
      <c r="AI14" s="1198">
        <f>AH14+SUMIF('11.1.Амортиз.нови активи'!$B$12:$B$59,$B14,'11.1.Амортиз.нови активи'!AI$12:AI$59)</f>
        <v>0</v>
      </c>
      <c r="AJ14" s="1198">
        <f>AI14+SUMIF('11.1.Амортиз.нови активи'!$B$12:$B$59,$B14,'11.1.Амортиз.нови активи'!AJ$12:AJ$59)</f>
        <v>0</v>
      </c>
      <c r="AK14" s="1198">
        <f>AJ14+SUMIF('11.1.Амортиз.нови активи'!$B$12:$B$59,$B14,'11.1.Амортиз.нови активи'!AK$12:AK$59)</f>
        <v>0</v>
      </c>
      <c r="AL14" s="1198">
        <f>AK14+SUMIF('11.1.Амортиз.нови активи'!$B$12:$B$59,$B14,'11.1.Амортиз.нови активи'!AL$12:AL$59)</f>
        <v>0</v>
      </c>
      <c r="AM14" s="1203">
        <f>AL14+SUMIF('11.1.Амортиз.нови активи'!$B$12:$B$59,$B14,'11.1.Амортиз.нови активи'!AM$12:AM$59)</f>
        <v>0</v>
      </c>
      <c r="AN14" s="2524"/>
      <c r="AO14" s="2521"/>
      <c r="AP14" s="4422"/>
      <c r="AQ14" s="4438">
        <f t="shared" si="31"/>
        <v>42.948518020482354</v>
      </c>
      <c r="AR14" s="4438">
        <f t="shared" si="32"/>
        <v>42.948518020482354</v>
      </c>
      <c r="AS14" s="4438">
        <f t="shared" si="33"/>
        <v>42.948518020482354</v>
      </c>
      <c r="AT14" s="4438">
        <f t="shared" si="34"/>
        <v>42.948518020482354</v>
      </c>
      <c r="AU14" s="4438">
        <f t="shared" si="35"/>
        <v>42.948518020482354</v>
      </c>
      <c r="AV14" s="4438">
        <f t="shared" si="36"/>
        <v>42.948518020482354</v>
      </c>
      <c r="AW14" s="4438">
        <f t="shared" si="37"/>
        <v>42.948518020482354</v>
      </c>
      <c r="AX14" s="4438">
        <f t="shared" si="38"/>
        <v>0</v>
      </c>
      <c r="AY14" s="4438">
        <f t="shared" si="39"/>
        <v>0</v>
      </c>
      <c r="AZ14" s="4438">
        <f t="shared" si="40"/>
        <v>0</v>
      </c>
      <c r="BA14" s="4438">
        <f t="shared" si="41"/>
        <v>0</v>
      </c>
      <c r="BB14" s="4438">
        <f t="shared" si="42"/>
        <v>0</v>
      </c>
      <c r="BC14" s="4438">
        <f t="shared" si="43"/>
        <v>0</v>
      </c>
      <c r="BD14" s="4438">
        <f t="shared" si="44"/>
        <v>0</v>
      </c>
      <c r="BE14" s="4438">
        <f t="shared" si="45"/>
        <v>0.51129188119621849</v>
      </c>
      <c r="BF14" s="4438">
        <f t="shared" si="46"/>
        <v>0.51129188119621849</v>
      </c>
      <c r="BG14" s="4438">
        <f t="shared" si="47"/>
        <v>0.51129188119621849</v>
      </c>
      <c r="BH14" s="4438">
        <f t="shared" si="48"/>
        <v>0.51129188119621849</v>
      </c>
      <c r="BI14" s="4438">
        <f t="shared" si="49"/>
        <v>0.51129188119621849</v>
      </c>
      <c r="BJ14" s="4438">
        <f t="shared" si="50"/>
        <v>0.51129188119621849</v>
      </c>
      <c r="BK14" s="4438">
        <f t="shared" si="51"/>
        <v>0.51129188119621849</v>
      </c>
      <c r="BL14" s="4438">
        <f t="shared" si="52"/>
        <v>0</v>
      </c>
      <c r="BM14" s="4438">
        <f t="shared" si="53"/>
        <v>0</v>
      </c>
      <c r="BN14" s="4438">
        <f t="shared" si="54"/>
        <v>0</v>
      </c>
      <c r="BO14" s="4438">
        <f t="shared" si="55"/>
        <v>0</v>
      </c>
      <c r="BP14" s="4438">
        <f t="shared" si="56"/>
        <v>0</v>
      </c>
      <c r="BQ14" s="4438">
        <f t="shared" si="57"/>
        <v>0</v>
      </c>
      <c r="BR14" s="4438">
        <f t="shared" si="58"/>
        <v>0</v>
      </c>
      <c r="BS14" s="4438">
        <f t="shared" si="59"/>
        <v>0</v>
      </c>
      <c r="BT14" s="4438">
        <f t="shared" si="60"/>
        <v>0</v>
      </c>
      <c r="BU14" s="4438">
        <f t="shared" si="61"/>
        <v>0</v>
      </c>
      <c r="BV14" s="4438">
        <f t="shared" si="62"/>
        <v>0</v>
      </c>
      <c r="BW14" s="4438">
        <f t="shared" si="63"/>
        <v>0</v>
      </c>
      <c r="BX14" s="4438">
        <f t="shared" si="64"/>
        <v>0</v>
      </c>
      <c r="BY14" s="4438">
        <f t="shared" si="65"/>
        <v>0</v>
      </c>
    </row>
    <row r="15" spans="1:77">
      <c r="A15" s="2515"/>
      <c r="B15" s="2516">
        <v>20302</v>
      </c>
      <c r="C15" s="2522">
        <v>0.1</v>
      </c>
      <c r="D15" s="2523" t="s">
        <v>428</v>
      </c>
      <c r="E15" s="4387">
        <f>+'11.3. ДА Базова година'!H16</f>
        <v>137</v>
      </c>
      <c r="F15" s="883">
        <f>E15+SUMIF('11.1.Амортиз.нови активи'!$B$12:$B$59,$B15,'11.1.Амортиз.нови активи'!F$12:F$59)+('9.Инвестиционна програма'!H$130*SUMIF('11.1.Амортиз.нови активи'!$B$12:$B$59,$B15,'11.1.Амортиз.нови активи'!AO$12:AO$59))</f>
        <v>157</v>
      </c>
      <c r="G15" s="1198">
        <f>F15+SUMIF('11.1.Амортиз.нови активи'!$B$12:$B$59,$B15,'11.1.Амортиз.нови активи'!G$12:G$59)+('9.Инвестиционна програма'!I$130*SUMIF('11.1.Амортиз.нови активи'!$B$12:$B$59,$B15,'11.1.Амортиз.нови активи'!AP$12:AP$59))</f>
        <v>157</v>
      </c>
      <c r="H15" s="1198">
        <f>G15+SUMIF('11.1.Амортиз.нови активи'!$B$12:$B$59,$B15,'11.1.Амортиз.нови активи'!H$12:H$59)+('9.Инвестиционна програма'!J$130*SUMIF('11.1.Амортиз.нови активи'!$B$12:$B$59,$B15,'11.1.Амортиз.нови активи'!AQ$12:AQ$59))</f>
        <v>157</v>
      </c>
      <c r="I15" s="1198">
        <f>H15+SUMIF('11.1.Амортиз.нови активи'!$B$12:$B$59,$B15,'11.1.Амортиз.нови активи'!I$12:I$59)+('9.Инвестиционна програма'!K$130*SUMIF('11.1.Амортиз.нови активи'!$B$12:$B$59,$B15,'11.1.Амортиз.нови активи'!AR$12:AR$59))</f>
        <v>157</v>
      </c>
      <c r="J15" s="1198">
        <f>I15+SUMIF('11.1.Амортиз.нови активи'!$B$12:$B$59,$B15,'11.1.Амортиз.нови активи'!J$12:J$59)+('9.Инвестиционна програма'!L$130*SUMIF('11.1.Амортиз.нови активи'!$B$12:$B$59,$B15,'11.1.Амортиз.нови активи'!AS$12:AS$59))</f>
        <v>157</v>
      </c>
      <c r="K15" s="1203">
        <f>J15+SUMIF('11.1.Амортиз.нови активи'!$B$12:$B$59,$B15,'11.1.Амортиз.нови активи'!K$12:K$59)+('9.Инвестиционна програма'!M$130*SUMIF('11.1.Амортиз.нови активи'!$B$12:$B$59,$B15,'11.1.Амортиз.нови активи'!AT$12:AT$59))</f>
        <v>157</v>
      </c>
      <c r="L15" s="4387">
        <f>+'11.3. ДА Базова година'!L16</f>
        <v>0</v>
      </c>
      <c r="M15" s="1202">
        <f>L15+SUMIF('11.1.Амортиз.нови активи'!$B$12:$B$59,$B15,'11.1.Амортиз.нови активи'!M$12:M$59)+('9.Инвестиционна програма'!H$131*SUMIF('11.1.Амортиз.нови активи'!$B$12:$B$59,$B15,'11.1.Амортиз.нови активи'!AO$12:AO$59))</f>
        <v>0</v>
      </c>
      <c r="N15" s="1198">
        <f>M15+SUMIF('11.1.Амортиз.нови активи'!$B$12:$B$59,$B15,'11.1.Амортиз.нови активи'!N$12:N$59)+('9.Инвестиционна програма'!I$131*SUMIF('11.1.Амортиз.нови активи'!$B$12:$B$59,$B15,'11.1.Амортиз.нови активи'!AP$12:AP$59))</f>
        <v>0</v>
      </c>
      <c r="O15" s="1198">
        <f>N15+SUMIF('11.1.Амортиз.нови активи'!$B$12:$B$59,$B15,'11.1.Амортиз.нови активи'!O$12:O$59)+('9.Инвестиционна програма'!J$131*SUMIF('11.1.Амортиз.нови активи'!$B$12:$B$59,$B15,'11.1.Амортиз.нови активи'!AQ$12:AQ$59))</f>
        <v>0</v>
      </c>
      <c r="P15" s="1198">
        <f>O15+SUMIF('11.1.Амортиз.нови активи'!$B$12:$B$59,$B15,'11.1.Амортиз.нови активи'!P$12:P$59)+('9.Инвестиционна програма'!K$131*SUMIF('11.1.Амортиз.нови активи'!$B$12:$B$59,$B15,'11.1.Амортиз.нови активи'!AR$12:AR$59))</f>
        <v>0</v>
      </c>
      <c r="Q15" s="1198">
        <f>P15+SUMIF('11.1.Амортиз.нови активи'!$B$12:$B$59,$B15,'11.1.Амортиз.нови активи'!Q$12:Q$59)+('9.Инвестиционна програма'!L$131*SUMIF('11.1.Амортиз.нови активи'!$B$12:$B$59,$B15,'11.1.Амортиз.нови активи'!AS$12:AS$59))</f>
        <v>0</v>
      </c>
      <c r="R15" s="1203">
        <f>Q15+SUMIF('11.1.Амортиз.нови активи'!$B$12:$B$59,$B15,'11.1.Амортиз.нови активи'!R$12:R$59)+('9.Инвестиционна програма'!M$131*SUMIF('11.1.Амортиз.нови активи'!$B$12:$B$59,$B15,'11.1.Амортиз.нови активи'!AT$12:AT$59))</f>
        <v>0</v>
      </c>
      <c r="S15" s="4387">
        <f>+'11.3. ДА Базова година'!P16</f>
        <v>6</v>
      </c>
      <c r="T15" s="1202">
        <f>S15+SUMIF('11.1.Амортиз.нови активи'!$B$12:$B$59,$B15,'11.1.Амортиз.нови активи'!T$12:T$59)+('9.Инвестиционна програма'!H$132*SUMIF('11.1.Амортиз.нови активи'!$B$12:$B$59,$B15,'11.1.Амортиз.нови активи'!AO$12:AO$59))</f>
        <v>26</v>
      </c>
      <c r="U15" s="1198">
        <f>T15+SUMIF('11.1.Амортиз.нови активи'!$B$12:$B$59,$B15,'11.1.Амортиз.нови активи'!U$12:U$59)+('9.Инвестиционна програма'!I$132*SUMIF('11.1.Амортиз.нови активи'!$B$12:$B$59,$B15,'11.1.Амортиз.нови активи'!AP$12:AP$59))</f>
        <v>26</v>
      </c>
      <c r="V15" s="1198">
        <f>U15+SUMIF('11.1.Амортиз.нови активи'!$B$12:$B$59,$B15,'11.1.Амортиз.нови активи'!V$12:V$59)+('9.Инвестиционна програма'!J$132*SUMIF('11.1.Амортиз.нови активи'!$B$12:$B$59,$B15,'11.1.Амортиз.нови активи'!AQ$12:AQ$59))</f>
        <v>26</v>
      </c>
      <c r="W15" s="1198">
        <f>V15+SUMIF('11.1.Амортиз.нови активи'!$B$12:$B$59,$B15,'11.1.Амортиз.нови активи'!W$12:W$59)+('9.Инвестиционна програма'!K$132*SUMIF('11.1.Амортиз.нови активи'!$B$12:$B$59,$B15,'11.1.Амортиз.нови активи'!AR$12:AR$59))</f>
        <v>26</v>
      </c>
      <c r="X15" s="1198">
        <f>W15+SUMIF('11.1.Амортиз.нови активи'!$B$12:$B$59,$B15,'11.1.Амортиз.нови активи'!X$12:X$59)+('9.Инвестиционна програма'!L$132*SUMIF('11.1.Амортиз.нови активи'!$B$12:$B$59,$B15,'11.1.Амортиз.нови активи'!AS$12:AS$59))</f>
        <v>26</v>
      </c>
      <c r="Y15" s="1203">
        <f>X15+SUMIF('11.1.Амортиз.нови активи'!$B$12:$B$59,$B15,'11.1.Амортиз.нови активи'!Y$12:Y$59)+('9.Инвестиционна програма'!M$132*SUMIF('11.1.Амортиз.нови активи'!$B$12:$B$59,$B15,'11.1.Амортиз.нови активи'!AT$12:AT$59))</f>
        <v>26</v>
      </c>
      <c r="Z15" s="4387">
        <f>+'11.3. ДА Базова година'!T16</f>
        <v>0</v>
      </c>
      <c r="AA15" s="1202">
        <f>Z15+SUMIF('11.1.Амортиз.нови активи'!$B$12:$B$59,$B15,'11.1.Амортиз.нови активи'!AA$12:AA$59)</f>
        <v>0</v>
      </c>
      <c r="AB15" s="1198">
        <f>AA15+SUMIF('11.1.Амортиз.нови активи'!$B$12:$B$59,$B15,'11.1.Амортиз.нови активи'!AB$12:AB$59)</f>
        <v>0</v>
      </c>
      <c r="AC15" s="1198">
        <f>AB15+SUMIF('11.1.Амортиз.нови активи'!$B$12:$B$59,$B15,'11.1.Амортиз.нови активи'!AC$12:AC$59)</f>
        <v>0</v>
      </c>
      <c r="AD15" s="1198">
        <f>AC15+SUMIF('11.1.Амортиз.нови активи'!$B$12:$B$59,$B15,'11.1.Амортиз.нови активи'!AD$12:AD$59)</f>
        <v>0</v>
      </c>
      <c r="AE15" s="1198">
        <f>AD15+SUMIF('11.1.Амортиз.нови активи'!$B$12:$B$59,$B15,'11.1.Амортиз.нови активи'!AE$12:AE$59)</f>
        <v>0</v>
      </c>
      <c r="AF15" s="1203">
        <f>AE15+SUMIF('11.1.Амортиз.нови активи'!$B$12:$B$59,$B15,'11.1.Амортиз.нови активи'!AF$12:AF$59)</f>
        <v>0</v>
      </c>
      <c r="AG15" s="4387">
        <f>+'11.3. ДА Базова година'!X16</f>
        <v>0</v>
      </c>
      <c r="AH15" s="1202">
        <f>AG15+SUMIF('11.1.Амортиз.нови активи'!$B$12:$B$59,$B15,'11.1.Амортиз.нови активи'!AH$12:AH$59)</f>
        <v>0</v>
      </c>
      <c r="AI15" s="1198">
        <f>AH15+SUMIF('11.1.Амортиз.нови активи'!$B$12:$B$59,$B15,'11.1.Амортиз.нови активи'!AI$12:AI$59)</f>
        <v>0</v>
      </c>
      <c r="AJ15" s="1198">
        <f>AI15+SUMIF('11.1.Амортиз.нови активи'!$B$12:$B$59,$B15,'11.1.Амортиз.нови активи'!AJ$12:AJ$59)</f>
        <v>0</v>
      </c>
      <c r="AK15" s="1198">
        <f>AJ15+SUMIF('11.1.Амортиз.нови активи'!$B$12:$B$59,$B15,'11.1.Амортиз.нови активи'!AK$12:AK$59)</f>
        <v>0</v>
      </c>
      <c r="AL15" s="1198">
        <f>AK15+SUMIF('11.1.Амортиз.нови активи'!$B$12:$B$59,$B15,'11.1.Амортиз.нови активи'!AL$12:AL$59)</f>
        <v>0</v>
      </c>
      <c r="AM15" s="1203">
        <f>AL15+SUMIF('11.1.Амортиз.нови активи'!$B$12:$B$59,$B15,'11.1.Амортиз.нови активи'!AM$12:AM$59)</f>
        <v>0</v>
      </c>
      <c r="AN15" s="2524"/>
      <c r="AO15" s="2521"/>
      <c r="AP15" s="4422"/>
      <c r="AQ15" s="4438">
        <f t="shared" si="31"/>
        <v>70.046987723881941</v>
      </c>
      <c r="AR15" s="4438">
        <f t="shared" si="32"/>
        <v>80.272825347806304</v>
      </c>
      <c r="AS15" s="4438">
        <f t="shared" si="33"/>
        <v>80.272825347806304</v>
      </c>
      <c r="AT15" s="4438">
        <f t="shared" si="34"/>
        <v>80.272825347806304</v>
      </c>
      <c r="AU15" s="4438">
        <f t="shared" si="35"/>
        <v>80.272825347806304</v>
      </c>
      <c r="AV15" s="4438">
        <f t="shared" si="36"/>
        <v>80.272825347806304</v>
      </c>
      <c r="AW15" s="4438">
        <f t="shared" si="37"/>
        <v>80.272825347806304</v>
      </c>
      <c r="AX15" s="4438">
        <f t="shared" si="38"/>
        <v>0</v>
      </c>
      <c r="AY15" s="4438">
        <f t="shared" si="39"/>
        <v>0</v>
      </c>
      <c r="AZ15" s="4438">
        <f t="shared" si="40"/>
        <v>0</v>
      </c>
      <c r="BA15" s="4438">
        <f t="shared" si="41"/>
        <v>0</v>
      </c>
      <c r="BB15" s="4438">
        <f t="shared" si="42"/>
        <v>0</v>
      </c>
      <c r="BC15" s="4438">
        <f t="shared" si="43"/>
        <v>0</v>
      </c>
      <c r="BD15" s="4438">
        <f t="shared" si="44"/>
        <v>0</v>
      </c>
      <c r="BE15" s="4438">
        <f t="shared" si="45"/>
        <v>3.0677512871773112</v>
      </c>
      <c r="BF15" s="4438">
        <f t="shared" si="46"/>
        <v>13.293588911101681</v>
      </c>
      <c r="BG15" s="4438">
        <f t="shared" si="47"/>
        <v>13.293588911101681</v>
      </c>
      <c r="BH15" s="4438">
        <f t="shared" si="48"/>
        <v>13.293588911101681</v>
      </c>
      <c r="BI15" s="4438">
        <f t="shared" si="49"/>
        <v>13.293588911101681</v>
      </c>
      <c r="BJ15" s="4438">
        <f t="shared" si="50"/>
        <v>13.293588911101681</v>
      </c>
      <c r="BK15" s="4438">
        <f t="shared" si="51"/>
        <v>13.293588911101681</v>
      </c>
      <c r="BL15" s="4438">
        <f t="shared" si="52"/>
        <v>0</v>
      </c>
      <c r="BM15" s="4438">
        <f t="shared" si="53"/>
        <v>0</v>
      </c>
      <c r="BN15" s="4438">
        <f t="shared" si="54"/>
        <v>0</v>
      </c>
      <c r="BO15" s="4438">
        <f t="shared" si="55"/>
        <v>0</v>
      </c>
      <c r="BP15" s="4438">
        <f t="shared" si="56"/>
        <v>0</v>
      </c>
      <c r="BQ15" s="4438">
        <f t="shared" si="57"/>
        <v>0</v>
      </c>
      <c r="BR15" s="4438">
        <f t="shared" si="58"/>
        <v>0</v>
      </c>
      <c r="BS15" s="4438">
        <f t="shared" si="59"/>
        <v>0</v>
      </c>
      <c r="BT15" s="4438">
        <f t="shared" si="60"/>
        <v>0</v>
      </c>
      <c r="BU15" s="4438">
        <f t="shared" si="61"/>
        <v>0</v>
      </c>
      <c r="BV15" s="4438">
        <f t="shared" si="62"/>
        <v>0</v>
      </c>
      <c r="BW15" s="4438">
        <f t="shared" si="63"/>
        <v>0</v>
      </c>
      <c r="BX15" s="4438">
        <f t="shared" si="64"/>
        <v>0</v>
      </c>
      <c r="BY15" s="4438">
        <f t="shared" si="65"/>
        <v>0</v>
      </c>
    </row>
    <row r="16" spans="1:77">
      <c r="A16" s="2515"/>
      <c r="B16" s="2516">
        <v>20303</v>
      </c>
      <c r="C16" s="2517">
        <v>0.1</v>
      </c>
      <c r="D16" s="2523" t="s">
        <v>406</v>
      </c>
      <c r="E16" s="4387">
        <f>+'11.3. ДА Базова година'!H17</f>
        <v>3838</v>
      </c>
      <c r="F16" s="883">
        <f>E16+SUMIF('11.1.Амортиз.нови активи'!$B$12:$B$59,$B16,'11.1.Амортиз.нови активи'!F$12:F$59)+('9.Инвестиционна програма'!H$130*SUMIF('11.1.Амортиз.нови активи'!$B$12:$B$59,$B16,'11.1.Амортиз.нови активи'!AO$12:AO$59))</f>
        <v>4014</v>
      </c>
      <c r="G16" s="1198">
        <f>F16+SUMIF('11.1.Амортиз.нови активи'!$B$12:$B$59,$B16,'11.1.Амортиз.нови активи'!G$12:G$59)+('9.Инвестиционна програма'!I$130*SUMIF('11.1.Амортиз.нови активи'!$B$12:$B$59,$B16,'11.1.Амортиз.нови активи'!AP$12:AP$59))</f>
        <v>4014</v>
      </c>
      <c r="H16" s="1198">
        <f>G16+SUMIF('11.1.Амортиз.нови активи'!$B$12:$B$59,$B16,'11.1.Амортиз.нови активи'!H$12:H$59)+('9.Инвестиционна програма'!J$130*SUMIF('11.1.Амортиз.нови активи'!$B$12:$B$59,$B16,'11.1.Амортиз.нови активи'!AQ$12:AQ$59))</f>
        <v>4014</v>
      </c>
      <c r="I16" s="1198">
        <f>H16+SUMIF('11.1.Амортиз.нови активи'!$B$12:$B$59,$B16,'11.1.Амортиз.нови активи'!I$12:I$59)+('9.Инвестиционна програма'!K$130*SUMIF('11.1.Амортиз.нови активи'!$B$12:$B$59,$B16,'11.1.Амортиз.нови активи'!AR$12:AR$59))</f>
        <v>4014</v>
      </c>
      <c r="J16" s="1198">
        <f>I16+SUMIF('11.1.Амортиз.нови активи'!$B$12:$B$59,$B16,'11.1.Амортиз.нови активи'!J$12:J$59)+('9.Инвестиционна програма'!L$130*SUMIF('11.1.Амортиз.нови активи'!$B$12:$B$59,$B16,'11.1.Амортиз.нови активи'!AS$12:AS$59))</f>
        <v>4014</v>
      </c>
      <c r="K16" s="1203">
        <f>J16+SUMIF('11.1.Амортиз.нови активи'!$B$12:$B$59,$B16,'11.1.Амортиз.нови активи'!K$12:K$59)+('9.Инвестиционна програма'!M$130*SUMIF('11.1.Амортиз.нови активи'!$B$12:$B$59,$B16,'11.1.Амортиз.нови активи'!AT$12:AT$59))</f>
        <v>4014</v>
      </c>
      <c r="L16" s="4387">
        <f>+'11.3. ДА Базова година'!L17</f>
        <v>29</v>
      </c>
      <c r="M16" s="1202">
        <f>L16+SUMIF('11.1.Амортиз.нови активи'!$B$12:$B$59,$B16,'11.1.Амортиз.нови активи'!M$12:M$59)+('9.Инвестиционна програма'!H$131*SUMIF('11.1.Амортиз.нови активи'!$B$12:$B$59,$B16,'11.1.Амортиз.нови активи'!AO$12:AO$59))</f>
        <v>229</v>
      </c>
      <c r="N16" s="1198">
        <f>M16+SUMIF('11.1.Амортиз.нови активи'!$B$12:$B$59,$B16,'11.1.Амортиз.нови активи'!N$12:N$59)+('9.Инвестиционна програма'!I$131*SUMIF('11.1.Амортиз.нови активи'!$B$12:$B$59,$B16,'11.1.Амортиз.нови активи'!AP$12:AP$59))</f>
        <v>229</v>
      </c>
      <c r="O16" s="1198">
        <f>N16+SUMIF('11.1.Амортиз.нови активи'!$B$12:$B$59,$B16,'11.1.Амортиз.нови активи'!O$12:O$59)+('9.Инвестиционна програма'!J$131*SUMIF('11.1.Амортиз.нови активи'!$B$12:$B$59,$B16,'11.1.Амортиз.нови активи'!AQ$12:AQ$59))</f>
        <v>229</v>
      </c>
      <c r="P16" s="1198">
        <f>O16+SUMIF('11.1.Амортиз.нови активи'!$B$12:$B$59,$B16,'11.1.Амортиз.нови активи'!P$12:P$59)+('9.Инвестиционна програма'!K$131*SUMIF('11.1.Амортиз.нови активи'!$B$12:$B$59,$B16,'11.1.Амортиз.нови активи'!AR$12:AR$59))</f>
        <v>229</v>
      </c>
      <c r="Q16" s="1198">
        <f>P16+SUMIF('11.1.Амортиз.нови активи'!$B$12:$B$59,$B16,'11.1.Амортиз.нови активи'!Q$12:Q$59)+('9.Инвестиционна програма'!L$131*SUMIF('11.1.Амортиз.нови активи'!$B$12:$B$59,$B16,'11.1.Амортиз.нови активи'!AS$12:AS$59))</f>
        <v>229</v>
      </c>
      <c r="R16" s="1203">
        <f>Q16+SUMIF('11.1.Амортиз.нови активи'!$B$12:$B$59,$B16,'11.1.Амортиз.нови активи'!R$12:R$59)+('9.Инвестиционна програма'!M$131*SUMIF('11.1.Амортиз.нови активи'!$B$12:$B$59,$B16,'11.1.Амортиз.нови активи'!AT$12:AT$59))</f>
        <v>229</v>
      </c>
      <c r="S16" s="4387">
        <f>+'11.3. ДА Базова година'!P17</f>
        <v>57</v>
      </c>
      <c r="T16" s="1202">
        <f>S16+SUMIF('11.1.Амортиз.нови активи'!$B$12:$B$59,$B16,'11.1.Амортиз.нови активи'!T$12:T$59)+('9.Инвестиционна програма'!H$132*SUMIF('11.1.Амортиз.нови активи'!$B$12:$B$59,$B16,'11.1.Амортиз.нови активи'!AO$12:AO$59))</f>
        <v>57</v>
      </c>
      <c r="U16" s="1198">
        <f>T16+SUMIF('11.1.Амортиз.нови активи'!$B$12:$B$59,$B16,'11.1.Амортиз.нови активи'!U$12:U$59)+('9.Инвестиционна програма'!I$132*SUMIF('11.1.Амортиз.нови активи'!$B$12:$B$59,$B16,'11.1.Амортиз.нови активи'!AP$12:AP$59))</f>
        <v>57</v>
      </c>
      <c r="V16" s="1198">
        <f>U16+SUMIF('11.1.Амортиз.нови активи'!$B$12:$B$59,$B16,'11.1.Амортиз.нови активи'!V$12:V$59)+('9.Инвестиционна програма'!J$132*SUMIF('11.1.Амортиз.нови активи'!$B$12:$B$59,$B16,'11.1.Амортиз.нови активи'!AQ$12:AQ$59))</f>
        <v>57</v>
      </c>
      <c r="W16" s="1198">
        <f>V16+SUMIF('11.1.Амортиз.нови активи'!$B$12:$B$59,$B16,'11.1.Амортиз.нови активи'!W$12:W$59)+('9.Инвестиционна програма'!K$132*SUMIF('11.1.Амортиз.нови активи'!$B$12:$B$59,$B16,'11.1.Амортиз.нови активи'!AR$12:AR$59))</f>
        <v>57</v>
      </c>
      <c r="X16" s="1198">
        <f>W16+SUMIF('11.1.Амортиз.нови активи'!$B$12:$B$59,$B16,'11.1.Амортиз.нови активи'!X$12:X$59)+('9.Инвестиционна програма'!L$132*SUMIF('11.1.Амортиз.нови активи'!$B$12:$B$59,$B16,'11.1.Амортиз.нови активи'!AS$12:AS$59))</f>
        <v>57</v>
      </c>
      <c r="Y16" s="1203">
        <f>X16+SUMIF('11.1.Амортиз.нови активи'!$B$12:$B$59,$B16,'11.1.Амортиз.нови активи'!Y$12:Y$59)+('9.Инвестиционна програма'!M$132*SUMIF('11.1.Амортиз.нови активи'!$B$12:$B$59,$B16,'11.1.Амортиз.нови активи'!AT$12:AT$59))</f>
        <v>57</v>
      </c>
      <c r="Z16" s="4387">
        <f>+'11.3. ДА Базова година'!T17</f>
        <v>0</v>
      </c>
      <c r="AA16" s="1202">
        <f>Z16+SUMIF('11.1.Амортиз.нови активи'!$B$12:$B$59,$B16,'11.1.Амортиз.нови активи'!AA$12:AA$59)</f>
        <v>0</v>
      </c>
      <c r="AB16" s="1198">
        <f>AA16+SUMIF('11.1.Амортиз.нови активи'!$B$12:$B$59,$B16,'11.1.Амортиз.нови активи'!AB$12:AB$59)</f>
        <v>0</v>
      </c>
      <c r="AC16" s="1198">
        <f>AB16+SUMIF('11.1.Амортиз.нови активи'!$B$12:$B$59,$B16,'11.1.Амортиз.нови активи'!AC$12:AC$59)</f>
        <v>0</v>
      </c>
      <c r="AD16" s="1198">
        <f>AC16+SUMIF('11.1.Амортиз.нови активи'!$B$12:$B$59,$B16,'11.1.Амортиз.нови активи'!AD$12:AD$59)</f>
        <v>0</v>
      </c>
      <c r="AE16" s="1198">
        <f>AD16+SUMIF('11.1.Амортиз.нови активи'!$B$12:$B$59,$B16,'11.1.Амортиз.нови активи'!AE$12:AE$59)</f>
        <v>0</v>
      </c>
      <c r="AF16" s="1203">
        <f>AE16+SUMIF('11.1.Амортиз.нови активи'!$B$12:$B$59,$B16,'11.1.Амортиз.нови активи'!AF$12:AF$59)</f>
        <v>0</v>
      </c>
      <c r="AG16" s="4387">
        <f>+'11.3. ДА Базова година'!X17</f>
        <v>0</v>
      </c>
      <c r="AH16" s="1202">
        <f>AG16+SUMIF('11.1.Амортиз.нови активи'!$B$12:$B$59,$B16,'11.1.Амортиз.нови активи'!AH$12:AH$59)</f>
        <v>0</v>
      </c>
      <c r="AI16" s="1198">
        <f>AH16+SUMIF('11.1.Амортиз.нови активи'!$B$12:$B$59,$B16,'11.1.Амортиз.нови активи'!AI$12:AI$59)</f>
        <v>0</v>
      </c>
      <c r="AJ16" s="1198">
        <f>AI16+SUMIF('11.1.Амортиз.нови активи'!$B$12:$B$59,$B16,'11.1.Амортиз.нови активи'!AJ$12:AJ$59)</f>
        <v>0</v>
      </c>
      <c r="AK16" s="1198">
        <f>AJ16+SUMIF('11.1.Амортиз.нови активи'!$B$12:$B$59,$B16,'11.1.Амортиз.нови активи'!AK$12:AK$59)</f>
        <v>0</v>
      </c>
      <c r="AL16" s="1198">
        <f>AK16+SUMIF('11.1.Амортиз.нови активи'!$B$12:$B$59,$B16,'11.1.Амортиз.нови активи'!AL$12:AL$59)</f>
        <v>0</v>
      </c>
      <c r="AM16" s="1203">
        <f>AL16+SUMIF('11.1.Амортиз.нови активи'!$B$12:$B$59,$B16,'11.1.Амортиз.нови активи'!AM$12:AM$59)</f>
        <v>0</v>
      </c>
      <c r="AN16" s="2524"/>
      <c r="AO16" s="2521"/>
      <c r="AP16" s="4422"/>
      <c r="AQ16" s="4438">
        <f t="shared" si="31"/>
        <v>1962.3382400310866</v>
      </c>
      <c r="AR16" s="4438">
        <f t="shared" si="32"/>
        <v>2052.325611121621</v>
      </c>
      <c r="AS16" s="4438">
        <f t="shared" si="33"/>
        <v>2052.325611121621</v>
      </c>
      <c r="AT16" s="4438">
        <f t="shared" si="34"/>
        <v>2052.325611121621</v>
      </c>
      <c r="AU16" s="4438">
        <f t="shared" si="35"/>
        <v>2052.325611121621</v>
      </c>
      <c r="AV16" s="4438">
        <f t="shared" si="36"/>
        <v>2052.325611121621</v>
      </c>
      <c r="AW16" s="4438">
        <f t="shared" si="37"/>
        <v>2052.325611121621</v>
      </c>
      <c r="AX16" s="4438">
        <f t="shared" si="38"/>
        <v>14.827464554690337</v>
      </c>
      <c r="AY16" s="4438">
        <f t="shared" si="39"/>
        <v>117.08584079393404</v>
      </c>
      <c r="AZ16" s="4438">
        <f t="shared" si="40"/>
        <v>117.08584079393404</v>
      </c>
      <c r="BA16" s="4438">
        <f t="shared" si="41"/>
        <v>117.08584079393404</v>
      </c>
      <c r="BB16" s="4438">
        <f t="shared" si="42"/>
        <v>117.08584079393404</v>
      </c>
      <c r="BC16" s="4438">
        <f t="shared" si="43"/>
        <v>117.08584079393404</v>
      </c>
      <c r="BD16" s="4438">
        <f t="shared" si="44"/>
        <v>117.08584079393404</v>
      </c>
      <c r="BE16" s="4438">
        <f t="shared" si="45"/>
        <v>29.143637228184453</v>
      </c>
      <c r="BF16" s="4438">
        <f t="shared" si="46"/>
        <v>29.143637228184453</v>
      </c>
      <c r="BG16" s="4438">
        <f t="shared" si="47"/>
        <v>29.143637228184453</v>
      </c>
      <c r="BH16" s="4438">
        <f t="shared" si="48"/>
        <v>29.143637228184453</v>
      </c>
      <c r="BI16" s="4438">
        <f t="shared" si="49"/>
        <v>29.143637228184453</v>
      </c>
      <c r="BJ16" s="4438">
        <f t="shared" si="50"/>
        <v>29.143637228184453</v>
      </c>
      <c r="BK16" s="4438">
        <f t="shared" si="51"/>
        <v>29.143637228184453</v>
      </c>
      <c r="BL16" s="4438">
        <f t="shared" si="52"/>
        <v>0</v>
      </c>
      <c r="BM16" s="4438">
        <f t="shared" si="53"/>
        <v>0</v>
      </c>
      <c r="BN16" s="4438">
        <f t="shared" si="54"/>
        <v>0</v>
      </c>
      <c r="BO16" s="4438">
        <f t="shared" si="55"/>
        <v>0</v>
      </c>
      <c r="BP16" s="4438">
        <f t="shared" si="56"/>
        <v>0</v>
      </c>
      <c r="BQ16" s="4438">
        <f t="shared" si="57"/>
        <v>0</v>
      </c>
      <c r="BR16" s="4438">
        <f t="shared" si="58"/>
        <v>0</v>
      </c>
      <c r="BS16" s="4438">
        <f t="shared" si="59"/>
        <v>0</v>
      </c>
      <c r="BT16" s="4438">
        <f t="shared" si="60"/>
        <v>0</v>
      </c>
      <c r="BU16" s="4438">
        <f t="shared" si="61"/>
        <v>0</v>
      </c>
      <c r="BV16" s="4438">
        <f t="shared" si="62"/>
        <v>0</v>
      </c>
      <c r="BW16" s="4438">
        <f t="shared" si="63"/>
        <v>0</v>
      </c>
      <c r="BX16" s="4438">
        <f t="shared" si="64"/>
        <v>0</v>
      </c>
      <c r="BY16" s="4438">
        <f t="shared" si="65"/>
        <v>0</v>
      </c>
    </row>
    <row r="17" spans="1:77">
      <c r="A17" s="2515"/>
      <c r="B17" s="2516">
        <v>20306</v>
      </c>
      <c r="C17" s="2517">
        <v>0.1</v>
      </c>
      <c r="D17" s="2523" t="s">
        <v>409</v>
      </c>
      <c r="E17" s="4387">
        <f>+'11.3. ДА Базова година'!H18</f>
        <v>417</v>
      </c>
      <c r="F17" s="883">
        <f>E17+SUMIF('11.1.Амортиз.нови активи'!$B$12:$B$59,$B17,'11.1.Амортиз.нови активи'!F$12:F$59)+('9.Инвестиционна програма'!H$130*SUMIF('11.1.Амортиз.нови активи'!$B$12:$B$59,$B17,'11.1.Амортиз.нови активи'!AO$12:AO$59))</f>
        <v>420</v>
      </c>
      <c r="G17" s="1198">
        <f>F17+SUMIF('11.1.Амортиз.нови активи'!$B$12:$B$59,$B17,'11.1.Амортиз.нови активи'!G$12:G$59)+('9.Инвестиционна програма'!I$130*SUMIF('11.1.Амортиз.нови активи'!$B$12:$B$59,$B17,'11.1.Амортиз.нови активи'!AP$12:AP$59))</f>
        <v>437.66666666666669</v>
      </c>
      <c r="H17" s="1198">
        <f>G17+SUMIF('11.1.Амортиз.нови активи'!$B$12:$B$59,$B17,'11.1.Амортиз.нови активи'!H$12:H$59)+('9.Инвестиционна програма'!J$130*SUMIF('11.1.Амортиз.нови активи'!$B$12:$B$59,$B17,'11.1.Амортиз.нови активи'!AQ$12:AQ$59))</f>
        <v>440.33333333333337</v>
      </c>
      <c r="I17" s="1198">
        <f>H17+SUMIF('11.1.Амортиз.нови активи'!$B$12:$B$59,$B17,'11.1.Амортиз.нови активи'!I$12:I$59)+('9.Инвестиционна програма'!K$130*SUMIF('11.1.Амортиз.нови активи'!$B$12:$B$59,$B17,'11.1.Амортиз.нови активи'!AR$12:AR$59))</f>
        <v>443.00000000000006</v>
      </c>
      <c r="J17" s="1198">
        <f>I17+SUMIF('11.1.Амортиз.нови активи'!$B$12:$B$59,$B17,'11.1.Амортиз.нови активи'!J$12:J$59)+('9.Инвестиционна програма'!L$130*SUMIF('11.1.Амортиз.нови активи'!$B$12:$B$59,$B17,'11.1.Амортиз.нови активи'!AS$12:AS$59))</f>
        <v>445.66666666666674</v>
      </c>
      <c r="K17" s="1203">
        <f>J17+SUMIF('11.1.Амортиз.нови активи'!$B$12:$B$59,$B17,'11.1.Амортиз.нови активи'!K$12:K$59)+('9.Инвестиционна програма'!M$130*SUMIF('11.1.Амортиз.нови активи'!$B$12:$B$59,$B17,'11.1.Амортиз.нови активи'!AT$12:AT$59))</f>
        <v>448.33333333333343</v>
      </c>
      <c r="L17" s="4387">
        <f>+'11.3. ДА Базова година'!L18</f>
        <v>5</v>
      </c>
      <c r="M17" s="1202">
        <f>L17+SUMIF('11.1.Амортиз.нови активи'!$B$12:$B$59,$B17,'11.1.Амортиз.нови активи'!M$12:M$59)+('9.Инвестиционна програма'!H$131*SUMIF('11.1.Амортиз.нови активи'!$B$12:$B$59,$B17,'11.1.Амортиз.нови активи'!AO$12:AO$59))</f>
        <v>5</v>
      </c>
      <c r="N17" s="1198">
        <f>M17+SUMIF('11.1.Амортиз.нови активи'!$B$12:$B$59,$B17,'11.1.Амортиз.нови активи'!N$12:N$59)+('9.Инвестиционна програма'!I$131*SUMIF('11.1.Амортиз.нови активи'!$B$12:$B$59,$B17,'11.1.Амортиз.нови активи'!AP$12:AP$59))</f>
        <v>26.666666666666664</v>
      </c>
      <c r="O17" s="1198">
        <f>N17+SUMIF('11.1.Амортиз.нови активи'!$B$12:$B$59,$B17,'11.1.Амортиз.нови активи'!O$12:O$59)+('9.Инвестиционна програма'!J$131*SUMIF('11.1.Амортиз.нови активи'!$B$12:$B$59,$B17,'11.1.Амортиз.нови активи'!AQ$12:AQ$59))</f>
        <v>29.333333333333332</v>
      </c>
      <c r="P17" s="1198">
        <f>O17+SUMIF('11.1.Амортиз.нови активи'!$B$12:$B$59,$B17,'11.1.Амортиз.нови активи'!P$12:P$59)+('9.Инвестиционна програма'!K$131*SUMIF('11.1.Амортиз.нови активи'!$B$12:$B$59,$B17,'11.1.Амортиз.нови активи'!AR$12:AR$59))</f>
        <v>32</v>
      </c>
      <c r="Q17" s="1198">
        <f>P17+SUMIF('11.1.Амортиз.нови активи'!$B$12:$B$59,$B17,'11.1.Амортиз.нови активи'!Q$12:Q$59)+('9.Инвестиционна програма'!L$131*SUMIF('11.1.Амортиз.нови активи'!$B$12:$B$59,$B17,'11.1.Амортиз.нови активи'!AS$12:AS$59))</f>
        <v>34.666666666666664</v>
      </c>
      <c r="R17" s="1203">
        <f>Q17+SUMIF('11.1.Амортиз.нови активи'!$B$12:$B$59,$B17,'11.1.Амортиз.нови активи'!R$12:R$59)+('9.Инвестиционна програма'!M$131*SUMIF('11.1.Амортиз.нови активи'!$B$12:$B$59,$B17,'11.1.Амортиз.нови активи'!AT$12:AT$59))</f>
        <v>37.333333333333329</v>
      </c>
      <c r="S17" s="4387">
        <f>+'11.3. ДА Базова година'!P18</f>
        <v>15</v>
      </c>
      <c r="T17" s="1202">
        <f>S17+SUMIF('11.1.Амортиз.нови активи'!$B$12:$B$59,$B17,'11.1.Амортиз.нови активи'!T$12:T$59)+('9.Инвестиционна програма'!H$132*SUMIF('11.1.Амортиз.нови активи'!$B$12:$B$59,$B17,'11.1.Амортиз.нови активи'!AO$12:AO$59))</f>
        <v>16</v>
      </c>
      <c r="U17" s="1198">
        <f>T17+SUMIF('11.1.Амортиз.нови активи'!$B$12:$B$59,$B17,'11.1.Амортиз.нови активи'!U$12:U$59)+('9.Инвестиционна програма'!I$132*SUMIF('11.1.Амортиз.нови активи'!$B$12:$B$59,$B17,'11.1.Амортиз.нови активи'!AP$12:AP$59))</f>
        <v>33.666666666666664</v>
      </c>
      <c r="V17" s="1198">
        <f>U17+SUMIF('11.1.Амортиз.нови активи'!$B$12:$B$59,$B17,'11.1.Амортиз.нови активи'!V$12:V$59)+('9.Инвестиционна програма'!J$132*SUMIF('11.1.Амортиз.нови активи'!$B$12:$B$59,$B17,'11.1.Амортиз.нови активи'!AQ$12:AQ$59))</f>
        <v>36.333333333333329</v>
      </c>
      <c r="W17" s="1198">
        <f>V17+SUMIF('11.1.Амортиз.нови активи'!$B$12:$B$59,$B17,'11.1.Амортиз.нови активи'!W$12:W$59)+('9.Инвестиционна програма'!K$132*SUMIF('11.1.Амортиз.нови активи'!$B$12:$B$59,$B17,'11.1.Амортиз.нови активи'!AR$12:AR$59))</f>
        <v>38.999999999999993</v>
      </c>
      <c r="X17" s="1198">
        <f>W17+SUMIF('11.1.Амортиз.нови активи'!$B$12:$B$59,$B17,'11.1.Амортиз.нови активи'!X$12:X$59)+('9.Инвестиционна програма'!L$132*SUMIF('11.1.Амортиз.нови активи'!$B$12:$B$59,$B17,'11.1.Амортиз.нови активи'!AS$12:AS$59))</f>
        <v>41.666666666666657</v>
      </c>
      <c r="Y17" s="1203">
        <f>X17+SUMIF('11.1.Амортиз.нови активи'!$B$12:$B$59,$B17,'11.1.Амортиз.нови активи'!Y$12:Y$59)+('9.Инвестиционна програма'!M$132*SUMIF('11.1.Амортиз.нови активи'!$B$12:$B$59,$B17,'11.1.Амортиз.нови активи'!AT$12:AT$59))</f>
        <v>44.333333333333321</v>
      </c>
      <c r="Z17" s="4387">
        <f>+'11.3. ДА Базова година'!T18</f>
        <v>0</v>
      </c>
      <c r="AA17" s="1202">
        <f>Z17+SUMIF('11.1.Амортиз.нови активи'!$B$12:$B$59,$B17,'11.1.Амортиз.нови активи'!AA$12:AA$59)</f>
        <v>0</v>
      </c>
      <c r="AB17" s="1198">
        <f>AA17+SUMIF('11.1.Амортиз.нови активи'!$B$12:$B$59,$B17,'11.1.Амортиз.нови активи'!AB$12:AB$59)</f>
        <v>0</v>
      </c>
      <c r="AC17" s="1198">
        <f>AB17+SUMIF('11.1.Амортиз.нови активи'!$B$12:$B$59,$B17,'11.1.Амортиз.нови активи'!AC$12:AC$59)</f>
        <v>0</v>
      </c>
      <c r="AD17" s="1198">
        <f>AC17+SUMIF('11.1.Амортиз.нови активи'!$B$12:$B$59,$B17,'11.1.Амортиз.нови активи'!AD$12:AD$59)</f>
        <v>0</v>
      </c>
      <c r="AE17" s="1198">
        <f>AD17+SUMIF('11.1.Амортиз.нови активи'!$B$12:$B$59,$B17,'11.1.Амортиз.нови активи'!AE$12:AE$59)</f>
        <v>0</v>
      </c>
      <c r="AF17" s="1203">
        <f>AE17+SUMIF('11.1.Амортиз.нови активи'!$B$12:$B$59,$B17,'11.1.Амортиз.нови активи'!AF$12:AF$59)</f>
        <v>0</v>
      </c>
      <c r="AG17" s="4387">
        <f>+'11.3. ДА Базова година'!X18</f>
        <v>0</v>
      </c>
      <c r="AH17" s="1202">
        <f>AG17+SUMIF('11.1.Амортиз.нови активи'!$B$12:$B$59,$B17,'11.1.Амортиз.нови активи'!AH$12:AH$59)</f>
        <v>0</v>
      </c>
      <c r="AI17" s="1198">
        <f>AH17+SUMIF('11.1.Амортиз.нови активи'!$B$12:$B$59,$B17,'11.1.Амортиз.нови активи'!AI$12:AI$59)</f>
        <v>0</v>
      </c>
      <c r="AJ17" s="1198">
        <f>AI17+SUMIF('11.1.Амортиз.нови активи'!$B$12:$B$59,$B17,'11.1.Амортиз.нови активи'!AJ$12:AJ$59)</f>
        <v>0</v>
      </c>
      <c r="AK17" s="1198">
        <f>AJ17+SUMIF('11.1.Амортиз.нови активи'!$B$12:$B$59,$B17,'11.1.Амортиз.нови активи'!AK$12:AK$59)</f>
        <v>0</v>
      </c>
      <c r="AL17" s="1198">
        <f>AK17+SUMIF('11.1.Амортиз.нови активи'!$B$12:$B$59,$B17,'11.1.Амортиз.нови активи'!AL$12:AL$59)</f>
        <v>0</v>
      </c>
      <c r="AM17" s="1203">
        <f>AL17+SUMIF('11.1.Амортиз.нови активи'!$B$12:$B$59,$B17,'11.1.Амортиз.нови активи'!AM$12:AM$59)</f>
        <v>0</v>
      </c>
      <c r="AN17" s="2524"/>
      <c r="AO17" s="2521"/>
      <c r="AP17" s="4422"/>
      <c r="AQ17" s="4438">
        <f t="shared" si="31"/>
        <v>213.20871445882312</v>
      </c>
      <c r="AR17" s="4438">
        <f t="shared" si="32"/>
        <v>214.74259010241178</v>
      </c>
      <c r="AS17" s="4438">
        <f t="shared" si="33"/>
        <v>223.7754133368783</v>
      </c>
      <c r="AT17" s="4438">
        <f t="shared" si="34"/>
        <v>225.13885835340156</v>
      </c>
      <c r="AU17" s="4438">
        <f t="shared" si="35"/>
        <v>226.50230336992482</v>
      </c>
      <c r="AV17" s="4438">
        <f t="shared" si="36"/>
        <v>227.86574838644808</v>
      </c>
      <c r="AW17" s="4438">
        <f t="shared" si="37"/>
        <v>229.22919340297133</v>
      </c>
      <c r="AX17" s="4438">
        <f t="shared" si="38"/>
        <v>2.5564594059810926</v>
      </c>
      <c r="AY17" s="4438">
        <f t="shared" si="39"/>
        <v>2.5564594059810926</v>
      </c>
      <c r="AZ17" s="4438">
        <f t="shared" si="40"/>
        <v>13.634450165232492</v>
      </c>
      <c r="BA17" s="4438">
        <f t="shared" si="41"/>
        <v>14.997895181755743</v>
      </c>
      <c r="BB17" s="4438">
        <f t="shared" si="42"/>
        <v>16.361340198278992</v>
      </c>
      <c r="BC17" s="4438">
        <f t="shared" si="43"/>
        <v>17.724785214802239</v>
      </c>
      <c r="BD17" s="4438">
        <f t="shared" si="44"/>
        <v>19.08823023132549</v>
      </c>
      <c r="BE17" s="4438">
        <f t="shared" si="45"/>
        <v>7.6693782179432777</v>
      </c>
      <c r="BF17" s="4438">
        <f t="shared" si="46"/>
        <v>8.1806700991394958</v>
      </c>
      <c r="BG17" s="4438">
        <f t="shared" si="47"/>
        <v>17.213493333606021</v>
      </c>
      <c r="BH17" s="4438">
        <f t="shared" si="48"/>
        <v>18.576938350129268</v>
      </c>
      <c r="BI17" s="4438">
        <f t="shared" si="49"/>
        <v>19.940383366652519</v>
      </c>
      <c r="BJ17" s="4438">
        <f t="shared" si="50"/>
        <v>21.303828383175766</v>
      </c>
      <c r="BK17" s="4438">
        <f t="shared" si="51"/>
        <v>22.667273399699013</v>
      </c>
      <c r="BL17" s="4438">
        <f t="shared" si="52"/>
        <v>0</v>
      </c>
      <c r="BM17" s="4438">
        <f t="shared" si="53"/>
        <v>0</v>
      </c>
      <c r="BN17" s="4438">
        <f t="shared" si="54"/>
        <v>0</v>
      </c>
      <c r="BO17" s="4438">
        <f t="shared" si="55"/>
        <v>0</v>
      </c>
      <c r="BP17" s="4438">
        <f t="shared" si="56"/>
        <v>0</v>
      </c>
      <c r="BQ17" s="4438">
        <f t="shared" si="57"/>
        <v>0</v>
      </c>
      <c r="BR17" s="4438">
        <f t="shared" si="58"/>
        <v>0</v>
      </c>
      <c r="BS17" s="4438">
        <f t="shared" si="59"/>
        <v>0</v>
      </c>
      <c r="BT17" s="4438">
        <f t="shared" si="60"/>
        <v>0</v>
      </c>
      <c r="BU17" s="4438">
        <f t="shared" si="61"/>
        <v>0</v>
      </c>
      <c r="BV17" s="4438">
        <f t="shared" si="62"/>
        <v>0</v>
      </c>
      <c r="BW17" s="4438">
        <f t="shared" si="63"/>
        <v>0</v>
      </c>
      <c r="BX17" s="4438">
        <f t="shared" si="64"/>
        <v>0</v>
      </c>
      <c r="BY17" s="4438">
        <f t="shared" si="65"/>
        <v>0</v>
      </c>
    </row>
    <row r="18" spans="1:77">
      <c r="A18" s="2515">
        <v>4</v>
      </c>
      <c r="B18" s="2516">
        <v>20403</v>
      </c>
      <c r="C18" s="2522">
        <v>0.04</v>
      </c>
      <c r="D18" s="2525" t="s">
        <v>434</v>
      </c>
      <c r="E18" s="4387">
        <f>+'11.3. ДА Базова година'!H19</f>
        <v>132</v>
      </c>
      <c r="F18" s="883">
        <f>E18+SUMIF('11.1.Амортиз.нови активи'!$B$12:$B$59,$B18,'11.1.Амортиз.нови активи'!F$12:F$59)+('9.Инвестиционна програма'!H$130*SUMIF('11.1.Амортиз.нови активи'!$B$12:$B$59,$B18,'11.1.Амортиз.нови активи'!AO$12:AO$59))</f>
        <v>132</v>
      </c>
      <c r="G18" s="1198">
        <f>F18+SUMIF('11.1.Амортиз.нови активи'!$B$12:$B$59,$B18,'11.1.Амортиз.нови активи'!G$12:G$59)+('9.Инвестиционна програма'!I$130*SUMIF('11.1.Амортиз.нови активи'!$B$12:$B$59,$B18,'11.1.Амортиз.нови активи'!AP$12:AP$59))</f>
        <v>132</v>
      </c>
      <c r="H18" s="1198">
        <f>G18+SUMIF('11.1.Амортиз.нови активи'!$B$12:$B$59,$B18,'11.1.Амортиз.нови активи'!H$12:H$59)+('9.Инвестиционна програма'!J$130*SUMIF('11.1.Амортиз.нови активи'!$B$12:$B$59,$B18,'11.1.Амортиз.нови активи'!AQ$12:AQ$59))</f>
        <v>132</v>
      </c>
      <c r="I18" s="1198">
        <f>H18+SUMIF('11.1.Амортиз.нови активи'!$B$12:$B$59,$B18,'11.1.Амортиз.нови активи'!I$12:I$59)+('9.Инвестиционна програма'!K$130*SUMIF('11.1.Амортиз.нови активи'!$B$12:$B$59,$B18,'11.1.Амортиз.нови активи'!AR$12:AR$59))</f>
        <v>132</v>
      </c>
      <c r="J18" s="1198">
        <f>I18+SUMIF('11.1.Амортиз.нови активи'!$B$12:$B$59,$B18,'11.1.Амортиз.нови активи'!J$12:J$59)+('9.Инвестиционна програма'!L$130*SUMIF('11.1.Амортиз.нови активи'!$B$12:$B$59,$B18,'11.1.Амортиз.нови активи'!AS$12:AS$59))</f>
        <v>132</v>
      </c>
      <c r="K18" s="1203">
        <f>J18+SUMIF('11.1.Амортиз.нови активи'!$B$12:$B$59,$B18,'11.1.Амортиз.нови активи'!K$12:K$59)+('9.Инвестиционна програма'!M$130*SUMIF('11.1.Амортиз.нови активи'!$B$12:$B$59,$B18,'11.1.Амортиз.нови активи'!AT$12:AT$59))</f>
        <v>132</v>
      </c>
      <c r="L18" s="4387">
        <f>+'11.3. ДА Базова година'!L19</f>
        <v>1</v>
      </c>
      <c r="M18" s="1202">
        <f>L18+SUMIF('11.1.Амортиз.нови активи'!$B$12:$B$59,$B18,'11.1.Амортиз.нови активи'!M$12:M$59)+('9.Инвестиционна програма'!H$131*SUMIF('11.1.Амортиз.нови активи'!$B$12:$B$59,$B18,'11.1.Амортиз.нови активи'!AO$12:AO$59))</f>
        <v>1</v>
      </c>
      <c r="N18" s="1198">
        <f>M18+SUMIF('11.1.Амортиз.нови активи'!$B$12:$B$59,$B18,'11.1.Амортиз.нови активи'!N$12:N$59)+('9.Инвестиционна програма'!I$131*SUMIF('11.1.Амортиз.нови активи'!$B$12:$B$59,$B18,'11.1.Амортиз.нови активи'!AP$12:AP$59))</f>
        <v>1</v>
      </c>
      <c r="O18" s="1198">
        <f>N18+SUMIF('11.1.Амортиз.нови активи'!$B$12:$B$59,$B18,'11.1.Амортиз.нови активи'!O$12:O$59)+('9.Инвестиционна програма'!J$131*SUMIF('11.1.Амортиз.нови активи'!$B$12:$B$59,$B18,'11.1.Амортиз.нови активи'!AQ$12:AQ$59))</f>
        <v>1</v>
      </c>
      <c r="P18" s="1198">
        <f>O18+SUMIF('11.1.Амортиз.нови активи'!$B$12:$B$59,$B18,'11.1.Амортиз.нови активи'!P$12:P$59)+('9.Инвестиционна програма'!K$131*SUMIF('11.1.Амортиз.нови активи'!$B$12:$B$59,$B18,'11.1.Амортиз.нови активи'!AR$12:AR$59))</f>
        <v>1</v>
      </c>
      <c r="Q18" s="1198">
        <f>P18+SUMIF('11.1.Амортиз.нови активи'!$B$12:$B$59,$B18,'11.1.Амортиз.нови активи'!Q$12:Q$59)+('9.Инвестиционна програма'!L$131*SUMIF('11.1.Амортиз.нови активи'!$B$12:$B$59,$B18,'11.1.Амортиз.нови активи'!AS$12:AS$59))</f>
        <v>1</v>
      </c>
      <c r="R18" s="1203">
        <f>Q18+SUMIF('11.1.Амортиз.нови активи'!$B$12:$B$59,$B18,'11.1.Амортиз.нови активи'!R$12:R$59)+('9.Инвестиционна програма'!M$131*SUMIF('11.1.Амортиз.нови активи'!$B$12:$B$59,$B18,'11.1.Амортиз.нови активи'!AT$12:AT$59))</f>
        <v>1</v>
      </c>
      <c r="S18" s="4387">
        <f>+'11.3. ДА Базова година'!P19</f>
        <v>2</v>
      </c>
      <c r="T18" s="1202">
        <f>S18+SUMIF('11.1.Амортиз.нови активи'!$B$12:$B$59,$B18,'11.1.Амортиз.нови активи'!T$12:T$59)+('9.Инвестиционна програма'!H$132*SUMIF('11.1.Амортиз.нови активи'!$B$12:$B$59,$B18,'11.1.Амортиз.нови активи'!AO$12:AO$59))</f>
        <v>2</v>
      </c>
      <c r="U18" s="1198">
        <f>T18+SUMIF('11.1.Амортиз.нови активи'!$B$12:$B$59,$B18,'11.1.Амортиз.нови активи'!U$12:U$59)+('9.Инвестиционна програма'!I$132*SUMIF('11.1.Амортиз.нови активи'!$B$12:$B$59,$B18,'11.1.Амортиз.нови активи'!AP$12:AP$59))</f>
        <v>2</v>
      </c>
      <c r="V18" s="1198">
        <f>U18+SUMIF('11.1.Амортиз.нови активи'!$B$12:$B$59,$B18,'11.1.Амортиз.нови активи'!V$12:V$59)+('9.Инвестиционна програма'!J$132*SUMIF('11.1.Амортиз.нови активи'!$B$12:$B$59,$B18,'11.1.Амортиз.нови активи'!AQ$12:AQ$59))</f>
        <v>2</v>
      </c>
      <c r="W18" s="1198">
        <f>V18+SUMIF('11.1.Амортиз.нови активи'!$B$12:$B$59,$B18,'11.1.Амортиз.нови активи'!W$12:W$59)+('9.Инвестиционна програма'!K$132*SUMIF('11.1.Амортиз.нови активи'!$B$12:$B$59,$B18,'11.1.Амортиз.нови активи'!AR$12:AR$59))</f>
        <v>2</v>
      </c>
      <c r="X18" s="1198">
        <f>W18+SUMIF('11.1.Амортиз.нови активи'!$B$12:$B$59,$B18,'11.1.Амортиз.нови активи'!X$12:X$59)+('9.Инвестиционна програма'!L$132*SUMIF('11.1.Амортиз.нови активи'!$B$12:$B$59,$B18,'11.1.Амортиз.нови активи'!AS$12:AS$59))</f>
        <v>2</v>
      </c>
      <c r="Y18" s="1203">
        <f>X18+SUMIF('11.1.Амортиз.нови активи'!$B$12:$B$59,$B18,'11.1.Амортиз.нови активи'!Y$12:Y$59)+('9.Инвестиционна програма'!M$132*SUMIF('11.1.Амортиз.нови активи'!$B$12:$B$59,$B18,'11.1.Амортиз.нови активи'!AT$12:AT$59))</f>
        <v>2</v>
      </c>
      <c r="Z18" s="4387">
        <f>+'11.3. ДА Базова година'!T19</f>
        <v>0</v>
      </c>
      <c r="AA18" s="1202">
        <f>Z18+SUMIF('11.1.Амортиз.нови активи'!$B$12:$B$59,$B18,'11.1.Амортиз.нови активи'!AA$12:AA$59)</f>
        <v>0</v>
      </c>
      <c r="AB18" s="1198">
        <f>AA18+SUMIF('11.1.Амортиз.нови активи'!$B$12:$B$59,$B18,'11.1.Амортиз.нови активи'!AB$12:AB$59)</f>
        <v>0</v>
      </c>
      <c r="AC18" s="1198">
        <f>AB18+SUMIF('11.1.Амортиз.нови активи'!$B$12:$B$59,$B18,'11.1.Амортиз.нови активи'!AC$12:AC$59)</f>
        <v>0</v>
      </c>
      <c r="AD18" s="1198">
        <f>AC18+SUMIF('11.1.Амортиз.нови активи'!$B$12:$B$59,$B18,'11.1.Амортиз.нови активи'!AD$12:AD$59)</f>
        <v>0</v>
      </c>
      <c r="AE18" s="1198">
        <f>AD18+SUMIF('11.1.Амортиз.нови активи'!$B$12:$B$59,$B18,'11.1.Амортиз.нови активи'!AE$12:AE$59)</f>
        <v>0</v>
      </c>
      <c r="AF18" s="1203">
        <f>AE18+SUMIF('11.1.Амортиз.нови активи'!$B$12:$B$59,$B18,'11.1.Амортиз.нови активи'!AF$12:AF$59)</f>
        <v>0</v>
      </c>
      <c r="AG18" s="4387">
        <f>+'11.3. ДА Базова година'!X19</f>
        <v>0</v>
      </c>
      <c r="AH18" s="1202">
        <f>AG18+SUMIF('11.1.Амортиз.нови активи'!$B$12:$B$59,$B18,'11.1.Амортиз.нови активи'!AH$12:AH$59)</f>
        <v>0</v>
      </c>
      <c r="AI18" s="1198">
        <f>AH18+SUMIF('11.1.Амортиз.нови активи'!$B$12:$B$59,$B18,'11.1.Амортиз.нови активи'!AI$12:AI$59)</f>
        <v>0</v>
      </c>
      <c r="AJ18" s="1198">
        <f>AI18+SUMIF('11.1.Амортиз.нови активи'!$B$12:$B$59,$B18,'11.1.Амортиз.нови активи'!AJ$12:AJ$59)</f>
        <v>0</v>
      </c>
      <c r="AK18" s="1198">
        <f>AJ18+SUMIF('11.1.Амортиз.нови активи'!$B$12:$B$59,$B18,'11.1.Амортиз.нови активи'!AK$12:AK$59)</f>
        <v>0</v>
      </c>
      <c r="AL18" s="1198">
        <f>AK18+SUMIF('11.1.Амортиз.нови активи'!$B$12:$B$59,$B18,'11.1.Амортиз.нови активи'!AL$12:AL$59)</f>
        <v>0</v>
      </c>
      <c r="AM18" s="1203">
        <f>AL18+SUMIF('11.1.Амортиз.нови активи'!$B$12:$B$59,$B18,'11.1.Амортиз.нови активи'!AM$12:AM$59)</f>
        <v>0</v>
      </c>
      <c r="AN18" s="2524"/>
      <c r="AO18" s="2521"/>
      <c r="AP18" s="4422"/>
      <c r="AQ18" s="4438">
        <f t="shared" si="31"/>
        <v>67.490528317900839</v>
      </c>
      <c r="AR18" s="4438">
        <f t="shared" si="32"/>
        <v>67.490528317900839</v>
      </c>
      <c r="AS18" s="4438">
        <f t="shared" si="33"/>
        <v>67.490528317900839</v>
      </c>
      <c r="AT18" s="4438">
        <f t="shared" si="34"/>
        <v>67.490528317900839</v>
      </c>
      <c r="AU18" s="4438">
        <f t="shared" si="35"/>
        <v>67.490528317900839</v>
      </c>
      <c r="AV18" s="4438">
        <f t="shared" si="36"/>
        <v>67.490528317900839</v>
      </c>
      <c r="AW18" s="4438">
        <f t="shared" si="37"/>
        <v>67.490528317900839</v>
      </c>
      <c r="AX18" s="4438">
        <f t="shared" si="38"/>
        <v>0.51129188119621849</v>
      </c>
      <c r="AY18" s="4438">
        <f t="shared" si="39"/>
        <v>0.51129188119621849</v>
      </c>
      <c r="AZ18" s="4438">
        <f t="shared" si="40"/>
        <v>0.51129188119621849</v>
      </c>
      <c r="BA18" s="4438">
        <f t="shared" si="41"/>
        <v>0.51129188119621849</v>
      </c>
      <c r="BB18" s="4438">
        <f t="shared" si="42"/>
        <v>0.51129188119621849</v>
      </c>
      <c r="BC18" s="4438">
        <f t="shared" si="43"/>
        <v>0.51129188119621849</v>
      </c>
      <c r="BD18" s="4438">
        <f t="shared" si="44"/>
        <v>0.51129188119621849</v>
      </c>
      <c r="BE18" s="4438">
        <f t="shared" si="45"/>
        <v>1.022583762392437</v>
      </c>
      <c r="BF18" s="4438">
        <f t="shared" si="46"/>
        <v>1.022583762392437</v>
      </c>
      <c r="BG18" s="4438">
        <f t="shared" si="47"/>
        <v>1.022583762392437</v>
      </c>
      <c r="BH18" s="4438">
        <f t="shared" si="48"/>
        <v>1.022583762392437</v>
      </c>
      <c r="BI18" s="4438">
        <f t="shared" si="49"/>
        <v>1.022583762392437</v>
      </c>
      <c r="BJ18" s="4438">
        <f t="shared" si="50"/>
        <v>1.022583762392437</v>
      </c>
      <c r="BK18" s="4438">
        <f t="shared" si="51"/>
        <v>1.022583762392437</v>
      </c>
      <c r="BL18" s="4438">
        <f t="shared" si="52"/>
        <v>0</v>
      </c>
      <c r="BM18" s="4438">
        <f t="shared" si="53"/>
        <v>0</v>
      </c>
      <c r="BN18" s="4438">
        <f t="shared" si="54"/>
        <v>0</v>
      </c>
      <c r="BO18" s="4438">
        <f t="shared" si="55"/>
        <v>0</v>
      </c>
      <c r="BP18" s="4438">
        <f t="shared" si="56"/>
        <v>0</v>
      </c>
      <c r="BQ18" s="4438">
        <f t="shared" si="57"/>
        <v>0</v>
      </c>
      <c r="BR18" s="4438">
        <f t="shared" si="58"/>
        <v>0</v>
      </c>
      <c r="BS18" s="4438">
        <f t="shared" si="59"/>
        <v>0</v>
      </c>
      <c r="BT18" s="4438">
        <f t="shared" si="60"/>
        <v>0</v>
      </c>
      <c r="BU18" s="4438">
        <f t="shared" si="61"/>
        <v>0</v>
      </c>
      <c r="BV18" s="4438">
        <f t="shared" si="62"/>
        <v>0</v>
      </c>
      <c r="BW18" s="4438">
        <f t="shared" si="63"/>
        <v>0</v>
      </c>
      <c r="BX18" s="4438">
        <f t="shared" si="64"/>
        <v>0</v>
      </c>
      <c r="BY18" s="4438">
        <f t="shared" si="65"/>
        <v>0</v>
      </c>
    </row>
    <row r="19" spans="1:77">
      <c r="A19" s="2515">
        <v>5</v>
      </c>
      <c r="B19" s="2516">
        <v>205</v>
      </c>
      <c r="C19" s="2516"/>
      <c r="D19" s="2520" t="s">
        <v>212</v>
      </c>
      <c r="E19" s="4059">
        <f>SUM(E20:E23)</f>
        <v>4119</v>
      </c>
      <c r="F19" s="2611">
        <f>SUM(F20:F23)</f>
        <v>4209</v>
      </c>
      <c r="G19" s="2612">
        <f>SUM(G20:G23)</f>
        <v>5199</v>
      </c>
      <c r="H19" s="2612">
        <f t="shared" ref="H19:K19" si="69">SUM(H20:H23)</f>
        <v>5735</v>
      </c>
      <c r="I19" s="2612">
        <f t="shared" si="69"/>
        <v>6271</v>
      </c>
      <c r="J19" s="2612">
        <f t="shared" si="69"/>
        <v>6807</v>
      </c>
      <c r="K19" s="2612">
        <f t="shared" si="69"/>
        <v>7343</v>
      </c>
      <c r="L19" s="4059">
        <f>SUM(L20:L23)</f>
        <v>1266</v>
      </c>
      <c r="M19" s="2611">
        <f>SUM(M20:M23)</f>
        <v>1286</v>
      </c>
      <c r="N19" s="2612">
        <f>SUM(N20:N23)</f>
        <v>1286</v>
      </c>
      <c r="O19" s="2612">
        <f t="shared" ref="O19:R19" si="70">SUM(O20:O23)</f>
        <v>1286</v>
      </c>
      <c r="P19" s="2612">
        <f t="shared" si="70"/>
        <v>1286</v>
      </c>
      <c r="Q19" s="2612">
        <f t="shared" si="70"/>
        <v>1286</v>
      </c>
      <c r="R19" s="2612">
        <f t="shared" si="70"/>
        <v>1286</v>
      </c>
      <c r="S19" s="4059">
        <f>SUM(S20:S23)</f>
        <v>199</v>
      </c>
      <c r="T19" s="2611">
        <f>SUM(T20:T23)</f>
        <v>209</v>
      </c>
      <c r="U19" s="2612">
        <f>SUM(U20:U23)</f>
        <v>209</v>
      </c>
      <c r="V19" s="2612">
        <f t="shared" ref="V19:Y19" si="71">SUM(V20:V23)</f>
        <v>209</v>
      </c>
      <c r="W19" s="2612">
        <f t="shared" si="71"/>
        <v>209</v>
      </c>
      <c r="X19" s="2612">
        <f t="shared" si="71"/>
        <v>209</v>
      </c>
      <c r="Y19" s="2613">
        <f t="shared" si="71"/>
        <v>209</v>
      </c>
      <c r="Z19" s="4059">
        <f>SUM(Z20:Z23)</f>
        <v>0</v>
      </c>
      <c r="AA19" s="2611">
        <f>SUM(AA20:AA23)</f>
        <v>0</v>
      </c>
      <c r="AB19" s="2612">
        <f>SUM(AB20:AB23)</f>
        <v>0</v>
      </c>
      <c r="AC19" s="2612">
        <f t="shared" ref="AC19:AF19" si="72">SUM(AC20:AC23)</f>
        <v>0</v>
      </c>
      <c r="AD19" s="2612">
        <f t="shared" si="72"/>
        <v>0</v>
      </c>
      <c r="AE19" s="2612">
        <f t="shared" si="72"/>
        <v>0</v>
      </c>
      <c r="AF19" s="2613">
        <f t="shared" si="72"/>
        <v>0</v>
      </c>
      <c r="AG19" s="4059">
        <f>SUM(AG20:AG23)</f>
        <v>0</v>
      </c>
      <c r="AH19" s="2611">
        <f>SUM(AH20:AH23)</f>
        <v>0</v>
      </c>
      <c r="AI19" s="2612">
        <f>SUM(AI20:AI23)</f>
        <v>0</v>
      </c>
      <c r="AJ19" s="2612">
        <f t="shared" ref="AJ19:AM19" si="73">SUM(AJ20:AJ23)</f>
        <v>0</v>
      </c>
      <c r="AK19" s="2612">
        <f t="shared" si="73"/>
        <v>0</v>
      </c>
      <c r="AL19" s="2612">
        <f t="shared" si="73"/>
        <v>0</v>
      </c>
      <c r="AM19" s="2613">
        <f t="shared" si="73"/>
        <v>0</v>
      </c>
      <c r="AN19" s="2513"/>
      <c r="AO19" s="2521"/>
      <c r="AP19" s="4422"/>
      <c r="AQ19" s="4438">
        <f t="shared" si="31"/>
        <v>2106.0112586472242</v>
      </c>
      <c r="AR19" s="4438">
        <f t="shared" si="32"/>
        <v>2152.0275279548837</v>
      </c>
      <c r="AS19" s="4438">
        <f t="shared" si="33"/>
        <v>2658.2064903391401</v>
      </c>
      <c r="AT19" s="4438">
        <f t="shared" si="34"/>
        <v>2932.2589386603131</v>
      </c>
      <c r="AU19" s="4438">
        <f t="shared" si="35"/>
        <v>3206.3113869814861</v>
      </c>
      <c r="AV19" s="4438">
        <f t="shared" si="36"/>
        <v>3480.3638353026595</v>
      </c>
      <c r="AW19" s="4438">
        <f t="shared" si="37"/>
        <v>3754.4162836238324</v>
      </c>
      <c r="AX19" s="4438">
        <f t="shared" si="38"/>
        <v>647.29552159441266</v>
      </c>
      <c r="AY19" s="4438">
        <f t="shared" si="39"/>
        <v>657.52135921833701</v>
      </c>
      <c r="AZ19" s="4438">
        <f t="shared" si="40"/>
        <v>657.52135921833701</v>
      </c>
      <c r="BA19" s="4438">
        <f t="shared" si="41"/>
        <v>657.52135921833701</v>
      </c>
      <c r="BB19" s="4438">
        <f t="shared" si="42"/>
        <v>657.52135921833701</v>
      </c>
      <c r="BC19" s="4438">
        <f t="shared" si="43"/>
        <v>657.52135921833701</v>
      </c>
      <c r="BD19" s="4438">
        <f t="shared" si="44"/>
        <v>657.52135921833701</v>
      </c>
      <c r="BE19" s="4438">
        <f t="shared" si="45"/>
        <v>101.74708435804749</v>
      </c>
      <c r="BF19" s="4438">
        <f t="shared" si="46"/>
        <v>106.86000317000966</v>
      </c>
      <c r="BG19" s="4438">
        <f t="shared" si="47"/>
        <v>106.86000317000966</v>
      </c>
      <c r="BH19" s="4438">
        <f t="shared" si="48"/>
        <v>106.86000317000966</v>
      </c>
      <c r="BI19" s="4438">
        <f t="shared" si="49"/>
        <v>106.86000317000966</v>
      </c>
      <c r="BJ19" s="4438">
        <f t="shared" si="50"/>
        <v>106.86000317000966</v>
      </c>
      <c r="BK19" s="4438">
        <f t="shared" si="51"/>
        <v>106.86000317000966</v>
      </c>
      <c r="BL19" s="4438">
        <f t="shared" si="52"/>
        <v>0</v>
      </c>
      <c r="BM19" s="4438">
        <f t="shared" si="53"/>
        <v>0</v>
      </c>
      <c r="BN19" s="4438">
        <f t="shared" si="54"/>
        <v>0</v>
      </c>
      <c r="BO19" s="4438">
        <f t="shared" si="55"/>
        <v>0</v>
      </c>
      <c r="BP19" s="4438">
        <f t="shared" si="56"/>
        <v>0</v>
      </c>
      <c r="BQ19" s="4438">
        <f t="shared" si="57"/>
        <v>0</v>
      </c>
      <c r="BR19" s="4438">
        <f t="shared" si="58"/>
        <v>0</v>
      </c>
      <c r="BS19" s="4438">
        <f t="shared" si="59"/>
        <v>0</v>
      </c>
      <c r="BT19" s="4438">
        <f t="shared" si="60"/>
        <v>0</v>
      </c>
      <c r="BU19" s="4438">
        <f t="shared" si="61"/>
        <v>0</v>
      </c>
      <c r="BV19" s="4438">
        <f t="shared" si="62"/>
        <v>0</v>
      </c>
      <c r="BW19" s="4438">
        <f t="shared" si="63"/>
        <v>0</v>
      </c>
      <c r="BX19" s="4438">
        <f t="shared" si="64"/>
        <v>0</v>
      </c>
      <c r="BY19" s="4438">
        <f t="shared" si="65"/>
        <v>0</v>
      </c>
    </row>
    <row r="20" spans="1:77">
      <c r="A20" s="2526"/>
      <c r="B20" s="2527">
        <v>20501</v>
      </c>
      <c r="C20" s="2522">
        <v>0.08</v>
      </c>
      <c r="D20" s="2528" t="s">
        <v>410</v>
      </c>
      <c r="E20" s="4387">
        <f>+'11.3. ДА Базова година'!H21</f>
        <v>2187</v>
      </c>
      <c r="F20" s="883">
        <f>E20+SUMIF('11.1.Амортиз.нови активи'!$B$12:$B$59,$B20,'11.1.Амортиз.нови активи'!F$12:F$59)+('9.Инвестиционна програма'!H$130*SUMIF('11.1.Амортиз.нови активи'!$B$12:$B$59,$B20,'11.1.Амортиз.нови активи'!AO$12:AO$59))</f>
        <v>2237</v>
      </c>
      <c r="G20" s="1198">
        <f>F20+SUMIF('11.1.Амортиз.нови активи'!$B$12:$B$59,$B20,'11.1.Амортиз.нови активи'!G$12:G$59)+('9.Инвестиционна програма'!I$130*SUMIF('11.1.Амортиз.нови активи'!$B$12:$B$59,$B20,'11.1.Амортиз.нови активи'!AP$12:AP$59))</f>
        <v>3227</v>
      </c>
      <c r="H20" s="1198">
        <f>G20+SUMIF('11.1.Амортиз.нови активи'!$B$12:$B$59,$B20,'11.1.Амортиз.нови активи'!H$12:H$59)+('9.Инвестиционна програма'!J$130*SUMIF('11.1.Амортиз.нови активи'!$B$12:$B$59,$B20,'11.1.Амортиз.нови активи'!AQ$12:AQ$59))</f>
        <v>3763</v>
      </c>
      <c r="I20" s="1198">
        <f>H20+SUMIF('11.1.Амортиз.нови активи'!$B$12:$B$59,$B20,'11.1.Амортиз.нови активи'!I$12:I$59)+('9.Инвестиционна програма'!K$130*SUMIF('11.1.Амортиз.нови активи'!$B$12:$B$59,$B20,'11.1.Амортиз.нови активи'!AR$12:AR$59))</f>
        <v>4299</v>
      </c>
      <c r="J20" s="1198">
        <f>I20+SUMIF('11.1.Амортиз.нови активи'!$B$12:$B$59,$B20,'11.1.Амортиз.нови активи'!J$12:J$59)+('9.Инвестиционна програма'!L$130*SUMIF('11.1.Амортиз.нови активи'!$B$12:$B$59,$B20,'11.1.Амортиз.нови активи'!AS$12:AS$59))</f>
        <v>4835</v>
      </c>
      <c r="K20" s="1203">
        <f>J20+SUMIF('11.1.Амортиз.нови активи'!$B$12:$B$59,$B20,'11.1.Амортиз.нови активи'!K$12:K$59)+('9.Инвестиционна програма'!M$130*SUMIF('11.1.Амортиз.нови активи'!$B$12:$B$59,$B20,'11.1.Амортиз.нови активи'!AT$12:AT$59))</f>
        <v>5371</v>
      </c>
      <c r="L20" s="4387">
        <f>+'11.3. ДА Базова година'!L21</f>
        <v>1184</v>
      </c>
      <c r="M20" s="1202">
        <f>L20+SUMIF('11.1.Амортиз.нови активи'!$B$12:$B$59,$B20,'11.1.Амортиз.нови активи'!M$12:M$59)+('9.Инвестиционна програма'!H$131*SUMIF('11.1.Амортиз.нови активи'!$B$12:$B$59,$B20,'11.1.Амортиз.нови активи'!AO$12:AO$59))</f>
        <v>1184</v>
      </c>
      <c r="N20" s="1198">
        <f>M20+SUMIF('11.1.Амортиз.нови активи'!$B$12:$B$59,$B20,'11.1.Амортиз.нови активи'!N$12:N$59)+('9.Инвестиционна програма'!I$131*SUMIF('11.1.Амортиз.нови активи'!$B$12:$B$59,$B20,'11.1.Амортиз.нови активи'!AP$12:AP$59))</f>
        <v>1184</v>
      </c>
      <c r="O20" s="1198">
        <f>N20+SUMIF('11.1.Амортиз.нови активи'!$B$12:$B$59,$B20,'11.1.Амортиз.нови активи'!O$12:O$59)+('9.Инвестиционна програма'!J$131*SUMIF('11.1.Амортиз.нови активи'!$B$12:$B$59,$B20,'11.1.Амортиз.нови активи'!AQ$12:AQ$59))</f>
        <v>1184</v>
      </c>
      <c r="P20" s="1198">
        <f>O20+SUMIF('11.1.Амортиз.нови активи'!$B$12:$B$59,$B20,'11.1.Амортиз.нови активи'!P$12:P$59)+('9.Инвестиционна програма'!K$131*SUMIF('11.1.Амортиз.нови активи'!$B$12:$B$59,$B20,'11.1.Амортиз.нови активи'!AR$12:AR$59))</f>
        <v>1184</v>
      </c>
      <c r="Q20" s="1198">
        <f>P20+SUMIF('11.1.Амортиз.нови активи'!$B$12:$B$59,$B20,'11.1.Амортиз.нови активи'!Q$12:Q$59)+('9.Инвестиционна програма'!L$131*SUMIF('11.1.Амортиз.нови активи'!$B$12:$B$59,$B20,'11.1.Амортиз.нови активи'!AS$12:AS$59))</f>
        <v>1184</v>
      </c>
      <c r="R20" s="1203">
        <f>Q20+SUMIF('11.1.Амортиз.нови активи'!$B$12:$B$59,$B20,'11.1.Амортиз.нови активи'!R$12:R$59)+('9.Инвестиционна програма'!M$131*SUMIF('11.1.Амортиз.нови активи'!$B$12:$B$59,$B20,'11.1.Амортиз.нови активи'!AT$12:AT$59))</f>
        <v>1184</v>
      </c>
      <c r="S20" s="4387">
        <f>+'11.3. ДА Базова година'!P21</f>
        <v>10</v>
      </c>
      <c r="T20" s="1202">
        <f>S20+SUMIF('11.1.Амортиз.нови активи'!$B$12:$B$59,$B20,'11.1.Амортиз.нови активи'!T$12:T$59)+('9.Инвестиционна програма'!H$132*SUMIF('11.1.Амортиз.нови активи'!$B$12:$B$59,$B20,'11.1.Амортиз.нови активи'!AO$12:AO$59))</f>
        <v>10</v>
      </c>
      <c r="U20" s="1198">
        <f>T20+SUMIF('11.1.Амортиз.нови активи'!$B$12:$B$59,$B20,'11.1.Амортиз.нови активи'!U$12:U$59)+('9.Инвестиционна програма'!I$132*SUMIF('11.1.Амортиз.нови активи'!$B$12:$B$59,$B20,'11.1.Амортиз.нови активи'!AP$12:AP$59))</f>
        <v>10</v>
      </c>
      <c r="V20" s="1198">
        <f>U20+SUMIF('11.1.Амортиз.нови активи'!$B$12:$B$59,$B20,'11.1.Амортиз.нови активи'!V$12:V$59)+('9.Инвестиционна програма'!J$132*SUMIF('11.1.Амортиз.нови активи'!$B$12:$B$59,$B20,'11.1.Амортиз.нови активи'!AQ$12:AQ$59))</f>
        <v>10</v>
      </c>
      <c r="W20" s="1198">
        <f>V20+SUMIF('11.1.Амортиз.нови активи'!$B$12:$B$59,$B20,'11.1.Амортиз.нови активи'!W$12:W$59)+('9.Инвестиционна програма'!K$132*SUMIF('11.1.Амортиз.нови активи'!$B$12:$B$59,$B20,'11.1.Амортиз.нови активи'!AR$12:AR$59))</f>
        <v>10</v>
      </c>
      <c r="X20" s="1198">
        <f>W20+SUMIF('11.1.Амортиз.нови активи'!$B$12:$B$59,$B20,'11.1.Амортиз.нови активи'!X$12:X$59)+('9.Инвестиционна програма'!L$132*SUMIF('11.1.Амортиз.нови активи'!$B$12:$B$59,$B20,'11.1.Амортиз.нови активи'!AS$12:AS$59))</f>
        <v>10</v>
      </c>
      <c r="Y20" s="1203">
        <f>X20+SUMIF('11.1.Амортиз.нови активи'!$B$12:$B$59,$B20,'11.1.Амортиз.нови активи'!Y$12:Y$59)+('9.Инвестиционна програма'!M$132*SUMIF('11.1.Амортиз.нови активи'!$B$12:$B$59,$B20,'11.1.Амортиз.нови активи'!AT$12:AT$59))</f>
        <v>10</v>
      </c>
      <c r="Z20" s="4387">
        <f>+'11.3. ДА Базова година'!T21</f>
        <v>0</v>
      </c>
      <c r="AA20" s="1202">
        <f>Z20+SUMIF('11.1.Амортиз.нови активи'!$B$12:$B$59,$B20,'11.1.Амортиз.нови активи'!AA$12:AA$59)</f>
        <v>0</v>
      </c>
      <c r="AB20" s="1198">
        <f>AA20+SUMIF('11.1.Амортиз.нови активи'!$B$12:$B$59,$B20,'11.1.Амортиз.нови активи'!AB$12:AB$59)</f>
        <v>0</v>
      </c>
      <c r="AC20" s="1198">
        <f>AB20+SUMIF('11.1.Амортиз.нови активи'!$B$12:$B$59,$B20,'11.1.Амортиз.нови активи'!AC$12:AC$59)</f>
        <v>0</v>
      </c>
      <c r="AD20" s="1198">
        <f>AC20+SUMIF('11.1.Амортиз.нови активи'!$B$12:$B$59,$B20,'11.1.Амортиз.нови активи'!AD$12:AD$59)</f>
        <v>0</v>
      </c>
      <c r="AE20" s="1198">
        <f>AD20+SUMIF('11.1.Амортиз.нови активи'!$B$12:$B$59,$B20,'11.1.Амортиз.нови активи'!AE$12:AE$59)</f>
        <v>0</v>
      </c>
      <c r="AF20" s="1203">
        <f>AE20+SUMIF('11.1.Амортиз.нови активи'!$B$12:$B$59,$B20,'11.1.Амортиз.нови активи'!AF$12:AF$59)</f>
        <v>0</v>
      </c>
      <c r="AG20" s="4387">
        <f>+'11.3. ДА Базова година'!X21</f>
        <v>0</v>
      </c>
      <c r="AH20" s="1202">
        <f>AG20+SUMIF('11.1.Амортиз.нови активи'!$B$12:$B$59,$B20,'11.1.Амортиз.нови активи'!AH$12:AH$59)</f>
        <v>0</v>
      </c>
      <c r="AI20" s="1198">
        <f>AH20+SUMIF('11.1.Амортиз.нови активи'!$B$12:$B$59,$B20,'11.1.Амортиз.нови активи'!AI$12:AI$59)</f>
        <v>0</v>
      </c>
      <c r="AJ20" s="1198">
        <f>AI20+SUMIF('11.1.Амортиз.нови активи'!$B$12:$B$59,$B20,'11.1.Амортиз.нови активи'!AJ$12:AJ$59)</f>
        <v>0</v>
      </c>
      <c r="AK20" s="1198">
        <f>AJ20+SUMIF('11.1.Амортиз.нови активи'!$B$12:$B$59,$B20,'11.1.Амортиз.нови активи'!AK$12:AK$59)</f>
        <v>0</v>
      </c>
      <c r="AL20" s="1198">
        <f>AK20+SUMIF('11.1.Амортиз.нови активи'!$B$12:$B$59,$B20,'11.1.Амортиз.нови активи'!AL$12:AL$59)</f>
        <v>0</v>
      </c>
      <c r="AM20" s="1203">
        <f>AL20+SUMIF('11.1.Амортиз.нови активи'!$B$12:$B$59,$B20,'11.1.Амортиз.нови активи'!AM$12:AM$59)</f>
        <v>0</v>
      </c>
      <c r="AN20" s="2513"/>
      <c r="AO20" s="2521"/>
      <c r="AP20" s="4422"/>
      <c r="AQ20" s="4438">
        <f t="shared" si="31"/>
        <v>1118.1953441761298</v>
      </c>
      <c r="AR20" s="4438">
        <f t="shared" si="32"/>
        <v>1143.7599382359408</v>
      </c>
      <c r="AS20" s="4438">
        <f t="shared" si="33"/>
        <v>1649.938900620197</v>
      </c>
      <c r="AT20" s="4438">
        <f t="shared" si="34"/>
        <v>1923.9913489413702</v>
      </c>
      <c r="AU20" s="4438">
        <f t="shared" si="35"/>
        <v>2198.0437972625432</v>
      </c>
      <c r="AV20" s="4438">
        <f t="shared" si="36"/>
        <v>2472.0962455837166</v>
      </c>
      <c r="AW20" s="4438">
        <f t="shared" si="37"/>
        <v>2746.1486939048896</v>
      </c>
      <c r="AX20" s="4438">
        <f t="shared" si="38"/>
        <v>605.36958733632275</v>
      </c>
      <c r="AY20" s="4438">
        <f t="shared" si="39"/>
        <v>605.36958733632275</v>
      </c>
      <c r="AZ20" s="4438">
        <f t="shared" si="40"/>
        <v>605.36958733632275</v>
      </c>
      <c r="BA20" s="4438">
        <f t="shared" si="41"/>
        <v>605.36958733632275</v>
      </c>
      <c r="BB20" s="4438">
        <f t="shared" si="42"/>
        <v>605.36958733632275</v>
      </c>
      <c r="BC20" s="4438">
        <f t="shared" si="43"/>
        <v>605.36958733632275</v>
      </c>
      <c r="BD20" s="4438">
        <f t="shared" si="44"/>
        <v>605.36958733632275</v>
      </c>
      <c r="BE20" s="4438">
        <f t="shared" si="45"/>
        <v>5.1129188119621851</v>
      </c>
      <c r="BF20" s="4438">
        <f t="shared" si="46"/>
        <v>5.1129188119621851</v>
      </c>
      <c r="BG20" s="4438">
        <f t="shared" si="47"/>
        <v>5.1129188119621851</v>
      </c>
      <c r="BH20" s="4438">
        <f t="shared" si="48"/>
        <v>5.1129188119621851</v>
      </c>
      <c r="BI20" s="4438">
        <f t="shared" si="49"/>
        <v>5.1129188119621851</v>
      </c>
      <c r="BJ20" s="4438">
        <f t="shared" si="50"/>
        <v>5.1129188119621851</v>
      </c>
      <c r="BK20" s="4438">
        <f t="shared" si="51"/>
        <v>5.1129188119621851</v>
      </c>
      <c r="BL20" s="4438">
        <f t="shared" si="52"/>
        <v>0</v>
      </c>
      <c r="BM20" s="4438">
        <f t="shared" si="53"/>
        <v>0</v>
      </c>
      <c r="BN20" s="4438">
        <f t="shared" si="54"/>
        <v>0</v>
      </c>
      <c r="BO20" s="4438">
        <f t="shared" si="55"/>
        <v>0</v>
      </c>
      <c r="BP20" s="4438">
        <f t="shared" si="56"/>
        <v>0</v>
      </c>
      <c r="BQ20" s="4438">
        <f t="shared" si="57"/>
        <v>0</v>
      </c>
      <c r="BR20" s="4438">
        <f t="shared" si="58"/>
        <v>0</v>
      </c>
      <c r="BS20" s="4438">
        <f t="shared" si="59"/>
        <v>0</v>
      </c>
      <c r="BT20" s="4438">
        <f t="shared" si="60"/>
        <v>0</v>
      </c>
      <c r="BU20" s="4438">
        <f t="shared" si="61"/>
        <v>0</v>
      </c>
      <c r="BV20" s="4438">
        <f t="shared" si="62"/>
        <v>0</v>
      </c>
      <c r="BW20" s="4438">
        <f t="shared" si="63"/>
        <v>0</v>
      </c>
      <c r="BX20" s="4438">
        <f t="shared" si="64"/>
        <v>0</v>
      </c>
      <c r="BY20" s="4438">
        <f t="shared" si="65"/>
        <v>0</v>
      </c>
    </row>
    <row r="21" spans="1:77">
      <c r="A21" s="2526"/>
      <c r="B21" s="2527">
        <v>20502</v>
      </c>
      <c r="C21" s="2522">
        <v>0.1</v>
      </c>
      <c r="D21" s="2528" t="s">
        <v>411</v>
      </c>
      <c r="E21" s="4387">
        <f>+'11.3. ДА Базова година'!H22</f>
        <v>1329</v>
      </c>
      <c r="F21" s="883">
        <f>E21+SUMIF('11.1.Амортиз.нови активи'!$B$12:$B$59,$B21,'11.1.Амортиз.нови активи'!F$12:F$59)+('9.Инвестиционна програма'!H$130*SUMIF('11.1.Амортиз.нови активи'!$B$12:$B$59,$B21,'11.1.Амортиз.нови активи'!AO$12:AO$59))</f>
        <v>1362.3333333333333</v>
      </c>
      <c r="G21" s="1198">
        <f>F21+SUMIF('11.1.Амортиз.нови активи'!$B$12:$B$59,$B21,'11.1.Амортиз.нови активи'!G$12:G$59)+('9.Инвестиционна програма'!I$130*SUMIF('11.1.Амортиз.нови активи'!$B$12:$B$59,$B21,'11.1.Амортиз.нови активи'!AP$12:AP$59))</f>
        <v>1362.3333333333333</v>
      </c>
      <c r="H21" s="1198">
        <f>G21+SUMIF('11.1.Амортиз.нови активи'!$B$12:$B$59,$B21,'11.1.Амортиз.нови активи'!H$12:H$59)+('9.Инвестиционна програма'!J$130*SUMIF('11.1.Амортиз.нови активи'!$B$12:$B$59,$B21,'11.1.Амортиз.нови активи'!AQ$12:AQ$59))</f>
        <v>1362.3333333333333</v>
      </c>
      <c r="I21" s="1198">
        <f>H21+SUMIF('11.1.Амортиз.нови активи'!$B$12:$B$59,$B21,'11.1.Амортиз.нови активи'!I$12:I$59)+('9.Инвестиционна програма'!K$130*SUMIF('11.1.Амортиз.нови активи'!$B$12:$B$59,$B21,'11.1.Амортиз.нови активи'!AR$12:AR$59))</f>
        <v>1362.3333333333333</v>
      </c>
      <c r="J21" s="1198">
        <f>I21+SUMIF('11.1.Амортиз.нови активи'!$B$12:$B$59,$B21,'11.1.Амортиз.нови активи'!J$12:J$59)+('9.Инвестиционна програма'!L$130*SUMIF('11.1.Амортиз.нови активи'!$B$12:$B$59,$B21,'11.1.Амортиз.нови активи'!AS$12:AS$59))</f>
        <v>1362.3333333333333</v>
      </c>
      <c r="K21" s="1203">
        <f>J21+SUMIF('11.1.Амортиз.нови активи'!$B$12:$B$59,$B21,'11.1.Амортиз.нови активи'!K$12:K$59)+('9.Инвестиционна програма'!M$130*SUMIF('11.1.Амортиз.нови активи'!$B$12:$B$59,$B21,'11.1.Амортиз.нови активи'!AT$12:AT$59))</f>
        <v>1362.3333333333333</v>
      </c>
      <c r="L21" s="4387">
        <f>+'11.3. ДА Базова година'!L22</f>
        <v>29</v>
      </c>
      <c r="M21" s="1202">
        <f>L21+SUMIF('11.1.Амортиз.нови активи'!$B$12:$B$59,$B21,'11.1.Амортиз.нови активи'!M$12:M$59)+('9.Инвестиционна програма'!H$131*SUMIF('11.1.Амортиз.нови активи'!$B$12:$B$59,$B21,'11.1.Амортиз.нови активи'!AO$12:AO$59))</f>
        <v>42.333333333333336</v>
      </c>
      <c r="N21" s="1198">
        <f>M21+SUMIF('11.1.Амортиз.нови активи'!$B$12:$B$59,$B21,'11.1.Амортиз.нови активи'!N$12:N$59)+('9.Инвестиционна програма'!I$131*SUMIF('11.1.Амортиз.нови активи'!$B$12:$B$59,$B21,'11.1.Амортиз.нови активи'!AP$12:AP$59))</f>
        <v>42.333333333333336</v>
      </c>
      <c r="O21" s="1198">
        <f>N21+SUMIF('11.1.Амортиз.нови активи'!$B$12:$B$59,$B21,'11.1.Амортиз.нови активи'!O$12:O$59)+('9.Инвестиционна програма'!J$131*SUMIF('11.1.Амортиз.нови активи'!$B$12:$B$59,$B21,'11.1.Амортиз.нови активи'!AQ$12:AQ$59))</f>
        <v>42.333333333333336</v>
      </c>
      <c r="P21" s="1198">
        <f>O21+SUMIF('11.1.Амортиз.нови активи'!$B$12:$B$59,$B21,'11.1.Амортиз.нови активи'!P$12:P$59)+('9.Инвестиционна програма'!K$131*SUMIF('11.1.Амортиз.нови активи'!$B$12:$B$59,$B21,'11.1.Амортиз.нови активи'!AR$12:AR$59))</f>
        <v>42.333333333333336</v>
      </c>
      <c r="Q21" s="1198">
        <f>P21+SUMIF('11.1.Амортиз.нови активи'!$B$12:$B$59,$B21,'11.1.Амортиз.нови активи'!Q$12:Q$59)+('9.Инвестиционна програма'!L$131*SUMIF('11.1.Амортиз.нови активи'!$B$12:$B$59,$B21,'11.1.Амортиз.нови активи'!AS$12:AS$59))</f>
        <v>42.333333333333336</v>
      </c>
      <c r="R21" s="1203">
        <f>Q21+SUMIF('11.1.Амортиз.нови активи'!$B$12:$B$59,$B21,'11.1.Амортиз.нови активи'!R$12:R$59)+('9.Инвестиционна програма'!M$131*SUMIF('11.1.Амортиз.нови активи'!$B$12:$B$59,$B21,'11.1.Амортиз.нови активи'!AT$12:AT$59))</f>
        <v>42.333333333333336</v>
      </c>
      <c r="S21" s="4387">
        <f>+'11.3. ДА Базова година'!P22</f>
        <v>67</v>
      </c>
      <c r="T21" s="1202">
        <f>S21+SUMIF('11.1.Амортиз.нови активи'!$B$12:$B$59,$B21,'11.1.Амортиз.нови активи'!T$12:T$59)+('9.Инвестиционна програма'!H$132*SUMIF('11.1.Амортиз.нови активи'!$B$12:$B$59,$B21,'11.1.Амортиз.нови активи'!AO$12:AO$59))</f>
        <v>70.333333333333329</v>
      </c>
      <c r="U21" s="1198">
        <f>T21+SUMIF('11.1.Амортиз.нови активи'!$B$12:$B$59,$B21,'11.1.Амортиз.нови активи'!U$12:U$59)+('9.Инвестиционна програма'!I$132*SUMIF('11.1.Амортиз.нови активи'!$B$12:$B$59,$B21,'11.1.Амортиз.нови активи'!AP$12:AP$59))</f>
        <v>70.333333333333329</v>
      </c>
      <c r="V21" s="1198">
        <f>U21+SUMIF('11.1.Амортиз.нови активи'!$B$12:$B$59,$B21,'11.1.Амортиз.нови активи'!V$12:V$59)+('9.Инвестиционна програма'!J$132*SUMIF('11.1.Амортиз.нови активи'!$B$12:$B$59,$B21,'11.1.Амортиз.нови активи'!AQ$12:AQ$59))</f>
        <v>70.333333333333329</v>
      </c>
      <c r="W21" s="1198">
        <f>V21+SUMIF('11.1.Амортиз.нови активи'!$B$12:$B$59,$B21,'11.1.Амортиз.нови активи'!W$12:W$59)+('9.Инвестиционна програма'!K$132*SUMIF('11.1.Амортиз.нови активи'!$B$12:$B$59,$B21,'11.1.Амортиз.нови активи'!AR$12:AR$59))</f>
        <v>70.333333333333329</v>
      </c>
      <c r="X21" s="1198">
        <f>W21+SUMIF('11.1.Амортиз.нови активи'!$B$12:$B$59,$B21,'11.1.Амортиз.нови активи'!X$12:X$59)+('9.Инвестиционна програма'!L$132*SUMIF('11.1.Амортиз.нови активи'!$B$12:$B$59,$B21,'11.1.Амортиз.нови активи'!AS$12:AS$59))</f>
        <v>70.333333333333329</v>
      </c>
      <c r="Y21" s="1203">
        <f>X21+SUMIF('11.1.Амортиз.нови активи'!$B$12:$B$59,$B21,'11.1.Амортиз.нови активи'!Y$12:Y$59)+('9.Инвестиционна програма'!M$132*SUMIF('11.1.Амортиз.нови активи'!$B$12:$B$59,$B21,'11.1.Амортиз.нови активи'!AT$12:AT$59))</f>
        <v>70.333333333333329</v>
      </c>
      <c r="Z21" s="4387">
        <f>+'11.3. ДА Базова година'!T22</f>
        <v>0</v>
      </c>
      <c r="AA21" s="1202">
        <f>Z21+SUMIF('11.1.Амортиз.нови активи'!$B$12:$B$59,$B21,'11.1.Амортиз.нови активи'!AA$12:AA$59)</f>
        <v>0</v>
      </c>
      <c r="AB21" s="1198">
        <f>AA21+SUMIF('11.1.Амортиз.нови активи'!$B$12:$B$59,$B21,'11.1.Амортиз.нови активи'!AB$12:AB$59)</f>
        <v>0</v>
      </c>
      <c r="AC21" s="1198">
        <f>AB21+SUMIF('11.1.Амортиз.нови активи'!$B$12:$B$59,$B21,'11.1.Амортиз.нови активи'!AC$12:AC$59)</f>
        <v>0</v>
      </c>
      <c r="AD21" s="1198">
        <f>AC21+SUMIF('11.1.Амортиз.нови активи'!$B$12:$B$59,$B21,'11.1.Амортиз.нови активи'!AD$12:AD$59)</f>
        <v>0</v>
      </c>
      <c r="AE21" s="1198">
        <f>AD21+SUMIF('11.1.Амортиз.нови активи'!$B$12:$B$59,$B21,'11.1.Амортиз.нови активи'!AE$12:AE$59)</f>
        <v>0</v>
      </c>
      <c r="AF21" s="1203">
        <f>AE21+SUMIF('11.1.Амортиз.нови активи'!$B$12:$B$59,$B21,'11.1.Амортиз.нови активи'!AF$12:AF$59)</f>
        <v>0</v>
      </c>
      <c r="AG21" s="4387">
        <f>+'11.3. ДА Базова година'!X22</f>
        <v>0</v>
      </c>
      <c r="AH21" s="1202">
        <f>AG21+SUMIF('11.1.Амортиз.нови активи'!$B$12:$B$59,$B21,'11.1.Амортиз.нови активи'!AH$12:AH$59)</f>
        <v>0</v>
      </c>
      <c r="AI21" s="1198">
        <f>AH21+SUMIF('11.1.Амортиз.нови активи'!$B$12:$B$59,$B21,'11.1.Амортиз.нови активи'!AI$12:AI$59)</f>
        <v>0</v>
      </c>
      <c r="AJ21" s="1198">
        <f>AI21+SUMIF('11.1.Амортиз.нови активи'!$B$12:$B$59,$B21,'11.1.Амортиз.нови активи'!AJ$12:AJ$59)</f>
        <v>0</v>
      </c>
      <c r="AK21" s="1198">
        <f>AJ21+SUMIF('11.1.Амортиз.нови активи'!$B$12:$B$59,$B21,'11.1.Амортиз.нови активи'!AK$12:AK$59)</f>
        <v>0</v>
      </c>
      <c r="AL21" s="1198">
        <f>AK21+SUMIF('11.1.Амортиз.нови активи'!$B$12:$B$59,$B21,'11.1.Амортиз.нови активи'!AL$12:AL$59)</f>
        <v>0</v>
      </c>
      <c r="AM21" s="1203">
        <f>AL21+SUMIF('11.1.Амортиз.нови активи'!$B$12:$B$59,$B21,'11.1.Амортиз.нови активи'!AM$12:AM$59)</f>
        <v>0</v>
      </c>
      <c r="AN21" s="2513"/>
      <c r="AO21" s="2521"/>
      <c r="AP21" s="4422"/>
      <c r="AQ21" s="4438">
        <f t="shared" si="31"/>
        <v>679.50691010977437</v>
      </c>
      <c r="AR21" s="4438">
        <f t="shared" si="32"/>
        <v>696.54997281631495</v>
      </c>
      <c r="AS21" s="4438">
        <f t="shared" si="33"/>
        <v>696.54997281631495</v>
      </c>
      <c r="AT21" s="4438">
        <f t="shared" si="34"/>
        <v>696.54997281631495</v>
      </c>
      <c r="AU21" s="4438">
        <f t="shared" si="35"/>
        <v>696.54997281631495</v>
      </c>
      <c r="AV21" s="4438">
        <f t="shared" si="36"/>
        <v>696.54997281631495</v>
      </c>
      <c r="AW21" s="4438">
        <f t="shared" si="37"/>
        <v>696.54997281631495</v>
      </c>
      <c r="AX21" s="4438">
        <f t="shared" si="38"/>
        <v>14.827464554690337</v>
      </c>
      <c r="AY21" s="4438">
        <f t="shared" si="39"/>
        <v>21.644689637306584</v>
      </c>
      <c r="AZ21" s="4438">
        <f t="shared" si="40"/>
        <v>21.644689637306584</v>
      </c>
      <c r="BA21" s="4438">
        <f t="shared" si="41"/>
        <v>21.644689637306584</v>
      </c>
      <c r="BB21" s="4438">
        <f t="shared" si="42"/>
        <v>21.644689637306584</v>
      </c>
      <c r="BC21" s="4438">
        <f t="shared" si="43"/>
        <v>21.644689637306584</v>
      </c>
      <c r="BD21" s="4438">
        <f t="shared" si="44"/>
        <v>21.644689637306584</v>
      </c>
      <c r="BE21" s="4438">
        <f t="shared" si="45"/>
        <v>34.256556040146641</v>
      </c>
      <c r="BF21" s="4438">
        <f t="shared" si="46"/>
        <v>35.9608623108007</v>
      </c>
      <c r="BG21" s="4438">
        <f t="shared" si="47"/>
        <v>35.9608623108007</v>
      </c>
      <c r="BH21" s="4438">
        <f t="shared" si="48"/>
        <v>35.9608623108007</v>
      </c>
      <c r="BI21" s="4438">
        <f t="shared" si="49"/>
        <v>35.9608623108007</v>
      </c>
      <c r="BJ21" s="4438">
        <f t="shared" si="50"/>
        <v>35.9608623108007</v>
      </c>
      <c r="BK21" s="4438">
        <f t="shared" si="51"/>
        <v>35.9608623108007</v>
      </c>
      <c r="BL21" s="4438">
        <f t="shared" si="52"/>
        <v>0</v>
      </c>
      <c r="BM21" s="4438">
        <f t="shared" si="53"/>
        <v>0</v>
      </c>
      <c r="BN21" s="4438">
        <f t="shared" si="54"/>
        <v>0</v>
      </c>
      <c r="BO21" s="4438">
        <f t="shared" si="55"/>
        <v>0</v>
      </c>
      <c r="BP21" s="4438">
        <f t="shared" si="56"/>
        <v>0</v>
      </c>
      <c r="BQ21" s="4438">
        <f t="shared" si="57"/>
        <v>0</v>
      </c>
      <c r="BR21" s="4438">
        <f t="shared" si="58"/>
        <v>0</v>
      </c>
      <c r="BS21" s="4438">
        <f t="shared" si="59"/>
        <v>0</v>
      </c>
      <c r="BT21" s="4438">
        <f t="shared" si="60"/>
        <v>0</v>
      </c>
      <c r="BU21" s="4438">
        <f t="shared" si="61"/>
        <v>0</v>
      </c>
      <c r="BV21" s="4438">
        <f t="shared" si="62"/>
        <v>0</v>
      </c>
      <c r="BW21" s="4438">
        <f t="shared" si="63"/>
        <v>0</v>
      </c>
      <c r="BX21" s="4438">
        <f t="shared" si="64"/>
        <v>0</v>
      </c>
      <c r="BY21" s="4438">
        <f t="shared" si="65"/>
        <v>0</v>
      </c>
    </row>
    <row r="22" spans="1:77">
      <c r="A22" s="2526"/>
      <c r="B22" s="2527">
        <v>20503</v>
      </c>
      <c r="C22" s="2522">
        <v>0.1</v>
      </c>
      <c r="D22" s="2523" t="s">
        <v>412</v>
      </c>
      <c r="E22" s="4387">
        <f>+'11.3. ДА Базова година'!H23</f>
        <v>587</v>
      </c>
      <c r="F22" s="883">
        <f>E22+SUMIF('11.1.Амортиз.нови активи'!$B$12:$B$59,$B22,'11.1.Амортиз.нови активи'!F$12:F$59)+('9.Инвестиционна програма'!H$130*SUMIF('11.1.Амортиз.нови активи'!$B$12:$B$59,$B22,'11.1.Амортиз.нови активи'!AO$12:AO$59))</f>
        <v>593.66666666666663</v>
      </c>
      <c r="G22" s="1198">
        <f>F22+SUMIF('11.1.Амортиз.нови активи'!$B$12:$B$59,$B22,'11.1.Амортиз.нови активи'!G$12:G$59)+('9.Инвестиционна програма'!I$130*SUMIF('11.1.Амортиз.нови активи'!$B$12:$B$59,$B22,'11.1.Амортиз.нови активи'!AP$12:AP$59))</f>
        <v>593.66666666666663</v>
      </c>
      <c r="H22" s="1198">
        <f>G22+SUMIF('11.1.Амортиз.нови активи'!$B$12:$B$59,$B22,'11.1.Амортиз.нови активи'!H$12:H$59)+('9.Инвестиционна програма'!J$130*SUMIF('11.1.Амортиз.нови активи'!$B$12:$B$59,$B22,'11.1.Амортиз.нови активи'!AQ$12:AQ$59))</f>
        <v>593.66666666666663</v>
      </c>
      <c r="I22" s="1198">
        <f>H22+SUMIF('11.1.Амортиз.нови активи'!$B$12:$B$59,$B22,'11.1.Амортиз.нови активи'!I$12:I$59)+('9.Инвестиционна програма'!K$130*SUMIF('11.1.Амортиз.нови активи'!$B$12:$B$59,$B22,'11.1.Амортиз.нови активи'!AR$12:AR$59))</f>
        <v>593.66666666666663</v>
      </c>
      <c r="J22" s="1198">
        <f>I22+SUMIF('11.1.Амортиз.нови активи'!$B$12:$B$59,$B22,'11.1.Амортиз.нови активи'!J$12:J$59)+('9.Инвестиционна програма'!L$130*SUMIF('11.1.Амортиз.нови активи'!$B$12:$B$59,$B22,'11.1.Амортиз.нови активи'!AS$12:AS$59))</f>
        <v>593.66666666666663</v>
      </c>
      <c r="K22" s="1203">
        <f>J22+SUMIF('11.1.Амортиз.нови активи'!$B$12:$B$59,$B22,'11.1.Амортиз.нови активи'!K$12:K$59)+('9.Инвестиционна програма'!M$130*SUMIF('11.1.Амортиз.нови активи'!$B$12:$B$59,$B22,'11.1.Амортиз.нови активи'!AT$12:AT$59))</f>
        <v>593.66666666666663</v>
      </c>
      <c r="L22" s="4387">
        <f>+'11.3. ДА Базова година'!L23</f>
        <v>53</v>
      </c>
      <c r="M22" s="1202">
        <f>L22+SUMIF('11.1.Амортиз.нови активи'!$B$12:$B$59,$B22,'11.1.Амортиз.нови активи'!M$12:M$59)+('9.Инвестиционна програма'!H$131*SUMIF('11.1.Амортиз.нови активи'!$B$12:$B$59,$B22,'11.1.Амортиз.нови активи'!AO$12:AO$59))</f>
        <v>59.666666666666664</v>
      </c>
      <c r="N22" s="1198">
        <f>M22+SUMIF('11.1.Амортиз.нови активи'!$B$12:$B$59,$B22,'11.1.Амортиз.нови активи'!N$12:N$59)+('9.Инвестиционна програма'!I$131*SUMIF('11.1.Амортиз.нови активи'!$B$12:$B$59,$B22,'11.1.Амортиз.нови активи'!AP$12:AP$59))</f>
        <v>59.666666666666664</v>
      </c>
      <c r="O22" s="1198">
        <f>N22+SUMIF('11.1.Амортиз.нови активи'!$B$12:$B$59,$B22,'11.1.Амортиз.нови активи'!O$12:O$59)+('9.Инвестиционна програма'!J$131*SUMIF('11.1.Амортиз.нови активи'!$B$12:$B$59,$B22,'11.1.Амортиз.нови активи'!AQ$12:AQ$59))</f>
        <v>59.666666666666664</v>
      </c>
      <c r="P22" s="1198">
        <f>O22+SUMIF('11.1.Амортиз.нови активи'!$B$12:$B$59,$B22,'11.1.Амортиз.нови активи'!P$12:P$59)+('9.Инвестиционна програма'!K$131*SUMIF('11.1.Амортиз.нови активи'!$B$12:$B$59,$B22,'11.1.Амортиз.нови активи'!AR$12:AR$59))</f>
        <v>59.666666666666664</v>
      </c>
      <c r="Q22" s="1198">
        <f>P22+SUMIF('11.1.Амортиз.нови активи'!$B$12:$B$59,$B22,'11.1.Амортиз.нови активи'!Q$12:Q$59)+('9.Инвестиционна програма'!L$131*SUMIF('11.1.Амортиз.нови активи'!$B$12:$B$59,$B22,'11.1.Амортиз.нови активи'!AS$12:AS$59))</f>
        <v>59.666666666666664</v>
      </c>
      <c r="R22" s="1203">
        <f>Q22+SUMIF('11.1.Амортиз.нови активи'!$B$12:$B$59,$B22,'11.1.Амортиз.нови активи'!R$12:R$59)+('9.Инвестиционна програма'!M$131*SUMIF('11.1.Амортиз.нови активи'!$B$12:$B$59,$B22,'11.1.Амортиз.нови активи'!AT$12:AT$59))</f>
        <v>59.666666666666664</v>
      </c>
      <c r="S22" s="4387">
        <f>+'11.3. ДА Базова година'!P23</f>
        <v>122</v>
      </c>
      <c r="T22" s="1202">
        <f>S22+SUMIF('11.1.Амортиз.нови активи'!$B$12:$B$59,$B22,'11.1.Амортиз.нови активи'!T$12:T$59)+('9.Инвестиционна програма'!H$132*SUMIF('11.1.Амортиз.нови активи'!$B$12:$B$59,$B22,'11.1.Амортиз.нови активи'!AO$12:AO$59))</f>
        <v>128.66666666666666</v>
      </c>
      <c r="U22" s="1198">
        <f>T22+SUMIF('11.1.Амортиз.нови активи'!$B$12:$B$59,$B22,'11.1.Амортиз.нови активи'!U$12:U$59)+('9.Инвестиционна програма'!I$132*SUMIF('11.1.Амортиз.нови активи'!$B$12:$B$59,$B22,'11.1.Амортиз.нови активи'!AP$12:AP$59))</f>
        <v>128.66666666666666</v>
      </c>
      <c r="V22" s="1198">
        <f>U22+SUMIF('11.1.Амортиз.нови активи'!$B$12:$B$59,$B22,'11.1.Амортиз.нови активи'!V$12:V$59)+('9.Инвестиционна програма'!J$132*SUMIF('11.1.Амортиз.нови активи'!$B$12:$B$59,$B22,'11.1.Амортиз.нови активи'!AQ$12:AQ$59))</f>
        <v>128.66666666666666</v>
      </c>
      <c r="W22" s="1198">
        <f>V22+SUMIF('11.1.Амортиз.нови активи'!$B$12:$B$59,$B22,'11.1.Амортиз.нови активи'!W$12:W$59)+('9.Инвестиционна програма'!K$132*SUMIF('11.1.Амортиз.нови активи'!$B$12:$B$59,$B22,'11.1.Амортиз.нови активи'!AR$12:AR$59))</f>
        <v>128.66666666666666</v>
      </c>
      <c r="X22" s="1198">
        <f>W22+SUMIF('11.1.Амортиз.нови активи'!$B$12:$B$59,$B22,'11.1.Амортиз.нови активи'!X$12:X$59)+('9.Инвестиционна програма'!L$132*SUMIF('11.1.Амортиз.нови активи'!$B$12:$B$59,$B22,'11.1.Амортиз.нови активи'!AS$12:AS$59))</f>
        <v>128.66666666666666</v>
      </c>
      <c r="Y22" s="1203">
        <f>X22+SUMIF('11.1.Амортиз.нови активи'!$B$12:$B$59,$B22,'11.1.Амортиз.нови активи'!Y$12:Y$59)+('9.Инвестиционна програма'!M$132*SUMIF('11.1.Амортиз.нови активи'!$B$12:$B$59,$B22,'11.1.Амортиз.нови активи'!AT$12:AT$59))</f>
        <v>128.66666666666666</v>
      </c>
      <c r="Z22" s="4387">
        <f>+'11.3. ДА Базова година'!T23</f>
        <v>0</v>
      </c>
      <c r="AA22" s="1202">
        <f>Z22+SUMIF('11.1.Амортиз.нови активи'!$B$12:$B$59,$B22,'11.1.Амортиз.нови активи'!AA$12:AA$59)</f>
        <v>0</v>
      </c>
      <c r="AB22" s="1198">
        <f>AA22+SUMIF('11.1.Амортиз.нови активи'!$B$12:$B$59,$B22,'11.1.Амортиз.нови активи'!AB$12:AB$59)</f>
        <v>0</v>
      </c>
      <c r="AC22" s="1198">
        <f>AB22+SUMIF('11.1.Амортиз.нови активи'!$B$12:$B$59,$B22,'11.1.Амортиз.нови активи'!AC$12:AC$59)</f>
        <v>0</v>
      </c>
      <c r="AD22" s="1198">
        <f>AC22+SUMIF('11.1.Амортиз.нови активи'!$B$12:$B$59,$B22,'11.1.Амортиз.нови активи'!AD$12:AD$59)</f>
        <v>0</v>
      </c>
      <c r="AE22" s="1198">
        <f>AD22+SUMIF('11.1.Амортиз.нови активи'!$B$12:$B$59,$B22,'11.1.Амортиз.нови активи'!AE$12:AE$59)</f>
        <v>0</v>
      </c>
      <c r="AF22" s="1203">
        <f>AE22+SUMIF('11.1.Амортиз.нови активи'!$B$12:$B$59,$B22,'11.1.Амортиз.нови активи'!AF$12:AF$59)</f>
        <v>0</v>
      </c>
      <c r="AG22" s="4387">
        <f>+'11.3. ДА Базова година'!X23</f>
        <v>0</v>
      </c>
      <c r="AH22" s="1202">
        <f>AG22+SUMIF('11.1.Амортиз.нови активи'!$B$12:$B$59,$B22,'11.1.Амортиз.нови активи'!AH$12:AH$59)</f>
        <v>0</v>
      </c>
      <c r="AI22" s="1198">
        <f>AH22+SUMIF('11.1.Амортиз.нови активи'!$B$12:$B$59,$B22,'11.1.Амортиз.нови активи'!AI$12:AI$59)</f>
        <v>0</v>
      </c>
      <c r="AJ22" s="1198">
        <f>AI22+SUMIF('11.1.Амортиз.нови активи'!$B$12:$B$59,$B22,'11.1.Амортиз.нови активи'!AJ$12:AJ$59)</f>
        <v>0</v>
      </c>
      <c r="AK22" s="1198">
        <f>AJ22+SUMIF('11.1.Амортиз.нови активи'!$B$12:$B$59,$B22,'11.1.Амортиз.нови активи'!AK$12:AK$59)</f>
        <v>0</v>
      </c>
      <c r="AL22" s="1198">
        <f>AK22+SUMIF('11.1.Амортиз.нови активи'!$B$12:$B$59,$B22,'11.1.Амортиз.нови активи'!AL$12:AL$59)</f>
        <v>0</v>
      </c>
      <c r="AM22" s="1203">
        <f>AL22+SUMIF('11.1.Амортиз.нови активи'!$B$12:$B$59,$B22,'11.1.Амортиз.нови активи'!AM$12:AM$59)</f>
        <v>0</v>
      </c>
      <c r="AN22" s="2513"/>
      <c r="AO22" s="2521"/>
      <c r="AP22" s="4422"/>
      <c r="AQ22" s="4438">
        <f t="shared" si="31"/>
        <v>300.12833426218026</v>
      </c>
      <c r="AR22" s="4438">
        <f t="shared" si="32"/>
        <v>303.53694680348838</v>
      </c>
      <c r="AS22" s="4438">
        <f t="shared" si="33"/>
        <v>303.53694680348838</v>
      </c>
      <c r="AT22" s="4438">
        <f t="shared" si="34"/>
        <v>303.53694680348838</v>
      </c>
      <c r="AU22" s="4438">
        <f t="shared" si="35"/>
        <v>303.53694680348838</v>
      </c>
      <c r="AV22" s="4438">
        <f t="shared" si="36"/>
        <v>303.53694680348838</v>
      </c>
      <c r="AW22" s="4438">
        <f t="shared" si="37"/>
        <v>303.53694680348838</v>
      </c>
      <c r="AX22" s="4438">
        <f t="shared" si="38"/>
        <v>27.09846970339958</v>
      </c>
      <c r="AY22" s="4438">
        <f t="shared" si="39"/>
        <v>30.507082244707703</v>
      </c>
      <c r="AZ22" s="4438">
        <f t="shared" si="40"/>
        <v>30.507082244707703</v>
      </c>
      <c r="BA22" s="4438">
        <f t="shared" si="41"/>
        <v>30.507082244707703</v>
      </c>
      <c r="BB22" s="4438">
        <f t="shared" si="42"/>
        <v>30.507082244707703</v>
      </c>
      <c r="BC22" s="4438">
        <f t="shared" si="43"/>
        <v>30.507082244707703</v>
      </c>
      <c r="BD22" s="4438">
        <f t="shared" si="44"/>
        <v>30.507082244707703</v>
      </c>
      <c r="BE22" s="4438">
        <f t="shared" si="45"/>
        <v>62.377609505938658</v>
      </c>
      <c r="BF22" s="4438">
        <f t="shared" si="46"/>
        <v>65.786222047246781</v>
      </c>
      <c r="BG22" s="4438">
        <f t="shared" si="47"/>
        <v>65.786222047246781</v>
      </c>
      <c r="BH22" s="4438">
        <f t="shared" si="48"/>
        <v>65.786222047246781</v>
      </c>
      <c r="BI22" s="4438">
        <f t="shared" si="49"/>
        <v>65.786222047246781</v>
      </c>
      <c r="BJ22" s="4438">
        <f t="shared" si="50"/>
        <v>65.786222047246781</v>
      </c>
      <c r="BK22" s="4438">
        <f t="shared" si="51"/>
        <v>65.786222047246781</v>
      </c>
      <c r="BL22" s="4438">
        <f t="shared" si="52"/>
        <v>0</v>
      </c>
      <c r="BM22" s="4438">
        <f t="shared" si="53"/>
        <v>0</v>
      </c>
      <c r="BN22" s="4438">
        <f t="shared" si="54"/>
        <v>0</v>
      </c>
      <c r="BO22" s="4438">
        <f t="shared" si="55"/>
        <v>0</v>
      </c>
      <c r="BP22" s="4438">
        <f t="shared" si="56"/>
        <v>0</v>
      </c>
      <c r="BQ22" s="4438">
        <f t="shared" si="57"/>
        <v>0</v>
      </c>
      <c r="BR22" s="4438">
        <f t="shared" si="58"/>
        <v>0</v>
      </c>
      <c r="BS22" s="4438">
        <f t="shared" si="59"/>
        <v>0</v>
      </c>
      <c r="BT22" s="4438">
        <f t="shared" si="60"/>
        <v>0</v>
      </c>
      <c r="BU22" s="4438">
        <f t="shared" si="61"/>
        <v>0</v>
      </c>
      <c r="BV22" s="4438">
        <f t="shared" si="62"/>
        <v>0</v>
      </c>
      <c r="BW22" s="4438">
        <f t="shared" si="63"/>
        <v>0</v>
      </c>
      <c r="BX22" s="4438">
        <f t="shared" si="64"/>
        <v>0</v>
      </c>
      <c r="BY22" s="4438">
        <f t="shared" si="65"/>
        <v>0</v>
      </c>
    </row>
    <row r="23" spans="1:77">
      <c r="A23" s="2526"/>
      <c r="B23" s="2527">
        <v>20504</v>
      </c>
      <c r="C23" s="2522">
        <v>0.1</v>
      </c>
      <c r="D23" s="2523" t="s">
        <v>557</v>
      </c>
      <c r="E23" s="4387">
        <f>+'11.3. ДА Базова година'!H24</f>
        <v>16</v>
      </c>
      <c r="F23" s="883">
        <f>E23+SUMIF('11.1.Амортиз.нови активи'!$B$12:$B$59,$B23,'11.1.Амортиз.нови активи'!F$12:F$59)+('9.Инвестиционна програма'!H$130*SUMIF('11.1.Амортиз.нови активи'!$B$12:$B$59,$B23,'11.1.Амортиз.нови активи'!AO$12:AO$59))</f>
        <v>16</v>
      </c>
      <c r="G23" s="1198">
        <f>F23+SUMIF('11.1.Амортиз.нови активи'!$B$12:$B$59,$B23,'11.1.Амортиз.нови активи'!G$12:G$59)+('9.Инвестиционна програма'!I$130*SUMIF('11.1.Амортиз.нови активи'!$B$12:$B$59,$B23,'11.1.Амортиз.нови активи'!AP$12:AP$59))</f>
        <v>16</v>
      </c>
      <c r="H23" s="1198">
        <f>G23+SUMIF('11.1.Амортиз.нови активи'!$B$12:$B$59,$B23,'11.1.Амортиз.нови активи'!H$12:H$59)+('9.Инвестиционна програма'!J$130*SUMIF('11.1.Амортиз.нови активи'!$B$12:$B$59,$B23,'11.1.Амортиз.нови активи'!AQ$12:AQ$59))</f>
        <v>16</v>
      </c>
      <c r="I23" s="1198">
        <f>H23+SUMIF('11.1.Амортиз.нови активи'!$B$12:$B$59,$B23,'11.1.Амортиз.нови активи'!I$12:I$59)+('9.Инвестиционна програма'!K$130*SUMIF('11.1.Амортиз.нови активи'!$B$12:$B$59,$B23,'11.1.Амортиз.нови активи'!AR$12:AR$59))</f>
        <v>16</v>
      </c>
      <c r="J23" s="1198">
        <f>I23+SUMIF('11.1.Амортиз.нови активи'!$B$12:$B$59,$B23,'11.1.Амортиз.нови активи'!J$12:J$59)+('9.Инвестиционна програма'!L$130*SUMIF('11.1.Амортиз.нови активи'!$B$12:$B$59,$B23,'11.1.Амортиз.нови активи'!AS$12:AS$59))</f>
        <v>16</v>
      </c>
      <c r="K23" s="1203">
        <f>J23+SUMIF('11.1.Амортиз.нови активи'!$B$12:$B$59,$B23,'11.1.Амортиз.нови активи'!K$12:K$59)+('9.Инвестиционна програма'!M$130*SUMIF('11.1.Амортиз.нови активи'!$B$12:$B$59,$B23,'11.1.Амортиз.нови активи'!AT$12:AT$59))</f>
        <v>16</v>
      </c>
      <c r="L23" s="4387">
        <f>+'11.3. ДА Базова година'!L24</f>
        <v>0</v>
      </c>
      <c r="M23" s="1202">
        <f>L23+SUMIF('11.1.Амортиз.нови активи'!$B$12:$B$59,$B23,'11.1.Амортиз.нови активи'!M$12:M$59)+('9.Инвестиционна програма'!H$131*SUMIF('11.1.Амортиз.нови активи'!$B$12:$B$59,$B23,'11.1.Амортиз.нови активи'!AO$12:AO$59))</f>
        <v>0</v>
      </c>
      <c r="N23" s="1198">
        <f>M23+SUMIF('11.1.Амортиз.нови активи'!$B$12:$B$59,$B23,'11.1.Амортиз.нови активи'!N$12:N$59)+('9.Инвестиционна програма'!I$131*SUMIF('11.1.Амортиз.нови активи'!$B$12:$B$59,$B23,'11.1.Амортиз.нови активи'!AP$12:AP$59))</f>
        <v>0</v>
      </c>
      <c r="O23" s="1198">
        <f>N23+SUMIF('11.1.Амортиз.нови активи'!$B$12:$B$59,$B23,'11.1.Амортиз.нови активи'!O$12:O$59)+('9.Инвестиционна програма'!J$131*SUMIF('11.1.Амортиз.нови активи'!$B$12:$B$59,$B23,'11.1.Амортиз.нови активи'!AQ$12:AQ$59))</f>
        <v>0</v>
      </c>
      <c r="P23" s="1198">
        <f>O23+SUMIF('11.1.Амортиз.нови активи'!$B$12:$B$59,$B23,'11.1.Амортиз.нови активи'!P$12:P$59)+('9.Инвестиционна програма'!K$131*SUMIF('11.1.Амортиз.нови активи'!$B$12:$B$59,$B23,'11.1.Амортиз.нови активи'!AR$12:AR$59))</f>
        <v>0</v>
      </c>
      <c r="Q23" s="1198">
        <f>P23+SUMIF('11.1.Амортиз.нови активи'!$B$12:$B$59,$B23,'11.1.Амортиз.нови активи'!Q$12:Q$59)+('9.Инвестиционна програма'!L$131*SUMIF('11.1.Амортиз.нови активи'!$B$12:$B$59,$B23,'11.1.Амортиз.нови активи'!AS$12:AS$59))</f>
        <v>0</v>
      </c>
      <c r="R23" s="1203">
        <f>Q23+SUMIF('11.1.Амортиз.нови активи'!$B$12:$B$59,$B23,'11.1.Амортиз.нови активи'!R$12:R$59)+('9.Инвестиционна програма'!M$131*SUMIF('11.1.Амортиз.нови активи'!$B$12:$B$59,$B23,'11.1.Амортиз.нови активи'!AT$12:AT$59))</f>
        <v>0</v>
      </c>
      <c r="S23" s="4387">
        <f>+'11.3. ДА Базова година'!P24</f>
        <v>0</v>
      </c>
      <c r="T23" s="1202">
        <f>S23+SUMIF('11.1.Амортиз.нови активи'!$B$12:$B$59,$B23,'11.1.Амортиз.нови активи'!T$12:T$59)+('9.Инвестиционна програма'!H$132*SUMIF('11.1.Амортиз.нови активи'!$B$12:$B$59,$B23,'11.1.Амортиз.нови активи'!AO$12:AO$59))</f>
        <v>0</v>
      </c>
      <c r="U23" s="1198">
        <f>T23+SUMIF('11.1.Амортиз.нови активи'!$B$12:$B$59,$B23,'11.1.Амортиз.нови активи'!U$12:U$59)+('9.Инвестиционна програма'!I$132*SUMIF('11.1.Амортиз.нови активи'!$B$12:$B$59,$B23,'11.1.Амортиз.нови активи'!AP$12:AP$59))</f>
        <v>0</v>
      </c>
      <c r="V23" s="1198">
        <f>U23+SUMIF('11.1.Амортиз.нови активи'!$B$12:$B$59,$B23,'11.1.Амортиз.нови активи'!V$12:V$59)+('9.Инвестиционна програма'!J$132*SUMIF('11.1.Амортиз.нови активи'!$B$12:$B$59,$B23,'11.1.Амортиз.нови активи'!AQ$12:AQ$59))</f>
        <v>0</v>
      </c>
      <c r="W23" s="1198">
        <f>V23+SUMIF('11.1.Амортиз.нови активи'!$B$12:$B$59,$B23,'11.1.Амортиз.нови активи'!W$12:W$59)+('9.Инвестиционна програма'!K$132*SUMIF('11.1.Амортиз.нови активи'!$B$12:$B$59,$B23,'11.1.Амортиз.нови активи'!AR$12:AR$59))</f>
        <v>0</v>
      </c>
      <c r="X23" s="1198">
        <f>W23+SUMIF('11.1.Амортиз.нови активи'!$B$12:$B$59,$B23,'11.1.Амортиз.нови активи'!X$12:X$59)+('9.Инвестиционна програма'!L$132*SUMIF('11.1.Амортиз.нови активи'!$B$12:$B$59,$B23,'11.1.Амортиз.нови активи'!AS$12:AS$59))</f>
        <v>0</v>
      </c>
      <c r="Y23" s="1203">
        <f>X23+SUMIF('11.1.Амортиз.нови активи'!$B$12:$B$59,$B23,'11.1.Амортиз.нови активи'!Y$12:Y$59)+('9.Инвестиционна програма'!M$132*SUMIF('11.1.Амортиз.нови активи'!$B$12:$B$59,$B23,'11.1.Амортиз.нови активи'!AT$12:AT$59))</f>
        <v>0</v>
      </c>
      <c r="Z23" s="4387">
        <f>+'11.3. ДА Базова година'!T24</f>
        <v>0</v>
      </c>
      <c r="AA23" s="1202">
        <f>Z23+SUMIF('11.1.Амортиз.нови активи'!$B$12:$B$59,$B23,'11.1.Амортиз.нови активи'!AA$12:AA$59)</f>
        <v>0</v>
      </c>
      <c r="AB23" s="1198">
        <f>AA23+SUMIF('11.1.Амортиз.нови активи'!$B$12:$B$59,$B23,'11.1.Амортиз.нови активи'!AB$12:AB$59)</f>
        <v>0</v>
      </c>
      <c r="AC23" s="1198">
        <f>AB23+SUMIF('11.1.Амортиз.нови активи'!$B$12:$B$59,$B23,'11.1.Амортиз.нови активи'!AC$12:AC$59)</f>
        <v>0</v>
      </c>
      <c r="AD23" s="1198">
        <f>AC23+SUMIF('11.1.Амортиз.нови активи'!$B$12:$B$59,$B23,'11.1.Амортиз.нови активи'!AD$12:AD$59)</f>
        <v>0</v>
      </c>
      <c r="AE23" s="1198">
        <f>AD23+SUMIF('11.1.Амортиз.нови активи'!$B$12:$B$59,$B23,'11.1.Амортиз.нови активи'!AE$12:AE$59)</f>
        <v>0</v>
      </c>
      <c r="AF23" s="1203">
        <f>AE23+SUMIF('11.1.Амортиз.нови активи'!$B$12:$B$59,$B23,'11.1.Амортиз.нови активи'!AF$12:AF$59)</f>
        <v>0</v>
      </c>
      <c r="AG23" s="4387">
        <f>+'11.3. ДА Базова година'!X24</f>
        <v>0</v>
      </c>
      <c r="AH23" s="1202">
        <f>AG23+SUMIF('11.1.Амортиз.нови активи'!$B$12:$B$59,$B23,'11.1.Амортиз.нови активи'!AH$12:AH$59)</f>
        <v>0</v>
      </c>
      <c r="AI23" s="1198">
        <f>AH23+SUMIF('11.1.Амортиз.нови активи'!$B$12:$B$59,$B23,'11.1.Амортиз.нови активи'!AI$12:AI$59)</f>
        <v>0</v>
      </c>
      <c r="AJ23" s="1198">
        <f>AI23+SUMIF('11.1.Амортиз.нови активи'!$B$12:$B$59,$B23,'11.1.Амортиз.нови активи'!AJ$12:AJ$59)</f>
        <v>0</v>
      </c>
      <c r="AK23" s="1198">
        <f>AJ23+SUMIF('11.1.Амортиз.нови активи'!$B$12:$B$59,$B23,'11.1.Амортиз.нови активи'!AK$12:AK$59)</f>
        <v>0</v>
      </c>
      <c r="AL23" s="1198">
        <f>AK23+SUMIF('11.1.Амортиз.нови активи'!$B$12:$B$59,$B23,'11.1.Амортиз.нови активи'!AL$12:AL$59)</f>
        <v>0</v>
      </c>
      <c r="AM23" s="1203">
        <f>AL23+SUMIF('11.1.Амортиз.нови активи'!$B$12:$B$59,$B23,'11.1.Амортиз.нови активи'!AM$12:AM$59)</f>
        <v>0</v>
      </c>
      <c r="AN23" s="2513"/>
      <c r="AO23" s="2521"/>
      <c r="AP23" s="4422"/>
      <c r="AQ23" s="4438">
        <f t="shared" si="31"/>
        <v>8.1806700991394958</v>
      </c>
      <c r="AR23" s="4438">
        <f t="shared" si="32"/>
        <v>8.1806700991394958</v>
      </c>
      <c r="AS23" s="4438">
        <f t="shared" si="33"/>
        <v>8.1806700991394958</v>
      </c>
      <c r="AT23" s="4438">
        <f t="shared" si="34"/>
        <v>8.1806700991394958</v>
      </c>
      <c r="AU23" s="4438">
        <f t="shared" si="35"/>
        <v>8.1806700991394958</v>
      </c>
      <c r="AV23" s="4438">
        <f t="shared" si="36"/>
        <v>8.1806700991394958</v>
      </c>
      <c r="AW23" s="4438">
        <f t="shared" si="37"/>
        <v>8.1806700991394958</v>
      </c>
      <c r="AX23" s="4438">
        <f t="shared" si="38"/>
        <v>0</v>
      </c>
      <c r="AY23" s="4438">
        <f t="shared" si="39"/>
        <v>0</v>
      </c>
      <c r="AZ23" s="4438">
        <f t="shared" si="40"/>
        <v>0</v>
      </c>
      <c r="BA23" s="4438">
        <f t="shared" si="41"/>
        <v>0</v>
      </c>
      <c r="BB23" s="4438">
        <f t="shared" si="42"/>
        <v>0</v>
      </c>
      <c r="BC23" s="4438">
        <f t="shared" si="43"/>
        <v>0</v>
      </c>
      <c r="BD23" s="4438">
        <f t="shared" si="44"/>
        <v>0</v>
      </c>
      <c r="BE23" s="4438">
        <f t="shared" si="45"/>
        <v>0</v>
      </c>
      <c r="BF23" s="4438">
        <f t="shared" si="46"/>
        <v>0</v>
      </c>
      <c r="BG23" s="4438">
        <f t="shared" si="47"/>
        <v>0</v>
      </c>
      <c r="BH23" s="4438">
        <f t="shared" si="48"/>
        <v>0</v>
      </c>
      <c r="BI23" s="4438">
        <f t="shared" si="49"/>
        <v>0</v>
      </c>
      <c r="BJ23" s="4438">
        <f t="shared" si="50"/>
        <v>0</v>
      </c>
      <c r="BK23" s="4438">
        <f t="shared" si="51"/>
        <v>0</v>
      </c>
      <c r="BL23" s="4438">
        <f t="shared" si="52"/>
        <v>0</v>
      </c>
      <c r="BM23" s="4438">
        <f t="shared" si="53"/>
        <v>0</v>
      </c>
      <c r="BN23" s="4438">
        <f t="shared" si="54"/>
        <v>0</v>
      </c>
      <c r="BO23" s="4438">
        <f t="shared" si="55"/>
        <v>0</v>
      </c>
      <c r="BP23" s="4438">
        <f t="shared" si="56"/>
        <v>0</v>
      </c>
      <c r="BQ23" s="4438">
        <f t="shared" si="57"/>
        <v>0</v>
      </c>
      <c r="BR23" s="4438">
        <f t="shared" si="58"/>
        <v>0</v>
      </c>
      <c r="BS23" s="4438">
        <f t="shared" si="59"/>
        <v>0</v>
      </c>
      <c r="BT23" s="4438">
        <f t="shared" si="60"/>
        <v>0</v>
      </c>
      <c r="BU23" s="4438">
        <f t="shared" si="61"/>
        <v>0</v>
      </c>
      <c r="BV23" s="4438">
        <f t="shared" si="62"/>
        <v>0</v>
      </c>
      <c r="BW23" s="4438">
        <f t="shared" si="63"/>
        <v>0</v>
      </c>
      <c r="BX23" s="4438">
        <f t="shared" si="64"/>
        <v>0</v>
      </c>
      <c r="BY23" s="4438">
        <f t="shared" si="65"/>
        <v>0</v>
      </c>
    </row>
    <row r="24" spans="1:77">
      <c r="A24" s="2526">
        <v>6</v>
      </c>
      <c r="B24" s="2527">
        <v>208</v>
      </c>
      <c r="C24" s="2522">
        <v>0.2</v>
      </c>
      <c r="D24" s="2529" t="s">
        <v>413</v>
      </c>
      <c r="E24" s="4387">
        <f>+'11.3. ДА Базова година'!H25</f>
        <v>194</v>
      </c>
      <c r="F24" s="883">
        <f>E24+SUMIF('11.1.Амортиз.нови активи'!$B$12:$B$59,$B24,'11.1.Амортиз.нови активи'!F$12:F$59)+('9.Инвестиционна програма'!H$130*SUMIF('11.1.Амортиз.нови активи'!$B$12:$B$59,$B24,'11.1.Амортиз.нови активи'!AO$12:AO$59))</f>
        <v>200.66666666666666</v>
      </c>
      <c r="G24" s="1198">
        <f>F24+SUMIF('11.1.Амортиз.нови активи'!$B$12:$B$59,$B24,'11.1.Амортиз.нови активи'!G$12:G$59)+('9.Инвестиционна програма'!I$130*SUMIF('11.1.Амортиз.нови активи'!$B$12:$B$59,$B24,'11.1.Амортиз.нови активи'!AP$12:AP$59))</f>
        <v>200.66666666666666</v>
      </c>
      <c r="H24" s="1198">
        <f>G24+SUMIF('11.1.Амортиз.нови активи'!$B$12:$B$59,$B24,'11.1.Амортиз.нови активи'!H$12:H$59)+('9.Инвестиционна програма'!J$130*SUMIF('11.1.Амортиз.нови активи'!$B$12:$B$59,$B24,'11.1.Амортиз.нови активи'!AQ$12:AQ$59))</f>
        <v>200.66666666666666</v>
      </c>
      <c r="I24" s="1198">
        <f>H24+SUMIF('11.1.Амортиз.нови активи'!$B$12:$B$59,$B24,'11.1.Амортиз.нови активи'!I$12:I$59)+('9.Инвестиционна програма'!K$130*SUMIF('11.1.Амортиз.нови активи'!$B$12:$B$59,$B24,'11.1.Амортиз.нови активи'!AR$12:AR$59))</f>
        <v>200.66666666666666</v>
      </c>
      <c r="J24" s="1198">
        <f>I24+SUMIF('11.1.Амортиз.нови активи'!$B$12:$B$59,$B24,'11.1.Амортиз.нови активи'!J$12:J$59)+('9.Инвестиционна програма'!L$130*SUMIF('11.1.Амортиз.нови активи'!$B$12:$B$59,$B24,'11.1.Амортиз.нови активи'!AS$12:AS$59))</f>
        <v>200.66666666666666</v>
      </c>
      <c r="K24" s="1203">
        <f>J24+SUMIF('11.1.Амортиз.нови активи'!$B$12:$B$59,$B24,'11.1.Амортиз.нови активи'!K$12:K$59)+('9.Инвестиционна програма'!M$130*SUMIF('11.1.Амортиз.нови активи'!$B$12:$B$59,$B24,'11.1.Амортиз.нови активи'!AT$12:AT$59))</f>
        <v>200.66666666666666</v>
      </c>
      <c r="L24" s="4387">
        <f>+'11.3. ДА Базова година'!L25</f>
        <v>70</v>
      </c>
      <c r="M24" s="1202">
        <f>L24+SUMIF('11.1.Амортиз.нови активи'!$B$12:$B$59,$B24,'11.1.Амортиз.нови активи'!M$12:M$59)+('9.Инвестиционна програма'!H$131*SUMIF('11.1.Амортиз.нови активи'!$B$12:$B$59,$B24,'11.1.Амортиз.нови активи'!AO$12:AO$59))</f>
        <v>76.666666666666671</v>
      </c>
      <c r="N24" s="1198">
        <f>M24+SUMIF('11.1.Амортиз.нови активи'!$B$12:$B$59,$B24,'11.1.Амортиз.нови активи'!N$12:N$59)+('9.Инвестиционна програма'!I$131*SUMIF('11.1.Амортиз.нови активи'!$B$12:$B$59,$B24,'11.1.Амортиз.нови активи'!AP$12:AP$59))</f>
        <v>76.666666666666671</v>
      </c>
      <c r="O24" s="1198">
        <f>N24+SUMIF('11.1.Амортиз.нови активи'!$B$12:$B$59,$B24,'11.1.Амортиз.нови активи'!O$12:O$59)+('9.Инвестиционна програма'!J$131*SUMIF('11.1.Амортиз.нови активи'!$B$12:$B$59,$B24,'11.1.Амортиз.нови активи'!AQ$12:AQ$59))</f>
        <v>76.666666666666671</v>
      </c>
      <c r="P24" s="1198">
        <f>O24+SUMIF('11.1.Амортиз.нови активи'!$B$12:$B$59,$B24,'11.1.Амортиз.нови активи'!P$12:P$59)+('9.Инвестиционна програма'!K$131*SUMIF('11.1.Амортиз.нови активи'!$B$12:$B$59,$B24,'11.1.Амортиз.нови активи'!AR$12:AR$59))</f>
        <v>76.666666666666671</v>
      </c>
      <c r="Q24" s="1198">
        <f>P24+SUMIF('11.1.Амортиз.нови активи'!$B$12:$B$59,$B24,'11.1.Амортиз.нови активи'!Q$12:Q$59)+('9.Инвестиционна програма'!L$131*SUMIF('11.1.Амортиз.нови активи'!$B$12:$B$59,$B24,'11.1.Амортиз.нови активи'!AS$12:AS$59))</f>
        <v>76.666666666666671</v>
      </c>
      <c r="R24" s="1203">
        <f>Q24+SUMIF('11.1.Амортиз.нови активи'!$B$12:$B$59,$B24,'11.1.Амортиз.нови активи'!R$12:R$59)+('9.Инвестиционна програма'!M$131*SUMIF('11.1.Амортиз.нови активи'!$B$12:$B$59,$B24,'11.1.Амортиз.нови активи'!AT$12:AT$59))</f>
        <v>76.666666666666671</v>
      </c>
      <c r="S24" s="4387">
        <f>+'11.3. ДА Базова година'!P25</f>
        <v>132</v>
      </c>
      <c r="T24" s="1202">
        <f>S24+SUMIF('11.1.Амортиз.нови активи'!$B$12:$B$59,$B24,'11.1.Амортиз.нови активи'!T$12:T$59)+('9.Инвестиционна програма'!H$132*SUMIF('11.1.Амортиз.нови активи'!$B$12:$B$59,$B24,'11.1.Амортиз.нови активи'!AO$12:AO$59))</f>
        <v>138.66666666666666</v>
      </c>
      <c r="U24" s="1198">
        <f>T24+SUMIF('11.1.Амортиз.нови активи'!$B$12:$B$59,$B24,'11.1.Амортиз.нови активи'!U$12:U$59)+('9.Инвестиционна програма'!I$132*SUMIF('11.1.Амортиз.нови активи'!$B$12:$B$59,$B24,'11.1.Амортиз.нови активи'!AP$12:AP$59))</f>
        <v>138.66666666666666</v>
      </c>
      <c r="V24" s="1198">
        <f>U24+SUMIF('11.1.Амортиз.нови активи'!$B$12:$B$59,$B24,'11.1.Амортиз.нови активи'!V$12:V$59)+('9.Инвестиционна програма'!J$132*SUMIF('11.1.Амортиз.нови активи'!$B$12:$B$59,$B24,'11.1.Амортиз.нови активи'!AQ$12:AQ$59))</f>
        <v>138.66666666666666</v>
      </c>
      <c r="W24" s="1198">
        <f>V24+SUMIF('11.1.Амортиз.нови активи'!$B$12:$B$59,$B24,'11.1.Амортиз.нови активи'!W$12:W$59)+('9.Инвестиционна програма'!K$132*SUMIF('11.1.Амортиз.нови активи'!$B$12:$B$59,$B24,'11.1.Амортиз.нови активи'!AR$12:AR$59))</f>
        <v>138.66666666666666</v>
      </c>
      <c r="X24" s="1198">
        <f>W24+SUMIF('11.1.Амортиз.нови активи'!$B$12:$B$59,$B24,'11.1.Амортиз.нови активи'!X$12:X$59)+('9.Инвестиционна програма'!L$132*SUMIF('11.1.Амортиз.нови активи'!$B$12:$B$59,$B24,'11.1.Амортиз.нови активи'!AS$12:AS$59))</f>
        <v>138.66666666666666</v>
      </c>
      <c r="Y24" s="1203">
        <f>X24+SUMIF('11.1.Амортиз.нови активи'!$B$12:$B$59,$B24,'11.1.Амортиз.нови активи'!Y$12:Y$59)+('9.Инвестиционна програма'!M$132*SUMIF('11.1.Амортиз.нови активи'!$B$12:$B$59,$B24,'11.1.Амортиз.нови активи'!AT$12:AT$59))</f>
        <v>138.66666666666666</v>
      </c>
      <c r="Z24" s="4387">
        <f>+'11.3. ДА Базова година'!T25</f>
        <v>0</v>
      </c>
      <c r="AA24" s="1202">
        <f>Z24+SUMIF('11.1.Амортиз.нови активи'!$B$12:$B$59,$B24,'11.1.Амортиз.нови активи'!AA$12:AA$59)</f>
        <v>0</v>
      </c>
      <c r="AB24" s="1198">
        <f>AA24+SUMIF('11.1.Амортиз.нови активи'!$B$12:$B$59,$B24,'11.1.Амортиз.нови активи'!AB$12:AB$59)</f>
        <v>0</v>
      </c>
      <c r="AC24" s="1198">
        <f>AB24+SUMIF('11.1.Амортиз.нови активи'!$B$12:$B$59,$B24,'11.1.Амортиз.нови активи'!AC$12:AC$59)</f>
        <v>0</v>
      </c>
      <c r="AD24" s="1198">
        <f>AC24+SUMIF('11.1.Амортиз.нови активи'!$B$12:$B$59,$B24,'11.1.Амортиз.нови активи'!AD$12:AD$59)</f>
        <v>0</v>
      </c>
      <c r="AE24" s="1198">
        <f>AD24+SUMIF('11.1.Амортиз.нови активи'!$B$12:$B$59,$B24,'11.1.Амортиз.нови активи'!AE$12:AE$59)</f>
        <v>0</v>
      </c>
      <c r="AF24" s="1203">
        <f>AE24+SUMIF('11.1.Амортиз.нови активи'!$B$12:$B$59,$B24,'11.1.Амортиз.нови активи'!AF$12:AF$59)</f>
        <v>0</v>
      </c>
      <c r="AG24" s="4387">
        <f>+'11.3. ДА Базова година'!X25</f>
        <v>0</v>
      </c>
      <c r="AH24" s="1202">
        <f>AG24+SUMIF('11.1.Амортиз.нови активи'!$B$12:$B$59,$B24,'11.1.Амортиз.нови активи'!AH$12:AH$59)</f>
        <v>0</v>
      </c>
      <c r="AI24" s="1198">
        <f>AH24+SUMIF('11.1.Амортиз.нови активи'!$B$12:$B$59,$B24,'11.1.Амортиз.нови активи'!AI$12:AI$59)</f>
        <v>0</v>
      </c>
      <c r="AJ24" s="1198">
        <f>AI24+SUMIF('11.1.Амортиз.нови активи'!$B$12:$B$59,$B24,'11.1.Амортиз.нови активи'!AJ$12:AJ$59)</f>
        <v>0</v>
      </c>
      <c r="AK24" s="1198">
        <f>AJ24+SUMIF('11.1.Амортиз.нови активи'!$B$12:$B$59,$B24,'11.1.Амортиз.нови активи'!AK$12:AK$59)</f>
        <v>0</v>
      </c>
      <c r="AL24" s="1198">
        <f>AK24+SUMIF('11.1.Амортиз.нови активи'!$B$12:$B$59,$B24,'11.1.Амортиз.нови активи'!AL$12:AL$59)</f>
        <v>0</v>
      </c>
      <c r="AM24" s="1203">
        <f>AL24+SUMIF('11.1.Амортиз.нови активи'!$B$12:$B$59,$B24,'11.1.Амортиз.нови активи'!AM$12:AM$59)</f>
        <v>0</v>
      </c>
      <c r="AN24" s="2513"/>
      <c r="AO24" s="2521"/>
      <c r="AP24" s="4422"/>
      <c r="AQ24" s="4438">
        <f t="shared" si="31"/>
        <v>99.190624952066386</v>
      </c>
      <c r="AR24" s="4438">
        <f t="shared" si="32"/>
        <v>102.5992374933745</v>
      </c>
      <c r="AS24" s="4438">
        <f t="shared" si="33"/>
        <v>102.5992374933745</v>
      </c>
      <c r="AT24" s="4438">
        <f t="shared" si="34"/>
        <v>102.5992374933745</v>
      </c>
      <c r="AU24" s="4438">
        <f t="shared" si="35"/>
        <v>102.5992374933745</v>
      </c>
      <c r="AV24" s="4438">
        <f t="shared" si="36"/>
        <v>102.5992374933745</v>
      </c>
      <c r="AW24" s="4438">
        <f t="shared" si="37"/>
        <v>102.5992374933745</v>
      </c>
      <c r="AX24" s="4438">
        <f t="shared" si="38"/>
        <v>35.790431683735292</v>
      </c>
      <c r="AY24" s="4438">
        <f t="shared" si="39"/>
        <v>39.199044225043423</v>
      </c>
      <c r="AZ24" s="4438">
        <f t="shared" si="40"/>
        <v>39.199044225043423</v>
      </c>
      <c r="BA24" s="4438">
        <f t="shared" si="41"/>
        <v>39.199044225043423</v>
      </c>
      <c r="BB24" s="4438">
        <f t="shared" si="42"/>
        <v>39.199044225043423</v>
      </c>
      <c r="BC24" s="4438">
        <f t="shared" si="43"/>
        <v>39.199044225043423</v>
      </c>
      <c r="BD24" s="4438">
        <f t="shared" si="44"/>
        <v>39.199044225043423</v>
      </c>
      <c r="BE24" s="4438">
        <f t="shared" si="45"/>
        <v>67.490528317900839</v>
      </c>
      <c r="BF24" s="4438">
        <f t="shared" si="46"/>
        <v>70.899140859208956</v>
      </c>
      <c r="BG24" s="4438">
        <f t="shared" si="47"/>
        <v>70.899140859208956</v>
      </c>
      <c r="BH24" s="4438">
        <f t="shared" si="48"/>
        <v>70.899140859208956</v>
      </c>
      <c r="BI24" s="4438">
        <f t="shared" si="49"/>
        <v>70.899140859208956</v>
      </c>
      <c r="BJ24" s="4438">
        <f t="shared" si="50"/>
        <v>70.899140859208956</v>
      </c>
      <c r="BK24" s="4438">
        <f t="shared" si="51"/>
        <v>70.899140859208956</v>
      </c>
      <c r="BL24" s="4438">
        <f t="shared" si="52"/>
        <v>0</v>
      </c>
      <c r="BM24" s="4438">
        <f t="shared" si="53"/>
        <v>0</v>
      </c>
      <c r="BN24" s="4438">
        <f t="shared" si="54"/>
        <v>0</v>
      </c>
      <c r="BO24" s="4438">
        <f t="shared" si="55"/>
        <v>0</v>
      </c>
      <c r="BP24" s="4438">
        <f t="shared" si="56"/>
        <v>0</v>
      </c>
      <c r="BQ24" s="4438">
        <f t="shared" si="57"/>
        <v>0</v>
      </c>
      <c r="BR24" s="4438">
        <f t="shared" si="58"/>
        <v>0</v>
      </c>
      <c r="BS24" s="4438">
        <f t="shared" si="59"/>
        <v>0</v>
      </c>
      <c r="BT24" s="4438">
        <f t="shared" si="60"/>
        <v>0</v>
      </c>
      <c r="BU24" s="4438">
        <f t="shared" si="61"/>
        <v>0</v>
      </c>
      <c r="BV24" s="4438">
        <f t="shared" si="62"/>
        <v>0</v>
      </c>
      <c r="BW24" s="4438">
        <f t="shared" si="63"/>
        <v>0</v>
      </c>
      <c r="BX24" s="4438">
        <f t="shared" si="64"/>
        <v>0</v>
      </c>
      <c r="BY24" s="4438">
        <f t="shared" si="65"/>
        <v>0</v>
      </c>
    </row>
    <row r="25" spans="1:77">
      <c r="A25" s="2526">
        <v>7</v>
      </c>
      <c r="B25" s="2530">
        <v>20601</v>
      </c>
      <c r="C25" s="2522">
        <v>0.1</v>
      </c>
      <c r="D25" s="2529" t="s">
        <v>564</v>
      </c>
      <c r="E25" s="4387">
        <f>+'11.3. ДА Базова година'!H26</f>
        <v>59</v>
      </c>
      <c r="F25" s="883">
        <f>E25+SUMIF('11.1.Амортиз.нови активи'!$B$12:$B$59,$B25,'11.1.Амортиз.нови активи'!F$12:F$59)+('9.Инвестиционна програма'!H$130*SUMIF('11.1.Амортиз.нови активи'!$B$12:$B$59,$B25,'11.1.Амортиз.нови активи'!AO$12:AO$59))</f>
        <v>65.666666666666671</v>
      </c>
      <c r="G25" s="1198">
        <f>F25+SUMIF('11.1.Амортиз.нови активи'!$B$12:$B$59,$B25,'11.1.Амортиз.нови активи'!G$12:G$59)+('9.Инвестиционна програма'!I$130*SUMIF('11.1.Амортиз.нови активи'!$B$12:$B$59,$B25,'11.1.Амортиз.нови активи'!AP$12:AP$59))</f>
        <v>70.666666666666671</v>
      </c>
      <c r="H25" s="1198">
        <f>G25+SUMIF('11.1.Амортиз.нови активи'!$B$12:$B$59,$B25,'11.1.Амортиз.нови активи'!H$12:H$59)+('9.Инвестиционна програма'!J$130*SUMIF('11.1.Амортиз.нови активи'!$B$12:$B$59,$B25,'11.1.Амортиз.нови активи'!AQ$12:AQ$59))</f>
        <v>75.666666666666671</v>
      </c>
      <c r="I25" s="1198">
        <f>H25+SUMIF('11.1.Амортиз.нови активи'!$B$12:$B$59,$B25,'11.1.Амортиз.нови активи'!I$12:I$59)+('9.Инвестиционна програма'!K$130*SUMIF('11.1.Амортиз.нови активи'!$B$12:$B$59,$B25,'11.1.Амортиз.нови активи'!AR$12:AR$59))</f>
        <v>80.666666666666671</v>
      </c>
      <c r="J25" s="1198">
        <f>I25+SUMIF('11.1.Амортиз.нови активи'!$B$12:$B$59,$B25,'11.1.Амортиз.нови активи'!J$12:J$59)+('9.Инвестиционна програма'!L$130*SUMIF('11.1.Амортиз.нови активи'!$B$12:$B$59,$B25,'11.1.Амортиз.нови активи'!AS$12:AS$59))</f>
        <v>85.666666666666671</v>
      </c>
      <c r="K25" s="1203">
        <f>J25+SUMIF('11.1.Амортиз.нови активи'!$B$12:$B$59,$B25,'11.1.Амортиз.нови активи'!K$12:K$59)+('9.Инвестиционна програма'!M$130*SUMIF('11.1.Амортиз.нови активи'!$B$12:$B$59,$B25,'11.1.Амортиз.нови активи'!AT$12:AT$59))</f>
        <v>90.666666666666671</v>
      </c>
      <c r="L25" s="4387">
        <f>+'11.3. ДА Базова година'!L26</f>
        <v>12</v>
      </c>
      <c r="M25" s="1202">
        <f>L25+SUMIF('11.1.Амортиз.нови активи'!$B$12:$B$59,$B25,'11.1.Амортиз.нови активи'!M$12:M$59)+('9.Инвестиционна програма'!H$131*SUMIF('11.1.Амортиз.нови активи'!$B$12:$B$59,$B25,'11.1.Амортиз.нови активи'!AO$12:AO$59))</f>
        <v>18.666666666666664</v>
      </c>
      <c r="N25" s="1198">
        <f>M25+SUMIF('11.1.Амортиз.нови активи'!$B$12:$B$59,$B25,'11.1.Амортиз.нови активи'!N$12:N$59)+('9.Инвестиционна програма'!I$131*SUMIF('11.1.Амортиз.нови активи'!$B$12:$B$59,$B25,'11.1.Амортиз.нови активи'!AP$12:AP$59))</f>
        <v>23.666666666666664</v>
      </c>
      <c r="O25" s="1198">
        <f>N25+SUMIF('11.1.Амортиз.нови активи'!$B$12:$B$59,$B25,'11.1.Амортиз.нови активи'!O$12:O$59)+('9.Инвестиционна програма'!J$131*SUMIF('11.1.Амортиз.нови активи'!$B$12:$B$59,$B25,'11.1.Амортиз.нови активи'!AQ$12:AQ$59))</f>
        <v>28.666666666666664</v>
      </c>
      <c r="P25" s="1198">
        <f>O25+SUMIF('11.1.Амортиз.нови активи'!$B$12:$B$59,$B25,'11.1.Амортиз.нови активи'!P$12:P$59)+('9.Инвестиционна програма'!K$131*SUMIF('11.1.Амортиз.нови активи'!$B$12:$B$59,$B25,'11.1.Амортиз.нови активи'!AR$12:AR$59))</f>
        <v>33.666666666666664</v>
      </c>
      <c r="Q25" s="1198">
        <f>P25+SUMIF('11.1.Амортиз.нови активи'!$B$12:$B$59,$B25,'11.1.Амортиз.нови активи'!Q$12:Q$59)+('9.Инвестиционна програма'!L$131*SUMIF('11.1.Амортиз.нови активи'!$B$12:$B$59,$B25,'11.1.Амортиз.нови активи'!AS$12:AS$59))</f>
        <v>38.666666666666664</v>
      </c>
      <c r="R25" s="1203">
        <f>Q25+SUMIF('11.1.Амортиз.нови активи'!$B$12:$B$59,$B25,'11.1.Амортиз.нови активи'!R$12:R$59)+('9.Инвестиционна програма'!M$131*SUMIF('11.1.Амортиз.нови активи'!$B$12:$B$59,$B25,'11.1.Амортиз.нови активи'!AT$12:AT$59))</f>
        <v>43.666666666666664</v>
      </c>
      <c r="S25" s="4387">
        <f>+'11.3. ДА Базова година'!P26</f>
        <v>32</v>
      </c>
      <c r="T25" s="1202">
        <f>S25+SUMIF('11.1.Амортиз.нови активи'!$B$12:$B$59,$B25,'11.1.Амортиз.нови активи'!T$12:T$59)+('9.Инвестиционна програма'!H$132*SUMIF('11.1.Амортиз.нови активи'!$B$12:$B$59,$B25,'11.1.Амортиз.нови активи'!AO$12:AO$59))</f>
        <v>38.666666666666664</v>
      </c>
      <c r="U25" s="1198">
        <f>T25+SUMIF('11.1.Амортиз.нови активи'!$B$12:$B$59,$B25,'11.1.Амортиз.нови активи'!U$12:U$59)+('9.Инвестиционна програма'!I$132*SUMIF('11.1.Амортиз.нови активи'!$B$12:$B$59,$B25,'11.1.Амортиз.нови активи'!AP$12:AP$59))</f>
        <v>43.666666666666664</v>
      </c>
      <c r="V25" s="1198">
        <f>U25+SUMIF('11.1.Амортиз.нови активи'!$B$12:$B$59,$B25,'11.1.Амортиз.нови активи'!V$12:V$59)+('9.Инвестиционна програма'!J$132*SUMIF('11.1.Амортиз.нови активи'!$B$12:$B$59,$B25,'11.1.Амортиз.нови активи'!AQ$12:AQ$59))</f>
        <v>48.666666666666664</v>
      </c>
      <c r="W25" s="1198">
        <f>V25+SUMIF('11.1.Амортиз.нови активи'!$B$12:$B$59,$B25,'11.1.Амортиз.нови активи'!W$12:W$59)+('9.Инвестиционна програма'!K$132*SUMIF('11.1.Амортиз.нови активи'!$B$12:$B$59,$B25,'11.1.Амортиз.нови активи'!AR$12:AR$59))</f>
        <v>53.666666666666664</v>
      </c>
      <c r="X25" s="1198">
        <f>W25+SUMIF('11.1.Амортиз.нови активи'!$B$12:$B$59,$B25,'11.1.Амортиз.нови активи'!X$12:X$59)+('9.Инвестиционна програма'!L$132*SUMIF('11.1.Амортиз.нови активи'!$B$12:$B$59,$B25,'11.1.Амортиз.нови активи'!AS$12:AS$59))</f>
        <v>58.666666666666664</v>
      </c>
      <c r="Y25" s="1203">
        <f>X25+SUMIF('11.1.Амортиз.нови активи'!$B$12:$B$59,$B25,'11.1.Амортиз.нови активи'!Y$12:Y$59)+('9.Инвестиционна програма'!M$132*SUMIF('11.1.Амортиз.нови активи'!$B$12:$B$59,$B25,'11.1.Амортиз.нови активи'!AT$12:AT$59))</f>
        <v>63.666666666666664</v>
      </c>
      <c r="Z25" s="4387">
        <f>+'11.3. ДА Базова година'!T26</f>
        <v>0</v>
      </c>
      <c r="AA25" s="1202">
        <f>Z25+SUMIF('11.1.Амортиз.нови активи'!$B$12:$B$59,$B25,'11.1.Амортиз.нови активи'!AA$12:AA$59)</f>
        <v>0</v>
      </c>
      <c r="AB25" s="1198">
        <f>AA25+SUMIF('11.1.Амортиз.нови активи'!$B$12:$B$59,$B25,'11.1.Амортиз.нови активи'!AB$12:AB$59)</f>
        <v>0</v>
      </c>
      <c r="AC25" s="1198">
        <f>AB25+SUMIF('11.1.Амортиз.нови активи'!$B$12:$B$59,$B25,'11.1.Амортиз.нови активи'!AC$12:AC$59)</f>
        <v>0</v>
      </c>
      <c r="AD25" s="1198">
        <f>AC25+SUMIF('11.1.Амортиз.нови активи'!$B$12:$B$59,$B25,'11.1.Амортиз.нови активи'!AD$12:AD$59)</f>
        <v>0</v>
      </c>
      <c r="AE25" s="1198">
        <f>AD25+SUMIF('11.1.Амортиз.нови активи'!$B$12:$B$59,$B25,'11.1.Амортиз.нови активи'!AE$12:AE$59)</f>
        <v>0</v>
      </c>
      <c r="AF25" s="1203">
        <f>AE25+SUMIF('11.1.Амортиз.нови активи'!$B$12:$B$59,$B25,'11.1.Амортиз.нови активи'!AF$12:AF$59)</f>
        <v>0</v>
      </c>
      <c r="AG25" s="4387">
        <f>+'11.3. ДА Базова година'!X26</f>
        <v>0</v>
      </c>
      <c r="AH25" s="1202">
        <f>AG25+SUMIF('11.1.Амортиз.нови активи'!$B$12:$B$59,$B25,'11.1.Амортиз.нови активи'!AH$12:AH$59)</f>
        <v>0</v>
      </c>
      <c r="AI25" s="1198">
        <f>AH25+SUMIF('11.1.Амортиз.нови активи'!$B$12:$B$59,$B25,'11.1.Амортиз.нови активи'!AI$12:AI$59)</f>
        <v>0</v>
      </c>
      <c r="AJ25" s="1198">
        <f>AI25+SUMIF('11.1.Амортиз.нови активи'!$B$12:$B$59,$B25,'11.1.Амортиз.нови активи'!AJ$12:AJ$59)</f>
        <v>0</v>
      </c>
      <c r="AK25" s="1198">
        <f>AJ25+SUMIF('11.1.Амортиз.нови активи'!$B$12:$B$59,$B25,'11.1.Амортиз.нови активи'!AK$12:AK$59)</f>
        <v>0</v>
      </c>
      <c r="AL25" s="1198">
        <f>AK25+SUMIF('11.1.Амортиз.нови активи'!$B$12:$B$59,$B25,'11.1.Амортиз.нови активи'!AL$12:AL$59)</f>
        <v>0</v>
      </c>
      <c r="AM25" s="1203">
        <f>AL25+SUMIF('11.1.Амортиз.нови активи'!$B$12:$B$59,$B25,'11.1.Амортиз.нови активи'!AM$12:AM$59)</f>
        <v>0</v>
      </c>
      <c r="AN25" s="2513"/>
      <c r="AO25" s="2521"/>
      <c r="AP25" s="4422"/>
      <c r="AQ25" s="4438">
        <f t="shared" si="31"/>
        <v>30.166220990576893</v>
      </c>
      <c r="AR25" s="4438">
        <f t="shared" si="32"/>
        <v>33.57483353188502</v>
      </c>
      <c r="AS25" s="4438">
        <f t="shared" si="33"/>
        <v>36.131292937866107</v>
      </c>
      <c r="AT25" s="4438">
        <f t="shared" si="34"/>
        <v>38.687752343847201</v>
      </c>
      <c r="AU25" s="4438">
        <f t="shared" si="35"/>
        <v>41.244211749828295</v>
      </c>
      <c r="AV25" s="4438">
        <f t="shared" si="36"/>
        <v>43.80067115580939</v>
      </c>
      <c r="AW25" s="4438">
        <f t="shared" si="37"/>
        <v>46.357130561790477</v>
      </c>
      <c r="AX25" s="4438">
        <f t="shared" si="38"/>
        <v>6.1355025743546223</v>
      </c>
      <c r="AY25" s="4438">
        <f t="shared" si="39"/>
        <v>9.5441151156627448</v>
      </c>
      <c r="AZ25" s="4438">
        <f t="shared" si="40"/>
        <v>12.100574521643837</v>
      </c>
      <c r="BA25" s="4438">
        <f t="shared" si="41"/>
        <v>14.657033927624928</v>
      </c>
      <c r="BB25" s="4438">
        <f t="shared" si="42"/>
        <v>17.213493333606021</v>
      </c>
      <c r="BC25" s="4438">
        <f t="shared" si="43"/>
        <v>19.769952739587115</v>
      </c>
      <c r="BD25" s="4438">
        <f t="shared" si="44"/>
        <v>22.326412145568206</v>
      </c>
      <c r="BE25" s="4438">
        <f t="shared" si="45"/>
        <v>16.361340198278992</v>
      </c>
      <c r="BF25" s="4438">
        <f t="shared" si="46"/>
        <v>19.769952739587115</v>
      </c>
      <c r="BG25" s="4438">
        <f t="shared" si="47"/>
        <v>22.326412145568206</v>
      </c>
      <c r="BH25" s="4438">
        <f t="shared" si="48"/>
        <v>24.8828715515493</v>
      </c>
      <c r="BI25" s="4438">
        <f t="shared" si="49"/>
        <v>27.439330957530391</v>
      </c>
      <c r="BJ25" s="4438">
        <f t="shared" si="50"/>
        <v>29.995790363511485</v>
      </c>
      <c r="BK25" s="4438">
        <f t="shared" si="51"/>
        <v>32.552249769492576</v>
      </c>
      <c r="BL25" s="4438">
        <f t="shared" si="52"/>
        <v>0</v>
      </c>
      <c r="BM25" s="4438">
        <f t="shared" si="53"/>
        <v>0</v>
      </c>
      <c r="BN25" s="4438">
        <f t="shared" si="54"/>
        <v>0</v>
      </c>
      <c r="BO25" s="4438">
        <f t="shared" si="55"/>
        <v>0</v>
      </c>
      <c r="BP25" s="4438">
        <f t="shared" si="56"/>
        <v>0</v>
      </c>
      <c r="BQ25" s="4438">
        <f t="shared" si="57"/>
        <v>0</v>
      </c>
      <c r="BR25" s="4438">
        <f t="shared" si="58"/>
        <v>0</v>
      </c>
      <c r="BS25" s="4438">
        <f t="shared" si="59"/>
        <v>0</v>
      </c>
      <c r="BT25" s="4438">
        <f t="shared" si="60"/>
        <v>0</v>
      </c>
      <c r="BU25" s="4438">
        <f t="shared" si="61"/>
        <v>0</v>
      </c>
      <c r="BV25" s="4438">
        <f t="shared" si="62"/>
        <v>0</v>
      </c>
      <c r="BW25" s="4438">
        <f t="shared" si="63"/>
        <v>0</v>
      </c>
      <c r="BX25" s="4438">
        <f t="shared" si="64"/>
        <v>0</v>
      </c>
      <c r="BY25" s="4438">
        <f t="shared" si="65"/>
        <v>0</v>
      </c>
    </row>
    <row r="26" spans="1:77">
      <c r="A26" s="2531">
        <v>8</v>
      </c>
      <c r="B26" s="2530">
        <v>20602</v>
      </c>
      <c r="C26" s="2522">
        <v>0.1</v>
      </c>
      <c r="D26" s="2529" t="s">
        <v>435</v>
      </c>
      <c r="E26" s="4387">
        <f>+'11.3. ДА Базова година'!H27</f>
        <v>101</v>
      </c>
      <c r="F26" s="883">
        <f>E26+SUMIF('11.1.Амортиз.нови активи'!$B$12:$B$59,$B26,'11.1.Амортиз.нови активи'!F$12:F$59)+('9.Инвестиционна програма'!H$130*SUMIF('11.1.Амортиз.нови активи'!$B$12:$B$59,$B26,'11.1.Амортиз.нови активи'!AO$12:AO$59))</f>
        <v>101</v>
      </c>
      <c r="G26" s="1198">
        <f>F26+SUMIF('11.1.Амортиз.нови активи'!$B$12:$B$59,$B26,'11.1.Амортиз.нови активи'!G$12:G$59)+('9.Инвестиционна програма'!I$130*SUMIF('11.1.Амортиз.нови активи'!$B$12:$B$59,$B26,'11.1.Амортиз.нови активи'!AP$12:AP$59))</f>
        <v>101</v>
      </c>
      <c r="H26" s="1198">
        <f>G26+SUMIF('11.1.Амортиз.нови активи'!$B$12:$B$59,$B26,'11.1.Амортиз.нови активи'!H$12:H$59)+('9.Инвестиционна програма'!J$130*SUMIF('11.1.Амортиз.нови активи'!$B$12:$B$59,$B26,'11.1.Амортиз.нови активи'!AQ$12:AQ$59))</f>
        <v>101</v>
      </c>
      <c r="I26" s="1198">
        <f>H26+SUMIF('11.1.Амортиз.нови активи'!$B$12:$B$59,$B26,'11.1.Амортиз.нови активи'!I$12:I$59)+('9.Инвестиционна програма'!K$130*SUMIF('11.1.Амортиз.нови активи'!$B$12:$B$59,$B26,'11.1.Амортиз.нови активи'!AR$12:AR$59))</f>
        <v>101</v>
      </c>
      <c r="J26" s="1198">
        <f>I26+SUMIF('11.1.Амортиз.нови активи'!$B$12:$B$59,$B26,'11.1.Амортиз.нови активи'!J$12:J$59)+('9.Инвестиционна програма'!L$130*SUMIF('11.1.Амортиз.нови активи'!$B$12:$B$59,$B26,'11.1.Амортиз.нови активи'!AS$12:AS$59))</f>
        <v>101</v>
      </c>
      <c r="K26" s="1203">
        <f>J26+SUMIF('11.1.Амортиз.нови активи'!$B$12:$B$59,$B26,'11.1.Амортиз.нови активи'!K$12:K$59)+('9.Инвестиционна програма'!M$130*SUMIF('11.1.Амортиз.нови активи'!$B$12:$B$59,$B26,'11.1.Амортиз.нови активи'!AT$12:AT$59))</f>
        <v>101</v>
      </c>
      <c r="L26" s="4387">
        <f>+'11.3. ДА Базова година'!L27</f>
        <v>47</v>
      </c>
      <c r="M26" s="1202">
        <f>L26+SUMIF('11.1.Амортиз.нови активи'!$B$12:$B$59,$B26,'11.1.Амортиз.нови активи'!M$12:M$59)+('9.Инвестиционна програма'!H$131*SUMIF('11.1.Амортиз.нови активи'!$B$12:$B$59,$B26,'11.1.Амортиз.нови активи'!AO$12:AO$59))</f>
        <v>47</v>
      </c>
      <c r="N26" s="1198">
        <f>M26+SUMIF('11.1.Амортиз.нови активи'!$B$12:$B$59,$B26,'11.1.Амортиз.нови активи'!N$12:N$59)+('9.Инвестиционна програма'!I$131*SUMIF('11.1.Амортиз.нови активи'!$B$12:$B$59,$B26,'11.1.Амортиз.нови активи'!AP$12:AP$59))</f>
        <v>47</v>
      </c>
      <c r="O26" s="1198">
        <f>N26+SUMIF('11.1.Амортиз.нови активи'!$B$12:$B$59,$B26,'11.1.Амортиз.нови активи'!O$12:O$59)+('9.Инвестиционна програма'!J$131*SUMIF('11.1.Амортиз.нови активи'!$B$12:$B$59,$B26,'11.1.Амортиз.нови активи'!AQ$12:AQ$59))</f>
        <v>47</v>
      </c>
      <c r="P26" s="1198">
        <f>O26+SUMIF('11.1.Амортиз.нови активи'!$B$12:$B$59,$B26,'11.1.Амортиз.нови активи'!P$12:P$59)+('9.Инвестиционна програма'!K$131*SUMIF('11.1.Амортиз.нови активи'!$B$12:$B$59,$B26,'11.1.Амортиз.нови активи'!AR$12:AR$59))</f>
        <v>47</v>
      </c>
      <c r="Q26" s="1198">
        <f>P26+SUMIF('11.1.Амортиз.нови активи'!$B$12:$B$59,$B26,'11.1.Амортиз.нови активи'!Q$12:Q$59)+('9.Инвестиционна програма'!L$131*SUMIF('11.1.Амортиз.нови активи'!$B$12:$B$59,$B26,'11.1.Амортиз.нови активи'!AS$12:AS$59))</f>
        <v>47</v>
      </c>
      <c r="R26" s="1203">
        <f>Q26+SUMIF('11.1.Амортиз.нови активи'!$B$12:$B$59,$B26,'11.1.Амортиз.нови активи'!R$12:R$59)+('9.Инвестиционна програма'!M$131*SUMIF('11.1.Амортиз.нови активи'!$B$12:$B$59,$B26,'11.1.Амортиз.нови активи'!AT$12:AT$59))</f>
        <v>47</v>
      </c>
      <c r="S26" s="4387">
        <f>+'11.3. ДА Базова година'!P27</f>
        <v>102</v>
      </c>
      <c r="T26" s="1202">
        <f>S26+SUMIF('11.1.Амортиз.нови активи'!$B$12:$B$59,$B26,'11.1.Амортиз.нови активи'!T$12:T$59)+('9.Инвестиционна програма'!H$132*SUMIF('11.1.Амортиз.нови активи'!$B$12:$B$59,$B26,'11.1.Амортиз.нови активи'!AO$12:AO$59))</f>
        <v>102</v>
      </c>
      <c r="U26" s="1198">
        <f>T26+SUMIF('11.1.Амортиз.нови активи'!$B$12:$B$59,$B26,'11.1.Амортиз.нови активи'!U$12:U$59)+('9.Инвестиционна програма'!I$132*SUMIF('11.1.Амортиз.нови активи'!$B$12:$B$59,$B26,'11.1.Амортиз.нови активи'!AP$12:AP$59))</f>
        <v>102</v>
      </c>
      <c r="V26" s="1198">
        <f>U26+SUMIF('11.1.Амортиз.нови активи'!$B$12:$B$59,$B26,'11.1.Амортиз.нови активи'!V$12:V$59)+('9.Инвестиционна програма'!J$132*SUMIF('11.1.Амортиз.нови активи'!$B$12:$B$59,$B26,'11.1.Амортиз.нови активи'!AQ$12:AQ$59))</f>
        <v>102</v>
      </c>
      <c r="W26" s="1198">
        <f>V26+SUMIF('11.1.Амортиз.нови активи'!$B$12:$B$59,$B26,'11.1.Амортиз.нови активи'!W$12:W$59)+('9.Инвестиционна програма'!K$132*SUMIF('11.1.Амортиз.нови активи'!$B$12:$B$59,$B26,'11.1.Амортиз.нови активи'!AR$12:AR$59))</f>
        <v>102</v>
      </c>
      <c r="X26" s="1198">
        <f>W26+SUMIF('11.1.Амортиз.нови активи'!$B$12:$B$59,$B26,'11.1.Амортиз.нови активи'!X$12:X$59)+('9.Инвестиционна програма'!L$132*SUMIF('11.1.Амортиз.нови активи'!$B$12:$B$59,$B26,'11.1.Амортиз.нови активи'!AS$12:AS$59))</f>
        <v>102</v>
      </c>
      <c r="Y26" s="1203">
        <f>X26+SUMIF('11.1.Амортиз.нови активи'!$B$12:$B$59,$B26,'11.1.Амортиз.нови активи'!Y$12:Y$59)+('9.Инвестиционна програма'!M$132*SUMIF('11.1.Амортиз.нови активи'!$B$12:$B$59,$B26,'11.1.Амортиз.нови активи'!AT$12:AT$59))</f>
        <v>102</v>
      </c>
      <c r="Z26" s="4387">
        <f>+'11.3. ДА Базова година'!T27</f>
        <v>0</v>
      </c>
      <c r="AA26" s="1202">
        <f>Z26+SUMIF('11.1.Амортиз.нови активи'!$B$12:$B$59,$B26,'11.1.Амортиз.нови активи'!AA$12:AA$59)</f>
        <v>0</v>
      </c>
      <c r="AB26" s="1198">
        <f>AA26+SUMIF('11.1.Амортиз.нови активи'!$B$12:$B$59,$B26,'11.1.Амортиз.нови активи'!AB$12:AB$59)</f>
        <v>0</v>
      </c>
      <c r="AC26" s="1198">
        <f>AB26+SUMIF('11.1.Амортиз.нови активи'!$B$12:$B$59,$B26,'11.1.Амортиз.нови активи'!AC$12:AC$59)</f>
        <v>0</v>
      </c>
      <c r="AD26" s="1198">
        <f>AC26+SUMIF('11.1.Амортиз.нови активи'!$B$12:$B$59,$B26,'11.1.Амортиз.нови активи'!AD$12:AD$59)</f>
        <v>0</v>
      </c>
      <c r="AE26" s="1198">
        <f>AD26+SUMIF('11.1.Амортиз.нови активи'!$B$12:$B$59,$B26,'11.1.Амортиз.нови активи'!AE$12:AE$59)</f>
        <v>0</v>
      </c>
      <c r="AF26" s="1203">
        <f>AE26+SUMIF('11.1.Амортиз.нови активи'!$B$12:$B$59,$B26,'11.1.Амортиз.нови активи'!AF$12:AF$59)</f>
        <v>0</v>
      </c>
      <c r="AG26" s="4387">
        <f>+'11.3. ДА Базова година'!X27</f>
        <v>0</v>
      </c>
      <c r="AH26" s="1202">
        <f>AG26+SUMIF('11.1.Амортиз.нови активи'!$B$12:$B$59,$B26,'11.1.Амортиз.нови активи'!AH$12:AH$59)</f>
        <v>0</v>
      </c>
      <c r="AI26" s="1198">
        <f>AH26+SUMIF('11.1.Амортиз.нови активи'!$B$12:$B$59,$B26,'11.1.Амортиз.нови активи'!AI$12:AI$59)</f>
        <v>0</v>
      </c>
      <c r="AJ26" s="1198">
        <f>AI26+SUMIF('11.1.Амортиз.нови активи'!$B$12:$B$59,$B26,'11.1.Амортиз.нови активи'!AJ$12:AJ$59)</f>
        <v>0</v>
      </c>
      <c r="AK26" s="1198">
        <f>AJ26+SUMIF('11.1.Амортиз.нови активи'!$B$12:$B$59,$B26,'11.1.Амортиз.нови активи'!AK$12:AK$59)</f>
        <v>0</v>
      </c>
      <c r="AL26" s="1198">
        <f>AK26+SUMIF('11.1.Амортиз.нови активи'!$B$12:$B$59,$B26,'11.1.Амортиз.нови активи'!AL$12:AL$59)</f>
        <v>0</v>
      </c>
      <c r="AM26" s="1203">
        <f>AL26+SUMIF('11.1.Амортиз.нови активи'!$B$12:$B$59,$B26,'11.1.Амортиз.нови активи'!AM$12:AM$59)</f>
        <v>0</v>
      </c>
      <c r="AN26" s="2513"/>
      <c r="AO26" s="2521"/>
      <c r="AP26" s="4422"/>
      <c r="AQ26" s="4438">
        <f t="shared" si="31"/>
        <v>51.640480000818066</v>
      </c>
      <c r="AR26" s="4438">
        <f t="shared" si="32"/>
        <v>51.640480000818066</v>
      </c>
      <c r="AS26" s="4438">
        <f t="shared" si="33"/>
        <v>51.640480000818066</v>
      </c>
      <c r="AT26" s="4438">
        <f t="shared" si="34"/>
        <v>51.640480000818066</v>
      </c>
      <c r="AU26" s="4438">
        <f t="shared" si="35"/>
        <v>51.640480000818066</v>
      </c>
      <c r="AV26" s="4438">
        <f t="shared" si="36"/>
        <v>51.640480000818066</v>
      </c>
      <c r="AW26" s="4438">
        <f t="shared" si="37"/>
        <v>51.640480000818066</v>
      </c>
      <c r="AX26" s="4438">
        <f t="shared" si="38"/>
        <v>24.030718416222268</v>
      </c>
      <c r="AY26" s="4438">
        <f t="shared" si="39"/>
        <v>24.030718416222268</v>
      </c>
      <c r="AZ26" s="4438">
        <f t="shared" si="40"/>
        <v>24.030718416222268</v>
      </c>
      <c r="BA26" s="4438">
        <f t="shared" si="41"/>
        <v>24.030718416222268</v>
      </c>
      <c r="BB26" s="4438">
        <f t="shared" si="42"/>
        <v>24.030718416222268</v>
      </c>
      <c r="BC26" s="4438">
        <f t="shared" si="43"/>
        <v>24.030718416222268</v>
      </c>
      <c r="BD26" s="4438">
        <f t="shared" si="44"/>
        <v>24.030718416222268</v>
      </c>
      <c r="BE26" s="4438">
        <f t="shared" si="45"/>
        <v>52.151771882014287</v>
      </c>
      <c r="BF26" s="4438">
        <f t="shared" si="46"/>
        <v>52.151771882014287</v>
      </c>
      <c r="BG26" s="4438">
        <f t="shared" si="47"/>
        <v>52.151771882014287</v>
      </c>
      <c r="BH26" s="4438">
        <f t="shared" si="48"/>
        <v>52.151771882014287</v>
      </c>
      <c r="BI26" s="4438">
        <f t="shared" si="49"/>
        <v>52.151771882014287</v>
      </c>
      <c r="BJ26" s="4438">
        <f t="shared" si="50"/>
        <v>52.151771882014287</v>
      </c>
      <c r="BK26" s="4438">
        <f t="shared" si="51"/>
        <v>52.151771882014287</v>
      </c>
      <c r="BL26" s="4438">
        <f t="shared" si="52"/>
        <v>0</v>
      </c>
      <c r="BM26" s="4438">
        <f t="shared" si="53"/>
        <v>0</v>
      </c>
      <c r="BN26" s="4438">
        <f t="shared" si="54"/>
        <v>0</v>
      </c>
      <c r="BO26" s="4438">
        <f t="shared" si="55"/>
        <v>0</v>
      </c>
      <c r="BP26" s="4438">
        <f t="shared" si="56"/>
        <v>0</v>
      </c>
      <c r="BQ26" s="4438">
        <f t="shared" si="57"/>
        <v>0</v>
      </c>
      <c r="BR26" s="4438">
        <f t="shared" si="58"/>
        <v>0</v>
      </c>
      <c r="BS26" s="4438">
        <f t="shared" si="59"/>
        <v>0</v>
      </c>
      <c r="BT26" s="4438">
        <f t="shared" si="60"/>
        <v>0</v>
      </c>
      <c r="BU26" s="4438">
        <f t="shared" si="61"/>
        <v>0</v>
      </c>
      <c r="BV26" s="4438">
        <f t="shared" si="62"/>
        <v>0</v>
      </c>
      <c r="BW26" s="4438">
        <f t="shared" si="63"/>
        <v>0</v>
      </c>
      <c r="BX26" s="4438">
        <f t="shared" si="64"/>
        <v>0</v>
      </c>
      <c r="BY26" s="4438">
        <f t="shared" si="65"/>
        <v>0</v>
      </c>
    </row>
    <row r="27" spans="1:77">
      <c r="A27" s="2531">
        <v>9</v>
      </c>
      <c r="B27" s="2527">
        <v>20603</v>
      </c>
      <c r="C27" s="2522">
        <v>0.5</v>
      </c>
      <c r="D27" s="2529" t="s">
        <v>1015</v>
      </c>
      <c r="E27" s="4387">
        <f>+'11.3. ДА Базова година'!H28</f>
        <v>4</v>
      </c>
      <c r="F27" s="883">
        <f>E27+SUMIF('11.1.Амортиз.нови активи'!$B$12:$B$59,$B27,'11.1.Амортиз.нови активи'!F$12:F$59)+('9.Инвестиционна програма'!H$130*SUMIF('11.1.Амортиз.нови активи'!$B$12:$B$59,$B27,'11.1.Амортиз.нови активи'!AO$12:AO$59))</f>
        <v>4</v>
      </c>
      <c r="G27" s="1198">
        <f>F27+SUMIF('11.1.Амортиз.нови активи'!$B$12:$B$59,$B27,'11.1.Амортиз.нови активи'!G$12:G$59)+('9.Инвестиционна програма'!I$130*SUMIF('11.1.Амортиз.нови активи'!$B$12:$B$59,$B27,'11.1.Амортиз.нови активи'!AP$12:AP$59))</f>
        <v>4</v>
      </c>
      <c r="H27" s="1198">
        <f>G27+SUMIF('11.1.Амортиз.нови активи'!$B$12:$B$59,$B27,'11.1.Амортиз.нови активи'!H$12:H$59)+('9.Инвестиционна програма'!J$130*SUMIF('11.1.Амортиз.нови активи'!$B$12:$B$59,$B27,'11.1.Амортиз.нови активи'!AQ$12:AQ$59))</f>
        <v>4</v>
      </c>
      <c r="I27" s="1198">
        <f>H27+SUMIF('11.1.Амортиз.нови активи'!$B$12:$B$59,$B27,'11.1.Амортиз.нови активи'!I$12:I$59)+('9.Инвестиционна програма'!K$130*SUMIF('11.1.Амортиз.нови активи'!$B$12:$B$59,$B27,'11.1.Амортиз.нови активи'!AR$12:AR$59))</f>
        <v>4</v>
      </c>
      <c r="J27" s="1198">
        <f>I27+SUMIF('11.1.Амортиз.нови активи'!$B$12:$B$59,$B27,'11.1.Амортиз.нови активи'!J$12:J$59)+('9.Инвестиционна програма'!L$130*SUMIF('11.1.Амортиз.нови активи'!$B$12:$B$59,$B27,'11.1.Амортиз.нови активи'!AS$12:AS$59))</f>
        <v>4</v>
      </c>
      <c r="K27" s="1203">
        <f>J27+SUMIF('11.1.Амортиз.нови активи'!$B$12:$B$59,$B27,'11.1.Амортиз.нови активи'!K$12:K$59)+('9.Инвестиционна програма'!M$130*SUMIF('11.1.Амортиз.нови активи'!$B$12:$B$59,$B27,'11.1.Амортиз.нови активи'!AT$12:AT$59))</f>
        <v>4</v>
      </c>
      <c r="L27" s="4387">
        <f>+'11.3. ДА Базова година'!L28</f>
        <v>2</v>
      </c>
      <c r="M27" s="1202">
        <f>L27+SUMIF('11.1.Амортиз.нови активи'!$B$12:$B$59,$B27,'11.1.Амортиз.нови активи'!M$12:M$59)+('9.Инвестиционна програма'!H$131*SUMIF('11.1.Амортиз.нови активи'!$B$12:$B$59,$B27,'11.1.Амортиз.нови активи'!AO$12:AO$59))</f>
        <v>2</v>
      </c>
      <c r="N27" s="1198">
        <f>M27+SUMIF('11.1.Амортиз.нови активи'!$B$12:$B$59,$B27,'11.1.Амортиз.нови активи'!N$12:N$59)+('9.Инвестиционна програма'!I$131*SUMIF('11.1.Амортиз.нови активи'!$B$12:$B$59,$B27,'11.1.Амортиз.нови активи'!AP$12:AP$59))</f>
        <v>2</v>
      </c>
      <c r="O27" s="1198">
        <f>N27+SUMIF('11.1.Амортиз.нови активи'!$B$12:$B$59,$B27,'11.1.Амортиз.нови активи'!O$12:O$59)+('9.Инвестиционна програма'!J$131*SUMIF('11.1.Амортиз.нови активи'!$B$12:$B$59,$B27,'11.1.Амортиз.нови активи'!AQ$12:AQ$59))</f>
        <v>2</v>
      </c>
      <c r="P27" s="1198">
        <f>O27+SUMIF('11.1.Амортиз.нови активи'!$B$12:$B$59,$B27,'11.1.Амортиз.нови активи'!P$12:P$59)+('9.Инвестиционна програма'!K$131*SUMIF('11.1.Амортиз.нови активи'!$B$12:$B$59,$B27,'11.1.Амортиз.нови активи'!AR$12:AR$59))</f>
        <v>2</v>
      </c>
      <c r="Q27" s="1198">
        <f>P27+SUMIF('11.1.Амортиз.нови активи'!$B$12:$B$59,$B27,'11.1.Амортиз.нови активи'!Q$12:Q$59)+('9.Инвестиционна програма'!L$131*SUMIF('11.1.Амортиз.нови активи'!$B$12:$B$59,$B27,'11.1.Амортиз.нови активи'!AS$12:AS$59))</f>
        <v>2</v>
      </c>
      <c r="R27" s="1203">
        <f>Q27+SUMIF('11.1.Амортиз.нови активи'!$B$12:$B$59,$B27,'11.1.Амортиз.нови активи'!R$12:R$59)+('9.Инвестиционна програма'!M$131*SUMIF('11.1.Амортиз.нови активи'!$B$12:$B$59,$B27,'11.1.Амортиз.нови активи'!AT$12:AT$59))</f>
        <v>2</v>
      </c>
      <c r="S27" s="4387">
        <f>+'11.3. ДА Базова година'!P28</f>
        <v>5</v>
      </c>
      <c r="T27" s="1202">
        <f>S27+SUMIF('11.1.Амортиз.нови активи'!$B$12:$B$59,$B27,'11.1.Амортиз.нови активи'!T$12:T$59)+('9.Инвестиционна програма'!H$132*SUMIF('11.1.Амортиз.нови активи'!$B$12:$B$59,$B27,'11.1.Амортиз.нови активи'!AO$12:AO$59))</f>
        <v>5</v>
      </c>
      <c r="U27" s="1198">
        <f>T27+SUMIF('11.1.Амортиз.нови активи'!$B$12:$B$59,$B27,'11.1.Амортиз.нови активи'!U$12:U$59)+('9.Инвестиционна програма'!I$132*SUMIF('11.1.Амортиз.нови активи'!$B$12:$B$59,$B27,'11.1.Амортиз.нови активи'!AP$12:AP$59))</f>
        <v>5</v>
      </c>
      <c r="V27" s="1198">
        <f>U27+SUMIF('11.1.Амортиз.нови активи'!$B$12:$B$59,$B27,'11.1.Амортиз.нови активи'!V$12:V$59)+('9.Инвестиционна програма'!J$132*SUMIF('11.1.Амортиз.нови активи'!$B$12:$B$59,$B27,'11.1.Амортиз.нови активи'!AQ$12:AQ$59))</f>
        <v>5</v>
      </c>
      <c r="W27" s="1198">
        <f>V27+SUMIF('11.1.Амортиз.нови активи'!$B$12:$B$59,$B27,'11.1.Амортиз.нови активи'!W$12:W$59)+('9.Инвестиционна програма'!K$132*SUMIF('11.1.Амортиз.нови активи'!$B$12:$B$59,$B27,'11.1.Амортиз.нови активи'!AR$12:AR$59))</f>
        <v>5</v>
      </c>
      <c r="X27" s="1198">
        <f>W27+SUMIF('11.1.Амортиз.нови активи'!$B$12:$B$59,$B27,'11.1.Амортиз.нови активи'!X$12:X$59)+('9.Инвестиционна програма'!L$132*SUMIF('11.1.Амортиз.нови активи'!$B$12:$B$59,$B27,'11.1.Амортиз.нови активи'!AS$12:AS$59))</f>
        <v>5</v>
      </c>
      <c r="Y27" s="1203">
        <f>X27+SUMIF('11.1.Амортиз.нови активи'!$B$12:$B$59,$B27,'11.1.Амортиз.нови активи'!Y$12:Y$59)+('9.Инвестиционна програма'!M$132*SUMIF('11.1.Амортиз.нови активи'!$B$12:$B$59,$B27,'11.1.Амортиз.нови активи'!AT$12:AT$59))</f>
        <v>5</v>
      </c>
      <c r="Z27" s="4387">
        <f>+'11.3. ДА Базова година'!T28</f>
        <v>0</v>
      </c>
      <c r="AA27" s="1202">
        <f>Z27+SUMIF('11.1.Амортиз.нови активи'!$B$12:$B$59,$B27,'11.1.Амортиз.нови активи'!AA$12:AA$59)</f>
        <v>0</v>
      </c>
      <c r="AB27" s="1198">
        <f>AA27+SUMIF('11.1.Амортиз.нови активи'!$B$12:$B$59,$B27,'11.1.Амортиз.нови активи'!AB$12:AB$59)</f>
        <v>0</v>
      </c>
      <c r="AC27" s="1198">
        <f>AB27+SUMIF('11.1.Амортиз.нови активи'!$B$12:$B$59,$B27,'11.1.Амортиз.нови активи'!AC$12:AC$59)</f>
        <v>0</v>
      </c>
      <c r="AD27" s="1198">
        <f>AC27+SUMIF('11.1.Амортиз.нови активи'!$B$12:$B$59,$B27,'11.1.Амортиз.нови активи'!AD$12:AD$59)</f>
        <v>0</v>
      </c>
      <c r="AE27" s="1198">
        <f>AD27+SUMIF('11.1.Амортиз.нови активи'!$B$12:$B$59,$B27,'11.1.Амортиз.нови активи'!AE$12:AE$59)</f>
        <v>0</v>
      </c>
      <c r="AF27" s="1203">
        <f>AE27+SUMIF('11.1.Амортиз.нови активи'!$B$12:$B$59,$B27,'11.1.Амортиз.нови активи'!AF$12:AF$59)</f>
        <v>0</v>
      </c>
      <c r="AG27" s="4387">
        <f>+'11.3. ДА Базова година'!X28</f>
        <v>0</v>
      </c>
      <c r="AH27" s="1202">
        <f>AG27+SUMIF('11.1.Амортиз.нови активи'!$B$12:$B$59,$B27,'11.1.Амортиз.нови активи'!AH$12:AH$59)</f>
        <v>0</v>
      </c>
      <c r="AI27" s="1198">
        <f>AH27+SUMIF('11.1.Амортиз.нови активи'!$B$12:$B$59,$B27,'11.1.Амортиз.нови активи'!AI$12:AI$59)</f>
        <v>0</v>
      </c>
      <c r="AJ27" s="1198">
        <f>AI27+SUMIF('11.1.Амортиз.нови активи'!$B$12:$B$59,$B27,'11.1.Амортиз.нови активи'!AJ$12:AJ$59)</f>
        <v>0</v>
      </c>
      <c r="AK27" s="1198">
        <f>AJ27+SUMIF('11.1.Амортиз.нови активи'!$B$12:$B$59,$B27,'11.1.Амортиз.нови активи'!AK$12:AK$59)</f>
        <v>0</v>
      </c>
      <c r="AL27" s="1198">
        <f>AK27+SUMIF('11.1.Амортиз.нови активи'!$B$12:$B$59,$B27,'11.1.Амортиз.нови активи'!AL$12:AL$59)</f>
        <v>0</v>
      </c>
      <c r="AM27" s="1203">
        <f>AL27+SUMIF('11.1.Амортиз.нови активи'!$B$12:$B$59,$B27,'11.1.Амортиз.нови активи'!AM$12:AM$59)</f>
        <v>0</v>
      </c>
      <c r="AN27" s="2513"/>
      <c r="AO27" s="2521"/>
      <c r="AP27" s="4422"/>
      <c r="AQ27" s="4438">
        <f t="shared" si="31"/>
        <v>2.045167524784874</v>
      </c>
      <c r="AR27" s="4438">
        <f t="shared" si="32"/>
        <v>2.045167524784874</v>
      </c>
      <c r="AS27" s="4438">
        <f t="shared" si="33"/>
        <v>2.045167524784874</v>
      </c>
      <c r="AT27" s="4438">
        <f t="shared" si="34"/>
        <v>2.045167524784874</v>
      </c>
      <c r="AU27" s="4438">
        <f t="shared" si="35"/>
        <v>2.045167524784874</v>
      </c>
      <c r="AV27" s="4438">
        <f t="shared" si="36"/>
        <v>2.045167524784874</v>
      </c>
      <c r="AW27" s="4438">
        <f t="shared" si="37"/>
        <v>2.045167524784874</v>
      </c>
      <c r="AX27" s="4438">
        <f t="shared" si="38"/>
        <v>1.022583762392437</v>
      </c>
      <c r="AY27" s="4438">
        <f t="shared" si="39"/>
        <v>1.022583762392437</v>
      </c>
      <c r="AZ27" s="4438">
        <f t="shared" si="40"/>
        <v>1.022583762392437</v>
      </c>
      <c r="BA27" s="4438">
        <f t="shared" si="41"/>
        <v>1.022583762392437</v>
      </c>
      <c r="BB27" s="4438">
        <f t="shared" si="42"/>
        <v>1.022583762392437</v>
      </c>
      <c r="BC27" s="4438">
        <f t="shared" si="43"/>
        <v>1.022583762392437</v>
      </c>
      <c r="BD27" s="4438">
        <f t="shared" si="44"/>
        <v>1.022583762392437</v>
      </c>
      <c r="BE27" s="4438">
        <f t="shared" si="45"/>
        <v>2.5564594059810926</v>
      </c>
      <c r="BF27" s="4438">
        <f t="shared" si="46"/>
        <v>2.5564594059810926</v>
      </c>
      <c r="BG27" s="4438">
        <f t="shared" si="47"/>
        <v>2.5564594059810926</v>
      </c>
      <c r="BH27" s="4438">
        <f t="shared" si="48"/>
        <v>2.5564594059810926</v>
      </c>
      <c r="BI27" s="4438">
        <f t="shared" si="49"/>
        <v>2.5564594059810926</v>
      </c>
      <c r="BJ27" s="4438">
        <f t="shared" si="50"/>
        <v>2.5564594059810926</v>
      </c>
      <c r="BK27" s="4438">
        <f t="shared" si="51"/>
        <v>2.5564594059810926</v>
      </c>
      <c r="BL27" s="4438">
        <f t="shared" si="52"/>
        <v>0</v>
      </c>
      <c r="BM27" s="4438">
        <f t="shared" si="53"/>
        <v>0</v>
      </c>
      <c r="BN27" s="4438">
        <f t="shared" si="54"/>
        <v>0</v>
      </c>
      <c r="BO27" s="4438">
        <f t="shared" si="55"/>
        <v>0</v>
      </c>
      <c r="BP27" s="4438">
        <f t="shared" si="56"/>
        <v>0</v>
      </c>
      <c r="BQ27" s="4438">
        <f t="shared" si="57"/>
        <v>0</v>
      </c>
      <c r="BR27" s="4438">
        <f t="shared" si="58"/>
        <v>0</v>
      </c>
      <c r="BS27" s="4438">
        <f t="shared" si="59"/>
        <v>0</v>
      </c>
      <c r="BT27" s="4438">
        <f t="shared" si="60"/>
        <v>0</v>
      </c>
      <c r="BU27" s="4438">
        <f t="shared" si="61"/>
        <v>0</v>
      </c>
      <c r="BV27" s="4438">
        <f t="shared" si="62"/>
        <v>0</v>
      </c>
      <c r="BW27" s="4438">
        <f t="shared" si="63"/>
        <v>0</v>
      </c>
      <c r="BX27" s="4438">
        <f t="shared" si="64"/>
        <v>0</v>
      </c>
      <c r="BY27" s="4438">
        <f t="shared" si="65"/>
        <v>0</v>
      </c>
    </row>
    <row r="28" spans="1:77">
      <c r="A28" s="2531">
        <v>10</v>
      </c>
      <c r="B28" s="2527">
        <v>209</v>
      </c>
      <c r="C28" s="2522">
        <v>0.1</v>
      </c>
      <c r="D28" s="2529" t="s">
        <v>213</v>
      </c>
      <c r="E28" s="4387">
        <f>+'11.3. ДА Базова година'!H29</f>
        <v>1</v>
      </c>
      <c r="F28" s="883">
        <f>E28+SUMIF('11.1.Амортиз.нови активи'!$B$12:$B$59,$B28,'11.1.Амортиз.нови активи'!F$12:F$59)+('9.Инвестиционна програма'!H$130*SUMIF('11.1.Амортиз.нови активи'!$B$12:$B$59,$B28,'11.1.Амортиз.нови активи'!AO$12:AO$59))</f>
        <v>1</v>
      </c>
      <c r="G28" s="1198">
        <f>F28+SUMIF('11.1.Амортиз.нови активи'!$B$12:$B$59,$B28,'11.1.Амортиз.нови активи'!G$12:G$59)+('9.Инвестиционна програма'!I$130*SUMIF('11.1.Амортиз.нови активи'!$B$12:$B$59,$B28,'11.1.Амортиз.нови активи'!AP$12:AP$59))</f>
        <v>1</v>
      </c>
      <c r="H28" s="1198">
        <f>G28+SUMIF('11.1.Амортиз.нови активи'!$B$12:$B$59,$B28,'11.1.Амортиз.нови активи'!H$12:H$59)+('9.Инвестиционна програма'!J$130*SUMIF('11.1.Амортиз.нови активи'!$B$12:$B$59,$B28,'11.1.Амортиз.нови активи'!AQ$12:AQ$59))</f>
        <v>1</v>
      </c>
      <c r="I28" s="1198">
        <f>H28+SUMIF('11.1.Амортиз.нови активи'!$B$12:$B$59,$B28,'11.1.Амортиз.нови активи'!I$12:I$59)+('9.Инвестиционна програма'!K$130*SUMIF('11.1.Амортиз.нови активи'!$B$12:$B$59,$B28,'11.1.Амортиз.нови активи'!AR$12:AR$59))</f>
        <v>1</v>
      </c>
      <c r="J28" s="1198">
        <f>I28+SUMIF('11.1.Амортиз.нови активи'!$B$12:$B$59,$B28,'11.1.Амортиз.нови активи'!J$12:J$59)+('9.Инвестиционна програма'!L$130*SUMIF('11.1.Амортиз.нови активи'!$B$12:$B$59,$B28,'11.1.Амортиз.нови активи'!AS$12:AS$59))</f>
        <v>1</v>
      </c>
      <c r="K28" s="1203">
        <f>J28+SUMIF('11.1.Амортиз.нови активи'!$B$12:$B$59,$B28,'11.1.Амортиз.нови активи'!K$12:K$59)+('9.Инвестиционна програма'!M$130*SUMIF('11.1.Амортиз.нови активи'!$B$12:$B$59,$B28,'11.1.Амортиз.нови активи'!AT$12:AT$59))</f>
        <v>1</v>
      </c>
      <c r="L28" s="4387">
        <f>+'11.3. ДА Базова година'!L29</f>
        <v>0</v>
      </c>
      <c r="M28" s="1202">
        <f>L28+SUMIF('11.1.Амортиз.нови активи'!$B$12:$B$59,$B28,'11.1.Амортиз.нови активи'!M$12:M$59)+('9.Инвестиционна програма'!H$131*SUMIF('11.1.Амортиз.нови активи'!$B$12:$B$59,$B28,'11.1.Амортиз.нови активи'!AO$12:AO$59))</f>
        <v>0</v>
      </c>
      <c r="N28" s="1198">
        <f>M28+SUMIF('11.1.Амортиз.нови активи'!$B$12:$B$59,$B28,'11.1.Амортиз.нови активи'!N$12:N$59)+('9.Инвестиционна програма'!I$131*SUMIF('11.1.Амортиз.нови активи'!$B$12:$B$59,$B28,'11.1.Амортиз.нови активи'!AP$12:AP$59))</f>
        <v>0</v>
      </c>
      <c r="O28" s="1198">
        <f>N28+SUMIF('11.1.Амортиз.нови активи'!$B$12:$B$59,$B28,'11.1.Амортиз.нови активи'!O$12:O$59)+('9.Инвестиционна програма'!J$131*SUMIF('11.1.Амортиз.нови активи'!$B$12:$B$59,$B28,'11.1.Амортиз.нови активи'!AQ$12:AQ$59))</f>
        <v>0</v>
      </c>
      <c r="P28" s="1198">
        <f>O28+SUMIF('11.1.Амортиз.нови активи'!$B$12:$B$59,$B28,'11.1.Амортиз.нови активи'!P$12:P$59)+('9.Инвестиционна програма'!K$131*SUMIF('11.1.Амортиз.нови активи'!$B$12:$B$59,$B28,'11.1.Амортиз.нови активи'!AR$12:AR$59))</f>
        <v>0</v>
      </c>
      <c r="Q28" s="1198">
        <f>P28+SUMIF('11.1.Амортиз.нови активи'!$B$12:$B$59,$B28,'11.1.Амортиз.нови активи'!Q$12:Q$59)+('9.Инвестиционна програма'!L$131*SUMIF('11.1.Амортиз.нови активи'!$B$12:$B$59,$B28,'11.1.Амортиз.нови активи'!AS$12:AS$59))</f>
        <v>0</v>
      </c>
      <c r="R28" s="1203">
        <f>Q28+SUMIF('11.1.Амортиз.нови активи'!$B$12:$B$59,$B28,'11.1.Амортиз.нови активи'!R$12:R$59)+('9.Инвестиционна програма'!M$131*SUMIF('11.1.Амортиз.нови активи'!$B$12:$B$59,$B28,'11.1.Амортиз.нови активи'!AT$12:AT$59))</f>
        <v>0</v>
      </c>
      <c r="S28" s="4387">
        <f>+'11.3. ДА Базова година'!P29</f>
        <v>1</v>
      </c>
      <c r="T28" s="1202">
        <f>S28+SUMIF('11.1.Амортиз.нови активи'!$B$12:$B$59,$B28,'11.1.Амортиз.нови активи'!T$12:T$59)+('9.Инвестиционна програма'!H$132*SUMIF('11.1.Амортиз.нови активи'!$B$12:$B$59,$B28,'11.1.Амортиз.нови активи'!AO$12:AO$59))</f>
        <v>1</v>
      </c>
      <c r="U28" s="1198">
        <f>T28+SUMIF('11.1.Амортиз.нови активи'!$B$12:$B$59,$B28,'11.1.Амортиз.нови активи'!U$12:U$59)+('9.Инвестиционна програма'!I$132*SUMIF('11.1.Амортиз.нови активи'!$B$12:$B$59,$B28,'11.1.Амортиз.нови активи'!AP$12:AP$59))</f>
        <v>1</v>
      </c>
      <c r="V28" s="1198">
        <f>U28+SUMIF('11.1.Амортиз.нови активи'!$B$12:$B$59,$B28,'11.1.Амортиз.нови активи'!V$12:V$59)+('9.Инвестиционна програма'!J$132*SUMIF('11.1.Амортиз.нови активи'!$B$12:$B$59,$B28,'11.1.Амортиз.нови активи'!AQ$12:AQ$59))</f>
        <v>1</v>
      </c>
      <c r="W28" s="1198">
        <f>V28+SUMIF('11.1.Амортиз.нови активи'!$B$12:$B$59,$B28,'11.1.Амортиз.нови активи'!W$12:W$59)+('9.Инвестиционна програма'!K$132*SUMIF('11.1.Амортиз.нови активи'!$B$12:$B$59,$B28,'11.1.Амортиз.нови активи'!AR$12:AR$59))</f>
        <v>1</v>
      </c>
      <c r="X28" s="1198">
        <f>W28+SUMIF('11.1.Амортиз.нови активи'!$B$12:$B$59,$B28,'11.1.Амортиз.нови активи'!X$12:X$59)+('9.Инвестиционна програма'!L$132*SUMIF('11.1.Амортиз.нови активи'!$B$12:$B$59,$B28,'11.1.Амортиз.нови активи'!AS$12:AS$59))</f>
        <v>1</v>
      </c>
      <c r="Y28" s="1203">
        <f>X28+SUMIF('11.1.Амортиз.нови активи'!$B$12:$B$59,$B28,'11.1.Амортиз.нови активи'!Y$12:Y$59)+('9.Инвестиционна програма'!M$132*SUMIF('11.1.Амортиз.нови активи'!$B$12:$B$59,$B28,'11.1.Амортиз.нови активи'!AT$12:AT$59))</f>
        <v>1</v>
      </c>
      <c r="Z28" s="4387">
        <f>+'11.3. ДА Базова година'!T29</f>
        <v>0</v>
      </c>
      <c r="AA28" s="1202">
        <f>Z28+SUMIF('11.1.Амортиз.нови активи'!$B$12:$B$59,$B28,'11.1.Амортиз.нови активи'!AA$12:AA$59)</f>
        <v>0</v>
      </c>
      <c r="AB28" s="1198">
        <f>AA28+SUMIF('11.1.Амортиз.нови активи'!$B$12:$B$59,$B28,'11.1.Амортиз.нови активи'!AB$12:AB$59)</f>
        <v>0</v>
      </c>
      <c r="AC28" s="1198">
        <f>AB28+SUMIF('11.1.Амортиз.нови активи'!$B$12:$B$59,$B28,'11.1.Амортиз.нови активи'!AC$12:AC$59)</f>
        <v>0</v>
      </c>
      <c r="AD28" s="1198">
        <f>AC28+SUMIF('11.1.Амортиз.нови активи'!$B$12:$B$59,$B28,'11.1.Амортиз.нови активи'!AD$12:AD$59)</f>
        <v>0</v>
      </c>
      <c r="AE28" s="1198">
        <f>AD28+SUMIF('11.1.Амортиз.нови активи'!$B$12:$B$59,$B28,'11.1.Амортиз.нови активи'!AE$12:AE$59)</f>
        <v>0</v>
      </c>
      <c r="AF28" s="1203">
        <f>AE28+SUMIF('11.1.Амортиз.нови активи'!$B$12:$B$59,$B28,'11.1.Амортиз.нови активи'!AF$12:AF$59)</f>
        <v>0</v>
      </c>
      <c r="AG28" s="4387">
        <f>+'11.3. ДА Базова година'!X29</f>
        <v>0</v>
      </c>
      <c r="AH28" s="1202">
        <f>AG28+SUMIF('11.1.Амортиз.нови активи'!$B$12:$B$59,$B28,'11.1.Амортиз.нови активи'!AH$12:AH$59)</f>
        <v>0</v>
      </c>
      <c r="AI28" s="1198">
        <f>AH28+SUMIF('11.1.Амортиз.нови активи'!$B$12:$B$59,$B28,'11.1.Амортиз.нови активи'!AI$12:AI$59)</f>
        <v>0</v>
      </c>
      <c r="AJ28" s="1198">
        <f>AI28+SUMIF('11.1.Амортиз.нови активи'!$B$12:$B$59,$B28,'11.1.Амортиз.нови активи'!AJ$12:AJ$59)</f>
        <v>0</v>
      </c>
      <c r="AK28" s="1198">
        <f>AJ28+SUMIF('11.1.Амортиз.нови активи'!$B$12:$B$59,$B28,'11.1.Амортиз.нови активи'!AK$12:AK$59)</f>
        <v>0</v>
      </c>
      <c r="AL28" s="1198">
        <f>AK28+SUMIF('11.1.Амортиз.нови активи'!$B$12:$B$59,$B28,'11.1.Амортиз.нови активи'!AL$12:AL$59)</f>
        <v>0</v>
      </c>
      <c r="AM28" s="1203">
        <f>AL28+SUMIF('11.1.Амортиз.нови активи'!$B$12:$B$59,$B28,'11.1.Амортиз.нови активи'!AM$12:AM$59)</f>
        <v>0</v>
      </c>
      <c r="AN28" s="2513"/>
      <c r="AO28" s="2521"/>
      <c r="AP28" s="4422"/>
      <c r="AQ28" s="4438">
        <f t="shared" si="31"/>
        <v>0.51129188119621849</v>
      </c>
      <c r="AR28" s="4438">
        <f t="shared" si="32"/>
        <v>0.51129188119621849</v>
      </c>
      <c r="AS28" s="4438">
        <f t="shared" si="33"/>
        <v>0.51129188119621849</v>
      </c>
      <c r="AT28" s="4438">
        <f t="shared" si="34"/>
        <v>0.51129188119621849</v>
      </c>
      <c r="AU28" s="4438">
        <f t="shared" si="35"/>
        <v>0.51129188119621849</v>
      </c>
      <c r="AV28" s="4438">
        <f t="shared" si="36"/>
        <v>0.51129188119621849</v>
      </c>
      <c r="AW28" s="4438">
        <f t="shared" si="37"/>
        <v>0.51129188119621849</v>
      </c>
      <c r="AX28" s="4438">
        <f t="shared" si="38"/>
        <v>0</v>
      </c>
      <c r="AY28" s="4438">
        <f t="shared" si="39"/>
        <v>0</v>
      </c>
      <c r="AZ28" s="4438">
        <f t="shared" si="40"/>
        <v>0</v>
      </c>
      <c r="BA28" s="4438">
        <f t="shared" si="41"/>
        <v>0</v>
      </c>
      <c r="BB28" s="4438">
        <f t="shared" si="42"/>
        <v>0</v>
      </c>
      <c r="BC28" s="4438">
        <f t="shared" si="43"/>
        <v>0</v>
      </c>
      <c r="BD28" s="4438">
        <f t="shared" si="44"/>
        <v>0</v>
      </c>
      <c r="BE28" s="4438">
        <f t="shared" si="45"/>
        <v>0.51129188119621849</v>
      </c>
      <c r="BF28" s="4438">
        <f t="shared" si="46"/>
        <v>0.51129188119621849</v>
      </c>
      <c r="BG28" s="4438">
        <f t="shared" si="47"/>
        <v>0.51129188119621849</v>
      </c>
      <c r="BH28" s="4438">
        <f t="shared" si="48"/>
        <v>0.51129188119621849</v>
      </c>
      <c r="BI28" s="4438">
        <f t="shared" si="49"/>
        <v>0.51129188119621849</v>
      </c>
      <c r="BJ28" s="4438">
        <f t="shared" si="50"/>
        <v>0.51129188119621849</v>
      </c>
      <c r="BK28" s="4438">
        <f t="shared" si="51"/>
        <v>0.51129188119621849</v>
      </c>
      <c r="BL28" s="4438">
        <f t="shared" si="52"/>
        <v>0</v>
      </c>
      <c r="BM28" s="4438">
        <f t="shared" si="53"/>
        <v>0</v>
      </c>
      <c r="BN28" s="4438">
        <f t="shared" si="54"/>
        <v>0</v>
      </c>
      <c r="BO28" s="4438">
        <f t="shared" si="55"/>
        <v>0</v>
      </c>
      <c r="BP28" s="4438">
        <f t="shared" si="56"/>
        <v>0</v>
      </c>
      <c r="BQ28" s="4438">
        <f t="shared" si="57"/>
        <v>0</v>
      </c>
      <c r="BR28" s="4438">
        <f t="shared" si="58"/>
        <v>0</v>
      </c>
      <c r="BS28" s="4438">
        <f t="shared" si="59"/>
        <v>0</v>
      </c>
      <c r="BT28" s="4438">
        <f t="shared" si="60"/>
        <v>0</v>
      </c>
      <c r="BU28" s="4438">
        <f t="shared" si="61"/>
        <v>0</v>
      </c>
      <c r="BV28" s="4438">
        <f t="shared" si="62"/>
        <v>0</v>
      </c>
      <c r="BW28" s="4438">
        <f t="shared" si="63"/>
        <v>0</v>
      </c>
      <c r="BX28" s="4438">
        <f t="shared" si="64"/>
        <v>0</v>
      </c>
      <c r="BY28" s="4438">
        <f t="shared" si="65"/>
        <v>0</v>
      </c>
    </row>
    <row r="29" spans="1:77" ht="24">
      <c r="A29" s="2531">
        <v>11</v>
      </c>
      <c r="B29" s="2527">
        <v>207</v>
      </c>
      <c r="C29" s="2527" t="s">
        <v>313</v>
      </c>
      <c r="D29" s="2529" t="s">
        <v>414</v>
      </c>
      <c r="E29" s="4387">
        <f>+'11.3. ДА Базова година'!H30</f>
        <v>1582</v>
      </c>
      <c r="F29" s="883">
        <f>E29+SUMIF('11.1.Амортиз.нови активи'!$B$12:$B$59,$B29,'11.1.Амортиз.нови активи'!F$12:F$59)+('9.Инвестиционна програма'!H$130*SUMIF('11.1.Амортиз.нови активи'!$B$12:$B$59,$B29,'11.1.Амортиз.нови активи'!AO$12:AO$59))</f>
        <v>1582</v>
      </c>
      <c r="G29" s="1198">
        <f>F29+SUMIF('11.1.Амортиз.нови активи'!$B$12:$B$59,$B29,'11.1.Амортиз.нови активи'!G$12:G$59)+('9.Инвестиционна програма'!I$130*SUMIF('11.1.Амортиз.нови активи'!$B$12:$B$59,$B29,'11.1.Амортиз.нови активи'!AP$12:AP$59))</f>
        <v>1582</v>
      </c>
      <c r="H29" s="1198">
        <f>G29+SUMIF('11.1.Амортиз.нови активи'!$B$12:$B$59,$B29,'11.1.Амортиз.нови активи'!H$12:H$59)+('9.Инвестиционна програма'!J$130*SUMIF('11.1.Амортиз.нови активи'!$B$12:$B$59,$B29,'11.1.Амортиз.нови активи'!AQ$12:AQ$59))</f>
        <v>1582</v>
      </c>
      <c r="I29" s="1198">
        <f>H29+SUMIF('11.1.Амортиз.нови активи'!$B$12:$B$59,$B29,'11.1.Амортиз.нови активи'!I$12:I$59)+('9.Инвестиционна програма'!K$130*SUMIF('11.1.Амортиз.нови активи'!$B$12:$B$59,$B29,'11.1.Амортиз.нови активи'!AR$12:AR$59))</f>
        <v>1582</v>
      </c>
      <c r="J29" s="1198">
        <f>I29+SUMIF('11.1.Амортиз.нови активи'!$B$12:$B$59,$B29,'11.1.Амортиз.нови активи'!J$12:J$59)+('9.Инвестиционна програма'!L$130*SUMIF('11.1.Амортиз.нови активи'!$B$12:$B$59,$B29,'11.1.Амортиз.нови активи'!AS$12:AS$59))</f>
        <v>1582</v>
      </c>
      <c r="K29" s="1203">
        <f>J29+SUMIF('11.1.Амортиз.нови активи'!$B$12:$B$59,$B29,'11.1.Амортиз.нови активи'!K$12:K$59)+('9.Инвестиционна програма'!M$130*SUMIF('11.1.Амортиз.нови активи'!$B$12:$B$59,$B29,'11.1.Амортиз.нови активи'!AT$12:AT$59))</f>
        <v>1582</v>
      </c>
      <c r="L29" s="4387">
        <f>+'11.3. ДА Базова година'!L30</f>
        <v>163</v>
      </c>
      <c r="M29" s="1202">
        <f>L29+SUMIF('11.1.Амортиз.нови активи'!$B$12:$B$59,$B29,'11.1.Амортиз.нови активи'!M$12:M$59)+('9.Инвестиционна програма'!H$131*SUMIF('11.1.Амортиз.нови активи'!$B$12:$B$59,$B29,'11.1.Амортиз.нови активи'!AO$12:AO$59))</f>
        <v>163</v>
      </c>
      <c r="N29" s="1198">
        <f>M29+SUMIF('11.1.Амортиз.нови активи'!$B$12:$B$59,$B29,'11.1.Амортиз.нови активи'!N$12:N$59)+('9.Инвестиционна програма'!I$131*SUMIF('11.1.Амортиз.нови активи'!$B$12:$B$59,$B29,'11.1.Амортиз.нови активи'!AP$12:AP$59))</f>
        <v>163</v>
      </c>
      <c r="O29" s="1198">
        <f>N29+SUMIF('11.1.Амортиз.нови активи'!$B$12:$B$59,$B29,'11.1.Амортиз.нови активи'!O$12:O$59)+('9.Инвестиционна програма'!J$131*SUMIF('11.1.Амортиз.нови активи'!$B$12:$B$59,$B29,'11.1.Амортиз.нови активи'!AQ$12:AQ$59))</f>
        <v>163</v>
      </c>
      <c r="P29" s="1198">
        <f>O29+SUMIF('11.1.Амортиз.нови активи'!$B$12:$B$59,$B29,'11.1.Амортиз.нови активи'!P$12:P$59)+('9.Инвестиционна програма'!K$131*SUMIF('11.1.Амортиз.нови активи'!$B$12:$B$59,$B29,'11.1.Амортиз.нови активи'!AR$12:AR$59))</f>
        <v>163</v>
      </c>
      <c r="Q29" s="1198">
        <f>P29+SUMIF('11.1.Амортиз.нови активи'!$B$12:$B$59,$B29,'11.1.Амортиз.нови активи'!Q$12:Q$59)+('9.Инвестиционна програма'!L$131*SUMIF('11.1.Амортиз.нови активи'!$B$12:$B$59,$B29,'11.1.Амортиз.нови активи'!AS$12:AS$59))</f>
        <v>163</v>
      </c>
      <c r="R29" s="1203">
        <f>Q29+SUMIF('11.1.Амортиз.нови активи'!$B$12:$B$59,$B29,'11.1.Амортиз.нови активи'!R$12:R$59)+('9.Инвестиционна програма'!M$131*SUMIF('11.1.Амортиз.нови активи'!$B$12:$B$59,$B29,'11.1.Амортиз.нови активи'!AT$12:AT$59))</f>
        <v>163</v>
      </c>
      <c r="S29" s="4387">
        <f>+'11.3. ДА Базова година'!P30</f>
        <v>245</v>
      </c>
      <c r="T29" s="1202">
        <f>S29+SUMIF('11.1.Амортиз.нови активи'!$B$12:$B$59,$B29,'11.1.Амортиз.нови активи'!T$12:T$59)+('9.Инвестиционна програма'!H$132*SUMIF('11.1.Амортиз.нови активи'!$B$12:$B$59,$B29,'11.1.Амортиз.нови активи'!AO$12:AO$59))</f>
        <v>245</v>
      </c>
      <c r="U29" s="1198">
        <f>T29+SUMIF('11.1.Амортиз.нови активи'!$B$12:$B$59,$B29,'11.1.Амортиз.нови активи'!U$12:U$59)+('9.Инвестиционна програма'!I$132*SUMIF('11.1.Амортиз.нови активи'!$B$12:$B$59,$B29,'11.1.Амортиз.нови активи'!AP$12:AP$59))</f>
        <v>245</v>
      </c>
      <c r="V29" s="1198">
        <f>U29+SUMIF('11.1.Амортиз.нови активи'!$B$12:$B$59,$B29,'11.1.Амортиз.нови активи'!V$12:V$59)+('9.Инвестиционна програма'!J$132*SUMIF('11.1.Амортиз.нови активи'!$B$12:$B$59,$B29,'11.1.Амортиз.нови активи'!AQ$12:AQ$59))</f>
        <v>245</v>
      </c>
      <c r="W29" s="1198">
        <f>V29+SUMIF('11.1.Амортиз.нови активи'!$B$12:$B$59,$B29,'11.1.Амортиз.нови активи'!W$12:W$59)+('9.Инвестиционна програма'!K$132*SUMIF('11.1.Амортиз.нови активи'!$B$12:$B$59,$B29,'11.1.Амортиз.нови активи'!AR$12:AR$59))</f>
        <v>245</v>
      </c>
      <c r="X29" s="1198">
        <f>W29+SUMIF('11.1.Амортиз.нови активи'!$B$12:$B$59,$B29,'11.1.Амортиз.нови активи'!X$12:X$59)+('9.Инвестиционна програма'!L$132*SUMIF('11.1.Амортиз.нови активи'!$B$12:$B$59,$B29,'11.1.Амортиз.нови активи'!AS$12:AS$59))</f>
        <v>245</v>
      </c>
      <c r="Y29" s="1203">
        <f>X29+SUMIF('11.1.Амортиз.нови активи'!$B$12:$B$59,$B29,'11.1.Амортиз.нови активи'!Y$12:Y$59)+('9.Инвестиционна програма'!M$132*SUMIF('11.1.Амортиз.нови активи'!$B$12:$B$59,$B29,'11.1.Амортиз.нови активи'!AT$12:AT$59))</f>
        <v>245</v>
      </c>
      <c r="Z29" s="4387">
        <f>+'11.3. ДА Базова година'!T30</f>
        <v>0</v>
      </c>
      <c r="AA29" s="1202">
        <f>Z29+SUMIF('11.1.Амортиз.нови активи'!$B$12:$B$59,$B29,'11.1.Амортиз.нови активи'!AA$12:AA$59)</f>
        <v>0</v>
      </c>
      <c r="AB29" s="1198">
        <f>AA29+SUMIF('11.1.Амортиз.нови активи'!$B$12:$B$59,$B29,'11.1.Амортиз.нови активи'!AB$12:AB$59)</f>
        <v>0</v>
      </c>
      <c r="AC29" s="1198">
        <f>AB29+SUMIF('11.1.Амортиз.нови активи'!$B$12:$B$59,$B29,'11.1.Амортиз.нови активи'!AC$12:AC$59)</f>
        <v>0</v>
      </c>
      <c r="AD29" s="1198">
        <f>AC29+SUMIF('11.1.Амортиз.нови активи'!$B$12:$B$59,$B29,'11.1.Амортиз.нови активи'!AD$12:AD$59)</f>
        <v>0</v>
      </c>
      <c r="AE29" s="1198">
        <f>AD29+SUMIF('11.1.Амортиз.нови активи'!$B$12:$B$59,$B29,'11.1.Амортиз.нови активи'!AE$12:AE$59)</f>
        <v>0</v>
      </c>
      <c r="AF29" s="1203">
        <f>AE29+SUMIF('11.1.Амортиз.нови активи'!$B$12:$B$59,$B29,'11.1.Амортиз.нови активи'!AF$12:AF$59)</f>
        <v>0</v>
      </c>
      <c r="AG29" s="4387">
        <f>+'11.3. ДА Базова година'!X30</f>
        <v>0</v>
      </c>
      <c r="AH29" s="1202">
        <f>AG29+SUMIF('11.1.Амортиз.нови активи'!$B$12:$B$59,$B29,'11.1.Амортиз.нови активи'!AH$12:AH$59)</f>
        <v>0</v>
      </c>
      <c r="AI29" s="1198">
        <f>AH29+SUMIF('11.1.Амортиз.нови активи'!$B$12:$B$59,$B29,'11.1.Амортиз.нови активи'!AI$12:AI$59)</f>
        <v>0</v>
      </c>
      <c r="AJ29" s="1198">
        <f>AI29+SUMIF('11.1.Амортиз.нови активи'!$B$12:$B$59,$B29,'11.1.Амортиз.нови активи'!AJ$12:AJ$59)</f>
        <v>0</v>
      </c>
      <c r="AK29" s="1198">
        <f>AJ29+SUMIF('11.1.Амортиз.нови активи'!$B$12:$B$59,$B29,'11.1.Амортиз.нови активи'!AK$12:AK$59)</f>
        <v>0</v>
      </c>
      <c r="AL29" s="1198">
        <f>AK29+SUMIF('11.1.Амортиз.нови активи'!$B$12:$B$59,$B29,'11.1.Амортиз.нови активи'!AL$12:AL$59)</f>
        <v>0</v>
      </c>
      <c r="AM29" s="1203">
        <f>AL29+SUMIF('11.1.Амортиз.нови активи'!$B$12:$B$59,$B29,'11.1.Амортиз.нови активи'!AM$12:AM$59)</f>
        <v>0</v>
      </c>
      <c r="AN29" s="2513"/>
      <c r="AO29" s="2521"/>
      <c r="AP29" s="4422"/>
      <c r="AQ29" s="4438">
        <f t="shared" si="31"/>
        <v>808.86375605241767</v>
      </c>
      <c r="AR29" s="4438">
        <f t="shared" si="32"/>
        <v>808.86375605241767</v>
      </c>
      <c r="AS29" s="4438">
        <f t="shared" si="33"/>
        <v>808.86375605241767</v>
      </c>
      <c r="AT29" s="4438">
        <f t="shared" si="34"/>
        <v>808.86375605241767</v>
      </c>
      <c r="AU29" s="4438">
        <f t="shared" si="35"/>
        <v>808.86375605241767</v>
      </c>
      <c r="AV29" s="4438">
        <f t="shared" si="36"/>
        <v>808.86375605241767</v>
      </c>
      <c r="AW29" s="4438">
        <f t="shared" si="37"/>
        <v>808.86375605241767</v>
      </c>
      <c r="AX29" s="4438">
        <f t="shared" si="38"/>
        <v>83.34057663498362</v>
      </c>
      <c r="AY29" s="4438">
        <f t="shared" si="39"/>
        <v>83.34057663498362</v>
      </c>
      <c r="AZ29" s="4438">
        <f t="shared" si="40"/>
        <v>83.34057663498362</v>
      </c>
      <c r="BA29" s="4438">
        <f t="shared" si="41"/>
        <v>83.34057663498362</v>
      </c>
      <c r="BB29" s="4438">
        <f t="shared" si="42"/>
        <v>83.34057663498362</v>
      </c>
      <c r="BC29" s="4438">
        <f t="shared" si="43"/>
        <v>83.34057663498362</v>
      </c>
      <c r="BD29" s="4438">
        <f t="shared" si="44"/>
        <v>83.34057663498362</v>
      </c>
      <c r="BE29" s="4438">
        <f t="shared" si="45"/>
        <v>125.26651089307353</v>
      </c>
      <c r="BF29" s="4438">
        <f t="shared" si="46"/>
        <v>125.26651089307353</v>
      </c>
      <c r="BG29" s="4438">
        <f t="shared" si="47"/>
        <v>125.26651089307353</v>
      </c>
      <c r="BH29" s="4438">
        <f t="shared" si="48"/>
        <v>125.26651089307353</v>
      </c>
      <c r="BI29" s="4438">
        <f t="shared" si="49"/>
        <v>125.26651089307353</v>
      </c>
      <c r="BJ29" s="4438">
        <f t="shared" si="50"/>
        <v>125.26651089307353</v>
      </c>
      <c r="BK29" s="4438">
        <f t="shared" si="51"/>
        <v>125.26651089307353</v>
      </c>
      <c r="BL29" s="4438">
        <f t="shared" si="52"/>
        <v>0</v>
      </c>
      <c r="BM29" s="4438">
        <f t="shared" si="53"/>
        <v>0</v>
      </c>
      <c r="BN29" s="4438">
        <f t="shared" si="54"/>
        <v>0</v>
      </c>
      <c r="BO29" s="4438">
        <f t="shared" si="55"/>
        <v>0</v>
      </c>
      <c r="BP29" s="4438">
        <f t="shared" si="56"/>
        <v>0</v>
      </c>
      <c r="BQ29" s="4438">
        <f t="shared" si="57"/>
        <v>0</v>
      </c>
      <c r="BR29" s="4438">
        <f t="shared" si="58"/>
        <v>0</v>
      </c>
      <c r="BS29" s="4438">
        <f t="shared" si="59"/>
        <v>0</v>
      </c>
      <c r="BT29" s="4438">
        <f t="shared" si="60"/>
        <v>0</v>
      </c>
      <c r="BU29" s="4438">
        <f t="shared" si="61"/>
        <v>0</v>
      </c>
      <c r="BV29" s="4438">
        <f t="shared" si="62"/>
        <v>0</v>
      </c>
      <c r="BW29" s="4438">
        <f t="shared" si="63"/>
        <v>0</v>
      </c>
      <c r="BX29" s="4438">
        <f t="shared" si="64"/>
        <v>0</v>
      </c>
      <c r="BY29" s="4438">
        <f t="shared" si="65"/>
        <v>0</v>
      </c>
    </row>
    <row r="30" spans="1:77">
      <c r="A30" s="2531">
        <v>12</v>
      </c>
      <c r="B30" s="2527">
        <v>212</v>
      </c>
      <c r="C30" s="2522">
        <v>0.2</v>
      </c>
      <c r="D30" s="2532" t="s">
        <v>214</v>
      </c>
      <c r="E30" s="4387">
        <f>+'11.3. ДА Базова година'!H33</f>
        <v>60</v>
      </c>
      <c r="F30" s="883">
        <f>E30+SUMIF('11.1.Амортиз.нови активи'!$B$12:$B$59,$B30,'11.1.Амортиз.нови активи'!F$12:F$59)+('9.Инвестиционна програма'!H$130*SUMIF('11.1.Амортиз.нови активи'!$B$12:$B$59,$B30,'11.1.Амортиз.нови активи'!AO$12:AO$59))</f>
        <v>66.666666666666671</v>
      </c>
      <c r="G30" s="1198">
        <f>F30+SUMIF('11.1.Амортиз.нови активи'!$B$12:$B$59,$B30,'11.1.Амортиз.нови активи'!G$12:G$59)+('9.Инвестиционна програма'!I$130*SUMIF('11.1.Амортиз.нови активи'!$B$12:$B$59,$B30,'11.1.Амортиз.нови активи'!AP$12:AP$59))</f>
        <v>66.666666666666671</v>
      </c>
      <c r="H30" s="1198">
        <f>G30+SUMIF('11.1.Амортиз.нови активи'!$B$12:$B$59,$B30,'11.1.Амортиз.нови активи'!H$12:H$59)+('9.Инвестиционна програма'!J$130*SUMIF('11.1.Амортиз.нови активи'!$B$12:$B$59,$B30,'11.1.Амортиз.нови активи'!AQ$12:AQ$59))</f>
        <v>66.666666666666671</v>
      </c>
      <c r="I30" s="1198">
        <f>H30+SUMIF('11.1.Амортиз.нови активи'!$B$12:$B$59,$B30,'11.1.Амортиз.нови активи'!I$12:I$59)+('9.Инвестиционна програма'!K$130*SUMIF('11.1.Амортиз.нови активи'!$B$12:$B$59,$B30,'11.1.Амортиз.нови активи'!AR$12:AR$59))</f>
        <v>66.666666666666671</v>
      </c>
      <c r="J30" s="1198">
        <f>I30+SUMIF('11.1.Амортиз.нови активи'!$B$12:$B$59,$B30,'11.1.Амортиз.нови активи'!J$12:J$59)+('9.Инвестиционна програма'!L$130*SUMIF('11.1.Амортиз.нови активи'!$B$12:$B$59,$B30,'11.1.Амортиз.нови активи'!AS$12:AS$59))</f>
        <v>66.666666666666671</v>
      </c>
      <c r="K30" s="1203">
        <f>J30+SUMIF('11.1.Амортиз.нови активи'!$B$12:$B$59,$B30,'11.1.Амортиз.нови активи'!K$12:K$59)+('9.Инвестиционна програма'!M$130*SUMIF('11.1.Амортиз.нови активи'!$B$12:$B$59,$B30,'11.1.Амортиз.нови активи'!AT$12:AT$59))</f>
        <v>66.666666666666671</v>
      </c>
      <c r="L30" s="4387">
        <f>+'11.3. ДА Базова година'!L33</f>
        <v>38</v>
      </c>
      <c r="M30" s="1202">
        <f>L30+SUMIF('11.1.Амортиз.нови активи'!$B$12:$B$59,$B30,'11.1.Амортиз.нови активи'!M$12:M$59)+('9.Инвестиционна програма'!H$131*SUMIF('11.1.Амортиз.нови активи'!$B$12:$B$59,$B30,'11.1.Амортиз.нови активи'!AO$12:AO$59))</f>
        <v>44.666666666666664</v>
      </c>
      <c r="N30" s="1198">
        <f>M30+SUMIF('11.1.Амортиз.нови активи'!$B$12:$B$59,$B30,'11.1.Амортиз.нови активи'!N$12:N$59)+('9.Инвестиционна програма'!I$131*SUMIF('11.1.Амортиз.нови активи'!$B$12:$B$59,$B30,'11.1.Амортиз.нови активи'!AP$12:AP$59))</f>
        <v>44.666666666666664</v>
      </c>
      <c r="O30" s="1198">
        <f>N30+SUMIF('11.1.Амортиз.нови активи'!$B$12:$B$59,$B30,'11.1.Амортиз.нови активи'!O$12:O$59)+('9.Инвестиционна програма'!J$131*SUMIF('11.1.Амортиз.нови активи'!$B$12:$B$59,$B30,'11.1.Амортиз.нови активи'!AQ$12:AQ$59))</f>
        <v>44.666666666666664</v>
      </c>
      <c r="P30" s="1198">
        <f>O30+SUMIF('11.1.Амортиз.нови активи'!$B$12:$B$59,$B30,'11.1.Амортиз.нови активи'!P$12:P$59)+('9.Инвестиционна програма'!K$131*SUMIF('11.1.Амортиз.нови активи'!$B$12:$B$59,$B30,'11.1.Амортиз.нови активи'!AR$12:AR$59))</f>
        <v>44.666666666666664</v>
      </c>
      <c r="Q30" s="1198">
        <f>P30+SUMIF('11.1.Амортиз.нови активи'!$B$12:$B$59,$B30,'11.1.Амортиз.нови активи'!Q$12:Q$59)+('9.Инвестиционна програма'!L$131*SUMIF('11.1.Амортиз.нови активи'!$B$12:$B$59,$B30,'11.1.Амортиз.нови активи'!AS$12:AS$59))</f>
        <v>44.666666666666664</v>
      </c>
      <c r="R30" s="1203">
        <f>Q30+SUMIF('11.1.Амортиз.нови активи'!$B$12:$B$59,$B30,'11.1.Амортиз.нови активи'!R$12:R$59)+('9.Инвестиционна програма'!M$131*SUMIF('11.1.Амортиз.нови активи'!$B$12:$B$59,$B30,'11.1.Амортиз.нови активи'!AT$12:AT$59))</f>
        <v>44.666666666666664</v>
      </c>
      <c r="S30" s="4387">
        <f>+'11.3. ДА Базова година'!P33</f>
        <v>75</v>
      </c>
      <c r="T30" s="1202">
        <f>S30+SUMIF('11.1.Амортиз.нови активи'!$B$12:$B$59,$B30,'11.1.Амортиз.нови активи'!T$12:T$59)+('9.Инвестиционна програма'!H$132*SUMIF('11.1.Амортиз.нови активи'!$B$12:$B$59,$B30,'11.1.Амортиз.нови активи'!AO$12:AO$59))</f>
        <v>81.666666666666671</v>
      </c>
      <c r="U30" s="1198">
        <f>T30+SUMIF('11.1.Амортиз.нови активи'!$B$12:$B$59,$B30,'11.1.Амортиз.нови активи'!U$12:U$59)+('9.Инвестиционна програма'!I$132*SUMIF('11.1.Амортиз.нови активи'!$B$12:$B$59,$B30,'11.1.Амортиз.нови активи'!AP$12:AP$59))</f>
        <v>81.666666666666671</v>
      </c>
      <c r="V30" s="1198">
        <f>U30+SUMIF('11.1.Амортиз.нови активи'!$B$12:$B$59,$B30,'11.1.Амортиз.нови активи'!V$12:V$59)+('9.Инвестиционна програма'!J$132*SUMIF('11.1.Амортиз.нови активи'!$B$12:$B$59,$B30,'11.1.Амортиз.нови активи'!AQ$12:AQ$59))</f>
        <v>81.666666666666671</v>
      </c>
      <c r="W30" s="1198">
        <f>V30+SUMIF('11.1.Амортиз.нови активи'!$B$12:$B$59,$B30,'11.1.Амортиз.нови активи'!W$12:W$59)+('9.Инвестиционна програма'!K$132*SUMIF('11.1.Амортиз.нови активи'!$B$12:$B$59,$B30,'11.1.Амортиз.нови активи'!AR$12:AR$59))</f>
        <v>81.666666666666671</v>
      </c>
      <c r="X30" s="1198">
        <f>W30+SUMIF('11.1.Амортиз.нови активи'!$B$12:$B$59,$B30,'11.1.Амортиз.нови активи'!X$12:X$59)+('9.Инвестиционна програма'!L$132*SUMIF('11.1.Амортиз.нови активи'!$B$12:$B$59,$B30,'11.1.Амортиз.нови активи'!AS$12:AS$59))</f>
        <v>81.666666666666671</v>
      </c>
      <c r="Y30" s="1203">
        <f>X30+SUMIF('11.1.Амортиз.нови активи'!$B$12:$B$59,$B30,'11.1.Амортиз.нови активи'!Y$12:Y$59)+('9.Инвестиционна програма'!M$132*SUMIF('11.1.Амортиз.нови активи'!$B$12:$B$59,$B30,'11.1.Амортиз.нови активи'!AT$12:AT$59))</f>
        <v>81.666666666666671</v>
      </c>
      <c r="Z30" s="4387">
        <f>+'11.3. ДА Базова година'!T33</f>
        <v>0</v>
      </c>
      <c r="AA30" s="1202">
        <f>Z30+SUMIF('11.1.Амортиз.нови активи'!$B$12:$B$59,$B30,'11.1.Амортиз.нови активи'!AA$12:AA$59)</f>
        <v>0</v>
      </c>
      <c r="AB30" s="1198">
        <f>AA30+SUMIF('11.1.Амортиз.нови активи'!$B$12:$B$59,$B30,'11.1.Амортиз.нови активи'!AB$12:AB$59)</f>
        <v>0</v>
      </c>
      <c r="AC30" s="1198">
        <f>AB30+SUMIF('11.1.Амортиз.нови активи'!$B$12:$B$59,$B30,'11.1.Амортиз.нови активи'!AC$12:AC$59)</f>
        <v>0</v>
      </c>
      <c r="AD30" s="1198">
        <f>AC30+SUMIF('11.1.Амортиз.нови активи'!$B$12:$B$59,$B30,'11.1.Амортиз.нови активи'!AD$12:AD$59)</f>
        <v>0</v>
      </c>
      <c r="AE30" s="1198">
        <f>AD30+SUMIF('11.1.Амортиз.нови активи'!$B$12:$B$59,$B30,'11.1.Амортиз.нови активи'!AE$12:AE$59)</f>
        <v>0</v>
      </c>
      <c r="AF30" s="1203">
        <f>AE30+SUMIF('11.1.Амортиз.нови активи'!$B$12:$B$59,$B30,'11.1.Амортиз.нови активи'!AF$12:AF$59)</f>
        <v>0</v>
      </c>
      <c r="AG30" s="4387">
        <f>+'11.3. ДА Базова година'!X33</f>
        <v>0</v>
      </c>
      <c r="AH30" s="1202">
        <f>AG30+SUMIF('11.1.Амортиз.нови активи'!$B$12:$B$59,$B30,'11.1.Амортиз.нови активи'!AH$12:AH$59)</f>
        <v>0</v>
      </c>
      <c r="AI30" s="1198">
        <f>AH30+SUMIF('11.1.Амортиз.нови активи'!$B$12:$B$59,$B30,'11.1.Амортиз.нови активи'!AI$12:AI$59)</f>
        <v>0</v>
      </c>
      <c r="AJ30" s="1198">
        <f>AI30+SUMIF('11.1.Амортиз.нови активи'!$B$12:$B$59,$B30,'11.1.Амортиз.нови активи'!AJ$12:AJ$59)</f>
        <v>0</v>
      </c>
      <c r="AK30" s="1198">
        <f>AJ30+SUMIF('11.1.Амортиз.нови активи'!$B$12:$B$59,$B30,'11.1.Амортиз.нови активи'!AK$12:AK$59)</f>
        <v>0</v>
      </c>
      <c r="AL30" s="1198">
        <f>AK30+SUMIF('11.1.Амортиз.нови активи'!$B$12:$B$59,$B30,'11.1.Амортиз.нови активи'!AL$12:AL$59)</f>
        <v>0</v>
      </c>
      <c r="AM30" s="1203">
        <f>AL30+SUMIF('11.1.Амортиз.нови активи'!$B$12:$B$59,$B30,'11.1.Амортиз.нови активи'!AM$12:AM$59)</f>
        <v>0</v>
      </c>
      <c r="AN30" s="2513"/>
      <c r="AO30" s="2521"/>
      <c r="AP30" s="4422"/>
      <c r="AQ30" s="4438">
        <f t="shared" si="31"/>
        <v>30.677512871773111</v>
      </c>
      <c r="AR30" s="4438">
        <f t="shared" si="32"/>
        <v>34.086125413081234</v>
      </c>
      <c r="AS30" s="4438">
        <f t="shared" si="33"/>
        <v>34.086125413081234</v>
      </c>
      <c r="AT30" s="4438">
        <f t="shared" si="34"/>
        <v>34.086125413081234</v>
      </c>
      <c r="AU30" s="4438">
        <f t="shared" si="35"/>
        <v>34.086125413081234</v>
      </c>
      <c r="AV30" s="4438">
        <f t="shared" si="36"/>
        <v>34.086125413081234</v>
      </c>
      <c r="AW30" s="4438">
        <f t="shared" si="37"/>
        <v>34.086125413081234</v>
      </c>
      <c r="AX30" s="4438">
        <f t="shared" si="38"/>
        <v>19.429091485456304</v>
      </c>
      <c r="AY30" s="4438">
        <f t="shared" si="39"/>
        <v>22.837704026764424</v>
      </c>
      <c r="AZ30" s="4438">
        <f t="shared" si="40"/>
        <v>22.837704026764424</v>
      </c>
      <c r="BA30" s="4438">
        <f t="shared" si="41"/>
        <v>22.837704026764424</v>
      </c>
      <c r="BB30" s="4438">
        <f t="shared" si="42"/>
        <v>22.837704026764424</v>
      </c>
      <c r="BC30" s="4438">
        <f t="shared" si="43"/>
        <v>22.837704026764424</v>
      </c>
      <c r="BD30" s="4438">
        <f t="shared" si="44"/>
        <v>22.837704026764424</v>
      </c>
      <c r="BE30" s="4438">
        <f t="shared" si="45"/>
        <v>38.346891089716387</v>
      </c>
      <c r="BF30" s="4438">
        <f t="shared" si="46"/>
        <v>41.75550363102451</v>
      </c>
      <c r="BG30" s="4438">
        <f t="shared" si="47"/>
        <v>41.75550363102451</v>
      </c>
      <c r="BH30" s="4438">
        <f t="shared" si="48"/>
        <v>41.75550363102451</v>
      </c>
      <c r="BI30" s="4438">
        <f t="shared" si="49"/>
        <v>41.75550363102451</v>
      </c>
      <c r="BJ30" s="4438">
        <f t="shared" si="50"/>
        <v>41.75550363102451</v>
      </c>
      <c r="BK30" s="4438">
        <f t="shared" si="51"/>
        <v>41.75550363102451</v>
      </c>
      <c r="BL30" s="4438">
        <f t="shared" si="52"/>
        <v>0</v>
      </c>
      <c r="BM30" s="4438">
        <f t="shared" si="53"/>
        <v>0</v>
      </c>
      <c r="BN30" s="4438">
        <f t="shared" si="54"/>
        <v>0</v>
      </c>
      <c r="BO30" s="4438">
        <f t="shared" si="55"/>
        <v>0</v>
      </c>
      <c r="BP30" s="4438">
        <f t="shared" si="56"/>
        <v>0</v>
      </c>
      <c r="BQ30" s="4438">
        <f t="shared" si="57"/>
        <v>0</v>
      </c>
      <c r="BR30" s="4438">
        <f t="shared" si="58"/>
        <v>0</v>
      </c>
      <c r="BS30" s="4438">
        <f t="shared" si="59"/>
        <v>0</v>
      </c>
      <c r="BT30" s="4438">
        <f t="shared" si="60"/>
        <v>0</v>
      </c>
      <c r="BU30" s="4438">
        <f t="shared" si="61"/>
        <v>0</v>
      </c>
      <c r="BV30" s="4438">
        <f t="shared" si="62"/>
        <v>0</v>
      </c>
      <c r="BW30" s="4438">
        <f t="shared" si="63"/>
        <v>0</v>
      </c>
      <c r="BX30" s="4438">
        <f t="shared" si="64"/>
        <v>0</v>
      </c>
      <c r="BY30" s="4438">
        <f t="shared" si="65"/>
        <v>0</v>
      </c>
    </row>
    <row r="31" spans="1:77">
      <c r="A31" s="2531">
        <v>13</v>
      </c>
      <c r="B31" s="2526">
        <v>213</v>
      </c>
      <c r="C31" s="2533">
        <v>0.2</v>
      </c>
      <c r="D31" s="2520" t="s">
        <v>215</v>
      </c>
      <c r="E31" s="4387">
        <f>+'11.3. ДА Базова година'!H34</f>
        <v>0</v>
      </c>
      <c r="F31" s="883">
        <f>E31+SUMIF('11.1.Амортиз.нови активи'!$B$12:$B$59,$B31,'11.1.Амортиз.нови активи'!F$12:F$59)+('9.Инвестиционна програма'!H$130*SUMIF('11.1.Амортиз.нови активи'!$B$12:$B$59,$B31,'11.1.Амортиз.нови активи'!AO$12:AO$59))</f>
        <v>0</v>
      </c>
      <c r="G31" s="1198">
        <f>F31+SUMIF('11.1.Амортиз.нови активи'!$B$12:$B$59,$B31,'11.1.Амортиз.нови активи'!G$12:G$59)+('9.Инвестиционна програма'!I$130*SUMIF('11.1.Амортиз.нови активи'!$B$12:$B$59,$B31,'11.1.Амортиз.нови активи'!AP$12:AP$59))</f>
        <v>0</v>
      </c>
      <c r="H31" s="1198">
        <f>G31+SUMIF('11.1.Амортиз.нови активи'!$B$12:$B$59,$B31,'11.1.Амортиз.нови активи'!H$12:H$59)+('9.Инвестиционна програма'!J$130*SUMIF('11.1.Амортиз.нови активи'!$B$12:$B$59,$B31,'11.1.Амортиз.нови активи'!AQ$12:AQ$59))</f>
        <v>0</v>
      </c>
      <c r="I31" s="1198">
        <f>H31+SUMIF('11.1.Амортиз.нови активи'!$B$12:$B$59,$B31,'11.1.Амортиз.нови активи'!I$12:I$59)+('9.Инвестиционна програма'!K$130*SUMIF('11.1.Амортиз.нови активи'!$B$12:$B$59,$B31,'11.1.Амортиз.нови активи'!AR$12:AR$59))</f>
        <v>0</v>
      </c>
      <c r="J31" s="1198">
        <f>I31+SUMIF('11.1.Амортиз.нови активи'!$B$12:$B$59,$B31,'11.1.Амортиз.нови активи'!J$12:J$59)+('9.Инвестиционна програма'!L$130*SUMIF('11.1.Амортиз.нови активи'!$B$12:$B$59,$B31,'11.1.Амортиз.нови активи'!AS$12:AS$59))</f>
        <v>0</v>
      </c>
      <c r="K31" s="1203">
        <f>J31+SUMIF('11.1.Амортиз.нови активи'!$B$12:$B$59,$B31,'11.1.Амортиз.нови активи'!K$12:K$59)+('9.Инвестиционна програма'!M$130*SUMIF('11.1.Амортиз.нови активи'!$B$12:$B$59,$B31,'11.1.Амортиз.нови активи'!AT$12:AT$59))</f>
        <v>0</v>
      </c>
      <c r="L31" s="4387">
        <f>+'11.3. ДА Базова година'!L34</f>
        <v>0</v>
      </c>
      <c r="M31" s="1202">
        <f>L31+SUMIF('11.1.Амортиз.нови активи'!$B$12:$B$59,$B31,'11.1.Амортиз.нови активи'!M$12:M$59)+('9.Инвестиционна програма'!H$131*SUMIF('11.1.Амортиз.нови активи'!$B$12:$B$59,$B31,'11.1.Амортиз.нови активи'!AO$12:AO$59))</f>
        <v>0</v>
      </c>
      <c r="N31" s="1198">
        <f>M31+SUMIF('11.1.Амортиз.нови активи'!$B$12:$B$59,$B31,'11.1.Амортиз.нови активи'!N$12:N$59)+('9.Инвестиционна програма'!I$131*SUMIF('11.1.Амортиз.нови активи'!$B$12:$B$59,$B31,'11.1.Амортиз.нови активи'!AP$12:AP$59))</f>
        <v>0</v>
      </c>
      <c r="O31" s="1198">
        <f>N31+SUMIF('11.1.Амортиз.нови активи'!$B$12:$B$59,$B31,'11.1.Амортиз.нови активи'!O$12:O$59)+('9.Инвестиционна програма'!J$131*SUMIF('11.1.Амортиз.нови активи'!$B$12:$B$59,$B31,'11.1.Амортиз.нови активи'!AQ$12:AQ$59))</f>
        <v>0</v>
      </c>
      <c r="P31" s="1198">
        <f>O31+SUMIF('11.1.Амортиз.нови активи'!$B$12:$B$59,$B31,'11.1.Амортиз.нови активи'!P$12:P$59)+('9.Инвестиционна програма'!K$131*SUMIF('11.1.Амортиз.нови активи'!$B$12:$B$59,$B31,'11.1.Амортиз.нови активи'!AR$12:AR$59))</f>
        <v>0</v>
      </c>
      <c r="Q31" s="1198">
        <f>P31+SUMIF('11.1.Амортиз.нови активи'!$B$12:$B$59,$B31,'11.1.Амортиз.нови активи'!Q$12:Q$59)+('9.Инвестиционна програма'!L$131*SUMIF('11.1.Амортиз.нови активи'!$B$12:$B$59,$B31,'11.1.Амортиз.нови активи'!AS$12:AS$59))</f>
        <v>0</v>
      </c>
      <c r="R31" s="1203">
        <f>Q31+SUMIF('11.1.Амортиз.нови активи'!$B$12:$B$59,$B31,'11.1.Амортиз.нови активи'!R$12:R$59)+('9.Инвестиционна програма'!M$131*SUMIF('11.1.Амортиз.нови активи'!$B$12:$B$59,$B31,'11.1.Амортиз.нови активи'!AT$12:AT$59))</f>
        <v>0</v>
      </c>
      <c r="S31" s="4387">
        <f>+'11.3. ДА Базова година'!P34</f>
        <v>0</v>
      </c>
      <c r="T31" s="1202">
        <f>S31+SUMIF('11.1.Амортиз.нови активи'!$B$12:$B$59,$B31,'11.1.Амортиз.нови активи'!T$12:T$59)+('9.Инвестиционна програма'!H$132*SUMIF('11.1.Амортиз.нови активи'!$B$12:$B$59,$B31,'11.1.Амортиз.нови активи'!AO$12:AO$59))</f>
        <v>0</v>
      </c>
      <c r="U31" s="1198">
        <f>T31+SUMIF('11.1.Амортиз.нови активи'!$B$12:$B$59,$B31,'11.1.Амортиз.нови активи'!U$12:U$59)+('9.Инвестиционна програма'!I$132*SUMIF('11.1.Амортиз.нови активи'!$B$12:$B$59,$B31,'11.1.Амортиз.нови активи'!AP$12:AP$59))</f>
        <v>0</v>
      </c>
      <c r="V31" s="1198">
        <f>U31+SUMIF('11.1.Амортиз.нови активи'!$B$12:$B$59,$B31,'11.1.Амортиз.нови активи'!V$12:V$59)+('9.Инвестиционна програма'!J$132*SUMIF('11.1.Амортиз.нови активи'!$B$12:$B$59,$B31,'11.1.Амортиз.нови активи'!AQ$12:AQ$59))</f>
        <v>0</v>
      </c>
      <c r="W31" s="1198">
        <f>V31+SUMIF('11.1.Амортиз.нови активи'!$B$12:$B$59,$B31,'11.1.Амортиз.нови активи'!W$12:W$59)+('9.Инвестиционна програма'!K$132*SUMIF('11.1.Амортиз.нови активи'!$B$12:$B$59,$B31,'11.1.Амортиз.нови активи'!AR$12:AR$59))</f>
        <v>0</v>
      </c>
      <c r="X31" s="1198">
        <f>W31+SUMIF('11.1.Амортиз.нови активи'!$B$12:$B$59,$B31,'11.1.Амортиз.нови активи'!X$12:X$59)+('9.Инвестиционна програма'!L$132*SUMIF('11.1.Амортиз.нови активи'!$B$12:$B$59,$B31,'11.1.Амортиз.нови активи'!AS$12:AS$59))</f>
        <v>0</v>
      </c>
      <c r="Y31" s="1203">
        <f>X31+SUMIF('11.1.Амортиз.нови активи'!$B$12:$B$59,$B31,'11.1.Амортиз.нови активи'!Y$12:Y$59)+('9.Инвестиционна програма'!M$132*SUMIF('11.1.Амортиз.нови активи'!$B$12:$B$59,$B31,'11.1.Амортиз.нови активи'!AT$12:AT$59))</f>
        <v>0</v>
      </c>
      <c r="Z31" s="4387">
        <f>+'11.3. ДА Базова година'!T34</f>
        <v>0</v>
      </c>
      <c r="AA31" s="1202">
        <f>Z31+SUMIF('11.1.Амортиз.нови активи'!$B$12:$B$59,$B31,'11.1.Амортиз.нови активи'!AA$12:AA$59)</f>
        <v>0</v>
      </c>
      <c r="AB31" s="1198">
        <f>AA31+SUMIF('11.1.Амортиз.нови активи'!$B$12:$B$59,$B31,'11.1.Амортиз.нови активи'!AB$12:AB$59)</f>
        <v>0</v>
      </c>
      <c r="AC31" s="1198">
        <f>AB31+SUMIF('11.1.Амортиз.нови активи'!$B$12:$B$59,$B31,'11.1.Амортиз.нови активи'!AC$12:AC$59)</f>
        <v>0</v>
      </c>
      <c r="AD31" s="1198">
        <f>AC31+SUMIF('11.1.Амортиз.нови активи'!$B$12:$B$59,$B31,'11.1.Амортиз.нови активи'!AD$12:AD$59)</f>
        <v>0</v>
      </c>
      <c r="AE31" s="1198">
        <f>AD31+SUMIF('11.1.Амортиз.нови активи'!$B$12:$B$59,$B31,'11.1.Амортиз.нови активи'!AE$12:AE$59)</f>
        <v>0</v>
      </c>
      <c r="AF31" s="1203">
        <f>AE31+SUMIF('11.1.Амортиз.нови активи'!$B$12:$B$59,$B31,'11.1.Амортиз.нови активи'!AF$12:AF$59)</f>
        <v>0</v>
      </c>
      <c r="AG31" s="4387">
        <f>+'11.3. ДА Базова година'!X34</f>
        <v>0</v>
      </c>
      <c r="AH31" s="1202">
        <f>AG31+SUMIF('11.1.Амортиз.нови активи'!$B$12:$B$59,$B31,'11.1.Амортиз.нови активи'!AH$12:AH$59)</f>
        <v>0</v>
      </c>
      <c r="AI31" s="1198">
        <f>AH31+SUMIF('11.1.Амортиз.нови активи'!$B$12:$B$59,$B31,'11.1.Амортиз.нови активи'!AI$12:AI$59)</f>
        <v>0</v>
      </c>
      <c r="AJ31" s="1198">
        <f>AI31+SUMIF('11.1.Амортиз.нови активи'!$B$12:$B$59,$B31,'11.1.Амортиз.нови активи'!AJ$12:AJ$59)</f>
        <v>0</v>
      </c>
      <c r="AK31" s="1198">
        <f>AJ31+SUMIF('11.1.Амортиз.нови активи'!$B$12:$B$59,$B31,'11.1.Амортиз.нови активи'!AK$12:AK$59)</f>
        <v>0</v>
      </c>
      <c r="AL31" s="1198">
        <f>AK31+SUMIF('11.1.Амортиз.нови активи'!$B$12:$B$59,$B31,'11.1.Амортиз.нови активи'!AL$12:AL$59)</f>
        <v>0</v>
      </c>
      <c r="AM31" s="1203">
        <f>AL31+SUMIF('11.1.Амортиз.нови активи'!$B$12:$B$59,$B31,'11.1.Амортиз.нови активи'!AM$12:AM$59)</f>
        <v>0</v>
      </c>
      <c r="AN31" s="2513"/>
      <c r="AO31" s="2521"/>
      <c r="AP31" s="4422"/>
      <c r="AQ31" s="4438">
        <f t="shared" si="31"/>
        <v>0</v>
      </c>
      <c r="AR31" s="4438">
        <f t="shared" si="32"/>
        <v>0</v>
      </c>
      <c r="AS31" s="4438">
        <f t="shared" si="33"/>
        <v>0</v>
      </c>
      <c r="AT31" s="4438">
        <f t="shared" si="34"/>
        <v>0</v>
      </c>
      <c r="AU31" s="4438">
        <f t="shared" si="35"/>
        <v>0</v>
      </c>
      <c r="AV31" s="4438">
        <f t="shared" si="36"/>
        <v>0</v>
      </c>
      <c r="AW31" s="4438">
        <f t="shared" si="37"/>
        <v>0</v>
      </c>
      <c r="AX31" s="4438">
        <f t="shared" si="38"/>
        <v>0</v>
      </c>
      <c r="AY31" s="4438">
        <f t="shared" si="39"/>
        <v>0</v>
      </c>
      <c r="AZ31" s="4438">
        <f t="shared" si="40"/>
        <v>0</v>
      </c>
      <c r="BA31" s="4438">
        <f t="shared" si="41"/>
        <v>0</v>
      </c>
      <c r="BB31" s="4438">
        <f t="shared" si="42"/>
        <v>0</v>
      </c>
      <c r="BC31" s="4438">
        <f t="shared" si="43"/>
        <v>0</v>
      </c>
      <c r="BD31" s="4438">
        <f t="shared" si="44"/>
        <v>0</v>
      </c>
      <c r="BE31" s="4438">
        <f t="shared" si="45"/>
        <v>0</v>
      </c>
      <c r="BF31" s="4438">
        <f t="shared" si="46"/>
        <v>0</v>
      </c>
      <c r="BG31" s="4438">
        <f t="shared" si="47"/>
        <v>0</v>
      </c>
      <c r="BH31" s="4438">
        <f t="shared" si="48"/>
        <v>0</v>
      </c>
      <c r="BI31" s="4438">
        <f t="shared" si="49"/>
        <v>0</v>
      </c>
      <c r="BJ31" s="4438">
        <f t="shared" si="50"/>
        <v>0</v>
      </c>
      <c r="BK31" s="4438">
        <f t="shared" si="51"/>
        <v>0</v>
      </c>
      <c r="BL31" s="4438">
        <f t="shared" si="52"/>
        <v>0</v>
      </c>
      <c r="BM31" s="4438">
        <f t="shared" si="53"/>
        <v>0</v>
      </c>
      <c r="BN31" s="4438">
        <f t="shared" si="54"/>
        <v>0</v>
      </c>
      <c r="BO31" s="4438">
        <f t="shared" si="55"/>
        <v>0</v>
      </c>
      <c r="BP31" s="4438">
        <f t="shared" si="56"/>
        <v>0</v>
      </c>
      <c r="BQ31" s="4438">
        <f t="shared" si="57"/>
        <v>0</v>
      </c>
      <c r="BR31" s="4438">
        <f t="shared" si="58"/>
        <v>0</v>
      </c>
      <c r="BS31" s="4438">
        <f t="shared" si="59"/>
        <v>0</v>
      </c>
      <c r="BT31" s="4438">
        <f t="shared" si="60"/>
        <v>0</v>
      </c>
      <c r="BU31" s="4438">
        <f t="shared" si="61"/>
        <v>0</v>
      </c>
      <c r="BV31" s="4438">
        <f t="shared" si="62"/>
        <v>0</v>
      </c>
      <c r="BW31" s="4438">
        <f t="shared" si="63"/>
        <v>0</v>
      </c>
      <c r="BX31" s="4438">
        <f t="shared" si="64"/>
        <v>0</v>
      </c>
      <c r="BY31" s="4438">
        <f t="shared" si="65"/>
        <v>0</v>
      </c>
    </row>
    <row r="32" spans="1:77">
      <c r="A32" s="2531">
        <v>14</v>
      </c>
      <c r="B32" s="2600"/>
      <c r="C32" s="2600"/>
      <c r="D32" s="2534" t="s">
        <v>628</v>
      </c>
      <c r="E32" s="4387">
        <f>+'11.3. ДА Базова година'!H35</f>
        <v>0</v>
      </c>
      <c r="F32" s="883">
        <f>E32+SUMIF('11.1.Амортиз.нови активи'!$B$12:$B$59,$B32,'11.1.Амортиз.нови активи'!F$12:F$59)+('9.Инвестиционна програма'!H$130*SUMIF('11.1.Амортиз.нови активи'!$B$12:$B$59,$B32,'11.1.Амортиз.нови активи'!AO$12:AO$59))</f>
        <v>0</v>
      </c>
      <c r="G32" s="1198">
        <f>F32+SUMIF('11.1.Амортиз.нови активи'!$B$12:$B$59,$B32,'11.1.Амортиз.нови активи'!G$12:G$59)+('9.Инвестиционна програма'!I$130*SUMIF('11.1.Амортиз.нови активи'!$B$12:$B$59,$B32,'11.1.Амортиз.нови активи'!AP$12:AP$59))</f>
        <v>0</v>
      </c>
      <c r="H32" s="1198">
        <f>G32+SUMIF('11.1.Амортиз.нови активи'!$B$12:$B$59,$B32,'11.1.Амортиз.нови активи'!H$12:H$59)+('9.Инвестиционна програма'!J$130*SUMIF('11.1.Амортиз.нови активи'!$B$12:$B$59,$B32,'11.1.Амортиз.нови активи'!AQ$12:AQ$59))</f>
        <v>0</v>
      </c>
      <c r="I32" s="1198">
        <f>H32+SUMIF('11.1.Амортиз.нови активи'!$B$12:$B$59,$B32,'11.1.Амортиз.нови активи'!I$12:I$59)+('9.Инвестиционна програма'!K$130*SUMIF('11.1.Амортиз.нови активи'!$B$12:$B$59,$B32,'11.1.Амортиз.нови активи'!AR$12:AR$59))</f>
        <v>0</v>
      </c>
      <c r="J32" s="1198">
        <f>I32+SUMIF('11.1.Амортиз.нови активи'!$B$12:$B$59,$B32,'11.1.Амортиз.нови активи'!J$12:J$59)+('9.Инвестиционна програма'!L$130*SUMIF('11.1.Амортиз.нови активи'!$B$12:$B$59,$B32,'11.1.Амортиз.нови активи'!AS$12:AS$59))</f>
        <v>0</v>
      </c>
      <c r="K32" s="1203">
        <f>J32+SUMIF('11.1.Амортиз.нови активи'!$B$12:$B$59,$B32,'11.1.Амортиз.нови активи'!K$12:K$59)+('9.Инвестиционна програма'!M$130*SUMIF('11.1.Амортиз.нови активи'!$B$12:$B$59,$B32,'11.1.Амортиз.нови активи'!AT$12:AT$59))</f>
        <v>0</v>
      </c>
      <c r="L32" s="4387">
        <f>+'11.3. ДА Базова година'!L35</f>
        <v>0</v>
      </c>
      <c r="M32" s="1202">
        <f>L32+SUMIF('11.1.Амортиз.нови активи'!$B$12:$B$59,$B32,'11.1.Амортиз.нови активи'!M$12:M$59)+('9.Инвестиционна програма'!H$131*SUMIF('11.1.Амортиз.нови активи'!$B$12:$B$59,$B32,'11.1.Амортиз.нови активи'!AO$12:AO$59))</f>
        <v>0</v>
      </c>
      <c r="N32" s="1198">
        <f>M32+SUMIF('11.1.Амортиз.нови активи'!$B$12:$B$59,$B32,'11.1.Амортиз.нови активи'!N$12:N$59)+('9.Инвестиционна програма'!I$131*SUMIF('11.1.Амортиз.нови активи'!$B$12:$B$59,$B32,'11.1.Амортиз.нови активи'!AP$12:AP$59))</f>
        <v>0</v>
      </c>
      <c r="O32" s="1198">
        <f>N32+SUMIF('11.1.Амортиз.нови активи'!$B$12:$B$59,$B32,'11.1.Амортиз.нови активи'!O$12:O$59)+('9.Инвестиционна програма'!J$131*SUMIF('11.1.Амортиз.нови активи'!$B$12:$B$59,$B32,'11.1.Амортиз.нови активи'!AQ$12:AQ$59))</f>
        <v>0</v>
      </c>
      <c r="P32" s="1198">
        <f>O32+SUMIF('11.1.Амортиз.нови активи'!$B$12:$B$59,$B32,'11.1.Амортиз.нови активи'!P$12:P$59)+('9.Инвестиционна програма'!K$131*SUMIF('11.1.Амортиз.нови активи'!$B$12:$B$59,$B32,'11.1.Амортиз.нови активи'!AR$12:AR$59))</f>
        <v>0</v>
      </c>
      <c r="Q32" s="1198">
        <f>P32+SUMIF('11.1.Амортиз.нови активи'!$B$12:$B$59,$B32,'11.1.Амортиз.нови активи'!Q$12:Q$59)+('9.Инвестиционна програма'!L$131*SUMIF('11.1.Амортиз.нови активи'!$B$12:$B$59,$B32,'11.1.Амортиз.нови активи'!AS$12:AS$59))</f>
        <v>0</v>
      </c>
      <c r="R32" s="1203">
        <f>Q32+SUMIF('11.1.Амортиз.нови активи'!$B$12:$B$59,$B32,'11.1.Амортиз.нови активи'!R$12:R$59)+('9.Инвестиционна програма'!M$131*SUMIF('11.1.Амортиз.нови активи'!$B$12:$B$59,$B32,'11.1.Амортиз.нови активи'!AT$12:AT$59))</f>
        <v>0</v>
      </c>
      <c r="S32" s="4387">
        <f>+'11.3. ДА Базова година'!P35</f>
        <v>0</v>
      </c>
      <c r="T32" s="1202">
        <f>S32+SUMIF('11.1.Амортиз.нови активи'!$B$12:$B$59,$B32,'11.1.Амортиз.нови активи'!T$12:T$59)+('9.Инвестиционна програма'!H$132*SUMIF('11.1.Амортиз.нови активи'!$B$12:$B$59,$B32,'11.1.Амортиз.нови активи'!AO$12:AO$59))</f>
        <v>0</v>
      </c>
      <c r="U32" s="1198">
        <f>T32+SUMIF('11.1.Амортиз.нови активи'!$B$12:$B$59,$B32,'11.1.Амортиз.нови активи'!U$12:U$59)+('9.Инвестиционна програма'!I$132*SUMIF('11.1.Амортиз.нови активи'!$B$12:$B$59,$B32,'11.1.Амортиз.нови активи'!AP$12:AP$59))</f>
        <v>0</v>
      </c>
      <c r="V32" s="1198">
        <f>U32+SUMIF('11.1.Амортиз.нови активи'!$B$12:$B$59,$B32,'11.1.Амортиз.нови активи'!V$12:V$59)+('9.Инвестиционна програма'!J$132*SUMIF('11.1.Амортиз.нови активи'!$B$12:$B$59,$B32,'11.1.Амортиз.нови активи'!AQ$12:AQ$59))</f>
        <v>0</v>
      </c>
      <c r="W32" s="1198">
        <f>V32+SUMIF('11.1.Амортиз.нови активи'!$B$12:$B$59,$B32,'11.1.Амортиз.нови активи'!W$12:W$59)+('9.Инвестиционна програма'!K$132*SUMIF('11.1.Амортиз.нови активи'!$B$12:$B$59,$B32,'11.1.Амортиз.нови активи'!AR$12:AR$59))</f>
        <v>0</v>
      </c>
      <c r="X32" s="1198">
        <f>W32+SUMIF('11.1.Амортиз.нови активи'!$B$12:$B$59,$B32,'11.1.Амортиз.нови активи'!X$12:X$59)+('9.Инвестиционна програма'!L$132*SUMIF('11.1.Амортиз.нови активи'!$B$12:$B$59,$B32,'11.1.Амортиз.нови активи'!AS$12:AS$59))</f>
        <v>0</v>
      </c>
      <c r="Y32" s="1203">
        <f>X32+SUMIF('11.1.Амортиз.нови активи'!$B$12:$B$59,$B32,'11.1.Амортиз.нови активи'!Y$12:Y$59)+('9.Инвестиционна програма'!M$132*SUMIF('11.1.Амортиз.нови активи'!$B$12:$B$59,$B32,'11.1.Амортиз.нови активи'!AT$12:AT$59))</f>
        <v>0</v>
      </c>
      <c r="Z32" s="4387">
        <f>+'11.3. ДА Базова година'!T35</f>
        <v>0</v>
      </c>
      <c r="AA32" s="1202">
        <f>Z32+SUMIF('11.1.Амортиз.нови активи'!$B$12:$B$59,$B32,'11.1.Амортиз.нови активи'!AA$12:AA$59)</f>
        <v>0</v>
      </c>
      <c r="AB32" s="1198">
        <f>AA32+SUMIF('11.1.Амортиз.нови активи'!$B$12:$B$59,$B32,'11.1.Амортиз.нови активи'!AB$12:AB$59)</f>
        <v>0</v>
      </c>
      <c r="AC32" s="1198">
        <f>AB32+SUMIF('11.1.Амортиз.нови активи'!$B$12:$B$59,$B32,'11.1.Амортиз.нови активи'!AC$12:AC$59)</f>
        <v>0</v>
      </c>
      <c r="AD32" s="1198">
        <f>AC32+SUMIF('11.1.Амортиз.нови активи'!$B$12:$B$59,$B32,'11.1.Амортиз.нови активи'!AD$12:AD$59)</f>
        <v>0</v>
      </c>
      <c r="AE32" s="1198">
        <f>AD32+SUMIF('11.1.Амортиз.нови активи'!$B$12:$B$59,$B32,'11.1.Амортиз.нови активи'!AE$12:AE$59)</f>
        <v>0</v>
      </c>
      <c r="AF32" s="1203">
        <f>AE32+SUMIF('11.1.Амортиз.нови активи'!$B$12:$B$59,$B32,'11.1.Амортиз.нови активи'!AF$12:AF$59)</f>
        <v>0</v>
      </c>
      <c r="AG32" s="4387">
        <f>+'11.3. ДА Базова година'!X35</f>
        <v>0</v>
      </c>
      <c r="AH32" s="1202">
        <f>AG32+SUMIF('11.1.Амортиз.нови активи'!$B$12:$B$59,$B32,'11.1.Амортиз.нови активи'!AH$12:AH$59)</f>
        <v>0</v>
      </c>
      <c r="AI32" s="1198">
        <f>AH32+SUMIF('11.1.Амортиз.нови активи'!$B$12:$B$59,$B32,'11.1.Амортиз.нови активи'!AI$12:AI$59)</f>
        <v>0</v>
      </c>
      <c r="AJ32" s="1198">
        <f>AI32+SUMIF('11.1.Амортиз.нови активи'!$B$12:$B$59,$B32,'11.1.Амортиз.нови активи'!AJ$12:AJ$59)</f>
        <v>0</v>
      </c>
      <c r="AK32" s="1198">
        <f>AJ32+SUMIF('11.1.Амортиз.нови активи'!$B$12:$B$59,$B32,'11.1.Амортиз.нови активи'!AK$12:AK$59)</f>
        <v>0</v>
      </c>
      <c r="AL32" s="1198">
        <f>AK32+SUMIF('11.1.Амортиз.нови активи'!$B$12:$B$59,$B32,'11.1.Амортиз.нови активи'!AL$12:AL$59)</f>
        <v>0</v>
      </c>
      <c r="AM32" s="1203">
        <f>AL32+SUMIF('11.1.Амортиз.нови активи'!$B$12:$B$59,$B32,'11.1.Амортиз.нови активи'!AM$12:AM$59)</f>
        <v>0</v>
      </c>
      <c r="AN32" s="2513"/>
      <c r="AO32" s="2521"/>
      <c r="AP32" s="4422"/>
      <c r="AQ32" s="4438">
        <f t="shared" si="31"/>
        <v>0</v>
      </c>
      <c r="AR32" s="4438">
        <f t="shared" si="32"/>
        <v>0</v>
      </c>
      <c r="AS32" s="4438">
        <f t="shared" si="33"/>
        <v>0</v>
      </c>
      <c r="AT32" s="4438">
        <f t="shared" si="34"/>
        <v>0</v>
      </c>
      <c r="AU32" s="4438">
        <f t="shared" si="35"/>
        <v>0</v>
      </c>
      <c r="AV32" s="4438">
        <f t="shared" si="36"/>
        <v>0</v>
      </c>
      <c r="AW32" s="4438">
        <f t="shared" si="37"/>
        <v>0</v>
      </c>
      <c r="AX32" s="4438">
        <f t="shared" si="38"/>
        <v>0</v>
      </c>
      <c r="AY32" s="4438">
        <f t="shared" si="39"/>
        <v>0</v>
      </c>
      <c r="AZ32" s="4438">
        <f t="shared" si="40"/>
        <v>0</v>
      </c>
      <c r="BA32" s="4438">
        <f t="shared" si="41"/>
        <v>0</v>
      </c>
      <c r="BB32" s="4438">
        <f t="shared" si="42"/>
        <v>0</v>
      </c>
      <c r="BC32" s="4438">
        <f t="shared" si="43"/>
        <v>0</v>
      </c>
      <c r="BD32" s="4438">
        <f t="shared" si="44"/>
        <v>0</v>
      </c>
      <c r="BE32" s="4438">
        <f t="shared" si="45"/>
        <v>0</v>
      </c>
      <c r="BF32" s="4438">
        <f t="shared" si="46"/>
        <v>0</v>
      </c>
      <c r="BG32" s="4438">
        <f t="shared" si="47"/>
        <v>0</v>
      </c>
      <c r="BH32" s="4438">
        <f t="shared" si="48"/>
        <v>0</v>
      </c>
      <c r="BI32" s="4438">
        <f t="shared" si="49"/>
        <v>0</v>
      </c>
      <c r="BJ32" s="4438">
        <f t="shared" si="50"/>
        <v>0</v>
      </c>
      <c r="BK32" s="4438">
        <f t="shared" si="51"/>
        <v>0</v>
      </c>
      <c r="BL32" s="4438">
        <f t="shared" si="52"/>
        <v>0</v>
      </c>
      <c r="BM32" s="4438">
        <f t="shared" si="53"/>
        <v>0</v>
      </c>
      <c r="BN32" s="4438">
        <f t="shared" si="54"/>
        <v>0</v>
      </c>
      <c r="BO32" s="4438">
        <f t="shared" si="55"/>
        <v>0</v>
      </c>
      <c r="BP32" s="4438">
        <f t="shared" si="56"/>
        <v>0</v>
      </c>
      <c r="BQ32" s="4438">
        <f t="shared" si="57"/>
        <v>0</v>
      </c>
      <c r="BR32" s="4438">
        <f t="shared" si="58"/>
        <v>0</v>
      </c>
      <c r="BS32" s="4438">
        <f t="shared" si="59"/>
        <v>0</v>
      </c>
      <c r="BT32" s="4438">
        <f t="shared" si="60"/>
        <v>0</v>
      </c>
      <c r="BU32" s="4438">
        <f t="shared" si="61"/>
        <v>0</v>
      </c>
      <c r="BV32" s="4438">
        <f t="shared" si="62"/>
        <v>0</v>
      </c>
      <c r="BW32" s="4438">
        <f t="shared" si="63"/>
        <v>0</v>
      </c>
      <c r="BX32" s="4438">
        <f t="shared" si="64"/>
        <v>0</v>
      </c>
      <c r="BY32" s="4438">
        <f t="shared" si="65"/>
        <v>0</v>
      </c>
    </row>
    <row r="33" spans="1:77" ht="24">
      <c r="A33" s="2531">
        <v>15</v>
      </c>
      <c r="B33" s="2526">
        <v>207</v>
      </c>
      <c r="C33" s="2526" t="s">
        <v>313</v>
      </c>
      <c r="D33" s="2535" t="s">
        <v>415</v>
      </c>
      <c r="E33" s="4387">
        <f>+'11.3. ДА Базова година'!H36</f>
        <v>0</v>
      </c>
      <c r="F33" s="883">
        <f>E33+SUMIF('11.1.Амортиз.нови активи'!$B$12:$B$59,$B33,'11.1.Амортиз.нови активи'!F$12:F$59)+('9.Инвестиционна програма'!H$130*SUMIF('11.1.Амортиз.нови активи'!$B$12:$B$59,$B33,'11.1.Амортиз.нови активи'!AO$12:AO$59))</f>
        <v>0</v>
      </c>
      <c r="G33" s="1198">
        <f>F33+SUMIF('11.1.Амортиз.нови активи'!$B$12:$B$59,$B33,'11.1.Амортиз.нови активи'!G$12:G$59)+('9.Инвестиционна програма'!I$130*SUMIF('11.1.Амортиз.нови активи'!$B$12:$B$59,$B33,'11.1.Амортиз.нови активи'!AP$12:AP$59))</f>
        <v>0</v>
      </c>
      <c r="H33" s="1198">
        <f>G33+SUMIF('11.1.Амортиз.нови активи'!$B$12:$B$59,$B33,'11.1.Амортиз.нови активи'!H$12:H$59)+('9.Инвестиционна програма'!J$130*SUMIF('11.1.Амортиз.нови активи'!$B$12:$B$59,$B33,'11.1.Амортиз.нови активи'!AQ$12:AQ$59))</f>
        <v>0</v>
      </c>
      <c r="I33" s="1198">
        <f>H33+SUMIF('11.1.Амортиз.нови активи'!$B$12:$B$59,$B33,'11.1.Амортиз.нови активи'!I$12:I$59)+('9.Инвестиционна програма'!K$130*SUMIF('11.1.Амортиз.нови активи'!$B$12:$B$59,$B33,'11.1.Амортиз.нови активи'!AR$12:AR$59))</f>
        <v>0</v>
      </c>
      <c r="J33" s="1198">
        <f>I33+SUMIF('11.1.Амортиз.нови активи'!$B$12:$B$59,$B33,'11.1.Амортиз.нови активи'!J$12:J$59)+('9.Инвестиционна програма'!L$130*SUMIF('11.1.Амортиз.нови активи'!$B$12:$B$59,$B33,'11.1.Амортиз.нови активи'!AS$12:AS$59))</f>
        <v>0</v>
      </c>
      <c r="K33" s="1203">
        <f>J33+SUMIF('11.1.Амортиз.нови активи'!$B$12:$B$59,$B33,'11.1.Амортиз.нови активи'!K$12:K$59)+('9.Инвестиционна програма'!M$130*SUMIF('11.1.Амортиз.нови активи'!$B$12:$B$59,$B33,'11.1.Амортиз.нови активи'!AT$12:AT$59))</f>
        <v>0</v>
      </c>
      <c r="L33" s="4387">
        <f>+'11.3. ДА Базова година'!L36</f>
        <v>0</v>
      </c>
      <c r="M33" s="1202">
        <f>L33+SUMIF('11.1.Амортиз.нови активи'!$B$12:$B$59,$B33,'11.1.Амортиз.нови активи'!M$12:M$59)+('9.Инвестиционна програма'!H$131*SUMIF('11.1.Амортиз.нови активи'!$B$12:$B$59,$B33,'11.1.Амортиз.нови активи'!AO$12:AO$59))</f>
        <v>0</v>
      </c>
      <c r="N33" s="1198">
        <f>M33+SUMIF('11.1.Амортиз.нови активи'!$B$12:$B$59,$B33,'11.1.Амортиз.нови активи'!N$12:N$59)+('9.Инвестиционна програма'!I$131*SUMIF('11.1.Амортиз.нови активи'!$B$12:$B$59,$B33,'11.1.Амортиз.нови активи'!AP$12:AP$59))</f>
        <v>0</v>
      </c>
      <c r="O33" s="1198">
        <f>N33+SUMIF('11.1.Амортиз.нови активи'!$B$12:$B$59,$B33,'11.1.Амортиз.нови активи'!O$12:O$59)+('9.Инвестиционна програма'!J$131*SUMIF('11.1.Амортиз.нови активи'!$B$12:$B$59,$B33,'11.1.Амортиз.нови активи'!AQ$12:AQ$59))</f>
        <v>0</v>
      </c>
      <c r="P33" s="1198">
        <f>O33+SUMIF('11.1.Амортиз.нови активи'!$B$12:$B$59,$B33,'11.1.Амортиз.нови активи'!P$12:P$59)+('9.Инвестиционна програма'!K$131*SUMIF('11.1.Амортиз.нови активи'!$B$12:$B$59,$B33,'11.1.Амортиз.нови активи'!AR$12:AR$59))</f>
        <v>0</v>
      </c>
      <c r="Q33" s="1198">
        <f>P33+SUMIF('11.1.Амортиз.нови активи'!$B$12:$B$59,$B33,'11.1.Амортиз.нови активи'!Q$12:Q$59)+('9.Инвестиционна програма'!L$131*SUMIF('11.1.Амортиз.нови активи'!$B$12:$B$59,$B33,'11.1.Амортиз.нови активи'!AS$12:AS$59))</f>
        <v>0</v>
      </c>
      <c r="R33" s="1203">
        <f>Q33+SUMIF('11.1.Амортиз.нови активи'!$B$12:$B$59,$B33,'11.1.Амортиз.нови активи'!R$12:R$59)+('9.Инвестиционна програма'!M$131*SUMIF('11.1.Амортиз.нови активи'!$B$12:$B$59,$B33,'11.1.Амортиз.нови активи'!AT$12:AT$59))</f>
        <v>0</v>
      </c>
      <c r="S33" s="4387">
        <f>+'11.3. ДА Базова година'!P36</f>
        <v>0</v>
      </c>
      <c r="T33" s="1202">
        <f>S33+SUMIF('11.1.Амортиз.нови активи'!$B$12:$B$59,$B33,'11.1.Амортиз.нови активи'!T$12:T$59)+('9.Инвестиционна програма'!H$132*SUMIF('11.1.Амортиз.нови активи'!$B$12:$B$59,$B33,'11.1.Амортиз.нови активи'!AO$12:AO$59))</f>
        <v>0</v>
      </c>
      <c r="U33" s="1198">
        <f>T33+SUMIF('11.1.Амортиз.нови активи'!$B$12:$B$59,$B33,'11.1.Амортиз.нови активи'!U$12:U$59)+('9.Инвестиционна програма'!I$132*SUMIF('11.1.Амортиз.нови активи'!$B$12:$B$59,$B33,'11.1.Амортиз.нови активи'!AP$12:AP$59))</f>
        <v>0</v>
      </c>
      <c r="V33" s="1198">
        <f>U33+SUMIF('11.1.Амортиз.нови активи'!$B$12:$B$59,$B33,'11.1.Амортиз.нови активи'!V$12:V$59)+('9.Инвестиционна програма'!J$132*SUMIF('11.1.Амортиз.нови активи'!$B$12:$B$59,$B33,'11.1.Амортиз.нови активи'!AQ$12:AQ$59))</f>
        <v>0</v>
      </c>
      <c r="W33" s="1198">
        <f>V33+SUMIF('11.1.Амортиз.нови активи'!$B$12:$B$59,$B33,'11.1.Амортиз.нови активи'!W$12:W$59)+('9.Инвестиционна програма'!K$132*SUMIF('11.1.Амортиз.нови активи'!$B$12:$B$59,$B33,'11.1.Амортиз.нови активи'!AR$12:AR$59))</f>
        <v>0</v>
      </c>
      <c r="X33" s="1198">
        <f>W33+SUMIF('11.1.Амортиз.нови активи'!$B$12:$B$59,$B33,'11.1.Амортиз.нови активи'!X$12:X$59)+('9.Инвестиционна програма'!L$132*SUMIF('11.1.Амортиз.нови активи'!$B$12:$B$59,$B33,'11.1.Амортиз.нови активи'!AS$12:AS$59))</f>
        <v>0</v>
      </c>
      <c r="Y33" s="1203">
        <f>X33+SUMIF('11.1.Амортиз.нови активи'!$B$12:$B$59,$B33,'11.1.Амортиз.нови активи'!Y$12:Y$59)+('9.Инвестиционна програма'!M$132*SUMIF('11.1.Амортиз.нови активи'!$B$12:$B$59,$B33,'11.1.Амортиз.нови активи'!AT$12:AT$59))</f>
        <v>0</v>
      </c>
      <c r="Z33" s="4387">
        <f>+'11.3. ДА Базова година'!T36</f>
        <v>0</v>
      </c>
      <c r="AA33" s="1202">
        <f>Z33+SUMIF('11.1.Амортиз.нови активи'!$B$12:$B$59,$B33,'11.1.Амортиз.нови активи'!AA$12:AA$59)</f>
        <v>0</v>
      </c>
      <c r="AB33" s="1198">
        <f>AA33+SUMIF('11.1.Амортиз.нови активи'!$B$12:$B$59,$B33,'11.1.Амортиз.нови активи'!AB$12:AB$59)</f>
        <v>0</v>
      </c>
      <c r="AC33" s="1198">
        <f>AB33+SUMIF('11.1.Амортиз.нови активи'!$B$12:$B$59,$B33,'11.1.Амортиз.нови активи'!AC$12:AC$59)</f>
        <v>0</v>
      </c>
      <c r="AD33" s="1198">
        <f>AC33+SUMIF('11.1.Амортиз.нови активи'!$B$12:$B$59,$B33,'11.1.Амортиз.нови активи'!AD$12:AD$59)</f>
        <v>0</v>
      </c>
      <c r="AE33" s="1198">
        <f>AD33+SUMIF('11.1.Амортиз.нови активи'!$B$12:$B$59,$B33,'11.1.Амортиз.нови активи'!AE$12:AE$59)</f>
        <v>0</v>
      </c>
      <c r="AF33" s="1203">
        <f>AE33+SUMIF('11.1.Амортиз.нови активи'!$B$12:$B$59,$B33,'11.1.Амортиз.нови активи'!AF$12:AF$59)</f>
        <v>0</v>
      </c>
      <c r="AG33" s="4387">
        <f>+'11.3. ДА Базова година'!X36</f>
        <v>0</v>
      </c>
      <c r="AH33" s="1202">
        <f>AG33+SUMIF('11.1.Амортиз.нови активи'!$B$12:$B$59,$B33,'11.1.Амортиз.нови активи'!AH$12:AH$59)</f>
        <v>0</v>
      </c>
      <c r="AI33" s="1198">
        <f>AH33+SUMIF('11.1.Амортиз.нови активи'!$B$12:$B$59,$B33,'11.1.Амортиз.нови активи'!AI$12:AI$59)</f>
        <v>0</v>
      </c>
      <c r="AJ33" s="1198">
        <f>AI33+SUMIF('11.1.Амортиз.нови активи'!$B$12:$B$59,$B33,'11.1.Амортиз.нови активи'!AJ$12:AJ$59)</f>
        <v>0</v>
      </c>
      <c r="AK33" s="1198">
        <f>AJ33+SUMIF('11.1.Амортиз.нови активи'!$B$12:$B$59,$B33,'11.1.Амортиз.нови активи'!AK$12:AK$59)</f>
        <v>0</v>
      </c>
      <c r="AL33" s="1198">
        <f>AK33+SUMIF('11.1.Амортиз.нови активи'!$B$12:$B$59,$B33,'11.1.Амортиз.нови активи'!AL$12:AL$59)</f>
        <v>0</v>
      </c>
      <c r="AM33" s="1203">
        <f>AL33+SUMIF('11.1.Амортиз.нови активи'!$B$12:$B$59,$B33,'11.1.Амортиз.нови активи'!AM$12:AM$59)</f>
        <v>0</v>
      </c>
      <c r="AN33" s="2513"/>
      <c r="AO33" s="2521"/>
      <c r="AP33" s="4422"/>
      <c r="AQ33" s="4438">
        <f t="shared" si="31"/>
        <v>0</v>
      </c>
      <c r="AR33" s="4438">
        <f t="shared" si="32"/>
        <v>0</v>
      </c>
      <c r="AS33" s="4438">
        <f t="shared" si="33"/>
        <v>0</v>
      </c>
      <c r="AT33" s="4438">
        <f t="shared" si="34"/>
        <v>0</v>
      </c>
      <c r="AU33" s="4438">
        <f t="shared" si="35"/>
        <v>0</v>
      </c>
      <c r="AV33" s="4438">
        <f t="shared" si="36"/>
        <v>0</v>
      </c>
      <c r="AW33" s="4438">
        <f t="shared" si="37"/>
        <v>0</v>
      </c>
      <c r="AX33" s="4438">
        <f t="shared" si="38"/>
        <v>0</v>
      </c>
      <c r="AY33" s="4438">
        <f t="shared" si="39"/>
        <v>0</v>
      </c>
      <c r="AZ33" s="4438">
        <f t="shared" si="40"/>
        <v>0</v>
      </c>
      <c r="BA33" s="4438">
        <f t="shared" si="41"/>
        <v>0</v>
      </c>
      <c r="BB33" s="4438">
        <f t="shared" si="42"/>
        <v>0</v>
      </c>
      <c r="BC33" s="4438">
        <f t="shared" si="43"/>
        <v>0</v>
      </c>
      <c r="BD33" s="4438">
        <f t="shared" si="44"/>
        <v>0</v>
      </c>
      <c r="BE33" s="4438">
        <f t="shared" si="45"/>
        <v>0</v>
      </c>
      <c r="BF33" s="4438">
        <f t="shared" si="46"/>
        <v>0</v>
      </c>
      <c r="BG33" s="4438">
        <f t="shared" si="47"/>
        <v>0</v>
      </c>
      <c r="BH33" s="4438">
        <f t="shared" si="48"/>
        <v>0</v>
      </c>
      <c r="BI33" s="4438">
        <f t="shared" si="49"/>
        <v>0</v>
      </c>
      <c r="BJ33" s="4438">
        <f t="shared" si="50"/>
        <v>0</v>
      </c>
      <c r="BK33" s="4438">
        <f t="shared" si="51"/>
        <v>0</v>
      </c>
      <c r="BL33" s="4438">
        <f t="shared" si="52"/>
        <v>0</v>
      </c>
      <c r="BM33" s="4438">
        <f t="shared" si="53"/>
        <v>0</v>
      </c>
      <c r="BN33" s="4438">
        <f t="shared" si="54"/>
        <v>0</v>
      </c>
      <c r="BO33" s="4438">
        <f t="shared" si="55"/>
        <v>0</v>
      </c>
      <c r="BP33" s="4438">
        <f t="shared" si="56"/>
        <v>0</v>
      </c>
      <c r="BQ33" s="4438">
        <f t="shared" si="57"/>
        <v>0</v>
      </c>
      <c r="BR33" s="4438">
        <f t="shared" si="58"/>
        <v>0</v>
      </c>
      <c r="BS33" s="4438">
        <f t="shared" si="59"/>
        <v>0</v>
      </c>
      <c r="BT33" s="4438">
        <f t="shared" si="60"/>
        <v>0</v>
      </c>
      <c r="BU33" s="4438">
        <f t="shared" si="61"/>
        <v>0</v>
      </c>
      <c r="BV33" s="4438">
        <f t="shared" si="62"/>
        <v>0</v>
      </c>
      <c r="BW33" s="4438">
        <f t="shared" si="63"/>
        <v>0</v>
      </c>
      <c r="BX33" s="4438">
        <f t="shared" si="64"/>
        <v>0</v>
      </c>
      <c r="BY33" s="4438">
        <f t="shared" si="65"/>
        <v>0</v>
      </c>
    </row>
    <row r="34" spans="1:77" ht="13.5" thickBot="1">
      <c r="A34" s="2531">
        <v>16</v>
      </c>
      <c r="B34" s="2536">
        <v>219</v>
      </c>
      <c r="C34" s="2537">
        <v>0.1</v>
      </c>
      <c r="D34" s="2538" t="s">
        <v>216</v>
      </c>
      <c r="E34" s="4388">
        <f>+'11.3. ДА Базова година'!H39</f>
        <v>28</v>
      </c>
      <c r="F34" s="883">
        <f>E34+SUMIF('11.1.Амортиз.нови активи'!$B$12:$B$59,$B34,'11.1.Амортиз.нови активи'!F$12:F$59)+('9.Инвестиционна програма'!H$130*SUMIF('11.1.Амортиз.нови активи'!$B$12:$B$59,$B34,'11.1.Амортиз.нови активи'!AO$12:AO$59))</f>
        <v>28</v>
      </c>
      <c r="G34" s="1198">
        <f>F34+SUMIF('11.1.Амортиз.нови активи'!$B$12:$B$59,$B34,'11.1.Амортиз.нови активи'!G$12:G$59)+('9.Инвестиционна програма'!I$130*SUMIF('11.1.Амортиз.нови активи'!$B$12:$B$59,$B34,'11.1.Амортиз.нови активи'!AP$12:AP$59))</f>
        <v>28</v>
      </c>
      <c r="H34" s="1198">
        <f>G34+SUMIF('11.1.Амортиз.нови активи'!$B$12:$B$59,$B34,'11.1.Амортиз.нови активи'!H$12:H$59)+('9.Инвестиционна програма'!J$130*SUMIF('11.1.Амортиз.нови активи'!$B$12:$B$59,$B34,'11.1.Амортиз.нови активи'!AQ$12:AQ$59))</f>
        <v>28</v>
      </c>
      <c r="I34" s="1198">
        <f>H34+SUMIF('11.1.Амортиз.нови активи'!$B$12:$B$59,$B34,'11.1.Амортиз.нови активи'!I$12:I$59)+('9.Инвестиционна програма'!K$130*SUMIF('11.1.Амортиз.нови активи'!$B$12:$B$59,$B34,'11.1.Амортиз.нови активи'!AR$12:AR$59))</f>
        <v>28</v>
      </c>
      <c r="J34" s="1198">
        <f>I34+SUMIF('11.1.Амортиз.нови активи'!$B$12:$B$59,$B34,'11.1.Амортиз.нови активи'!J$12:J$59)+('9.Инвестиционна програма'!L$130*SUMIF('11.1.Амортиз.нови активи'!$B$12:$B$59,$B34,'11.1.Амортиз.нови активи'!AS$12:AS$59))</f>
        <v>28</v>
      </c>
      <c r="K34" s="1203">
        <f>J34+SUMIF('11.1.Амортиз.нови активи'!$B$12:$B$59,$B34,'11.1.Амортиз.нови активи'!K$12:K$59)+('9.Инвестиционна програма'!M$130*SUMIF('11.1.Амортиз.нови активи'!$B$12:$B$59,$B34,'11.1.Амортиз.нови активи'!AT$12:AT$59))</f>
        <v>28</v>
      </c>
      <c r="L34" s="4388">
        <f>+'11.3. ДА Базова година'!L39</f>
        <v>9</v>
      </c>
      <c r="M34" s="1202">
        <f>L34+SUMIF('11.1.Амортиз.нови активи'!$B$12:$B$59,$B34,'11.1.Амортиз.нови активи'!M$12:M$59)+('9.Инвестиционна програма'!H$131*SUMIF('11.1.Амортиз.нови активи'!$B$12:$B$59,$B34,'11.1.Амортиз.нови активи'!AO$12:AO$59))</f>
        <v>9</v>
      </c>
      <c r="N34" s="1198">
        <f>M34+SUMIF('11.1.Амортиз.нови активи'!$B$12:$B$59,$B34,'11.1.Амортиз.нови активи'!N$12:N$59)+('9.Инвестиционна програма'!I$131*SUMIF('11.1.Амортиз.нови активи'!$B$12:$B$59,$B34,'11.1.Амортиз.нови активи'!AP$12:AP$59))</f>
        <v>9</v>
      </c>
      <c r="O34" s="1198">
        <f>N34+SUMIF('11.1.Амортиз.нови активи'!$B$12:$B$59,$B34,'11.1.Амортиз.нови активи'!O$12:O$59)+('9.Инвестиционна програма'!J$131*SUMIF('11.1.Амортиз.нови активи'!$B$12:$B$59,$B34,'11.1.Амортиз.нови активи'!AQ$12:AQ$59))</f>
        <v>9</v>
      </c>
      <c r="P34" s="1198">
        <f>O34+SUMIF('11.1.Амортиз.нови активи'!$B$12:$B$59,$B34,'11.1.Амортиз.нови активи'!P$12:P$59)+('9.Инвестиционна програма'!K$131*SUMIF('11.1.Амортиз.нови активи'!$B$12:$B$59,$B34,'11.1.Амортиз.нови активи'!AR$12:AR$59))</f>
        <v>9</v>
      </c>
      <c r="Q34" s="1198">
        <f>P34+SUMIF('11.1.Амортиз.нови активи'!$B$12:$B$59,$B34,'11.1.Амортиз.нови активи'!Q$12:Q$59)+('9.Инвестиционна програма'!L$131*SUMIF('11.1.Амортиз.нови активи'!$B$12:$B$59,$B34,'11.1.Амортиз.нови активи'!AS$12:AS$59))</f>
        <v>9</v>
      </c>
      <c r="R34" s="1203">
        <f>Q34+SUMIF('11.1.Амортиз.нови активи'!$B$12:$B$59,$B34,'11.1.Амортиз.нови активи'!R$12:R$59)+('9.Инвестиционна програма'!M$131*SUMIF('11.1.Амортиз.нови активи'!$B$12:$B$59,$B34,'11.1.Амортиз.нови активи'!AT$12:AT$59))</f>
        <v>9</v>
      </c>
      <c r="S34" s="4388">
        <f>+'11.3. ДА Базова година'!P39</f>
        <v>18</v>
      </c>
      <c r="T34" s="1202">
        <f>S34+SUMIF('11.1.Амортиз.нови активи'!$B$12:$B$59,$B34,'11.1.Амортиз.нови активи'!T$12:T$59)+('9.Инвестиционна програма'!H$132*SUMIF('11.1.Амортиз.нови активи'!$B$12:$B$59,$B34,'11.1.Амортиз.нови активи'!AO$12:AO$59))</f>
        <v>18</v>
      </c>
      <c r="U34" s="1198">
        <f>T34+SUMIF('11.1.Амортиз.нови активи'!$B$12:$B$59,$B34,'11.1.Амортиз.нови активи'!U$12:U$59)+('9.Инвестиционна програма'!I$132*SUMIF('11.1.Амортиз.нови активи'!$B$12:$B$59,$B34,'11.1.Амортиз.нови активи'!AP$12:AP$59))</f>
        <v>18</v>
      </c>
      <c r="V34" s="1198">
        <f>U34+SUMIF('11.1.Амортиз.нови активи'!$B$12:$B$59,$B34,'11.1.Амортиз.нови активи'!V$12:V$59)+('9.Инвестиционна програма'!J$132*SUMIF('11.1.Амортиз.нови активи'!$B$12:$B$59,$B34,'11.1.Амортиз.нови активи'!AQ$12:AQ$59))</f>
        <v>18</v>
      </c>
      <c r="W34" s="1198">
        <f>V34+SUMIF('11.1.Амортиз.нови активи'!$B$12:$B$59,$B34,'11.1.Амортиз.нови активи'!W$12:W$59)+('9.Инвестиционна програма'!K$132*SUMIF('11.1.Амортиз.нови активи'!$B$12:$B$59,$B34,'11.1.Амортиз.нови активи'!AR$12:AR$59))</f>
        <v>18</v>
      </c>
      <c r="X34" s="1198">
        <f>W34+SUMIF('11.1.Амортиз.нови активи'!$B$12:$B$59,$B34,'11.1.Амортиз.нови активи'!X$12:X$59)+('9.Инвестиционна програма'!L$132*SUMIF('11.1.Амортиз.нови активи'!$B$12:$B$59,$B34,'11.1.Амортиз.нови активи'!AS$12:AS$59))</f>
        <v>18</v>
      </c>
      <c r="Y34" s="1203">
        <f>X34+SUMIF('11.1.Амортиз.нови активи'!$B$12:$B$59,$B34,'11.1.Амортиз.нови активи'!Y$12:Y$59)+('9.Инвестиционна програма'!M$132*SUMIF('11.1.Амортиз.нови активи'!$B$12:$B$59,$B34,'11.1.Амортиз.нови активи'!AT$12:AT$59))</f>
        <v>18</v>
      </c>
      <c r="Z34" s="4388">
        <f>+'11.3. ДА Базова година'!T39</f>
        <v>0</v>
      </c>
      <c r="AA34" s="1202">
        <f>Z34+SUMIF('11.1.Амортиз.нови активи'!$B$12:$B$59,$B34,'11.1.Амортиз.нови активи'!AA$12:AA$59)</f>
        <v>0</v>
      </c>
      <c r="AB34" s="1198">
        <f>AA34+SUMIF('11.1.Амортиз.нови активи'!$B$12:$B$59,$B34,'11.1.Амортиз.нови активи'!AB$12:AB$59)</f>
        <v>0</v>
      </c>
      <c r="AC34" s="1198">
        <f>AB34+SUMIF('11.1.Амортиз.нови активи'!$B$12:$B$59,$B34,'11.1.Амортиз.нови активи'!AC$12:AC$59)</f>
        <v>0</v>
      </c>
      <c r="AD34" s="1198">
        <f>AC34+SUMIF('11.1.Амортиз.нови активи'!$B$12:$B$59,$B34,'11.1.Амортиз.нови активи'!AD$12:AD$59)</f>
        <v>0</v>
      </c>
      <c r="AE34" s="1198">
        <f>AD34+SUMIF('11.1.Амортиз.нови активи'!$B$12:$B$59,$B34,'11.1.Амортиз.нови активи'!AE$12:AE$59)</f>
        <v>0</v>
      </c>
      <c r="AF34" s="1203">
        <f>AE34+SUMIF('11.1.Амортиз.нови активи'!$B$12:$B$59,$B34,'11.1.Амортиз.нови активи'!AF$12:AF$59)</f>
        <v>0</v>
      </c>
      <c r="AG34" s="4388">
        <f>+'11.3. ДА Базова година'!X39</f>
        <v>0</v>
      </c>
      <c r="AH34" s="1202">
        <f>AG34+SUMIF('11.1.Амортиз.нови активи'!$B$12:$B$59,$B34,'11.1.Амортиз.нови активи'!AH$12:AH$59)</f>
        <v>0</v>
      </c>
      <c r="AI34" s="1198">
        <f>AH34+SUMIF('11.1.Амортиз.нови активи'!$B$12:$B$59,$B34,'11.1.Амортиз.нови активи'!AI$12:AI$59)</f>
        <v>0</v>
      </c>
      <c r="AJ34" s="1198">
        <f>AI34+SUMIF('11.1.Амортиз.нови активи'!$B$12:$B$59,$B34,'11.1.Амортиз.нови активи'!AJ$12:AJ$59)</f>
        <v>0</v>
      </c>
      <c r="AK34" s="1198">
        <f>AJ34+SUMIF('11.1.Амортиз.нови активи'!$B$12:$B$59,$B34,'11.1.Амортиз.нови активи'!AK$12:AK$59)</f>
        <v>0</v>
      </c>
      <c r="AL34" s="1198">
        <f>AK34+SUMIF('11.1.Амортиз.нови активи'!$B$12:$B$59,$B34,'11.1.Амортиз.нови активи'!AL$12:AL$59)</f>
        <v>0</v>
      </c>
      <c r="AM34" s="1203">
        <f>AL34+SUMIF('11.1.Амортиз.нови активи'!$B$12:$B$59,$B34,'11.1.Амортиз.нови активи'!AM$12:AM$59)</f>
        <v>0</v>
      </c>
      <c r="AN34" s="2513"/>
      <c r="AO34" s="2521"/>
      <c r="AP34" s="4422"/>
      <c r="AQ34" s="4438">
        <f t="shared" si="31"/>
        <v>14.316172673494117</v>
      </c>
      <c r="AR34" s="4438">
        <f t="shared" si="32"/>
        <v>14.316172673494117</v>
      </c>
      <c r="AS34" s="4438">
        <f t="shared" si="33"/>
        <v>14.316172673494117</v>
      </c>
      <c r="AT34" s="4438">
        <f t="shared" si="34"/>
        <v>14.316172673494117</v>
      </c>
      <c r="AU34" s="4438">
        <f t="shared" si="35"/>
        <v>14.316172673494117</v>
      </c>
      <c r="AV34" s="4438">
        <f t="shared" si="36"/>
        <v>14.316172673494117</v>
      </c>
      <c r="AW34" s="4438">
        <f t="shared" si="37"/>
        <v>14.316172673494117</v>
      </c>
      <c r="AX34" s="4438">
        <f t="shared" si="38"/>
        <v>4.6016269307659661</v>
      </c>
      <c r="AY34" s="4438">
        <f t="shared" si="39"/>
        <v>4.6016269307659661</v>
      </c>
      <c r="AZ34" s="4438">
        <f t="shared" si="40"/>
        <v>4.6016269307659661</v>
      </c>
      <c r="BA34" s="4438">
        <f t="shared" si="41"/>
        <v>4.6016269307659661</v>
      </c>
      <c r="BB34" s="4438">
        <f t="shared" si="42"/>
        <v>4.6016269307659661</v>
      </c>
      <c r="BC34" s="4438">
        <f t="shared" si="43"/>
        <v>4.6016269307659661</v>
      </c>
      <c r="BD34" s="4438">
        <f t="shared" si="44"/>
        <v>4.6016269307659661</v>
      </c>
      <c r="BE34" s="4438">
        <f t="shared" si="45"/>
        <v>9.2032538615319321</v>
      </c>
      <c r="BF34" s="4438">
        <f t="shared" si="46"/>
        <v>9.2032538615319321</v>
      </c>
      <c r="BG34" s="4438">
        <f t="shared" si="47"/>
        <v>9.2032538615319321</v>
      </c>
      <c r="BH34" s="4438">
        <f t="shared" si="48"/>
        <v>9.2032538615319321</v>
      </c>
      <c r="BI34" s="4438">
        <f t="shared" si="49"/>
        <v>9.2032538615319321</v>
      </c>
      <c r="BJ34" s="4438">
        <f t="shared" si="50"/>
        <v>9.2032538615319321</v>
      </c>
      <c r="BK34" s="4438">
        <f t="shared" si="51"/>
        <v>9.2032538615319321</v>
      </c>
      <c r="BL34" s="4438">
        <f t="shared" si="52"/>
        <v>0</v>
      </c>
      <c r="BM34" s="4438">
        <f t="shared" si="53"/>
        <v>0</v>
      </c>
      <c r="BN34" s="4438">
        <f t="shared" si="54"/>
        <v>0</v>
      </c>
      <c r="BO34" s="4438">
        <f t="shared" si="55"/>
        <v>0</v>
      </c>
      <c r="BP34" s="4438">
        <f t="shared" si="56"/>
        <v>0</v>
      </c>
      <c r="BQ34" s="4438">
        <f t="shared" si="57"/>
        <v>0</v>
      </c>
      <c r="BR34" s="4438">
        <f t="shared" si="58"/>
        <v>0</v>
      </c>
      <c r="BS34" s="4438">
        <f t="shared" si="59"/>
        <v>0</v>
      </c>
      <c r="BT34" s="4438">
        <f t="shared" si="60"/>
        <v>0</v>
      </c>
      <c r="BU34" s="4438">
        <f t="shared" si="61"/>
        <v>0</v>
      </c>
      <c r="BV34" s="4438">
        <f t="shared" si="62"/>
        <v>0</v>
      </c>
      <c r="BW34" s="4438">
        <f t="shared" si="63"/>
        <v>0</v>
      </c>
      <c r="BX34" s="4438">
        <f t="shared" si="64"/>
        <v>0</v>
      </c>
      <c r="BY34" s="4438">
        <f t="shared" si="65"/>
        <v>0</v>
      </c>
    </row>
    <row r="35" spans="1:77" ht="13.5" thickBot="1">
      <c r="A35" s="3685" t="s">
        <v>206</v>
      </c>
      <c r="B35" s="2539"/>
      <c r="C35" s="2539"/>
      <c r="D35" s="2502" t="s">
        <v>218</v>
      </c>
      <c r="E35" s="2507">
        <f t="shared" ref="E35" si="74">SUM(E36:E59)-E38-E44</f>
        <v>341</v>
      </c>
      <c r="F35" s="2504">
        <f t="shared" ref="F35:Z35" si="75">SUM(F36:F59)-F38-F44</f>
        <v>393.45175781249986</v>
      </c>
      <c r="G35" s="2505">
        <f t="shared" si="75"/>
        <v>445.55350990362297</v>
      </c>
      <c r="H35" s="2505">
        <f t="shared" si="75"/>
        <v>500.76902917739545</v>
      </c>
      <c r="I35" s="2505">
        <f t="shared" si="75"/>
        <v>537.17051184677211</v>
      </c>
      <c r="J35" s="2505">
        <f t="shared" si="75"/>
        <v>567.11976345772121</v>
      </c>
      <c r="K35" s="2506">
        <f t="shared" si="75"/>
        <v>586.12238888054344</v>
      </c>
      <c r="L35" s="2507">
        <f t="shared" si="75"/>
        <v>32</v>
      </c>
      <c r="M35" s="2504">
        <f t="shared" si="75"/>
        <v>45.011328125000013</v>
      </c>
      <c r="N35" s="2505">
        <f t="shared" si="75"/>
        <v>56.708742648501243</v>
      </c>
      <c r="O35" s="2505">
        <f t="shared" si="75"/>
        <v>56.906983477187197</v>
      </c>
      <c r="P35" s="2505">
        <f t="shared" si="75"/>
        <v>-12.295318230304865</v>
      </c>
      <c r="Q35" s="2505">
        <f t="shared" si="75"/>
        <v>-12.841088004749871</v>
      </c>
      <c r="R35" s="2506">
        <f t="shared" si="75"/>
        <v>-13.097535492124287</v>
      </c>
      <c r="S35" s="2507">
        <f t="shared" si="75"/>
        <v>54</v>
      </c>
      <c r="T35" s="2504">
        <f t="shared" si="75"/>
        <v>57.336914062500007</v>
      </c>
      <c r="U35" s="2505">
        <f t="shared" si="75"/>
        <v>59.827747447875652</v>
      </c>
      <c r="V35" s="2505">
        <f t="shared" si="75"/>
        <v>61.403987345417235</v>
      </c>
      <c r="W35" s="2505">
        <f t="shared" si="75"/>
        <v>62.344806383532394</v>
      </c>
      <c r="X35" s="2505">
        <f t="shared" si="75"/>
        <v>62.741324547028569</v>
      </c>
      <c r="Y35" s="2506">
        <f t="shared" si="75"/>
        <v>62.835146611581031</v>
      </c>
      <c r="Z35" s="2507">
        <f t="shared" si="75"/>
        <v>0</v>
      </c>
      <c r="AA35" s="2504">
        <f t="shared" ref="AA35:AM35" si="76">SUM(AA36:AA59)-AA38-AA44</f>
        <v>0</v>
      </c>
      <c r="AB35" s="2505">
        <f t="shared" si="76"/>
        <v>0</v>
      </c>
      <c r="AC35" s="2505">
        <f t="shared" si="76"/>
        <v>0</v>
      </c>
      <c r="AD35" s="2505">
        <f t="shared" si="76"/>
        <v>0</v>
      </c>
      <c r="AE35" s="2505">
        <f t="shared" si="76"/>
        <v>0</v>
      </c>
      <c r="AF35" s="2506">
        <f t="shared" si="76"/>
        <v>0</v>
      </c>
      <c r="AG35" s="2507">
        <f t="shared" si="76"/>
        <v>0</v>
      </c>
      <c r="AH35" s="2504">
        <f t="shared" si="76"/>
        <v>0</v>
      </c>
      <c r="AI35" s="2505">
        <f t="shared" si="76"/>
        <v>0</v>
      </c>
      <c r="AJ35" s="2505">
        <f t="shared" si="76"/>
        <v>0</v>
      </c>
      <c r="AK35" s="2505">
        <f t="shared" si="76"/>
        <v>0</v>
      </c>
      <c r="AL35" s="2505">
        <f t="shared" si="76"/>
        <v>0</v>
      </c>
      <c r="AM35" s="2506">
        <f t="shared" si="76"/>
        <v>0</v>
      </c>
      <c r="AN35" s="2508"/>
      <c r="AO35" s="2540">
        <f>(SUM(F$35:Y$35)-L$35-S$35)+(SUM(F$131:Y$131)-L$131-S$131)+(SUM(F$214:Y$214)-L$214-S$214)-((K$60-E$60)+(R$60-L$60)+(Y$60-S$60)+(K$151-E$151)+(R$151-L$151)+(Y$151-S$151)+(K$236-E$236)+(R$236-L$236)+(Y$236-S$236))</f>
        <v>0</v>
      </c>
      <c r="AP35" s="4422"/>
      <c r="AQ35" s="4438">
        <f t="shared" si="31"/>
        <v>174.3505314879105</v>
      </c>
      <c r="AR35" s="4438">
        <f t="shared" si="32"/>
        <v>201.16868941191203</v>
      </c>
      <c r="AS35" s="4438">
        <f t="shared" si="33"/>
        <v>227.80789225220136</v>
      </c>
      <c r="AT35" s="4438">
        <f t="shared" si="34"/>
        <v>256.03913897291454</v>
      </c>
      <c r="AU35" s="4438">
        <f t="shared" si="35"/>
        <v>274.65092152527171</v>
      </c>
      <c r="AV35" s="4438">
        <f t="shared" si="36"/>
        <v>289.9637307218527</v>
      </c>
      <c r="AW35" s="4438">
        <f t="shared" si="37"/>
        <v>299.67961882195459</v>
      </c>
      <c r="AX35" s="4438">
        <f t="shared" si="38"/>
        <v>16.361340198278992</v>
      </c>
      <c r="AY35" s="4438">
        <f t="shared" si="39"/>
        <v>23.013926632171515</v>
      </c>
      <c r="AZ35" s="4438">
        <f t="shared" si="40"/>
        <v>28.994719709024427</v>
      </c>
      <c r="BA35" s="4438">
        <f t="shared" si="41"/>
        <v>29.096078635253164</v>
      </c>
      <c r="BB35" s="4438">
        <f t="shared" si="42"/>
        <v>-6.2864963878787341</v>
      </c>
      <c r="BC35" s="4438">
        <f t="shared" si="43"/>
        <v>-6.5655440425547571</v>
      </c>
      <c r="BD35" s="4438">
        <f t="shared" si="44"/>
        <v>-6.6966635608024658</v>
      </c>
      <c r="BE35" s="4438">
        <f t="shared" si="45"/>
        <v>27.609761584595798</v>
      </c>
      <c r="BF35" s="4438">
        <f t="shared" si="46"/>
        <v>29.315898653001543</v>
      </c>
      <c r="BG35" s="4438">
        <f t="shared" si="47"/>
        <v>30.589441540356603</v>
      </c>
      <c r="BH35" s="4438">
        <f t="shared" si="48"/>
        <v>31.395360202787174</v>
      </c>
      <c r="BI35" s="4438">
        <f t="shared" si="49"/>
        <v>31.876393338650288</v>
      </c>
      <c r="BJ35" s="4438">
        <f t="shared" si="50"/>
        <v>32.079129856392719</v>
      </c>
      <c r="BK35" s="4438">
        <f t="shared" si="51"/>
        <v>32.12710031627546</v>
      </c>
      <c r="BL35" s="4438">
        <f t="shared" si="52"/>
        <v>0</v>
      </c>
      <c r="BM35" s="4438">
        <f t="shared" si="53"/>
        <v>0</v>
      </c>
      <c r="BN35" s="4438">
        <f t="shared" si="54"/>
        <v>0</v>
      </c>
      <c r="BO35" s="4438">
        <f t="shared" si="55"/>
        <v>0</v>
      </c>
      <c r="BP35" s="4438">
        <f t="shared" si="56"/>
        <v>0</v>
      </c>
      <c r="BQ35" s="4438">
        <f t="shared" si="57"/>
        <v>0</v>
      </c>
      <c r="BR35" s="4438">
        <f t="shared" si="58"/>
        <v>0</v>
      </c>
      <c r="BS35" s="4438">
        <f t="shared" si="59"/>
        <v>0</v>
      </c>
      <c r="BT35" s="4438">
        <f t="shared" si="60"/>
        <v>0</v>
      </c>
      <c r="BU35" s="4438">
        <f t="shared" si="61"/>
        <v>0</v>
      </c>
      <c r="BV35" s="4438">
        <f t="shared" si="62"/>
        <v>0</v>
      </c>
      <c r="BW35" s="4438">
        <f t="shared" si="63"/>
        <v>0</v>
      </c>
      <c r="BX35" s="4438">
        <f t="shared" si="64"/>
        <v>0</v>
      </c>
      <c r="BY35" s="4438">
        <f t="shared" si="65"/>
        <v>0</v>
      </c>
    </row>
    <row r="36" spans="1:77">
      <c r="A36" s="2509">
        <v>1</v>
      </c>
      <c r="B36" s="2541">
        <v>20101</v>
      </c>
      <c r="C36" s="2511">
        <v>0</v>
      </c>
      <c r="D36" s="2542" t="s">
        <v>556</v>
      </c>
      <c r="E36" s="4387">
        <f>+'11.3. ДА Базова година'!F41</f>
        <v>0</v>
      </c>
      <c r="F36" s="2614">
        <f>$E36-SUMIF('11.2. ДА за периода'!$B$61:$B$108,$B36,'11.2. ДА за периода'!$E$61:$E$108)+SUMIF('11.2. ДА за периода'!$B$61:$B$108,$B36,'11.2. ДА за периода'!F$61:F$108)+SUMIF('11.1.Амортиз.нови активи'!$B$61:$B$108,$B36,'11.1.Амортиз.нови активи'!F$61:F$108)+('11.1.Амортиз.нови активи'!F$110*SUMIF('11.1.Амортиз.нови активи'!$B$61:$B$108,$B36,'11.1.Амортиз.нови активи'!AO$61:AO$108))</f>
        <v>0</v>
      </c>
      <c r="G36" s="1119">
        <f>$E36-SUMIF('11.2. ДА за периода'!$B$61:$B$108,$B36,'11.2. ДА за периода'!$E$61:$E$108)+SUMIF('11.2. ДА за периода'!$B$61:$B$108,$B36,'11.2. ДА за периода'!G$61:G$108)+SUMIF('11.1.Амортиз.нови активи'!$B$61:$B$108,$B36,'11.1.Амортиз.нови активи'!G$61:G$108)+('11.1.Амортиз.нови активи'!G$110*SUMIF('11.1.Амортиз.нови активи'!$B$61:$B$108,$B36,'11.1.Амортиз.нови активи'!AP$61:AP$108))</f>
        <v>0</v>
      </c>
      <c r="H36" s="1119">
        <f>$E36-SUMIF('11.2. ДА за периода'!$B$61:$B$108,$B36,'11.2. ДА за периода'!$E$61:$E$108)+SUMIF('11.2. ДА за периода'!$B$61:$B$108,$B36,'11.2. ДА за периода'!H$61:H$108)+SUMIF('11.1.Амортиз.нови активи'!$B$61:$B$108,$B36,'11.1.Амортиз.нови активи'!H$61:H$108)+('11.1.Амортиз.нови активи'!H$110*SUMIF('11.1.Амортиз.нови активи'!$B$61:$B$108,$B36,'11.1.Амортиз.нови активи'!AQ$61:AQ$108))</f>
        <v>0</v>
      </c>
      <c r="I36" s="1119">
        <f>$E36-SUMIF('11.2. ДА за периода'!$B$61:$B$108,$B36,'11.2. ДА за периода'!$E$61:$E$108)+SUMIF('11.2. ДА за периода'!$B$61:$B$108,$B36,'11.2. ДА за периода'!I$61:I$108)+SUMIF('11.1.Амортиз.нови активи'!$B$61:$B$108,$B36,'11.1.Амортиз.нови активи'!I$61:I$108)+('11.1.Амортиз.нови активи'!I$110*SUMIF('11.1.Амортиз.нови активи'!$B$61:$B$108,$B36,'11.1.Амортиз.нови активи'!AR$61:AR$108))</f>
        <v>0</v>
      </c>
      <c r="J36" s="1119">
        <f>$E36-SUMIF('11.2. ДА за периода'!$B$61:$B$108,$B36,'11.2. ДА за периода'!$E$61:$E$108)+SUMIF('11.2. ДА за периода'!$B$61:$B$108,$B36,'11.2. ДА за периода'!J$61:J$108)+SUMIF('11.1.Амортиз.нови активи'!$B$61:$B$108,$B36,'11.1.Амортиз.нови активи'!J$61:J$108)+('11.1.Амортиз.нови активи'!J$110*SUMIF('11.1.Амортиз.нови активи'!$B$61:$B$108,$B36,'11.1.Амортиз.нови активи'!AS$61:AS$108))</f>
        <v>0</v>
      </c>
      <c r="K36" s="2615">
        <f>$E36-SUMIF('11.2. ДА за периода'!$B$61:$B$108,$B36,'11.2. ДА за периода'!$E$61:$E$108)+SUMIF('11.2. ДА за периода'!$B$61:$B$108,$B36,'11.2. ДА за периода'!K$61:K$108)+SUMIF('11.1.Амортиз.нови активи'!$B$61:$B$108,$B36,'11.1.Амортиз.нови активи'!K$61:K$108)+('11.1.Амортиз.нови активи'!K$110*SUMIF('11.1.Амортиз.нови активи'!$B$61:$B$108,$B36,'11.1.Амортиз.нови активи'!AT$61:AT$108))</f>
        <v>0</v>
      </c>
      <c r="L36" s="4387">
        <f>+'11.3. ДА Базова година'!J41</f>
        <v>0</v>
      </c>
      <c r="M36" s="2614">
        <f>$L36-SUMIF('11.2. ДА за периода'!$B$61:$B$108,$B36,'11.2. ДА за периода'!$L$61:$L$108)+SUMIF('11.2. ДА за периода'!$B$61:$B$108,$B36,'11.2. ДА за периода'!M$61:M$108)+SUMIF('11.1.Амортиз.нови активи'!$B$61:$B$108,$B36,'11.1.Амортиз.нови активи'!M$61:M$108)+('11.1.Амортиз.нови активи'!F$111*SUMIF('11.1.Амортиз.нови активи'!$B$61:$B$108,$B36,'11.1.Амортиз.нови активи'!AO$61:AO$108))</f>
        <v>0</v>
      </c>
      <c r="N36" s="1119">
        <f>$L36-SUMIF('11.2. ДА за периода'!$B$61:$B$108,$B36,'11.2. ДА за периода'!$L$61:$L$108)+SUMIF('11.2. ДА за периода'!$B$61:$B$108,$B36,'11.2. ДА за периода'!N$61:N$108)+SUMIF('11.1.Амортиз.нови активи'!$B$61:$B$108,$B36,'11.1.Амортиз.нови активи'!N$61:N$108)+('11.1.Амортиз.нови активи'!G$111*SUMIF('11.1.Амортиз.нови активи'!$B$61:$B$108,$B36,'11.1.Амортиз.нови активи'!AP$61:AP$108))</f>
        <v>0</v>
      </c>
      <c r="O36" s="1119">
        <f>$L36-SUMIF('11.2. ДА за периода'!$B$61:$B$108,$B36,'11.2. ДА за периода'!$L$61:$L$108)+SUMIF('11.2. ДА за периода'!$B$61:$B$108,$B36,'11.2. ДА за периода'!O$61:O$108)+SUMIF('11.1.Амортиз.нови активи'!$B$61:$B$108,$B36,'11.1.Амортиз.нови активи'!O$61:O$108)+('11.1.Амортиз.нови активи'!H$111*SUMIF('11.1.Амортиз.нови активи'!$B$61:$B$108,$B36,'11.1.Амортиз.нови активи'!AQ$61:AQ$108))</f>
        <v>0</v>
      </c>
      <c r="P36" s="1119">
        <f>$L36-SUMIF('11.2. ДА за периода'!$B$61:$B$108,$B36,'11.2. ДА за периода'!$L$61:$L$108)+SUMIF('11.2. ДА за периода'!$B$61:$B$108,$B36,'11.2. ДА за периода'!P$61:P$108)+SUMIF('11.1.Амортиз.нови активи'!$B$61:$B$108,$B36,'11.1.Амортиз.нови активи'!P$61:P$108)+('11.1.Амортиз.нови активи'!I$111*SUMIF('11.1.Амортиз.нови активи'!$B$61:$B$108,$B36,'11.1.Амортиз.нови активи'!AR$61:AR$108))</f>
        <v>0</v>
      </c>
      <c r="Q36" s="1119">
        <f>$L36-SUMIF('11.2. ДА за периода'!$B$61:$B$108,$B36,'11.2. ДА за периода'!$L$61:$L$108)+SUMIF('11.2. ДА за периода'!$B$61:$B$108,$B36,'11.2. ДА за периода'!Q$61:Q$108)+SUMIF('11.1.Амортиз.нови активи'!$B$61:$B$108,$B36,'11.1.Амортиз.нови активи'!Q$61:Q$108)+('11.1.Амортиз.нови активи'!J$111*SUMIF('11.1.Амортиз.нови активи'!$B$61:$B$108,$B36,'11.1.Амортиз.нови активи'!AS$61:AS$108))</f>
        <v>0</v>
      </c>
      <c r="R36" s="2615">
        <f>$L36-SUMIF('11.2. ДА за периода'!$B$61:$B$108,$B36,'11.2. ДА за периода'!$L$61:$L$108)+SUMIF('11.2. ДА за периода'!$B$61:$B$108,$B36,'11.2. ДА за периода'!R$61:R$108)+SUMIF('11.1.Амортиз.нови активи'!$B$61:$B$108,$B36,'11.1.Амортиз.нови активи'!R$61:R$108)+('11.1.Амортиз.нови активи'!K$111*SUMIF('11.1.Амортиз.нови активи'!$B$61:$B$108,$B36,'11.1.Амортиз.нови активи'!AT$61:AT$108))</f>
        <v>0</v>
      </c>
      <c r="S36" s="4387">
        <f>+'11.3. ДА Базова година'!N41</f>
        <v>0</v>
      </c>
      <c r="T36" s="2614">
        <f>$S36-SUMIF('11.2. ДА за периода'!$B$61:$B$108,$B36,'11.2. ДА за периода'!$S$61:$S$108)+SUMIF('11.2. ДА за периода'!$B$61:$B$108,$B36,'11.2. ДА за периода'!T$61:T$108)+SUMIF('11.1.Амортиз.нови активи'!$B$61:$B$108,$B36,'11.1.Амортиз.нови активи'!T$61:T$108)+('11.1.Амортиз.нови активи'!F$112*SUMIF('11.1.Амортиз.нови активи'!$B$61:$B$108,$B36,'11.1.Амортиз.нови активи'!AO$61:AO$108))</f>
        <v>0</v>
      </c>
      <c r="U36" s="1119">
        <f>$S36-SUMIF('11.2. ДА за периода'!$B$61:$B$108,$B36,'11.2. ДА за периода'!$S$61:$S$108)+SUMIF('11.2. ДА за периода'!$B$61:$B$108,$B36,'11.2. ДА за периода'!U$61:U$108)+SUMIF('11.1.Амортиз.нови активи'!$B$61:$B$108,$B36,'11.1.Амортиз.нови активи'!U$61:U$108)+('11.1.Амортиз.нови активи'!G$112*SUMIF('11.1.Амортиз.нови активи'!$B$61:$B$108,$B36,'11.1.Амортиз.нови активи'!AP$61:AP$108))</f>
        <v>0</v>
      </c>
      <c r="V36" s="1119">
        <f>$S36-SUMIF('11.2. ДА за периода'!$B$61:$B$108,$B36,'11.2. ДА за периода'!$S$61:$S$108)+SUMIF('11.2. ДА за периода'!$B$61:$B$108,$B36,'11.2. ДА за периода'!V$61:V$108)+SUMIF('11.1.Амортиз.нови активи'!$B$61:$B$108,$B36,'11.1.Амортиз.нови активи'!V$61:V$108)+('11.1.Амортиз.нови активи'!H$112*SUMIF('11.1.Амортиз.нови активи'!$B$61:$B$108,$B36,'11.1.Амортиз.нови активи'!AQ$61:AQ$108))</f>
        <v>0</v>
      </c>
      <c r="W36" s="1119">
        <f>$S36-SUMIF('11.2. ДА за периода'!$B$61:$B$108,$B36,'11.2. ДА за периода'!$S$61:$S$108)+SUMIF('11.2. ДА за периода'!$B$61:$B$108,$B36,'11.2. ДА за периода'!W$61:W$108)+SUMIF('11.1.Амортиз.нови активи'!$B$61:$B$108,$B36,'11.1.Амортиз.нови активи'!W$61:W$108)+('11.1.Амортиз.нови активи'!I$112*SUMIF('11.1.Амортиз.нови активи'!$B$61:$B$108,$B36,'11.1.Амортиз.нови активи'!AR$61:AR$108))</f>
        <v>0</v>
      </c>
      <c r="X36" s="1119">
        <f>$S36-SUMIF('11.2. ДА за периода'!$B$61:$B$108,$B36,'11.2. ДА за периода'!$S$61:$S$108)+SUMIF('11.2. ДА за периода'!$B$61:$B$108,$B36,'11.2. ДА за периода'!X$61:X$108)+SUMIF('11.1.Амортиз.нови активи'!$B$61:$B$108,$B36,'11.1.Амортиз.нови активи'!X$61:X$108)+('11.1.Амортиз.нови активи'!J$112*SUMIF('11.1.Амортиз.нови активи'!$B$61:$B$108,$B36,'11.1.Амортиз.нови активи'!AS$61:AS$108))</f>
        <v>0</v>
      </c>
      <c r="Y36" s="2615">
        <f>$S36-SUMIF('11.2. ДА за периода'!$B$61:$B$108,$B36,'11.2. ДА за периода'!$S$61:$S$108)+SUMIF('11.2. ДА за периода'!$B$61:$B$108,$B36,'11.2. ДА за периода'!Y$61:Y$108)+SUMIF('11.1.Амортиз.нови активи'!$B$61:$B$108,$B36,'11.1.Амортиз.нови активи'!Y$61:Y$108)+('11.1.Амортиз.нови активи'!K$112*SUMIF('11.1.Амортиз.нови активи'!$B$61:$B$108,$B36,'11.1.Амортиз.нови активи'!AT$61:AT$108))</f>
        <v>0</v>
      </c>
      <c r="Z36" s="4387">
        <f>+'11.3. ДА Базова година'!R41</f>
        <v>0</v>
      </c>
      <c r="AA36" s="2614">
        <f>$Z36-SUMIF('11.2. ДА за периода'!$B$61:$B$108,$B36,'11.2. ДА за периода'!$Z$61:$Z$108)+SUMIF('11.2. ДА за периода'!$B$61:$B$108,$B36,'11.2. ДА за периода'!AA$61:AA$108)+SUMIF('11.1.Амортиз.нови активи'!$B$61:$B$108,$B36,'11.1.Амортиз.нови активи'!AA$61:AA$108)</f>
        <v>0</v>
      </c>
      <c r="AB36" s="1119">
        <f>$Z36-SUMIF('11.2. ДА за периода'!$B$61:$B$108,$B36,'11.2. ДА за периода'!$Z$61:$Z$108)+SUMIF('11.2. ДА за периода'!$B$61:$B$108,$B36,'11.2. ДА за периода'!AB$61:AB$108)+SUMIF('11.1.Амортиз.нови активи'!$B$61:$B$108,$B36,'11.1.Амортиз.нови активи'!AB$61:AB$108)</f>
        <v>0</v>
      </c>
      <c r="AC36" s="1119">
        <f>$Z36-SUMIF('11.2. ДА за периода'!$B$61:$B$108,$B36,'11.2. ДА за периода'!$Z$61:$Z$108)+SUMIF('11.2. ДА за периода'!$B$61:$B$108,$B36,'11.2. ДА за периода'!AC$61:AC$108)+SUMIF('11.1.Амортиз.нови активи'!$B$61:$B$108,$B36,'11.1.Амортиз.нови активи'!AC$61:AC$108)</f>
        <v>0</v>
      </c>
      <c r="AD36" s="1119">
        <f>$Z36-SUMIF('11.2. ДА за периода'!$B$61:$B$108,$B36,'11.2. ДА за периода'!$Z$61:$Z$108)+SUMIF('11.2. ДА за периода'!$B$61:$B$108,$B36,'11.2. ДА за периода'!AD$61:AD$108)+SUMIF('11.1.Амортиз.нови активи'!$B$61:$B$108,$B36,'11.1.Амортиз.нови активи'!AD$61:AD$108)</f>
        <v>0</v>
      </c>
      <c r="AE36" s="1119">
        <f>$Z36-SUMIF('11.2. ДА за периода'!$B$61:$B$108,$B36,'11.2. ДА за периода'!$Z$61:$Z$108)+SUMIF('11.2. ДА за периода'!$B$61:$B$108,$B36,'11.2. ДА за периода'!AE$61:AE$108)+SUMIF('11.1.Амортиз.нови активи'!$B$61:$B$108,$B36,'11.1.Амортиз.нови активи'!AE$61:AE$108)</f>
        <v>0</v>
      </c>
      <c r="AF36" s="2615">
        <f>$Z36-SUMIF('11.2. ДА за периода'!$B$61:$B$108,$B36,'11.2. ДА за периода'!$Z$61:$Z$108)+SUMIF('11.2. ДА за периода'!$B$61:$B$108,$B36,'11.2. ДА за периода'!AF$61:AF$108)+SUMIF('11.1.Амортиз.нови активи'!$B$61:$B$108,$B36,'11.1.Амортиз.нови активи'!AF$61:AF$108)</f>
        <v>0</v>
      </c>
      <c r="AG36" s="4387">
        <f>+'11.3. ДА Базова година'!V41</f>
        <v>0</v>
      </c>
      <c r="AH36" s="2614">
        <f>$AG36-SUMIF('11.2. ДА за периода'!$B$61:$B$108,$B36,'11.2. ДА за периода'!$AG$61:$AG$108)+SUMIF('11.2. ДА за периода'!$B$61:$B$108,$B36,'11.2. ДА за периода'!AH$61:AH$108)+SUMIF('11.1.Амортиз.нови активи'!$B$61:$B$108,$B36,'11.1.Амортиз.нови активи'!AH$61:AH$108)+('11.1.Амортиз.нови активи'!T$112*SUMIF('11.1.Амортиз.нови активи'!$B$61:$B$108,$B36,'11.1.Амортиз.нови активи'!BB$61:BB$108))</f>
        <v>0</v>
      </c>
      <c r="AI36" s="1119">
        <f>$AG36-SUMIF('11.2. ДА за периода'!$B$61:$B$108,$B36,'11.2. ДА за периода'!$AG$61:$AG$108)+SUMIF('11.2. ДА за периода'!$B$61:$B$108,$B36,'11.2. ДА за периода'!AI$61:AI$108)+SUMIF('11.1.Амортиз.нови активи'!$B$61:$B$108,$B36,'11.1.Амортиз.нови активи'!AI$61:AI$108)+('11.1.Амортиз.нови активи'!U$112*SUMIF('11.1.Амортиз.нови активи'!$B$61:$B$108,$B36,'11.1.Амортиз.нови активи'!BC$61:BC$108))</f>
        <v>0</v>
      </c>
      <c r="AJ36" s="1119">
        <f>$AG36-SUMIF('11.2. ДА за периода'!$B$61:$B$108,$B36,'11.2. ДА за периода'!$AG$61:$AG$108)+SUMIF('11.2. ДА за периода'!$B$61:$B$108,$B36,'11.2. ДА за периода'!AJ$61:AJ$108)+SUMIF('11.1.Амортиз.нови активи'!$B$61:$B$108,$B36,'11.1.Амортиз.нови активи'!AJ$61:AJ$108)+('11.1.Амортиз.нови активи'!V$112*SUMIF('11.1.Амортиз.нови активи'!$B$61:$B$108,$B36,'11.1.Амортиз.нови активи'!BD$61:BD$108))</f>
        <v>0</v>
      </c>
      <c r="AK36" s="1119">
        <f>$AG36-SUMIF('11.2. ДА за периода'!$B$61:$B$108,$B36,'11.2. ДА за периода'!$AG$61:$AG$108)+SUMIF('11.2. ДА за периода'!$B$61:$B$108,$B36,'11.2. ДА за периода'!AK$61:AK$108)+SUMIF('11.1.Амортиз.нови активи'!$B$61:$B$108,$B36,'11.1.Амортиз.нови активи'!AK$61:AK$108)+('11.1.Амортиз.нови активи'!W$112*SUMIF('11.1.Амортиз.нови активи'!$B$61:$B$108,$B36,'11.1.Амортиз.нови активи'!BE$61:BE$108))</f>
        <v>0</v>
      </c>
      <c r="AL36" s="1119">
        <f>$AG36-SUMIF('11.2. ДА за периода'!$B$61:$B$108,$B36,'11.2. ДА за периода'!$AG$61:$AG$108)+SUMIF('11.2. ДА за периода'!$B$61:$B$108,$B36,'11.2. ДА за периода'!AL$61:AL$108)+SUMIF('11.1.Амортиз.нови активи'!$B$61:$B$108,$B36,'11.1.Амортиз.нови активи'!AL$61:AL$108)+('11.1.Амортиз.нови активи'!X$112*SUMIF('11.1.Амортиз.нови активи'!$B$61:$B$108,$B36,'11.1.Амортиз.нови активи'!BF$61:BF$108))</f>
        <v>0</v>
      </c>
      <c r="AM36" s="2615">
        <f>$AG36-SUMIF('11.2. ДА за периода'!$B$61:$B$108,$B36,'11.2. ДА за периода'!$AG$61:$AG$108)+SUMIF('11.2. ДА за периода'!$B$61:$B$108,$B36,'11.2. ДА за периода'!AM$61:AM$108)+SUMIF('11.1.Амортиз.нови активи'!$B$61:$B$108,$B36,'11.1.Амортиз.нови активи'!AM$61:AM$108)+('11.1.Амортиз.нови активи'!Y$112*SUMIF('11.1.Амортиз.нови активи'!$B$61:$B$108,$B36,'11.1.Амортиз.нови активи'!BG$61:BG$108))</f>
        <v>0</v>
      </c>
      <c r="AN36" s="2543"/>
      <c r="AO36" s="2544"/>
      <c r="AP36" s="4422"/>
      <c r="AQ36" s="4438">
        <f t="shared" si="31"/>
        <v>0</v>
      </c>
      <c r="AR36" s="4438">
        <f t="shared" si="32"/>
        <v>0</v>
      </c>
      <c r="AS36" s="4438">
        <f t="shared" si="33"/>
        <v>0</v>
      </c>
      <c r="AT36" s="4438">
        <f t="shared" si="34"/>
        <v>0</v>
      </c>
      <c r="AU36" s="4438">
        <f t="shared" si="35"/>
        <v>0</v>
      </c>
      <c r="AV36" s="4438">
        <f t="shared" si="36"/>
        <v>0</v>
      </c>
      <c r="AW36" s="4438">
        <f t="shared" si="37"/>
        <v>0</v>
      </c>
      <c r="AX36" s="4438">
        <f t="shared" si="38"/>
        <v>0</v>
      </c>
      <c r="AY36" s="4438">
        <f t="shared" si="39"/>
        <v>0</v>
      </c>
      <c r="AZ36" s="4438">
        <f t="shared" si="40"/>
        <v>0</v>
      </c>
      <c r="BA36" s="4438">
        <f t="shared" si="41"/>
        <v>0</v>
      </c>
      <c r="BB36" s="4438">
        <f t="shared" si="42"/>
        <v>0</v>
      </c>
      <c r="BC36" s="4438">
        <f t="shared" si="43"/>
        <v>0</v>
      </c>
      <c r="BD36" s="4438">
        <f t="shared" si="44"/>
        <v>0</v>
      </c>
      <c r="BE36" s="4438">
        <f t="shared" si="45"/>
        <v>0</v>
      </c>
      <c r="BF36" s="4438">
        <f t="shared" si="46"/>
        <v>0</v>
      </c>
      <c r="BG36" s="4438">
        <f t="shared" si="47"/>
        <v>0</v>
      </c>
      <c r="BH36" s="4438">
        <f t="shared" si="48"/>
        <v>0</v>
      </c>
      <c r="BI36" s="4438">
        <f t="shared" si="49"/>
        <v>0</v>
      </c>
      <c r="BJ36" s="4438">
        <f t="shared" si="50"/>
        <v>0</v>
      </c>
      <c r="BK36" s="4438">
        <f t="shared" si="51"/>
        <v>0</v>
      </c>
      <c r="BL36" s="4438">
        <f t="shared" si="52"/>
        <v>0</v>
      </c>
      <c r="BM36" s="4438">
        <f t="shared" si="53"/>
        <v>0</v>
      </c>
      <c r="BN36" s="4438">
        <f t="shared" si="54"/>
        <v>0</v>
      </c>
      <c r="BO36" s="4438">
        <f t="shared" si="55"/>
        <v>0</v>
      </c>
      <c r="BP36" s="4438">
        <f t="shared" si="56"/>
        <v>0</v>
      </c>
      <c r="BQ36" s="4438">
        <f t="shared" si="57"/>
        <v>0</v>
      </c>
      <c r="BR36" s="4438">
        <f t="shared" si="58"/>
        <v>0</v>
      </c>
      <c r="BS36" s="4438">
        <f t="shared" si="59"/>
        <v>0</v>
      </c>
      <c r="BT36" s="4438">
        <f t="shared" si="60"/>
        <v>0</v>
      </c>
      <c r="BU36" s="4438">
        <f t="shared" si="61"/>
        <v>0</v>
      </c>
      <c r="BV36" s="4438">
        <f t="shared" si="62"/>
        <v>0</v>
      </c>
      <c r="BW36" s="4438">
        <f t="shared" si="63"/>
        <v>0</v>
      </c>
      <c r="BX36" s="4438">
        <f t="shared" si="64"/>
        <v>0</v>
      </c>
      <c r="BY36" s="4438">
        <f t="shared" si="65"/>
        <v>0</v>
      </c>
    </row>
    <row r="37" spans="1:77">
      <c r="A37" s="2515">
        <v>2</v>
      </c>
      <c r="B37" s="2545">
        <v>20201</v>
      </c>
      <c r="C37" s="2517">
        <v>0.03</v>
      </c>
      <c r="D37" s="2546" t="s">
        <v>425</v>
      </c>
      <c r="E37" s="2641">
        <f>+'11.3. ДА Базова година'!F42</f>
        <v>12</v>
      </c>
      <c r="F37" s="2617">
        <f>$E37-SUMIF('11.2. ДА за периода'!$B$61:$B$108,$B37,'11.2. ДА за периода'!$E$61:$E$108)+SUMIF('11.2. ДА за периода'!$B$61:$B$108,$B37,'11.2. ДА за периода'!F$61:F$108)+SUMIF('11.1.Амортиз.нови активи'!$B$61:$B$108,$B37,'11.1.Амортиз.нови активи'!F$61:F$108)+('11.1.Амортиз.нови активи'!F$110*SUMIF('11.1.Амортиз.нови активи'!$B$61:$B$108,$B37,'11.1.Амортиз.нови активи'!AO$61:AO$108))</f>
        <v>12.5794921875</v>
      </c>
      <c r="G37" s="1110">
        <f>$E37-SUMIF('11.2. ДА за периода'!$B$61:$B$108,$B37,'11.2. ДА за периода'!$E$61:$E$108)+SUMIF('11.2. ДА за периода'!$B$61:$B$108,$B37,'11.2. ДА за периода'!G$61:G$108)+SUMIF('11.1.Амортиз.нови активи'!$B$61:$B$108,$B37,'11.1.Амортиз.нови активи'!G$61:G$108)+('11.1.Амортиз.нови активи'!G$110*SUMIF('11.1.Амортиз.нови активи'!$B$61:$B$108,$B37,'11.1.Амортиз.нови активи'!AP$61:AP$108))</f>
        <v>13.157556695834337</v>
      </c>
      <c r="H37" s="1110">
        <f>$E37-SUMIF('11.2. ДА за периода'!$B$61:$B$108,$B37,'11.2. ДА за периода'!$E$61:$E$108)+SUMIF('11.2. ДА за периода'!$B$61:$B$108,$B37,'11.2. ДА за периода'!H$61:H$108)+SUMIF('11.1.Амортиз.нови активи'!$B$61:$B$108,$B37,'11.1.Амортиз.нови активи'!H$61:H$108)+('11.1.Амортиз.нови активи'!H$110*SUMIF('11.1.Амортиз.нови активи'!$B$61:$B$108,$B37,'11.1.Амортиз.нови активи'!AQ$61:AQ$108))</f>
        <v>13.12176141497075</v>
      </c>
      <c r="I37" s="1110">
        <f>$E37-SUMIF('11.2. ДА за периода'!$B$61:$B$108,$B37,'11.2. ДА за периода'!$E$61:$E$108)+SUMIF('11.2. ДА за периода'!$B$61:$B$108,$B37,'11.2. ДА за периода'!I$61:I$108)+SUMIF('11.1.Амортиз.нови активи'!$B$61:$B$108,$B37,'11.1.Амортиз.нови активи'!I$61:I$108)+('11.1.Амортиз.нови активи'!I$110*SUMIF('11.1.Амортиз.нови активи'!$B$61:$B$108,$B37,'11.1.Амортиз.нови активи'!AR$61:AR$108))</f>
        <v>12.43518253616803</v>
      </c>
      <c r="J37" s="1110">
        <f>$E37-SUMIF('11.2. ДА за периода'!$B$61:$B$108,$B37,'11.2. ДА за периода'!$E$61:$E$108)+SUMIF('11.2. ДА за периода'!$B$61:$B$108,$B37,'11.2. ДА за периода'!J$61:J$108)+SUMIF('11.1.Амортиз.нови активи'!$B$61:$B$108,$B37,'11.1.Амортиз.нови активи'!J$61:J$108)+('11.1.Амортиз.нови активи'!J$110*SUMIF('11.1.Амортиз.нови активи'!$B$61:$B$108,$B37,'11.1.Амортиз.нови активи'!AS$61:AS$108))</f>
        <v>12.442389840539073</v>
      </c>
      <c r="K37" s="2618">
        <f>$E37-SUMIF('11.2. ДА за периода'!$B$61:$B$108,$B37,'11.2. ДА за периода'!$E$61:$E$108)+SUMIF('11.2. ДА за периода'!$B$61:$B$108,$B37,'11.2. ДА за периода'!K$61:K$108)+SUMIF('11.1.Амортиз.нови активи'!$B$61:$B$108,$B37,'11.1.Амортиз.нови активи'!K$61:K$108)+('11.1.Амортиз.нови активи'!K$110*SUMIF('11.1.Амортиз.нови активи'!$B$61:$B$108,$B37,'11.1.Амортиз.нови активи'!AT$61:AT$108))</f>
        <v>9.9455053942356013</v>
      </c>
      <c r="L37" s="2641">
        <f>+'11.3. ДА Базова година'!J42</f>
        <v>8</v>
      </c>
      <c r="M37" s="2617">
        <f>$L37-SUMIF('11.2. ДА за периода'!$B$61:$B$108,$B37,'11.2. ДА за периода'!$L$61:$L$108)+SUMIF('11.2. ДА за периода'!$B$61:$B$108,$B37,'11.2. ДА за периода'!M$61:M$108)+SUMIF('11.1.Амортиз.нови активи'!$B$61:$B$108,$B37,'11.1.Амортиз.нови активи'!M$61:M$108)+('11.1.Амортиз.нови активи'!F$111*SUMIF('11.1.Амортиз.нови активи'!$B$61:$B$108,$B37,'11.1.Амортиз.нови активи'!AO$61:AO$108))</f>
        <v>8.1511718749999993</v>
      </c>
      <c r="N37" s="1110">
        <f>$L37-SUMIF('11.2. ДА за периода'!$B$61:$B$108,$B37,'11.2. ДА за периода'!$L$61:$L$108)+SUMIF('11.2. ДА за периода'!$B$61:$B$108,$B37,'11.2. ДА за периода'!N$61:N$108)+SUMIF('11.1.Амортиз.нови активи'!$B$61:$B$108,$B37,'11.1.Амортиз.нови активи'!N$61:N$108)+('11.1.Амортиз.нови активи'!G$111*SUMIF('11.1.Амортиз.нови активи'!$B$61:$B$108,$B37,'11.1.Амортиз.нови активи'!AP$61:AP$108))</f>
        <v>8.2060398867459128</v>
      </c>
      <c r="O37" s="1110">
        <f>$L37-SUMIF('11.2. ДА за периода'!$B$61:$B$108,$B37,'11.2. ДА за периода'!$L$61:$L$108)+SUMIF('11.2. ДА за периода'!$B$61:$B$108,$B37,'11.2. ДА за периода'!O$61:O$108)+SUMIF('11.1.Амортиз.нови активи'!$B$61:$B$108,$B37,'11.1.Амортиз.нови активи'!O$61:O$108)+('11.1.Амортиз.нови активи'!H$111*SUMIF('11.1.Амортиз.нови активи'!$B$61:$B$108,$B37,'11.1.Амортиз.нови активи'!AQ$61:AQ$108))</f>
        <v>8.1641637067162947</v>
      </c>
      <c r="P37" s="1110">
        <f>$L37-SUMIF('11.2. ДА за периода'!$B$61:$B$108,$B37,'11.2. ДА за периода'!$L$61:$L$108)+SUMIF('11.2. ДА за периода'!$B$61:$B$108,$B37,'11.2. ДА за периода'!P$61:P$108)+SUMIF('11.1.Амортиз.нови активи'!$B$61:$B$108,$B37,'11.1.Амортиз.нови активи'!P$61:P$108)+('11.1.Амортиз.нови активи'!I$111*SUMIF('11.1.Амортиз.нови активи'!$B$61:$B$108,$B37,'11.1.Амортиз.нови активи'!AR$61:AR$108))</f>
        <v>8.1536170769512193</v>
      </c>
      <c r="Q37" s="1110">
        <f>$L37-SUMIF('11.2. ДА за периода'!$B$61:$B$108,$B37,'11.2. ДА за периода'!$L$61:$L$108)+SUMIF('11.2. ДА за периода'!$B$61:$B$108,$B37,'11.2. ДА за периода'!Q$61:Q$108)+SUMIF('11.1.Амортиз.нови активи'!$B$61:$B$108,$B37,'11.1.Амортиз.нови активи'!Q$61:Q$108)+('11.1.Амортиз.нови активи'!J$111*SUMIF('11.1.Амортиз.нови активи'!$B$61:$B$108,$B37,'11.1.Амортиз.нови активи'!AS$61:AS$108))</f>
        <v>8.1457807021395645</v>
      </c>
      <c r="R37" s="2618">
        <f>$L37-SUMIF('11.2. ДА за периода'!$B$61:$B$108,$B37,'11.2. ДА за периода'!$L$61:$L$108)+SUMIF('11.2. ДА за периода'!$B$61:$B$108,$B37,'11.2. ДА за периода'!R$61:R$108)+SUMIF('11.1.Амортиз.нови активи'!$B$61:$B$108,$B37,'11.1.Амортиз.нови активи'!R$61:R$108)+('11.1.Амортиз.нови активи'!K$111*SUMIF('11.1.Амортиз.нови активи'!$B$61:$B$108,$B37,'11.1.Амортиз.нови активи'!AT$61:AT$108))</f>
        <v>8.1376046596870033</v>
      </c>
      <c r="S37" s="2641">
        <f>+'11.3. ДА Базова година'!N42</f>
        <v>17</v>
      </c>
      <c r="T37" s="2617">
        <f>$S37-SUMIF('11.2. ДА за периода'!$B$61:$B$108,$B37,'11.2. ДА за периода'!$S$61:$S$108)+SUMIF('11.2. ДА за периода'!$B$61:$B$108,$B37,'11.2. ДА за периода'!T$61:T$108)+SUMIF('11.1.Амортиз.нови активи'!$B$61:$B$108,$B37,'11.1.Амортиз.нови активи'!T$61:T$108)+('11.1.Амортиз.нови активи'!F$112*SUMIF('11.1.Амортиз.нови активи'!$B$61:$B$108,$B37,'11.1.Амортиз.нови активи'!AO$61:AO$108))</f>
        <v>17.019335937499999</v>
      </c>
      <c r="U37" s="1110">
        <f>$S37-SUMIF('11.2. ДА за периода'!$B$61:$B$108,$B37,'11.2. ДА за периода'!$S$61:$S$108)+SUMIF('11.2. ДА за периода'!$B$61:$B$108,$B37,'11.2. ДА за периода'!U$61:U$108)+SUMIF('11.1.Амортиз.нови активи'!$B$61:$B$108,$B37,'11.1.Амортиз.нови активи'!U$61:U$108)+('11.1.Амортиз.нови активи'!G$112*SUMIF('11.1.Амортиз.нови активи'!$B$61:$B$108,$B37,'11.1.Амортиз.нови активи'!AP$61:AP$108))</f>
        <v>17.136403417419746</v>
      </c>
      <c r="V37" s="1110">
        <f>$S37-SUMIF('11.2. ДА за периода'!$B$61:$B$108,$B37,'11.2. ДА за периода'!$S$61:$S$108)+SUMIF('11.2. ДА за периода'!$B$61:$B$108,$B37,'11.2. ДА за периода'!V$61:V$108)+SUMIF('11.1.Амортиз.нови активи'!$B$61:$B$108,$B37,'11.1.Амортиз.нови активи'!V$61:V$108)+('11.1.Амортиз.нови активи'!H$112*SUMIF('11.1.Амортиз.нови активи'!$B$61:$B$108,$B37,'11.1.Амортиз.нови активи'!AQ$61:AQ$108))</f>
        <v>17.214074878312957</v>
      </c>
      <c r="W37" s="1110">
        <f>$S37-SUMIF('11.2. ДА за периода'!$B$61:$B$108,$B37,'11.2. ДА за периода'!$S$61:$S$108)+SUMIF('11.2. ДА за периода'!$B$61:$B$108,$B37,'11.2. ДА за периода'!W$61:W$108)+SUMIF('11.1.Амортиз.нови активи'!$B$61:$B$108,$B37,'11.1.Амортиз.нови активи'!W$61:W$108)+('11.1.Амортиз.нови активи'!I$112*SUMIF('11.1.Амортиз.нови активи'!$B$61:$B$108,$B37,'11.1.Амортиз.нови активи'!AR$61:AR$108))</f>
        <v>17.25120038688075</v>
      </c>
      <c r="X37" s="1110">
        <f>$S37-SUMIF('11.2. ДА за периода'!$B$61:$B$108,$B37,'11.2. ДА за периода'!$S$61:$S$108)+SUMIF('11.2. ДА за периода'!$B$61:$B$108,$B37,'11.2. ДА за периода'!X$61:X$108)+SUMIF('11.1.Амортиз.нови активи'!$B$61:$B$108,$B37,'11.1.Амортиз.нови активи'!X$61:X$108)+('11.1.Амортиз.нови активи'!J$112*SUMIF('11.1.Амортиз.нови активи'!$B$61:$B$108,$B37,'11.1.Амортиз.нови активи'!AS$61:AS$108))</f>
        <v>17.251829457321364</v>
      </c>
      <c r="Y37" s="2618">
        <f>$S37-SUMIF('11.2. ДА за периода'!$B$61:$B$108,$B37,'11.2. ДА за периода'!$S$61:$S$108)+SUMIF('11.2. ДА за периода'!$B$61:$B$108,$B37,'11.2. ДА за периода'!Y$61:Y$108)+SUMIF('11.1.Амортиз.нови активи'!$B$61:$B$108,$B37,'11.1.Амортиз.нови активи'!Y$61:Y$108)+('11.1.Амортиз.нови активи'!K$112*SUMIF('11.1.Амортиз.нови активи'!$B$61:$B$108,$B37,'11.1.Амортиз.нови активи'!AT$61:AT$108))</f>
        <v>17.236889946077394</v>
      </c>
      <c r="Z37" s="2641">
        <f>+'11.3. ДА Базова година'!R42</f>
        <v>0</v>
      </c>
      <c r="AA37" s="2617">
        <f>$Z37-SUMIF('11.2. ДА за периода'!$B$61:$B$108,$B37,'11.2. ДА за периода'!$Z$61:$Z$108)+SUMIF('11.2. ДА за периода'!$B$61:$B$108,$B37,'11.2. ДА за периода'!AA$61:AA$108)+SUMIF('11.1.Амортиз.нови активи'!$B$61:$B$108,$B37,'11.1.Амортиз.нови активи'!AA$61:AA$108)</f>
        <v>0</v>
      </c>
      <c r="AB37" s="1110">
        <f>$Z37-SUMIF('11.2. ДА за периода'!$B$61:$B$108,$B37,'11.2. ДА за периода'!$Z$61:$Z$108)+SUMIF('11.2. ДА за периода'!$B$61:$B$108,$B37,'11.2. ДА за периода'!AB$61:AB$108)+SUMIF('11.1.Амортиз.нови активи'!$B$61:$B$108,$B37,'11.1.Амортиз.нови активи'!AB$61:AB$108)</f>
        <v>0</v>
      </c>
      <c r="AC37" s="1110">
        <f>$Z37-SUMIF('11.2. ДА за периода'!$B$61:$B$108,$B37,'11.2. ДА за периода'!$Z$61:$Z$108)+SUMIF('11.2. ДА за периода'!$B$61:$B$108,$B37,'11.2. ДА за периода'!AC$61:AC$108)+SUMIF('11.1.Амортиз.нови активи'!$B$61:$B$108,$B37,'11.1.Амортиз.нови активи'!AC$61:AC$108)</f>
        <v>0</v>
      </c>
      <c r="AD37" s="1110">
        <f>$Z37-SUMIF('11.2. ДА за периода'!$B$61:$B$108,$B37,'11.2. ДА за периода'!$Z$61:$Z$108)+SUMIF('11.2. ДА за периода'!$B$61:$B$108,$B37,'11.2. ДА за периода'!AD$61:AD$108)+SUMIF('11.1.Амортиз.нови активи'!$B$61:$B$108,$B37,'11.1.Амортиз.нови активи'!AD$61:AD$108)</f>
        <v>0</v>
      </c>
      <c r="AE37" s="1110">
        <f>$Z37-SUMIF('11.2. ДА за периода'!$B$61:$B$108,$B37,'11.2. ДА за периода'!$Z$61:$Z$108)+SUMIF('11.2. ДА за периода'!$B$61:$B$108,$B37,'11.2. ДА за периода'!AE$61:AE$108)+SUMIF('11.1.Амортиз.нови активи'!$B$61:$B$108,$B37,'11.1.Амортиз.нови активи'!AE$61:AE$108)</f>
        <v>0</v>
      </c>
      <c r="AF37" s="2618">
        <f>$Z37-SUMIF('11.2. ДА за периода'!$B$61:$B$108,$B37,'11.2. ДА за периода'!$Z$61:$Z$108)+SUMIF('11.2. ДА за периода'!$B$61:$B$108,$B37,'11.2. ДА за периода'!AF$61:AF$108)+SUMIF('11.1.Амортиз.нови активи'!$B$61:$B$108,$B37,'11.1.Амортиз.нови активи'!AF$61:AF$108)</f>
        <v>0</v>
      </c>
      <c r="AG37" s="2641">
        <f>+'11.3. ДА Базова година'!V42</f>
        <v>0</v>
      </c>
      <c r="AH37" s="2617">
        <f>$AG37-SUMIF('11.2. ДА за периода'!$B$61:$B$108,$B37,'11.2. ДА за периода'!$AG$61:$AG$108)+SUMIF('11.2. ДА за периода'!$B$61:$B$108,$B37,'11.2. ДА за периода'!AH$61:AH$108)+SUMIF('11.1.Амортиз.нови активи'!$B$61:$B$108,$B37,'11.1.Амортиз.нови активи'!AH$61:AH$108)+('11.1.Амортиз.нови активи'!T$112*SUMIF('11.1.Амортиз.нови активи'!$B$61:$B$108,$B37,'11.1.Амортиз.нови активи'!BB$61:BB$108))</f>
        <v>0</v>
      </c>
      <c r="AI37" s="1110">
        <f>$AG37-SUMIF('11.2. ДА за периода'!$B$61:$B$108,$B37,'11.2. ДА за периода'!$AG$61:$AG$108)+SUMIF('11.2. ДА за периода'!$B$61:$B$108,$B37,'11.2. ДА за периода'!AI$61:AI$108)+SUMIF('11.1.Амортиз.нови активи'!$B$61:$B$108,$B37,'11.1.Амортиз.нови активи'!AI$61:AI$108)+('11.1.Амортиз.нови активи'!U$112*SUMIF('11.1.Амортиз.нови активи'!$B$61:$B$108,$B37,'11.1.Амортиз.нови активи'!BC$61:BC$108))</f>
        <v>0</v>
      </c>
      <c r="AJ37" s="1110">
        <f>$AG37-SUMIF('11.2. ДА за периода'!$B$61:$B$108,$B37,'11.2. ДА за периода'!$AG$61:$AG$108)+SUMIF('11.2. ДА за периода'!$B$61:$B$108,$B37,'11.2. ДА за периода'!AJ$61:AJ$108)+SUMIF('11.1.Амортиз.нови активи'!$B$61:$B$108,$B37,'11.1.Амортиз.нови активи'!AJ$61:AJ$108)+('11.1.Амортиз.нови активи'!V$112*SUMIF('11.1.Амортиз.нови активи'!$B$61:$B$108,$B37,'11.1.Амортиз.нови активи'!BD$61:BD$108))</f>
        <v>0</v>
      </c>
      <c r="AK37" s="1110">
        <f>$AG37-SUMIF('11.2. ДА за периода'!$B$61:$B$108,$B37,'11.2. ДА за периода'!$AG$61:$AG$108)+SUMIF('11.2. ДА за периода'!$B$61:$B$108,$B37,'11.2. ДА за периода'!AK$61:AK$108)+SUMIF('11.1.Амортиз.нови активи'!$B$61:$B$108,$B37,'11.1.Амортиз.нови активи'!AK$61:AK$108)+('11.1.Амортиз.нови активи'!W$112*SUMIF('11.1.Амортиз.нови активи'!$B$61:$B$108,$B37,'11.1.Амортиз.нови активи'!BE$61:BE$108))</f>
        <v>0</v>
      </c>
      <c r="AL37" s="1110">
        <f>$AG37-SUMIF('11.2. ДА за периода'!$B$61:$B$108,$B37,'11.2. ДА за периода'!$AG$61:$AG$108)+SUMIF('11.2. ДА за периода'!$B$61:$B$108,$B37,'11.2. ДА за периода'!AL$61:AL$108)+SUMIF('11.1.Амортиз.нови активи'!$B$61:$B$108,$B37,'11.1.Амортиз.нови активи'!AL$61:AL$108)+('11.1.Амортиз.нови активи'!X$112*SUMIF('11.1.Амортиз.нови активи'!$B$61:$B$108,$B37,'11.1.Амортиз.нови активи'!BF$61:BF$108))</f>
        <v>0</v>
      </c>
      <c r="AM37" s="2618">
        <f>$AG37-SUMIF('11.2. ДА за периода'!$B$61:$B$108,$B37,'11.2. ДА за периода'!$AG$61:$AG$108)+SUMIF('11.2. ДА за периода'!$B$61:$B$108,$B37,'11.2. ДА за периода'!AM$61:AM$108)+SUMIF('11.1.Амортиз.нови активи'!$B$61:$B$108,$B37,'11.1.Амортиз.нови активи'!AM$61:AM$108)+('11.1.Амортиз.нови активи'!Y$112*SUMIF('11.1.Амортиз.нови активи'!$B$61:$B$108,$B37,'11.1.Амортиз.нови активи'!BG$61:BG$108))</f>
        <v>0</v>
      </c>
      <c r="AN37" s="2543"/>
      <c r="AO37" s="2519"/>
      <c r="AP37" s="4422"/>
      <c r="AQ37" s="4438">
        <f t="shared" si="31"/>
        <v>6.1355025743546223</v>
      </c>
      <c r="AR37" s="4438">
        <f t="shared" si="32"/>
        <v>6.4317922250400086</v>
      </c>
      <c r="AS37" s="4438">
        <f t="shared" si="33"/>
        <v>6.7273519149590388</v>
      </c>
      <c r="AT37" s="4438">
        <f t="shared" si="34"/>
        <v>6.7090500784683487</v>
      </c>
      <c r="AU37" s="4438">
        <f t="shared" si="35"/>
        <v>6.3580078719357154</v>
      </c>
      <c r="AV37" s="4438">
        <f t="shared" si="36"/>
        <v>6.3616929081459395</v>
      </c>
      <c r="AW37" s="4438">
        <f t="shared" si="37"/>
        <v>5.0850561624658592</v>
      </c>
      <c r="AX37" s="4438">
        <f t="shared" si="38"/>
        <v>4.0903350495697479</v>
      </c>
      <c r="AY37" s="4438">
        <f t="shared" si="39"/>
        <v>4.1676280019224574</v>
      </c>
      <c r="AZ37" s="4438">
        <f t="shared" si="40"/>
        <v>4.1956815708655215</v>
      </c>
      <c r="BA37" s="4438">
        <f t="shared" si="41"/>
        <v>4.1742706200008666</v>
      </c>
      <c r="BB37" s="4438">
        <f t="shared" si="42"/>
        <v>4.1688782138280009</v>
      </c>
      <c r="BC37" s="4438">
        <f t="shared" si="43"/>
        <v>4.1648715390087911</v>
      </c>
      <c r="BD37" s="4438">
        <f t="shared" si="44"/>
        <v>4.1606911948824816</v>
      </c>
      <c r="BE37" s="4438">
        <f t="shared" si="45"/>
        <v>8.691961980335714</v>
      </c>
      <c r="BF37" s="4438">
        <f t="shared" si="46"/>
        <v>8.7018482881947818</v>
      </c>
      <c r="BG37" s="4438">
        <f t="shared" si="47"/>
        <v>8.7617039402298502</v>
      </c>
      <c r="BH37" s="4438">
        <f t="shared" si="48"/>
        <v>8.8014167275851971</v>
      </c>
      <c r="BI37" s="4438">
        <f t="shared" si="49"/>
        <v>8.820398698701192</v>
      </c>
      <c r="BJ37" s="4438">
        <f t="shared" si="50"/>
        <v>8.8207203373101777</v>
      </c>
      <c r="BK37" s="4438">
        <f t="shared" si="51"/>
        <v>8.8130818865020952</v>
      </c>
      <c r="BL37" s="4438">
        <f t="shared" si="52"/>
        <v>0</v>
      </c>
      <c r="BM37" s="4438">
        <f t="shared" si="53"/>
        <v>0</v>
      </c>
      <c r="BN37" s="4438">
        <f t="shared" si="54"/>
        <v>0</v>
      </c>
      <c r="BO37" s="4438">
        <f t="shared" si="55"/>
        <v>0</v>
      </c>
      <c r="BP37" s="4438">
        <f t="shared" si="56"/>
        <v>0</v>
      </c>
      <c r="BQ37" s="4438">
        <f t="shared" si="57"/>
        <v>0</v>
      </c>
      <c r="BR37" s="4438">
        <f t="shared" si="58"/>
        <v>0</v>
      </c>
      <c r="BS37" s="4438">
        <f t="shared" si="59"/>
        <v>0</v>
      </c>
      <c r="BT37" s="4438">
        <f t="shared" si="60"/>
        <v>0</v>
      </c>
      <c r="BU37" s="4438">
        <f t="shared" si="61"/>
        <v>0</v>
      </c>
      <c r="BV37" s="4438">
        <f t="shared" si="62"/>
        <v>0</v>
      </c>
      <c r="BW37" s="4438">
        <f t="shared" si="63"/>
        <v>0</v>
      </c>
      <c r="BX37" s="4438">
        <f t="shared" si="64"/>
        <v>0</v>
      </c>
      <c r="BY37" s="4438">
        <f t="shared" si="65"/>
        <v>0</v>
      </c>
    </row>
    <row r="38" spans="1:77" ht="24">
      <c r="A38" s="2515">
        <v>3</v>
      </c>
      <c r="B38" s="2545">
        <v>203</v>
      </c>
      <c r="C38" s="2511"/>
      <c r="D38" s="2547" t="s">
        <v>405</v>
      </c>
      <c r="E38" s="4059">
        <f>SUM(E39:E42)</f>
        <v>132</v>
      </c>
      <c r="F38" s="2607">
        <f t="shared" ref="F38:Y38" si="77">SUM(F39:F42)</f>
        <v>179.85000000000002</v>
      </c>
      <c r="G38" s="2608">
        <f t="shared" si="77"/>
        <v>190.84501682930735</v>
      </c>
      <c r="H38" s="2608">
        <f t="shared" si="77"/>
        <v>193.06269337688886</v>
      </c>
      <c r="I38" s="2608">
        <f t="shared" si="77"/>
        <v>192.24579099006144</v>
      </c>
      <c r="J38" s="2608">
        <f t="shared" si="77"/>
        <v>189.06496389062349</v>
      </c>
      <c r="K38" s="2608">
        <f t="shared" si="77"/>
        <v>189.27772912887224</v>
      </c>
      <c r="L38" s="4059">
        <f>SUM(L39:L42)</f>
        <v>0</v>
      </c>
      <c r="M38" s="2607">
        <f t="shared" si="77"/>
        <v>10</v>
      </c>
      <c r="N38" s="2608">
        <f t="shared" si="77"/>
        <v>20.564003799917781</v>
      </c>
      <c r="O38" s="2608">
        <f t="shared" si="77"/>
        <v>21.023822085521918</v>
      </c>
      <c r="P38" s="2608">
        <f t="shared" si="77"/>
        <v>21.065674000121952</v>
      </c>
      <c r="Q38" s="2608">
        <f t="shared" si="77"/>
        <v>21.109466083745879</v>
      </c>
      <c r="R38" s="2608">
        <f t="shared" si="77"/>
        <v>21.143065162309821</v>
      </c>
      <c r="S38" s="4059">
        <f>SUM(S39:S42)</f>
        <v>1</v>
      </c>
      <c r="T38" s="2620">
        <f t="shared" si="77"/>
        <v>1.85</v>
      </c>
      <c r="U38" s="2608">
        <f t="shared" si="77"/>
        <v>3.1409793707748883</v>
      </c>
      <c r="V38" s="2608">
        <f t="shared" si="77"/>
        <v>3.713484537589232</v>
      </c>
      <c r="W38" s="2608">
        <f t="shared" si="77"/>
        <v>3.9885350098165882</v>
      </c>
      <c r="X38" s="2608">
        <f t="shared" si="77"/>
        <v>4.1255700256306325</v>
      </c>
      <c r="Y38" s="2609">
        <f t="shared" si="77"/>
        <v>4.1792057088179302</v>
      </c>
      <c r="Z38" s="4059">
        <f>SUM(Z39:Z42)</f>
        <v>0</v>
      </c>
      <c r="AA38" s="2620">
        <f t="shared" ref="AA38:AF38" si="78">SUM(AA39:AA42)</f>
        <v>0</v>
      </c>
      <c r="AB38" s="2608">
        <f t="shared" si="78"/>
        <v>0</v>
      </c>
      <c r="AC38" s="2608">
        <f t="shared" si="78"/>
        <v>0</v>
      </c>
      <c r="AD38" s="2608">
        <f t="shared" si="78"/>
        <v>0</v>
      </c>
      <c r="AE38" s="2608">
        <f t="shared" si="78"/>
        <v>0</v>
      </c>
      <c r="AF38" s="2609">
        <f t="shared" si="78"/>
        <v>0</v>
      </c>
      <c r="AG38" s="4059">
        <f>SUM(AG39:AG42)</f>
        <v>0</v>
      </c>
      <c r="AH38" s="2620">
        <f t="shared" ref="AH38:AM38" si="79">SUM(AH39:AH42)</f>
        <v>0</v>
      </c>
      <c r="AI38" s="2608">
        <f t="shared" si="79"/>
        <v>0</v>
      </c>
      <c r="AJ38" s="2608">
        <f t="shared" si="79"/>
        <v>0</v>
      </c>
      <c r="AK38" s="2608">
        <f t="shared" si="79"/>
        <v>0</v>
      </c>
      <c r="AL38" s="2608">
        <f t="shared" si="79"/>
        <v>0</v>
      </c>
      <c r="AM38" s="2609">
        <f t="shared" si="79"/>
        <v>0</v>
      </c>
      <c r="AN38" s="2548"/>
      <c r="AO38" s="2549"/>
      <c r="AP38" s="4422"/>
      <c r="AQ38" s="4438">
        <f t="shared" si="31"/>
        <v>67.490528317900839</v>
      </c>
      <c r="AR38" s="4438">
        <f t="shared" si="32"/>
        <v>91.955844833139906</v>
      </c>
      <c r="AS38" s="4438">
        <f t="shared" si="33"/>
        <v>97.577507671580534</v>
      </c>
      <c r="AT38" s="4438">
        <f t="shared" si="34"/>
        <v>98.711387685478215</v>
      </c>
      <c r="AU38" s="4438">
        <f t="shared" si="35"/>
        <v>98.293712127363548</v>
      </c>
      <c r="AV38" s="4438">
        <f t="shared" si="36"/>
        <v>96.667381055931997</v>
      </c>
      <c r="AW38" s="4438">
        <f t="shared" si="37"/>
        <v>96.776166194849367</v>
      </c>
      <c r="AX38" s="4438">
        <f t="shared" si="38"/>
        <v>0</v>
      </c>
      <c r="AY38" s="4438">
        <f t="shared" si="39"/>
        <v>5.1129188119621851</v>
      </c>
      <c r="AZ38" s="4438">
        <f t="shared" si="40"/>
        <v>10.514208187786148</v>
      </c>
      <c r="BA38" s="4438">
        <f t="shared" si="41"/>
        <v>10.749309544041108</v>
      </c>
      <c r="BB38" s="4438">
        <f t="shared" si="42"/>
        <v>10.770708088188622</v>
      </c>
      <c r="BC38" s="4438">
        <f t="shared" si="43"/>
        <v>10.793098625006202</v>
      </c>
      <c r="BD38" s="4438">
        <f t="shared" si="44"/>
        <v>10.810277561091619</v>
      </c>
      <c r="BE38" s="4438">
        <f t="shared" si="45"/>
        <v>0.51129188119621849</v>
      </c>
      <c r="BF38" s="4438">
        <f t="shared" si="46"/>
        <v>0.9458899802130043</v>
      </c>
      <c r="BG38" s="4438">
        <f t="shared" si="47"/>
        <v>1.6059572512820073</v>
      </c>
      <c r="BH38" s="4438">
        <f t="shared" si="48"/>
        <v>1.898674495017068</v>
      </c>
      <c r="BI38" s="4438">
        <f t="shared" si="49"/>
        <v>2.039305568386101</v>
      </c>
      <c r="BJ38" s="4438">
        <f t="shared" si="50"/>
        <v>2.1093704594114175</v>
      </c>
      <c r="BK38" s="4438">
        <f t="shared" si="51"/>
        <v>2.1367939487674952</v>
      </c>
      <c r="BL38" s="4438">
        <f t="shared" si="52"/>
        <v>0</v>
      </c>
      <c r="BM38" s="4438">
        <f t="shared" si="53"/>
        <v>0</v>
      </c>
      <c r="BN38" s="4438">
        <f t="shared" si="54"/>
        <v>0</v>
      </c>
      <c r="BO38" s="4438">
        <f t="shared" si="55"/>
        <v>0</v>
      </c>
      <c r="BP38" s="4438">
        <f t="shared" si="56"/>
        <v>0</v>
      </c>
      <c r="BQ38" s="4438">
        <f t="shared" si="57"/>
        <v>0</v>
      </c>
      <c r="BR38" s="4438">
        <f t="shared" si="58"/>
        <v>0</v>
      </c>
      <c r="BS38" s="4438">
        <f t="shared" si="59"/>
        <v>0</v>
      </c>
      <c r="BT38" s="4438">
        <f t="shared" si="60"/>
        <v>0</v>
      </c>
      <c r="BU38" s="4438">
        <f t="shared" si="61"/>
        <v>0</v>
      </c>
      <c r="BV38" s="4438">
        <f t="shared" si="62"/>
        <v>0</v>
      </c>
      <c r="BW38" s="4438">
        <f t="shared" si="63"/>
        <v>0</v>
      </c>
      <c r="BX38" s="4438">
        <f t="shared" si="64"/>
        <v>0</v>
      </c>
      <c r="BY38" s="4438">
        <f t="shared" si="65"/>
        <v>0</v>
      </c>
    </row>
    <row r="39" spans="1:77">
      <c r="A39" s="2515"/>
      <c r="B39" s="2516">
        <v>20301</v>
      </c>
      <c r="C39" s="2522">
        <v>0.1</v>
      </c>
      <c r="D39" s="2550" t="s">
        <v>427</v>
      </c>
      <c r="E39" s="2641">
        <f>+'11.3. ДА Базова година'!F44</f>
        <v>1</v>
      </c>
      <c r="F39" s="2617">
        <f>$E39-SUMIF('11.2. ДА за периода'!$B$61:$B$108,$B39,'11.2. ДА за периода'!$E$61:$E$108)+SUMIF('11.2. ДА за периода'!$B$61:$B$108,$B39,'11.2. ДА за периода'!F$61:F$108)+SUMIF('11.1.Амортиз.нови активи'!$B$61:$B$108,$B39,'11.1.Амортиз.нови активи'!F$61:F$108)+('11.1.Амортиз.нови активи'!F$110*SUMIF('11.1.Амортиз.нови активи'!$B$61:$B$108,$B39,'11.1.Амортиз.нови активи'!AO$61:AO$108))</f>
        <v>-9.9999999999999978E-2</v>
      </c>
      <c r="G39" s="1110">
        <f>$E39-SUMIF('11.2. ДА за периода'!$B$61:$B$108,$B39,'11.2. ДА за периода'!$E$61:$E$108)+SUMIF('11.2. ДА за периода'!$B$61:$B$108,$B39,'11.2. ДА за периода'!G$61:G$108)+SUMIF('11.1.Амортиз.нови активи'!$B$61:$B$108,$B39,'11.1.Амортиз.нови активи'!G$61:G$108)+('11.1.Амортиз.нови активи'!G$110*SUMIF('11.1.Амортиз.нови активи'!$B$61:$B$108,$B39,'11.1.Амортиз.нови активи'!AP$61:AP$108))</f>
        <v>-9.9999999999999978E-2</v>
      </c>
      <c r="H39" s="1110">
        <f>$E39-SUMIF('11.2. ДА за периода'!$B$61:$B$108,$B39,'11.2. ДА за периода'!$E$61:$E$108)+SUMIF('11.2. ДА за периода'!$B$61:$B$108,$B39,'11.2. ДА за периода'!H$61:H$108)+SUMIF('11.1.Амортиз.нови активи'!$B$61:$B$108,$B39,'11.1.Амортиз.нови активи'!H$61:H$108)+('11.1.Амортиз.нови активи'!H$110*SUMIF('11.1.Амортиз.нови активи'!$B$61:$B$108,$B39,'11.1.Амортиз.нови активи'!AQ$61:AQ$108))</f>
        <v>-9.9999999999999978E-2</v>
      </c>
      <c r="I39" s="1110">
        <f>$E39-SUMIF('11.2. ДА за периода'!$B$61:$B$108,$B39,'11.2. ДА за периода'!$E$61:$E$108)+SUMIF('11.2. ДА за периода'!$B$61:$B$108,$B39,'11.2. ДА за периода'!I$61:I$108)+SUMIF('11.1.Амортиз.нови активи'!$B$61:$B$108,$B39,'11.1.Амортиз.нови активи'!I$61:I$108)+('11.1.Амортиз.нови активи'!I$110*SUMIF('11.1.Амортиз.нови активи'!$B$61:$B$108,$B39,'11.1.Амортиз.нови активи'!AR$61:AR$108))</f>
        <v>-9.9999999999999978E-2</v>
      </c>
      <c r="J39" s="1110">
        <f>$E39-SUMIF('11.2. ДА за периода'!$B$61:$B$108,$B39,'11.2. ДА за периода'!$E$61:$E$108)+SUMIF('11.2. ДА за периода'!$B$61:$B$108,$B39,'11.2. ДА за периода'!J$61:J$108)+SUMIF('11.1.Амортиз.нови активи'!$B$61:$B$108,$B39,'11.1.Амортиз.нови активи'!J$61:J$108)+('11.1.Амортиз.нови активи'!J$110*SUMIF('11.1.Амортиз.нови активи'!$B$61:$B$108,$B39,'11.1.Амортиз.нови активи'!AS$61:AS$108))</f>
        <v>-9.9999999999999978E-2</v>
      </c>
      <c r="K39" s="2618">
        <f>$E39-SUMIF('11.2. ДА за периода'!$B$61:$B$108,$B39,'11.2. ДА за периода'!$E$61:$E$108)+SUMIF('11.2. ДА за периода'!$B$61:$B$108,$B39,'11.2. ДА за периода'!K$61:K$108)+SUMIF('11.1.Амортиз.нови активи'!$B$61:$B$108,$B39,'11.1.Амортиз.нови активи'!K$61:K$108)+('11.1.Амортиз.нови активи'!K$110*SUMIF('11.1.Амортиз.нови активи'!$B$61:$B$108,$B39,'11.1.Амортиз.нови активи'!AT$61:AT$108))</f>
        <v>-9.9999999999999978E-2</v>
      </c>
      <c r="L39" s="2641">
        <f>+'11.3. ДА Базова година'!J44</f>
        <v>0</v>
      </c>
      <c r="M39" s="2617">
        <f>$L39-SUMIF('11.2. ДА за периода'!$B$61:$B$108,$B39,'11.2. ДА за периода'!$L$61:$L$108)+SUMIF('11.2. ДА за периода'!$B$61:$B$108,$B39,'11.2. ДА за периода'!M$61:M$108)+SUMIF('11.1.Амортиз.нови активи'!$B$61:$B$108,$B39,'11.1.Амортиз.нови активи'!M$61:M$108)+('11.1.Амортиз.нови активи'!F$111*SUMIF('11.1.Амортиз.нови активи'!$B$61:$B$108,$B39,'11.1.Амортиз.нови активи'!AO$61:AO$108))</f>
        <v>0</v>
      </c>
      <c r="N39" s="1110">
        <f>$L39-SUMIF('11.2. ДА за периода'!$B$61:$B$108,$B39,'11.2. ДА за периода'!$L$61:$L$108)+SUMIF('11.2. ДА за периода'!$B$61:$B$108,$B39,'11.2. ДА за периода'!N$61:N$108)+SUMIF('11.1.Амортиз.нови активи'!$B$61:$B$108,$B39,'11.1.Амортиз.нови активи'!N$61:N$108)+('11.1.Амортиз.нови активи'!G$111*SUMIF('11.1.Амортиз.нови активи'!$B$61:$B$108,$B39,'11.1.Амортиз.нови активи'!AP$61:AP$108))</f>
        <v>0</v>
      </c>
      <c r="O39" s="1110">
        <f>$L39-SUMIF('11.2. ДА за периода'!$B$61:$B$108,$B39,'11.2. ДА за периода'!$L$61:$L$108)+SUMIF('11.2. ДА за периода'!$B$61:$B$108,$B39,'11.2. ДА за периода'!O$61:O$108)+SUMIF('11.1.Амортиз.нови активи'!$B$61:$B$108,$B39,'11.1.Амортиз.нови активи'!O$61:O$108)+('11.1.Амортиз.нови активи'!H$111*SUMIF('11.1.Амортиз.нови активи'!$B$61:$B$108,$B39,'11.1.Амортиз.нови активи'!AQ$61:AQ$108))</f>
        <v>0</v>
      </c>
      <c r="P39" s="1110">
        <f>$L39-SUMIF('11.2. ДА за периода'!$B$61:$B$108,$B39,'11.2. ДА за периода'!$L$61:$L$108)+SUMIF('11.2. ДА за периода'!$B$61:$B$108,$B39,'11.2. ДА за периода'!P$61:P$108)+SUMIF('11.1.Амортиз.нови активи'!$B$61:$B$108,$B39,'11.1.Амортиз.нови активи'!P$61:P$108)+('11.1.Амортиз.нови активи'!I$111*SUMIF('11.1.Амортиз.нови активи'!$B$61:$B$108,$B39,'11.1.Амортиз.нови активи'!AR$61:AR$108))</f>
        <v>0</v>
      </c>
      <c r="Q39" s="1110">
        <f>$L39-SUMIF('11.2. ДА за периода'!$B$61:$B$108,$B39,'11.2. ДА за периода'!$L$61:$L$108)+SUMIF('11.2. ДА за периода'!$B$61:$B$108,$B39,'11.2. ДА за периода'!Q$61:Q$108)+SUMIF('11.1.Амортиз.нови активи'!$B$61:$B$108,$B39,'11.1.Амортиз.нови активи'!Q$61:Q$108)+('11.1.Амортиз.нови активи'!J$111*SUMIF('11.1.Амортиз.нови активи'!$B$61:$B$108,$B39,'11.1.Амортиз.нови активи'!AS$61:AS$108))</f>
        <v>0</v>
      </c>
      <c r="R39" s="2618">
        <f>$L39-SUMIF('11.2. ДА за периода'!$B$61:$B$108,$B39,'11.2. ДА за периода'!$L$61:$L$108)+SUMIF('11.2. ДА за периода'!$B$61:$B$108,$B39,'11.2. ДА за периода'!R$61:R$108)+SUMIF('11.1.Амортиз.нови активи'!$B$61:$B$108,$B39,'11.1.Амортиз.нови активи'!R$61:R$108)+('11.1.Амортиз.нови активи'!K$111*SUMIF('11.1.Амортиз.нови активи'!$B$61:$B$108,$B39,'11.1.Амортиз.нови активи'!AT$61:AT$108))</f>
        <v>0</v>
      </c>
      <c r="S39" s="2641">
        <f>+'11.3. ДА Базова година'!N44</f>
        <v>0</v>
      </c>
      <c r="T39" s="2617">
        <f>$S39-SUMIF('11.2. ДА за периода'!$B$61:$B$108,$B39,'11.2. ДА за периода'!$S$61:$S$108)+SUMIF('11.2. ДА за периода'!$B$61:$B$108,$B39,'11.2. ДА за периода'!T$61:T$108)+SUMIF('11.1.Амортиз.нови активи'!$B$61:$B$108,$B39,'11.1.Амортиз.нови активи'!T$61:T$108)+('11.1.Амортиз.нови активи'!F$112*SUMIF('11.1.Амортиз.нови активи'!$B$61:$B$108,$B39,'11.1.Амортиз.нови активи'!AO$61:AO$108))</f>
        <v>0</v>
      </c>
      <c r="U39" s="1110">
        <f>$S39-SUMIF('11.2. ДА за периода'!$B$61:$B$108,$B39,'11.2. ДА за периода'!$S$61:$S$108)+SUMIF('11.2. ДА за периода'!$B$61:$B$108,$B39,'11.2. ДА за периода'!U$61:U$108)+SUMIF('11.1.Амортиз.нови активи'!$B$61:$B$108,$B39,'11.1.Амортиз.нови активи'!U$61:U$108)+('11.1.Амортиз.нови активи'!G$112*SUMIF('11.1.Амортиз.нови активи'!$B$61:$B$108,$B39,'11.1.Амортиз.нови активи'!AP$61:AP$108))</f>
        <v>0</v>
      </c>
      <c r="V39" s="1110">
        <f>$S39-SUMIF('11.2. ДА за периода'!$B$61:$B$108,$B39,'11.2. ДА за периода'!$S$61:$S$108)+SUMIF('11.2. ДА за периода'!$B$61:$B$108,$B39,'11.2. ДА за периода'!V$61:V$108)+SUMIF('11.1.Амортиз.нови активи'!$B$61:$B$108,$B39,'11.1.Амортиз.нови активи'!V$61:V$108)+('11.1.Амортиз.нови активи'!H$112*SUMIF('11.1.Амортиз.нови активи'!$B$61:$B$108,$B39,'11.1.Амортиз.нови активи'!AQ$61:AQ$108))</f>
        <v>0</v>
      </c>
      <c r="W39" s="1110">
        <f>$S39-SUMIF('11.2. ДА за периода'!$B$61:$B$108,$B39,'11.2. ДА за периода'!$S$61:$S$108)+SUMIF('11.2. ДА за периода'!$B$61:$B$108,$B39,'11.2. ДА за периода'!W$61:W$108)+SUMIF('11.1.Амортиз.нови активи'!$B$61:$B$108,$B39,'11.1.Амортиз.нови активи'!W$61:W$108)+('11.1.Амортиз.нови активи'!I$112*SUMIF('11.1.Амортиз.нови активи'!$B$61:$B$108,$B39,'11.1.Амортиз.нови активи'!AR$61:AR$108))</f>
        <v>0</v>
      </c>
      <c r="X39" s="1110">
        <f>$S39-SUMIF('11.2. ДА за периода'!$B$61:$B$108,$B39,'11.2. ДА за периода'!$S$61:$S$108)+SUMIF('11.2. ДА за периода'!$B$61:$B$108,$B39,'11.2. ДА за периода'!X$61:X$108)+SUMIF('11.1.Амортиз.нови активи'!$B$61:$B$108,$B39,'11.1.Амортиз.нови активи'!X$61:X$108)+('11.1.Амортиз.нови активи'!J$112*SUMIF('11.1.Амортиз.нови активи'!$B$61:$B$108,$B39,'11.1.Амортиз.нови активи'!AS$61:AS$108))</f>
        <v>0</v>
      </c>
      <c r="Y39" s="2618">
        <f>$S39-SUMIF('11.2. ДА за периода'!$B$61:$B$108,$B39,'11.2. ДА за периода'!$S$61:$S$108)+SUMIF('11.2. ДА за периода'!$B$61:$B$108,$B39,'11.2. ДА за периода'!Y$61:Y$108)+SUMIF('11.1.Амортиз.нови активи'!$B$61:$B$108,$B39,'11.1.Амортиз.нови активи'!Y$61:Y$108)+('11.1.Амортиз.нови активи'!K$112*SUMIF('11.1.Амортиз.нови активи'!$B$61:$B$108,$B39,'11.1.Амортиз.нови активи'!AT$61:AT$108))</f>
        <v>0</v>
      </c>
      <c r="Z39" s="4387">
        <f>+'11.3. ДА Базова година'!R44</f>
        <v>0</v>
      </c>
      <c r="AA39" s="2617">
        <f>$Z39-SUMIF('11.2. ДА за периода'!$B$61:$B$108,$B39,'11.2. ДА за периода'!$Z$61:$Z$108)+SUMIF('11.2. ДА за периода'!$B$61:$B$108,$B39,'11.2. ДА за периода'!AA$61:AA$108)+SUMIF('11.1.Амортиз.нови активи'!$B$61:$B$108,$B39,'11.1.Амортиз.нови активи'!AA$61:AA$108)</f>
        <v>0</v>
      </c>
      <c r="AB39" s="1110">
        <f>$Z39-SUMIF('11.2. ДА за периода'!$B$61:$B$108,$B39,'11.2. ДА за периода'!$Z$61:$Z$108)+SUMIF('11.2. ДА за периода'!$B$61:$B$108,$B39,'11.2. ДА за периода'!AB$61:AB$108)+SUMIF('11.1.Амортиз.нови активи'!$B$61:$B$108,$B39,'11.1.Амортиз.нови активи'!AB$61:AB$108)</f>
        <v>0</v>
      </c>
      <c r="AC39" s="1110">
        <f>$Z39-SUMIF('11.2. ДА за периода'!$B$61:$B$108,$B39,'11.2. ДА за периода'!$Z$61:$Z$108)+SUMIF('11.2. ДА за периода'!$B$61:$B$108,$B39,'11.2. ДА за периода'!AC$61:AC$108)+SUMIF('11.1.Амортиз.нови активи'!$B$61:$B$108,$B39,'11.1.Амортиз.нови активи'!AC$61:AC$108)</f>
        <v>0</v>
      </c>
      <c r="AD39" s="1110">
        <f>$Z39-SUMIF('11.2. ДА за периода'!$B$61:$B$108,$B39,'11.2. ДА за периода'!$Z$61:$Z$108)+SUMIF('11.2. ДА за периода'!$B$61:$B$108,$B39,'11.2. ДА за периода'!AD$61:AD$108)+SUMIF('11.1.Амортиз.нови активи'!$B$61:$B$108,$B39,'11.1.Амортиз.нови активи'!AD$61:AD$108)</f>
        <v>0</v>
      </c>
      <c r="AE39" s="1110">
        <f>$Z39-SUMIF('11.2. ДА за периода'!$B$61:$B$108,$B39,'11.2. ДА за периода'!$Z$61:$Z$108)+SUMIF('11.2. ДА за периода'!$B$61:$B$108,$B39,'11.2. ДА за периода'!AE$61:AE$108)+SUMIF('11.1.Амортиз.нови активи'!$B$61:$B$108,$B39,'11.1.Амортиз.нови активи'!AE$61:AE$108)</f>
        <v>0</v>
      </c>
      <c r="AF39" s="2618">
        <f>$Z39-SUMIF('11.2. ДА за периода'!$B$61:$B$108,$B39,'11.2. ДА за периода'!$Z$61:$Z$108)+SUMIF('11.2. ДА за периода'!$B$61:$B$108,$B39,'11.2. ДА за периода'!AF$61:AF$108)+SUMIF('11.1.Амортиз.нови активи'!$B$61:$B$108,$B39,'11.1.Амортиз.нови активи'!AF$61:AF$108)</f>
        <v>0</v>
      </c>
      <c r="AG39" s="2641">
        <f>+'11.3. ДА Базова година'!V44</f>
        <v>0</v>
      </c>
      <c r="AH39" s="2617">
        <f>$AG39-SUMIF('11.2. ДА за периода'!$B$61:$B$108,$B39,'11.2. ДА за периода'!$AG$61:$AG$108)+SUMIF('11.2. ДА за периода'!$B$61:$B$108,$B39,'11.2. ДА за периода'!AH$61:AH$108)+SUMIF('11.1.Амортиз.нови активи'!$B$61:$B$108,$B39,'11.1.Амортиз.нови активи'!AH$61:AH$108)+('11.1.Амортиз.нови активи'!T$112*SUMIF('11.1.Амортиз.нови активи'!$B$61:$B$108,$B39,'11.1.Амортиз.нови активи'!BB$61:BB$108))</f>
        <v>0</v>
      </c>
      <c r="AI39" s="1110">
        <f>$AG39-SUMIF('11.2. ДА за периода'!$B$61:$B$108,$B39,'11.2. ДА за периода'!$AG$61:$AG$108)+SUMIF('11.2. ДА за периода'!$B$61:$B$108,$B39,'11.2. ДА за периода'!AI$61:AI$108)+SUMIF('11.1.Амортиз.нови активи'!$B$61:$B$108,$B39,'11.1.Амортиз.нови активи'!AI$61:AI$108)+('11.1.Амортиз.нови активи'!U$112*SUMIF('11.1.Амортиз.нови активи'!$B$61:$B$108,$B39,'11.1.Амортиз.нови активи'!BC$61:BC$108))</f>
        <v>0</v>
      </c>
      <c r="AJ39" s="1110">
        <f>$AG39-SUMIF('11.2. ДА за периода'!$B$61:$B$108,$B39,'11.2. ДА за периода'!$AG$61:$AG$108)+SUMIF('11.2. ДА за периода'!$B$61:$B$108,$B39,'11.2. ДА за периода'!AJ$61:AJ$108)+SUMIF('11.1.Амортиз.нови активи'!$B$61:$B$108,$B39,'11.1.Амортиз.нови активи'!AJ$61:AJ$108)+('11.1.Амортиз.нови активи'!V$112*SUMIF('11.1.Амортиз.нови активи'!$B$61:$B$108,$B39,'11.1.Амортиз.нови активи'!BD$61:BD$108))</f>
        <v>0</v>
      </c>
      <c r="AK39" s="1110">
        <f>$AG39-SUMIF('11.2. ДА за периода'!$B$61:$B$108,$B39,'11.2. ДА за периода'!$AG$61:$AG$108)+SUMIF('11.2. ДА за периода'!$B$61:$B$108,$B39,'11.2. ДА за периода'!AK$61:AK$108)+SUMIF('11.1.Амортиз.нови активи'!$B$61:$B$108,$B39,'11.1.Амортиз.нови активи'!AK$61:AK$108)+('11.1.Амортиз.нови активи'!W$112*SUMIF('11.1.Амортиз.нови активи'!$B$61:$B$108,$B39,'11.1.Амортиз.нови активи'!BE$61:BE$108))</f>
        <v>0</v>
      </c>
      <c r="AL39" s="1110">
        <f>$AG39-SUMIF('11.2. ДА за периода'!$B$61:$B$108,$B39,'11.2. ДА за периода'!$AG$61:$AG$108)+SUMIF('11.2. ДА за периода'!$B$61:$B$108,$B39,'11.2. ДА за периода'!AL$61:AL$108)+SUMIF('11.1.Амортиз.нови активи'!$B$61:$B$108,$B39,'11.1.Амортиз.нови активи'!AL$61:AL$108)+('11.1.Амортиз.нови активи'!X$112*SUMIF('11.1.Амортиз.нови активи'!$B$61:$B$108,$B39,'11.1.Амортиз.нови активи'!BF$61:BF$108))</f>
        <v>0</v>
      </c>
      <c r="AM39" s="2618">
        <f>$AG39-SUMIF('11.2. ДА за периода'!$B$61:$B$108,$B39,'11.2. ДА за периода'!$AG$61:$AG$108)+SUMIF('11.2. ДА за периода'!$B$61:$B$108,$B39,'11.2. ДА за периода'!AM$61:AM$108)+SUMIF('11.1.Амортиз.нови активи'!$B$61:$B$108,$B39,'11.1.Амортиз.нови активи'!AM$61:AM$108)+('11.1.Амортиз.нови активи'!Y$112*SUMIF('11.1.Амортиз.нови активи'!$B$61:$B$108,$B39,'11.1.Амортиз.нови активи'!BG$61:BG$108))</f>
        <v>0</v>
      </c>
      <c r="AN39" s="2513"/>
      <c r="AO39" s="2549"/>
      <c r="AP39" s="4422"/>
      <c r="AQ39" s="4438">
        <f t="shared" si="31"/>
        <v>0.51129188119621849</v>
      </c>
      <c r="AR39" s="4438">
        <f t="shared" si="32"/>
        <v>-5.1129188119621839E-2</v>
      </c>
      <c r="AS39" s="4438">
        <f t="shared" si="33"/>
        <v>-5.1129188119621839E-2</v>
      </c>
      <c r="AT39" s="4438">
        <f t="shared" si="34"/>
        <v>-5.1129188119621839E-2</v>
      </c>
      <c r="AU39" s="4438">
        <f t="shared" si="35"/>
        <v>-5.1129188119621839E-2</v>
      </c>
      <c r="AV39" s="4438">
        <f t="shared" si="36"/>
        <v>-5.1129188119621839E-2</v>
      </c>
      <c r="AW39" s="4438">
        <f t="shared" si="37"/>
        <v>-5.1129188119621839E-2</v>
      </c>
      <c r="AX39" s="4438">
        <f t="shared" si="38"/>
        <v>0</v>
      </c>
      <c r="AY39" s="4438">
        <f t="shared" si="39"/>
        <v>0</v>
      </c>
      <c r="AZ39" s="4438">
        <f t="shared" si="40"/>
        <v>0</v>
      </c>
      <c r="BA39" s="4438">
        <f t="shared" si="41"/>
        <v>0</v>
      </c>
      <c r="BB39" s="4438">
        <f t="shared" si="42"/>
        <v>0</v>
      </c>
      <c r="BC39" s="4438">
        <f t="shared" si="43"/>
        <v>0</v>
      </c>
      <c r="BD39" s="4438">
        <f t="shared" si="44"/>
        <v>0</v>
      </c>
      <c r="BE39" s="4438">
        <f t="shared" si="45"/>
        <v>0</v>
      </c>
      <c r="BF39" s="4438">
        <f t="shared" si="46"/>
        <v>0</v>
      </c>
      <c r="BG39" s="4438">
        <f t="shared" si="47"/>
        <v>0</v>
      </c>
      <c r="BH39" s="4438">
        <f t="shared" si="48"/>
        <v>0</v>
      </c>
      <c r="BI39" s="4438">
        <f t="shared" si="49"/>
        <v>0</v>
      </c>
      <c r="BJ39" s="4438">
        <f t="shared" si="50"/>
        <v>0</v>
      </c>
      <c r="BK39" s="4438">
        <f t="shared" si="51"/>
        <v>0</v>
      </c>
      <c r="BL39" s="4438">
        <f t="shared" si="52"/>
        <v>0</v>
      </c>
      <c r="BM39" s="4438">
        <f t="shared" si="53"/>
        <v>0</v>
      </c>
      <c r="BN39" s="4438">
        <f t="shared" si="54"/>
        <v>0</v>
      </c>
      <c r="BO39" s="4438">
        <f t="shared" si="55"/>
        <v>0</v>
      </c>
      <c r="BP39" s="4438">
        <f t="shared" si="56"/>
        <v>0</v>
      </c>
      <c r="BQ39" s="4438">
        <f t="shared" si="57"/>
        <v>0</v>
      </c>
      <c r="BR39" s="4438">
        <f t="shared" si="58"/>
        <v>0</v>
      </c>
      <c r="BS39" s="4438">
        <f t="shared" si="59"/>
        <v>0</v>
      </c>
      <c r="BT39" s="4438">
        <f t="shared" si="60"/>
        <v>0</v>
      </c>
      <c r="BU39" s="4438">
        <f t="shared" si="61"/>
        <v>0</v>
      </c>
      <c r="BV39" s="4438">
        <f t="shared" si="62"/>
        <v>0</v>
      </c>
      <c r="BW39" s="4438">
        <f t="shared" si="63"/>
        <v>0</v>
      </c>
      <c r="BX39" s="4438">
        <f t="shared" si="64"/>
        <v>0</v>
      </c>
      <c r="BY39" s="4438">
        <f t="shared" si="65"/>
        <v>0</v>
      </c>
    </row>
    <row r="40" spans="1:77">
      <c r="A40" s="2515"/>
      <c r="B40" s="2516">
        <v>20302</v>
      </c>
      <c r="C40" s="2522">
        <v>0.1</v>
      </c>
      <c r="D40" s="2550" t="s">
        <v>428</v>
      </c>
      <c r="E40" s="2641">
        <f>+'11.3. ДА Базова година'!F45</f>
        <v>6</v>
      </c>
      <c r="F40" s="2617">
        <f>$E40-SUMIF('11.2. ДА за периода'!$B$61:$B$108,$B40,'11.2. ДА за периода'!$E$61:$E$108)+SUMIF('11.2. ДА за периода'!$B$61:$B$108,$B40,'11.2. ДА за периода'!F$61:F$108)+SUMIF('11.1.Амортиз.нови активи'!$B$61:$B$108,$B40,'11.1.Амортиз.нови активи'!F$61:F$108)+('11.1.Амортиз.нови активи'!F$110*SUMIF('11.1.Амортиз.нови активи'!$B$61:$B$108,$B40,'11.1.Амортиз.нови активи'!AO$61:AO$108))</f>
        <v>7.05</v>
      </c>
      <c r="G40" s="1110">
        <f>$E40-SUMIF('11.2. ДА за периода'!$B$61:$B$108,$B40,'11.2. ДА за периода'!$E$61:$E$108)+SUMIF('11.2. ДА за периода'!$B$61:$B$108,$B40,'11.2. ДА за периода'!G$61:G$108)+SUMIF('11.1.Амортиз.нови активи'!$B$61:$B$108,$B40,'11.1.Амортиз.нови активи'!G$61:G$108)+('11.1.Амортиз.нови активи'!G$110*SUMIF('11.1.Амортиз.нови активи'!$B$61:$B$108,$B40,'11.1.Амортиз.нови активи'!AP$61:AP$108))</f>
        <v>7.25</v>
      </c>
      <c r="H40" s="1110">
        <f>$E40-SUMIF('11.2. ДА за периода'!$B$61:$B$108,$B40,'11.2. ДА за периода'!$E$61:$E$108)+SUMIF('11.2. ДА за периода'!$B$61:$B$108,$B40,'11.2. ДА за периода'!H$61:H$108)+SUMIF('11.1.Амортиз.нови активи'!$B$61:$B$108,$B40,'11.1.Амортиз.нови активи'!H$61:H$108)+('11.1.Амортиз.нови активи'!H$110*SUMIF('11.1.Амортиз.нови активи'!$B$61:$B$108,$B40,'11.1.Амортиз.нови активи'!AQ$61:AQ$108))</f>
        <v>7.25</v>
      </c>
      <c r="I40" s="1110">
        <f>$E40-SUMIF('11.2. ДА за периода'!$B$61:$B$108,$B40,'11.2. ДА за периода'!$E$61:$E$108)+SUMIF('11.2. ДА за периода'!$B$61:$B$108,$B40,'11.2. ДА за периода'!I$61:I$108)+SUMIF('11.1.Амортиз.нови активи'!$B$61:$B$108,$B40,'11.1.Амортиз.нови активи'!I$61:I$108)+('11.1.Амортиз.нови активи'!I$110*SUMIF('11.1.Амортиз.нови активи'!$B$61:$B$108,$B40,'11.1.Амортиз.нови активи'!AR$61:AR$108))</f>
        <v>7.25</v>
      </c>
      <c r="J40" s="1110">
        <f>$E40-SUMIF('11.2. ДА за периода'!$B$61:$B$108,$B40,'11.2. ДА за периода'!$E$61:$E$108)+SUMIF('11.2. ДА за периода'!$B$61:$B$108,$B40,'11.2. ДА за периода'!J$61:J$108)+SUMIF('11.1.Амортиз.нови активи'!$B$61:$B$108,$B40,'11.1.Амортиз.нови активи'!J$61:J$108)+('11.1.Амортиз.нови активи'!J$110*SUMIF('11.1.Амортиз.нови активи'!$B$61:$B$108,$B40,'11.1.Амортиз.нови активи'!AS$61:AS$108))</f>
        <v>7.25</v>
      </c>
      <c r="K40" s="2618">
        <f>$E40-SUMIF('11.2. ДА за периода'!$B$61:$B$108,$B40,'11.2. ДА за периода'!$E$61:$E$108)+SUMIF('11.2. ДА за периода'!$B$61:$B$108,$B40,'11.2. ДА за периода'!K$61:K$108)+SUMIF('11.1.Амортиз.нови активи'!$B$61:$B$108,$B40,'11.1.Амортиз.нови активи'!K$61:K$108)+('11.1.Амортиз.нови активи'!K$110*SUMIF('11.1.Амортиз.нови активи'!$B$61:$B$108,$B40,'11.1.Амортиз.нови активи'!AT$61:AT$108))</f>
        <v>7.25</v>
      </c>
      <c r="L40" s="2641">
        <f>+'11.3. ДА Базова година'!J45</f>
        <v>0</v>
      </c>
      <c r="M40" s="2617">
        <f>$L40-SUMIF('11.2. ДА за периода'!$B$61:$B$108,$B40,'11.2. ДА за периода'!$L$61:$L$108)+SUMIF('11.2. ДА за периода'!$B$61:$B$108,$B40,'11.2. ДА за периода'!M$61:M$108)+SUMIF('11.1.Амортиз.нови активи'!$B$61:$B$108,$B40,'11.1.Амортиз.нови активи'!M$61:M$108)+('11.1.Амортиз.нови активи'!F$111*SUMIF('11.1.Амортиз.нови активи'!$B$61:$B$108,$B40,'11.1.Амортиз.нови активи'!AO$61:AO$108))</f>
        <v>0</v>
      </c>
      <c r="N40" s="1110">
        <f>$L40-SUMIF('11.2. ДА за периода'!$B$61:$B$108,$B40,'11.2. ДА за периода'!$L$61:$L$108)+SUMIF('11.2. ДА за периода'!$B$61:$B$108,$B40,'11.2. ДА за периода'!N$61:N$108)+SUMIF('11.1.Амортиз.нови активи'!$B$61:$B$108,$B40,'11.1.Амортиз.нови активи'!N$61:N$108)+('11.1.Амортиз.нови активи'!G$111*SUMIF('11.1.Амортиз.нови активи'!$B$61:$B$108,$B40,'11.1.Амортиз.нови активи'!AP$61:AP$108))</f>
        <v>0</v>
      </c>
      <c r="O40" s="1110">
        <f>$L40-SUMIF('11.2. ДА за периода'!$B$61:$B$108,$B40,'11.2. ДА за периода'!$L$61:$L$108)+SUMIF('11.2. ДА за периода'!$B$61:$B$108,$B40,'11.2. ДА за периода'!O$61:O$108)+SUMIF('11.1.Амортиз.нови активи'!$B$61:$B$108,$B40,'11.1.Амортиз.нови активи'!O$61:O$108)+('11.1.Амортиз.нови активи'!H$111*SUMIF('11.1.Амортиз.нови активи'!$B$61:$B$108,$B40,'11.1.Амортиз.нови активи'!AQ$61:AQ$108))</f>
        <v>0</v>
      </c>
      <c r="P40" s="1110">
        <f>$L40-SUMIF('11.2. ДА за периода'!$B$61:$B$108,$B40,'11.2. ДА за периода'!$L$61:$L$108)+SUMIF('11.2. ДА за периода'!$B$61:$B$108,$B40,'11.2. ДА за периода'!P$61:P$108)+SUMIF('11.1.Амортиз.нови активи'!$B$61:$B$108,$B40,'11.1.Амортиз.нови активи'!P$61:P$108)+('11.1.Амортиз.нови активи'!I$111*SUMIF('11.1.Амортиз.нови активи'!$B$61:$B$108,$B40,'11.1.Амортиз.нови активи'!AR$61:AR$108))</f>
        <v>0</v>
      </c>
      <c r="Q40" s="1110">
        <f>$L40-SUMIF('11.2. ДА за периода'!$B$61:$B$108,$B40,'11.2. ДА за периода'!$L$61:$L$108)+SUMIF('11.2. ДА за периода'!$B$61:$B$108,$B40,'11.2. ДА за периода'!Q$61:Q$108)+SUMIF('11.1.Амортиз.нови активи'!$B$61:$B$108,$B40,'11.1.Амортиз.нови активи'!Q$61:Q$108)+('11.1.Амортиз.нови активи'!J$111*SUMIF('11.1.Амортиз.нови активи'!$B$61:$B$108,$B40,'11.1.Амортиз.нови активи'!AS$61:AS$108))</f>
        <v>0</v>
      </c>
      <c r="R40" s="2618">
        <f>$L40-SUMIF('11.2. ДА за периода'!$B$61:$B$108,$B40,'11.2. ДА за периода'!$L$61:$L$108)+SUMIF('11.2. ДА за периода'!$B$61:$B$108,$B40,'11.2. ДА за периода'!R$61:R$108)+SUMIF('11.1.Амортиз.нови активи'!$B$61:$B$108,$B40,'11.1.Амортиз.нови активи'!R$61:R$108)+('11.1.Амортиз.нови активи'!K$111*SUMIF('11.1.Амортиз.нови активи'!$B$61:$B$108,$B40,'11.1.Амортиз.нови активи'!AT$61:AT$108))</f>
        <v>0</v>
      </c>
      <c r="S40" s="2641">
        <f>+'11.3. ДА Базова година'!N45</f>
        <v>0</v>
      </c>
      <c r="T40" s="2617">
        <f>$S40-SUMIF('11.2. ДА за периода'!$B$61:$B$108,$B40,'11.2. ДА за периода'!$S$61:$S$108)+SUMIF('11.2. ДА за периода'!$B$61:$B$108,$B40,'11.2. ДА за периода'!T$61:T$108)+SUMIF('11.1.Амортиз.нови активи'!$B$61:$B$108,$B40,'11.1.Амортиз.нови активи'!T$61:T$108)+('11.1.Амортиз.нови активи'!F$112*SUMIF('11.1.Амортиз.нови активи'!$B$61:$B$108,$B40,'11.1.Амортиз.нови активи'!AO$61:AO$108))</f>
        <v>1</v>
      </c>
      <c r="U40" s="1110">
        <f>$S40-SUMIF('11.2. ДА за периода'!$B$61:$B$108,$B40,'11.2. ДА за периода'!$S$61:$S$108)+SUMIF('11.2. ДА за периода'!$B$61:$B$108,$B40,'11.2. ДА за периода'!U$61:U$108)+SUMIF('11.1.Амортиз.нови активи'!$B$61:$B$108,$B40,'11.1.Амортиз.нови активи'!U$61:U$108)+('11.1.Амортиз.нови активи'!G$112*SUMIF('11.1.Амортиз.нови активи'!$B$61:$B$108,$B40,'11.1.Амортиз.нови активи'!AP$61:AP$108))</f>
        <v>2</v>
      </c>
      <c r="V40" s="1110">
        <f>$S40-SUMIF('11.2. ДА за периода'!$B$61:$B$108,$B40,'11.2. ДА за периода'!$S$61:$S$108)+SUMIF('11.2. ДА за периода'!$B$61:$B$108,$B40,'11.2. ДА за периода'!V$61:V$108)+SUMIF('11.1.Амортиз.нови активи'!$B$61:$B$108,$B40,'11.1.Амортиз.нови активи'!V$61:V$108)+('11.1.Амортиз.нови активи'!H$112*SUMIF('11.1.Амортиз.нови активи'!$B$61:$B$108,$B40,'11.1.Амортиз.нови активи'!AQ$61:AQ$108))</f>
        <v>2</v>
      </c>
      <c r="W40" s="1110">
        <f>$S40-SUMIF('11.2. ДА за периода'!$B$61:$B$108,$B40,'11.2. ДА за периода'!$S$61:$S$108)+SUMIF('11.2. ДА за периода'!$B$61:$B$108,$B40,'11.2. ДА за периода'!W$61:W$108)+SUMIF('11.1.Амортиз.нови активи'!$B$61:$B$108,$B40,'11.1.Амортиз.нови активи'!W$61:W$108)+('11.1.Амортиз.нови активи'!I$112*SUMIF('11.1.Амортиз.нови активи'!$B$61:$B$108,$B40,'11.1.Амортиз.нови активи'!AR$61:AR$108))</f>
        <v>2</v>
      </c>
      <c r="X40" s="1110">
        <f>$S40-SUMIF('11.2. ДА за периода'!$B$61:$B$108,$B40,'11.2. ДА за периода'!$S$61:$S$108)+SUMIF('11.2. ДА за периода'!$B$61:$B$108,$B40,'11.2. ДА за периода'!X$61:X$108)+SUMIF('11.1.Амортиз.нови активи'!$B$61:$B$108,$B40,'11.1.Амортиз.нови активи'!X$61:X$108)+('11.1.Амортиз.нови активи'!J$112*SUMIF('11.1.Амортиз.нови активи'!$B$61:$B$108,$B40,'11.1.Амортиз.нови активи'!AS$61:AS$108))</f>
        <v>2</v>
      </c>
      <c r="Y40" s="2618">
        <f>$S40-SUMIF('11.2. ДА за периода'!$B$61:$B$108,$B40,'11.2. ДА за периода'!$S$61:$S$108)+SUMIF('11.2. ДА за периода'!$B$61:$B$108,$B40,'11.2. ДА за периода'!Y$61:Y$108)+SUMIF('11.1.Амортиз.нови активи'!$B$61:$B$108,$B40,'11.1.Амортиз.нови активи'!Y$61:Y$108)+('11.1.Амортиз.нови активи'!K$112*SUMIF('11.1.Амортиз.нови активи'!$B$61:$B$108,$B40,'11.1.Амортиз.нови активи'!AT$61:AT$108))</f>
        <v>2</v>
      </c>
      <c r="Z40" s="4387">
        <f>+'11.3. ДА Базова година'!R45</f>
        <v>0</v>
      </c>
      <c r="AA40" s="2617">
        <f>$Z40-SUMIF('11.2. ДА за периода'!$B$61:$B$108,$B40,'11.2. ДА за периода'!$Z$61:$Z$108)+SUMIF('11.2. ДА за периода'!$B$61:$B$108,$B40,'11.2. ДА за периода'!AA$61:AA$108)+SUMIF('11.1.Амортиз.нови активи'!$B$61:$B$108,$B40,'11.1.Амортиз.нови активи'!AA$61:AA$108)</f>
        <v>0</v>
      </c>
      <c r="AB40" s="1110">
        <f>$Z40-SUMIF('11.2. ДА за периода'!$B$61:$B$108,$B40,'11.2. ДА за периода'!$Z$61:$Z$108)+SUMIF('11.2. ДА за периода'!$B$61:$B$108,$B40,'11.2. ДА за периода'!AB$61:AB$108)+SUMIF('11.1.Амортиз.нови активи'!$B$61:$B$108,$B40,'11.1.Амортиз.нови активи'!AB$61:AB$108)</f>
        <v>0</v>
      </c>
      <c r="AC40" s="1110">
        <f>$Z40-SUMIF('11.2. ДА за периода'!$B$61:$B$108,$B40,'11.2. ДА за периода'!$Z$61:$Z$108)+SUMIF('11.2. ДА за периода'!$B$61:$B$108,$B40,'11.2. ДА за периода'!AC$61:AC$108)+SUMIF('11.1.Амортиз.нови активи'!$B$61:$B$108,$B40,'11.1.Амортиз.нови активи'!AC$61:AC$108)</f>
        <v>0</v>
      </c>
      <c r="AD40" s="1110">
        <f>$Z40-SUMIF('11.2. ДА за периода'!$B$61:$B$108,$B40,'11.2. ДА за периода'!$Z$61:$Z$108)+SUMIF('11.2. ДА за периода'!$B$61:$B$108,$B40,'11.2. ДА за периода'!AD$61:AD$108)+SUMIF('11.1.Амортиз.нови активи'!$B$61:$B$108,$B40,'11.1.Амортиз.нови активи'!AD$61:AD$108)</f>
        <v>0</v>
      </c>
      <c r="AE40" s="1110">
        <f>$Z40-SUMIF('11.2. ДА за периода'!$B$61:$B$108,$B40,'11.2. ДА за периода'!$Z$61:$Z$108)+SUMIF('11.2. ДА за периода'!$B$61:$B$108,$B40,'11.2. ДА за периода'!AE$61:AE$108)+SUMIF('11.1.Амортиз.нови активи'!$B$61:$B$108,$B40,'11.1.Амортиз.нови активи'!AE$61:AE$108)</f>
        <v>0</v>
      </c>
      <c r="AF40" s="2618">
        <f>$Z40-SUMIF('11.2. ДА за периода'!$B$61:$B$108,$B40,'11.2. ДА за периода'!$Z$61:$Z$108)+SUMIF('11.2. ДА за периода'!$B$61:$B$108,$B40,'11.2. ДА за периода'!AF$61:AF$108)+SUMIF('11.1.Амортиз.нови активи'!$B$61:$B$108,$B40,'11.1.Амортиз.нови активи'!AF$61:AF$108)</f>
        <v>0</v>
      </c>
      <c r="AG40" s="2641">
        <f>+'11.3. ДА Базова година'!V45</f>
        <v>0</v>
      </c>
      <c r="AH40" s="2617">
        <f>$AG40-SUMIF('11.2. ДА за периода'!$B$61:$B$108,$B40,'11.2. ДА за периода'!$AG$61:$AG$108)+SUMIF('11.2. ДА за периода'!$B$61:$B$108,$B40,'11.2. ДА за периода'!AH$61:AH$108)+SUMIF('11.1.Амортиз.нови активи'!$B$61:$B$108,$B40,'11.1.Амортиз.нови активи'!AH$61:AH$108)+('11.1.Амортиз.нови активи'!T$112*SUMIF('11.1.Амортиз.нови активи'!$B$61:$B$108,$B40,'11.1.Амортиз.нови активи'!BB$61:BB$108))</f>
        <v>0</v>
      </c>
      <c r="AI40" s="1110">
        <f>$AG40-SUMIF('11.2. ДА за периода'!$B$61:$B$108,$B40,'11.2. ДА за периода'!$AG$61:$AG$108)+SUMIF('11.2. ДА за периода'!$B$61:$B$108,$B40,'11.2. ДА за периода'!AI$61:AI$108)+SUMIF('11.1.Амортиз.нови активи'!$B$61:$B$108,$B40,'11.1.Амортиз.нови активи'!AI$61:AI$108)+('11.1.Амортиз.нови активи'!U$112*SUMIF('11.1.Амортиз.нови активи'!$B$61:$B$108,$B40,'11.1.Амортиз.нови активи'!BC$61:BC$108))</f>
        <v>0</v>
      </c>
      <c r="AJ40" s="1110">
        <f>$AG40-SUMIF('11.2. ДА за периода'!$B$61:$B$108,$B40,'11.2. ДА за периода'!$AG$61:$AG$108)+SUMIF('11.2. ДА за периода'!$B$61:$B$108,$B40,'11.2. ДА за периода'!AJ$61:AJ$108)+SUMIF('11.1.Амортиз.нови активи'!$B$61:$B$108,$B40,'11.1.Амортиз.нови активи'!AJ$61:AJ$108)+('11.1.Амортиз.нови активи'!V$112*SUMIF('11.1.Амортиз.нови активи'!$B$61:$B$108,$B40,'11.1.Амортиз.нови активи'!BD$61:BD$108))</f>
        <v>0</v>
      </c>
      <c r="AK40" s="1110">
        <f>$AG40-SUMIF('11.2. ДА за периода'!$B$61:$B$108,$B40,'11.2. ДА за периода'!$AG$61:$AG$108)+SUMIF('11.2. ДА за периода'!$B$61:$B$108,$B40,'11.2. ДА за периода'!AK$61:AK$108)+SUMIF('11.1.Амортиз.нови активи'!$B$61:$B$108,$B40,'11.1.Амортиз.нови активи'!AK$61:AK$108)+('11.1.Амортиз.нови активи'!W$112*SUMIF('11.1.Амортиз.нови активи'!$B$61:$B$108,$B40,'11.1.Амортиз.нови активи'!BE$61:BE$108))</f>
        <v>0</v>
      </c>
      <c r="AL40" s="1110">
        <f>$AG40-SUMIF('11.2. ДА за периода'!$B$61:$B$108,$B40,'11.2. ДА за периода'!$AG$61:$AG$108)+SUMIF('11.2. ДА за периода'!$B$61:$B$108,$B40,'11.2. ДА за периода'!AL$61:AL$108)+SUMIF('11.1.Амортиз.нови активи'!$B$61:$B$108,$B40,'11.1.Амортиз.нови активи'!AL$61:AL$108)+('11.1.Амортиз.нови активи'!X$112*SUMIF('11.1.Амортиз.нови активи'!$B$61:$B$108,$B40,'11.1.Амортиз.нови активи'!BF$61:BF$108))</f>
        <v>0</v>
      </c>
      <c r="AM40" s="2618">
        <f>$AG40-SUMIF('11.2. ДА за периода'!$B$61:$B$108,$B40,'11.2. ДА за периода'!$AG$61:$AG$108)+SUMIF('11.2. ДА за периода'!$B$61:$B$108,$B40,'11.2. ДА за периода'!AM$61:AM$108)+SUMIF('11.1.Амортиз.нови активи'!$B$61:$B$108,$B40,'11.1.Амортиз.нови активи'!AM$61:AM$108)+('11.1.Амортиз.нови активи'!Y$112*SUMIF('11.1.Амортиз.нови активи'!$B$61:$B$108,$B40,'11.1.Амортиз.нови активи'!BG$61:BG$108))</f>
        <v>0</v>
      </c>
      <c r="AN40" s="2513"/>
      <c r="AO40" s="2549"/>
      <c r="AP40" s="4422"/>
      <c r="AQ40" s="4438">
        <f t="shared" si="31"/>
        <v>3.0677512871773112</v>
      </c>
      <c r="AR40" s="4438">
        <f t="shared" si="32"/>
        <v>3.6046077624333401</v>
      </c>
      <c r="AS40" s="4438">
        <f t="shared" si="33"/>
        <v>3.7068661386725843</v>
      </c>
      <c r="AT40" s="4438">
        <f t="shared" si="34"/>
        <v>3.7068661386725843</v>
      </c>
      <c r="AU40" s="4438">
        <f t="shared" si="35"/>
        <v>3.7068661386725843</v>
      </c>
      <c r="AV40" s="4438">
        <f t="shared" si="36"/>
        <v>3.7068661386725843</v>
      </c>
      <c r="AW40" s="4438">
        <f t="shared" si="37"/>
        <v>3.7068661386725843</v>
      </c>
      <c r="AX40" s="4438">
        <f t="shared" si="38"/>
        <v>0</v>
      </c>
      <c r="AY40" s="4438">
        <f t="shared" si="39"/>
        <v>0</v>
      </c>
      <c r="AZ40" s="4438">
        <f t="shared" si="40"/>
        <v>0</v>
      </c>
      <c r="BA40" s="4438">
        <f t="shared" si="41"/>
        <v>0</v>
      </c>
      <c r="BB40" s="4438">
        <f t="shared" si="42"/>
        <v>0</v>
      </c>
      <c r="BC40" s="4438">
        <f t="shared" si="43"/>
        <v>0</v>
      </c>
      <c r="BD40" s="4438">
        <f t="shared" si="44"/>
        <v>0</v>
      </c>
      <c r="BE40" s="4438">
        <f t="shared" si="45"/>
        <v>0</v>
      </c>
      <c r="BF40" s="4438">
        <f t="shared" si="46"/>
        <v>0.51129188119621849</v>
      </c>
      <c r="BG40" s="4438">
        <f t="shared" si="47"/>
        <v>1.022583762392437</v>
      </c>
      <c r="BH40" s="4438">
        <f t="shared" si="48"/>
        <v>1.022583762392437</v>
      </c>
      <c r="BI40" s="4438">
        <f t="shared" si="49"/>
        <v>1.022583762392437</v>
      </c>
      <c r="BJ40" s="4438">
        <f t="shared" si="50"/>
        <v>1.022583762392437</v>
      </c>
      <c r="BK40" s="4438">
        <f t="shared" si="51"/>
        <v>1.022583762392437</v>
      </c>
      <c r="BL40" s="4438">
        <f t="shared" si="52"/>
        <v>0</v>
      </c>
      <c r="BM40" s="4438">
        <f t="shared" si="53"/>
        <v>0</v>
      </c>
      <c r="BN40" s="4438">
        <f t="shared" si="54"/>
        <v>0</v>
      </c>
      <c r="BO40" s="4438">
        <f t="shared" si="55"/>
        <v>0</v>
      </c>
      <c r="BP40" s="4438">
        <f t="shared" si="56"/>
        <v>0</v>
      </c>
      <c r="BQ40" s="4438">
        <f t="shared" si="57"/>
        <v>0</v>
      </c>
      <c r="BR40" s="4438">
        <f t="shared" si="58"/>
        <v>0</v>
      </c>
      <c r="BS40" s="4438">
        <f t="shared" si="59"/>
        <v>0</v>
      </c>
      <c r="BT40" s="4438">
        <f t="shared" si="60"/>
        <v>0</v>
      </c>
      <c r="BU40" s="4438">
        <f t="shared" si="61"/>
        <v>0</v>
      </c>
      <c r="BV40" s="4438">
        <f t="shared" si="62"/>
        <v>0</v>
      </c>
      <c r="BW40" s="4438">
        <f t="shared" si="63"/>
        <v>0</v>
      </c>
      <c r="BX40" s="4438">
        <f t="shared" si="64"/>
        <v>0</v>
      </c>
      <c r="BY40" s="4438">
        <f t="shared" si="65"/>
        <v>0</v>
      </c>
    </row>
    <row r="41" spans="1:77">
      <c r="A41" s="2515"/>
      <c r="B41" s="2545">
        <v>20303</v>
      </c>
      <c r="C41" s="2511">
        <v>0.1</v>
      </c>
      <c r="D41" s="2550" t="s">
        <v>406</v>
      </c>
      <c r="E41" s="2641">
        <f>+'11.3. ДА Базова година'!F46</f>
        <v>113</v>
      </c>
      <c r="F41" s="2617">
        <f>$E41-SUMIF('11.2. ДА за периода'!$B$61:$B$108,$B41,'11.2. ДА за периода'!$E$61:$E$108)+SUMIF('11.2. ДА за периода'!$B$61:$B$108,$B41,'11.2. ДА за периода'!F$61:F$108)+SUMIF('11.1.Амортиз.нови активи'!$B$61:$B$108,$B41,'11.1.Амортиз.нови активи'!F$61:F$108)+('11.1.Амортиз.нови активи'!F$110*SUMIF('11.1.Амортиз.нови активи'!$B$61:$B$108,$B41,'11.1.Амортиз.нови активи'!AO$61:AO$108))</f>
        <v>161.85000000000002</v>
      </c>
      <c r="G41" s="1110">
        <f>$E41-SUMIF('11.2. ДА за периода'!$B$61:$B$108,$B41,'11.2. ДА за периода'!$E$61:$E$108)+SUMIF('11.2. ДА за периода'!$B$61:$B$108,$B41,'11.2. ДА за периода'!G$61:G$108)+SUMIF('11.1.Амортиз.нови активи'!$B$61:$B$108,$B41,'11.1.Амортиз.нови активи'!G$61:G$108)+('11.1.Амортиз.нови активи'!G$110*SUMIF('11.1.Амортиз.нови активи'!$B$61:$B$108,$B41,'11.1.Амортиз.нови активи'!AP$61:AP$108))</f>
        <v>170.65</v>
      </c>
      <c r="H41" s="1110">
        <f>$E41-SUMIF('11.2. ДА за периода'!$B$61:$B$108,$B41,'11.2. ДА за периода'!$E$61:$E$108)+SUMIF('11.2. ДА за периода'!$B$61:$B$108,$B41,'11.2. ДА за периода'!H$61:H$108)+SUMIF('11.1.Амортиз.нови активи'!$B$61:$B$108,$B41,'11.1.Амортиз.нови активи'!H$61:H$108)+('11.1.Амортиз.нови активи'!H$110*SUMIF('11.1.Амортиз.нови активи'!$B$61:$B$108,$B41,'11.1.Амортиз.нови активи'!AQ$61:AQ$108))</f>
        <v>170.65</v>
      </c>
      <c r="I41" s="1110">
        <f>$E41-SUMIF('11.2. ДА за периода'!$B$61:$B$108,$B41,'11.2. ДА за периода'!$E$61:$E$108)+SUMIF('11.2. ДА за периода'!$B$61:$B$108,$B41,'11.2. ДА за периода'!I$61:I$108)+SUMIF('11.1.Амортиз.нови активи'!$B$61:$B$108,$B41,'11.1.Амортиз.нови активи'!I$61:I$108)+('11.1.Амортиз.нови активи'!I$110*SUMIF('11.1.Амортиз.нови активи'!$B$61:$B$108,$B41,'11.1.Амортиз.нови активи'!AR$61:AR$108))</f>
        <v>169.54999999999998</v>
      </c>
      <c r="J41" s="1110">
        <f>$E41-SUMIF('11.2. ДА за периода'!$B$61:$B$108,$B41,'11.2. ДА за периода'!$E$61:$E$108)+SUMIF('11.2. ДА за периода'!$B$61:$B$108,$B41,'11.2. ДА за периода'!J$61:J$108)+SUMIF('11.1.Амортиз.нови активи'!$B$61:$B$108,$B41,'11.1.Амортиз.нови активи'!J$61:J$108)+('11.1.Амортиз.нови активи'!J$110*SUMIF('11.1.Амортиз.нови активи'!$B$61:$B$108,$B41,'11.1.Амортиз.нови активи'!AS$61:AS$108))</f>
        <v>165.75</v>
      </c>
      <c r="K41" s="2618">
        <f>$E41-SUMIF('11.2. ДА за периода'!$B$61:$B$108,$B41,'11.2. ДА за периода'!$E$61:$E$108)+SUMIF('11.2. ДА за периода'!$B$61:$B$108,$B41,'11.2. ДА за периода'!K$61:K$108)+SUMIF('11.1.Амортиз.нови активи'!$B$61:$B$108,$B41,'11.1.Амортиз.нови активи'!K$61:K$108)+('11.1.Амортиз.нови активи'!K$110*SUMIF('11.1.Амортиз.нови активи'!$B$61:$B$108,$B41,'11.1.Амортиз.нови активи'!AT$61:AT$108))</f>
        <v>165.75</v>
      </c>
      <c r="L41" s="2641">
        <f>+'11.3. ДА Базова година'!J46</f>
        <v>0</v>
      </c>
      <c r="M41" s="2617">
        <f>$L41-SUMIF('11.2. ДА за периода'!$B$61:$B$108,$B41,'11.2. ДА за периода'!$L$61:$L$108)+SUMIF('11.2. ДА за периода'!$B$61:$B$108,$B41,'11.2. ДА за периода'!M$61:M$108)+SUMIF('11.1.Амортиз.нови активи'!$B$61:$B$108,$B41,'11.1.Амортиз.нови активи'!M$61:M$108)+('11.1.Амортиз.нови активи'!F$111*SUMIF('11.1.Амортиз.нови активи'!$B$61:$B$108,$B41,'11.1.Амортиз.нови активи'!AO$61:AO$108))</f>
        <v>10</v>
      </c>
      <c r="N41" s="1110">
        <f>$L41-SUMIF('11.2. ДА за периода'!$B$61:$B$108,$B41,'11.2. ДА за периода'!$L$61:$L$108)+SUMIF('11.2. ДА за периода'!$B$61:$B$108,$B41,'11.2. ДА за периода'!N$61:N$108)+SUMIF('11.1.Амортиз.нови активи'!$B$61:$B$108,$B41,'11.1.Амортиз.нови активи'!N$61:N$108)+('11.1.Амортиз.нови активи'!G$111*SUMIF('11.1.Амортиз.нови активи'!$B$61:$B$108,$B41,'11.1.Амортиз.нови активи'!AP$61:AP$108))</f>
        <v>20</v>
      </c>
      <c r="O41" s="1110">
        <f>$L41-SUMIF('11.2. ДА за периода'!$B$61:$B$108,$B41,'11.2. ДА за периода'!$L$61:$L$108)+SUMIF('11.2. ДА за периода'!$B$61:$B$108,$B41,'11.2. ДА за периода'!O$61:O$108)+SUMIF('11.1.Амортиз.нови активи'!$B$61:$B$108,$B41,'11.1.Амортиз.нови активи'!O$61:O$108)+('11.1.Амортиз.нови активи'!H$111*SUMIF('11.1.Амортиз.нови активи'!$B$61:$B$108,$B41,'11.1.Амортиз.нови активи'!AQ$61:AQ$108))</f>
        <v>20</v>
      </c>
      <c r="P41" s="1110">
        <f>$L41-SUMIF('11.2. ДА за периода'!$B$61:$B$108,$B41,'11.2. ДА за периода'!$L$61:$L$108)+SUMIF('11.2. ДА за периода'!$B$61:$B$108,$B41,'11.2. ДА за периода'!P$61:P$108)+SUMIF('11.1.Амортиз.нови активи'!$B$61:$B$108,$B41,'11.1.Амортиз.нови активи'!P$61:P$108)+('11.1.Амортиз.нови активи'!I$111*SUMIF('11.1.Амортиз.нови активи'!$B$61:$B$108,$B41,'11.1.Амортиз.нови активи'!AR$61:AR$108))</f>
        <v>20</v>
      </c>
      <c r="Q41" s="1110">
        <f>$L41-SUMIF('11.2. ДА за периода'!$B$61:$B$108,$B41,'11.2. ДА за периода'!$L$61:$L$108)+SUMIF('11.2. ДА за периода'!$B$61:$B$108,$B41,'11.2. ДА за периода'!Q$61:Q$108)+SUMIF('11.1.Амортиз.нови активи'!$B$61:$B$108,$B41,'11.1.Амортиз.нови активи'!Q$61:Q$108)+('11.1.Амортиз.нови активи'!J$111*SUMIF('11.1.Амортиз.нови активи'!$B$61:$B$108,$B41,'11.1.Амортиз.нови активи'!AS$61:AS$108))</f>
        <v>20</v>
      </c>
      <c r="R41" s="2618">
        <f>$L41-SUMIF('11.2. ДА за периода'!$B$61:$B$108,$B41,'11.2. ДА за периода'!$L$61:$L$108)+SUMIF('11.2. ДА за периода'!$B$61:$B$108,$B41,'11.2. ДА за периода'!R$61:R$108)+SUMIF('11.1.Амортиз.нови активи'!$B$61:$B$108,$B41,'11.1.Амортиз.нови активи'!R$61:R$108)+('11.1.Амортиз.нови активи'!K$111*SUMIF('11.1.Амортиз.нови активи'!$B$61:$B$108,$B41,'11.1.Амортиз.нови активи'!AT$61:AT$108))</f>
        <v>20</v>
      </c>
      <c r="S41" s="2641">
        <f>+'11.3. ДА Базова година'!N46</f>
        <v>1</v>
      </c>
      <c r="T41" s="2617">
        <f>$S41-SUMIF('11.2. ДА за периода'!$B$61:$B$108,$B41,'11.2. ДА за периода'!$S$61:$S$108)+SUMIF('11.2. ДА за периода'!$B$61:$B$108,$B41,'11.2. ДА за периода'!T$61:T$108)+SUMIF('11.1.Амортиз.нови активи'!$B$61:$B$108,$B41,'11.1.Амортиз.нови активи'!T$61:T$108)+('11.1.Амортиз.нови активи'!F$112*SUMIF('11.1.Амортиз.нови активи'!$B$61:$B$108,$B41,'11.1.Амортиз.нови активи'!AO$61:AO$108))</f>
        <v>1</v>
      </c>
      <c r="U41" s="1110">
        <f>$S41-SUMIF('11.2. ДА за периода'!$B$61:$B$108,$B41,'11.2. ДА за периода'!$S$61:$S$108)+SUMIF('11.2. ДА за периода'!$B$61:$B$108,$B41,'11.2. ДА за периода'!U$61:U$108)+SUMIF('11.1.Амортиз.нови активи'!$B$61:$B$108,$B41,'11.1.Амортиз.нови активи'!U$61:U$108)+('11.1.Амортиз.нови активи'!G$112*SUMIF('11.1.Амортиз.нови активи'!$B$61:$B$108,$B41,'11.1.Амортиз.нови активи'!AP$61:AP$108))</f>
        <v>1</v>
      </c>
      <c r="V41" s="1110">
        <f>$S41-SUMIF('11.2. ДА за периода'!$B$61:$B$108,$B41,'11.2. ДА за периода'!$S$61:$S$108)+SUMIF('11.2. ДА за периода'!$B$61:$B$108,$B41,'11.2. ДА за периода'!V$61:V$108)+SUMIF('11.1.Амортиз.нови активи'!$B$61:$B$108,$B41,'11.1.Амортиз.нови активи'!V$61:V$108)+('11.1.Амортиз.нови активи'!H$112*SUMIF('11.1.Амортиз.нови активи'!$B$61:$B$108,$B41,'11.1.Амортиз.нови активи'!AQ$61:AQ$108))</f>
        <v>1</v>
      </c>
      <c r="W41" s="1110">
        <f>$S41-SUMIF('11.2. ДА за периода'!$B$61:$B$108,$B41,'11.2. ДА за периода'!$S$61:$S$108)+SUMIF('11.2. ДА за периода'!$B$61:$B$108,$B41,'11.2. ДА за периода'!W$61:W$108)+SUMIF('11.1.Амортиз.нови активи'!$B$61:$B$108,$B41,'11.1.Амортиз.нови активи'!W$61:W$108)+('11.1.Амортиз.нови активи'!I$112*SUMIF('11.1.Амортиз.нови активи'!$B$61:$B$108,$B41,'11.1.Амортиз.нови активи'!AR$61:AR$108))</f>
        <v>1</v>
      </c>
      <c r="X41" s="1110">
        <f>$S41-SUMIF('11.2. ДА за периода'!$B$61:$B$108,$B41,'11.2. ДА за периода'!$S$61:$S$108)+SUMIF('11.2. ДА за периода'!$B$61:$B$108,$B41,'11.2. ДА за периода'!X$61:X$108)+SUMIF('11.1.Амортиз.нови активи'!$B$61:$B$108,$B41,'11.1.Амортиз.нови активи'!X$61:X$108)+('11.1.Амортиз.нови активи'!J$112*SUMIF('11.1.Амортиз.нови активи'!$B$61:$B$108,$B41,'11.1.Амортиз.нови активи'!AS$61:AS$108))</f>
        <v>1</v>
      </c>
      <c r="Y41" s="2618">
        <f>$S41-SUMIF('11.2. ДА за периода'!$B$61:$B$108,$B41,'11.2. ДА за периода'!$S$61:$S$108)+SUMIF('11.2. ДА за периода'!$B$61:$B$108,$B41,'11.2. ДА за периода'!Y$61:Y$108)+SUMIF('11.1.Амортиз.нови активи'!$B$61:$B$108,$B41,'11.1.Амортиз.нови активи'!Y$61:Y$108)+('11.1.Амортиз.нови активи'!K$112*SUMIF('11.1.Амортиз.нови активи'!$B$61:$B$108,$B41,'11.1.Амортиз.нови активи'!AT$61:AT$108))</f>
        <v>1</v>
      </c>
      <c r="Z41" s="4387">
        <f>+'11.3. ДА Базова година'!R46</f>
        <v>0</v>
      </c>
      <c r="AA41" s="2617">
        <f>$Z41-SUMIF('11.2. ДА за периода'!$B$61:$B$108,$B41,'11.2. ДА за периода'!$Z$61:$Z$108)+SUMIF('11.2. ДА за периода'!$B$61:$B$108,$B41,'11.2. ДА за периода'!AA$61:AA$108)+SUMIF('11.1.Амортиз.нови активи'!$B$61:$B$108,$B41,'11.1.Амортиз.нови активи'!AA$61:AA$108)</f>
        <v>0</v>
      </c>
      <c r="AB41" s="1110">
        <f>$Z41-SUMIF('11.2. ДА за периода'!$B$61:$B$108,$B41,'11.2. ДА за периода'!$Z$61:$Z$108)+SUMIF('11.2. ДА за периода'!$B$61:$B$108,$B41,'11.2. ДА за периода'!AB$61:AB$108)+SUMIF('11.1.Амортиз.нови активи'!$B$61:$B$108,$B41,'11.1.Амортиз.нови активи'!AB$61:AB$108)</f>
        <v>0</v>
      </c>
      <c r="AC41" s="1110">
        <f>$Z41-SUMIF('11.2. ДА за периода'!$B$61:$B$108,$B41,'11.2. ДА за периода'!$Z$61:$Z$108)+SUMIF('11.2. ДА за периода'!$B$61:$B$108,$B41,'11.2. ДА за периода'!AC$61:AC$108)+SUMIF('11.1.Амортиз.нови активи'!$B$61:$B$108,$B41,'11.1.Амортиз.нови активи'!AC$61:AC$108)</f>
        <v>0</v>
      </c>
      <c r="AD41" s="1110">
        <f>$Z41-SUMIF('11.2. ДА за периода'!$B$61:$B$108,$B41,'11.2. ДА за периода'!$Z$61:$Z$108)+SUMIF('11.2. ДА за периода'!$B$61:$B$108,$B41,'11.2. ДА за периода'!AD$61:AD$108)+SUMIF('11.1.Амортиз.нови активи'!$B$61:$B$108,$B41,'11.1.Амортиз.нови активи'!AD$61:AD$108)</f>
        <v>0</v>
      </c>
      <c r="AE41" s="1110">
        <f>$Z41-SUMIF('11.2. ДА за периода'!$B$61:$B$108,$B41,'11.2. ДА за периода'!$Z$61:$Z$108)+SUMIF('11.2. ДА за периода'!$B$61:$B$108,$B41,'11.2. ДА за периода'!AE$61:AE$108)+SUMIF('11.1.Амортиз.нови активи'!$B$61:$B$108,$B41,'11.1.Амортиз.нови активи'!AE$61:AE$108)</f>
        <v>0</v>
      </c>
      <c r="AF41" s="2618">
        <f>$Z41-SUMIF('11.2. ДА за периода'!$B$61:$B$108,$B41,'11.2. ДА за периода'!$Z$61:$Z$108)+SUMIF('11.2. ДА за периода'!$B$61:$B$108,$B41,'11.2. ДА за периода'!AF$61:AF$108)+SUMIF('11.1.Амортиз.нови активи'!$B$61:$B$108,$B41,'11.1.Амортиз.нови активи'!AF$61:AF$108)</f>
        <v>0</v>
      </c>
      <c r="AG41" s="2641">
        <f>+'11.3. ДА Базова година'!V46</f>
        <v>0</v>
      </c>
      <c r="AH41" s="2617">
        <f>$AG41-SUMIF('11.2. ДА за периода'!$B$61:$B$108,$B41,'11.2. ДА за периода'!$AG$61:$AG$108)+SUMIF('11.2. ДА за периода'!$B$61:$B$108,$B41,'11.2. ДА за периода'!AH$61:AH$108)+SUMIF('11.1.Амортиз.нови активи'!$B$61:$B$108,$B41,'11.1.Амортиз.нови активи'!AH$61:AH$108)+('11.1.Амортиз.нови активи'!T$112*SUMIF('11.1.Амортиз.нови активи'!$B$61:$B$108,$B41,'11.1.Амортиз.нови активи'!BB$61:BB$108))</f>
        <v>0</v>
      </c>
      <c r="AI41" s="1110">
        <f>$AG41-SUMIF('11.2. ДА за периода'!$B$61:$B$108,$B41,'11.2. ДА за периода'!$AG$61:$AG$108)+SUMIF('11.2. ДА за периода'!$B$61:$B$108,$B41,'11.2. ДА за периода'!AI$61:AI$108)+SUMIF('11.1.Амортиз.нови активи'!$B$61:$B$108,$B41,'11.1.Амортиз.нови активи'!AI$61:AI$108)+('11.1.Амортиз.нови активи'!U$112*SUMIF('11.1.Амортиз.нови активи'!$B$61:$B$108,$B41,'11.1.Амортиз.нови активи'!BC$61:BC$108))</f>
        <v>0</v>
      </c>
      <c r="AJ41" s="1110">
        <f>$AG41-SUMIF('11.2. ДА за периода'!$B$61:$B$108,$B41,'11.2. ДА за периода'!$AG$61:$AG$108)+SUMIF('11.2. ДА за периода'!$B$61:$B$108,$B41,'11.2. ДА за периода'!AJ$61:AJ$108)+SUMIF('11.1.Амортиз.нови активи'!$B$61:$B$108,$B41,'11.1.Амортиз.нови активи'!AJ$61:AJ$108)+('11.1.Амортиз.нови активи'!V$112*SUMIF('11.1.Амортиз.нови активи'!$B$61:$B$108,$B41,'11.1.Амортиз.нови активи'!BD$61:BD$108))</f>
        <v>0</v>
      </c>
      <c r="AK41" s="1110">
        <f>$AG41-SUMIF('11.2. ДА за периода'!$B$61:$B$108,$B41,'11.2. ДА за периода'!$AG$61:$AG$108)+SUMIF('11.2. ДА за периода'!$B$61:$B$108,$B41,'11.2. ДА за периода'!AK$61:AK$108)+SUMIF('11.1.Амортиз.нови активи'!$B$61:$B$108,$B41,'11.1.Амортиз.нови активи'!AK$61:AK$108)+('11.1.Амортиз.нови активи'!W$112*SUMIF('11.1.Амортиз.нови активи'!$B$61:$B$108,$B41,'11.1.Амортиз.нови активи'!BE$61:BE$108))</f>
        <v>0</v>
      </c>
      <c r="AL41" s="1110">
        <f>$AG41-SUMIF('11.2. ДА за периода'!$B$61:$B$108,$B41,'11.2. ДА за периода'!$AG$61:$AG$108)+SUMIF('11.2. ДА за периода'!$B$61:$B$108,$B41,'11.2. ДА за периода'!AL$61:AL$108)+SUMIF('11.1.Амортиз.нови активи'!$B$61:$B$108,$B41,'11.1.Амортиз.нови активи'!AL$61:AL$108)+('11.1.Амортиз.нови активи'!X$112*SUMIF('11.1.Амортиз.нови активи'!$B$61:$B$108,$B41,'11.1.Амортиз.нови активи'!BF$61:BF$108))</f>
        <v>0</v>
      </c>
      <c r="AM41" s="2618">
        <f>$AG41-SUMIF('11.2. ДА за периода'!$B$61:$B$108,$B41,'11.2. ДА за периода'!$AG$61:$AG$108)+SUMIF('11.2. ДА за периода'!$B$61:$B$108,$B41,'11.2. ДА за периода'!AM$61:AM$108)+SUMIF('11.1.Амортиз.нови активи'!$B$61:$B$108,$B41,'11.1.Амортиз.нови активи'!AM$61:AM$108)+('11.1.Амортиз.нови активи'!Y$112*SUMIF('11.1.Амортиз.нови активи'!$B$61:$B$108,$B41,'11.1.Амортиз.нови активи'!BG$61:BG$108))</f>
        <v>0</v>
      </c>
      <c r="AN41" s="2513"/>
      <c r="AO41" s="2549"/>
      <c r="AP41" s="4422"/>
      <c r="AQ41" s="4438">
        <f t="shared" si="31"/>
        <v>57.775982575172691</v>
      </c>
      <c r="AR41" s="4438">
        <f t="shared" si="32"/>
        <v>82.752590971607972</v>
      </c>
      <c r="AS41" s="4438">
        <f t="shared" si="33"/>
        <v>87.251959526134684</v>
      </c>
      <c r="AT41" s="4438">
        <f t="shared" si="34"/>
        <v>87.251959526134684</v>
      </c>
      <c r="AU41" s="4438">
        <f t="shared" si="35"/>
        <v>86.689538456818838</v>
      </c>
      <c r="AV41" s="4438">
        <f t="shared" si="36"/>
        <v>84.746629308273214</v>
      </c>
      <c r="AW41" s="4438">
        <f t="shared" si="37"/>
        <v>84.746629308273214</v>
      </c>
      <c r="AX41" s="4438">
        <f t="shared" si="38"/>
        <v>0</v>
      </c>
      <c r="AY41" s="4438">
        <f t="shared" si="39"/>
        <v>5.1129188119621851</v>
      </c>
      <c r="AZ41" s="4438">
        <f t="shared" si="40"/>
        <v>10.22583762392437</v>
      </c>
      <c r="BA41" s="4438">
        <f t="shared" si="41"/>
        <v>10.22583762392437</v>
      </c>
      <c r="BB41" s="4438">
        <f t="shared" si="42"/>
        <v>10.22583762392437</v>
      </c>
      <c r="BC41" s="4438">
        <f t="shared" si="43"/>
        <v>10.22583762392437</v>
      </c>
      <c r="BD41" s="4438">
        <f t="shared" si="44"/>
        <v>10.22583762392437</v>
      </c>
      <c r="BE41" s="4438">
        <f t="shared" si="45"/>
        <v>0.51129188119621849</v>
      </c>
      <c r="BF41" s="4438">
        <f t="shared" si="46"/>
        <v>0.51129188119621849</v>
      </c>
      <c r="BG41" s="4438">
        <f t="shared" si="47"/>
        <v>0.51129188119621849</v>
      </c>
      <c r="BH41" s="4438">
        <f t="shared" si="48"/>
        <v>0.51129188119621849</v>
      </c>
      <c r="BI41" s="4438">
        <f t="shared" si="49"/>
        <v>0.51129188119621849</v>
      </c>
      <c r="BJ41" s="4438">
        <f t="shared" si="50"/>
        <v>0.51129188119621849</v>
      </c>
      <c r="BK41" s="4438">
        <f t="shared" si="51"/>
        <v>0.51129188119621849</v>
      </c>
      <c r="BL41" s="4438">
        <f t="shared" si="52"/>
        <v>0</v>
      </c>
      <c r="BM41" s="4438">
        <f t="shared" si="53"/>
        <v>0</v>
      </c>
      <c r="BN41" s="4438">
        <f t="shared" si="54"/>
        <v>0</v>
      </c>
      <c r="BO41" s="4438">
        <f t="shared" si="55"/>
        <v>0</v>
      </c>
      <c r="BP41" s="4438">
        <f t="shared" si="56"/>
        <v>0</v>
      </c>
      <c r="BQ41" s="4438">
        <f t="shared" si="57"/>
        <v>0</v>
      </c>
      <c r="BR41" s="4438">
        <f t="shared" si="58"/>
        <v>0</v>
      </c>
      <c r="BS41" s="4438">
        <f t="shared" si="59"/>
        <v>0</v>
      </c>
      <c r="BT41" s="4438">
        <f t="shared" si="60"/>
        <v>0</v>
      </c>
      <c r="BU41" s="4438">
        <f t="shared" si="61"/>
        <v>0</v>
      </c>
      <c r="BV41" s="4438">
        <f t="shared" si="62"/>
        <v>0</v>
      </c>
      <c r="BW41" s="4438">
        <f t="shared" si="63"/>
        <v>0</v>
      </c>
      <c r="BX41" s="4438">
        <f t="shared" si="64"/>
        <v>0</v>
      </c>
      <c r="BY41" s="4438">
        <f t="shared" si="65"/>
        <v>0</v>
      </c>
    </row>
    <row r="42" spans="1:77">
      <c r="A42" s="2515"/>
      <c r="B42" s="2545">
        <v>20306</v>
      </c>
      <c r="C42" s="2511">
        <v>0.1</v>
      </c>
      <c r="D42" s="2550" t="s">
        <v>409</v>
      </c>
      <c r="E42" s="2641">
        <f>+'11.3. ДА Базова година'!F47</f>
        <v>12</v>
      </c>
      <c r="F42" s="2617">
        <f>$E42-SUMIF('11.2. ДА за периода'!$B$61:$B$108,$B42,'11.2. ДА за периода'!$E$61:$E$108)+SUMIF('11.2. ДА за периода'!$B$61:$B$108,$B42,'11.2. ДА за периода'!F$61:F$108)+SUMIF('11.1.Амортиз.нови активи'!$B$61:$B$108,$B42,'11.1.Амортиз.нови активи'!F$61:F$108)+('11.1.Амортиз.нови активи'!F$110*SUMIF('11.1.Амортиз.нови активи'!$B$61:$B$108,$B42,'11.1.Амортиз.нови активи'!AO$61:AO$108))</f>
        <v>11.05</v>
      </c>
      <c r="G42" s="1110">
        <f>$E42-SUMIF('11.2. ДА за периода'!$B$61:$B$108,$B42,'11.2. ДА за периода'!$E$61:$E$108)+SUMIF('11.2. ДА за периода'!$B$61:$B$108,$B42,'11.2. ДА за периода'!G$61:G$108)+SUMIF('11.1.Амортиз.нови активи'!$B$61:$B$108,$B42,'11.1.Амортиз.нови активи'!G$61:G$108)+('11.1.Амортиз.нови активи'!G$110*SUMIF('11.1.Амортиз.нови активи'!$B$61:$B$108,$B42,'11.1.Амортиз.нови активи'!AP$61:AP$108))</f>
        <v>13.045016829307331</v>
      </c>
      <c r="H42" s="1110">
        <f>$E42-SUMIF('11.2. ДА за периода'!$B$61:$B$108,$B42,'11.2. ДА за периода'!$E$61:$E$108)+SUMIF('11.2. ДА за периода'!$B$61:$B$108,$B42,'11.2. ДА за периода'!H$61:H$108)+SUMIF('11.1.Амортиз.нови активи'!$B$61:$B$108,$B42,'11.1.Амортиз.нови активи'!H$61:H$108)+('11.1.Амортиз.нови активи'!H$110*SUMIF('11.1.Амортиз.нови активи'!$B$61:$B$108,$B42,'11.1.Амортиз.нови активи'!AQ$61:AQ$108))</f>
        <v>15.262693376888851</v>
      </c>
      <c r="I42" s="1110">
        <f>$E42-SUMIF('11.2. ДА за периода'!$B$61:$B$108,$B42,'11.2. ДА за периода'!$E$61:$E$108)+SUMIF('11.2. ДА за периода'!$B$61:$B$108,$B42,'11.2. ДА за периода'!I$61:I$108)+SUMIF('11.1.Амортиз.нови активи'!$B$61:$B$108,$B42,'11.1.Амортиз.нови активи'!I$61:I$108)+('11.1.Амортиз.нови активи'!I$110*SUMIF('11.1.Амортиз.нови активи'!$B$61:$B$108,$B42,'11.1.Амортиз.нови активи'!AR$61:AR$108))</f>
        <v>15.545790990061462</v>
      </c>
      <c r="J42" s="1110">
        <f>$E42-SUMIF('11.2. ДА за периода'!$B$61:$B$108,$B42,'11.2. ДА за периода'!$E$61:$E$108)+SUMIF('11.2. ДА за периода'!$B$61:$B$108,$B42,'11.2. ДА за периода'!J$61:J$108)+SUMIF('11.1.Амортиз.нови активи'!$B$61:$B$108,$B42,'11.1.Амортиз.нови активи'!J$61:J$108)+('11.1.Амортиз.нови активи'!J$110*SUMIF('11.1.Амортиз.нови активи'!$B$61:$B$108,$B42,'11.1.Амортиз.нови активи'!AS$61:AS$108))</f>
        <v>16.16496389062349</v>
      </c>
      <c r="K42" s="2618">
        <f>$E42-SUMIF('11.2. ДА за периода'!$B$61:$B$108,$B42,'11.2. ДА за периода'!$E$61:$E$108)+SUMIF('11.2. ДА за периода'!$B$61:$B$108,$B42,'11.2. ДА за периода'!K$61:K$108)+SUMIF('11.1.Амортиз.нови активи'!$B$61:$B$108,$B42,'11.1.Амортиз.нови активи'!K$61:K$108)+('11.1.Амортиз.нови активи'!K$110*SUMIF('11.1.Амортиз.нови активи'!$B$61:$B$108,$B42,'11.1.Амортиз.нови активи'!AT$61:AT$108))</f>
        <v>16.377729128872247</v>
      </c>
      <c r="L42" s="2641">
        <f>+'11.3. ДА Базова година'!J47</f>
        <v>0</v>
      </c>
      <c r="M42" s="2617">
        <f>$L42-SUMIF('11.2. ДА за периода'!$B$61:$B$108,$B42,'11.2. ДА за периода'!$L$61:$L$108)+SUMIF('11.2. ДА за периода'!$B$61:$B$108,$B42,'11.2. ДА за периода'!M$61:M$108)+SUMIF('11.1.Амортиз.нови активи'!$B$61:$B$108,$B42,'11.1.Амортиз.нови активи'!M$61:M$108)+('11.1.Амортиз.нови активи'!F$111*SUMIF('11.1.Амортиз.нови активи'!$B$61:$B$108,$B42,'11.1.Амортиз.нови активи'!AO$61:AO$108))</f>
        <v>0</v>
      </c>
      <c r="N42" s="1110">
        <f>$L42-SUMIF('11.2. ДА за периода'!$B$61:$B$108,$B42,'11.2. ДА за периода'!$L$61:$L$108)+SUMIF('11.2. ДА за периода'!$B$61:$B$108,$B42,'11.2. ДА за периода'!N$61:N$108)+SUMIF('11.1.Амортиз.нови активи'!$B$61:$B$108,$B42,'11.1.Амортиз.нови активи'!N$61:N$108)+('11.1.Амортиз.нови активи'!G$111*SUMIF('11.1.Амортиз.нови активи'!$B$61:$B$108,$B42,'11.1.Амортиз.нови активи'!AP$61:AP$108))</f>
        <v>0.56400379991778071</v>
      </c>
      <c r="O42" s="1110">
        <f>$L42-SUMIF('11.2. ДА за периода'!$B$61:$B$108,$B42,'11.2. ДА за периода'!$L$61:$L$108)+SUMIF('11.2. ДА за периода'!$B$61:$B$108,$B42,'11.2. ДА за периода'!O$61:O$108)+SUMIF('11.1.Амортиз.нови активи'!$B$61:$B$108,$B42,'11.1.Амортиз.нови активи'!O$61:O$108)+('11.1.Амортиз.нови активи'!H$111*SUMIF('11.1.Амортиз.нови активи'!$B$61:$B$108,$B42,'11.1.Амортиз.нови активи'!AQ$61:AQ$108))</f>
        <v>1.0238220855219187</v>
      </c>
      <c r="P42" s="1110">
        <f>$L42-SUMIF('11.2. ДА за периода'!$B$61:$B$108,$B42,'11.2. ДА за периода'!$L$61:$L$108)+SUMIF('11.2. ДА за периода'!$B$61:$B$108,$B42,'11.2. ДА за периода'!P$61:P$108)+SUMIF('11.1.Амортиз.нови активи'!$B$61:$B$108,$B42,'11.1.Амортиз.нови активи'!P$61:P$108)+('11.1.Амортиз.нови активи'!I$111*SUMIF('11.1.Амортиз.нови активи'!$B$61:$B$108,$B42,'11.1.Амортиз.нови активи'!AR$61:AR$108))</f>
        <v>1.0656740001219507</v>
      </c>
      <c r="Q42" s="1110">
        <f>$L42-SUMIF('11.2. ДА за периода'!$B$61:$B$108,$B42,'11.2. ДА за периода'!$L$61:$L$108)+SUMIF('11.2. ДА за периода'!$B$61:$B$108,$B42,'11.2. ДА за периода'!Q$61:Q$108)+SUMIF('11.1.Амортиз.нови активи'!$B$61:$B$108,$B42,'11.1.Амортиз.нови активи'!Q$61:Q$108)+('11.1.Амортиз.нови активи'!J$111*SUMIF('11.1.Амортиз.нови активи'!$B$61:$B$108,$B42,'11.1.Амортиз.нови активи'!AS$61:AS$108))</f>
        <v>1.1094660837458781</v>
      </c>
      <c r="R42" s="2618">
        <f>$L42-SUMIF('11.2. ДА за периода'!$B$61:$B$108,$B42,'11.2. ДА за периода'!$L$61:$L$108)+SUMIF('11.2. ДА за периода'!$B$61:$B$108,$B42,'11.2. ДА за периода'!R$61:R$108)+SUMIF('11.1.Амортиз.нови активи'!$B$61:$B$108,$B42,'11.1.Амортиз.нови активи'!R$61:R$108)+('11.1.Амортиз.нови активи'!K$111*SUMIF('11.1.Амортиз.нови активи'!$B$61:$B$108,$B42,'11.1.Амортиз.нови активи'!AT$61:AT$108))</f>
        <v>1.1430651623098214</v>
      </c>
      <c r="S42" s="2641">
        <f>+'11.3. ДА Базова година'!N47</f>
        <v>0</v>
      </c>
      <c r="T42" s="2617">
        <f>$S42-SUMIF('11.2. ДА за периода'!$B$61:$B$108,$B42,'11.2. ДА за периода'!$S$61:$S$108)+SUMIF('11.2. ДА за периода'!$B$61:$B$108,$B42,'11.2. ДА за периода'!T$61:T$108)+SUMIF('11.1.Амортиз.нови активи'!$B$61:$B$108,$B42,'11.1.Амортиз.нови активи'!T$61:T$108)+('11.1.Амортиз.нови активи'!F$112*SUMIF('11.1.Амортиз.нови активи'!$B$61:$B$108,$B42,'11.1.Амортиз.нови активи'!AO$61:AO$108))</f>
        <v>-0.15000000000000002</v>
      </c>
      <c r="U42" s="1110">
        <f>$S42-SUMIF('11.2. ДА за периода'!$B$61:$B$108,$B42,'11.2. ДА за периода'!$S$61:$S$108)+SUMIF('11.2. ДА за периода'!$B$61:$B$108,$B42,'11.2. ДА за периода'!U$61:U$108)+SUMIF('11.1.Амортиз.нови активи'!$B$61:$B$108,$B42,'11.1.Амортиз.нови активи'!U$61:U$108)+('11.1.Амортиз.нови активи'!G$112*SUMIF('11.1.Амортиз.нови активи'!$B$61:$B$108,$B42,'11.1.Амортиз.нови активи'!AP$61:AP$108))</f>
        <v>0.1409793707748884</v>
      </c>
      <c r="V42" s="1110">
        <f>$S42-SUMIF('11.2. ДА за периода'!$B$61:$B$108,$B42,'11.2. ДА за периода'!$S$61:$S$108)+SUMIF('11.2. ДА за периода'!$B$61:$B$108,$B42,'11.2. ДА за периода'!V$61:V$108)+SUMIF('11.1.Амортиз.нови активи'!$B$61:$B$108,$B42,'11.1.Амортиз.нови активи'!V$61:V$108)+('11.1.Амортиз.нови активи'!H$112*SUMIF('11.1.Амортиз.нови активи'!$B$61:$B$108,$B42,'11.1.Амортиз.нови активи'!AQ$61:AQ$108))</f>
        <v>0.71348453758923225</v>
      </c>
      <c r="W42" s="1110">
        <f>$S42-SUMIF('11.2. ДА за периода'!$B$61:$B$108,$B42,'11.2. ДА за периода'!$S$61:$S$108)+SUMIF('11.2. ДА за периода'!$B$61:$B$108,$B42,'11.2. ДА за периода'!W$61:W$108)+SUMIF('11.1.Амортиз.нови активи'!$B$61:$B$108,$B42,'11.1.Амортиз.нови активи'!W$61:W$108)+('11.1.Амортиз.нови активи'!I$112*SUMIF('11.1.Амортиз.нови активи'!$B$61:$B$108,$B42,'11.1.Амортиз.нови активи'!AR$61:AR$108))</f>
        <v>0.98853500981658804</v>
      </c>
      <c r="X42" s="1110">
        <f>$S42-SUMIF('11.2. ДА за периода'!$B$61:$B$108,$B42,'11.2. ДА за периода'!$S$61:$S$108)+SUMIF('11.2. ДА за периода'!$B$61:$B$108,$B42,'11.2. ДА за периода'!X$61:X$108)+SUMIF('11.1.Амортиз.нови активи'!$B$61:$B$108,$B42,'11.1.Амортиз.нови активи'!X$61:X$108)+('11.1.Амортиз.нови активи'!J$112*SUMIF('11.1.Амортиз.нови активи'!$B$61:$B$108,$B42,'11.1.Амортиз.нови активи'!AS$61:AS$108))</f>
        <v>1.1255700256306322</v>
      </c>
      <c r="Y42" s="2618">
        <f>$S42-SUMIF('11.2. ДА за периода'!$B$61:$B$108,$B42,'11.2. ДА за периода'!$S$61:$S$108)+SUMIF('11.2. ДА за периода'!$B$61:$B$108,$B42,'11.2. ДА за периода'!Y$61:Y$108)+SUMIF('11.1.Амортиз.нови активи'!$B$61:$B$108,$B42,'11.1.Амортиз.нови активи'!Y$61:Y$108)+('11.1.Амортиз.нови активи'!K$112*SUMIF('11.1.Амортиз.нови активи'!$B$61:$B$108,$B42,'11.1.Амортиз.нови активи'!AT$61:AT$108))</f>
        <v>1.1792057088179304</v>
      </c>
      <c r="Z42" s="4387">
        <f>+'11.3. ДА Базова година'!R47</f>
        <v>0</v>
      </c>
      <c r="AA42" s="2617">
        <f>$Z42-SUMIF('11.2. ДА за периода'!$B$61:$B$108,$B42,'11.2. ДА за периода'!$Z$61:$Z$108)+SUMIF('11.2. ДА за периода'!$B$61:$B$108,$B42,'11.2. ДА за периода'!AA$61:AA$108)+SUMIF('11.1.Амортиз.нови активи'!$B$61:$B$108,$B42,'11.1.Амортиз.нови активи'!AA$61:AA$108)</f>
        <v>0</v>
      </c>
      <c r="AB42" s="1110">
        <f>$Z42-SUMIF('11.2. ДА за периода'!$B$61:$B$108,$B42,'11.2. ДА за периода'!$Z$61:$Z$108)+SUMIF('11.2. ДА за периода'!$B$61:$B$108,$B42,'11.2. ДА за периода'!AB$61:AB$108)+SUMIF('11.1.Амортиз.нови активи'!$B$61:$B$108,$B42,'11.1.Амортиз.нови активи'!AB$61:AB$108)</f>
        <v>0</v>
      </c>
      <c r="AC42" s="1110">
        <f>$Z42-SUMIF('11.2. ДА за периода'!$B$61:$B$108,$B42,'11.2. ДА за периода'!$Z$61:$Z$108)+SUMIF('11.2. ДА за периода'!$B$61:$B$108,$B42,'11.2. ДА за периода'!AC$61:AC$108)+SUMIF('11.1.Амортиз.нови активи'!$B$61:$B$108,$B42,'11.1.Амортиз.нови активи'!AC$61:AC$108)</f>
        <v>0</v>
      </c>
      <c r="AD42" s="1110">
        <f>$Z42-SUMIF('11.2. ДА за периода'!$B$61:$B$108,$B42,'11.2. ДА за периода'!$Z$61:$Z$108)+SUMIF('11.2. ДА за периода'!$B$61:$B$108,$B42,'11.2. ДА за периода'!AD$61:AD$108)+SUMIF('11.1.Амортиз.нови активи'!$B$61:$B$108,$B42,'11.1.Амортиз.нови активи'!AD$61:AD$108)</f>
        <v>0</v>
      </c>
      <c r="AE42" s="1110">
        <f>$Z42-SUMIF('11.2. ДА за периода'!$B$61:$B$108,$B42,'11.2. ДА за периода'!$Z$61:$Z$108)+SUMIF('11.2. ДА за периода'!$B$61:$B$108,$B42,'11.2. ДА за периода'!AE$61:AE$108)+SUMIF('11.1.Амортиз.нови активи'!$B$61:$B$108,$B42,'11.1.Амортиз.нови активи'!AE$61:AE$108)</f>
        <v>0</v>
      </c>
      <c r="AF42" s="2618">
        <f>$Z42-SUMIF('11.2. ДА за периода'!$B$61:$B$108,$B42,'11.2. ДА за периода'!$Z$61:$Z$108)+SUMIF('11.2. ДА за периода'!$B$61:$B$108,$B42,'11.2. ДА за периода'!AF$61:AF$108)+SUMIF('11.1.Амортиз.нови активи'!$B$61:$B$108,$B42,'11.1.Амортиз.нови активи'!AF$61:AF$108)</f>
        <v>0</v>
      </c>
      <c r="AG42" s="2641">
        <f>+'11.3. ДА Базова година'!V47</f>
        <v>0</v>
      </c>
      <c r="AH42" s="2617">
        <f>$AG42-SUMIF('11.2. ДА за периода'!$B$61:$B$108,$B42,'11.2. ДА за периода'!$AG$61:$AG$108)+SUMIF('11.2. ДА за периода'!$B$61:$B$108,$B42,'11.2. ДА за периода'!AH$61:AH$108)+SUMIF('11.1.Амортиз.нови активи'!$B$61:$B$108,$B42,'11.1.Амортиз.нови активи'!AH$61:AH$108)+('11.1.Амортиз.нови активи'!T$112*SUMIF('11.1.Амортиз.нови активи'!$B$61:$B$108,$B42,'11.1.Амортиз.нови активи'!BB$61:BB$108))</f>
        <v>0</v>
      </c>
      <c r="AI42" s="1110">
        <f>$AG42-SUMIF('11.2. ДА за периода'!$B$61:$B$108,$B42,'11.2. ДА за периода'!$AG$61:$AG$108)+SUMIF('11.2. ДА за периода'!$B$61:$B$108,$B42,'11.2. ДА за периода'!AI$61:AI$108)+SUMIF('11.1.Амортиз.нови активи'!$B$61:$B$108,$B42,'11.1.Амортиз.нови активи'!AI$61:AI$108)+('11.1.Амортиз.нови активи'!U$112*SUMIF('11.1.Амортиз.нови активи'!$B$61:$B$108,$B42,'11.1.Амортиз.нови активи'!BC$61:BC$108))</f>
        <v>0</v>
      </c>
      <c r="AJ42" s="1110">
        <f>$AG42-SUMIF('11.2. ДА за периода'!$B$61:$B$108,$B42,'11.2. ДА за периода'!$AG$61:$AG$108)+SUMIF('11.2. ДА за периода'!$B$61:$B$108,$B42,'11.2. ДА за периода'!AJ$61:AJ$108)+SUMIF('11.1.Амортиз.нови активи'!$B$61:$B$108,$B42,'11.1.Амортиз.нови активи'!AJ$61:AJ$108)+('11.1.Амортиз.нови активи'!V$112*SUMIF('11.1.Амортиз.нови активи'!$B$61:$B$108,$B42,'11.1.Амортиз.нови активи'!BD$61:BD$108))</f>
        <v>0</v>
      </c>
      <c r="AK42" s="1110">
        <f>$AG42-SUMIF('11.2. ДА за периода'!$B$61:$B$108,$B42,'11.2. ДА за периода'!$AG$61:$AG$108)+SUMIF('11.2. ДА за периода'!$B$61:$B$108,$B42,'11.2. ДА за периода'!AK$61:AK$108)+SUMIF('11.1.Амортиз.нови активи'!$B$61:$B$108,$B42,'11.1.Амортиз.нови активи'!AK$61:AK$108)+('11.1.Амортиз.нови активи'!W$112*SUMIF('11.1.Амортиз.нови активи'!$B$61:$B$108,$B42,'11.1.Амортиз.нови активи'!BE$61:BE$108))</f>
        <v>0</v>
      </c>
      <c r="AL42" s="1110">
        <f>$AG42-SUMIF('11.2. ДА за периода'!$B$61:$B$108,$B42,'11.2. ДА за периода'!$AG$61:$AG$108)+SUMIF('11.2. ДА за периода'!$B$61:$B$108,$B42,'11.2. ДА за периода'!AL$61:AL$108)+SUMIF('11.1.Амортиз.нови активи'!$B$61:$B$108,$B42,'11.1.Амортиз.нови активи'!AL$61:AL$108)+('11.1.Амортиз.нови активи'!X$112*SUMIF('11.1.Амортиз.нови активи'!$B$61:$B$108,$B42,'11.1.Амортиз.нови активи'!BF$61:BF$108))</f>
        <v>0</v>
      </c>
      <c r="AM42" s="2618">
        <f>$AG42-SUMIF('11.2. ДА за периода'!$B$61:$B$108,$B42,'11.2. ДА за периода'!$AG$61:$AG$108)+SUMIF('11.2. ДА за периода'!$B$61:$B$108,$B42,'11.2. ДА за периода'!AM$61:AM$108)+SUMIF('11.1.Амортиз.нови активи'!$B$61:$B$108,$B42,'11.1.Амортиз.нови активи'!AM$61:AM$108)+('11.1.Амортиз.нови активи'!Y$112*SUMIF('11.1.Амортиз.нови активи'!$B$61:$B$108,$B42,'11.1.Амортиз.нови активи'!BG$61:BG$108))</f>
        <v>0</v>
      </c>
      <c r="AN42" s="2513"/>
      <c r="AO42" s="2551"/>
      <c r="AP42" s="4422"/>
      <c r="AQ42" s="4438">
        <f t="shared" si="31"/>
        <v>6.1355025743546223</v>
      </c>
      <c r="AR42" s="4438">
        <f t="shared" si="32"/>
        <v>5.6497752872182145</v>
      </c>
      <c r="AS42" s="4438">
        <f t="shared" si="33"/>
        <v>6.6698111948928744</v>
      </c>
      <c r="AT42" s="4438">
        <f t="shared" si="34"/>
        <v>7.8036912087905659</v>
      </c>
      <c r="AU42" s="4438">
        <f t="shared" si="35"/>
        <v>7.9484367199917489</v>
      </c>
      <c r="AV42" s="4438">
        <f t="shared" si="36"/>
        <v>8.2650147971058274</v>
      </c>
      <c r="AW42" s="4438">
        <f t="shared" si="37"/>
        <v>8.3737999360231949</v>
      </c>
      <c r="AX42" s="4438">
        <f t="shared" si="38"/>
        <v>0</v>
      </c>
      <c r="AY42" s="4438">
        <f t="shared" si="39"/>
        <v>0</v>
      </c>
      <c r="AZ42" s="4438">
        <f t="shared" si="40"/>
        <v>0.28837056386177773</v>
      </c>
      <c r="BA42" s="4438">
        <f t="shared" si="41"/>
        <v>0.52347192011673749</v>
      </c>
      <c r="BB42" s="4438">
        <f t="shared" si="42"/>
        <v>0.54487046426425134</v>
      </c>
      <c r="BC42" s="4438">
        <f t="shared" si="43"/>
        <v>0.56726100108183131</v>
      </c>
      <c r="BD42" s="4438">
        <f t="shared" si="44"/>
        <v>0.5844399371672494</v>
      </c>
      <c r="BE42" s="4438">
        <f t="shared" si="45"/>
        <v>0</v>
      </c>
      <c r="BF42" s="4438">
        <f t="shared" si="46"/>
        <v>-7.669378217943279E-2</v>
      </c>
      <c r="BG42" s="4438">
        <f t="shared" si="47"/>
        <v>7.2081607693351882E-2</v>
      </c>
      <c r="BH42" s="4438">
        <f t="shared" si="48"/>
        <v>0.36479885142841262</v>
      </c>
      <c r="BI42" s="4438">
        <f t="shared" si="49"/>
        <v>0.50542992479744564</v>
      </c>
      <c r="BJ42" s="4438">
        <f t="shared" si="50"/>
        <v>0.57549481582276185</v>
      </c>
      <c r="BK42" s="4438">
        <f t="shared" si="51"/>
        <v>0.60291830517883993</v>
      </c>
      <c r="BL42" s="4438">
        <f t="shared" si="52"/>
        <v>0</v>
      </c>
      <c r="BM42" s="4438">
        <f t="shared" si="53"/>
        <v>0</v>
      </c>
      <c r="BN42" s="4438">
        <f t="shared" si="54"/>
        <v>0</v>
      </c>
      <c r="BO42" s="4438">
        <f t="shared" si="55"/>
        <v>0</v>
      </c>
      <c r="BP42" s="4438">
        <f t="shared" si="56"/>
        <v>0</v>
      </c>
      <c r="BQ42" s="4438">
        <f t="shared" si="57"/>
        <v>0</v>
      </c>
      <c r="BR42" s="4438">
        <f t="shared" si="58"/>
        <v>0</v>
      </c>
      <c r="BS42" s="4438">
        <f t="shared" si="59"/>
        <v>0</v>
      </c>
      <c r="BT42" s="4438">
        <f t="shared" si="60"/>
        <v>0</v>
      </c>
      <c r="BU42" s="4438">
        <f t="shared" si="61"/>
        <v>0</v>
      </c>
      <c r="BV42" s="4438">
        <f t="shared" si="62"/>
        <v>0</v>
      </c>
      <c r="BW42" s="4438">
        <f t="shared" si="63"/>
        <v>0</v>
      </c>
      <c r="BX42" s="4438">
        <f t="shared" si="64"/>
        <v>0</v>
      </c>
      <c r="BY42" s="4438">
        <f t="shared" si="65"/>
        <v>0</v>
      </c>
    </row>
    <row r="43" spans="1:77">
      <c r="A43" s="2515">
        <v>4</v>
      </c>
      <c r="B43" s="2516">
        <v>20403</v>
      </c>
      <c r="C43" s="2522">
        <v>0.04</v>
      </c>
      <c r="D43" s="2552" t="s">
        <v>434</v>
      </c>
      <c r="E43" s="2641">
        <f>+'11.3. ДА Базова година'!F48</f>
        <v>0</v>
      </c>
      <c r="F43" s="2617">
        <f>$E43-SUMIF('11.2. ДА за периода'!$B$61:$B$108,$B43,'11.2. ДА за периода'!$E$61:$E$108)+SUMIF('11.2. ДА за периода'!$B$61:$B$108,$B43,'11.2. ДА за периода'!F$61:F$108)+SUMIF('11.1.Амортиз.нови активи'!$B$61:$B$108,$B43,'11.1.Амортиз.нови активи'!F$61:F$108)+('11.1.Амортиз.нови активи'!F$110*SUMIF('11.1.Амортиз.нови активи'!$B$61:$B$108,$B43,'11.1.Амортиз.нови активи'!AO$61:AO$108))</f>
        <v>0</v>
      </c>
      <c r="G43" s="1110">
        <f>$E43-SUMIF('11.2. ДА за периода'!$B$61:$B$108,$B43,'11.2. ДА за периода'!$E$61:$E$108)+SUMIF('11.2. ДА за периода'!$B$61:$B$108,$B43,'11.2. ДА за периода'!G$61:G$108)+SUMIF('11.1.Амортиз.нови активи'!$B$61:$B$108,$B43,'11.1.Амортиз.нови активи'!G$61:G$108)+('11.1.Амортиз.нови активи'!G$110*SUMIF('11.1.Амортиз.нови активи'!$B$61:$B$108,$B43,'11.1.Амортиз.нови активи'!AP$61:AP$108))</f>
        <v>0</v>
      </c>
      <c r="H43" s="1110">
        <f>$E43-SUMIF('11.2. ДА за периода'!$B$61:$B$108,$B43,'11.2. ДА за периода'!$E$61:$E$108)+SUMIF('11.2. ДА за периода'!$B$61:$B$108,$B43,'11.2. ДА за периода'!H$61:H$108)+SUMIF('11.1.Амортиз.нови активи'!$B$61:$B$108,$B43,'11.1.Амортиз.нови активи'!H$61:H$108)+('11.1.Амортиз.нови активи'!H$110*SUMIF('11.1.Амортиз.нови активи'!$B$61:$B$108,$B43,'11.1.Амортиз.нови активи'!AQ$61:AQ$108))</f>
        <v>0</v>
      </c>
      <c r="I43" s="1110">
        <f>$E43-SUMIF('11.2. ДА за периода'!$B$61:$B$108,$B43,'11.2. ДА за периода'!$E$61:$E$108)+SUMIF('11.2. ДА за периода'!$B$61:$B$108,$B43,'11.2. ДА за периода'!I$61:I$108)+SUMIF('11.1.Амортиз.нови активи'!$B$61:$B$108,$B43,'11.1.Амортиз.нови активи'!I$61:I$108)+('11.1.Амортиз.нови активи'!I$110*SUMIF('11.1.Амортиз.нови активи'!$B$61:$B$108,$B43,'11.1.Амортиз.нови активи'!AR$61:AR$108))</f>
        <v>0</v>
      </c>
      <c r="J43" s="1110">
        <f>$E43-SUMIF('11.2. ДА за периода'!$B$61:$B$108,$B43,'11.2. ДА за периода'!$E$61:$E$108)+SUMIF('11.2. ДА за периода'!$B$61:$B$108,$B43,'11.2. ДА за периода'!J$61:J$108)+SUMIF('11.1.Амортиз.нови активи'!$B$61:$B$108,$B43,'11.1.Амортиз.нови активи'!J$61:J$108)+('11.1.Амортиз.нови активи'!J$110*SUMIF('11.1.Амортиз.нови активи'!$B$61:$B$108,$B43,'11.1.Амортиз.нови активи'!AS$61:AS$108))</f>
        <v>-1.44</v>
      </c>
      <c r="K43" s="2618">
        <f>$E43-SUMIF('11.2. ДА за периода'!$B$61:$B$108,$B43,'11.2. ДА за периода'!$E$61:$E$108)+SUMIF('11.2. ДА за периода'!$B$61:$B$108,$B43,'11.2. ДА за периода'!K$61:K$108)+SUMIF('11.1.Амортиз.нови активи'!$B$61:$B$108,$B43,'11.1.Амортиз.нови активи'!K$61:K$108)+('11.1.Амортиз.нови активи'!K$110*SUMIF('11.1.Амортиз.нови активи'!$B$61:$B$108,$B43,'11.1.Амортиз.нови активи'!AT$61:AT$108))</f>
        <v>-1.44</v>
      </c>
      <c r="L43" s="2641">
        <f>+'11.3. ДА Базова година'!J48</f>
        <v>0</v>
      </c>
      <c r="M43" s="2617">
        <f>$L43-SUMIF('11.2. ДА за периода'!$B$61:$B$108,$B43,'11.2. ДА за периода'!$L$61:$L$108)+SUMIF('11.2. ДА за периода'!$B$61:$B$108,$B43,'11.2. ДА за периода'!M$61:M$108)+SUMIF('11.1.Амортиз.нови активи'!$B$61:$B$108,$B43,'11.1.Амортиз.нови активи'!M$61:M$108)+('11.1.Амортиз.нови активи'!F$111*SUMIF('11.1.Амортиз.нови активи'!$B$61:$B$108,$B43,'11.1.Амортиз.нови активи'!AO$61:AO$108))</f>
        <v>0</v>
      </c>
      <c r="N43" s="1110">
        <f>$L43-SUMIF('11.2. ДА за периода'!$B$61:$B$108,$B43,'11.2. ДА за периода'!$L$61:$L$108)+SUMIF('11.2. ДА за периода'!$B$61:$B$108,$B43,'11.2. ДА за периода'!N$61:N$108)+SUMIF('11.1.Амортиз.нови активи'!$B$61:$B$108,$B43,'11.1.Амортиз.нови активи'!N$61:N$108)+('11.1.Амортиз.нови активи'!G$111*SUMIF('11.1.Амортиз.нови активи'!$B$61:$B$108,$B43,'11.1.Амортиз.нови активи'!AP$61:AP$108))</f>
        <v>0</v>
      </c>
      <c r="O43" s="1110">
        <f>$L43-SUMIF('11.2. ДА за периода'!$B$61:$B$108,$B43,'11.2. ДА за периода'!$L$61:$L$108)+SUMIF('11.2. ДА за периода'!$B$61:$B$108,$B43,'11.2. ДА за периода'!O$61:O$108)+SUMIF('11.1.Амортиз.нови активи'!$B$61:$B$108,$B43,'11.1.Амортиз.нови активи'!O$61:O$108)+('11.1.Амортиз.нови активи'!H$111*SUMIF('11.1.Амортиз.нови активи'!$B$61:$B$108,$B43,'11.1.Амортиз.нови активи'!AQ$61:AQ$108))</f>
        <v>0</v>
      </c>
      <c r="P43" s="1110">
        <f>$L43-SUMIF('11.2. ДА за периода'!$B$61:$B$108,$B43,'11.2. ДА за периода'!$L$61:$L$108)+SUMIF('11.2. ДА за периода'!$B$61:$B$108,$B43,'11.2. ДА за периода'!P$61:P$108)+SUMIF('11.1.Амортиз.нови активи'!$B$61:$B$108,$B43,'11.1.Амортиз.нови активи'!P$61:P$108)+('11.1.Амортиз.нови активи'!I$111*SUMIF('11.1.Амортиз.нови активи'!$B$61:$B$108,$B43,'11.1.Амортиз.нови активи'!AR$61:AR$108))</f>
        <v>0</v>
      </c>
      <c r="Q43" s="1110">
        <f>$L43-SUMIF('11.2. ДА за периода'!$B$61:$B$108,$B43,'11.2. ДА за периода'!$L$61:$L$108)+SUMIF('11.2. ДА за периода'!$B$61:$B$108,$B43,'11.2. ДА за периода'!Q$61:Q$108)+SUMIF('11.1.Амортиз.нови активи'!$B$61:$B$108,$B43,'11.1.Амортиз.нови активи'!Q$61:Q$108)+('11.1.Амортиз.нови активи'!J$111*SUMIF('11.1.Амортиз.нови активи'!$B$61:$B$108,$B43,'11.1.Амортиз.нови активи'!AS$61:AS$108))</f>
        <v>0</v>
      </c>
      <c r="R43" s="2618">
        <f>$L43-SUMIF('11.2. ДА за периода'!$B$61:$B$108,$B43,'11.2. ДА за периода'!$L$61:$L$108)+SUMIF('11.2. ДА за периода'!$B$61:$B$108,$B43,'11.2. ДА за периода'!R$61:R$108)+SUMIF('11.1.Амортиз.нови активи'!$B$61:$B$108,$B43,'11.1.Амортиз.нови активи'!R$61:R$108)+('11.1.Амортиз.нови активи'!K$111*SUMIF('11.1.Амортиз.нови активи'!$B$61:$B$108,$B43,'11.1.Амортиз.нови активи'!AT$61:AT$108))</f>
        <v>0</v>
      </c>
      <c r="S43" s="2641">
        <f>+'11.3. ДА Базова година'!N48</f>
        <v>0</v>
      </c>
      <c r="T43" s="2617">
        <f>$S43-SUMIF('11.2. ДА за периода'!$B$61:$B$108,$B43,'11.2. ДА за периода'!$S$61:$S$108)+SUMIF('11.2. ДА за периода'!$B$61:$B$108,$B43,'11.2. ДА за периода'!T$61:T$108)+SUMIF('11.1.Амортиз.нови активи'!$B$61:$B$108,$B43,'11.1.Амортиз.нови активи'!T$61:T$108)+('11.1.Амортиз.нови активи'!F$112*SUMIF('11.1.Амортиз.нови активи'!$B$61:$B$108,$B43,'11.1.Амортиз.нови активи'!AO$61:AO$108))</f>
        <v>0</v>
      </c>
      <c r="U43" s="1110">
        <f>$S43-SUMIF('11.2. ДА за периода'!$B$61:$B$108,$B43,'11.2. ДА за периода'!$S$61:$S$108)+SUMIF('11.2. ДА за периода'!$B$61:$B$108,$B43,'11.2. ДА за периода'!U$61:U$108)+SUMIF('11.1.Амортиз.нови активи'!$B$61:$B$108,$B43,'11.1.Амортиз.нови активи'!U$61:U$108)+('11.1.Амортиз.нови активи'!G$112*SUMIF('11.1.Амортиз.нови активи'!$B$61:$B$108,$B43,'11.1.Амортиз.нови активи'!AP$61:AP$108))</f>
        <v>0</v>
      </c>
      <c r="V43" s="1110">
        <f>$S43-SUMIF('11.2. ДА за периода'!$B$61:$B$108,$B43,'11.2. ДА за периода'!$S$61:$S$108)+SUMIF('11.2. ДА за периода'!$B$61:$B$108,$B43,'11.2. ДА за периода'!V$61:V$108)+SUMIF('11.1.Амортиз.нови активи'!$B$61:$B$108,$B43,'11.1.Амортиз.нови активи'!V$61:V$108)+('11.1.Амортиз.нови активи'!H$112*SUMIF('11.1.Амортиз.нови активи'!$B$61:$B$108,$B43,'11.1.Амортиз.нови активи'!AQ$61:AQ$108))</f>
        <v>0</v>
      </c>
      <c r="W43" s="1110">
        <f>$S43-SUMIF('11.2. ДА за периода'!$B$61:$B$108,$B43,'11.2. ДА за периода'!$S$61:$S$108)+SUMIF('11.2. ДА за периода'!$B$61:$B$108,$B43,'11.2. ДА за периода'!W$61:W$108)+SUMIF('11.1.Амортиз.нови активи'!$B$61:$B$108,$B43,'11.1.Амортиз.нови активи'!W$61:W$108)+('11.1.Амортиз.нови активи'!I$112*SUMIF('11.1.Амортиз.нови активи'!$B$61:$B$108,$B43,'11.1.Амортиз.нови активи'!AR$61:AR$108))</f>
        <v>0</v>
      </c>
      <c r="X43" s="1110">
        <f>$S43-SUMIF('11.2. ДА за периода'!$B$61:$B$108,$B43,'11.2. ДА за периода'!$S$61:$S$108)+SUMIF('11.2. ДА за периода'!$B$61:$B$108,$B43,'11.2. ДА за периода'!X$61:X$108)+SUMIF('11.1.Амортиз.нови активи'!$B$61:$B$108,$B43,'11.1.Амортиз.нови активи'!X$61:X$108)+('11.1.Амортиз.нови активи'!J$112*SUMIF('11.1.Амортиз.нови активи'!$B$61:$B$108,$B43,'11.1.Амортиз.нови активи'!AS$61:AS$108))</f>
        <v>0</v>
      </c>
      <c r="Y43" s="2618">
        <f>$S43-SUMIF('11.2. ДА за периода'!$B$61:$B$108,$B43,'11.2. ДА за периода'!$S$61:$S$108)+SUMIF('11.2. ДА за периода'!$B$61:$B$108,$B43,'11.2. ДА за периода'!Y$61:Y$108)+SUMIF('11.1.Амортиз.нови активи'!$B$61:$B$108,$B43,'11.1.Амортиз.нови активи'!Y$61:Y$108)+('11.1.Амортиз.нови активи'!K$112*SUMIF('11.1.Амортиз.нови активи'!$B$61:$B$108,$B43,'11.1.Амортиз.нови активи'!AT$61:AT$108))</f>
        <v>0</v>
      </c>
      <c r="Z43" s="4387">
        <f>+'11.3. ДА Базова година'!R48</f>
        <v>0</v>
      </c>
      <c r="AA43" s="2617">
        <f>$Z43-SUMIF('11.2. ДА за периода'!$B$61:$B$108,$B43,'11.2. ДА за периода'!$Z$61:$Z$108)+SUMIF('11.2. ДА за периода'!$B$61:$B$108,$B43,'11.2. ДА за периода'!AA$61:AA$108)+SUMIF('11.1.Амортиз.нови активи'!$B$61:$B$108,$B43,'11.1.Амортиз.нови активи'!AA$61:AA$108)</f>
        <v>0</v>
      </c>
      <c r="AB43" s="1110">
        <f>$Z43-SUMIF('11.2. ДА за периода'!$B$61:$B$108,$B43,'11.2. ДА за периода'!$Z$61:$Z$108)+SUMIF('11.2. ДА за периода'!$B$61:$B$108,$B43,'11.2. ДА за периода'!AB$61:AB$108)+SUMIF('11.1.Амортиз.нови активи'!$B$61:$B$108,$B43,'11.1.Амортиз.нови активи'!AB$61:AB$108)</f>
        <v>0</v>
      </c>
      <c r="AC43" s="1110">
        <f>$Z43-SUMIF('11.2. ДА за периода'!$B$61:$B$108,$B43,'11.2. ДА за периода'!$Z$61:$Z$108)+SUMIF('11.2. ДА за периода'!$B$61:$B$108,$B43,'11.2. ДА за периода'!AC$61:AC$108)+SUMIF('11.1.Амортиз.нови активи'!$B$61:$B$108,$B43,'11.1.Амортиз.нови активи'!AC$61:AC$108)</f>
        <v>0</v>
      </c>
      <c r="AD43" s="1110">
        <f>$Z43-SUMIF('11.2. ДА за периода'!$B$61:$B$108,$B43,'11.2. ДА за периода'!$Z$61:$Z$108)+SUMIF('11.2. ДА за периода'!$B$61:$B$108,$B43,'11.2. ДА за периода'!AD$61:AD$108)+SUMIF('11.1.Амортиз.нови активи'!$B$61:$B$108,$B43,'11.1.Амортиз.нови активи'!AD$61:AD$108)</f>
        <v>0</v>
      </c>
      <c r="AE43" s="1110">
        <f>$Z43-SUMIF('11.2. ДА за периода'!$B$61:$B$108,$B43,'11.2. ДА за периода'!$Z$61:$Z$108)+SUMIF('11.2. ДА за периода'!$B$61:$B$108,$B43,'11.2. ДА за периода'!AE$61:AE$108)+SUMIF('11.1.Амортиз.нови активи'!$B$61:$B$108,$B43,'11.1.Амортиз.нови активи'!AE$61:AE$108)</f>
        <v>0</v>
      </c>
      <c r="AF43" s="2618">
        <f>$Z43-SUMIF('11.2. ДА за периода'!$B$61:$B$108,$B43,'11.2. ДА за периода'!$Z$61:$Z$108)+SUMIF('11.2. ДА за периода'!$B$61:$B$108,$B43,'11.2. ДА за периода'!AF$61:AF$108)+SUMIF('11.1.Амортиз.нови активи'!$B$61:$B$108,$B43,'11.1.Амортиз.нови активи'!AF$61:AF$108)</f>
        <v>0</v>
      </c>
      <c r="AG43" s="2641">
        <f>+'11.3. ДА Базова година'!V48</f>
        <v>0</v>
      </c>
      <c r="AH43" s="2617">
        <f>$AG43-SUMIF('11.2. ДА за периода'!$B$61:$B$108,$B43,'11.2. ДА за периода'!$AG$61:$AG$108)+SUMIF('11.2. ДА за периода'!$B$61:$B$108,$B43,'11.2. ДА за периода'!AH$61:AH$108)+SUMIF('11.1.Амортиз.нови активи'!$B$61:$B$108,$B43,'11.1.Амортиз.нови активи'!AH$61:AH$108)+('11.1.Амортиз.нови активи'!T$112*SUMIF('11.1.Амортиз.нови активи'!$B$61:$B$108,$B43,'11.1.Амортиз.нови активи'!BB$61:BB$108))</f>
        <v>0</v>
      </c>
      <c r="AI43" s="1110">
        <f>$AG43-SUMIF('11.2. ДА за периода'!$B$61:$B$108,$B43,'11.2. ДА за периода'!$AG$61:$AG$108)+SUMIF('11.2. ДА за периода'!$B$61:$B$108,$B43,'11.2. ДА за периода'!AI$61:AI$108)+SUMIF('11.1.Амортиз.нови активи'!$B$61:$B$108,$B43,'11.1.Амортиз.нови активи'!AI$61:AI$108)+('11.1.Амортиз.нови активи'!U$112*SUMIF('11.1.Амортиз.нови активи'!$B$61:$B$108,$B43,'11.1.Амортиз.нови активи'!BC$61:BC$108))</f>
        <v>0</v>
      </c>
      <c r="AJ43" s="1110">
        <f>$AG43-SUMIF('11.2. ДА за периода'!$B$61:$B$108,$B43,'11.2. ДА за периода'!$AG$61:$AG$108)+SUMIF('11.2. ДА за периода'!$B$61:$B$108,$B43,'11.2. ДА за периода'!AJ$61:AJ$108)+SUMIF('11.1.Амортиз.нови активи'!$B$61:$B$108,$B43,'11.1.Амортиз.нови активи'!AJ$61:AJ$108)+('11.1.Амортиз.нови активи'!V$112*SUMIF('11.1.Амортиз.нови активи'!$B$61:$B$108,$B43,'11.1.Амортиз.нови активи'!BD$61:BD$108))</f>
        <v>0</v>
      </c>
      <c r="AK43" s="1110">
        <f>$AG43-SUMIF('11.2. ДА за периода'!$B$61:$B$108,$B43,'11.2. ДА за периода'!$AG$61:$AG$108)+SUMIF('11.2. ДА за периода'!$B$61:$B$108,$B43,'11.2. ДА за периода'!AK$61:AK$108)+SUMIF('11.1.Амортиз.нови активи'!$B$61:$B$108,$B43,'11.1.Амортиз.нови активи'!AK$61:AK$108)+('11.1.Амортиз.нови активи'!W$112*SUMIF('11.1.Амортиз.нови активи'!$B$61:$B$108,$B43,'11.1.Амортиз.нови активи'!BE$61:BE$108))</f>
        <v>0</v>
      </c>
      <c r="AL43" s="1110">
        <f>$AG43-SUMIF('11.2. ДА за периода'!$B$61:$B$108,$B43,'11.2. ДА за периода'!$AG$61:$AG$108)+SUMIF('11.2. ДА за периода'!$B$61:$B$108,$B43,'11.2. ДА за периода'!AL$61:AL$108)+SUMIF('11.1.Амортиз.нови активи'!$B$61:$B$108,$B43,'11.1.Амортиз.нови активи'!AL$61:AL$108)+('11.1.Амортиз.нови активи'!X$112*SUMIF('11.1.Амортиз.нови активи'!$B$61:$B$108,$B43,'11.1.Амортиз.нови активи'!BF$61:BF$108))</f>
        <v>0</v>
      </c>
      <c r="AM43" s="2618">
        <f>$AG43-SUMIF('11.2. ДА за периода'!$B$61:$B$108,$B43,'11.2. ДА за периода'!$AG$61:$AG$108)+SUMIF('11.2. ДА за периода'!$B$61:$B$108,$B43,'11.2. ДА за периода'!AM$61:AM$108)+SUMIF('11.1.Амортиз.нови активи'!$B$61:$B$108,$B43,'11.1.Амортиз.нови активи'!AM$61:AM$108)+('11.1.Амортиз.нови активи'!Y$112*SUMIF('11.1.Амортиз.нови активи'!$B$61:$B$108,$B43,'11.1.Амортиз.нови активи'!BG$61:BG$108))</f>
        <v>0</v>
      </c>
      <c r="AN43" s="2513"/>
      <c r="AO43" s="2551"/>
      <c r="AP43" s="4422"/>
      <c r="AQ43" s="4438">
        <f t="shared" si="31"/>
        <v>0</v>
      </c>
      <c r="AR43" s="4438">
        <f t="shared" si="32"/>
        <v>0</v>
      </c>
      <c r="AS43" s="4438">
        <f t="shared" si="33"/>
        <v>0</v>
      </c>
      <c r="AT43" s="4438">
        <f t="shared" si="34"/>
        <v>0</v>
      </c>
      <c r="AU43" s="4438">
        <f t="shared" si="35"/>
        <v>0</v>
      </c>
      <c r="AV43" s="4438">
        <f t="shared" si="36"/>
        <v>-0.73626030892255456</v>
      </c>
      <c r="AW43" s="4438">
        <f t="shared" si="37"/>
        <v>-0.73626030892255456</v>
      </c>
      <c r="AX43" s="4438">
        <f t="shared" si="38"/>
        <v>0</v>
      </c>
      <c r="AY43" s="4438">
        <f t="shared" si="39"/>
        <v>0</v>
      </c>
      <c r="AZ43" s="4438">
        <f t="shared" si="40"/>
        <v>0</v>
      </c>
      <c r="BA43" s="4438">
        <f t="shared" si="41"/>
        <v>0</v>
      </c>
      <c r="BB43" s="4438">
        <f t="shared" si="42"/>
        <v>0</v>
      </c>
      <c r="BC43" s="4438">
        <f t="shared" si="43"/>
        <v>0</v>
      </c>
      <c r="BD43" s="4438">
        <f t="shared" si="44"/>
        <v>0</v>
      </c>
      <c r="BE43" s="4438">
        <f t="shared" si="45"/>
        <v>0</v>
      </c>
      <c r="BF43" s="4438">
        <f t="shared" si="46"/>
        <v>0</v>
      </c>
      <c r="BG43" s="4438">
        <f t="shared" si="47"/>
        <v>0</v>
      </c>
      <c r="BH43" s="4438">
        <f t="shared" si="48"/>
        <v>0</v>
      </c>
      <c r="BI43" s="4438">
        <f t="shared" si="49"/>
        <v>0</v>
      </c>
      <c r="BJ43" s="4438">
        <f t="shared" si="50"/>
        <v>0</v>
      </c>
      <c r="BK43" s="4438">
        <f t="shared" si="51"/>
        <v>0</v>
      </c>
      <c r="BL43" s="4438">
        <f t="shared" si="52"/>
        <v>0</v>
      </c>
      <c r="BM43" s="4438">
        <f t="shared" si="53"/>
        <v>0</v>
      </c>
      <c r="BN43" s="4438">
        <f t="shared" si="54"/>
        <v>0</v>
      </c>
      <c r="BO43" s="4438">
        <f t="shared" si="55"/>
        <v>0</v>
      </c>
      <c r="BP43" s="4438">
        <f t="shared" si="56"/>
        <v>0</v>
      </c>
      <c r="BQ43" s="4438">
        <f t="shared" si="57"/>
        <v>0</v>
      </c>
      <c r="BR43" s="4438">
        <f t="shared" si="58"/>
        <v>0</v>
      </c>
      <c r="BS43" s="4438">
        <f t="shared" si="59"/>
        <v>0</v>
      </c>
      <c r="BT43" s="4438">
        <f t="shared" si="60"/>
        <v>0</v>
      </c>
      <c r="BU43" s="4438">
        <f t="shared" si="61"/>
        <v>0</v>
      </c>
      <c r="BV43" s="4438">
        <f t="shared" si="62"/>
        <v>0</v>
      </c>
      <c r="BW43" s="4438">
        <f t="shared" si="63"/>
        <v>0</v>
      </c>
      <c r="BX43" s="4438">
        <f t="shared" si="64"/>
        <v>0</v>
      </c>
      <c r="BY43" s="4438">
        <f t="shared" si="65"/>
        <v>0</v>
      </c>
    </row>
    <row r="44" spans="1:77">
      <c r="A44" s="2515">
        <v>5</v>
      </c>
      <c r="B44" s="2545">
        <v>205</v>
      </c>
      <c r="C44" s="2511"/>
      <c r="D44" s="2547" t="s">
        <v>212</v>
      </c>
      <c r="E44" s="4059">
        <f>SUM(E45:E48)</f>
        <v>172</v>
      </c>
      <c r="F44" s="2611">
        <f>SUM(F45:F48)</f>
        <v>176.15898437500002</v>
      </c>
      <c r="G44" s="2612">
        <f>SUM(G45:G48)</f>
        <v>218.25511339166869</v>
      </c>
      <c r="H44" s="2612">
        <f>SUM(H45:H48)</f>
        <v>274.22352282994149</v>
      </c>
      <c r="I44" s="2612">
        <f>SUM(I45:I48)</f>
        <v>316.55036507233609</v>
      </c>
      <c r="J44" s="2612">
        <f t="shared" ref="J44:K44" si="80">SUM(J45:J48)</f>
        <v>358.74477968107817</v>
      </c>
      <c r="K44" s="2612">
        <f t="shared" si="80"/>
        <v>380.37101078847121</v>
      </c>
      <c r="L44" s="4059">
        <f>SUM(L45:L48)</f>
        <v>10</v>
      </c>
      <c r="M44" s="2611">
        <f>SUM(M45:M48)</f>
        <v>10.80234375</v>
      </c>
      <c r="N44" s="2612">
        <f>SUM(N45:N48)</f>
        <v>11.412079773491826</v>
      </c>
      <c r="O44" s="2612">
        <f t="shared" ref="O44:R44" si="81">SUM(O45:O48)</f>
        <v>11.328327413432588</v>
      </c>
      <c r="P44" s="2612">
        <f t="shared" si="81"/>
        <v>-57.972765846097566</v>
      </c>
      <c r="Q44" s="2612">
        <f t="shared" si="81"/>
        <v>-58.628438595720873</v>
      </c>
      <c r="R44" s="2612">
        <f t="shared" si="81"/>
        <v>-58.964790680625988</v>
      </c>
      <c r="S44" s="4059">
        <f>SUM(S45:S48)</f>
        <v>7</v>
      </c>
      <c r="T44" s="2611">
        <f>SUM(T45:T48)</f>
        <v>7.0386718749999995</v>
      </c>
      <c r="U44" s="2612">
        <f>SUM(U45:U48)</f>
        <v>7.2728068348394963</v>
      </c>
      <c r="V44" s="2612">
        <f t="shared" ref="V44:Y44" si="82">SUM(V45:V48)</f>
        <v>7.4281497566259116</v>
      </c>
      <c r="W44" s="2612">
        <f t="shared" si="82"/>
        <v>7.5024007737615026</v>
      </c>
      <c r="X44" s="2612">
        <f t="shared" si="82"/>
        <v>7.5036589146427257</v>
      </c>
      <c r="Y44" s="2613">
        <f t="shared" si="82"/>
        <v>7.4737798921547896</v>
      </c>
      <c r="Z44" s="4059">
        <f>SUM(Z45:Z48)</f>
        <v>0</v>
      </c>
      <c r="AA44" s="2611">
        <f>SUM(AA45:AA48)</f>
        <v>0</v>
      </c>
      <c r="AB44" s="2612">
        <f>SUM(AB45:AB48)</f>
        <v>0</v>
      </c>
      <c r="AC44" s="2612">
        <f t="shared" ref="AC44:AF44" si="83">SUM(AC45:AC48)</f>
        <v>0</v>
      </c>
      <c r="AD44" s="2612">
        <f t="shared" si="83"/>
        <v>0</v>
      </c>
      <c r="AE44" s="2612">
        <f t="shared" si="83"/>
        <v>0</v>
      </c>
      <c r="AF44" s="2613">
        <f t="shared" si="83"/>
        <v>0</v>
      </c>
      <c r="AG44" s="4059">
        <f>SUM(AG45:AG48)</f>
        <v>0</v>
      </c>
      <c r="AH44" s="2611">
        <f>SUM(AH45:AH48)</f>
        <v>0</v>
      </c>
      <c r="AI44" s="2612">
        <f>SUM(AI45:AI48)</f>
        <v>0</v>
      </c>
      <c r="AJ44" s="2612">
        <f t="shared" ref="AJ44:AM44" si="84">SUM(AJ45:AJ48)</f>
        <v>0</v>
      </c>
      <c r="AK44" s="2612">
        <f t="shared" si="84"/>
        <v>0</v>
      </c>
      <c r="AL44" s="2612">
        <f t="shared" si="84"/>
        <v>0</v>
      </c>
      <c r="AM44" s="2613">
        <f t="shared" si="84"/>
        <v>0</v>
      </c>
      <c r="AN44" s="2513"/>
      <c r="AO44" s="2551"/>
      <c r="AP44" s="4422"/>
      <c r="AQ44" s="4438">
        <f t="shared" si="31"/>
        <v>87.94220356574958</v>
      </c>
      <c r="AR44" s="4438">
        <f t="shared" si="32"/>
        <v>90.068658510709014</v>
      </c>
      <c r="AS44" s="4438">
        <f t="shared" si="33"/>
        <v>111.59206750672027</v>
      </c>
      <c r="AT44" s="4438">
        <f t="shared" si="34"/>
        <v>140.20826085597494</v>
      </c>
      <c r="AU44" s="4438">
        <f t="shared" si="35"/>
        <v>161.84963165118447</v>
      </c>
      <c r="AV44" s="4438">
        <f t="shared" si="36"/>
        <v>183.42329327246139</v>
      </c>
      <c r="AW44" s="4438">
        <f t="shared" si="37"/>
        <v>194.48060965854458</v>
      </c>
      <c r="AX44" s="4438">
        <f t="shared" si="38"/>
        <v>5.1129188119621851</v>
      </c>
      <c r="AY44" s="4438">
        <f t="shared" si="39"/>
        <v>5.5231506572657132</v>
      </c>
      <c r="AZ44" s="4438">
        <f t="shared" si="40"/>
        <v>5.8349037357499505</v>
      </c>
      <c r="BA44" s="4438">
        <f t="shared" si="41"/>
        <v>5.7920818340206397</v>
      </c>
      <c r="BB44" s="4438">
        <f t="shared" si="42"/>
        <v>-29.64100450759911</v>
      </c>
      <c r="BC44" s="4438">
        <f t="shared" si="43"/>
        <v>-29.976244661203108</v>
      </c>
      <c r="BD44" s="4438">
        <f t="shared" si="44"/>
        <v>-30.148218751438513</v>
      </c>
      <c r="BE44" s="4438">
        <f t="shared" si="45"/>
        <v>3.5790431683735293</v>
      </c>
      <c r="BF44" s="4438">
        <f t="shared" si="46"/>
        <v>3.5988157840916641</v>
      </c>
      <c r="BG44" s="4438">
        <f t="shared" si="47"/>
        <v>3.7185270881618018</v>
      </c>
      <c r="BH44" s="4438">
        <f t="shared" si="48"/>
        <v>3.7979526628724951</v>
      </c>
      <c r="BI44" s="4438">
        <f t="shared" si="49"/>
        <v>3.835916605104484</v>
      </c>
      <c r="BJ44" s="4438">
        <f t="shared" si="50"/>
        <v>3.8365598823224545</v>
      </c>
      <c r="BK44" s="4438">
        <f t="shared" si="51"/>
        <v>3.8212829807062931</v>
      </c>
      <c r="BL44" s="4438">
        <f t="shared" si="52"/>
        <v>0</v>
      </c>
      <c r="BM44" s="4438">
        <f t="shared" si="53"/>
        <v>0</v>
      </c>
      <c r="BN44" s="4438">
        <f t="shared" si="54"/>
        <v>0</v>
      </c>
      <c r="BO44" s="4438">
        <f t="shared" si="55"/>
        <v>0</v>
      </c>
      <c r="BP44" s="4438">
        <f t="shared" si="56"/>
        <v>0</v>
      </c>
      <c r="BQ44" s="4438">
        <f t="shared" si="57"/>
        <v>0</v>
      </c>
      <c r="BR44" s="4438">
        <f t="shared" si="58"/>
        <v>0</v>
      </c>
      <c r="BS44" s="4438">
        <f t="shared" si="59"/>
        <v>0</v>
      </c>
      <c r="BT44" s="4438">
        <f t="shared" si="60"/>
        <v>0</v>
      </c>
      <c r="BU44" s="4438">
        <f t="shared" si="61"/>
        <v>0</v>
      </c>
      <c r="BV44" s="4438">
        <f t="shared" si="62"/>
        <v>0</v>
      </c>
      <c r="BW44" s="4438">
        <f t="shared" si="63"/>
        <v>0</v>
      </c>
      <c r="BX44" s="4438">
        <f t="shared" si="64"/>
        <v>0</v>
      </c>
      <c r="BY44" s="4438">
        <f t="shared" si="65"/>
        <v>0</v>
      </c>
    </row>
    <row r="45" spans="1:77">
      <c r="A45" s="2526"/>
      <c r="B45" s="2530">
        <v>20501</v>
      </c>
      <c r="C45" s="2511">
        <v>0.08</v>
      </c>
      <c r="D45" s="2553" t="s">
        <v>410</v>
      </c>
      <c r="E45" s="2641">
        <f>+'11.3. ДА Базова година'!F50</f>
        <v>63</v>
      </c>
      <c r="F45" s="2617">
        <f>$E45-SUMIF('11.2. ДА за периода'!$B$61:$B$108,$B45,'11.2. ДА за периода'!$E$61:$E$108)+SUMIF('11.2. ДА за периода'!$B$61:$B$108,$B45,'11.2. ДА за периода'!F$61:F$108)+SUMIF('11.1.Амортиз.нови активи'!$B$61:$B$108,$B45,'11.1.Амортиз.нови активи'!F$61:F$108)+('11.1.Амортиз.нови активи'!F$110*SUMIF('11.1.Амортиз.нови активи'!$B$61:$B$108,$B45,'11.1.Амортиз.нови активи'!AO$61:AO$108))</f>
        <v>65</v>
      </c>
      <c r="G45" s="1110">
        <f>$E45-SUMIF('11.2. ДА за периода'!$B$61:$B$108,$B45,'11.2. ДА за периода'!$E$61:$E$108)+SUMIF('11.2. ДА за периода'!$B$61:$B$108,$B45,'11.2. ДА за периода'!G$61:G$108)+SUMIF('11.1.Амортиз.нови активи'!$B$61:$B$108,$B45,'11.1.Амортиз.нови активи'!G$61:G$108)+('11.1.Амортиз.нови активи'!G$110*SUMIF('11.1.Амортиз.нови активи'!$B$61:$B$108,$B45,'11.1.Амортиз.нови активи'!AP$61:AP$108))</f>
        <v>104.44</v>
      </c>
      <c r="H45" s="1110">
        <f>$E45-SUMIF('11.2. ДА за периода'!$B$61:$B$108,$B45,'11.2. ДА за периода'!$E$61:$E$108)+SUMIF('11.2. ДА за периода'!$B$61:$B$108,$B45,'11.2. ДА за периода'!H$61:H$108)+SUMIF('11.1.Амортиз.нови активи'!$B$61:$B$108,$B45,'11.1.Амортиз.нови активи'!H$61:H$108)+('11.1.Амортиз.нови активи'!H$110*SUMIF('11.1.Амортиз.нови активи'!$B$61:$B$108,$B45,'11.1.Амортиз.нови активи'!AQ$61:AQ$108))</f>
        <v>164.28</v>
      </c>
      <c r="I45" s="1110">
        <f>$E45-SUMIF('11.2. ДА за периода'!$B$61:$B$108,$B45,'11.2. ДА за периода'!$E$61:$E$108)+SUMIF('11.2. ДА за периода'!$B$61:$B$108,$B45,'11.2. ДА за периода'!I$61:I$108)+SUMIF('11.1.Амортиз.нови активи'!$B$61:$B$108,$B45,'11.1.Амортиз.нови активи'!I$61:I$108)+('11.1.Амортиз.нови активи'!I$110*SUMIF('11.1.Амортиз.нови активи'!$B$61:$B$108,$B45,'11.1.Амортиз.нови активи'!AR$61:AR$108))</f>
        <v>207.16000000000003</v>
      </c>
      <c r="J45" s="1110">
        <f>$E45-SUMIF('11.2. ДА за периода'!$B$61:$B$108,$B45,'11.2. ДА за периода'!$E$61:$E$108)+SUMIF('11.2. ДА за периода'!$B$61:$B$108,$B45,'11.2. ДА за периода'!J$61:J$108)+SUMIF('11.1.Амортиз.нови активи'!$B$61:$B$108,$B45,'11.1.Амортиз.нови активи'!J$61:J$108)+('11.1.Амортиз.нови активи'!J$110*SUMIF('11.1.Амортиз.нови активи'!$B$61:$B$108,$B45,'11.1.Амортиз.нови активи'!AS$61:AS$108))</f>
        <v>250.04000000000002</v>
      </c>
      <c r="K45" s="2618">
        <f>$E45-SUMIF('11.2. ДА за периода'!$B$61:$B$108,$B45,'11.2. ДА за периода'!$E$61:$E$108)+SUMIF('11.2. ДА за периода'!$B$61:$B$108,$B45,'11.2. ДА за периода'!K$61:K$108)+SUMIF('11.1.Амортиз.нови активи'!$B$61:$B$108,$B45,'11.1.Амортиз.нови активи'!K$61:K$108)+('11.1.Амортиз.нови активи'!K$110*SUMIF('11.1.Амортиз.нови активи'!$B$61:$B$108,$B45,'11.1.Амортиз.нови активи'!AT$61:AT$108))</f>
        <v>292.92</v>
      </c>
      <c r="L45" s="2641">
        <f>+'11.3. ДА Базова година'!J50</f>
        <v>7</v>
      </c>
      <c r="M45" s="2617">
        <f>$L45-SUMIF('11.2. ДА за периода'!$B$61:$B$108,$B45,'11.2. ДА за периода'!$L$61:$L$108)+SUMIF('11.2. ДА за периода'!$B$61:$B$108,$B45,'11.2. ДА за периода'!M$61:M$108)+SUMIF('11.1.Амортиз.нови активи'!$B$61:$B$108,$B45,'11.1.Амортиз.нови активи'!M$61:M$108)+('11.1.Амортиз.нови активи'!F$111*SUMIF('11.1.Амортиз.нови активи'!$B$61:$B$108,$B45,'11.1.Амортиз.нови активи'!AO$61:AO$108))</f>
        <v>7</v>
      </c>
      <c r="N45" s="1110">
        <f>$L45-SUMIF('11.2. ДА за периода'!$B$61:$B$108,$B45,'11.2. ДА за периода'!$L$61:$L$108)+SUMIF('11.2. ДА за периода'!$B$61:$B$108,$B45,'11.2. ДА за периода'!N$61:N$108)+SUMIF('11.1.Амортиз.нови активи'!$B$61:$B$108,$B45,'11.1.Амортиз.нови активи'!N$61:N$108)+('11.1.Амортиз.нови активи'!G$111*SUMIF('11.1.Амортиз.нови активи'!$B$61:$B$108,$B45,'11.1.Амортиз.нови активи'!AP$61:AP$108))</f>
        <v>7</v>
      </c>
      <c r="O45" s="1110">
        <f>$L45-SUMIF('11.2. ДА за периода'!$B$61:$B$108,$B45,'11.2. ДА за периода'!$L$61:$L$108)+SUMIF('11.2. ДА за периода'!$B$61:$B$108,$B45,'11.2. ДА за периода'!O$61:O$108)+SUMIF('11.1.Амортиз.нови активи'!$B$61:$B$108,$B45,'11.1.Амортиз.нови активи'!O$61:O$108)+('11.1.Амортиз.нови активи'!H$111*SUMIF('11.1.Амортиз.нови активи'!$B$61:$B$108,$B45,'11.1.Амортиз.нови активи'!AQ$61:AQ$108))</f>
        <v>7</v>
      </c>
      <c r="P45" s="1110">
        <f>$L45-SUMIF('11.2. ДА за периода'!$B$61:$B$108,$B45,'11.2. ДА за периода'!$L$61:$L$108)+SUMIF('11.2. ДА за периода'!$B$61:$B$108,$B45,'11.2. ДА за периода'!P$61:P$108)+SUMIF('11.1.Амортиз.нови активи'!$B$61:$B$108,$B45,'11.1.Амортиз.нови активи'!P$61:P$108)+('11.1.Амортиз.нови активи'!I$111*SUMIF('11.1.Амортиз.нови активи'!$B$61:$B$108,$B45,'11.1.Амортиз.нови активи'!AR$61:AR$108))</f>
        <v>-62.28</v>
      </c>
      <c r="Q45" s="1110">
        <f>$L45-SUMIF('11.2. ДА за периода'!$B$61:$B$108,$B45,'11.2. ДА за периода'!$L$61:$L$108)+SUMIF('11.2. ДА за периода'!$B$61:$B$108,$B45,'11.2. ДА за периода'!Q$61:Q$108)+SUMIF('11.1.Амортиз.нови активи'!$B$61:$B$108,$B45,'11.1.Амортиз.нови активи'!Q$61:Q$108)+('11.1.Амортиз.нови активи'!J$111*SUMIF('11.1.Амортиз.нови активи'!$B$61:$B$108,$B45,'11.1.Амортиз.нови активи'!AS$61:AS$108))</f>
        <v>-62.92</v>
      </c>
      <c r="R45" s="2618">
        <f>$L45-SUMIF('11.2. ДА за периода'!$B$61:$B$108,$B45,'11.2. ДА за периода'!$L$61:$L$108)+SUMIF('11.2. ДА за периода'!$B$61:$B$108,$B45,'11.2. ДА за периода'!R$61:R$108)+SUMIF('11.1.Амортиз.нови активи'!$B$61:$B$108,$B45,'11.1.Амортиз.нови активи'!R$61:R$108)+('11.1.Амортиз.нови активи'!K$111*SUMIF('11.1.Амортиз.нови активи'!$B$61:$B$108,$B45,'11.1.Амортиз.нови активи'!AT$61:AT$108))</f>
        <v>-63.239999999999995</v>
      </c>
      <c r="S45" s="2641">
        <f>+'11.3. ДА Базова година'!N50</f>
        <v>0</v>
      </c>
      <c r="T45" s="2617">
        <f>$S45-SUMIF('11.2. ДА за периода'!$B$61:$B$108,$B45,'11.2. ДА за периода'!$S$61:$S$108)+SUMIF('11.2. ДА за периода'!$B$61:$B$108,$B45,'11.2. ДА за периода'!T$61:T$108)+SUMIF('11.1.Амортиз.нови активи'!$B$61:$B$108,$B45,'11.1.Амортиз.нови активи'!T$61:T$108)+('11.1.Амортиз.нови активи'!F$112*SUMIF('11.1.Амортиз.нови активи'!$B$61:$B$108,$B45,'11.1.Амортиз.нови активи'!AO$61:AO$108))</f>
        <v>0</v>
      </c>
      <c r="U45" s="1110">
        <f>$S45-SUMIF('11.2. ДА за периода'!$B$61:$B$108,$B45,'11.2. ДА за периода'!$S$61:$S$108)+SUMIF('11.2. ДА за периода'!$B$61:$B$108,$B45,'11.2. ДА за периода'!U$61:U$108)+SUMIF('11.1.Амортиз.нови активи'!$B$61:$B$108,$B45,'11.1.Амортиз.нови активи'!U$61:U$108)+('11.1.Амортиз.нови активи'!G$112*SUMIF('11.1.Амортиз.нови активи'!$B$61:$B$108,$B45,'11.1.Амортиз.нови активи'!AP$61:AP$108))</f>
        <v>0</v>
      </c>
      <c r="V45" s="1110">
        <f>$S45-SUMIF('11.2. ДА за периода'!$B$61:$B$108,$B45,'11.2. ДА за периода'!$S$61:$S$108)+SUMIF('11.2. ДА за периода'!$B$61:$B$108,$B45,'11.2. ДА за периода'!V$61:V$108)+SUMIF('11.1.Амортиз.нови активи'!$B$61:$B$108,$B45,'11.1.Амортиз.нови активи'!V$61:V$108)+('11.1.Амортиз.нови активи'!H$112*SUMIF('11.1.Амортиз.нови активи'!$B$61:$B$108,$B45,'11.1.Амортиз.нови активи'!AQ$61:AQ$108))</f>
        <v>0</v>
      </c>
      <c r="W45" s="1110">
        <f>$S45-SUMIF('11.2. ДА за периода'!$B$61:$B$108,$B45,'11.2. ДА за периода'!$S$61:$S$108)+SUMIF('11.2. ДА за периода'!$B$61:$B$108,$B45,'11.2. ДА за периода'!W$61:W$108)+SUMIF('11.1.Амортиз.нови активи'!$B$61:$B$108,$B45,'11.1.Амортиз.нови активи'!W$61:W$108)+('11.1.Амортиз.нови активи'!I$112*SUMIF('11.1.Амортиз.нови активи'!$B$61:$B$108,$B45,'11.1.Амортиз.нови активи'!AR$61:AR$108))</f>
        <v>0</v>
      </c>
      <c r="X45" s="1110">
        <f>$S45-SUMIF('11.2. ДА за периода'!$B$61:$B$108,$B45,'11.2. ДА за периода'!$S$61:$S$108)+SUMIF('11.2. ДА за периода'!$B$61:$B$108,$B45,'11.2. ДА за периода'!X$61:X$108)+SUMIF('11.1.Амортиз.нови активи'!$B$61:$B$108,$B45,'11.1.Амортиз.нови активи'!X$61:X$108)+('11.1.Амортиз.нови активи'!J$112*SUMIF('11.1.Амортиз.нови активи'!$B$61:$B$108,$B45,'11.1.Амортиз.нови активи'!AS$61:AS$108))</f>
        <v>0</v>
      </c>
      <c r="Y45" s="2618">
        <f>$S45-SUMIF('11.2. ДА за периода'!$B$61:$B$108,$B45,'11.2. ДА за периода'!$S$61:$S$108)+SUMIF('11.2. ДА за периода'!$B$61:$B$108,$B45,'11.2. ДА за периода'!Y$61:Y$108)+SUMIF('11.1.Амортиз.нови активи'!$B$61:$B$108,$B45,'11.1.Амортиз.нови активи'!Y$61:Y$108)+('11.1.Амортиз.нови активи'!K$112*SUMIF('11.1.Амортиз.нови активи'!$B$61:$B$108,$B45,'11.1.Амортиз.нови активи'!AT$61:AT$108))</f>
        <v>0</v>
      </c>
      <c r="Z45" s="4387">
        <f>+'11.3. ДА Базова година'!R50</f>
        <v>0</v>
      </c>
      <c r="AA45" s="2617">
        <f>$Z45-SUMIF('11.2. ДА за периода'!$B$61:$B$108,$B45,'11.2. ДА за периода'!$Z$61:$Z$108)+SUMIF('11.2. ДА за периода'!$B$61:$B$108,$B45,'11.2. ДА за периода'!AA$61:AA$108)+SUMIF('11.1.Амортиз.нови активи'!$B$61:$B$108,$B45,'11.1.Амортиз.нови активи'!AA$61:AA$108)</f>
        <v>0</v>
      </c>
      <c r="AB45" s="1110">
        <f>$Z45-SUMIF('11.2. ДА за периода'!$B$61:$B$108,$B45,'11.2. ДА за периода'!$Z$61:$Z$108)+SUMIF('11.2. ДА за периода'!$B$61:$B$108,$B45,'11.2. ДА за периода'!AB$61:AB$108)+SUMIF('11.1.Амортиз.нови активи'!$B$61:$B$108,$B45,'11.1.Амортиз.нови активи'!AB$61:AB$108)</f>
        <v>0</v>
      </c>
      <c r="AC45" s="1110">
        <f>$Z45-SUMIF('11.2. ДА за периода'!$B$61:$B$108,$B45,'11.2. ДА за периода'!$Z$61:$Z$108)+SUMIF('11.2. ДА за периода'!$B$61:$B$108,$B45,'11.2. ДА за периода'!AC$61:AC$108)+SUMIF('11.1.Амортиз.нови активи'!$B$61:$B$108,$B45,'11.1.Амортиз.нови активи'!AC$61:AC$108)</f>
        <v>0</v>
      </c>
      <c r="AD45" s="1110">
        <f>$Z45-SUMIF('11.2. ДА за периода'!$B$61:$B$108,$B45,'11.2. ДА за периода'!$Z$61:$Z$108)+SUMIF('11.2. ДА за периода'!$B$61:$B$108,$B45,'11.2. ДА за периода'!AD$61:AD$108)+SUMIF('11.1.Амортиз.нови активи'!$B$61:$B$108,$B45,'11.1.Амортиз.нови активи'!AD$61:AD$108)</f>
        <v>0</v>
      </c>
      <c r="AE45" s="1110">
        <f>$Z45-SUMIF('11.2. ДА за периода'!$B$61:$B$108,$B45,'11.2. ДА за периода'!$Z$61:$Z$108)+SUMIF('11.2. ДА за периода'!$B$61:$B$108,$B45,'11.2. ДА за периода'!AE$61:AE$108)+SUMIF('11.1.Амортиз.нови активи'!$B$61:$B$108,$B45,'11.1.Амортиз.нови активи'!AE$61:AE$108)</f>
        <v>0</v>
      </c>
      <c r="AF45" s="2618">
        <f>$Z45-SUMIF('11.2. ДА за периода'!$B$61:$B$108,$B45,'11.2. ДА за периода'!$Z$61:$Z$108)+SUMIF('11.2. ДА за периода'!$B$61:$B$108,$B45,'11.2. ДА за периода'!AF$61:AF$108)+SUMIF('11.1.Амортиз.нови активи'!$B$61:$B$108,$B45,'11.1.Амортиз.нови активи'!AF$61:AF$108)</f>
        <v>0</v>
      </c>
      <c r="AG45" s="2641">
        <f>+'11.3. ДА Базова година'!V50</f>
        <v>0</v>
      </c>
      <c r="AH45" s="2617">
        <f>$AG45-SUMIF('11.2. ДА за периода'!$B$61:$B$108,$B45,'11.2. ДА за периода'!$AG$61:$AG$108)+SUMIF('11.2. ДА за периода'!$B$61:$B$108,$B45,'11.2. ДА за периода'!AH$61:AH$108)+SUMIF('11.1.Амортиз.нови активи'!$B$61:$B$108,$B45,'11.1.Амортиз.нови активи'!AH$61:AH$108)+('11.1.Амортиз.нови активи'!T$112*SUMIF('11.1.Амортиз.нови активи'!$B$61:$B$108,$B45,'11.1.Амортиз.нови активи'!BB$61:BB$108))</f>
        <v>0</v>
      </c>
      <c r="AI45" s="1110">
        <f>$AG45-SUMIF('11.2. ДА за периода'!$B$61:$B$108,$B45,'11.2. ДА за периода'!$AG$61:$AG$108)+SUMIF('11.2. ДА за периода'!$B$61:$B$108,$B45,'11.2. ДА за периода'!AI$61:AI$108)+SUMIF('11.1.Амортиз.нови активи'!$B$61:$B$108,$B45,'11.1.Амортиз.нови активи'!AI$61:AI$108)+('11.1.Амортиз.нови активи'!U$112*SUMIF('11.1.Амортиз.нови активи'!$B$61:$B$108,$B45,'11.1.Амортиз.нови активи'!BC$61:BC$108))</f>
        <v>0</v>
      </c>
      <c r="AJ45" s="1110">
        <f>$AG45-SUMIF('11.2. ДА за периода'!$B$61:$B$108,$B45,'11.2. ДА за периода'!$AG$61:$AG$108)+SUMIF('11.2. ДА за периода'!$B$61:$B$108,$B45,'11.2. ДА за периода'!AJ$61:AJ$108)+SUMIF('11.1.Амортиз.нови активи'!$B$61:$B$108,$B45,'11.1.Амортиз.нови активи'!AJ$61:AJ$108)+('11.1.Амортиз.нови активи'!V$112*SUMIF('11.1.Амортиз.нови активи'!$B$61:$B$108,$B45,'11.1.Амортиз.нови активи'!BD$61:BD$108))</f>
        <v>0</v>
      </c>
      <c r="AK45" s="1110">
        <f>$AG45-SUMIF('11.2. ДА за периода'!$B$61:$B$108,$B45,'11.2. ДА за периода'!$AG$61:$AG$108)+SUMIF('11.2. ДА за периода'!$B$61:$B$108,$B45,'11.2. ДА за периода'!AK$61:AK$108)+SUMIF('11.1.Амортиз.нови активи'!$B$61:$B$108,$B45,'11.1.Амортиз.нови активи'!AK$61:AK$108)+('11.1.Амортиз.нови активи'!W$112*SUMIF('11.1.Амортиз.нови активи'!$B$61:$B$108,$B45,'11.1.Амортиз.нови активи'!BE$61:BE$108))</f>
        <v>0</v>
      </c>
      <c r="AL45" s="1110">
        <f>$AG45-SUMIF('11.2. ДА за периода'!$B$61:$B$108,$B45,'11.2. ДА за периода'!$AG$61:$AG$108)+SUMIF('11.2. ДА за периода'!$B$61:$B$108,$B45,'11.2. ДА за периода'!AL$61:AL$108)+SUMIF('11.1.Амортиз.нови активи'!$B$61:$B$108,$B45,'11.1.Амортиз.нови активи'!AL$61:AL$108)+('11.1.Амортиз.нови активи'!X$112*SUMIF('11.1.Амортиз.нови активи'!$B$61:$B$108,$B45,'11.1.Амортиз.нови активи'!BF$61:BF$108))</f>
        <v>0</v>
      </c>
      <c r="AM45" s="2618">
        <f>$AG45-SUMIF('11.2. ДА за периода'!$B$61:$B$108,$B45,'11.2. ДА за периода'!$AG$61:$AG$108)+SUMIF('11.2. ДА за периода'!$B$61:$B$108,$B45,'11.2. ДА за периода'!AM$61:AM$108)+SUMIF('11.1.Амортиз.нови активи'!$B$61:$B$108,$B45,'11.1.Амортиз.нови активи'!AM$61:AM$108)+('11.1.Амортиз.нови активи'!Y$112*SUMIF('11.1.Амортиз.нови активи'!$B$61:$B$108,$B45,'11.1.Амортиз.нови активи'!BG$61:BG$108))</f>
        <v>0</v>
      </c>
      <c r="AN45" s="2513"/>
      <c r="AO45" s="2551"/>
      <c r="AP45" s="4422"/>
      <c r="AQ45" s="4438">
        <f t="shared" si="31"/>
        <v>32.211388515361769</v>
      </c>
      <c r="AR45" s="4438">
        <f t="shared" si="32"/>
        <v>33.233972277754205</v>
      </c>
      <c r="AS45" s="4438">
        <f t="shared" si="33"/>
        <v>53.399324072133055</v>
      </c>
      <c r="AT45" s="4438">
        <f t="shared" si="34"/>
        <v>83.99503024291478</v>
      </c>
      <c r="AU45" s="4438">
        <f t="shared" si="35"/>
        <v>105.91922610860864</v>
      </c>
      <c r="AV45" s="4438">
        <f t="shared" si="36"/>
        <v>127.84342197430249</v>
      </c>
      <c r="AW45" s="4438">
        <f t="shared" si="37"/>
        <v>149.76761783999632</v>
      </c>
      <c r="AX45" s="4438">
        <f t="shared" si="38"/>
        <v>3.5790431683735293</v>
      </c>
      <c r="AY45" s="4438">
        <f t="shared" si="39"/>
        <v>3.5790431683735293</v>
      </c>
      <c r="AZ45" s="4438">
        <f t="shared" si="40"/>
        <v>3.5790431683735293</v>
      </c>
      <c r="BA45" s="4438">
        <f t="shared" si="41"/>
        <v>3.5790431683735293</v>
      </c>
      <c r="BB45" s="4438">
        <f t="shared" si="42"/>
        <v>-31.843258360900489</v>
      </c>
      <c r="BC45" s="4438">
        <f t="shared" si="43"/>
        <v>-32.170485164866072</v>
      </c>
      <c r="BD45" s="4438">
        <f t="shared" si="44"/>
        <v>-32.334098566848859</v>
      </c>
      <c r="BE45" s="4438">
        <f t="shared" si="45"/>
        <v>0</v>
      </c>
      <c r="BF45" s="4438">
        <f t="shared" si="46"/>
        <v>0</v>
      </c>
      <c r="BG45" s="4438">
        <f t="shared" si="47"/>
        <v>0</v>
      </c>
      <c r="BH45" s="4438">
        <f t="shared" si="48"/>
        <v>0</v>
      </c>
      <c r="BI45" s="4438">
        <f t="shared" si="49"/>
        <v>0</v>
      </c>
      <c r="BJ45" s="4438">
        <f t="shared" si="50"/>
        <v>0</v>
      </c>
      <c r="BK45" s="4438">
        <f t="shared" si="51"/>
        <v>0</v>
      </c>
      <c r="BL45" s="4438">
        <f t="shared" si="52"/>
        <v>0</v>
      </c>
      <c r="BM45" s="4438">
        <f t="shared" si="53"/>
        <v>0</v>
      </c>
      <c r="BN45" s="4438">
        <f t="shared" si="54"/>
        <v>0</v>
      </c>
      <c r="BO45" s="4438">
        <f t="shared" si="55"/>
        <v>0</v>
      </c>
      <c r="BP45" s="4438">
        <f t="shared" si="56"/>
        <v>0</v>
      </c>
      <c r="BQ45" s="4438">
        <f t="shared" si="57"/>
        <v>0</v>
      </c>
      <c r="BR45" s="4438">
        <f t="shared" si="58"/>
        <v>0</v>
      </c>
      <c r="BS45" s="4438">
        <f t="shared" si="59"/>
        <v>0</v>
      </c>
      <c r="BT45" s="4438">
        <f t="shared" si="60"/>
        <v>0</v>
      </c>
      <c r="BU45" s="4438">
        <f t="shared" si="61"/>
        <v>0</v>
      </c>
      <c r="BV45" s="4438">
        <f t="shared" si="62"/>
        <v>0</v>
      </c>
      <c r="BW45" s="4438">
        <f t="shared" si="63"/>
        <v>0</v>
      </c>
      <c r="BX45" s="4438">
        <f t="shared" si="64"/>
        <v>0</v>
      </c>
      <c r="BY45" s="4438">
        <f t="shared" si="65"/>
        <v>0</v>
      </c>
    </row>
    <row r="46" spans="1:77">
      <c r="A46" s="2526"/>
      <c r="B46" s="2530">
        <v>20502</v>
      </c>
      <c r="C46" s="2511">
        <v>0.1</v>
      </c>
      <c r="D46" s="2553" t="s">
        <v>411</v>
      </c>
      <c r="E46" s="2641">
        <f>+'11.3. ДА Базова година'!F51</f>
        <v>91</v>
      </c>
      <c r="F46" s="2617">
        <f>$E46-SUMIF('11.2. ДА за периода'!$B$61:$B$108,$B46,'11.2. ДА за периода'!$E$61:$E$108)+SUMIF('11.2. ДА за периода'!$B$61:$B$108,$B46,'11.2. ДА за периода'!F$61:F$108)+SUMIF('11.1.Амортиз.нови активи'!$B$61:$B$108,$B46,'11.1.Амортиз.нови активи'!F$61:F$108)+('11.1.Амортиз.нови активи'!F$110*SUMIF('11.1.Амортиз.нови активи'!$B$61:$B$108,$B46,'11.1.Амортиз.нови активи'!AO$61:AO$108))</f>
        <v>92.886328125000006</v>
      </c>
      <c r="G46" s="1110">
        <f>$E46-SUMIF('11.2. ДА за периода'!$B$61:$B$108,$B46,'11.2. ДА за периода'!$E$61:$E$108)+SUMIF('11.2. ДА за периода'!$B$61:$B$108,$B46,'11.2. ДА за периода'!G$61:G$108)+SUMIF('11.1.Амортиз.нови активи'!$B$61:$B$108,$B46,'11.1.Амортиз.нови активи'!G$61:G$108)+('11.1.Амортиз.нови активи'!G$110*SUMIF('11.1.Амортиз.нови активи'!$B$61:$B$108,$B46,'11.1.Амортиз.нови активи'!AP$61:AP$108))</f>
        <v>94.771704463889563</v>
      </c>
      <c r="H46" s="1110">
        <f>$E46-SUMIF('11.2. ДА за периода'!$B$61:$B$108,$B46,'11.2. ДА за периода'!$E$61:$E$108)+SUMIF('11.2. ДА за периода'!$B$61:$B$108,$B46,'11.2. ДА за периода'!H$61:H$108)+SUMIF('11.1.Амортиз.нови активи'!$B$61:$B$108,$B46,'11.1.Амортиз.нови активи'!H$61:H$108)+('11.1.Амортиз.нови активи'!H$110*SUMIF('11.1.Амортиз.нови активи'!$B$61:$B$108,$B46,'11.1.Амортиз.нови активи'!AQ$61:AQ$108))</f>
        <v>91.347840943313827</v>
      </c>
      <c r="I46" s="1110">
        <f>$E46-SUMIF('11.2. ДА за периода'!$B$61:$B$108,$B46,'11.2. ДА за периода'!$E$61:$E$108)+SUMIF('11.2. ДА за периода'!$B$61:$B$108,$B46,'11.2. ДА за периода'!I$61:I$108)+SUMIF('11.1.Амортиз.нови активи'!$B$61:$B$108,$B46,'11.1.Амортиз.нови активи'!I$61:I$108)+('11.1.Амортиз.нови активи'!I$110*SUMIF('11.1.Амортиз.нови активи'!$B$61:$B$108,$B46,'11.1.Амортиз.нови активи'!AR$61:AR$108))</f>
        <v>91.230121690778688</v>
      </c>
      <c r="J46" s="1110">
        <f>$E46-SUMIF('11.2. ДА за периода'!$B$61:$B$108,$B46,'11.2. ДА за периода'!$E$61:$E$108)+SUMIF('11.2. ДА за периода'!$B$61:$B$108,$B46,'11.2. ДА за периода'!J$61:J$108)+SUMIF('11.1.Амортиз.нови активи'!$B$61:$B$108,$B46,'11.1.Амортиз.нови активи'!J$61:J$108)+('11.1.Амортиз.нови активи'!J$110*SUMIF('11.1.Амортиз.нови активи'!$B$61:$B$108,$B46,'11.1.Амортиз.нови активи'!AS$61:AS$108))</f>
        <v>90.534926560359381</v>
      </c>
      <c r="K46" s="2618">
        <f>$E46-SUMIF('11.2. ДА за периода'!$B$61:$B$108,$B46,'11.2. ДА за периода'!$E$61:$E$108)+SUMIF('11.2. ДА за периода'!$B$61:$B$108,$B46,'11.2. ДА за периода'!K$61:K$108)+SUMIF('11.1.Амортиз.нови активи'!$B$61:$B$108,$B46,'11.1.Амортиз.нови активи'!K$61:K$108)+('11.1.Амортиз.нови активи'!K$110*SUMIF('11.1.Амортиз.нови активи'!$B$61:$B$108,$B46,'11.1.Амортиз.нови активи'!AT$61:AT$108))</f>
        <v>90.550336929490399</v>
      </c>
      <c r="L46" s="2641">
        <f>+'11.3. ДА Базова година'!J51</f>
        <v>0</v>
      </c>
      <c r="M46" s="2617">
        <f>$L46-SUMIF('11.2. ДА за периода'!$B$61:$B$108,$B46,'11.2. ДА за периода'!$L$61:$L$108)+SUMIF('11.2. ДА за периода'!$B$61:$B$108,$B46,'11.2. ДА за периода'!M$61:M$108)+SUMIF('11.1.Амортиз.нови активи'!$B$61:$B$108,$B46,'11.1.Амортиз.нови активи'!M$61:M$108)+('11.1.Амортиз.нови активи'!F$111*SUMIF('11.1.Амортиз.нови активи'!$B$61:$B$108,$B46,'11.1.Амортиз.нови активи'!AO$61:AO$108))</f>
        <v>0.60078125000000004</v>
      </c>
      <c r="N46" s="1110">
        <f>$L46-SUMIF('11.2. ДА за периода'!$B$61:$B$108,$B46,'11.2. ДА за периода'!$L$61:$L$108)+SUMIF('11.2. ДА за периода'!$B$61:$B$108,$B46,'11.2. ДА за периода'!N$61:N$108)+SUMIF('11.1.Амортиз.нови активи'!$B$61:$B$108,$B46,'11.1.Амортиз.нови активи'!N$61:N$108)+('11.1.Амортиз.нови активи'!G$111*SUMIF('11.1.Амортиз.нови активи'!$B$61:$B$108,$B46,'11.1.Амортиз.нови активи'!AP$61:AP$108))</f>
        <v>1.1373599244972756</v>
      </c>
      <c r="O46" s="1110">
        <f>$L46-SUMIF('11.2. ДА за периода'!$B$61:$B$108,$B46,'11.2. ДА за периода'!$L$61:$L$108)+SUMIF('11.2. ДА за периода'!$B$61:$B$108,$B46,'11.2. ДА за периода'!O$61:O$108)+SUMIF('11.1.Амортиз.нови активи'!$B$61:$B$108,$B46,'11.1.Амортиз.нови активи'!O$61:O$108)+('11.1.Амортиз.нови активи'!H$111*SUMIF('11.1.Амортиз.нови активи'!$B$61:$B$108,$B46,'11.1.Амортиз.нови активи'!AQ$61:AQ$108))</f>
        <v>1.1094424711441961</v>
      </c>
      <c r="P46" s="1110">
        <f>$L46-SUMIF('11.2. ДА за периода'!$B$61:$B$108,$B46,'11.2. ДА за периода'!$L$61:$L$108)+SUMIF('11.2. ДА за периода'!$B$61:$B$108,$B46,'11.2. ДА за периода'!P$61:P$108)+SUMIF('11.1.Амортиз.нови активи'!$B$61:$B$108,$B46,'11.1.Амортиз.нови активи'!P$61:P$108)+('11.1.Амортиз.нови активи'!I$111*SUMIF('11.1.Амортиз.нови активи'!$B$61:$B$108,$B46,'11.1.Амортиз.нови активи'!AR$61:AR$108))</f>
        <v>1.1024113846341463</v>
      </c>
      <c r="Q46" s="1110">
        <f>$L46-SUMIF('11.2. ДА за периода'!$B$61:$B$108,$B46,'11.2. ДА за периода'!$L$61:$L$108)+SUMIF('11.2. ДА за периода'!$B$61:$B$108,$B46,'11.2. ДА за периода'!Q$61:Q$108)+SUMIF('11.1.Амортиз.нови активи'!$B$61:$B$108,$B46,'11.1.Амортиз.нови активи'!Q$61:Q$108)+('11.1.Амортиз.нови активи'!J$111*SUMIF('11.1.Амортиз.нови активи'!$B$61:$B$108,$B46,'11.1.Амортиз.нови активи'!AS$61:AS$108))</f>
        <v>1.0971871347597093</v>
      </c>
      <c r="R46" s="2618">
        <f>$L46-SUMIF('11.2. ДА за периода'!$B$61:$B$108,$B46,'11.2. ДА за периода'!$L$61:$L$108)+SUMIF('11.2. ДА за периода'!$B$61:$B$108,$B46,'11.2. ДА за периода'!R$61:R$108)+SUMIF('11.1.Амортиз.нови активи'!$B$61:$B$108,$B46,'11.1.Амортиз.нови активи'!R$61:R$108)+('11.1.Амортиз.нови активи'!K$111*SUMIF('11.1.Амортиз.нови активи'!$B$61:$B$108,$B46,'11.1.Амортиз.нови активи'!AT$61:AT$108))</f>
        <v>1.0917364397913361</v>
      </c>
      <c r="S46" s="2641">
        <f>+'11.3. ДА Базова година'!N51</f>
        <v>1</v>
      </c>
      <c r="T46" s="2617">
        <f>$S46-SUMIF('11.2. ДА за периода'!$B$61:$B$108,$B46,'11.2. ДА за периода'!$S$61:$S$108)+SUMIF('11.2. ДА за периода'!$B$61:$B$108,$B46,'11.2. ДА за периода'!T$61:T$108)+SUMIF('11.1.Амортиз.нови активи'!$B$61:$B$108,$B46,'11.1.Амортиз.нови активи'!T$61:T$108)+('11.1.Амортиз.нови активи'!F$112*SUMIF('11.1.Амортиз.нови активи'!$B$61:$B$108,$B46,'11.1.Амортиз.нови активи'!AO$61:AO$108))</f>
        <v>1.012890625</v>
      </c>
      <c r="U46" s="1110">
        <f>$S46-SUMIF('11.2. ДА за периода'!$B$61:$B$108,$B46,'11.2. ДА за периода'!$S$61:$S$108)+SUMIF('11.2. ДА за периода'!$B$61:$B$108,$B46,'11.2. ДА за периода'!U$61:U$108)+SUMIF('11.1.Амортиз.нови активи'!$B$61:$B$108,$B46,'11.1.Амортиз.нови активи'!U$61:U$108)+('11.1.Амортиз.нови активи'!G$112*SUMIF('11.1.Амортиз.нови активи'!$B$61:$B$108,$B46,'11.1.Амортиз.нови активи'!AP$61:AP$108))</f>
        <v>1.0909356116131654</v>
      </c>
      <c r="V46" s="1110">
        <f>$S46-SUMIF('11.2. ДА за периода'!$B$61:$B$108,$B46,'11.2. ДА за периода'!$S$61:$S$108)+SUMIF('11.2. ДА за периода'!$B$61:$B$108,$B46,'11.2. ДА за периода'!V$61:V$108)+SUMIF('11.1.Амортиз.нови активи'!$B$61:$B$108,$B46,'11.1.Амортиз.нови активи'!V$61:V$108)+('11.1.Амортиз.нови активи'!H$112*SUMIF('11.1.Амортиз.нови активи'!$B$61:$B$108,$B46,'11.1.Амортиз.нови активи'!AQ$61:AQ$108))</f>
        <v>1.1427165855419705</v>
      </c>
      <c r="W46" s="1110">
        <f>$S46-SUMIF('11.2. ДА за периода'!$B$61:$B$108,$B46,'11.2. ДА за периода'!$S$61:$S$108)+SUMIF('11.2. ДА за периода'!$B$61:$B$108,$B46,'11.2. ДА за периода'!W$61:W$108)+SUMIF('11.1.Амортиз.нови активи'!$B$61:$B$108,$B46,'11.1.Амортиз.нови активи'!W$61:W$108)+('11.1.Амортиз.нови активи'!I$112*SUMIF('11.1.Амортиз.нови активи'!$B$61:$B$108,$B46,'11.1.Амортиз.нови активи'!AR$61:AR$108))</f>
        <v>1.1674669245871674</v>
      </c>
      <c r="X46" s="1110">
        <f>$S46-SUMIF('11.2. ДА за периода'!$B$61:$B$108,$B46,'11.2. ДА за периода'!$S$61:$S$108)+SUMIF('11.2. ДА за периода'!$B$61:$B$108,$B46,'11.2. ДА за периода'!X$61:X$108)+SUMIF('11.1.Амортиз.нови активи'!$B$61:$B$108,$B46,'11.1.Амортиз.нови активи'!X$61:X$108)+('11.1.Амортиз.нови активи'!J$112*SUMIF('11.1.Амортиз.нови активи'!$B$61:$B$108,$B46,'11.1.Амортиз.нови активи'!AS$61:AS$108))</f>
        <v>1.1678863048809085</v>
      </c>
      <c r="Y46" s="2618">
        <f>$S46-SUMIF('11.2. ДА за периода'!$B$61:$B$108,$B46,'11.2. ДА за периода'!$S$61:$S$108)+SUMIF('11.2. ДА за периода'!$B$61:$B$108,$B46,'11.2. ДА за периода'!Y$61:Y$108)+SUMIF('11.1.Амортиз.нови активи'!$B$61:$B$108,$B46,'11.1.Амортиз.нови активи'!Y$61:Y$108)+('11.1.Амортиз.нови активи'!K$112*SUMIF('11.1.Амортиз.нови активи'!$B$61:$B$108,$B46,'11.1.Амортиз.нови активи'!AT$61:AT$108))</f>
        <v>1.157926630718263</v>
      </c>
      <c r="Z46" s="4387">
        <f>+'11.3. ДА Базова година'!R51</f>
        <v>0</v>
      </c>
      <c r="AA46" s="2617">
        <f>$Z46-SUMIF('11.2. ДА за периода'!$B$61:$B$108,$B46,'11.2. ДА за периода'!$Z$61:$Z$108)+SUMIF('11.2. ДА за периода'!$B$61:$B$108,$B46,'11.2. ДА за периода'!AA$61:AA$108)+SUMIF('11.1.Амортиз.нови активи'!$B$61:$B$108,$B46,'11.1.Амортиз.нови активи'!AA$61:AA$108)</f>
        <v>0</v>
      </c>
      <c r="AB46" s="1110">
        <f>$Z46-SUMIF('11.2. ДА за периода'!$B$61:$B$108,$B46,'11.2. ДА за периода'!$Z$61:$Z$108)+SUMIF('11.2. ДА за периода'!$B$61:$B$108,$B46,'11.2. ДА за периода'!AB$61:AB$108)+SUMIF('11.1.Амортиз.нови активи'!$B$61:$B$108,$B46,'11.1.Амортиз.нови активи'!AB$61:AB$108)</f>
        <v>0</v>
      </c>
      <c r="AC46" s="1110">
        <f>$Z46-SUMIF('11.2. ДА за периода'!$B$61:$B$108,$B46,'11.2. ДА за периода'!$Z$61:$Z$108)+SUMIF('11.2. ДА за периода'!$B$61:$B$108,$B46,'11.2. ДА за периода'!AC$61:AC$108)+SUMIF('11.1.Амортиз.нови активи'!$B$61:$B$108,$B46,'11.1.Амортиз.нови активи'!AC$61:AC$108)</f>
        <v>0</v>
      </c>
      <c r="AD46" s="1110">
        <f>$Z46-SUMIF('11.2. ДА за периода'!$B$61:$B$108,$B46,'11.2. ДА за периода'!$Z$61:$Z$108)+SUMIF('11.2. ДА за периода'!$B$61:$B$108,$B46,'11.2. ДА за периода'!AD$61:AD$108)+SUMIF('11.1.Амортиз.нови активи'!$B$61:$B$108,$B46,'11.1.Амортиз.нови активи'!AD$61:AD$108)</f>
        <v>0</v>
      </c>
      <c r="AE46" s="1110">
        <f>$Z46-SUMIF('11.2. ДА за периода'!$B$61:$B$108,$B46,'11.2. ДА за периода'!$Z$61:$Z$108)+SUMIF('11.2. ДА за периода'!$B$61:$B$108,$B46,'11.2. ДА за периода'!AE$61:AE$108)+SUMIF('11.1.Амортиз.нови активи'!$B$61:$B$108,$B46,'11.1.Амортиз.нови активи'!AE$61:AE$108)</f>
        <v>0</v>
      </c>
      <c r="AF46" s="2618">
        <f>$Z46-SUMIF('11.2. ДА за периода'!$B$61:$B$108,$B46,'11.2. ДА за периода'!$Z$61:$Z$108)+SUMIF('11.2. ДА за периода'!$B$61:$B$108,$B46,'11.2. ДА за периода'!AF$61:AF$108)+SUMIF('11.1.Амортиз.нови активи'!$B$61:$B$108,$B46,'11.1.Амортиз.нови активи'!AF$61:AF$108)</f>
        <v>0</v>
      </c>
      <c r="AG46" s="2641">
        <f>+'11.3. ДА Базова година'!V51</f>
        <v>0</v>
      </c>
      <c r="AH46" s="2617">
        <f>$AG46-SUMIF('11.2. ДА за периода'!$B$61:$B$108,$B46,'11.2. ДА за периода'!$AG$61:$AG$108)+SUMIF('11.2. ДА за периода'!$B$61:$B$108,$B46,'11.2. ДА за периода'!AH$61:AH$108)+SUMIF('11.1.Амортиз.нови активи'!$B$61:$B$108,$B46,'11.1.Амортиз.нови активи'!AH$61:AH$108)+('11.1.Амортиз.нови активи'!T$112*SUMIF('11.1.Амортиз.нови активи'!$B$61:$B$108,$B46,'11.1.Амортиз.нови активи'!BB$61:BB$108))</f>
        <v>0</v>
      </c>
      <c r="AI46" s="1110">
        <f>$AG46-SUMIF('11.2. ДА за периода'!$B$61:$B$108,$B46,'11.2. ДА за периода'!$AG$61:$AG$108)+SUMIF('11.2. ДА за периода'!$B$61:$B$108,$B46,'11.2. ДА за периода'!AI$61:AI$108)+SUMIF('11.1.Амортиз.нови активи'!$B$61:$B$108,$B46,'11.1.Амортиз.нови активи'!AI$61:AI$108)+('11.1.Амортиз.нови активи'!U$112*SUMIF('11.1.Амортиз.нови активи'!$B$61:$B$108,$B46,'11.1.Амортиз.нови активи'!BC$61:BC$108))</f>
        <v>0</v>
      </c>
      <c r="AJ46" s="1110">
        <f>$AG46-SUMIF('11.2. ДА за периода'!$B$61:$B$108,$B46,'11.2. ДА за периода'!$AG$61:$AG$108)+SUMIF('11.2. ДА за периода'!$B$61:$B$108,$B46,'11.2. ДА за периода'!AJ$61:AJ$108)+SUMIF('11.1.Амортиз.нови активи'!$B$61:$B$108,$B46,'11.1.Амортиз.нови активи'!AJ$61:AJ$108)+('11.1.Амортиз.нови активи'!V$112*SUMIF('11.1.Амортиз.нови активи'!$B$61:$B$108,$B46,'11.1.Амортиз.нови активи'!BD$61:BD$108))</f>
        <v>0</v>
      </c>
      <c r="AK46" s="1110">
        <f>$AG46-SUMIF('11.2. ДА за периода'!$B$61:$B$108,$B46,'11.2. ДА за периода'!$AG$61:$AG$108)+SUMIF('11.2. ДА за периода'!$B$61:$B$108,$B46,'11.2. ДА за периода'!AK$61:AK$108)+SUMIF('11.1.Амортиз.нови активи'!$B$61:$B$108,$B46,'11.1.Амортиз.нови активи'!AK$61:AK$108)+('11.1.Амортиз.нови активи'!W$112*SUMIF('11.1.Амортиз.нови активи'!$B$61:$B$108,$B46,'11.1.Амортиз.нови активи'!BE$61:BE$108))</f>
        <v>0</v>
      </c>
      <c r="AL46" s="1110">
        <f>$AG46-SUMIF('11.2. ДА за периода'!$B$61:$B$108,$B46,'11.2. ДА за периода'!$AG$61:$AG$108)+SUMIF('11.2. ДА за периода'!$B$61:$B$108,$B46,'11.2. ДА за периода'!AL$61:AL$108)+SUMIF('11.1.Амортиз.нови активи'!$B$61:$B$108,$B46,'11.1.Амортиз.нови активи'!AL$61:AL$108)+('11.1.Амортиз.нови активи'!X$112*SUMIF('11.1.Амортиз.нови активи'!$B$61:$B$108,$B46,'11.1.Амортиз.нови активи'!BF$61:BF$108))</f>
        <v>0</v>
      </c>
      <c r="AM46" s="2618">
        <f>$AG46-SUMIF('11.2. ДА за периода'!$B$61:$B$108,$B46,'11.2. ДА за периода'!$AG$61:$AG$108)+SUMIF('11.2. ДА за периода'!$B$61:$B$108,$B46,'11.2. ДА за периода'!AM$61:AM$108)+SUMIF('11.1.Амортиз.нови активи'!$B$61:$B$108,$B46,'11.1.Амортиз.нови активи'!AM$61:AM$108)+('11.1.Амортиз.нови активи'!Y$112*SUMIF('11.1.Амортиз.нови активи'!$B$61:$B$108,$B46,'11.1.Амортиз.нови активи'!BG$61:BG$108))</f>
        <v>0</v>
      </c>
      <c r="AN46" s="2513"/>
      <c r="AO46" s="2551"/>
      <c r="AP46" s="4422"/>
      <c r="AQ46" s="4438">
        <f t="shared" si="31"/>
        <v>46.527561188855884</v>
      </c>
      <c r="AR46" s="4438">
        <f t="shared" si="32"/>
        <v>47.492025444440472</v>
      </c>
      <c r="AS46" s="4438">
        <f t="shared" si="33"/>
        <v>48.456003059514153</v>
      </c>
      <c r="AT46" s="4438">
        <f t="shared" si="34"/>
        <v>46.705409439119876</v>
      </c>
      <c r="AU46" s="4438">
        <f t="shared" si="35"/>
        <v>46.645220541038171</v>
      </c>
      <c r="AV46" s="4438">
        <f t="shared" si="36"/>
        <v>46.289772915007632</v>
      </c>
      <c r="AW46" s="4438">
        <f t="shared" si="37"/>
        <v>46.297652111630562</v>
      </c>
      <c r="AX46" s="4438">
        <f t="shared" si="38"/>
        <v>0</v>
      </c>
      <c r="AY46" s="4438">
        <f t="shared" si="39"/>
        <v>0.30717457549991567</v>
      </c>
      <c r="AZ46" s="4438">
        <f t="shared" si="40"/>
        <v>0.58152289539340107</v>
      </c>
      <c r="BA46" s="4438">
        <f t="shared" si="41"/>
        <v>0.56724892815029737</v>
      </c>
      <c r="BB46" s="4438">
        <f t="shared" si="42"/>
        <v>0.56365399070172073</v>
      </c>
      <c r="BC46" s="4438">
        <f t="shared" si="43"/>
        <v>0.56098287415558068</v>
      </c>
      <c r="BD46" s="4438">
        <f t="shared" si="44"/>
        <v>0.55819597807137433</v>
      </c>
      <c r="BE46" s="4438">
        <f t="shared" si="45"/>
        <v>0.51129188119621849</v>
      </c>
      <c r="BF46" s="4438">
        <f t="shared" si="46"/>
        <v>0.5178827531022635</v>
      </c>
      <c r="BG46" s="4438">
        <f t="shared" si="47"/>
        <v>0.55778652112564253</v>
      </c>
      <c r="BH46" s="4438">
        <f t="shared" si="48"/>
        <v>0.58426171269587368</v>
      </c>
      <c r="BI46" s="4438">
        <f t="shared" si="49"/>
        <v>0.59691636010653659</v>
      </c>
      <c r="BJ46" s="4438">
        <f t="shared" si="50"/>
        <v>0.5971307858458601</v>
      </c>
      <c r="BK46" s="4438">
        <f t="shared" si="51"/>
        <v>0.59203848530713965</v>
      </c>
      <c r="BL46" s="4438">
        <f t="shared" si="52"/>
        <v>0</v>
      </c>
      <c r="BM46" s="4438">
        <f t="shared" si="53"/>
        <v>0</v>
      </c>
      <c r="BN46" s="4438">
        <f t="shared" si="54"/>
        <v>0</v>
      </c>
      <c r="BO46" s="4438">
        <f t="shared" si="55"/>
        <v>0</v>
      </c>
      <c r="BP46" s="4438">
        <f t="shared" si="56"/>
        <v>0</v>
      </c>
      <c r="BQ46" s="4438">
        <f t="shared" si="57"/>
        <v>0</v>
      </c>
      <c r="BR46" s="4438">
        <f t="shared" si="58"/>
        <v>0</v>
      </c>
      <c r="BS46" s="4438">
        <f t="shared" si="59"/>
        <v>0</v>
      </c>
      <c r="BT46" s="4438">
        <f t="shared" si="60"/>
        <v>0</v>
      </c>
      <c r="BU46" s="4438">
        <f t="shared" si="61"/>
        <v>0</v>
      </c>
      <c r="BV46" s="4438">
        <f t="shared" si="62"/>
        <v>0</v>
      </c>
      <c r="BW46" s="4438">
        <f t="shared" si="63"/>
        <v>0</v>
      </c>
      <c r="BX46" s="4438">
        <f t="shared" si="64"/>
        <v>0</v>
      </c>
      <c r="BY46" s="4438">
        <f t="shared" si="65"/>
        <v>0</v>
      </c>
    </row>
    <row r="47" spans="1:77">
      <c r="A47" s="2526"/>
      <c r="B47" s="2530">
        <v>20503</v>
      </c>
      <c r="C47" s="2511">
        <v>0.1</v>
      </c>
      <c r="D47" s="2550" t="s">
        <v>412</v>
      </c>
      <c r="E47" s="2641">
        <f>+'11.3. ДА Базова година'!F52</f>
        <v>18</v>
      </c>
      <c r="F47" s="2617">
        <f>$E47-SUMIF('11.2. ДА за периода'!$B$61:$B$108,$B47,'11.2. ДА за периода'!$E$61:$E$108)+SUMIF('11.2. ДА за периода'!$B$61:$B$108,$B47,'11.2. ДА за периода'!F$61:F$108)+SUMIF('11.1.Амортиз.нови активи'!$B$61:$B$108,$B47,'11.1.Амортиз.нови активи'!F$61:F$108)+('11.1.Амортиз.нови активи'!F$110*SUMIF('11.1.Амортиз.нови активи'!$B$61:$B$108,$B47,'11.1.Амортиз.нови активи'!AO$61:AO$108))</f>
        <v>18.272656250000001</v>
      </c>
      <c r="G47" s="1110">
        <f>$E47-SUMIF('11.2. ДА за периода'!$B$61:$B$108,$B47,'11.2. ДА за периода'!$E$61:$E$108)+SUMIF('11.2. ДА за периода'!$B$61:$B$108,$B47,'11.2. ДА за периода'!G$61:G$108)+SUMIF('11.1.Амортиз.нови активи'!$B$61:$B$108,$B47,'11.1.Амортиз.нови активи'!G$61:G$108)+('11.1.Амортиз.нови активи'!G$110*SUMIF('11.1.Амортиз.нови активи'!$B$61:$B$108,$B47,'11.1.Амортиз.нови активи'!AP$61:AP$108))</f>
        <v>19.043408927779119</v>
      </c>
      <c r="H47" s="1110">
        <f>$E47-SUMIF('11.2. ДА за периода'!$B$61:$B$108,$B47,'11.2. ДА за периода'!$E$61:$E$108)+SUMIF('11.2. ДА за периода'!$B$61:$B$108,$B47,'11.2. ДА за периода'!H$61:H$108)+SUMIF('11.1.Амортиз.нови активи'!$B$61:$B$108,$B47,'11.1.Амортиз.нови активи'!H$61:H$108)+('11.1.Амортиз.нови активи'!H$110*SUMIF('11.1.Амортиз.нови активи'!$B$61:$B$108,$B47,'11.1.Амортиз.нови активи'!AQ$61:AQ$108))</f>
        <v>18.595681886627666</v>
      </c>
      <c r="I47" s="1110">
        <f>$E47-SUMIF('11.2. ДА за периода'!$B$61:$B$108,$B47,'11.2. ДА за периода'!$E$61:$E$108)+SUMIF('11.2. ДА за периода'!$B$61:$B$108,$B47,'11.2. ДА за периода'!I$61:I$108)+SUMIF('11.1.Амортиз.нови активи'!$B$61:$B$108,$B47,'11.1.Амортиз.нови активи'!I$61:I$108)+('11.1.Амортиз.нови активи'!I$110*SUMIF('11.1.Амортиз.нови активи'!$B$61:$B$108,$B47,'11.1.Амортиз.нови активи'!AR$61:AR$108))</f>
        <v>18.160243381557372</v>
      </c>
      <c r="J47" s="1110">
        <f>$E47-SUMIF('11.2. ДА за периода'!$B$61:$B$108,$B47,'11.2. ДА за периода'!$E$61:$E$108)+SUMIF('11.2. ДА за периода'!$B$61:$B$108,$B47,'11.2. ДА за периода'!J$61:J$108)+SUMIF('11.1.Амортиз.нови активи'!$B$61:$B$108,$B47,'11.1.Амортиз.нови активи'!J$61:J$108)+('11.1.Амортиз.нови активи'!J$110*SUMIF('11.1.Амортиз.нови активи'!$B$61:$B$108,$B47,'11.1.Амортиз.нови активи'!AS$61:AS$108))</f>
        <v>18.169853120718763</v>
      </c>
      <c r="K47" s="2618">
        <f>$E47-SUMIF('11.2. ДА за периода'!$B$61:$B$108,$B47,'11.2. ДА за периода'!$E$61:$E$108)+SUMIF('11.2. ДА за периода'!$B$61:$B$108,$B47,'11.2. ДА за периода'!K$61:K$108)+SUMIF('11.1.Амортиз.нови активи'!$B$61:$B$108,$B47,'11.1.Амортиз.нови активи'!K$61:K$108)+('11.1.Амортиз.нови активи'!K$110*SUMIF('11.1.Амортиз.нови активи'!$B$61:$B$108,$B47,'11.1.Амортиз.нови активи'!AT$61:AT$108))</f>
        <v>-3.0993261410191995</v>
      </c>
      <c r="L47" s="2641">
        <f>+'11.3. ДА Базова година'!J52</f>
        <v>3</v>
      </c>
      <c r="M47" s="2617">
        <f>$L47-SUMIF('11.2. ДА за периода'!$B$61:$B$108,$B47,'11.2. ДА за периода'!$L$61:$L$108)+SUMIF('11.2. ДА за периода'!$B$61:$B$108,$B47,'11.2. ДА за периода'!M$61:M$108)+SUMIF('11.1.Амортиз.нови активи'!$B$61:$B$108,$B47,'11.1.Амортиз.нови активи'!M$61:M$108)+('11.1.Амортиз.нови активи'!F$111*SUMIF('11.1.Амортиз.нови активи'!$B$61:$B$108,$B47,'11.1.Амортиз.нови активи'!AO$61:AO$108))</f>
        <v>3.2015625000000001</v>
      </c>
      <c r="N47" s="1110">
        <f>$L47-SUMIF('11.2. ДА за периода'!$B$61:$B$108,$B47,'11.2. ДА за периода'!$L$61:$L$108)+SUMIF('11.2. ДА за периода'!$B$61:$B$108,$B47,'11.2. ДА за периода'!N$61:N$108)+SUMIF('11.1.Амортиз.нови активи'!$B$61:$B$108,$B47,'11.1.Амортиз.нови активи'!N$61:N$108)+('11.1.Амортиз.нови активи'!G$111*SUMIF('11.1.Амортиз.нови активи'!$B$61:$B$108,$B47,'11.1.Амортиз.нови активи'!AP$61:AP$108))</f>
        <v>3.2747198489945513</v>
      </c>
      <c r="O47" s="1110">
        <f>$L47-SUMIF('11.2. ДА за периода'!$B$61:$B$108,$B47,'11.2. ДА за периода'!$L$61:$L$108)+SUMIF('11.2. ДА за периода'!$B$61:$B$108,$B47,'11.2. ДА за периода'!O$61:O$108)+SUMIF('11.1.Амортиз.нови активи'!$B$61:$B$108,$B47,'11.1.Амортиз.нови активи'!O$61:O$108)+('11.1.Амортиз.нови активи'!H$111*SUMIF('11.1.Амортиз.нови активи'!$B$61:$B$108,$B47,'11.1.Амортиз.нови активи'!AQ$61:AQ$108))</f>
        <v>3.2188849422883923</v>
      </c>
      <c r="P47" s="1110">
        <f>$L47-SUMIF('11.2. ДА за периода'!$B$61:$B$108,$B47,'11.2. ДА за периода'!$L$61:$L$108)+SUMIF('11.2. ДА за периода'!$B$61:$B$108,$B47,'11.2. ДА за периода'!P$61:P$108)+SUMIF('11.1.Амортиз.нови активи'!$B$61:$B$108,$B47,'11.1.Амортиз.нови активи'!P$61:P$108)+('11.1.Амортиз.нови активи'!I$111*SUMIF('11.1.Амортиз.нови активи'!$B$61:$B$108,$B47,'11.1.Амортиз.нови активи'!AR$61:AR$108))</f>
        <v>3.2048227692682927</v>
      </c>
      <c r="Q47" s="1110">
        <f>$L47-SUMIF('11.2. ДА за периода'!$B$61:$B$108,$B47,'11.2. ДА за периода'!$L$61:$L$108)+SUMIF('11.2. ДА за периода'!$B$61:$B$108,$B47,'11.2. ДА за периода'!Q$61:Q$108)+SUMIF('11.1.Амортиз.нови активи'!$B$61:$B$108,$B47,'11.1.Амортиз.нови активи'!Q$61:Q$108)+('11.1.Амортиз.нови активи'!J$111*SUMIF('11.1.Амортиз.нови активи'!$B$61:$B$108,$B47,'11.1.Амортиз.нови активи'!AS$61:AS$108))</f>
        <v>3.1943742695194186</v>
      </c>
      <c r="R47" s="2618">
        <f>$L47-SUMIF('11.2. ДА за периода'!$B$61:$B$108,$B47,'11.2. ДА за периода'!$L$61:$L$108)+SUMIF('11.2. ДА за периода'!$B$61:$B$108,$B47,'11.2. ДА за периода'!R$61:R$108)+SUMIF('11.1.Амортиз.нови активи'!$B$61:$B$108,$B47,'11.1.Амортиз.нови активи'!R$61:R$108)+('11.1.Амортиз.нови активи'!K$111*SUMIF('11.1.Амортиз.нови активи'!$B$61:$B$108,$B47,'11.1.Амортиз.нови активи'!AT$61:AT$108))</f>
        <v>3.1834728795826721</v>
      </c>
      <c r="S47" s="2641">
        <f>+'11.3. ДА Базова година'!N52</f>
        <v>6</v>
      </c>
      <c r="T47" s="2617">
        <f>$S47-SUMIF('11.2. ДА за периода'!$B$61:$B$108,$B47,'11.2. ДА за периода'!$S$61:$S$108)+SUMIF('11.2. ДА за периода'!$B$61:$B$108,$B47,'11.2. ДА за периода'!T$61:T$108)+SUMIF('11.1.Амортиз.нови активи'!$B$61:$B$108,$B47,'11.1.Амортиз.нови активи'!T$61:T$108)+('11.1.Амортиз.нови активи'!F$112*SUMIF('11.1.Амортиз.нови активи'!$B$61:$B$108,$B47,'11.1.Амортиз.нови активи'!AO$61:AO$108))</f>
        <v>6.0257812499999996</v>
      </c>
      <c r="U47" s="1110">
        <f>$S47-SUMIF('11.2. ДА за периода'!$B$61:$B$108,$B47,'11.2. ДА за периода'!$S$61:$S$108)+SUMIF('11.2. ДА за периода'!$B$61:$B$108,$B47,'11.2. ДА за периода'!U$61:U$108)+SUMIF('11.1.Амортиз.нови активи'!$B$61:$B$108,$B47,'11.1.Амортиз.нови активи'!U$61:U$108)+('11.1.Амортиз.нови активи'!G$112*SUMIF('11.1.Амортиз.нови активи'!$B$61:$B$108,$B47,'11.1.Амортиз.нови активи'!AP$61:AP$108))</f>
        <v>6.1818712232263309</v>
      </c>
      <c r="V47" s="1110">
        <f>$S47-SUMIF('11.2. ДА за периода'!$B$61:$B$108,$B47,'11.2. ДА за периода'!$S$61:$S$108)+SUMIF('11.2. ДА за периода'!$B$61:$B$108,$B47,'11.2. ДА за периода'!V$61:V$108)+SUMIF('11.1.Амортиз.нови активи'!$B$61:$B$108,$B47,'11.1.Амортиз.нови активи'!V$61:V$108)+('11.1.Амортиз.нови активи'!H$112*SUMIF('11.1.Амортиз.нови активи'!$B$61:$B$108,$B47,'11.1.Амортиз.нови активи'!AQ$61:AQ$108))</f>
        <v>6.2854331710839411</v>
      </c>
      <c r="W47" s="1110">
        <f>$S47-SUMIF('11.2. ДА за периода'!$B$61:$B$108,$B47,'11.2. ДА за периода'!$S$61:$S$108)+SUMIF('11.2. ДА за периода'!$B$61:$B$108,$B47,'11.2. ДА за периода'!W$61:W$108)+SUMIF('11.1.Амортиз.нови активи'!$B$61:$B$108,$B47,'11.1.Амортиз.нови активи'!W$61:W$108)+('11.1.Амортиз.нови активи'!I$112*SUMIF('11.1.Амортиз.нови активи'!$B$61:$B$108,$B47,'11.1.Амортиз.нови активи'!AR$61:AR$108))</f>
        <v>6.3349338491743348</v>
      </c>
      <c r="X47" s="1110">
        <f>$S47-SUMIF('11.2. ДА за периода'!$B$61:$B$108,$B47,'11.2. ДА за периода'!$S$61:$S$108)+SUMIF('11.2. ДА за периода'!$B$61:$B$108,$B47,'11.2. ДА за периода'!X$61:X$108)+SUMIF('11.1.Амортиз.нови активи'!$B$61:$B$108,$B47,'11.1.Амортиз.нови активи'!X$61:X$108)+('11.1.Амортиз.нови активи'!J$112*SUMIF('11.1.Амортиз.нови активи'!$B$61:$B$108,$B47,'11.1.Амортиз.нови активи'!AS$61:AS$108))</f>
        <v>6.3357726097618174</v>
      </c>
      <c r="Y47" s="2618">
        <f>$S47-SUMIF('11.2. ДА за периода'!$B$61:$B$108,$B47,'11.2. ДА за периода'!$S$61:$S$108)+SUMIF('11.2. ДА за периода'!$B$61:$B$108,$B47,'11.2. ДА за периода'!Y$61:Y$108)+SUMIF('11.1.Амортиз.нови активи'!$B$61:$B$108,$B47,'11.1.Амортиз.нови активи'!Y$61:Y$108)+('11.1.Амортиз.нови активи'!K$112*SUMIF('11.1.Амортиз.нови активи'!$B$61:$B$108,$B47,'11.1.Амортиз.нови активи'!AT$61:AT$108))</f>
        <v>6.3158532614365264</v>
      </c>
      <c r="Z47" s="4387">
        <f>+'11.3. ДА Базова година'!R52</f>
        <v>0</v>
      </c>
      <c r="AA47" s="2617">
        <f>$Z47-SUMIF('11.2. ДА за периода'!$B$61:$B$108,$B47,'11.2. ДА за периода'!$Z$61:$Z$108)+SUMIF('11.2. ДА за периода'!$B$61:$B$108,$B47,'11.2. ДА за периода'!AA$61:AA$108)+SUMIF('11.1.Амортиз.нови активи'!$B$61:$B$108,$B47,'11.1.Амортиз.нови активи'!AA$61:AA$108)</f>
        <v>0</v>
      </c>
      <c r="AB47" s="1110">
        <f>$Z47-SUMIF('11.2. ДА за периода'!$B$61:$B$108,$B47,'11.2. ДА за периода'!$Z$61:$Z$108)+SUMIF('11.2. ДА за периода'!$B$61:$B$108,$B47,'11.2. ДА за периода'!AB$61:AB$108)+SUMIF('11.1.Амортиз.нови активи'!$B$61:$B$108,$B47,'11.1.Амортиз.нови активи'!AB$61:AB$108)</f>
        <v>0</v>
      </c>
      <c r="AC47" s="1110">
        <f>$Z47-SUMIF('11.2. ДА за периода'!$B$61:$B$108,$B47,'11.2. ДА за периода'!$Z$61:$Z$108)+SUMIF('11.2. ДА за периода'!$B$61:$B$108,$B47,'11.2. ДА за периода'!AC$61:AC$108)+SUMIF('11.1.Амортиз.нови активи'!$B$61:$B$108,$B47,'11.1.Амортиз.нови активи'!AC$61:AC$108)</f>
        <v>0</v>
      </c>
      <c r="AD47" s="1110">
        <f>$Z47-SUMIF('11.2. ДА за периода'!$B$61:$B$108,$B47,'11.2. ДА за периода'!$Z$61:$Z$108)+SUMIF('11.2. ДА за периода'!$B$61:$B$108,$B47,'11.2. ДА за периода'!AD$61:AD$108)+SUMIF('11.1.Амортиз.нови активи'!$B$61:$B$108,$B47,'11.1.Амортиз.нови активи'!AD$61:AD$108)</f>
        <v>0</v>
      </c>
      <c r="AE47" s="1110">
        <f>$Z47-SUMIF('11.2. ДА за периода'!$B$61:$B$108,$B47,'11.2. ДА за периода'!$Z$61:$Z$108)+SUMIF('11.2. ДА за периода'!$B$61:$B$108,$B47,'11.2. ДА за периода'!AE$61:AE$108)+SUMIF('11.1.Амортиз.нови активи'!$B$61:$B$108,$B47,'11.1.Амортиз.нови активи'!AE$61:AE$108)</f>
        <v>0</v>
      </c>
      <c r="AF47" s="2618">
        <f>$Z47-SUMIF('11.2. ДА за периода'!$B$61:$B$108,$B47,'11.2. ДА за периода'!$Z$61:$Z$108)+SUMIF('11.2. ДА за периода'!$B$61:$B$108,$B47,'11.2. ДА за периода'!AF$61:AF$108)+SUMIF('11.1.Амортиз.нови активи'!$B$61:$B$108,$B47,'11.1.Амортиз.нови активи'!AF$61:AF$108)</f>
        <v>0</v>
      </c>
      <c r="AG47" s="2641">
        <f>+'11.3. ДА Базова година'!V52</f>
        <v>0</v>
      </c>
      <c r="AH47" s="2617">
        <f>$AG47-SUMIF('11.2. ДА за периода'!$B$61:$B$108,$B47,'11.2. ДА за периода'!$AG$61:$AG$108)+SUMIF('11.2. ДА за периода'!$B$61:$B$108,$B47,'11.2. ДА за периода'!AH$61:AH$108)+SUMIF('11.1.Амортиз.нови активи'!$B$61:$B$108,$B47,'11.1.Амортиз.нови активи'!AH$61:AH$108)+('11.1.Амортиз.нови активи'!T$112*SUMIF('11.1.Амортиз.нови активи'!$B$61:$B$108,$B47,'11.1.Амортиз.нови активи'!BB$61:BB$108))</f>
        <v>0</v>
      </c>
      <c r="AI47" s="1110">
        <f>$AG47-SUMIF('11.2. ДА за периода'!$B$61:$B$108,$B47,'11.2. ДА за периода'!$AG$61:$AG$108)+SUMIF('11.2. ДА за периода'!$B$61:$B$108,$B47,'11.2. ДА за периода'!AI$61:AI$108)+SUMIF('11.1.Амортиз.нови активи'!$B$61:$B$108,$B47,'11.1.Амортиз.нови активи'!AI$61:AI$108)+('11.1.Амортиз.нови активи'!U$112*SUMIF('11.1.Амортиз.нови активи'!$B$61:$B$108,$B47,'11.1.Амортиз.нови активи'!BC$61:BC$108))</f>
        <v>0</v>
      </c>
      <c r="AJ47" s="1110">
        <f>$AG47-SUMIF('11.2. ДА за периода'!$B$61:$B$108,$B47,'11.2. ДА за периода'!$AG$61:$AG$108)+SUMIF('11.2. ДА за периода'!$B$61:$B$108,$B47,'11.2. ДА за периода'!AJ$61:AJ$108)+SUMIF('11.1.Амортиз.нови активи'!$B$61:$B$108,$B47,'11.1.Амортиз.нови активи'!AJ$61:AJ$108)+('11.1.Амортиз.нови активи'!V$112*SUMIF('11.1.Амортиз.нови активи'!$B$61:$B$108,$B47,'11.1.Амортиз.нови активи'!BD$61:BD$108))</f>
        <v>0</v>
      </c>
      <c r="AK47" s="1110">
        <f>$AG47-SUMIF('11.2. ДА за периода'!$B$61:$B$108,$B47,'11.2. ДА за периода'!$AG$61:$AG$108)+SUMIF('11.2. ДА за периода'!$B$61:$B$108,$B47,'11.2. ДА за периода'!AK$61:AK$108)+SUMIF('11.1.Амортиз.нови активи'!$B$61:$B$108,$B47,'11.1.Амортиз.нови активи'!AK$61:AK$108)+('11.1.Амортиз.нови активи'!W$112*SUMIF('11.1.Амортиз.нови активи'!$B$61:$B$108,$B47,'11.1.Амортиз.нови активи'!BE$61:BE$108))</f>
        <v>0</v>
      </c>
      <c r="AL47" s="1110">
        <f>$AG47-SUMIF('11.2. ДА за периода'!$B$61:$B$108,$B47,'11.2. ДА за периода'!$AG$61:$AG$108)+SUMIF('11.2. ДА за периода'!$B$61:$B$108,$B47,'11.2. ДА за периода'!AL$61:AL$108)+SUMIF('11.1.Амортиз.нови активи'!$B$61:$B$108,$B47,'11.1.Амортиз.нови активи'!AL$61:AL$108)+('11.1.Амортиз.нови активи'!X$112*SUMIF('11.1.Амортиз.нови активи'!$B$61:$B$108,$B47,'11.1.Амортиз.нови активи'!BF$61:BF$108))</f>
        <v>0</v>
      </c>
      <c r="AM47" s="2618">
        <f>$AG47-SUMIF('11.2. ДА за периода'!$B$61:$B$108,$B47,'11.2. ДА за периода'!$AG$61:$AG$108)+SUMIF('11.2. ДА за периода'!$B$61:$B$108,$B47,'11.2. ДА за периода'!AM$61:AM$108)+SUMIF('11.1.Амортиз.нови активи'!$B$61:$B$108,$B47,'11.1.Амортиз.нови активи'!AM$61:AM$108)+('11.1.Амортиз.нови активи'!Y$112*SUMIF('11.1.Амортиз.нови активи'!$B$61:$B$108,$B47,'11.1.Амортиз.нови активи'!BG$61:BG$108))</f>
        <v>0</v>
      </c>
      <c r="AN47" s="2513"/>
      <c r="AO47" s="2551"/>
      <c r="AP47" s="4422"/>
      <c r="AQ47" s="4438">
        <f t="shared" si="31"/>
        <v>9.2032538615319321</v>
      </c>
      <c r="AR47" s="4438">
        <f t="shared" si="32"/>
        <v>9.3426607885143405</v>
      </c>
      <c r="AS47" s="4438">
        <f t="shared" si="33"/>
        <v>9.7367403750730475</v>
      </c>
      <c r="AT47" s="4438">
        <f t="shared" si="34"/>
        <v>9.5078211739403056</v>
      </c>
      <c r="AU47" s="4438">
        <f t="shared" si="35"/>
        <v>9.2851850015376449</v>
      </c>
      <c r="AV47" s="4438">
        <f t="shared" si="36"/>
        <v>9.2900983831512782</v>
      </c>
      <c r="AW47" s="4438">
        <f t="shared" si="37"/>
        <v>-1.5846602930823228</v>
      </c>
      <c r="AX47" s="4438">
        <f t="shared" si="38"/>
        <v>1.5338756435886556</v>
      </c>
      <c r="AY47" s="4438">
        <f t="shared" si="39"/>
        <v>1.6369329133922683</v>
      </c>
      <c r="AZ47" s="4438">
        <f t="shared" si="40"/>
        <v>1.6743376719830207</v>
      </c>
      <c r="BA47" s="4438">
        <f t="shared" si="41"/>
        <v>1.6457897374968133</v>
      </c>
      <c r="BB47" s="4438">
        <f t="shared" si="42"/>
        <v>1.6385998625996598</v>
      </c>
      <c r="BC47" s="4438">
        <f t="shared" si="43"/>
        <v>1.6332576295073797</v>
      </c>
      <c r="BD47" s="4438">
        <f t="shared" si="44"/>
        <v>1.6276838373389673</v>
      </c>
      <c r="BE47" s="4438">
        <f t="shared" si="45"/>
        <v>3.0677512871773112</v>
      </c>
      <c r="BF47" s="4438">
        <f t="shared" si="46"/>
        <v>3.0809330309894007</v>
      </c>
      <c r="BG47" s="4438">
        <f t="shared" si="47"/>
        <v>3.160740567036159</v>
      </c>
      <c r="BH47" s="4438">
        <f t="shared" si="48"/>
        <v>3.2136909501766211</v>
      </c>
      <c r="BI47" s="4438">
        <f t="shared" si="49"/>
        <v>3.2390002449979471</v>
      </c>
      <c r="BJ47" s="4438">
        <f t="shared" si="50"/>
        <v>3.2394290964765942</v>
      </c>
      <c r="BK47" s="4438">
        <f t="shared" si="51"/>
        <v>3.2292444953991537</v>
      </c>
      <c r="BL47" s="4438">
        <f t="shared" si="52"/>
        <v>0</v>
      </c>
      <c r="BM47" s="4438">
        <f t="shared" si="53"/>
        <v>0</v>
      </c>
      <c r="BN47" s="4438">
        <f t="shared" si="54"/>
        <v>0</v>
      </c>
      <c r="BO47" s="4438">
        <f t="shared" si="55"/>
        <v>0</v>
      </c>
      <c r="BP47" s="4438">
        <f t="shared" si="56"/>
        <v>0</v>
      </c>
      <c r="BQ47" s="4438">
        <f t="shared" si="57"/>
        <v>0</v>
      </c>
      <c r="BR47" s="4438">
        <f t="shared" si="58"/>
        <v>0</v>
      </c>
      <c r="BS47" s="4438">
        <f t="shared" si="59"/>
        <v>0</v>
      </c>
      <c r="BT47" s="4438">
        <f t="shared" si="60"/>
        <v>0</v>
      </c>
      <c r="BU47" s="4438">
        <f t="shared" si="61"/>
        <v>0</v>
      </c>
      <c r="BV47" s="4438">
        <f t="shared" si="62"/>
        <v>0</v>
      </c>
      <c r="BW47" s="4438">
        <f t="shared" si="63"/>
        <v>0</v>
      </c>
      <c r="BX47" s="4438">
        <f t="shared" si="64"/>
        <v>0</v>
      </c>
      <c r="BY47" s="4438">
        <f t="shared" si="65"/>
        <v>0</v>
      </c>
    </row>
    <row r="48" spans="1:77">
      <c r="A48" s="2526"/>
      <c r="B48" s="2530">
        <v>20504</v>
      </c>
      <c r="C48" s="2511">
        <v>0.1</v>
      </c>
      <c r="D48" s="2550" t="s">
        <v>557</v>
      </c>
      <c r="E48" s="2641">
        <f>+'11.3. ДА Базова година'!F53</f>
        <v>0</v>
      </c>
      <c r="F48" s="2617">
        <f>$E48-SUMIF('11.2. ДА за периода'!$B$61:$B$108,$B48,'11.2. ДА за периода'!$E$61:$E$108)+SUMIF('11.2. ДА за периода'!$B$61:$B$108,$B48,'11.2. ДА за периода'!F$61:F$108)+SUMIF('11.1.Амортиз.нови активи'!$B$61:$B$108,$B48,'11.1.Амортиз.нови активи'!F$61:F$108)+('11.1.Амортиз.нови активи'!F$110*SUMIF('11.1.Амортиз.нови активи'!$B$61:$B$108,$B48,'11.1.Амортиз.нови активи'!AO$61:AO$108))</f>
        <v>0</v>
      </c>
      <c r="G48" s="1110">
        <f>$E48-SUMIF('11.2. ДА за периода'!$B$61:$B$108,$B48,'11.2. ДА за периода'!$E$61:$E$108)+SUMIF('11.2. ДА за периода'!$B$61:$B$108,$B48,'11.2. ДА за периода'!G$61:G$108)+SUMIF('11.1.Амортиз.нови активи'!$B$61:$B$108,$B48,'11.1.Амортиз.нови активи'!G$61:G$108)+('11.1.Амортиз.нови активи'!G$110*SUMIF('11.1.Амортиз.нови активи'!$B$61:$B$108,$B48,'11.1.Амортиз.нови активи'!AP$61:AP$108))</f>
        <v>0</v>
      </c>
      <c r="H48" s="1110">
        <f>$E48-SUMIF('11.2. ДА за периода'!$B$61:$B$108,$B48,'11.2. ДА за периода'!$E$61:$E$108)+SUMIF('11.2. ДА за периода'!$B$61:$B$108,$B48,'11.2. ДА за периода'!H$61:H$108)+SUMIF('11.1.Амортиз.нови активи'!$B$61:$B$108,$B48,'11.1.Амортиз.нови активи'!H$61:H$108)+('11.1.Амортиз.нови активи'!H$110*SUMIF('11.1.Амортиз.нови активи'!$B$61:$B$108,$B48,'11.1.Амортиз.нови активи'!AQ$61:AQ$108))</f>
        <v>0</v>
      </c>
      <c r="I48" s="1110">
        <f>$E48-SUMIF('11.2. ДА за периода'!$B$61:$B$108,$B48,'11.2. ДА за периода'!$E$61:$E$108)+SUMIF('11.2. ДА за периода'!$B$61:$B$108,$B48,'11.2. ДА за периода'!I$61:I$108)+SUMIF('11.1.Амортиз.нови активи'!$B$61:$B$108,$B48,'11.1.Амортиз.нови активи'!I$61:I$108)+('11.1.Амортиз.нови активи'!I$110*SUMIF('11.1.Амортиз.нови активи'!$B$61:$B$108,$B48,'11.1.Амортиз.нови активи'!AR$61:AR$108))</f>
        <v>0</v>
      </c>
      <c r="J48" s="1110">
        <f>$E48-SUMIF('11.2. ДА за периода'!$B$61:$B$108,$B48,'11.2. ДА за периода'!$E$61:$E$108)+SUMIF('11.2. ДА за периода'!$B$61:$B$108,$B48,'11.2. ДА за периода'!J$61:J$108)+SUMIF('11.1.Амортиз.нови активи'!$B$61:$B$108,$B48,'11.1.Амортиз.нови активи'!J$61:J$108)+('11.1.Амортиз.нови активи'!J$110*SUMIF('11.1.Амортиз.нови активи'!$B$61:$B$108,$B48,'11.1.Амортиз.нови активи'!AS$61:AS$108))</f>
        <v>0</v>
      </c>
      <c r="K48" s="2618">
        <f>$E48-SUMIF('11.2. ДА за периода'!$B$61:$B$108,$B48,'11.2. ДА за периода'!$E$61:$E$108)+SUMIF('11.2. ДА за периода'!$B$61:$B$108,$B48,'11.2. ДА за периода'!K$61:K$108)+SUMIF('11.1.Амортиз.нови активи'!$B$61:$B$108,$B48,'11.1.Амортиз.нови активи'!K$61:K$108)+('11.1.Амортиз.нови активи'!K$110*SUMIF('11.1.Амортиз.нови активи'!$B$61:$B$108,$B48,'11.1.Амортиз.нови активи'!AT$61:AT$108))</f>
        <v>0</v>
      </c>
      <c r="L48" s="2641">
        <f>+'11.3. ДА Базова година'!J53</f>
        <v>0</v>
      </c>
      <c r="M48" s="2617">
        <f>$L48-SUMIF('11.2. ДА за периода'!$B$61:$B$108,$B48,'11.2. ДА за периода'!$L$61:$L$108)+SUMIF('11.2. ДА за периода'!$B$61:$B$108,$B48,'11.2. ДА за периода'!M$61:M$108)+SUMIF('11.1.Амортиз.нови активи'!$B$61:$B$108,$B48,'11.1.Амортиз.нови активи'!M$61:M$108)+('11.1.Амортиз.нови активи'!F$111*SUMIF('11.1.Амортиз.нови активи'!$B$61:$B$108,$B48,'11.1.Амортиз.нови активи'!AO$61:AO$108))</f>
        <v>0</v>
      </c>
      <c r="N48" s="1110">
        <f>$L48-SUMIF('11.2. ДА за периода'!$B$61:$B$108,$B48,'11.2. ДА за периода'!$L$61:$L$108)+SUMIF('11.2. ДА за периода'!$B$61:$B$108,$B48,'11.2. ДА за периода'!N$61:N$108)+SUMIF('11.1.Амортиз.нови активи'!$B$61:$B$108,$B48,'11.1.Амортиз.нови активи'!N$61:N$108)+('11.1.Амортиз.нови активи'!G$111*SUMIF('11.1.Амортиз.нови активи'!$B$61:$B$108,$B48,'11.1.Амортиз.нови активи'!AP$61:AP$108))</f>
        <v>0</v>
      </c>
      <c r="O48" s="1110">
        <f>$L48-SUMIF('11.2. ДА за периода'!$B$61:$B$108,$B48,'11.2. ДА за периода'!$L$61:$L$108)+SUMIF('11.2. ДА за периода'!$B$61:$B$108,$B48,'11.2. ДА за периода'!O$61:O$108)+SUMIF('11.1.Амортиз.нови активи'!$B$61:$B$108,$B48,'11.1.Амортиз.нови активи'!O$61:O$108)+('11.1.Амортиз.нови активи'!H$111*SUMIF('11.1.Амортиз.нови активи'!$B$61:$B$108,$B48,'11.1.Амортиз.нови активи'!AQ$61:AQ$108))</f>
        <v>0</v>
      </c>
      <c r="P48" s="1110">
        <f>$L48-SUMIF('11.2. ДА за периода'!$B$61:$B$108,$B48,'11.2. ДА за периода'!$L$61:$L$108)+SUMIF('11.2. ДА за периода'!$B$61:$B$108,$B48,'11.2. ДА за периода'!P$61:P$108)+SUMIF('11.1.Амортиз.нови активи'!$B$61:$B$108,$B48,'11.1.Амортиз.нови активи'!P$61:P$108)+('11.1.Амортиз.нови активи'!I$111*SUMIF('11.1.Амортиз.нови активи'!$B$61:$B$108,$B48,'11.1.Амортиз.нови активи'!AR$61:AR$108))</f>
        <v>0</v>
      </c>
      <c r="Q48" s="1110">
        <f>$L48-SUMIF('11.2. ДА за периода'!$B$61:$B$108,$B48,'11.2. ДА за периода'!$L$61:$L$108)+SUMIF('11.2. ДА за периода'!$B$61:$B$108,$B48,'11.2. ДА за периода'!Q$61:Q$108)+SUMIF('11.1.Амортиз.нови активи'!$B$61:$B$108,$B48,'11.1.Амортиз.нови активи'!Q$61:Q$108)+('11.1.Амортиз.нови активи'!J$111*SUMIF('11.1.Амортиз.нови активи'!$B$61:$B$108,$B48,'11.1.Амортиз.нови активи'!AS$61:AS$108))</f>
        <v>0</v>
      </c>
      <c r="R48" s="2618">
        <f>$L48-SUMIF('11.2. ДА за периода'!$B$61:$B$108,$B48,'11.2. ДА за периода'!$L$61:$L$108)+SUMIF('11.2. ДА за периода'!$B$61:$B$108,$B48,'11.2. ДА за периода'!R$61:R$108)+SUMIF('11.1.Амортиз.нови активи'!$B$61:$B$108,$B48,'11.1.Амортиз.нови активи'!R$61:R$108)+('11.1.Амортиз.нови активи'!K$111*SUMIF('11.1.Амортиз.нови активи'!$B$61:$B$108,$B48,'11.1.Амортиз.нови активи'!AT$61:AT$108))</f>
        <v>0</v>
      </c>
      <c r="S48" s="2641">
        <f>+'11.3. ДА Базова година'!N53</f>
        <v>0</v>
      </c>
      <c r="T48" s="2617">
        <f>$S48-SUMIF('11.2. ДА за периода'!$B$61:$B$108,$B48,'11.2. ДА за периода'!$S$61:$S$108)+SUMIF('11.2. ДА за периода'!$B$61:$B$108,$B48,'11.2. ДА за периода'!T$61:T$108)+SUMIF('11.1.Амортиз.нови активи'!$B$61:$B$108,$B48,'11.1.Амортиз.нови активи'!T$61:T$108)+('11.1.Амортиз.нови активи'!F$112*SUMIF('11.1.Амортиз.нови активи'!$B$61:$B$108,$B48,'11.1.Амортиз.нови активи'!AO$61:AO$108))</f>
        <v>0</v>
      </c>
      <c r="U48" s="1110">
        <f>$S48-SUMIF('11.2. ДА за периода'!$B$61:$B$108,$B48,'11.2. ДА за периода'!$S$61:$S$108)+SUMIF('11.2. ДА за периода'!$B$61:$B$108,$B48,'11.2. ДА за периода'!U$61:U$108)+SUMIF('11.1.Амортиз.нови активи'!$B$61:$B$108,$B48,'11.1.Амортиз.нови активи'!U$61:U$108)+('11.1.Амортиз.нови активи'!G$112*SUMIF('11.1.Амортиз.нови активи'!$B$61:$B$108,$B48,'11.1.Амортиз.нови активи'!AP$61:AP$108))</f>
        <v>0</v>
      </c>
      <c r="V48" s="1110">
        <f>$S48-SUMIF('11.2. ДА за периода'!$B$61:$B$108,$B48,'11.2. ДА за периода'!$S$61:$S$108)+SUMIF('11.2. ДА за периода'!$B$61:$B$108,$B48,'11.2. ДА за периода'!V$61:V$108)+SUMIF('11.1.Амортиз.нови активи'!$B$61:$B$108,$B48,'11.1.Амортиз.нови активи'!V$61:V$108)+('11.1.Амортиз.нови активи'!H$112*SUMIF('11.1.Амортиз.нови активи'!$B$61:$B$108,$B48,'11.1.Амортиз.нови активи'!AQ$61:AQ$108))</f>
        <v>0</v>
      </c>
      <c r="W48" s="1110">
        <f>$S48-SUMIF('11.2. ДА за периода'!$B$61:$B$108,$B48,'11.2. ДА за периода'!$S$61:$S$108)+SUMIF('11.2. ДА за периода'!$B$61:$B$108,$B48,'11.2. ДА за периода'!W$61:W$108)+SUMIF('11.1.Амортиз.нови активи'!$B$61:$B$108,$B48,'11.1.Амортиз.нови активи'!W$61:W$108)+('11.1.Амортиз.нови активи'!I$112*SUMIF('11.1.Амортиз.нови активи'!$B$61:$B$108,$B48,'11.1.Амортиз.нови активи'!AR$61:AR$108))</f>
        <v>0</v>
      </c>
      <c r="X48" s="1110">
        <f>$S48-SUMIF('11.2. ДА за периода'!$B$61:$B$108,$B48,'11.2. ДА за периода'!$S$61:$S$108)+SUMIF('11.2. ДА за периода'!$B$61:$B$108,$B48,'11.2. ДА за периода'!X$61:X$108)+SUMIF('11.1.Амортиз.нови активи'!$B$61:$B$108,$B48,'11.1.Амортиз.нови активи'!X$61:X$108)+('11.1.Амортиз.нови активи'!J$112*SUMIF('11.1.Амортиз.нови активи'!$B$61:$B$108,$B48,'11.1.Амортиз.нови активи'!AS$61:AS$108))</f>
        <v>0</v>
      </c>
      <c r="Y48" s="2618">
        <f>$S48-SUMIF('11.2. ДА за периода'!$B$61:$B$108,$B48,'11.2. ДА за периода'!$S$61:$S$108)+SUMIF('11.2. ДА за периода'!$B$61:$B$108,$B48,'11.2. ДА за периода'!Y$61:Y$108)+SUMIF('11.1.Амортиз.нови активи'!$B$61:$B$108,$B48,'11.1.Амортиз.нови активи'!Y$61:Y$108)+('11.1.Амортиз.нови активи'!K$112*SUMIF('11.1.Амортиз.нови активи'!$B$61:$B$108,$B48,'11.1.Амортиз.нови активи'!AT$61:AT$108))</f>
        <v>0</v>
      </c>
      <c r="Z48" s="4387">
        <f>+'11.3. ДА Базова година'!R53</f>
        <v>0</v>
      </c>
      <c r="AA48" s="2617">
        <f>$Z48-SUMIF('11.2. ДА за периода'!$B$61:$B$108,$B48,'11.2. ДА за периода'!$Z$61:$Z$108)+SUMIF('11.2. ДА за периода'!$B$61:$B$108,$B48,'11.2. ДА за периода'!AA$61:AA$108)+SUMIF('11.1.Амортиз.нови активи'!$B$61:$B$108,$B48,'11.1.Амортиз.нови активи'!AA$61:AA$108)</f>
        <v>0</v>
      </c>
      <c r="AB48" s="1110">
        <f>$Z48-SUMIF('11.2. ДА за периода'!$B$61:$B$108,$B48,'11.2. ДА за периода'!$Z$61:$Z$108)+SUMIF('11.2. ДА за периода'!$B$61:$B$108,$B48,'11.2. ДА за периода'!AB$61:AB$108)+SUMIF('11.1.Амортиз.нови активи'!$B$61:$B$108,$B48,'11.1.Амортиз.нови активи'!AB$61:AB$108)</f>
        <v>0</v>
      </c>
      <c r="AC48" s="1110">
        <f>$Z48-SUMIF('11.2. ДА за периода'!$B$61:$B$108,$B48,'11.2. ДА за периода'!$Z$61:$Z$108)+SUMIF('11.2. ДА за периода'!$B$61:$B$108,$B48,'11.2. ДА за периода'!AC$61:AC$108)+SUMIF('11.1.Амортиз.нови активи'!$B$61:$B$108,$B48,'11.1.Амортиз.нови активи'!AC$61:AC$108)</f>
        <v>0</v>
      </c>
      <c r="AD48" s="1110">
        <f>$Z48-SUMIF('11.2. ДА за периода'!$B$61:$B$108,$B48,'11.2. ДА за периода'!$Z$61:$Z$108)+SUMIF('11.2. ДА за периода'!$B$61:$B$108,$B48,'11.2. ДА за периода'!AD$61:AD$108)+SUMIF('11.1.Амортиз.нови активи'!$B$61:$B$108,$B48,'11.1.Амортиз.нови активи'!AD$61:AD$108)</f>
        <v>0</v>
      </c>
      <c r="AE48" s="1110">
        <f>$Z48-SUMIF('11.2. ДА за периода'!$B$61:$B$108,$B48,'11.2. ДА за периода'!$Z$61:$Z$108)+SUMIF('11.2. ДА за периода'!$B$61:$B$108,$B48,'11.2. ДА за периода'!AE$61:AE$108)+SUMIF('11.1.Амортиз.нови активи'!$B$61:$B$108,$B48,'11.1.Амортиз.нови активи'!AE$61:AE$108)</f>
        <v>0</v>
      </c>
      <c r="AF48" s="2618">
        <f>$Z48-SUMIF('11.2. ДА за периода'!$B$61:$B$108,$B48,'11.2. ДА за периода'!$Z$61:$Z$108)+SUMIF('11.2. ДА за периода'!$B$61:$B$108,$B48,'11.2. ДА за периода'!AF$61:AF$108)+SUMIF('11.1.Амортиз.нови активи'!$B$61:$B$108,$B48,'11.1.Амортиз.нови активи'!AF$61:AF$108)</f>
        <v>0</v>
      </c>
      <c r="AG48" s="2641">
        <f>+'11.3. ДА Базова година'!V53</f>
        <v>0</v>
      </c>
      <c r="AH48" s="2617">
        <f>$AG48-SUMIF('11.2. ДА за периода'!$B$61:$B$108,$B48,'11.2. ДА за периода'!$AG$61:$AG$108)+SUMIF('11.2. ДА за периода'!$B$61:$B$108,$B48,'11.2. ДА за периода'!AH$61:AH$108)+SUMIF('11.1.Амортиз.нови активи'!$B$61:$B$108,$B48,'11.1.Амортиз.нови активи'!AH$61:AH$108)+('11.1.Амортиз.нови активи'!T$112*SUMIF('11.1.Амортиз.нови активи'!$B$61:$B$108,$B48,'11.1.Амортиз.нови активи'!BB$61:BB$108))</f>
        <v>0</v>
      </c>
      <c r="AI48" s="1110">
        <f>$AG48-SUMIF('11.2. ДА за периода'!$B$61:$B$108,$B48,'11.2. ДА за периода'!$AG$61:$AG$108)+SUMIF('11.2. ДА за периода'!$B$61:$B$108,$B48,'11.2. ДА за периода'!AI$61:AI$108)+SUMIF('11.1.Амортиз.нови активи'!$B$61:$B$108,$B48,'11.1.Амортиз.нови активи'!AI$61:AI$108)+('11.1.Амортиз.нови активи'!U$112*SUMIF('11.1.Амортиз.нови активи'!$B$61:$B$108,$B48,'11.1.Амортиз.нови активи'!BC$61:BC$108))</f>
        <v>0</v>
      </c>
      <c r="AJ48" s="1110">
        <f>$AG48-SUMIF('11.2. ДА за периода'!$B$61:$B$108,$B48,'11.2. ДА за периода'!$AG$61:$AG$108)+SUMIF('11.2. ДА за периода'!$B$61:$B$108,$B48,'11.2. ДА за периода'!AJ$61:AJ$108)+SUMIF('11.1.Амортиз.нови активи'!$B$61:$B$108,$B48,'11.1.Амортиз.нови активи'!AJ$61:AJ$108)+('11.1.Амортиз.нови активи'!V$112*SUMIF('11.1.Амортиз.нови активи'!$B$61:$B$108,$B48,'11.1.Амортиз.нови активи'!BD$61:BD$108))</f>
        <v>0</v>
      </c>
      <c r="AK48" s="1110">
        <f>$AG48-SUMIF('11.2. ДА за периода'!$B$61:$B$108,$B48,'11.2. ДА за периода'!$AG$61:$AG$108)+SUMIF('11.2. ДА за периода'!$B$61:$B$108,$B48,'11.2. ДА за периода'!AK$61:AK$108)+SUMIF('11.1.Амортиз.нови активи'!$B$61:$B$108,$B48,'11.1.Амортиз.нови активи'!AK$61:AK$108)+('11.1.Амортиз.нови активи'!W$112*SUMIF('11.1.Амортиз.нови активи'!$B$61:$B$108,$B48,'11.1.Амортиз.нови активи'!BE$61:BE$108))</f>
        <v>0</v>
      </c>
      <c r="AL48" s="1110">
        <f>$AG48-SUMIF('11.2. ДА за периода'!$B$61:$B$108,$B48,'11.2. ДА за периода'!$AG$61:$AG$108)+SUMIF('11.2. ДА за периода'!$B$61:$B$108,$B48,'11.2. ДА за периода'!AL$61:AL$108)+SUMIF('11.1.Амортиз.нови активи'!$B$61:$B$108,$B48,'11.1.Амортиз.нови активи'!AL$61:AL$108)+('11.1.Амортиз.нови активи'!X$112*SUMIF('11.1.Амортиз.нови активи'!$B$61:$B$108,$B48,'11.1.Амортиз.нови активи'!BF$61:BF$108))</f>
        <v>0</v>
      </c>
      <c r="AM48" s="2618">
        <f>$AG48-SUMIF('11.2. ДА за периода'!$B$61:$B$108,$B48,'11.2. ДА за периода'!$AG$61:$AG$108)+SUMIF('11.2. ДА за периода'!$B$61:$B$108,$B48,'11.2. ДА за периода'!AM$61:AM$108)+SUMIF('11.1.Амортиз.нови активи'!$B$61:$B$108,$B48,'11.1.Амортиз.нови активи'!AM$61:AM$108)+('11.1.Амортиз.нови активи'!Y$112*SUMIF('11.1.Амортиз.нови активи'!$B$61:$B$108,$B48,'11.1.Амортиз.нови активи'!BG$61:BG$108))</f>
        <v>0</v>
      </c>
      <c r="AN48" s="2513"/>
      <c r="AO48" s="2551"/>
      <c r="AP48" s="4422"/>
      <c r="AQ48" s="4438">
        <f t="shared" si="31"/>
        <v>0</v>
      </c>
      <c r="AR48" s="4438">
        <f t="shared" si="32"/>
        <v>0</v>
      </c>
      <c r="AS48" s="4438">
        <f t="shared" si="33"/>
        <v>0</v>
      </c>
      <c r="AT48" s="4438">
        <f t="shared" si="34"/>
        <v>0</v>
      </c>
      <c r="AU48" s="4438">
        <f t="shared" si="35"/>
        <v>0</v>
      </c>
      <c r="AV48" s="4438">
        <f t="shared" si="36"/>
        <v>0</v>
      </c>
      <c r="AW48" s="4438">
        <f t="shared" si="37"/>
        <v>0</v>
      </c>
      <c r="AX48" s="4438">
        <f t="shared" si="38"/>
        <v>0</v>
      </c>
      <c r="AY48" s="4438">
        <f t="shared" si="39"/>
        <v>0</v>
      </c>
      <c r="AZ48" s="4438">
        <f t="shared" si="40"/>
        <v>0</v>
      </c>
      <c r="BA48" s="4438">
        <f t="shared" si="41"/>
        <v>0</v>
      </c>
      <c r="BB48" s="4438">
        <f t="shared" si="42"/>
        <v>0</v>
      </c>
      <c r="BC48" s="4438">
        <f t="shared" si="43"/>
        <v>0</v>
      </c>
      <c r="BD48" s="4438">
        <f t="shared" si="44"/>
        <v>0</v>
      </c>
      <c r="BE48" s="4438">
        <f t="shared" si="45"/>
        <v>0</v>
      </c>
      <c r="BF48" s="4438">
        <f t="shared" si="46"/>
        <v>0</v>
      </c>
      <c r="BG48" s="4438">
        <f t="shared" si="47"/>
        <v>0</v>
      </c>
      <c r="BH48" s="4438">
        <f t="shared" si="48"/>
        <v>0</v>
      </c>
      <c r="BI48" s="4438">
        <f t="shared" si="49"/>
        <v>0</v>
      </c>
      <c r="BJ48" s="4438">
        <f t="shared" si="50"/>
        <v>0</v>
      </c>
      <c r="BK48" s="4438">
        <f t="shared" si="51"/>
        <v>0</v>
      </c>
      <c r="BL48" s="4438">
        <f t="shared" si="52"/>
        <v>0</v>
      </c>
      <c r="BM48" s="4438">
        <f t="shared" si="53"/>
        <v>0</v>
      </c>
      <c r="BN48" s="4438">
        <f t="shared" si="54"/>
        <v>0</v>
      </c>
      <c r="BO48" s="4438">
        <f t="shared" si="55"/>
        <v>0</v>
      </c>
      <c r="BP48" s="4438">
        <f t="shared" si="56"/>
        <v>0</v>
      </c>
      <c r="BQ48" s="4438">
        <f t="shared" si="57"/>
        <v>0</v>
      </c>
      <c r="BR48" s="4438">
        <f t="shared" si="58"/>
        <v>0</v>
      </c>
      <c r="BS48" s="4438">
        <f t="shared" si="59"/>
        <v>0</v>
      </c>
      <c r="BT48" s="4438">
        <f t="shared" si="60"/>
        <v>0</v>
      </c>
      <c r="BU48" s="4438">
        <f t="shared" si="61"/>
        <v>0</v>
      </c>
      <c r="BV48" s="4438">
        <f t="shared" si="62"/>
        <v>0</v>
      </c>
      <c r="BW48" s="4438">
        <f t="shared" si="63"/>
        <v>0</v>
      </c>
      <c r="BX48" s="4438">
        <f t="shared" si="64"/>
        <v>0</v>
      </c>
      <c r="BY48" s="4438">
        <f t="shared" si="65"/>
        <v>0</v>
      </c>
    </row>
    <row r="49" spans="1:77">
      <c r="A49" s="2526">
        <v>6</v>
      </c>
      <c r="B49" s="2530">
        <v>208</v>
      </c>
      <c r="C49" s="2511">
        <v>0.2</v>
      </c>
      <c r="D49" s="2552" t="s">
        <v>413</v>
      </c>
      <c r="E49" s="2641">
        <f>+'11.3. ДА Базова година'!F54</f>
        <v>7</v>
      </c>
      <c r="F49" s="2617">
        <f>$E49-SUMIF('11.2. ДА за периода'!$B$61:$B$108,$B49,'11.2. ДА за периода'!$E$61:$E$108)+SUMIF('11.2. ДА за периода'!$B$61:$B$108,$B49,'11.2. ДА за периода'!F$61:F$108)+SUMIF('11.1.Амортиз.нови активи'!$B$61:$B$108,$B49,'11.1.Амортиз.нови активи'!F$61:F$108)+('11.1.Амортиз.нови активи'!F$110*SUMIF('11.1.Амортиз.нови активи'!$B$61:$B$108,$B49,'11.1.Амортиз.нови активи'!AO$61:AO$108))</f>
        <v>8.3453125000000004</v>
      </c>
      <c r="G49" s="1110">
        <f>$E49-SUMIF('11.2. ДА за периода'!$B$61:$B$108,$B49,'11.2. ДА за периода'!$E$61:$E$108)+SUMIF('11.2. ДА за периода'!$B$61:$B$108,$B49,'11.2. ДА за периода'!G$61:G$108)+SUMIF('11.1.Амортиз.нови активи'!$B$61:$B$108,$B49,'11.1.Амортиз.нови активи'!G$61:G$108)+('11.1.Амортиз.нови активи'!G$110*SUMIF('11.1.Амортиз.нови активи'!$B$61:$B$108,$B49,'11.1.Амортиз.нови активи'!AP$61:AP$108))</f>
        <v>6.286817855558235</v>
      </c>
      <c r="H49" s="1110">
        <f>$E49-SUMIF('11.2. ДА за периода'!$B$61:$B$108,$B49,'11.2. ДА за периода'!$E$61:$E$108)+SUMIF('11.2. ДА за периода'!$B$61:$B$108,$B49,'11.2. ДА за периода'!H$61:H$108)+SUMIF('11.1.Амортиз.нови активи'!$B$61:$B$108,$B49,'11.1.Амортиз.нови активи'!H$61:H$108)+('11.1.Амортиз.нови активи'!H$110*SUMIF('11.1.Амортиз.нови активи'!$B$61:$B$108,$B49,'11.1.Амортиз.нови активи'!AQ$61:AQ$108))</f>
        <v>3.3913637732553337</v>
      </c>
      <c r="I49" s="1110">
        <f>$E49-SUMIF('11.2. ДА за периода'!$B$61:$B$108,$B49,'11.2. ДА за периода'!$E$61:$E$108)+SUMIF('11.2. ДА за периода'!$B$61:$B$108,$B49,'11.2. ДА за периода'!I$61:I$108)+SUMIF('11.1.Амортиз.нови активи'!$B$61:$B$108,$B49,'11.1.Амортиз.нови активи'!I$61:I$108)+('11.1.Амортиз.нови активи'!I$110*SUMIF('11.1.Амортиз.нови активи'!$B$61:$B$108,$B49,'11.1.Амортиз.нови активи'!AR$61:AR$108))</f>
        <v>-1.6795132368852541</v>
      </c>
      <c r="J49" s="1110">
        <f>$E49-SUMIF('11.2. ДА за периода'!$B$61:$B$108,$B49,'11.2. ДА за периода'!$E$61:$E$108)+SUMIF('11.2. ДА за периода'!$B$61:$B$108,$B49,'11.2. ДА за периода'!J$61:J$108)+SUMIF('11.1.Амортиз.нови активи'!$B$61:$B$108,$B49,'11.1.Амортиз.нови активи'!J$61:J$108)+('11.1.Амортиз.нови активи'!J$110*SUMIF('11.1.Амортиз.нови активи'!$B$61:$B$108,$B49,'11.1.Амортиз.нови активи'!AS$61:AS$108))</f>
        <v>-7.2602937585624723</v>
      </c>
      <c r="K49" s="2618">
        <f>$E49-SUMIF('11.2. ДА за периода'!$B$61:$B$108,$B49,'11.2. ДА за периода'!$E$61:$E$108)+SUMIF('11.2. ДА за периода'!$B$61:$B$108,$B49,'11.2. ДА за периода'!K$61:K$108)+SUMIF('11.1.Амортиз.нови активи'!$B$61:$B$108,$B49,'11.1.Амортиз.нови активи'!K$61:K$108)+('11.1.Амортиз.нови активи'!K$110*SUMIF('11.1.Амортиз.нови активи'!$B$61:$B$108,$B49,'11.1.Амортиз.нови активи'!AT$61:AT$108))</f>
        <v>-7.1986522820383971</v>
      </c>
      <c r="L49" s="2641">
        <f>+'11.3. ДА Базова година'!J54</f>
        <v>4</v>
      </c>
      <c r="M49" s="2617">
        <f>$L49-SUMIF('11.2. ДА за периода'!$B$61:$B$108,$B49,'11.2. ДА за периода'!$L$61:$L$108)+SUMIF('11.2. ДА за периода'!$B$61:$B$108,$B49,'11.2. ДА за периода'!M$61:M$108)+SUMIF('11.1.Амортиз.нови активи'!$B$61:$B$108,$B49,'11.1.Амортиз.нови активи'!M$61:M$108)+('11.1.Амортиз.нови активи'!F$111*SUMIF('11.1.Амортиз.нови активи'!$B$61:$B$108,$B49,'11.1.Амортиз.нови активи'!AO$61:AO$108))</f>
        <v>4.8031250000000005</v>
      </c>
      <c r="N49" s="1110">
        <f>$L49-SUMIF('11.2. ДА за периода'!$B$61:$B$108,$B49,'11.2. ДА за периода'!$L$61:$L$108)+SUMIF('11.2. ДА за периода'!$B$61:$B$108,$B49,'11.2. ДА за периода'!N$61:N$108)+SUMIF('11.1.Амортиз.нови активи'!$B$61:$B$108,$B49,'11.1.Амортиз.нови активи'!N$61:N$108)+('11.1.Амортиз.нови активи'!G$111*SUMIF('11.1.Амортиз.нови активи'!$B$61:$B$108,$B49,'11.1.Амортиз.нови активи'!AP$61:AP$108))</f>
        <v>4.9494396979891029</v>
      </c>
      <c r="O49" s="1110">
        <f>$L49-SUMIF('11.2. ДА за периода'!$B$61:$B$108,$B49,'11.2. ДА за периода'!$L$61:$L$108)+SUMIF('11.2. ДА за периода'!$B$61:$B$108,$B49,'11.2. ДА за периода'!O$61:O$108)+SUMIF('11.1.Амортиз.нови активи'!$B$61:$B$108,$B49,'11.1.Амортиз.нови активи'!O$61:O$108)+('11.1.Амортиз.нови активи'!H$111*SUMIF('11.1.Амортиз.нови активи'!$B$61:$B$108,$B49,'11.1.Амортиз.нови активи'!AQ$61:AQ$108))</f>
        <v>4.8377698845767849</v>
      </c>
      <c r="P49" s="1110">
        <f>$L49-SUMIF('11.2. ДА за периода'!$B$61:$B$108,$B49,'11.2. ДА за периода'!$L$61:$L$108)+SUMIF('11.2. ДА за периода'!$B$61:$B$108,$B49,'11.2. ДА за периода'!P$61:P$108)+SUMIF('11.1.Амортиз.нови активи'!$B$61:$B$108,$B49,'11.1.Амортиз.нови активи'!P$61:P$108)+('11.1.Амортиз.нови активи'!I$111*SUMIF('11.1.Амортиз.нови активи'!$B$61:$B$108,$B49,'11.1.Амортиз.нови активи'!AR$61:AR$108))</f>
        <v>4.8096455385365857</v>
      </c>
      <c r="Q49" s="1110">
        <f>$L49-SUMIF('11.2. ДА за периода'!$B$61:$B$108,$B49,'11.2. ДА за периода'!$L$61:$L$108)+SUMIF('11.2. ДА за периода'!$B$61:$B$108,$B49,'11.2. ДА за периода'!Q$61:Q$108)+SUMIF('11.1.Амортиз.нови активи'!$B$61:$B$108,$B49,'11.1.Амортиз.нови активи'!Q$61:Q$108)+('11.1.Амортиз.нови активи'!J$111*SUMIF('11.1.Амортиз.нови активи'!$B$61:$B$108,$B49,'11.1.Амортиз.нови активи'!AS$61:AS$108))</f>
        <v>4.7887485390388376</v>
      </c>
      <c r="R49" s="2618">
        <f>$L49-SUMIF('11.2. ДА за периода'!$B$61:$B$108,$B49,'11.2. ДА за периода'!$L$61:$L$108)+SUMIF('11.2. ДА за периода'!$B$61:$B$108,$B49,'11.2. ДА за периода'!R$61:R$108)+SUMIF('11.1.Амортиз.нови активи'!$B$61:$B$108,$B49,'11.1.Амортиз.нови активи'!R$61:R$108)+('11.1.Амортиз.нови активи'!K$111*SUMIF('11.1.Амортиз.нови активи'!$B$61:$B$108,$B49,'11.1.Амортиз.нови активи'!AT$61:AT$108))</f>
        <v>4.7669457591653446</v>
      </c>
      <c r="S49" s="2641">
        <f>+'11.3. ДА Базова година'!N54</f>
        <v>7</v>
      </c>
      <c r="T49" s="2617">
        <f>$S49-SUMIF('11.2. ДА за периода'!$B$61:$B$108,$B49,'11.2. ДА за периода'!$S$61:$S$108)+SUMIF('11.2. ДА за периода'!$B$61:$B$108,$B49,'11.2. ДА за периода'!T$61:T$108)+SUMIF('11.1.Амортиз.нови активи'!$B$61:$B$108,$B49,'11.1.Амортиз.нови активи'!T$61:T$108)+('11.1.Амортиз.нови активи'!F$112*SUMIF('11.1.Амортиз.нови активи'!$B$61:$B$108,$B49,'11.1.Амортиз.нови активи'!AO$61:AO$108))</f>
        <v>7.8515625000000009</v>
      </c>
      <c r="U49" s="1110">
        <f>$S49-SUMIF('11.2. ДА за периода'!$B$61:$B$108,$B49,'11.2. ДА за периода'!$S$61:$S$108)+SUMIF('11.2. ДА за периода'!$B$61:$B$108,$B49,'11.2. ДА за периода'!U$61:U$108)+SUMIF('11.1.Амортиз.нови активи'!$B$61:$B$108,$B49,'11.1.Амортиз.нови активи'!U$61:U$108)+('11.1.Амортиз.нови активи'!G$112*SUMIF('11.1.Амортиз.нови активи'!$B$61:$B$108,$B49,'11.1.Амортиз.нови активи'!AP$61:AP$108))</f>
        <v>8.1637424464526624</v>
      </c>
      <c r="V49" s="1110">
        <f>$S49-SUMIF('11.2. ДА за периода'!$B$61:$B$108,$B49,'11.2. ДА за периода'!$S$61:$S$108)+SUMIF('11.2. ДА за периода'!$B$61:$B$108,$B49,'11.2. ДА за периода'!V$61:V$108)+SUMIF('11.1.Амортиз.нови активи'!$B$61:$B$108,$B49,'11.1.Амортиз.нови активи'!V$61:V$108)+('11.1.Амортиз.нови активи'!H$112*SUMIF('11.1.Амортиз.нови активи'!$B$61:$B$108,$B49,'11.1.Амортиз.нови активи'!AQ$61:AQ$108))</f>
        <v>8.3708663421678828</v>
      </c>
      <c r="W49" s="1110">
        <f>$S49-SUMIF('11.2. ДА за периода'!$B$61:$B$108,$B49,'11.2. ДА за периода'!$S$61:$S$108)+SUMIF('11.2. ДА за периода'!$B$61:$B$108,$B49,'11.2. ДА за периода'!W$61:W$108)+SUMIF('11.1.Амортиз.нови активи'!$B$61:$B$108,$B49,'11.1.Амортиз.нови активи'!W$61:W$108)+('11.1.Амортиз.нови активи'!I$112*SUMIF('11.1.Амортиз.нови активи'!$B$61:$B$108,$B49,'11.1.Амортиз.нови активи'!AR$61:AR$108))</f>
        <v>8.4698676983486703</v>
      </c>
      <c r="X49" s="1110">
        <f>$S49-SUMIF('11.2. ДА за периода'!$B$61:$B$108,$B49,'11.2. ДА за периода'!$S$61:$S$108)+SUMIF('11.2. ДА за периода'!$B$61:$B$108,$B49,'11.2. ДА за периода'!X$61:X$108)+SUMIF('11.1.Амортиз.нови активи'!$B$61:$B$108,$B49,'11.1.Амортиз.нови активи'!X$61:X$108)+('11.1.Амортиз.нови активи'!J$112*SUMIF('11.1.Амортиз.нови активи'!$B$61:$B$108,$B49,'11.1.Амортиз.нови активи'!AS$61:AS$108))</f>
        <v>8.4715452195236356</v>
      </c>
      <c r="Y49" s="2618">
        <f>$S49-SUMIF('11.2. ДА за периода'!$B$61:$B$108,$B49,'11.2. ДА за периода'!$S$61:$S$108)+SUMIF('11.2. ДА за периода'!$B$61:$B$108,$B49,'11.2. ДА за периода'!Y$61:Y$108)+SUMIF('11.1.Амортиз.нови активи'!$B$61:$B$108,$B49,'11.1.Амортиз.нови активи'!Y$61:Y$108)+('11.1.Амортиз.нови активи'!K$112*SUMIF('11.1.Амортиз.нови активи'!$B$61:$B$108,$B49,'11.1.Амортиз.нови активи'!AT$61:AT$108))</f>
        <v>8.4317065228730534</v>
      </c>
      <c r="Z49" s="4387">
        <f>+'11.3. ДА Базова година'!R54</f>
        <v>0</v>
      </c>
      <c r="AA49" s="2617">
        <f>$Z49-SUMIF('11.2. ДА за периода'!$B$61:$B$108,$B49,'11.2. ДА за периода'!$Z$61:$Z$108)+SUMIF('11.2. ДА за периода'!$B$61:$B$108,$B49,'11.2. ДА за периода'!AA$61:AA$108)+SUMIF('11.1.Амортиз.нови активи'!$B$61:$B$108,$B49,'11.1.Амортиз.нови активи'!AA$61:AA$108)</f>
        <v>0</v>
      </c>
      <c r="AB49" s="1110">
        <f>$Z49-SUMIF('11.2. ДА за периода'!$B$61:$B$108,$B49,'11.2. ДА за периода'!$Z$61:$Z$108)+SUMIF('11.2. ДА за периода'!$B$61:$B$108,$B49,'11.2. ДА за периода'!AB$61:AB$108)+SUMIF('11.1.Амортиз.нови активи'!$B$61:$B$108,$B49,'11.1.Амортиз.нови активи'!AB$61:AB$108)</f>
        <v>0</v>
      </c>
      <c r="AC49" s="1110">
        <f>$Z49-SUMIF('11.2. ДА за периода'!$B$61:$B$108,$B49,'11.2. ДА за периода'!$Z$61:$Z$108)+SUMIF('11.2. ДА за периода'!$B$61:$B$108,$B49,'11.2. ДА за периода'!AC$61:AC$108)+SUMIF('11.1.Амортиз.нови активи'!$B$61:$B$108,$B49,'11.1.Амортиз.нови активи'!AC$61:AC$108)</f>
        <v>0</v>
      </c>
      <c r="AD49" s="1110">
        <f>$Z49-SUMIF('11.2. ДА за периода'!$B$61:$B$108,$B49,'11.2. ДА за периода'!$Z$61:$Z$108)+SUMIF('11.2. ДА за периода'!$B$61:$B$108,$B49,'11.2. ДА за периода'!AD$61:AD$108)+SUMIF('11.1.Амортиз.нови активи'!$B$61:$B$108,$B49,'11.1.Амортиз.нови активи'!AD$61:AD$108)</f>
        <v>0</v>
      </c>
      <c r="AE49" s="1110">
        <f>$Z49-SUMIF('11.2. ДА за периода'!$B$61:$B$108,$B49,'11.2. ДА за периода'!$Z$61:$Z$108)+SUMIF('11.2. ДА за периода'!$B$61:$B$108,$B49,'11.2. ДА за периода'!AE$61:AE$108)+SUMIF('11.1.Амортиз.нови активи'!$B$61:$B$108,$B49,'11.1.Амортиз.нови активи'!AE$61:AE$108)</f>
        <v>0</v>
      </c>
      <c r="AF49" s="2618">
        <f>$Z49-SUMIF('11.2. ДА за периода'!$B$61:$B$108,$B49,'11.2. ДА за периода'!$Z$61:$Z$108)+SUMIF('11.2. ДА за периода'!$B$61:$B$108,$B49,'11.2. ДА за периода'!AF$61:AF$108)+SUMIF('11.1.Амортиз.нови активи'!$B$61:$B$108,$B49,'11.1.Амортиз.нови активи'!AF$61:AF$108)</f>
        <v>0</v>
      </c>
      <c r="AG49" s="2641">
        <f>+'11.3. ДА Базова година'!V54</f>
        <v>0</v>
      </c>
      <c r="AH49" s="2617">
        <f>$AG49-SUMIF('11.2. ДА за периода'!$B$61:$B$108,$B49,'11.2. ДА за периода'!$AG$61:$AG$108)+SUMIF('11.2. ДА за периода'!$B$61:$B$108,$B49,'11.2. ДА за периода'!AH$61:AH$108)+SUMIF('11.1.Амортиз.нови активи'!$B$61:$B$108,$B49,'11.1.Амортиз.нови активи'!AH$61:AH$108)+('11.1.Амортиз.нови активи'!T$112*SUMIF('11.1.Амортиз.нови активи'!$B$61:$B$108,$B49,'11.1.Амортиз.нови активи'!BB$61:BB$108))</f>
        <v>0</v>
      </c>
      <c r="AI49" s="1110">
        <f>$AG49-SUMIF('11.2. ДА за периода'!$B$61:$B$108,$B49,'11.2. ДА за периода'!$AG$61:$AG$108)+SUMIF('11.2. ДА за периода'!$B$61:$B$108,$B49,'11.2. ДА за периода'!AI$61:AI$108)+SUMIF('11.1.Амортиз.нови активи'!$B$61:$B$108,$B49,'11.1.Амортиз.нови активи'!AI$61:AI$108)+('11.1.Амортиз.нови активи'!U$112*SUMIF('11.1.Амортиз.нови активи'!$B$61:$B$108,$B49,'11.1.Амортиз.нови активи'!BC$61:BC$108))</f>
        <v>0</v>
      </c>
      <c r="AJ49" s="1110">
        <f>$AG49-SUMIF('11.2. ДА за периода'!$B$61:$B$108,$B49,'11.2. ДА за периода'!$AG$61:$AG$108)+SUMIF('11.2. ДА за периода'!$B$61:$B$108,$B49,'11.2. ДА за периода'!AJ$61:AJ$108)+SUMIF('11.1.Амортиз.нови активи'!$B$61:$B$108,$B49,'11.1.Амортиз.нови активи'!AJ$61:AJ$108)+('11.1.Амортиз.нови активи'!V$112*SUMIF('11.1.Амортиз.нови активи'!$B$61:$B$108,$B49,'11.1.Амортиз.нови активи'!BD$61:BD$108))</f>
        <v>0</v>
      </c>
      <c r="AK49" s="1110">
        <f>$AG49-SUMIF('11.2. ДА за периода'!$B$61:$B$108,$B49,'11.2. ДА за периода'!$AG$61:$AG$108)+SUMIF('11.2. ДА за периода'!$B$61:$B$108,$B49,'11.2. ДА за периода'!AK$61:AK$108)+SUMIF('11.1.Амортиз.нови активи'!$B$61:$B$108,$B49,'11.1.Амортиз.нови активи'!AK$61:AK$108)+('11.1.Амортиз.нови активи'!W$112*SUMIF('11.1.Амортиз.нови активи'!$B$61:$B$108,$B49,'11.1.Амортиз.нови активи'!BE$61:BE$108))</f>
        <v>0</v>
      </c>
      <c r="AL49" s="1110">
        <f>$AG49-SUMIF('11.2. ДА за периода'!$B$61:$B$108,$B49,'11.2. ДА за периода'!$AG$61:$AG$108)+SUMIF('11.2. ДА за периода'!$B$61:$B$108,$B49,'11.2. ДА за периода'!AL$61:AL$108)+SUMIF('11.1.Амортиз.нови активи'!$B$61:$B$108,$B49,'11.1.Амортиз.нови активи'!AL$61:AL$108)+('11.1.Амортиз.нови активи'!X$112*SUMIF('11.1.Амортиз.нови активи'!$B$61:$B$108,$B49,'11.1.Амортиз.нови активи'!BF$61:BF$108))</f>
        <v>0</v>
      </c>
      <c r="AM49" s="2618">
        <f>$AG49-SUMIF('11.2. ДА за периода'!$B$61:$B$108,$B49,'11.2. ДА за периода'!$AG$61:$AG$108)+SUMIF('11.2. ДА за периода'!$B$61:$B$108,$B49,'11.2. ДА за периода'!AM$61:AM$108)+SUMIF('11.1.Амортиз.нови активи'!$B$61:$B$108,$B49,'11.1.Амортиз.нови активи'!AM$61:AM$108)+('11.1.Амортиз.нови активи'!Y$112*SUMIF('11.1.Амортиз.нови активи'!$B$61:$B$108,$B49,'11.1.Амортиз.нови активи'!BG$61:BG$108))</f>
        <v>0</v>
      </c>
      <c r="AN49" s="2513"/>
      <c r="AO49" s="2551"/>
      <c r="AP49" s="4422"/>
      <c r="AQ49" s="4438">
        <f t="shared" si="31"/>
        <v>3.5790431683735293</v>
      </c>
      <c r="AR49" s="4438">
        <f t="shared" si="32"/>
        <v>4.2668905272953177</v>
      </c>
      <c r="AS49" s="4438">
        <f t="shared" si="33"/>
        <v>3.2143989281063461</v>
      </c>
      <c r="AT49" s="4438">
        <f t="shared" si="34"/>
        <v>1.7339767634484253</v>
      </c>
      <c r="AU49" s="4438">
        <f t="shared" si="35"/>
        <v>-0.85872148238101176</v>
      </c>
      <c r="AV49" s="4438">
        <f t="shared" si="36"/>
        <v>-3.7121292538525701</v>
      </c>
      <c r="AW49" s="4438">
        <f t="shared" si="37"/>
        <v>-3.6806124673608633</v>
      </c>
      <c r="AX49" s="4438">
        <f t="shared" si="38"/>
        <v>2.045167524784874</v>
      </c>
      <c r="AY49" s="4438">
        <f t="shared" si="39"/>
        <v>2.4557988168705873</v>
      </c>
      <c r="AZ49" s="4438">
        <f t="shared" si="40"/>
        <v>2.5306083340520917</v>
      </c>
      <c r="BA49" s="4438">
        <f t="shared" si="41"/>
        <v>2.4735124650796774</v>
      </c>
      <c r="BB49" s="4438">
        <f t="shared" si="42"/>
        <v>2.4591327152853704</v>
      </c>
      <c r="BC49" s="4438">
        <f t="shared" si="43"/>
        <v>2.4484482491008102</v>
      </c>
      <c r="BD49" s="4438">
        <f t="shared" si="44"/>
        <v>2.4373006647639848</v>
      </c>
      <c r="BE49" s="4438">
        <f t="shared" si="45"/>
        <v>3.5790431683735293</v>
      </c>
      <c r="BF49" s="4438">
        <f t="shared" si="46"/>
        <v>4.0144401609546847</v>
      </c>
      <c r="BG49" s="4438">
        <f t="shared" si="47"/>
        <v>4.1740552330482013</v>
      </c>
      <c r="BH49" s="4438">
        <f t="shared" si="48"/>
        <v>4.2799559993291254</v>
      </c>
      <c r="BI49" s="4438">
        <f t="shared" si="49"/>
        <v>4.3305745889717766</v>
      </c>
      <c r="BJ49" s="4438">
        <f t="shared" si="50"/>
        <v>4.3314322919290715</v>
      </c>
      <c r="BK49" s="4438">
        <f t="shared" si="51"/>
        <v>4.3110630897741897</v>
      </c>
      <c r="BL49" s="4438">
        <f t="shared" si="52"/>
        <v>0</v>
      </c>
      <c r="BM49" s="4438">
        <f t="shared" si="53"/>
        <v>0</v>
      </c>
      <c r="BN49" s="4438">
        <f t="shared" si="54"/>
        <v>0</v>
      </c>
      <c r="BO49" s="4438">
        <f t="shared" si="55"/>
        <v>0</v>
      </c>
      <c r="BP49" s="4438">
        <f t="shared" si="56"/>
        <v>0</v>
      </c>
      <c r="BQ49" s="4438">
        <f t="shared" si="57"/>
        <v>0</v>
      </c>
      <c r="BR49" s="4438">
        <f t="shared" si="58"/>
        <v>0</v>
      </c>
      <c r="BS49" s="4438">
        <f t="shared" si="59"/>
        <v>0</v>
      </c>
      <c r="BT49" s="4438">
        <f t="shared" si="60"/>
        <v>0</v>
      </c>
      <c r="BU49" s="4438">
        <f t="shared" si="61"/>
        <v>0</v>
      </c>
      <c r="BV49" s="4438">
        <f t="shared" si="62"/>
        <v>0</v>
      </c>
      <c r="BW49" s="4438">
        <f t="shared" si="63"/>
        <v>0</v>
      </c>
      <c r="BX49" s="4438">
        <f t="shared" si="64"/>
        <v>0</v>
      </c>
      <c r="BY49" s="4438">
        <f t="shared" si="65"/>
        <v>0</v>
      </c>
    </row>
    <row r="50" spans="1:77">
      <c r="A50" s="2526">
        <v>7</v>
      </c>
      <c r="B50" s="2530">
        <v>20601</v>
      </c>
      <c r="C50" s="2522">
        <v>0.1</v>
      </c>
      <c r="D50" s="2552" t="s">
        <v>564</v>
      </c>
      <c r="E50" s="2641">
        <f>+'11.3. ДА Базова година'!F55</f>
        <v>1</v>
      </c>
      <c r="F50" s="2617">
        <f>$E50-SUMIF('11.2. ДА за периода'!$B$61:$B$108,$B50,'11.2. ДА за периода'!$E$61:$E$108)+SUMIF('11.2. ДА за периода'!$B$61:$B$108,$B50,'11.2. ДА за периода'!F$61:F$108)+SUMIF('11.1.Амортиз.нови активи'!$B$61:$B$108,$B50,'11.1.Амортиз.нови активи'!F$61:F$108)+('11.1.Амортиз.нови активи'!F$110*SUMIF('11.1.Амортиз.нови активи'!$B$61:$B$108,$B50,'11.1.Амортиз.нови активи'!AO$61:AO$108))</f>
        <v>1.72265625</v>
      </c>
      <c r="G50" s="1110">
        <f>$E50-SUMIF('11.2. ДА за периода'!$B$61:$B$108,$B50,'11.2. ДА за периода'!$E$61:$E$108)+SUMIF('11.2. ДА за периода'!$B$61:$B$108,$B50,'11.2. ДА за периода'!G$61:G$108)+SUMIF('11.1.Амортиз.нови активи'!$B$61:$B$108,$B50,'11.1.Амортиз.нови активи'!G$61:G$108)+('11.1.Амортиз.нови активи'!G$110*SUMIF('11.1.Амортиз.нови активи'!$B$61:$B$108,$B50,'11.1.Амортиз.нови активи'!AP$61:AP$108))</f>
        <v>2.7721872756962864</v>
      </c>
      <c r="H50" s="1110">
        <f>$E50-SUMIF('11.2. ДА за периода'!$B$61:$B$108,$B50,'11.2. ДА за периода'!$E$61:$E$108)+SUMIF('11.2. ДА за периода'!$B$61:$B$108,$B50,'11.2. ДА за периода'!H$61:H$108)+SUMIF('11.1.Амортиз.нови активи'!$B$61:$B$108,$B50,'11.1.Амортиз.нови активи'!H$61:H$108)+('11.1.Амортиз.нови активи'!H$110*SUMIF('11.1.Амортиз.нови активи'!$B$61:$B$108,$B50,'11.1.Амортиз.нови активи'!AQ$61:AQ$108))</f>
        <v>3.5283240090837911</v>
      </c>
      <c r="I50" s="1110">
        <f>$E50-SUMIF('11.2. ДА за периода'!$B$61:$B$108,$B50,'11.2. ДА за периода'!$E$61:$E$108)+SUMIF('11.2. ДА за периода'!$B$61:$B$108,$B50,'11.2. ДА за периода'!I$61:I$108)+SUMIF('11.1.Амортиз.нови активи'!$B$61:$B$108,$B50,'11.1.Амортиз.нови активи'!I$61:I$108)+('11.1.Амортиз.нови активи'!I$110*SUMIF('11.1.Амортиз.нови активи'!$B$61:$B$108,$B50,'11.1.Амортиз.нови активи'!AR$61:AR$108))</f>
        <v>4.5481997219774462</v>
      </c>
      <c r="J50" s="1110">
        <f>$E50-SUMIF('11.2. ДА за периода'!$B$61:$B$108,$B50,'11.2. ДА за периода'!$E$61:$E$108)+SUMIF('11.2. ДА за периода'!$B$61:$B$108,$B50,'11.2. ДА за периода'!J$61:J$108)+SUMIF('11.1.Амортиз.нови активи'!$B$61:$B$108,$B50,'11.1.Амортиз.нови активи'!J$61:J$108)+('11.1.Амортиз.нови активи'!J$110*SUMIF('11.1.Амортиз.нови активи'!$B$61:$B$108,$B50,'11.1.Амортиз.нови активи'!AS$61:AS$108))</f>
        <v>5.6782175626055205</v>
      </c>
      <c r="K50" s="2618">
        <f>$E50-SUMIF('11.2. ДА за периода'!$B$61:$B$108,$B50,'11.2. ДА за периода'!$E$61:$E$108)+SUMIF('11.2. ДА за периода'!$B$61:$B$108,$B50,'11.2. ДА за периода'!K$61:K$108)+SUMIF('11.1.Амортиз.нови активи'!$B$61:$B$108,$B50,'11.1.Амортиз.нови активи'!K$61:K$108)+('11.1.Амортиз.нови активи'!K$110*SUMIF('11.1.Амортиз.нови активи'!$B$61:$B$108,$B50,'11.1.Амортиз.нови активи'!AT$61:AT$108))</f>
        <v>6.915448133041008</v>
      </c>
      <c r="L50" s="2641">
        <f>+'11.3. ДА Базова година'!J55</f>
        <v>0</v>
      </c>
      <c r="M50" s="2617">
        <f>$L50-SUMIF('11.2. ДА за периода'!$B$61:$B$108,$B50,'11.2. ДА за периода'!$L$61:$L$108)+SUMIF('11.2. ДА за периода'!$B$61:$B$108,$B50,'11.2. ДА за периода'!M$61:M$108)+SUMIF('11.1.Амортиз.нови активи'!$B$61:$B$108,$B50,'11.1.Амортиз.нови активи'!M$61:M$108)+('11.1.Амортиз.нови активи'!F$111*SUMIF('11.1.Амортиз.нови активи'!$B$61:$B$108,$B50,'11.1.Амортиз.нови активи'!AO$61:AO$108))</f>
        <v>0.30156250000000007</v>
      </c>
      <c r="N50" s="1110">
        <f>$L50-SUMIF('11.2. ДА за периода'!$B$61:$B$108,$B50,'11.2. ДА за периода'!$L$61:$L$108)+SUMIF('11.2. ДА за периода'!$B$61:$B$108,$B50,'11.2. ДА за периода'!N$61:N$108)+SUMIF('11.1.Амортиз.нови активи'!$B$61:$B$108,$B50,'11.1.Амортиз.нови активи'!N$61:N$108)+('11.1.Амортиз.нови активи'!G$111*SUMIF('11.1.Амортиз.нови активи'!$B$61:$B$108,$B50,'11.1.Амортиз.нови активи'!AP$61:AP$108))</f>
        <v>0.4777397923675083</v>
      </c>
      <c r="O50" s="1110">
        <f>$L50-SUMIF('11.2. ДА за периода'!$B$61:$B$108,$B50,'11.2. ДА за периода'!$L$61:$L$108)+SUMIF('11.2. ДА за периода'!$B$61:$B$108,$B50,'11.2. ДА за периода'!O$61:O$108)+SUMIF('11.1.Амортиз.нови активи'!$B$61:$B$108,$B50,'11.1.Амортиз.нови активи'!O$61:O$108)+('11.1.Амортиз.нови активи'!H$111*SUMIF('11.1.Амортиз.нови активи'!$B$61:$B$108,$B50,'11.1.Амортиз.нови активи'!AQ$61:AQ$108))</f>
        <v>0.56513050236283391</v>
      </c>
      <c r="P50" s="1110">
        <f>$L50-SUMIF('11.2. ДА за периода'!$B$61:$B$108,$B50,'11.2. ДА за периода'!$L$61:$L$108)+SUMIF('11.2. ДА за периода'!$B$61:$B$108,$B50,'11.2. ДА за периода'!P$61:P$108)+SUMIF('11.1.Амортиз.нови активи'!$B$61:$B$108,$B50,'11.1.Амортиз.нови активи'!P$61:P$108)+('11.1.Амортиз.нови активи'!I$111*SUMIF('11.1.Амортиз.нови активи'!$B$61:$B$108,$B50,'11.1.Амортиз.нови активи'!AR$61:AR$108))</f>
        <v>0.68886546164634088</v>
      </c>
      <c r="Q50" s="1110">
        <f>$L50-SUMIF('11.2. ДА за периода'!$B$61:$B$108,$B50,'11.2. ДА за периода'!$L$61:$L$108)+SUMIF('11.2. ДА за периода'!$B$61:$B$108,$B50,'11.2. ДА за периода'!Q$61:Q$108)+SUMIF('11.1.Амортиз.нови активи'!$B$61:$B$108,$B50,'11.1.Амортиз.нови активи'!Q$61:Q$108)+('11.1.Амортиз.нови активи'!J$111*SUMIF('11.1.Амортиз.нови активи'!$B$61:$B$108,$B50,'11.1.Амортиз.нови активи'!AS$61:AS$108))</f>
        <v>0.80460672700789237</v>
      </c>
      <c r="R50" s="2618">
        <f>$L50-SUMIF('11.2. ДА за периода'!$B$61:$B$108,$B50,'11.2. ДА за периода'!$L$61:$L$108)+SUMIF('11.2. ДА за периода'!$B$61:$B$108,$B50,'11.2. ДА за периода'!R$61:R$108)+SUMIF('11.1.Амортиз.нови активи'!$B$61:$B$108,$B50,'11.1.Амортиз.нови активи'!R$61:R$108)+('11.1.Амортиз.нови активи'!K$111*SUMIF('11.1.Амортиз.нови активи'!$B$61:$B$108,$B50,'11.1.Амортиз.нови активи'!AT$61:AT$108))</f>
        <v>0.90269384817418974</v>
      </c>
      <c r="S50" s="2641">
        <f>+'11.3. ДА Базова година'!N55</f>
        <v>2</v>
      </c>
      <c r="T50" s="2617">
        <f>$S50-SUMIF('11.2. ДА за периода'!$B$61:$B$108,$B50,'11.2. ДА за периода'!$S$61:$S$108)+SUMIF('11.2. ДА за периода'!$B$61:$B$108,$B50,'11.2. ДА за периода'!T$61:T$108)+SUMIF('11.1.Амортиз.нови активи'!$B$61:$B$108,$B50,'11.1.Амортиз.нови активи'!T$61:T$108)+('11.1.Амортиз.нови активи'!F$112*SUMIF('11.1.Амортиз.нови активи'!$B$61:$B$108,$B50,'11.1.Амортиз.нови активи'!AO$61:AO$108))</f>
        <v>2.2757812500000001</v>
      </c>
      <c r="U50" s="1110">
        <f>$S50-SUMIF('11.2. ДА за периода'!$B$61:$B$108,$B50,'11.2. ДА за периода'!$S$61:$S$108)+SUMIF('11.2. ДА за периода'!$B$61:$B$108,$B50,'11.2. ДА за периода'!U$61:U$108)+SUMIF('11.1.Амортиз.нови активи'!$B$61:$B$108,$B50,'11.1.Амортиз.нови активи'!U$61:U$108)+('11.1.Амортиз.нови активи'!G$112*SUMIF('11.1.Амортиз.нови активи'!$B$61:$B$108,$B50,'11.1.Амортиз.нови активи'!AP$61:AP$108))</f>
        <v>2.5000729319362049</v>
      </c>
      <c r="V50" s="1110">
        <f>$S50-SUMIF('11.2. ДА за периода'!$B$61:$B$108,$B50,'11.2. ДА за периода'!$S$61:$S$108)+SUMIF('11.2. ДА за периода'!$B$61:$B$108,$B50,'11.2. ДА за периода'!V$61:V$108)+SUMIF('11.1.Амортиз.нови активи'!$B$61:$B$108,$B50,'11.1.Амортиз.нови активи'!V$61:V$108)+('11.1.Амортиз.нови активи'!H$112*SUMIF('11.1.Амортиз.нови активи'!$B$61:$B$108,$B50,'11.1.Амортиз.нови активи'!AQ$61:AQ$108))</f>
        <v>2.8565454885533748</v>
      </c>
      <c r="W50" s="1110">
        <f>$S50-SUMIF('11.2. ДА за периода'!$B$61:$B$108,$B50,'11.2. ДА за периода'!$S$61:$S$108)+SUMIF('11.2. ДА за периода'!$B$61:$B$108,$B50,'11.2. ДА за периода'!W$61:W$108)+SUMIF('11.1.Амортиз.нови активи'!$B$61:$B$108,$B50,'11.1.Амортиз.нови активи'!W$61:W$108)+('11.1.Амортиз.нови активи'!I$112*SUMIF('11.1.Амортиз.нови активи'!$B$61:$B$108,$B50,'11.1.Амортиз.нови активи'!AR$61:AR$108))</f>
        <v>3.2129348163762126</v>
      </c>
      <c r="X50" s="1110">
        <f>$S50-SUMIF('11.2. ДА за периода'!$B$61:$B$108,$B50,'11.2. ДА за периода'!$S$61:$S$108)+SUMIF('11.2. ДА за периода'!$B$61:$B$108,$B50,'11.2. ДА за периода'!X$61:X$108)+SUMIF('11.1.Амортиз.нови активи'!$B$61:$B$108,$B50,'11.1.Амортиз.нови активи'!X$61:X$108)+('11.1.Амортиз.нови активи'!J$112*SUMIF('11.1.Амортиз.нови активи'!$B$61:$B$108,$B50,'11.1.Амортиз.нови активи'!AS$61:AS$108))</f>
        <v>3.467175710386587</v>
      </c>
      <c r="Y50" s="2618">
        <f>$S50-SUMIF('11.2. ДА за периода'!$B$61:$B$108,$B50,'11.2. ДА за периода'!$S$61:$S$108)+SUMIF('11.2. ДА за периода'!$B$61:$B$108,$B50,'11.2. ДА за периода'!Y$61:Y$108)+SUMIF('11.1.Амортиз.нови активи'!$B$61:$B$108,$B50,'11.1.Амортиз.нови активи'!Y$61:Y$108)+('11.1.Амортиз.нови активи'!K$112*SUMIF('11.1.Амортиз.нови активи'!$B$61:$B$108,$B50,'11.1.Амортиз.нови активи'!AT$61:AT$108))</f>
        <v>3.6318580187848015</v>
      </c>
      <c r="Z50" s="4387">
        <f>+'11.3. ДА Базова година'!R55</f>
        <v>0</v>
      </c>
      <c r="AA50" s="2617">
        <f>$Z50-SUMIF('11.2. ДА за периода'!$B$61:$B$108,$B50,'11.2. ДА за периода'!$Z$61:$Z$108)+SUMIF('11.2. ДА за периода'!$B$61:$B$108,$B50,'11.2. ДА за периода'!AA$61:AA$108)+SUMIF('11.1.Амортиз.нови активи'!$B$61:$B$108,$B50,'11.1.Амортиз.нови активи'!AA$61:AA$108)</f>
        <v>0</v>
      </c>
      <c r="AB50" s="1110">
        <f>$Z50-SUMIF('11.2. ДА за периода'!$B$61:$B$108,$B50,'11.2. ДА за периода'!$Z$61:$Z$108)+SUMIF('11.2. ДА за периода'!$B$61:$B$108,$B50,'11.2. ДА за периода'!AB$61:AB$108)+SUMIF('11.1.Амортиз.нови активи'!$B$61:$B$108,$B50,'11.1.Амортиз.нови активи'!AB$61:AB$108)</f>
        <v>0</v>
      </c>
      <c r="AC50" s="1110">
        <f>$Z50-SUMIF('11.2. ДА за периода'!$B$61:$B$108,$B50,'11.2. ДА за периода'!$Z$61:$Z$108)+SUMIF('11.2. ДА за периода'!$B$61:$B$108,$B50,'11.2. ДА за периода'!AC$61:AC$108)+SUMIF('11.1.Амортиз.нови активи'!$B$61:$B$108,$B50,'11.1.Амортиз.нови активи'!AC$61:AC$108)</f>
        <v>0</v>
      </c>
      <c r="AD50" s="1110">
        <f>$Z50-SUMIF('11.2. ДА за периода'!$B$61:$B$108,$B50,'11.2. ДА за периода'!$Z$61:$Z$108)+SUMIF('11.2. ДА за периода'!$B$61:$B$108,$B50,'11.2. ДА за периода'!AD$61:AD$108)+SUMIF('11.1.Амортиз.нови активи'!$B$61:$B$108,$B50,'11.1.Амортиз.нови активи'!AD$61:AD$108)</f>
        <v>0</v>
      </c>
      <c r="AE50" s="1110">
        <f>$Z50-SUMIF('11.2. ДА за периода'!$B$61:$B$108,$B50,'11.2. ДА за периода'!$Z$61:$Z$108)+SUMIF('11.2. ДА за периода'!$B$61:$B$108,$B50,'11.2. ДА за периода'!AE$61:AE$108)+SUMIF('11.1.Амортиз.нови активи'!$B$61:$B$108,$B50,'11.1.Амортиз.нови активи'!AE$61:AE$108)</f>
        <v>0</v>
      </c>
      <c r="AF50" s="2618">
        <f>$Z50-SUMIF('11.2. ДА за периода'!$B$61:$B$108,$B50,'11.2. ДА за периода'!$Z$61:$Z$108)+SUMIF('11.2. ДА за периода'!$B$61:$B$108,$B50,'11.2. ДА за периода'!AF$61:AF$108)+SUMIF('11.1.Амортиз.нови активи'!$B$61:$B$108,$B50,'11.1.Амортиз.нови активи'!AF$61:AF$108)</f>
        <v>0</v>
      </c>
      <c r="AG50" s="2641">
        <f>+'11.3. ДА Базова година'!V55</f>
        <v>0</v>
      </c>
      <c r="AH50" s="2617">
        <f>$AG50-SUMIF('11.2. ДА за периода'!$B$61:$B$108,$B50,'11.2. ДА за периода'!$AG$61:$AG$108)+SUMIF('11.2. ДА за периода'!$B$61:$B$108,$B50,'11.2. ДА за периода'!AH$61:AH$108)+SUMIF('11.1.Амортиз.нови активи'!$B$61:$B$108,$B50,'11.1.Амортиз.нови активи'!AH$61:AH$108)+('11.1.Амортиз.нови активи'!T$112*SUMIF('11.1.Амортиз.нови активи'!$B$61:$B$108,$B50,'11.1.Амортиз.нови активи'!BB$61:BB$108))</f>
        <v>0</v>
      </c>
      <c r="AI50" s="1110">
        <f>$AG50-SUMIF('11.2. ДА за периода'!$B$61:$B$108,$B50,'11.2. ДА за периода'!$AG$61:$AG$108)+SUMIF('11.2. ДА за периода'!$B$61:$B$108,$B50,'11.2. ДА за периода'!AI$61:AI$108)+SUMIF('11.1.Амортиз.нови активи'!$B$61:$B$108,$B50,'11.1.Амортиз.нови активи'!AI$61:AI$108)+('11.1.Амортиз.нови активи'!U$112*SUMIF('11.1.Амортиз.нови активи'!$B$61:$B$108,$B50,'11.1.Амортиз.нови активи'!BC$61:BC$108))</f>
        <v>0</v>
      </c>
      <c r="AJ50" s="1110">
        <f>$AG50-SUMIF('11.2. ДА за периода'!$B$61:$B$108,$B50,'11.2. ДА за периода'!$AG$61:$AG$108)+SUMIF('11.2. ДА за периода'!$B$61:$B$108,$B50,'11.2. ДА за периода'!AJ$61:AJ$108)+SUMIF('11.1.Амортиз.нови активи'!$B$61:$B$108,$B50,'11.1.Амортиз.нови активи'!AJ$61:AJ$108)+('11.1.Амортиз.нови активи'!V$112*SUMIF('11.1.Амортиз.нови активи'!$B$61:$B$108,$B50,'11.1.Амортиз.нови активи'!BD$61:BD$108))</f>
        <v>0</v>
      </c>
      <c r="AK50" s="1110">
        <f>$AG50-SUMIF('11.2. ДА за периода'!$B$61:$B$108,$B50,'11.2. ДА за периода'!$AG$61:$AG$108)+SUMIF('11.2. ДА за периода'!$B$61:$B$108,$B50,'11.2. ДА за периода'!AK$61:AK$108)+SUMIF('11.1.Амортиз.нови активи'!$B$61:$B$108,$B50,'11.1.Амортиз.нови активи'!AK$61:AK$108)+('11.1.Амортиз.нови активи'!W$112*SUMIF('11.1.Амортиз.нови активи'!$B$61:$B$108,$B50,'11.1.Амортиз.нови активи'!BE$61:BE$108))</f>
        <v>0</v>
      </c>
      <c r="AL50" s="1110">
        <f>$AG50-SUMIF('11.2. ДА за периода'!$B$61:$B$108,$B50,'11.2. ДА за периода'!$AG$61:$AG$108)+SUMIF('11.2. ДА за периода'!$B$61:$B$108,$B50,'11.2. ДА за периода'!AL$61:AL$108)+SUMIF('11.1.Амортиз.нови активи'!$B$61:$B$108,$B50,'11.1.Амортиз.нови активи'!AL$61:AL$108)+('11.1.Амортиз.нови активи'!X$112*SUMIF('11.1.Амортиз.нови активи'!$B$61:$B$108,$B50,'11.1.Амортиз.нови активи'!BF$61:BF$108))</f>
        <v>0</v>
      </c>
      <c r="AM50" s="2618">
        <f>$AG50-SUMIF('11.2. ДА за периода'!$B$61:$B$108,$B50,'11.2. ДА за периода'!$AG$61:$AG$108)+SUMIF('11.2. ДА за периода'!$B$61:$B$108,$B50,'11.2. ДА за периода'!AM$61:AM$108)+SUMIF('11.1.Амортиз.нови активи'!$B$61:$B$108,$B50,'11.1.Амортиз.нови активи'!AM$61:AM$108)+('11.1.Амортиз.нови активи'!Y$112*SUMIF('11.1.Амортиз.нови активи'!$B$61:$B$108,$B50,'11.1.Амортиз.нови активи'!BG$61:BG$108))</f>
        <v>0</v>
      </c>
      <c r="AN50" s="2513"/>
      <c r="AO50" s="2551"/>
      <c r="AP50" s="4422"/>
      <c r="AQ50" s="4438">
        <f t="shared" si="31"/>
        <v>0.51129188119621849</v>
      </c>
      <c r="AR50" s="4438">
        <f t="shared" si="32"/>
        <v>0.88078015471692328</v>
      </c>
      <c r="AS50" s="4438">
        <f t="shared" si="33"/>
        <v>1.4173968472189742</v>
      </c>
      <c r="AT50" s="4438">
        <f t="shared" si="34"/>
        <v>1.804003420074235</v>
      </c>
      <c r="AU50" s="4438">
        <f t="shared" si="35"/>
        <v>2.3254575919059666</v>
      </c>
      <c r="AV50" s="4438">
        <f t="shared" si="36"/>
        <v>2.9032265394259831</v>
      </c>
      <c r="AW50" s="4438">
        <f t="shared" si="37"/>
        <v>3.5358124852574142</v>
      </c>
      <c r="AX50" s="4438">
        <f t="shared" si="38"/>
        <v>0</v>
      </c>
      <c r="AY50" s="4438">
        <f t="shared" si="39"/>
        <v>0.15418645792323468</v>
      </c>
      <c r="AZ50" s="4438">
        <f t="shared" si="40"/>
        <v>0.24426447716187413</v>
      </c>
      <c r="BA50" s="4438">
        <f t="shared" si="41"/>
        <v>0.28894663767445733</v>
      </c>
      <c r="BB50" s="4438">
        <f t="shared" si="42"/>
        <v>0.35221131777625914</v>
      </c>
      <c r="BC50" s="4438">
        <f t="shared" si="43"/>
        <v>0.41138888707499749</v>
      </c>
      <c r="BD50" s="4438">
        <f t="shared" si="44"/>
        <v>0.46154003577723512</v>
      </c>
      <c r="BE50" s="4438">
        <f t="shared" si="45"/>
        <v>1.022583762392437</v>
      </c>
      <c r="BF50" s="4438">
        <f t="shared" si="46"/>
        <v>1.1635884765035818</v>
      </c>
      <c r="BG50" s="4438">
        <f t="shared" si="47"/>
        <v>1.2782669924974077</v>
      </c>
      <c r="BH50" s="4438">
        <f t="shared" si="48"/>
        <v>1.4605285165650259</v>
      </c>
      <c r="BI50" s="4438">
        <f t="shared" si="49"/>
        <v>1.6427474864258205</v>
      </c>
      <c r="BJ50" s="4438">
        <f t="shared" si="50"/>
        <v>1.7727387914013932</v>
      </c>
      <c r="BK50" s="4438">
        <f t="shared" si="51"/>
        <v>1.8569395186620523</v>
      </c>
      <c r="BL50" s="4438">
        <f t="shared" si="52"/>
        <v>0</v>
      </c>
      <c r="BM50" s="4438">
        <f t="shared" si="53"/>
        <v>0</v>
      </c>
      <c r="BN50" s="4438">
        <f t="shared" si="54"/>
        <v>0</v>
      </c>
      <c r="BO50" s="4438">
        <f t="shared" si="55"/>
        <v>0</v>
      </c>
      <c r="BP50" s="4438">
        <f t="shared" si="56"/>
        <v>0</v>
      </c>
      <c r="BQ50" s="4438">
        <f t="shared" si="57"/>
        <v>0</v>
      </c>
      <c r="BR50" s="4438">
        <f t="shared" si="58"/>
        <v>0</v>
      </c>
      <c r="BS50" s="4438">
        <f t="shared" si="59"/>
        <v>0</v>
      </c>
      <c r="BT50" s="4438">
        <f t="shared" si="60"/>
        <v>0</v>
      </c>
      <c r="BU50" s="4438">
        <f t="shared" si="61"/>
        <v>0</v>
      </c>
      <c r="BV50" s="4438">
        <f t="shared" si="62"/>
        <v>0</v>
      </c>
      <c r="BW50" s="4438">
        <f t="shared" si="63"/>
        <v>0</v>
      </c>
      <c r="BX50" s="4438">
        <f t="shared" si="64"/>
        <v>0</v>
      </c>
      <c r="BY50" s="4438">
        <f t="shared" si="65"/>
        <v>0</v>
      </c>
    </row>
    <row r="51" spans="1:77">
      <c r="A51" s="2531">
        <v>8</v>
      </c>
      <c r="B51" s="2530">
        <v>20602</v>
      </c>
      <c r="C51" s="2522">
        <v>0.1</v>
      </c>
      <c r="D51" s="2552" t="s">
        <v>435</v>
      </c>
      <c r="E51" s="2641">
        <f>+'11.3. ДА Базова година'!F56</f>
        <v>6</v>
      </c>
      <c r="F51" s="2617">
        <f>$E51-SUMIF('11.2. ДА за периода'!$B$61:$B$108,$B51,'11.2. ДА за периода'!$E$61:$E$108)+SUMIF('11.2. ДА за периода'!$B$61:$B$108,$B51,'11.2. ДА за периода'!F$61:F$108)+SUMIF('11.1.Амортиз.нови активи'!$B$61:$B$108,$B51,'11.1.Амортиз.нови активи'!F$61:F$108)+('11.1.Амортиз.нови активи'!F$110*SUMIF('11.1.Амортиз.нови активи'!$B$61:$B$108,$B51,'11.1.Амортиз.нови активи'!AO$61:AO$108))</f>
        <v>7.0500000000000007</v>
      </c>
      <c r="G51" s="1110">
        <f>$E51-SUMIF('11.2. ДА за периода'!$B$61:$B$108,$B51,'11.2. ДА за периода'!$E$61:$E$108)+SUMIF('11.2. ДА за периода'!$B$61:$B$108,$B51,'11.2. ДА за периода'!G$61:G$108)+SUMIF('11.1.Амортиз.нови активи'!$B$61:$B$108,$B51,'11.1.Амортиз.нови активи'!G$61:G$108)+('11.1.Амортиз.нови активи'!G$110*SUMIF('11.1.Амортиз.нови активи'!$B$61:$B$108,$B51,'11.1.Амортиз.нови активи'!AP$61:AP$108))</f>
        <v>6.3500000000000005</v>
      </c>
      <c r="H51" s="1110">
        <f>$E51-SUMIF('11.2. ДА за периода'!$B$61:$B$108,$B51,'11.2. ДА за периода'!$E$61:$E$108)+SUMIF('11.2. ДА за периода'!$B$61:$B$108,$B51,'11.2. ДА за периода'!H$61:H$108)+SUMIF('11.1.Амортиз.нови активи'!$B$61:$B$108,$B51,'11.1.Амортиз.нови активи'!H$61:H$108)+('11.1.Амортиз.нови активи'!H$110*SUMIF('11.1.Амортиз.нови активи'!$B$61:$B$108,$B51,'11.1.Амортиз.нови активи'!AQ$61:AQ$108))</f>
        <v>5.65</v>
      </c>
      <c r="I51" s="1110">
        <f>$E51-SUMIF('11.2. ДА за периода'!$B$61:$B$108,$B51,'11.2. ДА за периода'!$E$61:$E$108)+SUMIF('11.2. ДА за периода'!$B$61:$B$108,$B51,'11.2. ДА за периода'!I$61:I$108)+SUMIF('11.1.Амортиз.нови активи'!$B$61:$B$108,$B51,'11.1.Амортиз.нови активи'!I$61:I$108)+('11.1.Амортиз.нови активи'!I$110*SUMIF('11.1.Амортиз.нови активи'!$B$61:$B$108,$B51,'11.1.Амортиз.нови активи'!AR$61:AR$108))</f>
        <v>5.3500000000000005</v>
      </c>
      <c r="J51" s="1110">
        <f>$E51-SUMIF('11.2. ДА за периода'!$B$61:$B$108,$B51,'11.2. ДА за периода'!$E$61:$E$108)+SUMIF('11.2. ДА за периода'!$B$61:$B$108,$B51,'11.2. ДА за периода'!J$61:J$108)+SUMIF('11.1.Амортиз.нови активи'!$B$61:$B$108,$B51,'11.1.Амортиз.нови активи'!J$61:J$108)+('11.1.Амортиз.нови активи'!J$110*SUMIF('11.1.Амортиз.нови активи'!$B$61:$B$108,$B51,'11.1.Амортиз.нови активи'!AS$61:AS$108))</f>
        <v>4.1500000000000004</v>
      </c>
      <c r="K51" s="2618">
        <f>$E51-SUMIF('11.2. ДА за периода'!$B$61:$B$108,$B51,'11.2. ДА за периода'!$E$61:$E$108)+SUMIF('11.2. ДА за периода'!$B$61:$B$108,$B51,'11.2. ДА за периода'!K$61:K$108)+SUMIF('11.1.Амортиз.нови активи'!$B$61:$B$108,$B51,'11.1.Амортиз.нови активи'!K$61:K$108)+('11.1.Амортиз.нови активи'!K$110*SUMIF('11.1.Амортиз.нови активи'!$B$61:$B$108,$B51,'11.1.Амортиз.нови активи'!AT$61:AT$108))</f>
        <v>2.4500000000000002</v>
      </c>
      <c r="L51" s="2641">
        <f>+'11.3. ДА Базова година'!J56</f>
        <v>3</v>
      </c>
      <c r="M51" s="2617">
        <f>$L51-SUMIF('11.2. ДА за периода'!$B$61:$B$108,$B51,'11.2. ДА за периода'!$L$61:$L$108)+SUMIF('11.2. ДА за периода'!$B$61:$B$108,$B51,'11.2. ДА за периода'!M$61:M$108)+SUMIF('11.1.Амортиз.нови активи'!$B$61:$B$108,$B51,'11.1.Амортиз.нови активи'!M$61:M$108)+('11.1.Амортиз.нови активи'!F$111*SUMIF('11.1.Амортиз.нови активи'!$B$61:$B$108,$B51,'11.1.Амортиз.нови активи'!AO$61:AO$108))</f>
        <v>3.25</v>
      </c>
      <c r="N51" s="1110">
        <f>$L51-SUMIF('11.2. ДА за периода'!$B$61:$B$108,$B51,'11.2. ДА за периода'!$L$61:$L$108)+SUMIF('11.2. ДА за периода'!$B$61:$B$108,$B51,'11.2. ДА за периода'!N$61:N$108)+SUMIF('11.1.Амортиз.нови активи'!$B$61:$B$108,$B51,'11.1.Амортиз.нови активи'!N$61:N$108)+('11.1.Амортиз.нови активи'!G$111*SUMIF('11.1.Амортиз.нови активи'!$B$61:$B$108,$B51,'11.1.Амортиз.нови активи'!AP$61:AP$108))</f>
        <v>3.25</v>
      </c>
      <c r="O51" s="1110">
        <f>$L51-SUMIF('11.2. ДА за периода'!$B$61:$B$108,$B51,'11.2. ДА за периода'!$L$61:$L$108)+SUMIF('11.2. ДА за периода'!$B$61:$B$108,$B51,'11.2. ДА за периода'!O$61:O$108)+SUMIF('11.1.Амортиз.нови активи'!$B$61:$B$108,$B51,'11.1.Амортиз.нови активи'!O$61:O$108)+('11.1.Амортиз.нови активи'!H$111*SUMIF('11.1.Амортиз.нови активи'!$B$61:$B$108,$B51,'11.1.Амортиз.нови активи'!AQ$61:AQ$108))</f>
        <v>3.25</v>
      </c>
      <c r="P51" s="1110">
        <f>$L51-SUMIF('11.2. ДА за периода'!$B$61:$B$108,$B51,'11.2. ДА за периода'!$L$61:$L$108)+SUMIF('11.2. ДА за периода'!$B$61:$B$108,$B51,'11.2. ДА за периода'!P$61:P$108)+SUMIF('11.1.Амортиз.нови активи'!$B$61:$B$108,$B51,'11.1.Амортиз.нови активи'!P$61:P$108)+('11.1.Амортиз.нови активи'!I$111*SUMIF('11.1.Амортиз.нови активи'!$B$61:$B$108,$B51,'11.1.Амортиз.нови активи'!AR$61:AR$108))</f>
        <v>3.25</v>
      </c>
      <c r="Q51" s="1110">
        <f>$L51-SUMIF('11.2. ДА за периода'!$B$61:$B$108,$B51,'11.2. ДА за периода'!$L$61:$L$108)+SUMIF('11.2. ДА за периода'!$B$61:$B$108,$B51,'11.2. ДА за периода'!Q$61:Q$108)+SUMIF('11.1.Амортиз.нови активи'!$B$61:$B$108,$B51,'11.1.Амортиз.нови активи'!Q$61:Q$108)+('11.1.Амортиз.нови активи'!J$111*SUMIF('11.1.Амортиз.нови активи'!$B$61:$B$108,$B51,'11.1.Амортиз.нови активи'!AS$61:AS$108))</f>
        <v>3.25</v>
      </c>
      <c r="R51" s="2618">
        <f>$L51-SUMIF('11.2. ДА за периода'!$B$61:$B$108,$B51,'11.2. ДА за периода'!$L$61:$L$108)+SUMIF('11.2. ДА за периода'!$B$61:$B$108,$B51,'11.2. ДА за периода'!R$61:R$108)+SUMIF('11.1.Амортиз.нови активи'!$B$61:$B$108,$B51,'11.1.Амортиз.нови активи'!R$61:R$108)+('11.1.Амортиз.нови активи'!K$111*SUMIF('11.1.Амортиз.нови активи'!$B$61:$B$108,$B51,'11.1.Амортиз.нови активи'!AT$61:AT$108))</f>
        <v>3.25</v>
      </c>
      <c r="S51" s="2641">
        <f>+'11.3. ДА Базова година'!N56</f>
        <v>6</v>
      </c>
      <c r="T51" s="2617">
        <f>$S51-SUMIF('11.2. ДА за периода'!$B$61:$B$108,$B51,'11.2. ДА за периода'!$S$61:$S$108)+SUMIF('11.2. ДА за периода'!$B$61:$B$108,$B51,'11.2. ДА за периода'!T$61:T$108)+SUMIF('11.1.Амортиз.нови активи'!$B$61:$B$108,$B51,'11.1.Амортиз.нови активи'!T$61:T$108)+('11.1.Амортиз.нови активи'!F$112*SUMIF('11.1.Амортиз.нови активи'!$B$61:$B$108,$B51,'11.1.Амортиз.нови активи'!AO$61:AO$108))</f>
        <v>6.6499999999999995</v>
      </c>
      <c r="U51" s="1110">
        <f>$S51-SUMIF('11.2. ДА за периода'!$B$61:$B$108,$B51,'11.2. ДА за периода'!$S$61:$S$108)+SUMIF('11.2. ДА за периода'!$B$61:$B$108,$B51,'11.2. ДА за периода'!U$61:U$108)+SUMIF('11.1.Амортиз.нови активи'!$B$61:$B$108,$B51,'11.1.Амортиз.нови активи'!U$61:U$108)+('11.1.Амортиз.нови активи'!G$112*SUMIF('11.1.Амортиз.нови активи'!$B$61:$B$108,$B51,'11.1.Амортиз.нови активи'!AP$61:AP$108))</f>
        <v>6.6499999999999995</v>
      </c>
      <c r="V51" s="1110">
        <f>$S51-SUMIF('11.2. ДА за периода'!$B$61:$B$108,$B51,'11.2. ДА за периода'!$S$61:$S$108)+SUMIF('11.2. ДА за периода'!$B$61:$B$108,$B51,'11.2. ДА за периода'!V$61:V$108)+SUMIF('11.1.Амортиз.нови активи'!$B$61:$B$108,$B51,'11.1.Амортиз.нови активи'!V$61:V$108)+('11.1.Амортиз.нови активи'!H$112*SUMIF('11.1.Амортиз.нови активи'!$B$61:$B$108,$B51,'11.1.Амортиз.нови активи'!AQ$61:AQ$108))</f>
        <v>6.6499999999999995</v>
      </c>
      <c r="W51" s="1110">
        <f>$S51-SUMIF('11.2. ДА за периода'!$B$61:$B$108,$B51,'11.2. ДА за периода'!$S$61:$S$108)+SUMIF('11.2. ДА за периода'!$B$61:$B$108,$B51,'11.2. ДА за периода'!W$61:W$108)+SUMIF('11.1.Амортиз.нови активи'!$B$61:$B$108,$B51,'11.1.Амортиз.нови активи'!W$61:W$108)+('11.1.Амортиз.нови активи'!I$112*SUMIF('11.1.Амортиз.нови активи'!$B$61:$B$108,$B51,'11.1.Амортиз.нови активи'!AR$61:AR$108))</f>
        <v>6.6499999999999995</v>
      </c>
      <c r="X51" s="1110">
        <f>$S51-SUMIF('11.2. ДА за периода'!$B$61:$B$108,$B51,'11.2. ДА за периода'!$S$61:$S$108)+SUMIF('11.2. ДА за периода'!$B$61:$B$108,$B51,'11.2. ДА за периода'!X$61:X$108)+SUMIF('11.1.Амортиз.нови активи'!$B$61:$B$108,$B51,'11.1.Амортиз.нови активи'!X$61:X$108)+('11.1.Амортиз.нови активи'!J$112*SUMIF('11.1.Амортиз.нови активи'!$B$61:$B$108,$B51,'11.1.Амортиз.нови активи'!AS$61:AS$108))</f>
        <v>6.6499999999999995</v>
      </c>
      <c r="Y51" s="2618">
        <f>$S51-SUMIF('11.2. ДА за периода'!$B$61:$B$108,$B51,'11.2. ДА за периода'!$S$61:$S$108)+SUMIF('11.2. ДА за периода'!$B$61:$B$108,$B51,'11.2. ДА за периода'!Y$61:Y$108)+SUMIF('11.1.Амортиз.нови активи'!$B$61:$B$108,$B51,'11.1.Амортиз.нови активи'!Y$61:Y$108)+('11.1.Амортиз.нови активи'!K$112*SUMIF('11.1.Амортиз.нови активи'!$B$61:$B$108,$B51,'11.1.Амортиз.нови активи'!AT$61:AT$108))</f>
        <v>6.6499999999999995</v>
      </c>
      <c r="Z51" s="4387">
        <f>+'11.3. ДА Базова година'!R56</f>
        <v>0</v>
      </c>
      <c r="AA51" s="2617">
        <f>$Z51-SUMIF('11.2. ДА за периода'!$B$61:$B$108,$B51,'11.2. ДА за периода'!$Z$61:$Z$108)+SUMIF('11.2. ДА за периода'!$B$61:$B$108,$B51,'11.2. ДА за периода'!AA$61:AA$108)+SUMIF('11.1.Амортиз.нови активи'!$B$61:$B$108,$B51,'11.1.Амортиз.нови активи'!AA$61:AA$108)</f>
        <v>0</v>
      </c>
      <c r="AB51" s="1110">
        <f>$Z51-SUMIF('11.2. ДА за периода'!$B$61:$B$108,$B51,'11.2. ДА за периода'!$Z$61:$Z$108)+SUMIF('11.2. ДА за периода'!$B$61:$B$108,$B51,'11.2. ДА за периода'!AB$61:AB$108)+SUMIF('11.1.Амортиз.нови активи'!$B$61:$B$108,$B51,'11.1.Амортиз.нови активи'!AB$61:AB$108)</f>
        <v>0</v>
      </c>
      <c r="AC51" s="1110">
        <f>$Z51-SUMIF('11.2. ДА за периода'!$B$61:$B$108,$B51,'11.2. ДА за периода'!$Z$61:$Z$108)+SUMIF('11.2. ДА за периода'!$B$61:$B$108,$B51,'11.2. ДА за периода'!AC$61:AC$108)+SUMIF('11.1.Амортиз.нови активи'!$B$61:$B$108,$B51,'11.1.Амортиз.нови активи'!AC$61:AC$108)</f>
        <v>0</v>
      </c>
      <c r="AD51" s="1110">
        <f>$Z51-SUMIF('11.2. ДА за периода'!$B$61:$B$108,$B51,'11.2. ДА за периода'!$Z$61:$Z$108)+SUMIF('11.2. ДА за периода'!$B$61:$B$108,$B51,'11.2. ДА за периода'!AD$61:AD$108)+SUMIF('11.1.Амортиз.нови активи'!$B$61:$B$108,$B51,'11.1.Амортиз.нови активи'!AD$61:AD$108)</f>
        <v>0</v>
      </c>
      <c r="AE51" s="1110">
        <f>$Z51-SUMIF('11.2. ДА за периода'!$B$61:$B$108,$B51,'11.2. ДА за периода'!$Z$61:$Z$108)+SUMIF('11.2. ДА за периода'!$B$61:$B$108,$B51,'11.2. ДА за периода'!AE$61:AE$108)+SUMIF('11.1.Амортиз.нови активи'!$B$61:$B$108,$B51,'11.1.Амортиз.нови активи'!AE$61:AE$108)</f>
        <v>0</v>
      </c>
      <c r="AF51" s="2618">
        <f>$Z51-SUMIF('11.2. ДА за периода'!$B$61:$B$108,$B51,'11.2. ДА за периода'!$Z$61:$Z$108)+SUMIF('11.2. ДА за периода'!$B$61:$B$108,$B51,'11.2. ДА за периода'!AF$61:AF$108)+SUMIF('11.1.Амортиз.нови активи'!$B$61:$B$108,$B51,'11.1.Амортиз.нови активи'!AF$61:AF$108)</f>
        <v>0</v>
      </c>
      <c r="AG51" s="2641">
        <f>+'11.3. ДА Базова година'!V56</f>
        <v>0</v>
      </c>
      <c r="AH51" s="2617">
        <f>$AG51-SUMIF('11.2. ДА за периода'!$B$61:$B$108,$B51,'11.2. ДА за периода'!$AG$61:$AG$108)+SUMIF('11.2. ДА за периода'!$B$61:$B$108,$B51,'11.2. ДА за периода'!AH$61:AH$108)+SUMIF('11.1.Амортиз.нови активи'!$B$61:$B$108,$B51,'11.1.Амортиз.нови активи'!AH$61:AH$108)+('11.1.Амортиз.нови активи'!T$112*SUMIF('11.1.Амортиз.нови активи'!$B$61:$B$108,$B51,'11.1.Амортиз.нови активи'!BB$61:BB$108))</f>
        <v>0</v>
      </c>
      <c r="AI51" s="1110">
        <f>$AG51-SUMIF('11.2. ДА за периода'!$B$61:$B$108,$B51,'11.2. ДА за периода'!$AG$61:$AG$108)+SUMIF('11.2. ДА за периода'!$B$61:$B$108,$B51,'11.2. ДА за периода'!AI$61:AI$108)+SUMIF('11.1.Амортиз.нови активи'!$B$61:$B$108,$B51,'11.1.Амортиз.нови активи'!AI$61:AI$108)+('11.1.Амортиз.нови активи'!U$112*SUMIF('11.1.Амортиз.нови активи'!$B$61:$B$108,$B51,'11.1.Амортиз.нови активи'!BC$61:BC$108))</f>
        <v>0</v>
      </c>
      <c r="AJ51" s="1110">
        <f>$AG51-SUMIF('11.2. ДА за периода'!$B$61:$B$108,$B51,'11.2. ДА за периода'!$AG$61:$AG$108)+SUMIF('11.2. ДА за периода'!$B$61:$B$108,$B51,'11.2. ДА за периода'!AJ$61:AJ$108)+SUMIF('11.1.Амортиз.нови активи'!$B$61:$B$108,$B51,'11.1.Амортиз.нови активи'!AJ$61:AJ$108)+('11.1.Амортиз.нови активи'!V$112*SUMIF('11.1.Амортиз.нови активи'!$B$61:$B$108,$B51,'11.1.Амортиз.нови активи'!BD$61:BD$108))</f>
        <v>0</v>
      </c>
      <c r="AK51" s="1110">
        <f>$AG51-SUMIF('11.2. ДА за периода'!$B$61:$B$108,$B51,'11.2. ДА за периода'!$AG$61:$AG$108)+SUMIF('11.2. ДА за периода'!$B$61:$B$108,$B51,'11.2. ДА за периода'!AK$61:AK$108)+SUMIF('11.1.Амортиз.нови активи'!$B$61:$B$108,$B51,'11.1.Амортиз.нови активи'!AK$61:AK$108)+('11.1.Амортиз.нови активи'!W$112*SUMIF('11.1.Амортиз.нови активи'!$B$61:$B$108,$B51,'11.1.Амортиз.нови активи'!BE$61:BE$108))</f>
        <v>0</v>
      </c>
      <c r="AL51" s="1110">
        <f>$AG51-SUMIF('11.2. ДА за периода'!$B$61:$B$108,$B51,'11.2. ДА за периода'!$AG$61:$AG$108)+SUMIF('11.2. ДА за периода'!$B$61:$B$108,$B51,'11.2. ДА за периода'!AL$61:AL$108)+SUMIF('11.1.Амортиз.нови активи'!$B$61:$B$108,$B51,'11.1.Амортиз.нови активи'!AL$61:AL$108)+('11.1.Амортиз.нови активи'!X$112*SUMIF('11.1.Амортиз.нови активи'!$B$61:$B$108,$B51,'11.1.Амортиз.нови активи'!BF$61:BF$108))</f>
        <v>0</v>
      </c>
      <c r="AM51" s="2618">
        <f>$AG51-SUMIF('11.2. ДА за периода'!$B$61:$B$108,$B51,'11.2. ДА за периода'!$AG$61:$AG$108)+SUMIF('11.2. ДА за периода'!$B$61:$B$108,$B51,'11.2. ДА за периода'!AM$61:AM$108)+SUMIF('11.1.Амортиз.нови активи'!$B$61:$B$108,$B51,'11.1.Амортиз.нови активи'!AM$61:AM$108)+('11.1.Амортиз.нови активи'!Y$112*SUMIF('11.1.Амортиз.нови активи'!$B$61:$B$108,$B51,'11.1.Амортиз.нови активи'!BG$61:BG$108))</f>
        <v>0</v>
      </c>
      <c r="AN51" s="2513"/>
      <c r="AO51" s="2551"/>
      <c r="AP51" s="4422"/>
      <c r="AQ51" s="4438">
        <f t="shared" si="31"/>
        <v>3.0677512871773112</v>
      </c>
      <c r="AR51" s="4438">
        <f t="shared" si="32"/>
        <v>3.6046077624333406</v>
      </c>
      <c r="AS51" s="4438">
        <f t="shared" si="33"/>
        <v>3.2467034455959878</v>
      </c>
      <c r="AT51" s="4438">
        <f t="shared" si="34"/>
        <v>2.8887991287586345</v>
      </c>
      <c r="AU51" s="4438">
        <f t="shared" si="35"/>
        <v>2.7354115643997692</v>
      </c>
      <c r="AV51" s="4438">
        <f t="shared" si="36"/>
        <v>2.1218613069643069</v>
      </c>
      <c r="AW51" s="4438">
        <f t="shared" si="37"/>
        <v>1.2526651089307355</v>
      </c>
      <c r="AX51" s="4438">
        <f t="shared" si="38"/>
        <v>1.5338756435886556</v>
      </c>
      <c r="AY51" s="4438">
        <f t="shared" si="39"/>
        <v>1.6616986138877101</v>
      </c>
      <c r="AZ51" s="4438">
        <f t="shared" si="40"/>
        <v>1.6616986138877101</v>
      </c>
      <c r="BA51" s="4438">
        <f t="shared" si="41"/>
        <v>1.6616986138877101</v>
      </c>
      <c r="BB51" s="4438">
        <f t="shared" si="42"/>
        <v>1.6616986138877101</v>
      </c>
      <c r="BC51" s="4438">
        <f t="shared" si="43"/>
        <v>1.6616986138877101</v>
      </c>
      <c r="BD51" s="4438">
        <f t="shared" si="44"/>
        <v>1.6616986138877101</v>
      </c>
      <c r="BE51" s="4438">
        <f t="shared" si="45"/>
        <v>3.0677512871773112</v>
      </c>
      <c r="BF51" s="4438">
        <f t="shared" si="46"/>
        <v>3.4000910099548527</v>
      </c>
      <c r="BG51" s="4438">
        <f t="shared" si="47"/>
        <v>3.4000910099548527</v>
      </c>
      <c r="BH51" s="4438">
        <f t="shared" si="48"/>
        <v>3.4000910099548527</v>
      </c>
      <c r="BI51" s="4438">
        <f t="shared" si="49"/>
        <v>3.4000910099548527</v>
      </c>
      <c r="BJ51" s="4438">
        <f t="shared" si="50"/>
        <v>3.4000910099548527</v>
      </c>
      <c r="BK51" s="4438">
        <f t="shared" si="51"/>
        <v>3.4000910099548527</v>
      </c>
      <c r="BL51" s="4438">
        <f t="shared" si="52"/>
        <v>0</v>
      </c>
      <c r="BM51" s="4438">
        <f t="shared" si="53"/>
        <v>0</v>
      </c>
      <c r="BN51" s="4438">
        <f t="shared" si="54"/>
        <v>0</v>
      </c>
      <c r="BO51" s="4438">
        <f t="shared" si="55"/>
        <v>0</v>
      </c>
      <c r="BP51" s="4438">
        <f t="shared" si="56"/>
        <v>0</v>
      </c>
      <c r="BQ51" s="4438">
        <f t="shared" si="57"/>
        <v>0</v>
      </c>
      <c r="BR51" s="4438">
        <f t="shared" si="58"/>
        <v>0</v>
      </c>
      <c r="BS51" s="4438">
        <f t="shared" si="59"/>
        <v>0</v>
      </c>
      <c r="BT51" s="4438">
        <f t="shared" si="60"/>
        <v>0</v>
      </c>
      <c r="BU51" s="4438">
        <f t="shared" si="61"/>
        <v>0</v>
      </c>
      <c r="BV51" s="4438">
        <f t="shared" si="62"/>
        <v>0</v>
      </c>
      <c r="BW51" s="4438">
        <f t="shared" si="63"/>
        <v>0</v>
      </c>
      <c r="BX51" s="4438">
        <f t="shared" si="64"/>
        <v>0</v>
      </c>
      <c r="BY51" s="4438">
        <f t="shared" si="65"/>
        <v>0</v>
      </c>
    </row>
    <row r="52" spans="1:77">
      <c r="A52" s="2531">
        <v>9</v>
      </c>
      <c r="B52" s="2527">
        <v>20603</v>
      </c>
      <c r="C52" s="2522">
        <v>0.5</v>
      </c>
      <c r="D52" s="2552" t="s">
        <v>1015</v>
      </c>
      <c r="E52" s="2641">
        <f>+'11.3. ДА Базова година'!F57</f>
        <v>1</v>
      </c>
      <c r="F52" s="2617">
        <f>$E52-SUMIF('11.2. ДА за периода'!$B$61:$B$108,$B52,'11.2. ДА за периода'!$E$61:$E$108)+SUMIF('11.2. ДА за периода'!$B$61:$B$108,$B52,'11.2. ДА за периода'!F$61:F$108)+SUMIF('11.1.Амортиз.нови активи'!$B$61:$B$108,$B52,'11.1.Амортиз.нови активи'!F$61:F$108)+('11.1.Амортиз.нови активи'!F$110*SUMIF('11.1.Амортиз.нови активи'!$B$61:$B$108,$B52,'11.1.Амортиз.нови активи'!AO$61:AO$108))</f>
        <v>-3</v>
      </c>
      <c r="G52" s="1110">
        <f>$E52-SUMIF('11.2. ДА за периода'!$B$61:$B$108,$B52,'11.2. ДА за периода'!$E$61:$E$108)+SUMIF('11.2. ДА за периода'!$B$61:$B$108,$B52,'11.2. ДА за периода'!G$61:G$108)+SUMIF('11.1.Амортиз.нови активи'!$B$61:$B$108,$B52,'11.1.Амортиз.нови активи'!G$61:G$108)+('11.1.Амортиз.нови активи'!G$110*SUMIF('11.1.Амортиз.нови активи'!$B$61:$B$108,$B52,'11.1.Амортиз.нови активи'!AP$61:AP$108))</f>
        <v>-3</v>
      </c>
      <c r="H52" s="1110">
        <f>$E52-SUMIF('11.2. ДА за периода'!$B$61:$B$108,$B52,'11.2. ДА за периода'!$E$61:$E$108)+SUMIF('11.2. ДА за периода'!$B$61:$B$108,$B52,'11.2. ДА за периода'!H$61:H$108)+SUMIF('11.1.Амортиз.нови активи'!$B$61:$B$108,$B52,'11.1.Амортиз.нови активи'!H$61:H$108)+('11.1.Амортиз.нови активи'!H$110*SUMIF('11.1.Амортиз.нови активи'!$B$61:$B$108,$B52,'11.1.Амортиз.нови активи'!AQ$61:AQ$108))</f>
        <v>-3</v>
      </c>
      <c r="I52" s="1110">
        <f>$E52-SUMIF('11.2. ДА за периода'!$B$61:$B$108,$B52,'11.2. ДА за периода'!$E$61:$E$108)+SUMIF('11.2. ДА за периода'!$B$61:$B$108,$B52,'11.2. ДА за периода'!I$61:I$108)+SUMIF('11.1.Амортиз.нови активи'!$B$61:$B$108,$B52,'11.1.Амортиз.нови активи'!I$61:I$108)+('11.1.Амортиз.нови активи'!I$110*SUMIF('11.1.Амортиз.нови активи'!$B$61:$B$108,$B52,'11.1.Амортиз.нови активи'!AR$61:AR$108))</f>
        <v>-3</v>
      </c>
      <c r="J52" s="1110">
        <f>$E52-SUMIF('11.2. ДА за периода'!$B$61:$B$108,$B52,'11.2. ДА за периода'!$E$61:$E$108)+SUMIF('11.2. ДА за периода'!$B$61:$B$108,$B52,'11.2. ДА за периода'!J$61:J$108)+SUMIF('11.1.Амортиз.нови активи'!$B$61:$B$108,$B52,'11.1.Амортиз.нови активи'!J$61:J$108)+('11.1.Амортиз.нови активи'!J$110*SUMIF('11.1.Амортиз.нови активи'!$B$61:$B$108,$B52,'11.1.Амортиз.нови активи'!AS$61:AS$108))</f>
        <v>-3</v>
      </c>
      <c r="K52" s="2618">
        <f>$E52-SUMIF('11.2. ДА за периода'!$B$61:$B$108,$B52,'11.2. ДА за периода'!$E$61:$E$108)+SUMIF('11.2. ДА за периода'!$B$61:$B$108,$B52,'11.2. ДА за периода'!K$61:K$108)+SUMIF('11.1.Амортиз.нови активи'!$B$61:$B$108,$B52,'11.1.Амортиз.нови активи'!K$61:K$108)+('11.1.Амортиз.нови активи'!K$110*SUMIF('11.1.Амортиз.нови активи'!$B$61:$B$108,$B52,'11.1.Амортиз.нови активи'!AT$61:AT$108))</f>
        <v>-3</v>
      </c>
      <c r="L52" s="2641">
        <f>+'11.3. ДА Базова година'!J57</f>
        <v>1</v>
      </c>
      <c r="M52" s="2617">
        <f>$L52-SUMIF('11.2. ДА за периода'!$B$61:$B$108,$B52,'11.2. ДА за периода'!$L$61:$L$108)+SUMIF('11.2. ДА за периода'!$B$61:$B$108,$B52,'11.2. ДА за периода'!M$61:M$108)+SUMIF('11.1.Амортиз.нови активи'!$B$61:$B$108,$B52,'11.1.Амортиз.нови активи'!M$61:M$108)+('11.1.Амортиз.нови активи'!F$111*SUMIF('11.1.Амортиз.нови активи'!$B$61:$B$108,$B52,'11.1.Амортиз.нови активи'!AO$61:AO$108))</f>
        <v>1</v>
      </c>
      <c r="N52" s="1110">
        <f>$L52-SUMIF('11.2. ДА за периода'!$B$61:$B$108,$B52,'11.2. ДА за периода'!$L$61:$L$108)+SUMIF('11.2. ДА за периода'!$B$61:$B$108,$B52,'11.2. ДА за периода'!N$61:N$108)+SUMIF('11.1.Амортиз.нови активи'!$B$61:$B$108,$B52,'11.1.Амортиз.нови активи'!N$61:N$108)+('11.1.Амортиз.нови активи'!G$111*SUMIF('11.1.Амортиз.нови активи'!$B$61:$B$108,$B52,'11.1.Амортиз.нови активи'!AP$61:AP$108))</f>
        <v>1</v>
      </c>
      <c r="O52" s="1110">
        <f>$L52-SUMIF('11.2. ДА за периода'!$B$61:$B$108,$B52,'11.2. ДА за периода'!$L$61:$L$108)+SUMIF('11.2. ДА за периода'!$B$61:$B$108,$B52,'11.2. ДА за периода'!O$61:O$108)+SUMIF('11.1.Амортиз.нови активи'!$B$61:$B$108,$B52,'11.1.Амортиз.нови активи'!O$61:O$108)+('11.1.Амортиз.нови активи'!H$111*SUMIF('11.1.Амортиз.нови активи'!$B$61:$B$108,$B52,'11.1.Амортиз.нови активи'!AQ$61:AQ$108))</f>
        <v>1</v>
      </c>
      <c r="P52" s="1110">
        <f>$L52-SUMIF('11.2. ДА за периода'!$B$61:$B$108,$B52,'11.2. ДА за периода'!$L$61:$L$108)+SUMIF('11.2. ДА за периода'!$B$61:$B$108,$B52,'11.2. ДА за периода'!P$61:P$108)+SUMIF('11.1.Амортиз.нови активи'!$B$61:$B$108,$B52,'11.1.Амортиз.нови активи'!P$61:P$108)+('11.1.Амортиз.нови активи'!I$111*SUMIF('11.1.Амортиз.нови активи'!$B$61:$B$108,$B52,'11.1.Амортиз.нови активи'!AR$61:AR$108))</f>
        <v>1</v>
      </c>
      <c r="Q52" s="1110">
        <f>$L52-SUMIF('11.2. ДА за периода'!$B$61:$B$108,$B52,'11.2. ДА за периода'!$L$61:$L$108)+SUMIF('11.2. ДА за периода'!$B$61:$B$108,$B52,'11.2. ДА за периода'!Q$61:Q$108)+SUMIF('11.1.Амортиз.нови активи'!$B$61:$B$108,$B52,'11.1.Амортиз.нови активи'!Q$61:Q$108)+('11.1.Амортиз.нови активи'!J$111*SUMIF('11.1.Амортиз.нови активи'!$B$61:$B$108,$B52,'11.1.Амортиз.нови активи'!AS$61:AS$108))</f>
        <v>1</v>
      </c>
      <c r="R52" s="2618">
        <f>$L52-SUMIF('11.2. ДА за периода'!$B$61:$B$108,$B52,'11.2. ДА за периода'!$L$61:$L$108)+SUMIF('11.2. ДА за периода'!$B$61:$B$108,$B52,'11.2. ДА за периода'!R$61:R$108)+SUMIF('11.1.Амортиз.нови активи'!$B$61:$B$108,$B52,'11.1.Амортиз.нови активи'!R$61:R$108)+('11.1.Амортиз.нови активи'!K$111*SUMIF('11.1.Амортиз.нови активи'!$B$61:$B$108,$B52,'11.1.Амортиз.нови активи'!AT$61:AT$108))</f>
        <v>1</v>
      </c>
      <c r="S52" s="2641">
        <f>+'11.3. ДА Базова година'!N57</f>
        <v>2</v>
      </c>
      <c r="T52" s="2617">
        <f>$S52-SUMIF('11.2. ДА за периода'!$B$61:$B$108,$B52,'11.2. ДА за периода'!$S$61:$S$108)+SUMIF('11.2. ДА за периода'!$B$61:$B$108,$B52,'11.2. ДА за периода'!T$61:T$108)+SUMIF('11.1.Амортиз.нови активи'!$B$61:$B$108,$B52,'11.1.Амортиз.нови активи'!T$61:T$108)+('11.1.Амортиз.нови активи'!F$112*SUMIF('11.1.Амортиз.нови активи'!$B$61:$B$108,$B52,'11.1.Амортиз.нови активи'!AO$61:AO$108))</f>
        <v>2</v>
      </c>
      <c r="U52" s="1110">
        <f>$S52-SUMIF('11.2. ДА за периода'!$B$61:$B$108,$B52,'11.2. ДА за периода'!$S$61:$S$108)+SUMIF('11.2. ДА за периода'!$B$61:$B$108,$B52,'11.2. ДА за периода'!U$61:U$108)+SUMIF('11.1.Амортиз.нови активи'!$B$61:$B$108,$B52,'11.1.Амортиз.нови активи'!U$61:U$108)+('11.1.Амортиз.нови активи'!G$112*SUMIF('11.1.Амортиз.нови активи'!$B$61:$B$108,$B52,'11.1.Амортиз.нови активи'!AP$61:AP$108))</f>
        <v>2</v>
      </c>
      <c r="V52" s="1110">
        <f>$S52-SUMIF('11.2. ДА за периода'!$B$61:$B$108,$B52,'11.2. ДА за периода'!$S$61:$S$108)+SUMIF('11.2. ДА за периода'!$B$61:$B$108,$B52,'11.2. ДА за периода'!V$61:V$108)+SUMIF('11.1.Амортиз.нови активи'!$B$61:$B$108,$B52,'11.1.Амортиз.нови активи'!V$61:V$108)+('11.1.Амортиз.нови активи'!H$112*SUMIF('11.1.Амортиз.нови активи'!$B$61:$B$108,$B52,'11.1.Амортиз.нови активи'!AQ$61:AQ$108))</f>
        <v>2</v>
      </c>
      <c r="W52" s="1110">
        <f>$S52-SUMIF('11.2. ДА за периода'!$B$61:$B$108,$B52,'11.2. ДА за периода'!$S$61:$S$108)+SUMIF('11.2. ДА за периода'!$B$61:$B$108,$B52,'11.2. ДА за периода'!W$61:W$108)+SUMIF('11.1.Амортиз.нови активи'!$B$61:$B$108,$B52,'11.1.Амортиз.нови активи'!W$61:W$108)+('11.1.Амортиз.нови активи'!I$112*SUMIF('11.1.Амортиз.нови активи'!$B$61:$B$108,$B52,'11.1.Амортиз.нови активи'!AR$61:AR$108))</f>
        <v>2</v>
      </c>
      <c r="X52" s="1110">
        <f>$S52-SUMIF('11.2. ДА за периода'!$B$61:$B$108,$B52,'11.2. ДА за периода'!$S$61:$S$108)+SUMIF('11.2. ДА за периода'!$B$61:$B$108,$B52,'11.2. ДА за периода'!X$61:X$108)+SUMIF('11.1.Амортиз.нови активи'!$B$61:$B$108,$B52,'11.1.Амортиз.нови активи'!X$61:X$108)+('11.1.Амортиз.нови активи'!J$112*SUMIF('11.1.Амортиз.нови активи'!$B$61:$B$108,$B52,'11.1.Амортиз.нови активи'!AS$61:AS$108))</f>
        <v>2</v>
      </c>
      <c r="Y52" s="2618">
        <f>$S52-SUMIF('11.2. ДА за периода'!$B$61:$B$108,$B52,'11.2. ДА за периода'!$S$61:$S$108)+SUMIF('11.2. ДА за периода'!$B$61:$B$108,$B52,'11.2. ДА за периода'!Y$61:Y$108)+SUMIF('11.1.Амортиз.нови активи'!$B$61:$B$108,$B52,'11.1.Амортиз.нови активи'!Y$61:Y$108)+('11.1.Амортиз.нови активи'!K$112*SUMIF('11.1.Амортиз.нови активи'!$B$61:$B$108,$B52,'11.1.Амортиз.нови активи'!AT$61:AT$108))</f>
        <v>2</v>
      </c>
      <c r="Z52" s="4387">
        <f>+'11.3. ДА Базова година'!R57</f>
        <v>0</v>
      </c>
      <c r="AA52" s="2617">
        <f>$Z52-SUMIF('11.2. ДА за периода'!$B$61:$B$108,$B52,'11.2. ДА за периода'!$Z$61:$Z$108)+SUMIF('11.2. ДА за периода'!$B$61:$B$108,$B52,'11.2. ДА за периода'!AA$61:AA$108)+SUMIF('11.1.Амортиз.нови активи'!$B$61:$B$108,$B52,'11.1.Амортиз.нови активи'!AA$61:AA$108)</f>
        <v>0</v>
      </c>
      <c r="AB52" s="1110">
        <f>$Z52-SUMIF('11.2. ДА за периода'!$B$61:$B$108,$B52,'11.2. ДА за периода'!$Z$61:$Z$108)+SUMIF('11.2. ДА за периода'!$B$61:$B$108,$B52,'11.2. ДА за периода'!AB$61:AB$108)+SUMIF('11.1.Амортиз.нови активи'!$B$61:$B$108,$B52,'11.1.Амортиз.нови активи'!AB$61:AB$108)</f>
        <v>0</v>
      </c>
      <c r="AC52" s="1110">
        <f>$Z52-SUMIF('11.2. ДА за периода'!$B$61:$B$108,$B52,'11.2. ДА за периода'!$Z$61:$Z$108)+SUMIF('11.2. ДА за периода'!$B$61:$B$108,$B52,'11.2. ДА за периода'!AC$61:AC$108)+SUMIF('11.1.Амортиз.нови активи'!$B$61:$B$108,$B52,'11.1.Амортиз.нови активи'!AC$61:AC$108)</f>
        <v>0</v>
      </c>
      <c r="AD52" s="1110">
        <f>$Z52-SUMIF('11.2. ДА за периода'!$B$61:$B$108,$B52,'11.2. ДА за периода'!$Z$61:$Z$108)+SUMIF('11.2. ДА за периода'!$B$61:$B$108,$B52,'11.2. ДА за периода'!AD$61:AD$108)+SUMIF('11.1.Амортиз.нови активи'!$B$61:$B$108,$B52,'11.1.Амортиз.нови активи'!AD$61:AD$108)</f>
        <v>0</v>
      </c>
      <c r="AE52" s="1110">
        <f>$Z52-SUMIF('11.2. ДА за периода'!$B$61:$B$108,$B52,'11.2. ДА за периода'!$Z$61:$Z$108)+SUMIF('11.2. ДА за периода'!$B$61:$B$108,$B52,'11.2. ДА за периода'!AE$61:AE$108)+SUMIF('11.1.Амортиз.нови активи'!$B$61:$B$108,$B52,'11.1.Амортиз.нови активи'!AE$61:AE$108)</f>
        <v>0</v>
      </c>
      <c r="AF52" s="2618">
        <f>$Z52-SUMIF('11.2. ДА за периода'!$B$61:$B$108,$B52,'11.2. ДА за периода'!$Z$61:$Z$108)+SUMIF('11.2. ДА за периода'!$B$61:$B$108,$B52,'11.2. ДА за периода'!AF$61:AF$108)+SUMIF('11.1.Амортиз.нови активи'!$B$61:$B$108,$B52,'11.1.Амортиз.нови активи'!AF$61:AF$108)</f>
        <v>0</v>
      </c>
      <c r="AG52" s="2641">
        <f>+'11.3. ДА Базова година'!V57</f>
        <v>0</v>
      </c>
      <c r="AH52" s="2617">
        <f>$AG52-SUMIF('11.2. ДА за периода'!$B$61:$B$108,$B52,'11.2. ДА за периода'!$AG$61:$AG$108)+SUMIF('11.2. ДА за периода'!$B$61:$B$108,$B52,'11.2. ДА за периода'!AH$61:AH$108)+SUMIF('11.1.Амортиз.нови активи'!$B$61:$B$108,$B52,'11.1.Амортиз.нови активи'!AH$61:AH$108)+('11.1.Амортиз.нови активи'!T$112*SUMIF('11.1.Амортиз.нови активи'!$B$61:$B$108,$B52,'11.1.Амортиз.нови активи'!BB$61:BB$108))</f>
        <v>0</v>
      </c>
      <c r="AI52" s="1110">
        <f>$AG52-SUMIF('11.2. ДА за периода'!$B$61:$B$108,$B52,'11.2. ДА за периода'!$AG$61:$AG$108)+SUMIF('11.2. ДА за периода'!$B$61:$B$108,$B52,'11.2. ДА за периода'!AI$61:AI$108)+SUMIF('11.1.Амортиз.нови активи'!$B$61:$B$108,$B52,'11.1.Амортиз.нови активи'!AI$61:AI$108)+('11.1.Амортиз.нови активи'!U$112*SUMIF('11.1.Амортиз.нови активи'!$B$61:$B$108,$B52,'11.1.Амортиз.нови активи'!BC$61:BC$108))</f>
        <v>0</v>
      </c>
      <c r="AJ52" s="1110">
        <f>$AG52-SUMIF('11.2. ДА за периода'!$B$61:$B$108,$B52,'11.2. ДА за периода'!$AG$61:$AG$108)+SUMIF('11.2. ДА за периода'!$B$61:$B$108,$B52,'11.2. ДА за периода'!AJ$61:AJ$108)+SUMIF('11.1.Амортиз.нови активи'!$B$61:$B$108,$B52,'11.1.Амортиз.нови активи'!AJ$61:AJ$108)+('11.1.Амортиз.нови активи'!V$112*SUMIF('11.1.Амортиз.нови активи'!$B$61:$B$108,$B52,'11.1.Амортиз.нови активи'!BD$61:BD$108))</f>
        <v>0</v>
      </c>
      <c r="AK52" s="1110">
        <f>$AG52-SUMIF('11.2. ДА за периода'!$B$61:$B$108,$B52,'11.2. ДА за периода'!$AG$61:$AG$108)+SUMIF('11.2. ДА за периода'!$B$61:$B$108,$B52,'11.2. ДА за периода'!AK$61:AK$108)+SUMIF('11.1.Амортиз.нови активи'!$B$61:$B$108,$B52,'11.1.Амортиз.нови активи'!AK$61:AK$108)+('11.1.Амортиз.нови активи'!W$112*SUMIF('11.1.Амортиз.нови активи'!$B$61:$B$108,$B52,'11.1.Амортиз.нови активи'!BE$61:BE$108))</f>
        <v>0</v>
      </c>
      <c r="AL52" s="1110">
        <f>$AG52-SUMIF('11.2. ДА за периода'!$B$61:$B$108,$B52,'11.2. ДА за периода'!$AG$61:$AG$108)+SUMIF('11.2. ДА за периода'!$B$61:$B$108,$B52,'11.2. ДА за периода'!AL$61:AL$108)+SUMIF('11.1.Амортиз.нови активи'!$B$61:$B$108,$B52,'11.1.Амортиз.нови активи'!AL$61:AL$108)+('11.1.Амортиз.нови активи'!X$112*SUMIF('11.1.Амортиз.нови активи'!$B$61:$B$108,$B52,'11.1.Амортиз.нови активи'!BF$61:BF$108))</f>
        <v>0</v>
      </c>
      <c r="AM52" s="2618">
        <f>$AG52-SUMIF('11.2. ДА за периода'!$B$61:$B$108,$B52,'11.2. ДА за периода'!$AG$61:$AG$108)+SUMIF('11.2. ДА за периода'!$B$61:$B$108,$B52,'11.2. ДА за периода'!AM$61:AM$108)+SUMIF('11.1.Амортиз.нови активи'!$B$61:$B$108,$B52,'11.1.Амортиз.нови активи'!AM$61:AM$108)+('11.1.Амортиз.нови активи'!Y$112*SUMIF('11.1.Амортиз.нови активи'!$B$61:$B$108,$B52,'11.1.Амортиз.нови активи'!BG$61:BG$108))</f>
        <v>0</v>
      </c>
      <c r="AN52" s="2513"/>
      <c r="AO52" s="2551"/>
      <c r="AP52" s="4422"/>
      <c r="AQ52" s="4438">
        <f t="shared" si="31"/>
        <v>0.51129188119621849</v>
      </c>
      <c r="AR52" s="4438">
        <f t="shared" si="32"/>
        <v>-1.5338756435886556</v>
      </c>
      <c r="AS52" s="4438">
        <f t="shared" si="33"/>
        <v>-1.5338756435886556</v>
      </c>
      <c r="AT52" s="4438">
        <f t="shared" si="34"/>
        <v>-1.5338756435886556</v>
      </c>
      <c r="AU52" s="4438">
        <f t="shared" si="35"/>
        <v>-1.5338756435886556</v>
      </c>
      <c r="AV52" s="4438">
        <f t="shared" si="36"/>
        <v>-1.5338756435886556</v>
      </c>
      <c r="AW52" s="4438">
        <f t="shared" si="37"/>
        <v>-1.5338756435886556</v>
      </c>
      <c r="AX52" s="4438">
        <f t="shared" si="38"/>
        <v>0.51129188119621849</v>
      </c>
      <c r="AY52" s="4438">
        <f t="shared" si="39"/>
        <v>0.51129188119621849</v>
      </c>
      <c r="AZ52" s="4438">
        <f t="shared" si="40"/>
        <v>0.51129188119621849</v>
      </c>
      <c r="BA52" s="4438">
        <f t="shared" si="41"/>
        <v>0.51129188119621849</v>
      </c>
      <c r="BB52" s="4438">
        <f t="shared" si="42"/>
        <v>0.51129188119621849</v>
      </c>
      <c r="BC52" s="4438">
        <f t="shared" si="43"/>
        <v>0.51129188119621849</v>
      </c>
      <c r="BD52" s="4438">
        <f t="shared" si="44"/>
        <v>0.51129188119621849</v>
      </c>
      <c r="BE52" s="4438">
        <f t="shared" si="45"/>
        <v>1.022583762392437</v>
      </c>
      <c r="BF52" s="4438">
        <f t="shared" si="46"/>
        <v>1.022583762392437</v>
      </c>
      <c r="BG52" s="4438">
        <f t="shared" si="47"/>
        <v>1.022583762392437</v>
      </c>
      <c r="BH52" s="4438">
        <f t="shared" si="48"/>
        <v>1.022583762392437</v>
      </c>
      <c r="BI52" s="4438">
        <f t="shared" si="49"/>
        <v>1.022583762392437</v>
      </c>
      <c r="BJ52" s="4438">
        <f t="shared" si="50"/>
        <v>1.022583762392437</v>
      </c>
      <c r="BK52" s="4438">
        <f t="shared" si="51"/>
        <v>1.022583762392437</v>
      </c>
      <c r="BL52" s="4438">
        <f t="shared" si="52"/>
        <v>0</v>
      </c>
      <c r="BM52" s="4438">
        <f t="shared" si="53"/>
        <v>0</v>
      </c>
      <c r="BN52" s="4438">
        <f t="shared" si="54"/>
        <v>0</v>
      </c>
      <c r="BO52" s="4438">
        <f t="shared" si="55"/>
        <v>0</v>
      </c>
      <c r="BP52" s="4438">
        <f t="shared" si="56"/>
        <v>0</v>
      </c>
      <c r="BQ52" s="4438">
        <f t="shared" si="57"/>
        <v>0</v>
      </c>
      <c r="BR52" s="4438">
        <f t="shared" si="58"/>
        <v>0</v>
      </c>
      <c r="BS52" s="4438">
        <f t="shared" si="59"/>
        <v>0</v>
      </c>
      <c r="BT52" s="4438">
        <f t="shared" si="60"/>
        <v>0</v>
      </c>
      <c r="BU52" s="4438">
        <f t="shared" si="61"/>
        <v>0</v>
      </c>
      <c r="BV52" s="4438">
        <f t="shared" si="62"/>
        <v>0</v>
      </c>
      <c r="BW52" s="4438">
        <f t="shared" si="63"/>
        <v>0</v>
      </c>
      <c r="BX52" s="4438">
        <f t="shared" si="64"/>
        <v>0</v>
      </c>
      <c r="BY52" s="4438">
        <f t="shared" si="65"/>
        <v>0</v>
      </c>
    </row>
    <row r="53" spans="1:77">
      <c r="A53" s="2531">
        <v>10</v>
      </c>
      <c r="B53" s="2530">
        <v>209</v>
      </c>
      <c r="C53" s="2511">
        <v>0.1</v>
      </c>
      <c r="D53" s="2552" t="s">
        <v>213</v>
      </c>
      <c r="E53" s="2641">
        <f>+'11.3. ДА Базова година'!F58</f>
        <v>0</v>
      </c>
      <c r="F53" s="2617">
        <f>$E53-SUMIF('11.2. ДА за периода'!$B$61:$B$108,$B53,'11.2. ДА за периода'!$E$61:$E$108)+SUMIF('11.2. ДА за периода'!$B$61:$B$108,$B53,'11.2. ДА за периода'!F$61:F$108)+SUMIF('11.1.Амортиз.нови активи'!$B$61:$B$108,$B53,'11.1.Амортиз.нови активи'!F$61:F$108)+('11.1.Амортиз.нови активи'!F$110*SUMIF('11.1.Амортиз.нови активи'!$B$61:$B$108,$B53,'11.1.Амортиз.нови активи'!AO$61:AO$108))</f>
        <v>0</v>
      </c>
      <c r="G53" s="1110">
        <f>$E53-SUMIF('11.2. ДА за периода'!$B$61:$B$108,$B53,'11.2. ДА за периода'!$E$61:$E$108)+SUMIF('11.2. ДА за периода'!$B$61:$B$108,$B53,'11.2. ДА за периода'!G$61:G$108)+SUMIF('11.1.Амортиз.нови активи'!$B$61:$B$108,$B53,'11.1.Амортиз.нови активи'!G$61:G$108)+('11.1.Амортиз.нови активи'!G$110*SUMIF('11.1.Амортиз.нови активи'!$B$61:$B$108,$B53,'11.1.Амортиз.нови активи'!AP$61:AP$108))</f>
        <v>-0.2</v>
      </c>
      <c r="H53" s="1110">
        <f>$E53-SUMIF('11.2. ДА за периода'!$B$61:$B$108,$B53,'11.2. ДА за периода'!$E$61:$E$108)+SUMIF('11.2. ДА за периода'!$B$61:$B$108,$B53,'11.2. ДА за периода'!H$61:H$108)+SUMIF('11.1.Амортиз.нови активи'!$B$61:$B$108,$B53,'11.1.Амортиз.нови активи'!H$61:H$108)+('11.1.Амортиз.нови активи'!H$110*SUMIF('11.1.Амортиз.нови активи'!$B$61:$B$108,$B53,'11.1.Амортиз.нови активи'!AQ$61:AQ$108))</f>
        <v>-0.2</v>
      </c>
      <c r="I53" s="1110">
        <f>$E53-SUMIF('11.2. ДА за периода'!$B$61:$B$108,$B53,'11.2. ДА за периода'!$E$61:$E$108)+SUMIF('11.2. ДА за периода'!$B$61:$B$108,$B53,'11.2. ДА за периода'!I$61:I$108)+SUMIF('11.1.Амортиз.нови активи'!$B$61:$B$108,$B53,'11.1.Амортиз.нови активи'!I$61:I$108)+('11.1.Амортиз.нови активи'!I$110*SUMIF('11.1.Амортиз.нови активи'!$B$61:$B$108,$B53,'11.1.Амортиз.нови активи'!AR$61:AR$108))</f>
        <v>-0.2</v>
      </c>
      <c r="J53" s="1110">
        <f>$E53-SUMIF('11.2. ДА за периода'!$B$61:$B$108,$B53,'11.2. ДА за периода'!$E$61:$E$108)+SUMIF('11.2. ДА за периода'!$B$61:$B$108,$B53,'11.2. ДА за периода'!J$61:J$108)+SUMIF('11.1.Амортиз.нови активи'!$B$61:$B$108,$B53,'11.1.Амортиз.нови активи'!J$61:J$108)+('11.1.Амортиз.нови активи'!J$110*SUMIF('11.1.Амортиз.нови активи'!$B$61:$B$108,$B53,'11.1.Амортиз.нови активи'!AS$61:AS$108))</f>
        <v>-0.2</v>
      </c>
      <c r="K53" s="2618">
        <f>$E53-SUMIF('11.2. ДА за периода'!$B$61:$B$108,$B53,'11.2. ДА за периода'!$E$61:$E$108)+SUMIF('11.2. ДА за периода'!$B$61:$B$108,$B53,'11.2. ДА за периода'!K$61:K$108)+SUMIF('11.1.Амортиз.нови активи'!$B$61:$B$108,$B53,'11.1.Амортиз.нови активи'!K$61:K$108)+('11.1.Амортиз.нови активи'!K$110*SUMIF('11.1.Амортиз.нови активи'!$B$61:$B$108,$B53,'11.1.Амортиз.нови активи'!AT$61:AT$108))</f>
        <v>-0.2</v>
      </c>
      <c r="L53" s="2641">
        <f>+'11.3. ДА Базова година'!J58</f>
        <v>0</v>
      </c>
      <c r="M53" s="2617">
        <f>$L53-SUMIF('11.2. ДА за периода'!$B$61:$B$108,$B53,'11.2. ДА за периода'!$L$61:$L$108)+SUMIF('11.2. ДА за периода'!$B$61:$B$108,$B53,'11.2. ДА за периода'!M$61:M$108)+SUMIF('11.1.Амортиз.нови активи'!$B$61:$B$108,$B53,'11.1.Амортиз.нови активи'!M$61:M$108)+('11.1.Амортиз.нови активи'!F$111*SUMIF('11.1.Амортиз.нови активи'!$B$61:$B$108,$B53,'11.1.Амортиз.нови активи'!AO$61:AO$108))</f>
        <v>0</v>
      </c>
      <c r="N53" s="1110">
        <f>$L53-SUMIF('11.2. ДА за периода'!$B$61:$B$108,$B53,'11.2. ДА за периода'!$L$61:$L$108)+SUMIF('11.2. ДА за периода'!$B$61:$B$108,$B53,'11.2. ДА за периода'!N$61:N$108)+SUMIF('11.1.Амортиз.нови активи'!$B$61:$B$108,$B53,'11.1.Амортиз.нови активи'!N$61:N$108)+('11.1.Амортиз.нови активи'!G$111*SUMIF('11.1.Амортиз.нови активи'!$B$61:$B$108,$B53,'11.1.Амортиз.нови активи'!AP$61:AP$108))</f>
        <v>0</v>
      </c>
      <c r="O53" s="1110">
        <f>$L53-SUMIF('11.2. ДА за периода'!$B$61:$B$108,$B53,'11.2. ДА за периода'!$L$61:$L$108)+SUMIF('11.2. ДА за периода'!$B$61:$B$108,$B53,'11.2. ДА за периода'!O$61:O$108)+SUMIF('11.1.Амортиз.нови активи'!$B$61:$B$108,$B53,'11.1.Амортиз.нови активи'!O$61:O$108)+('11.1.Амортиз.нови активи'!H$111*SUMIF('11.1.Амортиз.нови активи'!$B$61:$B$108,$B53,'11.1.Амортиз.нови активи'!AQ$61:AQ$108))</f>
        <v>0</v>
      </c>
      <c r="P53" s="1110">
        <f>$L53-SUMIF('11.2. ДА за периода'!$B$61:$B$108,$B53,'11.2. ДА за периода'!$L$61:$L$108)+SUMIF('11.2. ДА за периода'!$B$61:$B$108,$B53,'11.2. ДА за периода'!P$61:P$108)+SUMIF('11.1.Амортиз.нови активи'!$B$61:$B$108,$B53,'11.1.Амортиз.нови активи'!P$61:P$108)+('11.1.Амортиз.нови активи'!I$111*SUMIF('11.1.Амортиз.нови активи'!$B$61:$B$108,$B53,'11.1.Амортиз.нови активи'!AR$61:AR$108))</f>
        <v>0</v>
      </c>
      <c r="Q53" s="1110">
        <f>$L53-SUMIF('11.2. ДА за периода'!$B$61:$B$108,$B53,'11.2. ДА за периода'!$L$61:$L$108)+SUMIF('11.2. ДА за периода'!$B$61:$B$108,$B53,'11.2. ДА за периода'!Q$61:Q$108)+SUMIF('11.1.Амортиз.нови активи'!$B$61:$B$108,$B53,'11.1.Амортиз.нови активи'!Q$61:Q$108)+('11.1.Амортиз.нови активи'!J$111*SUMIF('11.1.Амортиз.нови активи'!$B$61:$B$108,$B53,'11.1.Амортиз.нови активи'!AS$61:AS$108))</f>
        <v>0</v>
      </c>
      <c r="R53" s="2618">
        <f>$L53-SUMIF('11.2. ДА за периода'!$B$61:$B$108,$B53,'11.2. ДА за периода'!$L$61:$L$108)+SUMIF('11.2. ДА за периода'!$B$61:$B$108,$B53,'11.2. ДА за периода'!R$61:R$108)+SUMIF('11.1.Амортиз.нови активи'!$B$61:$B$108,$B53,'11.1.Амортиз.нови активи'!R$61:R$108)+('11.1.Амортиз.нови активи'!K$111*SUMIF('11.1.Амортиз.нови активи'!$B$61:$B$108,$B53,'11.1.Амортиз.нови активи'!AT$61:AT$108))</f>
        <v>0</v>
      </c>
      <c r="S53" s="2641">
        <f>+'11.3. ДА Базова година'!N58</f>
        <v>0</v>
      </c>
      <c r="T53" s="2617">
        <f>$S53-SUMIF('11.2. ДА за периода'!$B$61:$B$108,$B53,'11.2. ДА за периода'!$S$61:$S$108)+SUMIF('11.2. ДА за периода'!$B$61:$B$108,$B53,'11.2. ДА за периода'!T$61:T$108)+SUMIF('11.1.Амортиз.нови активи'!$B$61:$B$108,$B53,'11.1.Амортиз.нови активи'!T$61:T$108)+('11.1.Амортиз.нови активи'!F$112*SUMIF('11.1.Амортиз.нови активи'!$B$61:$B$108,$B53,'11.1.Амортиз.нови активи'!AO$61:AO$108))</f>
        <v>0</v>
      </c>
      <c r="U53" s="1110">
        <f>$S53-SUMIF('11.2. ДА за периода'!$B$61:$B$108,$B53,'11.2. ДА за периода'!$S$61:$S$108)+SUMIF('11.2. ДА за периода'!$B$61:$B$108,$B53,'11.2. ДА за периода'!U$61:U$108)+SUMIF('11.1.Амортиз.нови активи'!$B$61:$B$108,$B53,'11.1.Амортиз.нови активи'!U$61:U$108)+('11.1.Амортиз.нови активи'!G$112*SUMIF('11.1.Амортиз.нови активи'!$B$61:$B$108,$B53,'11.1.Амортиз.нови активи'!AP$61:AP$108))</f>
        <v>0</v>
      </c>
      <c r="V53" s="1110">
        <f>$S53-SUMIF('11.2. ДА за периода'!$B$61:$B$108,$B53,'11.2. ДА за периода'!$S$61:$S$108)+SUMIF('11.2. ДА за периода'!$B$61:$B$108,$B53,'11.2. ДА за периода'!V$61:V$108)+SUMIF('11.1.Амортиз.нови активи'!$B$61:$B$108,$B53,'11.1.Амортиз.нови активи'!V$61:V$108)+('11.1.Амортиз.нови активи'!H$112*SUMIF('11.1.Амортиз.нови активи'!$B$61:$B$108,$B53,'11.1.Амортиз.нови активи'!AQ$61:AQ$108))</f>
        <v>0</v>
      </c>
      <c r="W53" s="1110">
        <f>$S53-SUMIF('11.2. ДА за периода'!$B$61:$B$108,$B53,'11.2. ДА за периода'!$S$61:$S$108)+SUMIF('11.2. ДА за периода'!$B$61:$B$108,$B53,'11.2. ДА за периода'!W$61:W$108)+SUMIF('11.1.Амортиз.нови активи'!$B$61:$B$108,$B53,'11.1.Амортиз.нови активи'!W$61:W$108)+('11.1.Амортиз.нови активи'!I$112*SUMIF('11.1.Амортиз.нови активи'!$B$61:$B$108,$B53,'11.1.Амортиз.нови активи'!AR$61:AR$108))</f>
        <v>0</v>
      </c>
      <c r="X53" s="1110">
        <f>$S53-SUMIF('11.2. ДА за периода'!$B$61:$B$108,$B53,'11.2. ДА за периода'!$S$61:$S$108)+SUMIF('11.2. ДА за периода'!$B$61:$B$108,$B53,'11.2. ДА за периода'!X$61:X$108)+SUMIF('11.1.Амортиз.нови активи'!$B$61:$B$108,$B53,'11.1.Амортиз.нови активи'!X$61:X$108)+('11.1.Амортиз.нови активи'!J$112*SUMIF('11.1.Амортиз.нови активи'!$B$61:$B$108,$B53,'11.1.Амортиз.нови активи'!AS$61:AS$108))</f>
        <v>0</v>
      </c>
      <c r="Y53" s="2618">
        <f>$S53-SUMIF('11.2. ДА за периода'!$B$61:$B$108,$B53,'11.2. ДА за периода'!$S$61:$S$108)+SUMIF('11.2. ДА за периода'!$B$61:$B$108,$B53,'11.2. ДА за периода'!Y$61:Y$108)+SUMIF('11.1.Амортиз.нови активи'!$B$61:$B$108,$B53,'11.1.Амортиз.нови активи'!Y$61:Y$108)+('11.1.Амортиз.нови активи'!K$112*SUMIF('11.1.Амортиз.нови активи'!$B$61:$B$108,$B53,'11.1.Амортиз.нови активи'!AT$61:AT$108))</f>
        <v>0</v>
      </c>
      <c r="Z53" s="4387">
        <f>+'11.3. ДА Базова година'!R58</f>
        <v>0</v>
      </c>
      <c r="AA53" s="2617">
        <f>$Z53-SUMIF('11.2. ДА за периода'!$B$61:$B$108,$B53,'11.2. ДА за периода'!$Z$61:$Z$108)+SUMIF('11.2. ДА за периода'!$B$61:$B$108,$B53,'11.2. ДА за периода'!AA$61:AA$108)+SUMIF('11.1.Амортиз.нови активи'!$B$61:$B$108,$B53,'11.1.Амортиз.нови активи'!AA$61:AA$108)</f>
        <v>0</v>
      </c>
      <c r="AB53" s="1110">
        <f>$Z53-SUMIF('11.2. ДА за периода'!$B$61:$B$108,$B53,'11.2. ДА за периода'!$Z$61:$Z$108)+SUMIF('11.2. ДА за периода'!$B$61:$B$108,$B53,'11.2. ДА за периода'!AB$61:AB$108)+SUMIF('11.1.Амортиз.нови активи'!$B$61:$B$108,$B53,'11.1.Амортиз.нови активи'!AB$61:AB$108)</f>
        <v>0</v>
      </c>
      <c r="AC53" s="1110">
        <f>$Z53-SUMIF('11.2. ДА за периода'!$B$61:$B$108,$B53,'11.2. ДА за периода'!$Z$61:$Z$108)+SUMIF('11.2. ДА за периода'!$B$61:$B$108,$B53,'11.2. ДА за периода'!AC$61:AC$108)+SUMIF('11.1.Амортиз.нови активи'!$B$61:$B$108,$B53,'11.1.Амортиз.нови активи'!AC$61:AC$108)</f>
        <v>0</v>
      </c>
      <c r="AD53" s="1110">
        <f>$Z53-SUMIF('11.2. ДА за периода'!$B$61:$B$108,$B53,'11.2. ДА за периода'!$Z$61:$Z$108)+SUMIF('11.2. ДА за периода'!$B$61:$B$108,$B53,'11.2. ДА за периода'!AD$61:AD$108)+SUMIF('11.1.Амортиз.нови активи'!$B$61:$B$108,$B53,'11.1.Амортиз.нови активи'!AD$61:AD$108)</f>
        <v>0</v>
      </c>
      <c r="AE53" s="1110">
        <f>$Z53-SUMIF('11.2. ДА за периода'!$B$61:$B$108,$B53,'11.2. ДА за периода'!$Z$61:$Z$108)+SUMIF('11.2. ДА за периода'!$B$61:$B$108,$B53,'11.2. ДА за периода'!AE$61:AE$108)+SUMIF('11.1.Амортиз.нови активи'!$B$61:$B$108,$B53,'11.1.Амортиз.нови активи'!AE$61:AE$108)</f>
        <v>0</v>
      </c>
      <c r="AF53" s="2618">
        <f>$Z53-SUMIF('11.2. ДА за периода'!$B$61:$B$108,$B53,'11.2. ДА за периода'!$Z$61:$Z$108)+SUMIF('11.2. ДА за периода'!$B$61:$B$108,$B53,'11.2. ДА за периода'!AF$61:AF$108)+SUMIF('11.1.Амортиз.нови активи'!$B$61:$B$108,$B53,'11.1.Амортиз.нови активи'!AF$61:AF$108)</f>
        <v>0</v>
      </c>
      <c r="AG53" s="2641">
        <f>+'11.3. ДА Базова година'!V58</f>
        <v>0</v>
      </c>
      <c r="AH53" s="2617">
        <f>$AG53-SUMIF('11.2. ДА за периода'!$B$61:$B$108,$B53,'11.2. ДА за периода'!$AG$61:$AG$108)+SUMIF('11.2. ДА за периода'!$B$61:$B$108,$B53,'11.2. ДА за периода'!AH$61:AH$108)+SUMIF('11.1.Амортиз.нови активи'!$B$61:$B$108,$B53,'11.1.Амортиз.нови активи'!AH$61:AH$108)+('11.1.Амортиз.нови активи'!T$112*SUMIF('11.1.Амортиз.нови активи'!$B$61:$B$108,$B53,'11.1.Амортиз.нови активи'!BB$61:BB$108))</f>
        <v>0</v>
      </c>
      <c r="AI53" s="1110">
        <f>$AG53-SUMIF('11.2. ДА за периода'!$B$61:$B$108,$B53,'11.2. ДА за периода'!$AG$61:$AG$108)+SUMIF('11.2. ДА за периода'!$B$61:$B$108,$B53,'11.2. ДА за периода'!AI$61:AI$108)+SUMIF('11.1.Амортиз.нови активи'!$B$61:$B$108,$B53,'11.1.Амортиз.нови активи'!AI$61:AI$108)+('11.1.Амортиз.нови активи'!U$112*SUMIF('11.1.Амортиз.нови активи'!$B$61:$B$108,$B53,'11.1.Амортиз.нови активи'!BC$61:BC$108))</f>
        <v>0</v>
      </c>
      <c r="AJ53" s="1110">
        <f>$AG53-SUMIF('11.2. ДА за периода'!$B$61:$B$108,$B53,'11.2. ДА за периода'!$AG$61:$AG$108)+SUMIF('11.2. ДА за периода'!$B$61:$B$108,$B53,'11.2. ДА за периода'!AJ$61:AJ$108)+SUMIF('11.1.Амортиз.нови активи'!$B$61:$B$108,$B53,'11.1.Амортиз.нови активи'!AJ$61:AJ$108)+('11.1.Амортиз.нови активи'!V$112*SUMIF('11.1.Амортиз.нови активи'!$B$61:$B$108,$B53,'11.1.Амортиз.нови активи'!BD$61:BD$108))</f>
        <v>0</v>
      </c>
      <c r="AK53" s="1110">
        <f>$AG53-SUMIF('11.2. ДА за периода'!$B$61:$B$108,$B53,'11.2. ДА за периода'!$AG$61:$AG$108)+SUMIF('11.2. ДА за периода'!$B$61:$B$108,$B53,'11.2. ДА за периода'!AK$61:AK$108)+SUMIF('11.1.Амортиз.нови активи'!$B$61:$B$108,$B53,'11.1.Амортиз.нови активи'!AK$61:AK$108)+('11.1.Амортиз.нови активи'!W$112*SUMIF('11.1.Амортиз.нови активи'!$B$61:$B$108,$B53,'11.1.Амортиз.нови активи'!BE$61:BE$108))</f>
        <v>0</v>
      </c>
      <c r="AL53" s="1110">
        <f>$AG53-SUMIF('11.2. ДА за периода'!$B$61:$B$108,$B53,'11.2. ДА за периода'!$AG$61:$AG$108)+SUMIF('11.2. ДА за периода'!$B$61:$B$108,$B53,'11.2. ДА за периода'!AL$61:AL$108)+SUMIF('11.1.Амортиз.нови активи'!$B$61:$B$108,$B53,'11.1.Амортиз.нови активи'!AL$61:AL$108)+('11.1.Амортиз.нови активи'!X$112*SUMIF('11.1.Амортиз.нови активи'!$B$61:$B$108,$B53,'11.1.Амортиз.нови активи'!BF$61:BF$108))</f>
        <v>0</v>
      </c>
      <c r="AM53" s="2618">
        <f>$AG53-SUMIF('11.2. ДА за периода'!$B$61:$B$108,$B53,'11.2. ДА за периода'!$AG$61:$AG$108)+SUMIF('11.2. ДА за периода'!$B$61:$B$108,$B53,'11.2. ДА за периода'!AM$61:AM$108)+SUMIF('11.1.Амортиз.нови активи'!$B$61:$B$108,$B53,'11.1.Амортиз.нови активи'!AM$61:AM$108)+('11.1.Амортиз.нови активи'!Y$112*SUMIF('11.1.Амортиз.нови активи'!$B$61:$B$108,$B53,'11.1.Амортиз.нови активи'!BG$61:BG$108))</f>
        <v>0</v>
      </c>
      <c r="AN53" s="2513"/>
      <c r="AO53" s="2551"/>
      <c r="AP53" s="4422"/>
      <c r="AQ53" s="4438">
        <f t="shared" si="31"/>
        <v>0</v>
      </c>
      <c r="AR53" s="4438">
        <f t="shared" si="32"/>
        <v>0</v>
      </c>
      <c r="AS53" s="4438">
        <f t="shared" si="33"/>
        <v>-0.10225837623924371</v>
      </c>
      <c r="AT53" s="4438">
        <f t="shared" si="34"/>
        <v>-0.10225837623924371</v>
      </c>
      <c r="AU53" s="4438">
        <f t="shared" si="35"/>
        <v>-0.10225837623924371</v>
      </c>
      <c r="AV53" s="4438">
        <f t="shared" si="36"/>
        <v>-0.10225837623924371</v>
      </c>
      <c r="AW53" s="4438">
        <f t="shared" si="37"/>
        <v>-0.10225837623924371</v>
      </c>
      <c r="AX53" s="4438">
        <f t="shared" si="38"/>
        <v>0</v>
      </c>
      <c r="AY53" s="4438">
        <f t="shared" si="39"/>
        <v>0</v>
      </c>
      <c r="AZ53" s="4438">
        <f t="shared" si="40"/>
        <v>0</v>
      </c>
      <c r="BA53" s="4438">
        <f t="shared" si="41"/>
        <v>0</v>
      </c>
      <c r="BB53" s="4438">
        <f t="shared" si="42"/>
        <v>0</v>
      </c>
      <c r="BC53" s="4438">
        <f t="shared" si="43"/>
        <v>0</v>
      </c>
      <c r="BD53" s="4438">
        <f t="shared" si="44"/>
        <v>0</v>
      </c>
      <c r="BE53" s="4438">
        <f t="shared" si="45"/>
        <v>0</v>
      </c>
      <c r="BF53" s="4438">
        <f t="shared" si="46"/>
        <v>0</v>
      </c>
      <c r="BG53" s="4438">
        <f t="shared" si="47"/>
        <v>0</v>
      </c>
      <c r="BH53" s="4438">
        <f t="shared" si="48"/>
        <v>0</v>
      </c>
      <c r="BI53" s="4438">
        <f t="shared" si="49"/>
        <v>0</v>
      </c>
      <c r="BJ53" s="4438">
        <f t="shared" si="50"/>
        <v>0</v>
      </c>
      <c r="BK53" s="4438">
        <f t="shared" si="51"/>
        <v>0</v>
      </c>
      <c r="BL53" s="4438">
        <f t="shared" si="52"/>
        <v>0</v>
      </c>
      <c r="BM53" s="4438">
        <f t="shared" si="53"/>
        <v>0</v>
      </c>
      <c r="BN53" s="4438">
        <f t="shared" si="54"/>
        <v>0</v>
      </c>
      <c r="BO53" s="4438">
        <f t="shared" si="55"/>
        <v>0</v>
      </c>
      <c r="BP53" s="4438">
        <f t="shared" si="56"/>
        <v>0</v>
      </c>
      <c r="BQ53" s="4438">
        <f t="shared" si="57"/>
        <v>0</v>
      </c>
      <c r="BR53" s="4438">
        <f t="shared" si="58"/>
        <v>0</v>
      </c>
      <c r="BS53" s="4438">
        <f t="shared" si="59"/>
        <v>0</v>
      </c>
      <c r="BT53" s="4438">
        <f t="shared" si="60"/>
        <v>0</v>
      </c>
      <c r="BU53" s="4438">
        <f t="shared" si="61"/>
        <v>0</v>
      </c>
      <c r="BV53" s="4438">
        <f t="shared" si="62"/>
        <v>0</v>
      </c>
      <c r="BW53" s="4438">
        <f t="shared" si="63"/>
        <v>0</v>
      </c>
      <c r="BX53" s="4438">
        <f t="shared" si="64"/>
        <v>0</v>
      </c>
      <c r="BY53" s="4438">
        <f t="shared" si="65"/>
        <v>0</v>
      </c>
    </row>
    <row r="54" spans="1:77" ht="24">
      <c r="A54" s="2531">
        <v>11</v>
      </c>
      <c r="B54" s="2530">
        <v>207</v>
      </c>
      <c r="C54" s="2511" t="s">
        <v>313</v>
      </c>
      <c r="D54" s="2552" t="s">
        <v>414</v>
      </c>
      <c r="E54" s="4387">
        <f>+'11.3. ДА Базова година'!F59</f>
        <v>0</v>
      </c>
      <c r="F54" s="2617">
        <f>$E54-SUMIF('11.2. ДА за периода'!$B$61:$B$108,$B54,'11.2. ДА за периода'!$E$61:$E$108)+SUMIF('11.2. ДА за периода'!$B$61:$B$108,$B54,'11.2. ДА за периода'!F$61:F$108)+SUMIF('11.1.Амортиз.нови активи'!$B$61:$B$108,$B54,'11.1.Амортиз.нови активи'!F$61:F$108)+('11.1.Амортиз.нови активи'!F$110*SUMIF('11.1.Амортиз.нови активи'!$B$61:$B$108,$B54,'11.1.Амортиз.нови активи'!AO$61:AO$108))</f>
        <v>0</v>
      </c>
      <c r="G54" s="1110">
        <f>$E54-SUMIF('11.2. ДА за периода'!$B$61:$B$108,$B54,'11.2. ДА за периода'!$E$61:$E$108)+SUMIF('11.2. ДА за периода'!$B$61:$B$108,$B54,'11.2. ДА за периода'!G$61:G$108)+SUMIF('11.1.Амортиз.нови активи'!$B$61:$B$108,$B54,'11.1.Амортиз.нови активи'!G$61:G$108)+('11.1.Амортиз.нови активи'!G$110*SUMIF('11.1.Амортиз.нови активи'!$B$61:$B$108,$B54,'11.1.Амортиз.нови активи'!AP$61:AP$108))</f>
        <v>0</v>
      </c>
      <c r="H54" s="1110">
        <f>$E54-SUMIF('11.2. ДА за периода'!$B$61:$B$108,$B54,'11.2. ДА за периода'!$E$61:$E$108)+SUMIF('11.2. ДА за периода'!$B$61:$B$108,$B54,'11.2. ДА за периода'!H$61:H$108)+SUMIF('11.1.Амортиз.нови активи'!$B$61:$B$108,$B54,'11.1.Амортиз.нови активи'!H$61:H$108)+('11.1.Амортиз.нови активи'!H$110*SUMIF('11.1.Амортиз.нови активи'!$B$61:$B$108,$B54,'11.1.Амортиз.нови активи'!AQ$61:AQ$108))</f>
        <v>0</v>
      </c>
      <c r="I54" s="1110">
        <f>$E54-SUMIF('11.2. ДА за периода'!$B$61:$B$108,$B54,'11.2. ДА за периода'!$E$61:$E$108)+SUMIF('11.2. ДА за периода'!$B$61:$B$108,$B54,'11.2. ДА за периода'!I$61:I$108)+SUMIF('11.1.Амортиз.нови активи'!$B$61:$B$108,$B54,'11.1.Амортиз.нови активи'!I$61:I$108)+('11.1.Амортиз.нови активи'!I$110*SUMIF('11.1.Амортиз.нови активи'!$B$61:$B$108,$B54,'11.1.Амортиз.нови активи'!AR$61:AR$108))</f>
        <v>0</v>
      </c>
      <c r="J54" s="1110">
        <f>$E54-SUMIF('11.2. ДА за периода'!$B$61:$B$108,$B54,'11.2. ДА за периода'!$E$61:$E$108)+SUMIF('11.2. ДА за периода'!$B$61:$B$108,$B54,'11.2. ДА за периода'!J$61:J$108)+SUMIF('11.1.Амортиз.нови активи'!$B$61:$B$108,$B54,'11.1.Амортиз.нови активи'!J$61:J$108)+('11.1.Амортиз.нови активи'!J$110*SUMIF('11.1.Амортиз.нови активи'!$B$61:$B$108,$B54,'11.1.Амортиз.нови активи'!AS$61:AS$108))</f>
        <v>0</v>
      </c>
      <c r="K54" s="2618">
        <f>$E54-SUMIF('11.2. ДА за периода'!$B$61:$B$108,$B54,'11.2. ДА за периода'!$E$61:$E$108)+SUMIF('11.2. ДА за периода'!$B$61:$B$108,$B54,'11.2. ДА за периода'!K$61:K$108)+SUMIF('11.1.Амортиз.нови активи'!$B$61:$B$108,$B54,'11.1.Амортиз.нови активи'!K$61:K$108)+('11.1.Амортиз.нови активи'!K$110*SUMIF('11.1.Амортиз.нови активи'!$B$61:$B$108,$B54,'11.1.Амортиз.нови активи'!AT$61:AT$108))</f>
        <v>0</v>
      </c>
      <c r="L54" s="4387">
        <f>+'11.3. ДА Базова година'!J59</f>
        <v>0</v>
      </c>
      <c r="M54" s="2617">
        <f>$L54-SUMIF('11.2. ДА за периода'!$B$61:$B$108,$B54,'11.2. ДА за периода'!$L$61:$L$108)+SUMIF('11.2. ДА за периода'!$B$61:$B$108,$B54,'11.2. ДА за периода'!M$61:M$108)+SUMIF('11.1.Амортиз.нови активи'!$B$61:$B$108,$B54,'11.1.Амортиз.нови активи'!M$61:M$108)+('11.1.Амортиз.нови активи'!F$111*SUMIF('11.1.Амортиз.нови активи'!$B$61:$B$108,$B54,'11.1.Амортиз.нови активи'!AO$61:AO$108))</f>
        <v>0</v>
      </c>
      <c r="N54" s="1110">
        <f>$L54-SUMIF('11.2. ДА за периода'!$B$61:$B$108,$B54,'11.2. ДА за периода'!$L$61:$L$108)+SUMIF('11.2. ДА за периода'!$B$61:$B$108,$B54,'11.2. ДА за периода'!N$61:N$108)+SUMIF('11.1.Амортиз.нови активи'!$B$61:$B$108,$B54,'11.1.Амортиз.нови активи'!N$61:N$108)+('11.1.Амортиз.нови активи'!G$111*SUMIF('11.1.Амортиз.нови активи'!$B$61:$B$108,$B54,'11.1.Амортиз.нови активи'!AP$61:AP$108))</f>
        <v>0</v>
      </c>
      <c r="O54" s="1110">
        <f>$L54-SUMIF('11.2. ДА за периода'!$B$61:$B$108,$B54,'11.2. ДА за периода'!$L$61:$L$108)+SUMIF('11.2. ДА за периода'!$B$61:$B$108,$B54,'11.2. ДА за периода'!O$61:O$108)+SUMIF('11.1.Амортиз.нови активи'!$B$61:$B$108,$B54,'11.1.Амортиз.нови активи'!O$61:O$108)+('11.1.Амортиз.нови активи'!H$111*SUMIF('11.1.Амортиз.нови активи'!$B$61:$B$108,$B54,'11.1.Амортиз.нови активи'!AQ$61:AQ$108))</f>
        <v>0</v>
      </c>
      <c r="P54" s="1110">
        <f>$L54-SUMIF('11.2. ДА за периода'!$B$61:$B$108,$B54,'11.2. ДА за периода'!$L$61:$L$108)+SUMIF('11.2. ДА за периода'!$B$61:$B$108,$B54,'11.2. ДА за периода'!P$61:P$108)+SUMIF('11.1.Амортиз.нови активи'!$B$61:$B$108,$B54,'11.1.Амортиз.нови активи'!P$61:P$108)+('11.1.Амортиз.нови активи'!I$111*SUMIF('11.1.Амортиз.нови активи'!$B$61:$B$108,$B54,'11.1.Амортиз.нови активи'!AR$61:AR$108))</f>
        <v>0</v>
      </c>
      <c r="Q54" s="1110">
        <f>$L54-SUMIF('11.2. ДА за периода'!$B$61:$B$108,$B54,'11.2. ДА за периода'!$L$61:$L$108)+SUMIF('11.2. ДА за периода'!$B$61:$B$108,$B54,'11.2. ДА за периода'!Q$61:Q$108)+SUMIF('11.1.Амортиз.нови активи'!$B$61:$B$108,$B54,'11.1.Амортиз.нови активи'!Q$61:Q$108)+('11.1.Амортиз.нови активи'!J$111*SUMIF('11.1.Амортиз.нови активи'!$B$61:$B$108,$B54,'11.1.Амортиз.нови активи'!AS$61:AS$108))</f>
        <v>0</v>
      </c>
      <c r="R54" s="2618">
        <f>$L54-SUMIF('11.2. ДА за периода'!$B$61:$B$108,$B54,'11.2. ДА за периода'!$L$61:$L$108)+SUMIF('11.2. ДА за периода'!$B$61:$B$108,$B54,'11.2. ДА за периода'!R$61:R$108)+SUMIF('11.1.Амортиз.нови активи'!$B$61:$B$108,$B54,'11.1.Амортиз.нови активи'!R$61:R$108)+('11.1.Амортиз.нови активи'!K$111*SUMIF('11.1.Амортиз.нови активи'!$B$61:$B$108,$B54,'11.1.Амортиз.нови активи'!AT$61:AT$108))</f>
        <v>0</v>
      </c>
      <c r="S54" s="4387">
        <f>+'11.3. ДА Базова година'!N59</f>
        <v>0</v>
      </c>
      <c r="T54" s="2617">
        <f>$S54-SUMIF('11.2. ДА за периода'!$B$61:$B$108,$B54,'11.2. ДА за периода'!$S$61:$S$108)+SUMIF('11.2. ДА за периода'!$B$61:$B$108,$B54,'11.2. ДА за периода'!T$61:T$108)+SUMIF('11.1.Амортиз.нови активи'!$B$61:$B$108,$B54,'11.1.Амортиз.нови активи'!T$61:T$108)+('11.1.Амортиз.нови активи'!F$112*SUMIF('11.1.Амортиз.нови активи'!$B$61:$B$108,$B54,'11.1.Амортиз.нови активи'!AO$61:AO$108))</f>
        <v>0</v>
      </c>
      <c r="U54" s="1110">
        <f>$S54-SUMIF('11.2. ДА за периода'!$B$61:$B$108,$B54,'11.2. ДА за периода'!$S$61:$S$108)+SUMIF('11.2. ДА за периода'!$B$61:$B$108,$B54,'11.2. ДА за периода'!U$61:U$108)+SUMIF('11.1.Амортиз.нови активи'!$B$61:$B$108,$B54,'11.1.Амортиз.нови активи'!U$61:U$108)+('11.1.Амортиз.нови активи'!G$112*SUMIF('11.1.Амортиз.нови активи'!$B$61:$B$108,$B54,'11.1.Амортиз.нови активи'!AP$61:AP$108))</f>
        <v>0</v>
      </c>
      <c r="V54" s="1110">
        <f>$S54-SUMIF('11.2. ДА за периода'!$B$61:$B$108,$B54,'11.2. ДА за периода'!$S$61:$S$108)+SUMIF('11.2. ДА за периода'!$B$61:$B$108,$B54,'11.2. ДА за периода'!V$61:V$108)+SUMIF('11.1.Амортиз.нови активи'!$B$61:$B$108,$B54,'11.1.Амортиз.нови активи'!V$61:V$108)+('11.1.Амортиз.нови активи'!H$112*SUMIF('11.1.Амортиз.нови активи'!$B$61:$B$108,$B54,'11.1.Амортиз.нови активи'!AQ$61:AQ$108))</f>
        <v>0</v>
      </c>
      <c r="W54" s="1110">
        <f>$S54-SUMIF('11.2. ДА за периода'!$B$61:$B$108,$B54,'11.2. ДА за периода'!$S$61:$S$108)+SUMIF('11.2. ДА за периода'!$B$61:$B$108,$B54,'11.2. ДА за периода'!W$61:W$108)+SUMIF('11.1.Амортиз.нови активи'!$B$61:$B$108,$B54,'11.1.Амортиз.нови активи'!W$61:W$108)+('11.1.Амортиз.нови активи'!I$112*SUMIF('11.1.Амортиз.нови активи'!$B$61:$B$108,$B54,'11.1.Амортиз.нови активи'!AR$61:AR$108))</f>
        <v>0</v>
      </c>
      <c r="X54" s="1110">
        <f>$S54-SUMIF('11.2. ДА за периода'!$B$61:$B$108,$B54,'11.2. ДА за периода'!$S$61:$S$108)+SUMIF('11.2. ДА за периода'!$B$61:$B$108,$B54,'11.2. ДА за периода'!X$61:X$108)+SUMIF('11.1.Амортиз.нови активи'!$B$61:$B$108,$B54,'11.1.Амортиз.нови активи'!X$61:X$108)+('11.1.Амортиз.нови активи'!J$112*SUMIF('11.1.Амортиз.нови активи'!$B$61:$B$108,$B54,'11.1.Амортиз.нови активи'!AS$61:AS$108))</f>
        <v>0</v>
      </c>
      <c r="Y54" s="2618">
        <f>$S54-SUMIF('11.2. ДА за периода'!$B$61:$B$108,$B54,'11.2. ДА за периода'!$S$61:$S$108)+SUMIF('11.2. ДА за периода'!$B$61:$B$108,$B54,'11.2. ДА за периода'!Y$61:Y$108)+SUMIF('11.1.Амортиз.нови активи'!$B$61:$B$108,$B54,'11.1.Амортиз.нови активи'!Y$61:Y$108)+('11.1.Амортиз.нови активи'!K$112*SUMIF('11.1.Амортиз.нови активи'!$B$61:$B$108,$B54,'11.1.Амортиз.нови активи'!AT$61:AT$108))</f>
        <v>0</v>
      </c>
      <c r="Z54" s="4387">
        <f>+'11.3. ДА Базова година'!R59</f>
        <v>0</v>
      </c>
      <c r="AA54" s="2617">
        <f>$Z54-SUMIF('11.2. ДА за периода'!$B$61:$B$108,$B54,'11.2. ДА за периода'!$Z$61:$Z$108)+SUMIF('11.2. ДА за периода'!$B$61:$B$108,$B54,'11.2. ДА за периода'!AA$61:AA$108)+SUMIF('11.1.Амортиз.нови активи'!$B$61:$B$108,$B54,'11.1.Амортиз.нови активи'!AA$61:AA$108)</f>
        <v>0</v>
      </c>
      <c r="AB54" s="1110">
        <f>$Z54-SUMIF('11.2. ДА за периода'!$B$61:$B$108,$B54,'11.2. ДА за периода'!$Z$61:$Z$108)+SUMIF('11.2. ДА за периода'!$B$61:$B$108,$B54,'11.2. ДА за периода'!AB$61:AB$108)+SUMIF('11.1.Амортиз.нови активи'!$B$61:$B$108,$B54,'11.1.Амортиз.нови активи'!AB$61:AB$108)</f>
        <v>0</v>
      </c>
      <c r="AC54" s="1110">
        <f>$Z54-SUMIF('11.2. ДА за периода'!$B$61:$B$108,$B54,'11.2. ДА за периода'!$Z$61:$Z$108)+SUMIF('11.2. ДА за периода'!$B$61:$B$108,$B54,'11.2. ДА за периода'!AC$61:AC$108)+SUMIF('11.1.Амортиз.нови активи'!$B$61:$B$108,$B54,'11.1.Амортиз.нови активи'!AC$61:AC$108)</f>
        <v>0</v>
      </c>
      <c r="AD54" s="1110">
        <f>$Z54-SUMIF('11.2. ДА за периода'!$B$61:$B$108,$B54,'11.2. ДА за периода'!$Z$61:$Z$108)+SUMIF('11.2. ДА за периода'!$B$61:$B$108,$B54,'11.2. ДА за периода'!AD$61:AD$108)+SUMIF('11.1.Амортиз.нови активи'!$B$61:$B$108,$B54,'11.1.Амортиз.нови активи'!AD$61:AD$108)</f>
        <v>0</v>
      </c>
      <c r="AE54" s="1110">
        <f>$Z54-SUMIF('11.2. ДА за периода'!$B$61:$B$108,$B54,'11.2. ДА за периода'!$Z$61:$Z$108)+SUMIF('11.2. ДА за периода'!$B$61:$B$108,$B54,'11.2. ДА за периода'!AE$61:AE$108)+SUMIF('11.1.Амортиз.нови активи'!$B$61:$B$108,$B54,'11.1.Амортиз.нови активи'!AE$61:AE$108)</f>
        <v>0</v>
      </c>
      <c r="AF54" s="2618">
        <f>$Z54-SUMIF('11.2. ДА за периода'!$B$61:$B$108,$B54,'11.2. ДА за периода'!$Z$61:$Z$108)+SUMIF('11.2. ДА за периода'!$B$61:$B$108,$B54,'11.2. ДА за периода'!AF$61:AF$108)+SUMIF('11.1.Амортиз.нови активи'!$B$61:$B$108,$B54,'11.1.Амортиз.нови активи'!AF$61:AF$108)</f>
        <v>0</v>
      </c>
      <c r="AG54" s="4387">
        <f>+'11.3. ДА Базова година'!V59</f>
        <v>0</v>
      </c>
      <c r="AH54" s="2617">
        <f>$AG54-SUMIF('11.2. ДА за периода'!$B$61:$B$108,$B54,'11.2. ДА за периода'!$AG$61:$AG$108)+SUMIF('11.2. ДА за периода'!$B$61:$B$108,$B54,'11.2. ДА за периода'!AH$61:AH$108)+SUMIF('11.1.Амортиз.нови активи'!$B$61:$B$108,$B54,'11.1.Амортиз.нови активи'!AH$61:AH$108)+('11.1.Амортиз.нови активи'!T$112*SUMIF('11.1.Амортиз.нови активи'!$B$61:$B$108,$B54,'11.1.Амортиз.нови активи'!BB$61:BB$108))</f>
        <v>0</v>
      </c>
      <c r="AI54" s="1110">
        <f>$AG54-SUMIF('11.2. ДА за периода'!$B$61:$B$108,$B54,'11.2. ДА за периода'!$AG$61:$AG$108)+SUMIF('11.2. ДА за периода'!$B$61:$B$108,$B54,'11.2. ДА за периода'!AI$61:AI$108)+SUMIF('11.1.Амортиз.нови активи'!$B$61:$B$108,$B54,'11.1.Амортиз.нови активи'!AI$61:AI$108)+('11.1.Амортиз.нови активи'!U$112*SUMIF('11.1.Амортиз.нови активи'!$B$61:$B$108,$B54,'11.1.Амортиз.нови активи'!BC$61:BC$108))</f>
        <v>0</v>
      </c>
      <c r="AJ54" s="1110">
        <f>$AG54-SUMIF('11.2. ДА за периода'!$B$61:$B$108,$B54,'11.2. ДА за периода'!$AG$61:$AG$108)+SUMIF('11.2. ДА за периода'!$B$61:$B$108,$B54,'11.2. ДА за периода'!AJ$61:AJ$108)+SUMIF('11.1.Амортиз.нови активи'!$B$61:$B$108,$B54,'11.1.Амортиз.нови активи'!AJ$61:AJ$108)+('11.1.Амортиз.нови активи'!V$112*SUMIF('11.1.Амортиз.нови активи'!$B$61:$B$108,$B54,'11.1.Амортиз.нови активи'!BD$61:BD$108))</f>
        <v>0</v>
      </c>
      <c r="AK54" s="1110">
        <f>$AG54-SUMIF('11.2. ДА за периода'!$B$61:$B$108,$B54,'11.2. ДА за периода'!$AG$61:$AG$108)+SUMIF('11.2. ДА за периода'!$B$61:$B$108,$B54,'11.2. ДА за периода'!AK$61:AK$108)+SUMIF('11.1.Амортиз.нови активи'!$B$61:$B$108,$B54,'11.1.Амортиз.нови активи'!AK$61:AK$108)+('11.1.Амортиз.нови активи'!W$112*SUMIF('11.1.Амортиз.нови активи'!$B$61:$B$108,$B54,'11.1.Амортиз.нови активи'!BE$61:BE$108))</f>
        <v>0</v>
      </c>
      <c r="AL54" s="1110">
        <f>$AG54-SUMIF('11.2. ДА за периода'!$B$61:$B$108,$B54,'11.2. ДА за периода'!$AG$61:$AG$108)+SUMIF('11.2. ДА за периода'!$B$61:$B$108,$B54,'11.2. ДА за периода'!AL$61:AL$108)+SUMIF('11.1.Амортиз.нови активи'!$B$61:$B$108,$B54,'11.1.Амортиз.нови активи'!AL$61:AL$108)+('11.1.Амортиз.нови активи'!X$112*SUMIF('11.1.Амортиз.нови активи'!$B$61:$B$108,$B54,'11.1.Амортиз.нови активи'!BF$61:BF$108))</f>
        <v>0</v>
      </c>
      <c r="AM54" s="2618">
        <f>$AG54-SUMIF('11.2. ДА за периода'!$B$61:$B$108,$B54,'11.2. ДА за периода'!$AG$61:$AG$108)+SUMIF('11.2. ДА за периода'!$B$61:$B$108,$B54,'11.2. ДА за периода'!AM$61:AM$108)+SUMIF('11.1.Амортиз.нови активи'!$B$61:$B$108,$B54,'11.1.Амортиз.нови активи'!AM$61:AM$108)+('11.1.Амортиз.нови активи'!Y$112*SUMIF('11.1.Амортиз.нови активи'!$B$61:$B$108,$B54,'11.1.Амортиз.нови активи'!BG$61:BG$108))</f>
        <v>0</v>
      </c>
      <c r="AN54" s="2513"/>
      <c r="AO54" s="2551"/>
      <c r="AP54" s="4422"/>
      <c r="AQ54" s="4438">
        <f t="shared" si="31"/>
        <v>0</v>
      </c>
      <c r="AR54" s="4438">
        <f t="shared" si="32"/>
        <v>0</v>
      </c>
      <c r="AS54" s="4438">
        <f t="shared" si="33"/>
        <v>0</v>
      </c>
      <c r="AT54" s="4438">
        <f t="shared" si="34"/>
        <v>0</v>
      </c>
      <c r="AU54" s="4438">
        <f t="shared" si="35"/>
        <v>0</v>
      </c>
      <c r="AV54" s="4438">
        <f t="shared" si="36"/>
        <v>0</v>
      </c>
      <c r="AW54" s="4438">
        <f t="shared" si="37"/>
        <v>0</v>
      </c>
      <c r="AX54" s="4438">
        <f t="shared" si="38"/>
        <v>0</v>
      </c>
      <c r="AY54" s="4438">
        <f t="shared" si="39"/>
        <v>0</v>
      </c>
      <c r="AZ54" s="4438">
        <f t="shared" si="40"/>
        <v>0</v>
      </c>
      <c r="BA54" s="4438">
        <f t="shared" si="41"/>
        <v>0</v>
      </c>
      <c r="BB54" s="4438">
        <f t="shared" si="42"/>
        <v>0</v>
      </c>
      <c r="BC54" s="4438">
        <f t="shared" si="43"/>
        <v>0</v>
      </c>
      <c r="BD54" s="4438">
        <f t="shared" si="44"/>
        <v>0</v>
      </c>
      <c r="BE54" s="4438">
        <f t="shared" si="45"/>
        <v>0</v>
      </c>
      <c r="BF54" s="4438">
        <f t="shared" si="46"/>
        <v>0</v>
      </c>
      <c r="BG54" s="4438">
        <f t="shared" si="47"/>
        <v>0</v>
      </c>
      <c r="BH54" s="4438">
        <f t="shared" si="48"/>
        <v>0</v>
      </c>
      <c r="BI54" s="4438">
        <f t="shared" si="49"/>
        <v>0</v>
      </c>
      <c r="BJ54" s="4438">
        <f t="shared" si="50"/>
        <v>0</v>
      </c>
      <c r="BK54" s="4438">
        <f t="shared" si="51"/>
        <v>0</v>
      </c>
      <c r="BL54" s="4438">
        <f t="shared" si="52"/>
        <v>0</v>
      </c>
      <c r="BM54" s="4438">
        <f t="shared" si="53"/>
        <v>0</v>
      </c>
      <c r="BN54" s="4438">
        <f t="shared" si="54"/>
        <v>0</v>
      </c>
      <c r="BO54" s="4438">
        <f t="shared" si="55"/>
        <v>0</v>
      </c>
      <c r="BP54" s="4438">
        <f t="shared" si="56"/>
        <v>0</v>
      </c>
      <c r="BQ54" s="4438">
        <f t="shared" si="57"/>
        <v>0</v>
      </c>
      <c r="BR54" s="4438">
        <f t="shared" si="58"/>
        <v>0</v>
      </c>
      <c r="BS54" s="4438">
        <f t="shared" si="59"/>
        <v>0</v>
      </c>
      <c r="BT54" s="4438">
        <f t="shared" si="60"/>
        <v>0</v>
      </c>
      <c r="BU54" s="4438">
        <f t="shared" si="61"/>
        <v>0</v>
      </c>
      <c r="BV54" s="4438">
        <f t="shared" si="62"/>
        <v>0</v>
      </c>
      <c r="BW54" s="4438">
        <f t="shared" si="63"/>
        <v>0</v>
      </c>
      <c r="BX54" s="4438">
        <f t="shared" si="64"/>
        <v>0</v>
      </c>
      <c r="BY54" s="4438">
        <f t="shared" si="65"/>
        <v>0</v>
      </c>
    </row>
    <row r="55" spans="1:77">
      <c r="A55" s="2531">
        <v>12</v>
      </c>
      <c r="B55" s="2527">
        <v>212</v>
      </c>
      <c r="C55" s="2522">
        <v>0.2</v>
      </c>
      <c r="D55" s="2554" t="s">
        <v>214</v>
      </c>
      <c r="E55" s="2641">
        <f>+'11.3. ДА Базова година'!F60</f>
        <v>8</v>
      </c>
      <c r="F55" s="2617">
        <f>$E55-SUMIF('11.2. ДА за периода'!$B$61:$B$108,$B55,'11.2. ДА за периода'!$E$61:$E$108)+SUMIF('11.2. ДА за периода'!$B$61:$B$108,$B55,'11.2. ДА за периода'!F$61:F$108)+SUMIF('11.1.Амортиз.нови активи'!$B$61:$B$108,$B55,'11.1.Амортиз.нови активи'!F$61:F$108)+('11.1.Амортиз.нови активи'!F$110*SUMIF('11.1.Амортиз.нови активи'!$B$61:$B$108,$B55,'11.1.Амортиз.нови активи'!AO$61:AO$108))</f>
        <v>8.7453124999999989</v>
      </c>
      <c r="G55" s="1110">
        <f>$E55-SUMIF('11.2. ДА за периода'!$B$61:$B$108,$B55,'11.2. ДА за периода'!$E$61:$E$108)+SUMIF('11.2. ДА за периода'!$B$61:$B$108,$B55,'11.2. ДА за периода'!G$61:G$108)+SUMIF('11.1.Амортиз.нови активи'!$B$61:$B$108,$B55,'11.1.Амортиз.нови активи'!G$61:G$108)+('11.1.Амортиз.нови активи'!G$110*SUMIF('11.1.Амортиз.нови активи'!$B$61:$B$108,$B55,'11.1.Амортиз.нови активи'!AP$61:AP$108))</f>
        <v>9.086817855558234</v>
      </c>
      <c r="H55" s="1110">
        <f>$E55-SUMIF('11.2. ДА за периода'!$B$61:$B$108,$B55,'11.2. ДА за периода'!$E$61:$E$108)+SUMIF('11.2. ДА за периода'!$B$61:$B$108,$B55,'11.2. ДА за периода'!H$61:H$108)+SUMIF('11.1.Амортиз.нови активи'!$B$61:$B$108,$B55,'11.1.Амортиз.нови активи'!H$61:H$108)+('11.1.Амортиз.нови активи'!H$110*SUMIF('11.1.Амортиз.нови активи'!$B$61:$B$108,$B55,'11.1.Амортиз.нови активи'!AQ$61:AQ$108))</f>
        <v>8.9913637732553333</v>
      </c>
      <c r="I55" s="1110">
        <f>$E55-SUMIF('11.2. ДА за периода'!$B$61:$B$108,$B55,'11.2. ДА за периода'!$E$61:$E$108)+SUMIF('11.2. ДА за периода'!$B$61:$B$108,$B55,'11.2. ДА за периода'!I$61:I$108)+SUMIF('11.1.Амортиз.нови активи'!$B$61:$B$108,$B55,'11.1.Амортиз.нови активи'!I$61:I$108)+('11.1.Амортиз.нови активи'!I$110*SUMIF('11.1.Амортиз.нови активи'!$B$61:$B$108,$B55,'11.1.Амортиз.нови активи'!AR$61:AR$108))</f>
        <v>8.9204867631147451</v>
      </c>
      <c r="J55" s="1110">
        <f>$E55-SUMIF('11.2. ДА за периода'!$B$61:$B$108,$B55,'11.2. ДА за периода'!$E$61:$E$108)+SUMIF('11.2. ДА за периода'!$B$61:$B$108,$B55,'11.2. ДА за периода'!J$61:J$108)+SUMIF('11.1.Амортиз.нови активи'!$B$61:$B$108,$B55,'11.1.Амортиз.нови активи'!J$61:J$108)+('11.1.Амортиз.нови активи'!J$110*SUMIF('11.1.Амортиз.нови активи'!$B$61:$B$108,$B55,'11.1.Амортиз.нови активи'!AS$61:AS$108))</f>
        <v>6.9397062414375279</v>
      </c>
      <c r="K55" s="2618">
        <f>$E55-SUMIF('11.2. ДА за периода'!$B$61:$B$108,$B55,'11.2. ДА за периода'!$E$61:$E$108)+SUMIF('11.2. ДА за периода'!$B$61:$B$108,$B55,'11.2. ДА за периода'!K$61:K$108)+SUMIF('11.1.Амортиз.нови активи'!$B$61:$B$108,$B55,'11.1.Амортиз.нови активи'!K$61:K$108)+('11.1.Амортиз.нови активи'!K$110*SUMIF('11.1.Амортиз.нови активи'!$B$61:$B$108,$B55,'11.1.Амортиз.нови активи'!AT$61:AT$108))</f>
        <v>7.001347717961603</v>
      </c>
      <c r="L55" s="2641">
        <f>+'11.3. ДА Базова година'!J60</f>
        <v>4</v>
      </c>
      <c r="M55" s="2617">
        <f>$L55-SUMIF('11.2. ДА за периода'!$B$61:$B$108,$B55,'11.2. ДА за периода'!$L$61:$L$108)+SUMIF('11.2. ДА за периода'!$B$61:$B$108,$B55,'11.2. ДА за периода'!M$61:M$108)+SUMIF('11.1.Амортиз.нови активи'!$B$61:$B$108,$B55,'11.1.Амортиз.нови активи'!M$61:M$108)+('11.1.Амортиз.нови активи'!F$111*SUMIF('11.1.Амортиз.нови активи'!$B$61:$B$108,$B55,'11.1.Амортиз.нови активи'!AO$61:AO$108))</f>
        <v>4.7031250000000009</v>
      </c>
      <c r="N55" s="1110">
        <f>$L55-SUMIF('11.2. ДА за периода'!$B$61:$B$108,$B55,'11.2. ДА за периода'!$L$61:$L$108)+SUMIF('11.2. ДА за периода'!$B$61:$B$108,$B55,'11.2. ДА за периода'!N$61:N$108)+SUMIF('11.1.Амортиз.нови активи'!$B$61:$B$108,$B55,'11.1.Амортиз.нови активи'!N$61:N$108)+('11.1.Амортиз.нови активи'!G$111*SUMIF('11.1.Амортиз.нови активи'!$B$61:$B$108,$B55,'11.1.Амортиз.нови активи'!AP$61:AP$108))</f>
        <v>4.8494396979891032</v>
      </c>
      <c r="O55" s="1110">
        <f>$L55-SUMIF('11.2. ДА за периода'!$B$61:$B$108,$B55,'11.2. ДА за периода'!$L$61:$L$108)+SUMIF('11.2. ДА за периода'!$B$61:$B$108,$B55,'11.2. ДА за периода'!O$61:O$108)+SUMIF('11.1.Амортиз.нови активи'!$B$61:$B$108,$B55,'11.1.Амортиз.нови активи'!O$61:O$108)+('11.1.Амортиз.нови активи'!H$111*SUMIF('11.1.Амортиз.нови активи'!$B$61:$B$108,$B55,'11.1.Амортиз.нови активи'!AQ$61:AQ$108))</f>
        <v>4.7377698845767853</v>
      </c>
      <c r="P55" s="1110">
        <f>$L55-SUMIF('11.2. ДА за периода'!$B$61:$B$108,$B55,'11.2. ДА за периода'!$L$61:$L$108)+SUMIF('11.2. ДА за периода'!$B$61:$B$108,$B55,'11.2. ДА за периода'!P$61:P$108)+SUMIF('11.1.Амортиз.нови активи'!$B$61:$B$108,$B55,'11.1.Амортиз.нови активи'!P$61:P$108)+('11.1.Амортиз.нови активи'!I$111*SUMIF('11.1.Амортиз.нови активи'!$B$61:$B$108,$B55,'11.1.Амортиз.нови активи'!AR$61:AR$108))</f>
        <v>4.7096455385365861</v>
      </c>
      <c r="Q55" s="1110">
        <f>$L55-SUMIF('11.2. ДА за периода'!$B$61:$B$108,$B55,'11.2. ДА за периода'!$L$61:$L$108)+SUMIF('11.2. ДА за периода'!$B$61:$B$108,$B55,'11.2. ДА за периода'!Q$61:Q$108)+SUMIF('11.1.Амортиз.нови активи'!$B$61:$B$108,$B55,'11.1.Амортиз.нови активи'!Q$61:Q$108)+('11.1.Амортиз.нови активи'!J$111*SUMIF('11.1.Амортиз.нови активи'!$B$61:$B$108,$B55,'11.1.Амортиз.нови активи'!AS$61:AS$108))</f>
        <v>4.6887485390388379</v>
      </c>
      <c r="R55" s="2618">
        <f>$L55-SUMIF('11.2. ДА за периода'!$B$61:$B$108,$B55,'11.2. ДА за периода'!$L$61:$L$108)+SUMIF('11.2. ДА за периода'!$B$61:$B$108,$B55,'11.2. ДА за периода'!R$61:R$108)+SUMIF('11.1.Амортиз.нови активи'!$B$61:$B$108,$B55,'11.1.Амортиз.нови активи'!R$61:R$108)+('11.1.Амортиз.нови активи'!K$111*SUMIF('11.1.Амортиз.нови активи'!$B$61:$B$108,$B55,'11.1.Амортиз.нови активи'!AT$61:AT$108))</f>
        <v>4.6669457591653449</v>
      </c>
      <c r="S55" s="2641">
        <f>+'11.3. ДА Базова година'!N60</f>
        <v>9</v>
      </c>
      <c r="T55" s="2617">
        <f>$S55-SUMIF('11.2. ДА за периода'!$B$61:$B$108,$B55,'11.2. ДА за периода'!$S$61:$S$108)+SUMIF('11.2. ДА за периода'!$B$61:$B$108,$B55,'11.2. ДА за периода'!T$61:T$108)+SUMIF('11.1.Амортиз.нови активи'!$B$61:$B$108,$B55,'11.1.Амортиз.нови активи'!T$61:T$108)+('11.1.Амортиз.нови активи'!F$112*SUMIF('11.1.Амортиз.нови активи'!$B$61:$B$108,$B55,'11.1.Амортиз.нови активи'!AO$61:AO$108))</f>
        <v>9.6515625000000007</v>
      </c>
      <c r="U55" s="1110">
        <f>$S55-SUMIF('11.2. ДА за периода'!$B$61:$B$108,$B55,'11.2. ДА за периода'!$S$61:$S$108)+SUMIF('11.2. ДА за периода'!$B$61:$B$108,$B55,'11.2. ДА за периода'!U$61:U$108)+SUMIF('11.1.Амортиз.нови активи'!$B$61:$B$108,$B55,'11.1.Амортиз.нови активи'!U$61:U$108)+('11.1.Амортиз.нови активи'!G$112*SUMIF('11.1.Амортиз.нови активи'!$B$61:$B$108,$B55,'11.1.Амортиз.нови активи'!AP$61:AP$108))</f>
        <v>9.9637424464526632</v>
      </c>
      <c r="V55" s="1110">
        <f>$S55-SUMIF('11.2. ДА за периода'!$B$61:$B$108,$B55,'11.2. ДА за периода'!$S$61:$S$108)+SUMIF('11.2. ДА за периода'!$B$61:$B$108,$B55,'11.2. ДА за периода'!V$61:V$108)+SUMIF('11.1.Амортиз.нови активи'!$B$61:$B$108,$B55,'11.1.Амортиз.нови активи'!V$61:V$108)+('11.1.Амортиз.нови активи'!H$112*SUMIF('11.1.Амортиз.нови активи'!$B$61:$B$108,$B55,'11.1.Амортиз.нови активи'!AQ$61:AQ$108))</f>
        <v>10.170866342167884</v>
      </c>
      <c r="W55" s="1110">
        <f>$S55-SUMIF('11.2. ДА за периода'!$B$61:$B$108,$B55,'11.2. ДА за периода'!$S$61:$S$108)+SUMIF('11.2. ДА за периода'!$B$61:$B$108,$B55,'11.2. ДА за периода'!W$61:W$108)+SUMIF('11.1.Амортиз.нови активи'!$B$61:$B$108,$B55,'11.1.Амортиз.нови активи'!W$61:W$108)+('11.1.Амортиз.нови активи'!I$112*SUMIF('11.1.Амортиз.нови активи'!$B$61:$B$108,$B55,'11.1.Амортиз.нови активи'!AR$61:AR$108))</f>
        <v>10.269867698348671</v>
      </c>
      <c r="X55" s="1110">
        <f>$S55-SUMIF('11.2. ДА за периода'!$B$61:$B$108,$B55,'11.2. ДА за периода'!$S$61:$S$108)+SUMIF('11.2. ДА за периода'!$B$61:$B$108,$B55,'11.2. ДА за периода'!X$61:X$108)+SUMIF('11.1.Амортиз.нови активи'!$B$61:$B$108,$B55,'11.1.Амортиз.нови активи'!X$61:X$108)+('11.1.Амортиз.нови активи'!J$112*SUMIF('11.1.Амортиз.нови активи'!$B$61:$B$108,$B55,'11.1.Амортиз.нови активи'!AS$61:AS$108))</f>
        <v>10.271545219523636</v>
      </c>
      <c r="Y55" s="2618">
        <f>$S55-SUMIF('11.2. ДА за периода'!$B$61:$B$108,$B55,'11.2. ДА за периода'!$S$61:$S$108)+SUMIF('11.2. ДА за периода'!$B$61:$B$108,$B55,'11.2. ДА за периода'!Y$61:Y$108)+SUMIF('11.1.Амортиз.нови активи'!$B$61:$B$108,$B55,'11.1.Амортиз.нови активи'!Y$61:Y$108)+('11.1.Амортиз.нови активи'!K$112*SUMIF('11.1.Амортиз.нови активи'!$B$61:$B$108,$B55,'11.1.Амортиз.нови активи'!AT$61:AT$108))</f>
        <v>10.231706522873054</v>
      </c>
      <c r="Z55" s="4387">
        <f>+'11.3. ДА Базова година'!R60</f>
        <v>0</v>
      </c>
      <c r="AA55" s="2617">
        <f>$Z55-SUMIF('11.2. ДА за периода'!$B$61:$B$108,$B55,'11.2. ДА за периода'!$Z$61:$Z$108)+SUMIF('11.2. ДА за периода'!$B$61:$B$108,$B55,'11.2. ДА за периода'!AA$61:AA$108)+SUMIF('11.1.Амортиз.нови активи'!$B$61:$B$108,$B55,'11.1.Амортиз.нови активи'!AA$61:AA$108)</f>
        <v>0</v>
      </c>
      <c r="AB55" s="1110">
        <f>$Z55-SUMIF('11.2. ДА за периода'!$B$61:$B$108,$B55,'11.2. ДА за периода'!$Z$61:$Z$108)+SUMIF('11.2. ДА за периода'!$B$61:$B$108,$B55,'11.2. ДА за периода'!AB$61:AB$108)+SUMIF('11.1.Амортиз.нови активи'!$B$61:$B$108,$B55,'11.1.Амортиз.нови активи'!AB$61:AB$108)</f>
        <v>0</v>
      </c>
      <c r="AC55" s="1110">
        <f>$Z55-SUMIF('11.2. ДА за периода'!$B$61:$B$108,$B55,'11.2. ДА за периода'!$Z$61:$Z$108)+SUMIF('11.2. ДА за периода'!$B$61:$B$108,$B55,'11.2. ДА за периода'!AC$61:AC$108)+SUMIF('11.1.Амортиз.нови активи'!$B$61:$B$108,$B55,'11.1.Амортиз.нови активи'!AC$61:AC$108)</f>
        <v>0</v>
      </c>
      <c r="AD55" s="1110">
        <f>$Z55-SUMIF('11.2. ДА за периода'!$B$61:$B$108,$B55,'11.2. ДА за периода'!$Z$61:$Z$108)+SUMIF('11.2. ДА за периода'!$B$61:$B$108,$B55,'11.2. ДА за периода'!AD$61:AD$108)+SUMIF('11.1.Амортиз.нови активи'!$B$61:$B$108,$B55,'11.1.Амортиз.нови активи'!AD$61:AD$108)</f>
        <v>0</v>
      </c>
      <c r="AE55" s="1110">
        <f>$Z55-SUMIF('11.2. ДА за периода'!$B$61:$B$108,$B55,'11.2. ДА за периода'!$Z$61:$Z$108)+SUMIF('11.2. ДА за периода'!$B$61:$B$108,$B55,'11.2. ДА за периода'!AE$61:AE$108)+SUMIF('11.1.Амортиз.нови активи'!$B$61:$B$108,$B55,'11.1.Амортиз.нови активи'!AE$61:AE$108)</f>
        <v>0</v>
      </c>
      <c r="AF55" s="2618">
        <f>$Z55-SUMIF('11.2. ДА за периода'!$B$61:$B$108,$B55,'11.2. ДА за периода'!$Z$61:$Z$108)+SUMIF('11.2. ДА за периода'!$B$61:$B$108,$B55,'11.2. ДА за периода'!AF$61:AF$108)+SUMIF('11.1.Амортиз.нови активи'!$B$61:$B$108,$B55,'11.1.Амортиз.нови активи'!AF$61:AF$108)</f>
        <v>0</v>
      </c>
      <c r="AG55" s="2641">
        <f>+'11.3. ДА Базова година'!V60</f>
        <v>0</v>
      </c>
      <c r="AH55" s="2617">
        <f>$AG55-SUMIF('11.2. ДА за периода'!$B$61:$B$108,$B55,'11.2. ДА за периода'!$AG$61:$AG$108)+SUMIF('11.2. ДА за периода'!$B$61:$B$108,$B55,'11.2. ДА за периода'!AH$61:AH$108)+SUMIF('11.1.Амортиз.нови активи'!$B$61:$B$108,$B55,'11.1.Амортиз.нови активи'!AH$61:AH$108)+('11.1.Амортиз.нови активи'!T$112*SUMIF('11.1.Амортиз.нови активи'!$B$61:$B$108,$B55,'11.1.Амортиз.нови активи'!BB$61:BB$108))</f>
        <v>0</v>
      </c>
      <c r="AI55" s="1110">
        <f>$AG55-SUMIF('11.2. ДА за периода'!$B$61:$B$108,$B55,'11.2. ДА за периода'!$AG$61:$AG$108)+SUMIF('11.2. ДА за периода'!$B$61:$B$108,$B55,'11.2. ДА за периода'!AI$61:AI$108)+SUMIF('11.1.Амортиз.нови активи'!$B$61:$B$108,$B55,'11.1.Амортиз.нови активи'!AI$61:AI$108)+('11.1.Амортиз.нови активи'!U$112*SUMIF('11.1.Амортиз.нови активи'!$B$61:$B$108,$B55,'11.1.Амортиз.нови активи'!BC$61:BC$108))</f>
        <v>0</v>
      </c>
      <c r="AJ55" s="1110">
        <f>$AG55-SUMIF('11.2. ДА за периода'!$B$61:$B$108,$B55,'11.2. ДА за периода'!$AG$61:$AG$108)+SUMIF('11.2. ДА за периода'!$B$61:$B$108,$B55,'11.2. ДА за периода'!AJ$61:AJ$108)+SUMIF('11.1.Амортиз.нови активи'!$B$61:$B$108,$B55,'11.1.Амортиз.нови активи'!AJ$61:AJ$108)+('11.1.Амортиз.нови активи'!V$112*SUMIF('11.1.Амортиз.нови активи'!$B$61:$B$108,$B55,'11.1.Амортиз.нови активи'!BD$61:BD$108))</f>
        <v>0</v>
      </c>
      <c r="AK55" s="1110">
        <f>$AG55-SUMIF('11.2. ДА за периода'!$B$61:$B$108,$B55,'11.2. ДА за периода'!$AG$61:$AG$108)+SUMIF('11.2. ДА за периода'!$B$61:$B$108,$B55,'11.2. ДА за периода'!AK$61:AK$108)+SUMIF('11.1.Амортиз.нови активи'!$B$61:$B$108,$B55,'11.1.Амортиз.нови активи'!AK$61:AK$108)+('11.1.Амортиз.нови активи'!W$112*SUMIF('11.1.Амортиз.нови активи'!$B$61:$B$108,$B55,'11.1.Амортиз.нови активи'!BE$61:BE$108))</f>
        <v>0</v>
      </c>
      <c r="AL55" s="1110">
        <f>$AG55-SUMIF('11.2. ДА за периода'!$B$61:$B$108,$B55,'11.2. ДА за периода'!$AG$61:$AG$108)+SUMIF('11.2. ДА за периода'!$B$61:$B$108,$B55,'11.2. ДА за периода'!AL$61:AL$108)+SUMIF('11.1.Амортиз.нови активи'!$B$61:$B$108,$B55,'11.1.Амортиз.нови активи'!AL$61:AL$108)+('11.1.Амортиз.нови активи'!X$112*SUMIF('11.1.Амортиз.нови активи'!$B$61:$B$108,$B55,'11.1.Амортиз.нови активи'!BF$61:BF$108))</f>
        <v>0</v>
      </c>
      <c r="AM55" s="2618">
        <f>$AG55-SUMIF('11.2. ДА за периода'!$B$61:$B$108,$B55,'11.2. ДА за периода'!$AG$61:$AG$108)+SUMIF('11.2. ДА за периода'!$B$61:$B$108,$B55,'11.2. ДА за периода'!AM$61:AM$108)+SUMIF('11.1.Амортиз.нови активи'!$B$61:$B$108,$B55,'11.1.Амортиз.нови активи'!AM$61:AM$108)+('11.1.Амортиз.нови активи'!Y$112*SUMIF('11.1.Амортиз.нови активи'!$B$61:$B$108,$B55,'11.1.Амортиз.нови активи'!BG$61:BG$108))</f>
        <v>0</v>
      </c>
      <c r="AN55" s="2513"/>
      <c r="AO55" s="2551"/>
      <c r="AP55" s="4422"/>
      <c r="AQ55" s="4438">
        <f t="shared" si="31"/>
        <v>4.0903350495697479</v>
      </c>
      <c r="AR55" s="4438">
        <f t="shared" si="32"/>
        <v>4.4714072797738043</v>
      </c>
      <c r="AS55" s="4438">
        <f t="shared" si="33"/>
        <v>4.6460161954557577</v>
      </c>
      <c r="AT55" s="4438">
        <f t="shared" si="34"/>
        <v>4.5972112981472488</v>
      </c>
      <c r="AU55" s="4438">
        <f t="shared" si="35"/>
        <v>4.5609724582989042</v>
      </c>
      <c r="AV55" s="4438">
        <f t="shared" si="36"/>
        <v>3.5482154591337327</v>
      </c>
      <c r="AW55" s="4438">
        <f t="shared" si="37"/>
        <v>3.5797322456254395</v>
      </c>
      <c r="AX55" s="4438">
        <f t="shared" si="38"/>
        <v>2.045167524784874</v>
      </c>
      <c r="AY55" s="4438">
        <f t="shared" si="39"/>
        <v>2.4046696287509657</v>
      </c>
      <c r="AZ55" s="4438">
        <f t="shared" si="40"/>
        <v>2.4794791459324701</v>
      </c>
      <c r="BA55" s="4438">
        <f t="shared" si="41"/>
        <v>2.4223832769600557</v>
      </c>
      <c r="BB55" s="4438">
        <f t="shared" si="42"/>
        <v>2.4080035271657487</v>
      </c>
      <c r="BC55" s="4438">
        <f t="shared" si="43"/>
        <v>2.3973190609811885</v>
      </c>
      <c r="BD55" s="4438">
        <f t="shared" si="44"/>
        <v>2.3861714766443631</v>
      </c>
      <c r="BE55" s="4438">
        <f t="shared" si="45"/>
        <v>4.6016269307659661</v>
      </c>
      <c r="BF55" s="4438">
        <f t="shared" si="46"/>
        <v>4.9347655471078777</v>
      </c>
      <c r="BG55" s="4438">
        <f t="shared" si="47"/>
        <v>5.0943806192013943</v>
      </c>
      <c r="BH55" s="4438">
        <f t="shared" si="48"/>
        <v>5.2002813854823193</v>
      </c>
      <c r="BI55" s="4438">
        <f t="shared" si="49"/>
        <v>5.2508999751249705</v>
      </c>
      <c r="BJ55" s="4438">
        <f t="shared" si="50"/>
        <v>5.2517576780822655</v>
      </c>
      <c r="BK55" s="4438">
        <f t="shared" si="51"/>
        <v>5.2313884759273837</v>
      </c>
      <c r="BL55" s="4438">
        <f t="shared" si="52"/>
        <v>0</v>
      </c>
      <c r="BM55" s="4438">
        <f t="shared" si="53"/>
        <v>0</v>
      </c>
      <c r="BN55" s="4438">
        <f t="shared" si="54"/>
        <v>0</v>
      </c>
      <c r="BO55" s="4438">
        <f t="shared" si="55"/>
        <v>0</v>
      </c>
      <c r="BP55" s="4438">
        <f t="shared" si="56"/>
        <v>0</v>
      </c>
      <c r="BQ55" s="4438">
        <f t="shared" si="57"/>
        <v>0</v>
      </c>
      <c r="BR55" s="4438">
        <f t="shared" si="58"/>
        <v>0</v>
      </c>
      <c r="BS55" s="4438">
        <f t="shared" si="59"/>
        <v>0</v>
      </c>
      <c r="BT55" s="4438">
        <f t="shared" si="60"/>
        <v>0</v>
      </c>
      <c r="BU55" s="4438">
        <f t="shared" si="61"/>
        <v>0</v>
      </c>
      <c r="BV55" s="4438">
        <f t="shared" si="62"/>
        <v>0</v>
      </c>
      <c r="BW55" s="4438">
        <f t="shared" si="63"/>
        <v>0</v>
      </c>
      <c r="BX55" s="4438">
        <f t="shared" si="64"/>
        <v>0</v>
      </c>
      <c r="BY55" s="4438">
        <f t="shared" si="65"/>
        <v>0</v>
      </c>
    </row>
    <row r="56" spans="1:77">
      <c r="A56" s="2531">
        <v>13</v>
      </c>
      <c r="B56" s="2526">
        <v>213</v>
      </c>
      <c r="C56" s="2533">
        <v>0.2</v>
      </c>
      <c r="D56" s="2555" t="s">
        <v>215</v>
      </c>
      <c r="E56" s="2641">
        <f>+'11.3. ДА Базова година'!F61</f>
        <v>0</v>
      </c>
      <c r="F56" s="2617">
        <f>$E56-SUMIF('11.2. ДА за периода'!$B$61:$B$108,$B56,'11.2. ДА за периода'!$E$61:$E$108)+SUMIF('11.2. ДА за периода'!$B$61:$B$108,$B56,'11.2. ДА за периода'!F$61:F$108)+SUMIF('11.1.Амортиз.нови активи'!$B$61:$B$108,$B56,'11.1.Амортиз.нови активи'!F$61:F$108)+('11.1.Амортиз.нови активи'!F$110*SUMIF('11.1.Амортиз.нови активи'!$B$61:$B$108,$B56,'11.1.Амортиз.нови активи'!AO$61:AO$108))</f>
        <v>0</v>
      </c>
      <c r="G56" s="1110">
        <f>$E56-SUMIF('11.2. ДА за периода'!$B$61:$B$108,$B56,'11.2. ДА за периода'!$E$61:$E$108)+SUMIF('11.2. ДА за периода'!$B$61:$B$108,$B56,'11.2. ДА за периода'!G$61:G$108)+SUMIF('11.1.Амортиз.нови активи'!$B$61:$B$108,$B56,'11.1.Амортиз.нови активи'!G$61:G$108)+('11.1.Амортиз.нови активи'!G$110*SUMIF('11.1.Амортиз.нови активи'!$B$61:$B$108,$B56,'11.1.Амортиз.нови активи'!AP$61:AP$108))</f>
        <v>0</v>
      </c>
      <c r="H56" s="1110">
        <f>$E56-SUMIF('11.2. ДА за периода'!$B$61:$B$108,$B56,'11.2. ДА за периода'!$E$61:$E$108)+SUMIF('11.2. ДА за периода'!$B$61:$B$108,$B56,'11.2. ДА за периода'!H$61:H$108)+SUMIF('11.1.Амортиз.нови активи'!$B$61:$B$108,$B56,'11.1.Амортиз.нови активи'!H$61:H$108)+('11.1.Амортиз.нови активи'!H$110*SUMIF('11.1.Амортиз.нови активи'!$B$61:$B$108,$B56,'11.1.Амортиз.нови активи'!AQ$61:AQ$108))</f>
        <v>0</v>
      </c>
      <c r="I56" s="1110">
        <f>$E56-SUMIF('11.2. ДА за периода'!$B$61:$B$108,$B56,'11.2. ДА за периода'!$E$61:$E$108)+SUMIF('11.2. ДА за периода'!$B$61:$B$108,$B56,'11.2. ДА за периода'!I$61:I$108)+SUMIF('11.1.Амортиз.нови активи'!$B$61:$B$108,$B56,'11.1.Амортиз.нови активи'!I$61:I$108)+('11.1.Амортиз.нови активи'!I$110*SUMIF('11.1.Амортиз.нови активи'!$B$61:$B$108,$B56,'11.1.Амортиз.нови активи'!AR$61:AR$108))</f>
        <v>0</v>
      </c>
      <c r="J56" s="1110">
        <f>$E56-SUMIF('11.2. ДА за периода'!$B$61:$B$108,$B56,'11.2. ДА за периода'!$E$61:$E$108)+SUMIF('11.2. ДА за периода'!$B$61:$B$108,$B56,'11.2. ДА за периода'!J$61:J$108)+SUMIF('11.1.Амортиз.нови активи'!$B$61:$B$108,$B56,'11.1.Амортиз.нови активи'!J$61:J$108)+('11.1.Амортиз.нови активи'!J$110*SUMIF('11.1.Амортиз.нови активи'!$B$61:$B$108,$B56,'11.1.Амортиз.нови активи'!AS$61:AS$108))</f>
        <v>0</v>
      </c>
      <c r="K56" s="2618">
        <f>$E56-SUMIF('11.2. ДА за периода'!$B$61:$B$108,$B56,'11.2. ДА за периода'!$E$61:$E$108)+SUMIF('11.2. ДА за периода'!$B$61:$B$108,$B56,'11.2. ДА за периода'!K$61:K$108)+SUMIF('11.1.Амортиз.нови активи'!$B$61:$B$108,$B56,'11.1.Амортиз.нови активи'!K$61:K$108)+('11.1.Амортиз.нови активи'!K$110*SUMIF('11.1.Амортиз.нови активи'!$B$61:$B$108,$B56,'11.1.Амортиз.нови активи'!AT$61:AT$108))</f>
        <v>0</v>
      </c>
      <c r="L56" s="4387">
        <f>+'11.3. ДА Базова година'!J61</f>
        <v>0</v>
      </c>
      <c r="M56" s="2617">
        <f>$L56-SUMIF('11.2. ДА за периода'!$B$61:$B$108,$B56,'11.2. ДА за периода'!$L$61:$L$108)+SUMIF('11.2. ДА за периода'!$B$61:$B$108,$B56,'11.2. ДА за периода'!M$61:M$108)+SUMIF('11.1.Амортиз.нови активи'!$B$61:$B$108,$B56,'11.1.Амортиз.нови активи'!M$61:M$108)+('11.1.Амортиз.нови активи'!F$111*SUMIF('11.1.Амортиз.нови активи'!$B$61:$B$108,$B56,'11.1.Амортиз.нови активи'!AO$61:AO$108))</f>
        <v>0</v>
      </c>
      <c r="N56" s="1110">
        <f>$L56-SUMIF('11.2. ДА за периода'!$B$61:$B$108,$B56,'11.2. ДА за периода'!$L$61:$L$108)+SUMIF('11.2. ДА за периода'!$B$61:$B$108,$B56,'11.2. ДА за периода'!N$61:N$108)+SUMIF('11.1.Амортиз.нови активи'!$B$61:$B$108,$B56,'11.1.Амортиз.нови активи'!N$61:N$108)+('11.1.Амортиз.нови активи'!G$111*SUMIF('11.1.Амортиз.нови активи'!$B$61:$B$108,$B56,'11.1.Амортиз.нови активи'!AP$61:AP$108))</f>
        <v>0</v>
      </c>
      <c r="O56" s="1110">
        <f>$L56-SUMIF('11.2. ДА за периода'!$B$61:$B$108,$B56,'11.2. ДА за периода'!$L$61:$L$108)+SUMIF('11.2. ДА за периода'!$B$61:$B$108,$B56,'11.2. ДА за периода'!O$61:O$108)+SUMIF('11.1.Амортиз.нови активи'!$B$61:$B$108,$B56,'11.1.Амортиз.нови активи'!O$61:O$108)+('11.1.Амортиз.нови активи'!H$111*SUMIF('11.1.Амортиз.нови активи'!$B$61:$B$108,$B56,'11.1.Амортиз.нови активи'!AQ$61:AQ$108))</f>
        <v>0</v>
      </c>
      <c r="P56" s="1110">
        <f>$L56-SUMIF('11.2. ДА за периода'!$B$61:$B$108,$B56,'11.2. ДА за периода'!$L$61:$L$108)+SUMIF('11.2. ДА за периода'!$B$61:$B$108,$B56,'11.2. ДА за периода'!P$61:P$108)+SUMIF('11.1.Амортиз.нови активи'!$B$61:$B$108,$B56,'11.1.Амортиз.нови активи'!P$61:P$108)+('11.1.Амортиз.нови активи'!I$111*SUMIF('11.1.Амортиз.нови активи'!$B$61:$B$108,$B56,'11.1.Амортиз.нови активи'!AR$61:AR$108))</f>
        <v>0</v>
      </c>
      <c r="Q56" s="1110">
        <f>$L56-SUMIF('11.2. ДА за периода'!$B$61:$B$108,$B56,'11.2. ДА за периода'!$L$61:$L$108)+SUMIF('11.2. ДА за периода'!$B$61:$B$108,$B56,'11.2. ДА за периода'!Q$61:Q$108)+SUMIF('11.1.Амортиз.нови активи'!$B$61:$B$108,$B56,'11.1.Амортиз.нови активи'!Q$61:Q$108)+('11.1.Амортиз.нови активи'!J$111*SUMIF('11.1.Амортиз.нови активи'!$B$61:$B$108,$B56,'11.1.Амортиз.нови активи'!AS$61:AS$108))</f>
        <v>0</v>
      </c>
      <c r="R56" s="2618">
        <f>$L56-SUMIF('11.2. ДА за периода'!$B$61:$B$108,$B56,'11.2. ДА за периода'!$L$61:$L$108)+SUMIF('11.2. ДА за периода'!$B$61:$B$108,$B56,'11.2. ДА за периода'!R$61:R$108)+SUMIF('11.1.Амортиз.нови активи'!$B$61:$B$108,$B56,'11.1.Амортиз.нови активи'!R$61:R$108)+('11.1.Амортиз.нови активи'!K$111*SUMIF('11.1.Амортиз.нови активи'!$B$61:$B$108,$B56,'11.1.Амортиз.нови активи'!AT$61:AT$108))</f>
        <v>0</v>
      </c>
      <c r="S56" s="4387">
        <f>+'11.3. ДА Базова година'!N61</f>
        <v>0</v>
      </c>
      <c r="T56" s="2617">
        <f>$S56-SUMIF('11.2. ДА за периода'!$B$61:$B$108,$B56,'11.2. ДА за периода'!$S$61:$S$108)+SUMIF('11.2. ДА за периода'!$B$61:$B$108,$B56,'11.2. ДА за периода'!T$61:T$108)+SUMIF('11.1.Амортиз.нови активи'!$B$61:$B$108,$B56,'11.1.Амортиз.нови активи'!T$61:T$108)+('11.1.Амортиз.нови активи'!F$112*SUMIF('11.1.Амортиз.нови активи'!$B$61:$B$108,$B56,'11.1.Амортиз.нови активи'!AO$61:AO$108))</f>
        <v>0</v>
      </c>
      <c r="U56" s="1110">
        <f>$S56-SUMIF('11.2. ДА за периода'!$B$61:$B$108,$B56,'11.2. ДА за периода'!$S$61:$S$108)+SUMIF('11.2. ДА за периода'!$B$61:$B$108,$B56,'11.2. ДА за периода'!U$61:U$108)+SUMIF('11.1.Амортиз.нови активи'!$B$61:$B$108,$B56,'11.1.Амортиз.нови активи'!U$61:U$108)+('11.1.Амортиз.нови активи'!G$112*SUMIF('11.1.Амортиз.нови активи'!$B$61:$B$108,$B56,'11.1.Амортиз.нови активи'!AP$61:AP$108))</f>
        <v>0</v>
      </c>
      <c r="V56" s="1110">
        <f>$S56-SUMIF('11.2. ДА за периода'!$B$61:$B$108,$B56,'11.2. ДА за периода'!$S$61:$S$108)+SUMIF('11.2. ДА за периода'!$B$61:$B$108,$B56,'11.2. ДА за периода'!V$61:V$108)+SUMIF('11.1.Амортиз.нови активи'!$B$61:$B$108,$B56,'11.1.Амортиз.нови активи'!V$61:V$108)+('11.1.Амортиз.нови активи'!H$112*SUMIF('11.1.Амортиз.нови активи'!$B$61:$B$108,$B56,'11.1.Амортиз.нови активи'!AQ$61:AQ$108))</f>
        <v>0</v>
      </c>
      <c r="W56" s="1110">
        <f>$S56-SUMIF('11.2. ДА за периода'!$B$61:$B$108,$B56,'11.2. ДА за периода'!$S$61:$S$108)+SUMIF('11.2. ДА за периода'!$B$61:$B$108,$B56,'11.2. ДА за периода'!W$61:W$108)+SUMIF('11.1.Амортиз.нови активи'!$B$61:$B$108,$B56,'11.1.Амортиз.нови активи'!W$61:W$108)+('11.1.Амортиз.нови активи'!I$112*SUMIF('11.1.Амортиз.нови активи'!$B$61:$B$108,$B56,'11.1.Амортиз.нови активи'!AR$61:AR$108))</f>
        <v>0</v>
      </c>
      <c r="X56" s="1110">
        <f>$S56-SUMIF('11.2. ДА за периода'!$B$61:$B$108,$B56,'11.2. ДА за периода'!$S$61:$S$108)+SUMIF('11.2. ДА за периода'!$B$61:$B$108,$B56,'11.2. ДА за периода'!X$61:X$108)+SUMIF('11.1.Амортиз.нови активи'!$B$61:$B$108,$B56,'11.1.Амортиз.нови активи'!X$61:X$108)+('11.1.Амортиз.нови активи'!J$112*SUMIF('11.1.Амортиз.нови активи'!$B$61:$B$108,$B56,'11.1.Амортиз.нови активи'!AS$61:AS$108))</f>
        <v>0</v>
      </c>
      <c r="Y56" s="2618">
        <f>$S56-SUMIF('11.2. ДА за периода'!$B$61:$B$108,$B56,'11.2. ДА за периода'!$S$61:$S$108)+SUMIF('11.2. ДА за периода'!$B$61:$B$108,$B56,'11.2. ДА за периода'!Y$61:Y$108)+SUMIF('11.1.Амортиз.нови активи'!$B$61:$B$108,$B56,'11.1.Амортиз.нови активи'!Y$61:Y$108)+('11.1.Амортиз.нови активи'!K$112*SUMIF('11.1.Амортиз.нови активи'!$B$61:$B$108,$B56,'11.1.Амортиз.нови активи'!AT$61:AT$108))</f>
        <v>0</v>
      </c>
      <c r="Z56" s="4387">
        <f>+'11.3. ДА Базова година'!R61</f>
        <v>0</v>
      </c>
      <c r="AA56" s="2617">
        <f>$Z56-SUMIF('11.2. ДА за периода'!$B$61:$B$108,$B56,'11.2. ДА за периода'!$Z$61:$Z$108)+SUMIF('11.2. ДА за периода'!$B$61:$B$108,$B56,'11.2. ДА за периода'!AA$61:AA$108)+SUMIF('11.1.Амортиз.нови активи'!$B$61:$B$108,$B56,'11.1.Амортиз.нови активи'!AA$61:AA$108)</f>
        <v>0</v>
      </c>
      <c r="AB56" s="1110">
        <f>$Z56-SUMIF('11.2. ДА за периода'!$B$61:$B$108,$B56,'11.2. ДА за периода'!$Z$61:$Z$108)+SUMIF('11.2. ДА за периода'!$B$61:$B$108,$B56,'11.2. ДА за периода'!AB$61:AB$108)+SUMIF('11.1.Амортиз.нови активи'!$B$61:$B$108,$B56,'11.1.Амортиз.нови активи'!AB$61:AB$108)</f>
        <v>0</v>
      </c>
      <c r="AC56" s="1110">
        <f>$Z56-SUMIF('11.2. ДА за периода'!$B$61:$B$108,$B56,'11.2. ДА за периода'!$Z$61:$Z$108)+SUMIF('11.2. ДА за периода'!$B$61:$B$108,$B56,'11.2. ДА за периода'!AC$61:AC$108)+SUMIF('11.1.Амортиз.нови активи'!$B$61:$B$108,$B56,'11.1.Амортиз.нови активи'!AC$61:AC$108)</f>
        <v>0</v>
      </c>
      <c r="AD56" s="1110">
        <f>$Z56-SUMIF('11.2. ДА за периода'!$B$61:$B$108,$B56,'11.2. ДА за периода'!$Z$61:$Z$108)+SUMIF('11.2. ДА за периода'!$B$61:$B$108,$B56,'11.2. ДА за периода'!AD$61:AD$108)+SUMIF('11.1.Амортиз.нови активи'!$B$61:$B$108,$B56,'11.1.Амортиз.нови активи'!AD$61:AD$108)</f>
        <v>0</v>
      </c>
      <c r="AE56" s="1110">
        <f>$Z56-SUMIF('11.2. ДА за периода'!$B$61:$B$108,$B56,'11.2. ДА за периода'!$Z$61:$Z$108)+SUMIF('11.2. ДА за периода'!$B$61:$B$108,$B56,'11.2. ДА за периода'!AE$61:AE$108)+SUMIF('11.1.Амортиз.нови активи'!$B$61:$B$108,$B56,'11.1.Амортиз.нови активи'!AE$61:AE$108)</f>
        <v>0</v>
      </c>
      <c r="AF56" s="2618">
        <f>$Z56-SUMIF('11.2. ДА за периода'!$B$61:$B$108,$B56,'11.2. ДА за периода'!$Z$61:$Z$108)+SUMIF('11.2. ДА за периода'!$B$61:$B$108,$B56,'11.2. ДА за периода'!AF$61:AF$108)+SUMIF('11.1.Амортиз.нови активи'!$B$61:$B$108,$B56,'11.1.Амортиз.нови активи'!AF$61:AF$108)</f>
        <v>0</v>
      </c>
      <c r="AG56" s="4387">
        <f>+'11.3. ДА Базова година'!V61</f>
        <v>0</v>
      </c>
      <c r="AH56" s="2617">
        <f>$AG56-SUMIF('11.2. ДА за периода'!$B$61:$B$108,$B56,'11.2. ДА за периода'!$AG$61:$AG$108)+SUMIF('11.2. ДА за периода'!$B$61:$B$108,$B56,'11.2. ДА за периода'!AH$61:AH$108)+SUMIF('11.1.Амортиз.нови активи'!$B$61:$B$108,$B56,'11.1.Амортиз.нови активи'!AH$61:AH$108)+('11.1.Амортиз.нови активи'!T$112*SUMIF('11.1.Амортиз.нови активи'!$B$61:$B$108,$B56,'11.1.Амортиз.нови активи'!BB$61:BB$108))</f>
        <v>0</v>
      </c>
      <c r="AI56" s="1110">
        <f>$AG56-SUMIF('11.2. ДА за периода'!$B$61:$B$108,$B56,'11.2. ДА за периода'!$AG$61:$AG$108)+SUMIF('11.2. ДА за периода'!$B$61:$B$108,$B56,'11.2. ДА за периода'!AI$61:AI$108)+SUMIF('11.1.Амортиз.нови активи'!$B$61:$B$108,$B56,'11.1.Амортиз.нови активи'!AI$61:AI$108)+('11.1.Амортиз.нови активи'!U$112*SUMIF('11.1.Амортиз.нови активи'!$B$61:$B$108,$B56,'11.1.Амортиз.нови активи'!BC$61:BC$108))</f>
        <v>0</v>
      </c>
      <c r="AJ56" s="1110">
        <f>$AG56-SUMIF('11.2. ДА за периода'!$B$61:$B$108,$B56,'11.2. ДА за периода'!$AG$61:$AG$108)+SUMIF('11.2. ДА за периода'!$B$61:$B$108,$B56,'11.2. ДА за периода'!AJ$61:AJ$108)+SUMIF('11.1.Амортиз.нови активи'!$B$61:$B$108,$B56,'11.1.Амортиз.нови активи'!AJ$61:AJ$108)+('11.1.Амортиз.нови активи'!V$112*SUMIF('11.1.Амортиз.нови активи'!$B$61:$B$108,$B56,'11.1.Амортиз.нови активи'!BD$61:BD$108))</f>
        <v>0</v>
      </c>
      <c r="AK56" s="1110">
        <f>$AG56-SUMIF('11.2. ДА за периода'!$B$61:$B$108,$B56,'11.2. ДА за периода'!$AG$61:$AG$108)+SUMIF('11.2. ДА за периода'!$B$61:$B$108,$B56,'11.2. ДА за периода'!AK$61:AK$108)+SUMIF('11.1.Амортиз.нови активи'!$B$61:$B$108,$B56,'11.1.Амортиз.нови активи'!AK$61:AK$108)+('11.1.Амортиз.нови активи'!W$112*SUMIF('11.1.Амортиз.нови активи'!$B$61:$B$108,$B56,'11.1.Амортиз.нови активи'!BE$61:BE$108))</f>
        <v>0</v>
      </c>
      <c r="AL56" s="1110">
        <f>$AG56-SUMIF('11.2. ДА за периода'!$B$61:$B$108,$B56,'11.2. ДА за периода'!$AG$61:$AG$108)+SUMIF('11.2. ДА за периода'!$B$61:$B$108,$B56,'11.2. ДА за периода'!AL$61:AL$108)+SUMIF('11.1.Амортиз.нови активи'!$B$61:$B$108,$B56,'11.1.Амортиз.нови активи'!AL$61:AL$108)+('11.1.Амортиз.нови активи'!X$112*SUMIF('11.1.Амортиз.нови активи'!$B$61:$B$108,$B56,'11.1.Амортиз.нови активи'!BF$61:BF$108))</f>
        <v>0</v>
      </c>
      <c r="AM56" s="2618">
        <f>$AG56-SUMIF('11.2. ДА за периода'!$B$61:$B$108,$B56,'11.2. ДА за периода'!$AG$61:$AG$108)+SUMIF('11.2. ДА за периода'!$B$61:$B$108,$B56,'11.2. ДА за периода'!AM$61:AM$108)+SUMIF('11.1.Амортиз.нови активи'!$B$61:$B$108,$B56,'11.1.Амортиз.нови активи'!AM$61:AM$108)+('11.1.Амортиз.нови активи'!Y$112*SUMIF('11.1.Амортиз.нови активи'!$B$61:$B$108,$B56,'11.1.Амортиз.нови активи'!BG$61:BG$108))</f>
        <v>0</v>
      </c>
      <c r="AN56" s="2513"/>
      <c r="AO56" s="2551"/>
      <c r="AP56" s="4422"/>
      <c r="AQ56" s="4438">
        <f t="shared" si="31"/>
        <v>0</v>
      </c>
      <c r="AR56" s="4438">
        <f t="shared" si="32"/>
        <v>0</v>
      </c>
      <c r="AS56" s="4438">
        <f t="shared" si="33"/>
        <v>0</v>
      </c>
      <c r="AT56" s="4438">
        <f t="shared" si="34"/>
        <v>0</v>
      </c>
      <c r="AU56" s="4438">
        <f t="shared" si="35"/>
        <v>0</v>
      </c>
      <c r="AV56" s="4438">
        <f t="shared" si="36"/>
        <v>0</v>
      </c>
      <c r="AW56" s="4438">
        <f t="shared" si="37"/>
        <v>0</v>
      </c>
      <c r="AX56" s="4438">
        <f t="shared" si="38"/>
        <v>0</v>
      </c>
      <c r="AY56" s="4438">
        <f t="shared" si="39"/>
        <v>0</v>
      </c>
      <c r="AZ56" s="4438">
        <f t="shared" si="40"/>
        <v>0</v>
      </c>
      <c r="BA56" s="4438">
        <f t="shared" si="41"/>
        <v>0</v>
      </c>
      <c r="BB56" s="4438">
        <f t="shared" si="42"/>
        <v>0</v>
      </c>
      <c r="BC56" s="4438">
        <f t="shared" si="43"/>
        <v>0</v>
      </c>
      <c r="BD56" s="4438">
        <f t="shared" si="44"/>
        <v>0</v>
      </c>
      <c r="BE56" s="4438">
        <f t="shared" si="45"/>
        <v>0</v>
      </c>
      <c r="BF56" s="4438">
        <f t="shared" si="46"/>
        <v>0</v>
      </c>
      <c r="BG56" s="4438">
        <f t="shared" si="47"/>
        <v>0</v>
      </c>
      <c r="BH56" s="4438">
        <f t="shared" si="48"/>
        <v>0</v>
      </c>
      <c r="BI56" s="4438">
        <f t="shared" si="49"/>
        <v>0</v>
      </c>
      <c r="BJ56" s="4438">
        <f t="shared" si="50"/>
        <v>0</v>
      </c>
      <c r="BK56" s="4438">
        <f t="shared" si="51"/>
        <v>0</v>
      </c>
      <c r="BL56" s="4438">
        <f t="shared" si="52"/>
        <v>0</v>
      </c>
      <c r="BM56" s="4438">
        <f t="shared" si="53"/>
        <v>0</v>
      </c>
      <c r="BN56" s="4438">
        <f t="shared" si="54"/>
        <v>0</v>
      </c>
      <c r="BO56" s="4438">
        <f t="shared" si="55"/>
        <v>0</v>
      </c>
      <c r="BP56" s="4438">
        <f t="shared" si="56"/>
        <v>0</v>
      </c>
      <c r="BQ56" s="4438">
        <f t="shared" si="57"/>
        <v>0</v>
      </c>
      <c r="BR56" s="4438">
        <f t="shared" si="58"/>
        <v>0</v>
      </c>
      <c r="BS56" s="4438">
        <f t="shared" si="59"/>
        <v>0</v>
      </c>
      <c r="BT56" s="4438">
        <f t="shared" si="60"/>
        <v>0</v>
      </c>
      <c r="BU56" s="4438">
        <f t="shared" si="61"/>
        <v>0</v>
      </c>
      <c r="BV56" s="4438">
        <f t="shared" si="62"/>
        <v>0</v>
      </c>
      <c r="BW56" s="4438">
        <f t="shared" si="63"/>
        <v>0</v>
      </c>
      <c r="BX56" s="4438">
        <f t="shared" si="64"/>
        <v>0</v>
      </c>
      <c r="BY56" s="4438">
        <f t="shared" si="65"/>
        <v>0</v>
      </c>
    </row>
    <row r="57" spans="1:77">
      <c r="A57" s="2531">
        <v>14</v>
      </c>
      <c r="B57" s="2600"/>
      <c r="C57" s="2600"/>
      <c r="D57" s="2556" t="s">
        <v>628</v>
      </c>
      <c r="E57" s="2641">
        <f>+'11.3. ДА Базова година'!F62</f>
        <v>0</v>
      </c>
      <c r="F57" s="2617">
        <f>$E57-SUMIF('11.2. ДА за периода'!$B$61:$B$108,$B57,'11.2. ДА за периода'!$E$61:$E$108)+SUMIF('11.2. ДА за периода'!$B$61:$B$108,$B57,'11.2. ДА за периода'!F$61:F$108)+SUMIF('11.1.Амортиз.нови активи'!$B$61:$B$108,$B57,'11.1.Амортиз.нови активи'!F$61:F$108)+('11.1.Амортиз.нови активи'!F$110*SUMIF('11.1.Амортиз.нови активи'!$B$61:$B$108,$B57,'11.1.Амортиз.нови активи'!AO$61:AO$108))</f>
        <v>0</v>
      </c>
      <c r="G57" s="1110">
        <f>$E57-SUMIF('11.2. ДА за периода'!$B$61:$B$108,$B57,'11.2. ДА за периода'!$E$61:$E$108)+SUMIF('11.2. ДА за периода'!$B$61:$B$108,$B57,'11.2. ДА за периода'!G$61:G$108)+SUMIF('11.1.Амортиз.нови активи'!$B$61:$B$108,$B57,'11.1.Амортиз.нови активи'!G$61:G$108)+('11.1.Амортиз.нови активи'!G$110*SUMIF('11.1.Амортиз.нови активи'!$B$61:$B$108,$B57,'11.1.Амортиз.нови активи'!AP$61:AP$108))</f>
        <v>0</v>
      </c>
      <c r="H57" s="1110">
        <f>$E57-SUMIF('11.2. ДА за периода'!$B$61:$B$108,$B57,'11.2. ДА за периода'!$E$61:$E$108)+SUMIF('11.2. ДА за периода'!$B$61:$B$108,$B57,'11.2. ДА за периода'!H$61:H$108)+SUMIF('11.1.Амортиз.нови активи'!$B$61:$B$108,$B57,'11.1.Амортиз.нови активи'!H$61:H$108)+('11.1.Амортиз.нови активи'!H$110*SUMIF('11.1.Амортиз.нови активи'!$B$61:$B$108,$B57,'11.1.Амортиз.нови активи'!AQ$61:AQ$108))</f>
        <v>0</v>
      </c>
      <c r="I57" s="1110">
        <f>$E57-SUMIF('11.2. ДА за периода'!$B$61:$B$108,$B57,'11.2. ДА за периода'!$E$61:$E$108)+SUMIF('11.2. ДА за периода'!$B$61:$B$108,$B57,'11.2. ДА за периода'!I$61:I$108)+SUMIF('11.1.Амортиз.нови активи'!$B$61:$B$108,$B57,'11.1.Амортиз.нови активи'!I$61:I$108)+('11.1.Амортиз.нови активи'!I$110*SUMIF('11.1.Амортиз.нови активи'!$B$61:$B$108,$B57,'11.1.Амортиз.нови активи'!AR$61:AR$108))</f>
        <v>0</v>
      </c>
      <c r="J57" s="1110">
        <f>$E57-SUMIF('11.2. ДА за периода'!$B$61:$B$108,$B57,'11.2. ДА за периода'!$E$61:$E$108)+SUMIF('11.2. ДА за периода'!$B$61:$B$108,$B57,'11.2. ДА за периода'!J$61:J$108)+SUMIF('11.1.Амортиз.нови активи'!$B$61:$B$108,$B57,'11.1.Амортиз.нови активи'!J$61:J$108)+('11.1.Амортиз.нови активи'!J$110*SUMIF('11.1.Амортиз.нови активи'!$B$61:$B$108,$B57,'11.1.Амортиз.нови активи'!AS$61:AS$108))</f>
        <v>0</v>
      </c>
      <c r="K57" s="2618">
        <f>$E57-SUMIF('11.2. ДА за периода'!$B$61:$B$108,$B57,'11.2. ДА за периода'!$E$61:$E$108)+SUMIF('11.2. ДА за периода'!$B$61:$B$108,$B57,'11.2. ДА за периода'!K$61:K$108)+SUMIF('11.1.Амортиз.нови активи'!$B$61:$B$108,$B57,'11.1.Амортиз.нови активи'!K$61:K$108)+('11.1.Амортиз.нови активи'!K$110*SUMIF('11.1.Амортиз.нови активи'!$B$61:$B$108,$B57,'11.1.Амортиз.нови активи'!AT$61:AT$108))</f>
        <v>0</v>
      </c>
      <c r="L57" s="4387">
        <f>+'11.3. ДА Базова година'!J62</f>
        <v>0</v>
      </c>
      <c r="M57" s="2617">
        <f>$L57-SUMIF('11.2. ДА за периода'!$B$61:$B$108,$B57,'11.2. ДА за периода'!$L$61:$L$108)+SUMIF('11.2. ДА за периода'!$B$61:$B$108,$B57,'11.2. ДА за периода'!M$61:M$108)+SUMIF('11.1.Амортиз.нови активи'!$B$61:$B$108,$B57,'11.1.Амортиз.нови активи'!M$61:M$108)+('11.1.Амортиз.нови активи'!F$111*SUMIF('11.1.Амортиз.нови активи'!$B$61:$B$108,$B57,'11.1.Амортиз.нови активи'!AO$61:AO$108))</f>
        <v>0</v>
      </c>
      <c r="N57" s="1110">
        <f>$L57-SUMIF('11.2. ДА за периода'!$B$61:$B$108,$B57,'11.2. ДА за периода'!$L$61:$L$108)+SUMIF('11.2. ДА за периода'!$B$61:$B$108,$B57,'11.2. ДА за периода'!N$61:N$108)+SUMIF('11.1.Амортиз.нови активи'!$B$61:$B$108,$B57,'11.1.Амортиз.нови активи'!N$61:N$108)+('11.1.Амортиз.нови активи'!G$111*SUMIF('11.1.Амортиз.нови активи'!$B$61:$B$108,$B57,'11.1.Амортиз.нови активи'!AP$61:AP$108))</f>
        <v>0</v>
      </c>
      <c r="O57" s="1110">
        <f>$L57-SUMIF('11.2. ДА за периода'!$B$61:$B$108,$B57,'11.2. ДА за периода'!$L$61:$L$108)+SUMIF('11.2. ДА за периода'!$B$61:$B$108,$B57,'11.2. ДА за периода'!O$61:O$108)+SUMIF('11.1.Амортиз.нови активи'!$B$61:$B$108,$B57,'11.1.Амортиз.нови активи'!O$61:O$108)+('11.1.Амортиз.нови активи'!H$111*SUMIF('11.1.Амортиз.нови активи'!$B$61:$B$108,$B57,'11.1.Амортиз.нови активи'!AQ$61:AQ$108))</f>
        <v>0</v>
      </c>
      <c r="P57" s="1110">
        <f>$L57-SUMIF('11.2. ДА за периода'!$B$61:$B$108,$B57,'11.2. ДА за периода'!$L$61:$L$108)+SUMIF('11.2. ДА за периода'!$B$61:$B$108,$B57,'11.2. ДА за периода'!P$61:P$108)+SUMIF('11.1.Амортиз.нови активи'!$B$61:$B$108,$B57,'11.1.Амортиз.нови активи'!P$61:P$108)+('11.1.Амортиз.нови активи'!I$111*SUMIF('11.1.Амортиз.нови активи'!$B$61:$B$108,$B57,'11.1.Амортиз.нови активи'!AR$61:AR$108))</f>
        <v>0</v>
      </c>
      <c r="Q57" s="1110">
        <f>$L57-SUMIF('11.2. ДА за периода'!$B$61:$B$108,$B57,'11.2. ДА за периода'!$L$61:$L$108)+SUMIF('11.2. ДА за периода'!$B$61:$B$108,$B57,'11.2. ДА за периода'!Q$61:Q$108)+SUMIF('11.1.Амортиз.нови активи'!$B$61:$B$108,$B57,'11.1.Амортиз.нови активи'!Q$61:Q$108)+('11.1.Амортиз.нови активи'!J$111*SUMIF('11.1.Амортиз.нови активи'!$B$61:$B$108,$B57,'11.1.Амортиз.нови активи'!AS$61:AS$108))</f>
        <v>0</v>
      </c>
      <c r="R57" s="2618">
        <f>$L57-SUMIF('11.2. ДА за периода'!$B$61:$B$108,$B57,'11.2. ДА за периода'!$L$61:$L$108)+SUMIF('11.2. ДА за периода'!$B$61:$B$108,$B57,'11.2. ДА за периода'!R$61:R$108)+SUMIF('11.1.Амортиз.нови активи'!$B$61:$B$108,$B57,'11.1.Амортиз.нови активи'!R$61:R$108)+('11.1.Амортиз.нови активи'!K$111*SUMIF('11.1.Амортиз.нови активи'!$B$61:$B$108,$B57,'11.1.Амортиз.нови активи'!AT$61:AT$108))</f>
        <v>0</v>
      </c>
      <c r="S57" s="4387">
        <f>+'11.3. ДА Базова година'!N62</f>
        <v>0</v>
      </c>
      <c r="T57" s="2617">
        <f>$S57-SUMIF('11.2. ДА за периода'!$B$61:$B$108,$B57,'11.2. ДА за периода'!$S$61:$S$108)+SUMIF('11.2. ДА за периода'!$B$61:$B$108,$B57,'11.2. ДА за периода'!T$61:T$108)+SUMIF('11.1.Амортиз.нови активи'!$B$61:$B$108,$B57,'11.1.Амортиз.нови активи'!T$61:T$108)+('11.1.Амортиз.нови активи'!F$112*SUMIF('11.1.Амортиз.нови активи'!$B$61:$B$108,$B57,'11.1.Амортиз.нови активи'!AO$61:AO$108))</f>
        <v>0</v>
      </c>
      <c r="U57" s="1110">
        <f>$S57-SUMIF('11.2. ДА за периода'!$B$61:$B$108,$B57,'11.2. ДА за периода'!$S$61:$S$108)+SUMIF('11.2. ДА за периода'!$B$61:$B$108,$B57,'11.2. ДА за периода'!U$61:U$108)+SUMIF('11.1.Амортиз.нови активи'!$B$61:$B$108,$B57,'11.1.Амортиз.нови активи'!U$61:U$108)+('11.1.Амортиз.нови активи'!G$112*SUMIF('11.1.Амортиз.нови активи'!$B$61:$B$108,$B57,'11.1.Амортиз.нови активи'!AP$61:AP$108))</f>
        <v>0</v>
      </c>
      <c r="V57" s="1110">
        <f>$S57-SUMIF('11.2. ДА за периода'!$B$61:$B$108,$B57,'11.2. ДА за периода'!$S$61:$S$108)+SUMIF('11.2. ДА за периода'!$B$61:$B$108,$B57,'11.2. ДА за периода'!V$61:V$108)+SUMIF('11.1.Амортиз.нови активи'!$B$61:$B$108,$B57,'11.1.Амортиз.нови активи'!V$61:V$108)+('11.1.Амортиз.нови активи'!H$112*SUMIF('11.1.Амортиз.нови активи'!$B$61:$B$108,$B57,'11.1.Амортиз.нови активи'!AQ$61:AQ$108))</f>
        <v>0</v>
      </c>
      <c r="W57" s="1110">
        <f>$S57-SUMIF('11.2. ДА за периода'!$B$61:$B$108,$B57,'11.2. ДА за периода'!$S$61:$S$108)+SUMIF('11.2. ДА за периода'!$B$61:$B$108,$B57,'11.2. ДА за периода'!W$61:W$108)+SUMIF('11.1.Амортиз.нови активи'!$B$61:$B$108,$B57,'11.1.Амортиз.нови активи'!W$61:W$108)+('11.1.Амортиз.нови активи'!I$112*SUMIF('11.1.Амортиз.нови активи'!$B$61:$B$108,$B57,'11.1.Амортиз.нови активи'!AR$61:AR$108))</f>
        <v>0</v>
      </c>
      <c r="X57" s="1110">
        <f>$S57-SUMIF('11.2. ДА за периода'!$B$61:$B$108,$B57,'11.2. ДА за периода'!$S$61:$S$108)+SUMIF('11.2. ДА за периода'!$B$61:$B$108,$B57,'11.2. ДА за периода'!X$61:X$108)+SUMIF('11.1.Амортиз.нови активи'!$B$61:$B$108,$B57,'11.1.Амортиз.нови активи'!X$61:X$108)+('11.1.Амортиз.нови активи'!J$112*SUMIF('11.1.Амортиз.нови активи'!$B$61:$B$108,$B57,'11.1.Амортиз.нови активи'!AS$61:AS$108))</f>
        <v>0</v>
      </c>
      <c r="Y57" s="2618">
        <f>$S57-SUMIF('11.2. ДА за периода'!$B$61:$B$108,$B57,'11.2. ДА за периода'!$S$61:$S$108)+SUMIF('11.2. ДА за периода'!$B$61:$B$108,$B57,'11.2. ДА за периода'!Y$61:Y$108)+SUMIF('11.1.Амортиз.нови активи'!$B$61:$B$108,$B57,'11.1.Амортиз.нови активи'!Y$61:Y$108)+('11.1.Амортиз.нови активи'!K$112*SUMIF('11.1.Амортиз.нови активи'!$B$61:$B$108,$B57,'11.1.Амортиз.нови активи'!AT$61:AT$108))</f>
        <v>0</v>
      </c>
      <c r="Z57" s="4387">
        <f>+'11.3. ДА Базова година'!R62</f>
        <v>0</v>
      </c>
      <c r="AA57" s="2617">
        <f>$Z57-SUMIF('11.2. ДА за периода'!$B$61:$B$108,$B57,'11.2. ДА за периода'!$Z$61:$Z$108)+SUMIF('11.2. ДА за периода'!$B$61:$B$108,$B57,'11.2. ДА за периода'!AA$61:AA$108)+SUMIF('11.1.Амортиз.нови активи'!$B$61:$B$108,$B57,'11.1.Амортиз.нови активи'!AA$61:AA$108)</f>
        <v>0</v>
      </c>
      <c r="AB57" s="1110">
        <f>$Z57-SUMIF('11.2. ДА за периода'!$B$61:$B$108,$B57,'11.2. ДА за периода'!$Z$61:$Z$108)+SUMIF('11.2. ДА за периода'!$B$61:$B$108,$B57,'11.2. ДА за периода'!AB$61:AB$108)+SUMIF('11.1.Амортиз.нови активи'!$B$61:$B$108,$B57,'11.1.Амортиз.нови активи'!AB$61:AB$108)</f>
        <v>0</v>
      </c>
      <c r="AC57" s="1110">
        <f>$Z57-SUMIF('11.2. ДА за периода'!$B$61:$B$108,$B57,'11.2. ДА за периода'!$Z$61:$Z$108)+SUMIF('11.2. ДА за периода'!$B$61:$B$108,$B57,'11.2. ДА за периода'!AC$61:AC$108)+SUMIF('11.1.Амортиз.нови активи'!$B$61:$B$108,$B57,'11.1.Амортиз.нови активи'!AC$61:AC$108)</f>
        <v>0</v>
      </c>
      <c r="AD57" s="1110">
        <f>$Z57-SUMIF('11.2. ДА за периода'!$B$61:$B$108,$B57,'11.2. ДА за периода'!$Z$61:$Z$108)+SUMIF('11.2. ДА за периода'!$B$61:$B$108,$B57,'11.2. ДА за периода'!AD$61:AD$108)+SUMIF('11.1.Амортиз.нови активи'!$B$61:$B$108,$B57,'11.1.Амортиз.нови активи'!AD$61:AD$108)</f>
        <v>0</v>
      </c>
      <c r="AE57" s="1110">
        <f>$Z57-SUMIF('11.2. ДА за периода'!$B$61:$B$108,$B57,'11.2. ДА за периода'!$Z$61:$Z$108)+SUMIF('11.2. ДА за периода'!$B$61:$B$108,$B57,'11.2. ДА за периода'!AE$61:AE$108)+SUMIF('11.1.Амортиз.нови активи'!$B$61:$B$108,$B57,'11.1.Амортиз.нови активи'!AE$61:AE$108)</f>
        <v>0</v>
      </c>
      <c r="AF57" s="2618">
        <f>$Z57-SUMIF('11.2. ДА за периода'!$B$61:$B$108,$B57,'11.2. ДА за периода'!$Z$61:$Z$108)+SUMIF('11.2. ДА за периода'!$B$61:$B$108,$B57,'11.2. ДА за периода'!AF$61:AF$108)+SUMIF('11.1.Амортиз.нови активи'!$B$61:$B$108,$B57,'11.1.Амортиз.нови активи'!AF$61:AF$108)</f>
        <v>0</v>
      </c>
      <c r="AG57" s="4387">
        <f>+'11.3. ДА Базова година'!V62</f>
        <v>0</v>
      </c>
      <c r="AH57" s="2617">
        <f>$AG57-SUMIF('11.2. ДА за периода'!$B$61:$B$108,$B57,'11.2. ДА за периода'!$AG$61:$AG$108)+SUMIF('11.2. ДА за периода'!$B$61:$B$108,$B57,'11.2. ДА за периода'!AH$61:AH$108)+SUMIF('11.1.Амортиз.нови активи'!$B$61:$B$108,$B57,'11.1.Амортиз.нови активи'!AH$61:AH$108)+('11.1.Амортиз.нови активи'!T$112*SUMIF('11.1.Амортиз.нови активи'!$B$61:$B$108,$B57,'11.1.Амортиз.нови активи'!BB$61:BB$108))</f>
        <v>0</v>
      </c>
      <c r="AI57" s="1110">
        <f>$AG57-SUMIF('11.2. ДА за периода'!$B$61:$B$108,$B57,'11.2. ДА за периода'!$AG$61:$AG$108)+SUMIF('11.2. ДА за периода'!$B$61:$B$108,$B57,'11.2. ДА за периода'!AI$61:AI$108)+SUMIF('11.1.Амортиз.нови активи'!$B$61:$B$108,$B57,'11.1.Амортиз.нови активи'!AI$61:AI$108)+('11.1.Амортиз.нови активи'!U$112*SUMIF('11.1.Амортиз.нови активи'!$B$61:$B$108,$B57,'11.1.Амортиз.нови активи'!BC$61:BC$108))</f>
        <v>0</v>
      </c>
      <c r="AJ57" s="1110">
        <f>$AG57-SUMIF('11.2. ДА за периода'!$B$61:$B$108,$B57,'11.2. ДА за периода'!$AG$61:$AG$108)+SUMIF('11.2. ДА за периода'!$B$61:$B$108,$B57,'11.2. ДА за периода'!AJ$61:AJ$108)+SUMIF('11.1.Амортиз.нови активи'!$B$61:$B$108,$B57,'11.1.Амортиз.нови активи'!AJ$61:AJ$108)+('11.1.Амортиз.нови активи'!V$112*SUMIF('11.1.Амортиз.нови активи'!$B$61:$B$108,$B57,'11.1.Амортиз.нови активи'!BD$61:BD$108))</f>
        <v>0</v>
      </c>
      <c r="AK57" s="1110">
        <f>$AG57-SUMIF('11.2. ДА за периода'!$B$61:$B$108,$B57,'11.2. ДА за периода'!$AG$61:$AG$108)+SUMIF('11.2. ДА за периода'!$B$61:$B$108,$B57,'11.2. ДА за периода'!AK$61:AK$108)+SUMIF('11.1.Амортиз.нови активи'!$B$61:$B$108,$B57,'11.1.Амортиз.нови активи'!AK$61:AK$108)+('11.1.Амортиз.нови активи'!W$112*SUMIF('11.1.Амортиз.нови активи'!$B$61:$B$108,$B57,'11.1.Амортиз.нови активи'!BE$61:BE$108))</f>
        <v>0</v>
      </c>
      <c r="AL57" s="1110">
        <f>$AG57-SUMIF('11.2. ДА за периода'!$B$61:$B$108,$B57,'11.2. ДА за периода'!$AG$61:$AG$108)+SUMIF('11.2. ДА за периода'!$B$61:$B$108,$B57,'11.2. ДА за периода'!AL$61:AL$108)+SUMIF('11.1.Амортиз.нови активи'!$B$61:$B$108,$B57,'11.1.Амортиз.нови активи'!AL$61:AL$108)+('11.1.Амортиз.нови активи'!X$112*SUMIF('11.1.Амортиз.нови активи'!$B$61:$B$108,$B57,'11.1.Амортиз.нови активи'!BF$61:BF$108))</f>
        <v>0</v>
      </c>
      <c r="AM57" s="2618">
        <f>$AG57-SUMIF('11.2. ДА за периода'!$B$61:$B$108,$B57,'11.2. ДА за периода'!$AG$61:$AG$108)+SUMIF('11.2. ДА за периода'!$B$61:$B$108,$B57,'11.2. ДА за периода'!AM$61:AM$108)+SUMIF('11.1.Амортиз.нови активи'!$B$61:$B$108,$B57,'11.1.Амортиз.нови активи'!AM$61:AM$108)+('11.1.Амортиз.нови активи'!Y$112*SUMIF('11.1.Амортиз.нови активи'!$B$61:$B$108,$B57,'11.1.Амортиз.нови активи'!BG$61:BG$108))</f>
        <v>0</v>
      </c>
      <c r="AN57" s="2513"/>
      <c r="AO57" s="2521"/>
      <c r="AP57" s="4422"/>
      <c r="AQ57" s="4438">
        <f t="shared" si="31"/>
        <v>0</v>
      </c>
      <c r="AR57" s="4438">
        <f t="shared" si="32"/>
        <v>0</v>
      </c>
      <c r="AS57" s="4438">
        <f t="shared" si="33"/>
        <v>0</v>
      </c>
      <c r="AT57" s="4438">
        <f t="shared" si="34"/>
        <v>0</v>
      </c>
      <c r="AU57" s="4438">
        <f t="shared" si="35"/>
        <v>0</v>
      </c>
      <c r="AV57" s="4438">
        <f t="shared" si="36"/>
        <v>0</v>
      </c>
      <c r="AW57" s="4438">
        <f t="shared" si="37"/>
        <v>0</v>
      </c>
      <c r="AX57" s="4438">
        <f t="shared" si="38"/>
        <v>0</v>
      </c>
      <c r="AY57" s="4438">
        <f t="shared" si="39"/>
        <v>0</v>
      </c>
      <c r="AZ57" s="4438">
        <f t="shared" si="40"/>
        <v>0</v>
      </c>
      <c r="BA57" s="4438">
        <f t="shared" si="41"/>
        <v>0</v>
      </c>
      <c r="BB57" s="4438">
        <f t="shared" si="42"/>
        <v>0</v>
      </c>
      <c r="BC57" s="4438">
        <f t="shared" si="43"/>
        <v>0</v>
      </c>
      <c r="BD57" s="4438">
        <f t="shared" si="44"/>
        <v>0</v>
      </c>
      <c r="BE57" s="4438">
        <f t="shared" si="45"/>
        <v>0</v>
      </c>
      <c r="BF57" s="4438">
        <f t="shared" si="46"/>
        <v>0</v>
      </c>
      <c r="BG57" s="4438">
        <f t="shared" si="47"/>
        <v>0</v>
      </c>
      <c r="BH57" s="4438">
        <f t="shared" si="48"/>
        <v>0</v>
      </c>
      <c r="BI57" s="4438">
        <f t="shared" si="49"/>
        <v>0</v>
      </c>
      <c r="BJ57" s="4438">
        <f t="shared" si="50"/>
        <v>0</v>
      </c>
      <c r="BK57" s="4438">
        <f t="shared" si="51"/>
        <v>0</v>
      </c>
      <c r="BL57" s="4438">
        <f t="shared" si="52"/>
        <v>0</v>
      </c>
      <c r="BM57" s="4438">
        <f t="shared" si="53"/>
        <v>0</v>
      </c>
      <c r="BN57" s="4438">
        <f t="shared" si="54"/>
        <v>0</v>
      </c>
      <c r="BO57" s="4438">
        <f t="shared" si="55"/>
        <v>0</v>
      </c>
      <c r="BP57" s="4438">
        <f t="shared" si="56"/>
        <v>0</v>
      </c>
      <c r="BQ57" s="4438">
        <f t="shared" si="57"/>
        <v>0</v>
      </c>
      <c r="BR57" s="4438">
        <f t="shared" si="58"/>
        <v>0</v>
      </c>
      <c r="BS57" s="4438">
        <f t="shared" si="59"/>
        <v>0</v>
      </c>
      <c r="BT57" s="4438">
        <f t="shared" si="60"/>
        <v>0</v>
      </c>
      <c r="BU57" s="4438">
        <f t="shared" si="61"/>
        <v>0</v>
      </c>
      <c r="BV57" s="4438">
        <f t="shared" si="62"/>
        <v>0</v>
      </c>
      <c r="BW57" s="4438">
        <f t="shared" si="63"/>
        <v>0</v>
      </c>
      <c r="BX57" s="4438">
        <f t="shared" si="64"/>
        <v>0</v>
      </c>
      <c r="BY57" s="4438">
        <f t="shared" si="65"/>
        <v>0</v>
      </c>
    </row>
    <row r="58" spans="1:77" ht="24">
      <c r="A58" s="2531">
        <v>15</v>
      </c>
      <c r="B58" s="2557">
        <v>207</v>
      </c>
      <c r="C58" s="2558" t="s">
        <v>313</v>
      </c>
      <c r="D58" s="2555" t="s">
        <v>415</v>
      </c>
      <c r="E58" s="2641">
        <f>+'11.3. ДА Базова година'!F63</f>
        <v>0</v>
      </c>
      <c r="F58" s="2617">
        <f>$E58-SUMIF('11.2. ДА за периода'!$B$61:$B$108,$B58,'11.2. ДА за периода'!$E$61:$E$108)+SUMIF('11.2. ДА за периода'!$B$61:$B$108,$B58,'11.2. ДА за периода'!F$61:F$108)+SUMIF('11.1.Амортиз.нови активи'!$B$61:$B$108,$B58,'11.1.Амортиз.нови активи'!F$61:F$108)+('11.1.Амортиз.нови активи'!F$110*SUMIF('11.1.Амортиз.нови активи'!$B$61:$B$108,$B58,'11.1.Амортиз.нови активи'!AO$61:AO$108))</f>
        <v>0</v>
      </c>
      <c r="G58" s="1110">
        <f>$E58-SUMIF('11.2. ДА за периода'!$B$61:$B$108,$B58,'11.2. ДА за периода'!$E$61:$E$108)+SUMIF('11.2. ДА за периода'!$B$61:$B$108,$B58,'11.2. ДА за периода'!G$61:G$108)+SUMIF('11.1.Амортиз.нови активи'!$B$61:$B$108,$B58,'11.1.Амортиз.нови активи'!G$61:G$108)+('11.1.Амортиз.нови активи'!G$110*SUMIF('11.1.Амортиз.нови активи'!$B$61:$B$108,$B58,'11.1.Амортиз.нови активи'!AP$61:AP$108))</f>
        <v>0</v>
      </c>
      <c r="H58" s="1110">
        <f>$E58-SUMIF('11.2. ДА за периода'!$B$61:$B$108,$B58,'11.2. ДА за периода'!$E$61:$E$108)+SUMIF('11.2. ДА за периода'!$B$61:$B$108,$B58,'11.2. ДА за периода'!H$61:H$108)+SUMIF('11.1.Амортиз.нови активи'!$B$61:$B$108,$B58,'11.1.Амортиз.нови активи'!H$61:H$108)+('11.1.Амортиз.нови активи'!H$110*SUMIF('11.1.Амортиз.нови активи'!$B$61:$B$108,$B58,'11.1.Амортиз.нови активи'!AQ$61:AQ$108))</f>
        <v>0</v>
      </c>
      <c r="I58" s="1110">
        <f>$E58-SUMIF('11.2. ДА за периода'!$B$61:$B$108,$B58,'11.2. ДА за периода'!$E$61:$E$108)+SUMIF('11.2. ДА за периода'!$B$61:$B$108,$B58,'11.2. ДА за периода'!I$61:I$108)+SUMIF('11.1.Амортиз.нови активи'!$B$61:$B$108,$B58,'11.1.Амортиз.нови активи'!I$61:I$108)+('11.1.Амортиз.нови активи'!I$110*SUMIF('11.1.Амортиз.нови активи'!$B$61:$B$108,$B58,'11.1.Амортиз.нови активи'!AR$61:AR$108))</f>
        <v>0</v>
      </c>
      <c r="J58" s="1110">
        <f>$E58-SUMIF('11.2. ДА за периода'!$B$61:$B$108,$B58,'11.2. ДА за периода'!$E$61:$E$108)+SUMIF('11.2. ДА за периода'!$B$61:$B$108,$B58,'11.2. ДА за периода'!J$61:J$108)+SUMIF('11.1.Амортиз.нови активи'!$B$61:$B$108,$B58,'11.1.Амортиз.нови активи'!J$61:J$108)+('11.1.Амортиз.нови активи'!J$110*SUMIF('11.1.Амортиз.нови активи'!$B$61:$B$108,$B58,'11.1.Амортиз.нови активи'!AS$61:AS$108))</f>
        <v>0</v>
      </c>
      <c r="K58" s="2618">
        <f>$E58-SUMIF('11.2. ДА за периода'!$B$61:$B$108,$B58,'11.2. ДА за периода'!$E$61:$E$108)+SUMIF('11.2. ДА за периода'!$B$61:$B$108,$B58,'11.2. ДА за периода'!K$61:K$108)+SUMIF('11.1.Амортиз.нови активи'!$B$61:$B$108,$B58,'11.1.Амортиз.нови активи'!K$61:K$108)+('11.1.Амортиз.нови активи'!K$110*SUMIF('11.1.Амортиз.нови активи'!$B$61:$B$108,$B58,'11.1.Амортиз.нови активи'!AT$61:AT$108))</f>
        <v>0</v>
      </c>
      <c r="L58" s="4387">
        <f>+'11.3. ДА Базова година'!J63</f>
        <v>0</v>
      </c>
      <c r="M58" s="2617">
        <f>$L58-SUMIF('11.2. ДА за периода'!$B$61:$B$108,$B58,'11.2. ДА за периода'!$L$61:$L$108)+SUMIF('11.2. ДА за периода'!$B$61:$B$108,$B58,'11.2. ДА за периода'!M$61:M$108)+SUMIF('11.1.Амортиз.нови активи'!$B$61:$B$108,$B58,'11.1.Амортиз.нови активи'!M$61:M$108)+('11.1.Амортиз.нови активи'!F$111*SUMIF('11.1.Амортиз.нови активи'!$B$61:$B$108,$B58,'11.1.Амортиз.нови активи'!AO$61:AO$108))</f>
        <v>0</v>
      </c>
      <c r="N58" s="1110">
        <f>$L58-SUMIF('11.2. ДА за периода'!$B$61:$B$108,$B58,'11.2. ДА за периода'!$L$61:$L$108)+SUMIF('11.2. ДА за периода'!$B$61:$B$108,$B58,'11.2. ДА за периода'!N$61:N$108)+SUMIF('11.1.Амортиз.нови активи'!$B$61:$B$108,$B58,'11.1.Амортиз.нови активи'!N$61:N$108)+('11.1.Амортиз.нови активи'!G$111*SUMIF('11.1.Амортиз.нови активи'!$B$61:$B$108,$B58,'11.1.Амортиз.нови активи'!AP$61:AP$108))</f>
        <v>0</v>
      </c>
      <c r="O58" s="1110">
        <f>$L58-SUMIF('11.2. ДА за периода'!$B$61:$B$108,$B58,'11.2. ДА за периода'!$L$61:$L$108)+SUMIF('11.2. ДА за периода'!$B$61:$B$108,$B58,'11.2. ДА за периода'!O$61:O$108)+SUMIF('11.1.Амортиз.нови активи'!$B$61:$B$108,$B58,'11.1.Амортиз.нови активи'!O$61:O$108)+('11.1.Амортиз.нови активи'!H$111*SUMIF('11.1.Амортиз.нови активи'!$B$61:$B$108,$B58,'11.1.Амортиз.нови активи'!AQ$61:AQ$108))</f>
        <v>0</v>
      </c>
      <c r="P58" s="1110">
        <f>$L58-SUMIF('11.2. ДА за периода'!$B$61:$B$108,$B58,'11.2. ДА за периода'!$L$61:$L$108)+SUMIF('11.2. ДА за периода'!$B$61:$B$108,$B58,'11.2. ДА за периода'!P$61:P$108)+SUMIF('11.1.Амортиз.нови активи'!$B$61:$B$108,$B58,'11.1.Амортиз.нови активи'!P$61:P$108)+('11.1.Амортиз.нови активи'!I$111*SUMIF('11.1.Амортиз.нови активи'!$B$61:$B$108,$B58,'11.1.Амортиз.нови активи'!AR$61:AR$108))</f>
        <v>0</v>
      </c>
      <c r="Q58" s="1110">
        <f>$L58-SUMIF('11.2. ДА за периода'!$B$61:$B$108,$B58,'11.2. ДА за периода'!$L$61:$L$108)+SUMIF('11.2. ДА за периода'!$B$61:$B$108,$B58,'11.2. ДА за периода'!Q$61:Q$108)+SUMIF('11.1.Амортиз.нови активи'!$B$61:$B$108,$B58,'11.1.Амортиз.нови активи'!Q$61:Q$108)+('11.1.Амортиз.нови активи'!J$111*SUMIF('11.1.Амортиз.нови активи'!$B$61:$B$108,$B58,'11.1.Амортиз.нови активи'!AS$61:AS$108))</f>
        <v>0</v>
      </c>
      <c r="R58" s="2618">
        <f>$L58-SUMIF('11.2. ДА за периода'!$B$61:$B$108,$B58,'11.2. ДА за периода'!$L$61:$L$108)+SUMIF('11.2. ДА за периода'!$B$61:$B$108,$B58,'11.2. ДА за периода'!R$61:R$108)+SUMIF('11.1.Амортиз.нови активи'!$B$61:$B$108,$B58,'11.1.Амортиз.нови активи'!R$61:R$108)+('11.1.Амортиз.нови активи'!K$111*SUMIF('11.1.Амортиз.нови активи'!$B$61:$B$108,$B58,'11.1.Амортиз.нови активи'!AT$61:AT$108))</f>
        <v>0</v>
      </c>
      <c r="S58" s="4387">
        <f>+'11.3. ДА Базова година'!N63</f>
        <v>0</v>
      </c>
      <c r="T58" s="2617">
        <f>$S58-SUMIF('11.2. ДА за периода'!$B$61:$B$108,$B58,'11.2. ДА за периода'!$S$61:$S$108)+SUMIF('11.2. ДА за периода'!$B$61:$B$108,$B58,'11.2. ДА за периода'!T$61:T$108)+SUMIF('11.1.Амортиз.нови активи'!$B$61:$B$108,$B58,'11.1.Амортиз.нови активи'!T$61:T$108)+('11.1.Амортиз.нови активи'!F$112*SUMIF('11.1.Амортиз.нови активи'!$B$61:$B$108,$B58,'11.1.Амортиз.нови активи'!AO$61:AO$108))</f>
        <v>0</v>
      </c>
      <c r="U58" s="1110">
        <f>$S58-SUMIF('11.2. ДА за периода'!$B$61:$B$108,$B58,'11.2. ДА за периода'!$S$61:$S$108)+SUMIF('11.2. ДА за периода'!$B$61:$B$108,$B58,'11.2. ДА за периода'!U$61:U$108)+SUMIF('11.1.Амортиз.нови активи'!$B$61:$B$108,$B58,'11.1.Амортиз.нови активи'!U$61:U$108)+('11.1.Амортиз.нови активи'!G$112*SUMIF('11.1.Амортиз.нови активи'!$B$61:$B$108,$B58,'11.1.Амортиз.нови активи'!AP$61:AP$108))</f>
        <v>0</v>
      </c>
      <c r="V58" s="1110">
        <f>$S58-SUMIF('11.2. ДА за периода'!$B$61:$B$108,$B58,'11.2. ДА за периода'!$S$61:$S$108)+SUMIF('11.2. ДА за периода'!$B$61:$B$108,$B58,'11.2. ДА за периода'!V$61:V$108)+SUMIF('11.1.Амортиз.нови активи'!$B$61:$B$108,$B58,'11.1.Амортиз.нови активи'!V$61:V$108)+('11.1.Амортиз.нови активи'!H$112*SUMIF('11.1.Амортиз.нови активи'!$B$61:$B$108,$B58,'11.1.Амортиз.нови активи'!AQ$61:AQ$108))</f>
        <v>0</v>
      </c>
      <c r="W58" s="1110">
        <f>$S58-SUMIF('11.2. ДА за периода'!$B$61:$B$108,$B58,'11.2. ДА за периода'!$S$61:$S$108)+SUMIF('11.2. ДА за периода'!$B$61:$B$108,$B58,'11.2. ДА за периода'!W$61:W$108)+SUMIF('11.1.Амортиз.нови активи'!$B$61:$B$108,$B58,'11.1.Амортиз.нови активи'!W$61:W$108)+('11.1.Амортиз.нови активи'!I$112*SUMIF('11.1.Амортиз.нови активи'!$B$61:$B$108,$B58,'11.1.Амортиз.нови активи'!AR$61:AR$108))</f>
        <v>0</v>
      </c>
      <c r="X58" s="1110">
        <f>$S58-SUMIF('11.2. ДА за периода'!$B$61:$B$108,$B58,'11.2. ДА за периода'!$S$61:$S$108)+SUMIF('11.2. ДА за периода'!$B$61:$B$108,$B58,'11.2. ДА за периода'!X$61:X$108)+SUMIF('11.1.Амортиз.нови активи'!$B$61:$B$108,$B58,'11.1.Амортиз.нови активи'!X$61:X$108)+('11.1.Амортиз.нови активи'!J$112*SUMIF('11.1.Амортиз.нови активи'!$B$61:$B$108,$B58,'11.1.Амортиз.нови активи'!AS$61:AS$108))</f>
        <v>0</v>
      </c>
      <c r="Y58" s="2618">
        <f>$S58-SUMIF('11.2. ДА за периода'!$B$61:$B$108,$B58,'11.2. ДА за периода'!$S$61:$S$108)+SUMIF('11.2. ДА за периода'!$B$61:$B$108,$B58,'11.2. ДА за периода'!Y$61:Y$108)+SUMIF('11.1.Амортиз.нови активи'!$B$61:$B$108,$B58,'11.1.Амортиз.нови активи'!Y$61:Y$108)+('11.1.Амортиз.нови активи'!K$112*SUMIF('11.1.Амортиз.нови активи'!$B$61:$B$108,$B58,'11.1.Амортиз.нови активи'!AT$61:AT$108))</f>
        <v>0</v>
      </c>
      <c r="Z58" s="4387">
        <f>+'11.3. ДА Базова година'!R63</f>
        <v>0</v>
      </c>
      <c r="AA58" s="2617">
        <f>$Z58-SUMIF('11.2. ДА за периода'!$B$61:$B$108,$B58,'11.2. ДА за периода'!$Z$61:$Z$108)+SUMIF('11.2. ДА за периода'!$B$61:$B$108,$B58,'11.2. ДА за периода'!AA$61:AA$108)+SUMIF('11.1.Амортиз.нови активи'!$B$61:$B$108,$B58,'11.1.Амортиз.нови активи'!AA$61:AA$108)</f>
        <v>0</v>
      </c>
      <c r="AB58" s="1110">
        <f>$Z58-SUMIF('11.2. ДА за периода'!$B$61:$B$108,$B58,'11.2. ДА за периода'!$Z$61:$Z$108)+SUMIF('11.2. ДА за периода'!$B$61:$B$108,$B58,'11.2. ДА за периода'!AB$61:AB$108)+SUMIF('11.1.Амортиз.нови активи'!$B$61:$B$108,$B58,'11.1.Амортиз.нови активи'!AB$61:AB$108)</f>
        <v>0</v>
      </c>
      <c r="AC58" s="1110">
        <f>$Z58-SUMIF('11.2. ДА за периода'!$B$61:$B$108,$B58,'11.2. ДА за периода'!$Z$61:$Z$108)+SUMIF('11.2. ДА за периода'!$B$61:$B$108,$B58,'11.2. ДА за периода'!AC$61:AC$108)+SUMIF('11.1.Амортиз.нови активи'!$B$61:$B$108,$B58,'11.1.Амортиз.нови активи'!AC$61:AC$108)</f>
        <v>0</v>
      </c>
      <c r="AD58" s="1110">
        <f>$Z58-SUMIF('11.2. ДА за периода'!$B$61:$B$108,$B58,'11.2. ДА за периода'!$Z$61:$Z$108)+SUMIF('11.2. ДА за периода'!$B$61:$B$108,$B58,'11.2. ДА за периода'!AD$61:AD$108)+SUMIF('11.1.Амортиз.нови активи'!$B$61:$B$108,$B58,'11.1.Амортиз.нови активи'!AD$61:AD$108)</f>
        <v>0</v>
      </c>
      <c r="AE58" s="1110">
        <f>$Z58-SUMIF('11.2. ДА за периода'!$B$61:$B$108,$B58,'11.2. ДА за периода'!$Z$61:$Z$108)+SUMIF('11.2. ДА за периода'!$B$61:$B$108,$B58,'11.2. ДА за периода'!AE$61:AE$108)+SUMIF('11.1.Амортиз.нови активи'!$B$61:$B$108,$B58,'11.1.Амортиз.нови активи'!AE$61:AE$108)</f>
        <v>0</v>
      </c>
      <c r="AF58" s="2618">
        <f>$Z58-SUMIF('11.2. ДА за периода'!$B$61:$B$108,$B58,'11.2. ДА за периода'!$Z$61:$Z$108)+SUMIF('11.2. ДА за периода'!$B$61:$B$108,$B58,'11.2. ДА за периода'!AF$61:AF$108)+SUMIF('11.1.Амортиз.нови активи'!$B$61:$B$108,$B58,'11.1.Амортиз.нови активи'!AF$61:AF$108)</f>
        <v>0</v>
      </c>
      <c r="AG58" s="4387">
        <f>+'11.3. ДА Базова година'!V63</f>
        <v>0</v>
      </c>
      <c r="AH58" s="2617">
        <f>$AG58-SUMIF('11.2. ДА за периода'!$B$61:$B$108,$B58,'11.2. ДА за периода'!$AG$61:$AG$108)+SUMIF('11.2. ДА за периода'!$B$61:$B$108,$B58,'11.2. ДА за периода'!AH$61:AH$108)+SUMIF('11.1.Амортиз.нови активи'!$B$61:$B$108,$B58,'11.1.Амортиз.нови активи'!AH$61:AH$108)+('11.1.Амортиз.нови активи'!T$112*SUMIF('11.1.Амортиз.нови активи'!$B$61:$B$108,$B58,'11.1.Амортиз.нови активи'!BB$61:BB$108))</f>
        <v>0</v>
      </c>
      <c r="AI58" s="1110">
        <f>$AG58-SUMIF('11.2. ДА за периода'!$B$61:$B$108,$B58,'11.2. ДА за периода'!$AG$61:$AG$108)+SUMIF('11.2. ДА за периода'!$B$61:$B$108,$B58,'11.2. ДА за периода'!AI$61:AI$108)+SUMIF('11.1.Амортиз.нови активи'!$B$61:$B$108,$B58,'11.1.Амортиз.нови активи'!AI$61:AI$108)+('11.1.Амортиз.нови активи'!U$112*SUMIF('11.1.Амортиз.нови активи'!$B$61:$B$108,$B58,'11.1.Амортиз.нови активи'!BC$61:BC$108))</f>
        <v>0</v>
      </c>
      <c r="AJ58" s="1110">
        <f>$AG58-SUMIF('11.2. ДА за периода'!$B$61:$B$108,$B58,'11.2. ДА за периода'!$AG$61:$AG$108)+SUMIF('11.2. ДА за периода'!$B$61:$B$108,$B58,'11.2. ДА за периода'!AJ$61:AJ$108)+SUMIF('11.1.Амортиз.нови активи'!$B$61:$B$108,$B58,'11.1.Амортиз.нови активи'!AJ$61:AJ$108)+('11.1.Амортиз.нови активи'!V$112*SUMIF('11.1.Амортиз.нови активи'!$B$61:$B$108,$B58,'11.1.Амортиз.нови активи'!BD$61:BD$108))</f>
        <v>0</v>
      </c>
      <c r="AK58" s="1110">
        <f>$AG58-SUMIF('11.2. ДА за периода'!$B$61:$B$108,$B58,'11.2. ДА за периода'!$AG$61:$AG$108)+SUMIF('11.2. ДА за периода'!$B$61:$B$108,$B58,'11.2. ДА за периода'!AK$61:AK$108)+SUMIF('11.1.Амортиз.нови активи'!$B$61:$B$108,$B58,'11.1.Амортиз.нови активи'!AK$61:AK$108)+('11.1.Амортиз.нови активи'!W$112*SUMIF('11.1.Амортиз.нови активи'!$B$61:$B$108,$B58,'11.1.Амортиз.нови активи'!BE$61:BE$108))</f>
        <v>0</v>
      </c>
      <c r="AL58" s="1110">
        <f>$AG58-SUMIF('11.2. ДА за периода'!$B$61:$B$108,$B58,'11.2. ДА за периода'!$AG$61:$AG$108)+SUMIF('11.2. ДА за периода'!$B$61:$B$108,$B58,'11.2. ДА за периода'!AL$61:AL$108)+SUMIF('11.1.Амортиз.нови активи'!$B$61:$B$108,$B58,'11.1.Амортиз.нови активи'!AL$61:AL$108)+('11.1.Амортиз.нови активи'!X$112*SUMIF('11.1.Амортиз.нови активи'!$B$61:$B$108,$B58,'11.1.Амортиз.нови активи'!BF$61:BF$108))</f>
        <v>0</v>
      </c>
      <c r="AM58" s="2618">
        <f>$AG58-SUMIF('11.2. ДА за периода'!$B$61:$B$108,$B58,'11.2. ДА за периода'!$AG$61:$AG$108)+SUMIF('11.2. ДА за периода'!$B$61:$B$108,$B58,'11.2. ДА за периода'!AM$61:AM$108)+SUMIF('11.1.Амортиз.нови активи'!$B$61:$B$108,$B58,'11.1.Амортиз.нови активи'!AM$61:AM$108)+('11.1.Амортиз.нови активи'!Y$112*SUMIF('11.1.Амортиз.нови активи'!$B$61:$B$108,$B58,'11.1.Амортиз.нови активи'!BG$61:BG$108))</f>
        <v>0</v>
      </c>
      <c r="AN58" s="2513"/>
      <c r="AO58" s="2551"/>
      <c r="AP58" s="4422"/>
      <c r="AQ58" s="4438">
        <f t="shared" si="31"/>
        <v>0</v>
      </c>
      <c r="AR58" s="4438">
        <f t="shared" si="32"/>
        <v>0</v>
      </c>
      <c r="AS58" s="4438">
        <f t="shared" si="33"/>
        <v>0</v>
      </c>
      <c r="AT58" s="4438">
        <f t="shared" si="34"/>
        <v>0</v>
      </c>
      <c r="AU58" s="4438">
        <f t="shared" si="35"/>
        <v>0</v>
      </c>
      <c r="AV58" s="4438">
        <f t="shared" si="36"/>
        <v>0</v>
      </c>
      <c r="AW58" s="4438">
        <f t="shared" si="37"/>
        <v>0</v>
      </c>
      <c r="AX58" s="4438">
        <f t="shared" si="38"/>
        <v>0</v>
      </c>
      <c r="AY58" s="4438">
        <f t="shared" si="39"/>
        <v>0</v>
      </c>
      <c r="AZ58" s="4438">
        <f t="shared" si="40"/>
        <v>0</v>
      </c>
      <c r="BA58" s="4438">
        <f t="shared" si="41"/>
        <v>0</v>
      </c>
      <c r="BB58" s="4438">
        <f t="shared" si="42"/>
        <v>0</v>
      </c>
      <c r="BC58" s="4438">
        <f t="shared" si="43"/>
        <v>0</v>
      </c>
      <c r="BD58" s="4438">
        <f t="shared" si="44"/>
        <v>0</v>
      </c>
      <c r="BE58" s="4438">
        <f t="shared" si="45"/>
        <v>0</v>
      </c>
      <c r="BF58" s="4438">
        <f t="shared" si="46"/>
        <v>0</v>
      </c>
      <c r="BG58" s="4438">
        <f t="shared" si="47"/>
        <v>0</v>
      </c>
      <c r="BH58" s="4438">
        <f t="shared" si="48"/>
        <v>0</v>
      </c>
      <c r="BI58" s="4438">
        <f t="shared" si="49"/>
        <v>0</v>
      </c>
      <c r="BJ58" s="4438">
        <f t="shared" si="50"/>
        <v>0</v>
      </c>
      <c r="BK58" s="4438">
        <f t="shared" si="51"/>
        <v>0</v>
      </c>
      <c r="BL58" s="4438">
        <f t="shared" si="52"/>
        <v>0</v>
      </c>
      <c r="BM58" s="4438">
        <f t="shared" si="53"/>
        <v>0</v>
      </c>
      <c r="BN58" s="4438">
        <f t="shared" si="54"/>
        <v>0</v>
      </c>
      <c r="BO58" s="4438">
        <f t="shared" si="55"/>
        <v>0</v>
      </c>
      <c r="BP58" s="4438">
        <f t="shared" si="56"/>
        <v>0</v>
      </c>
      <c r="BQ58" s="4438">
        <f t="shared" si="57"/>
        <v>0</v>
      </c>
      <c r="BR58" s="4438">
        <f t="shared" si="58"/>
        <v>0</v>
      </c>
      <c r="BS58" s="4438">
        <f t="shared" si="59"/>
        <v>0</v>
      </c>
      <c r="BT58" s="4438">
        <f t="shared" si="60"/>
        <v>0</v>
      </c>
      <c r="BU58" s="4438">
        <f t="shared" si="61"/>
        <v>0</v>
      </c>
      <c r="BV58" s="4438">
        <f t="shared" si="62"/>
        <v>0</v>
      </c>
      <c r="BW58" s="4438">
        <f t="shared" si="63"/>
        <v>0</v>
      </c>
      <c r="BX58" s="4438">
        <f t="shared" si="64"/>
        <v>0</v>
      </c>
      <c r="BY58" s="4438">
        <f t="shared" si="65"/>
        <v>0</v>
      </c>
    </row>
    <row r="59" spans="1:77" ht="13.5" thickBot="1">
      <c r="A59" s="2531">
        <v>16</v>
      </c>
      <c r="B59" s="2559">
        <v>219</v>
      </c>
      <c r="C59" s="2558">
        <v>0.1</v>
      </c>
      <c r="D59" s="2560" t="s">
        <v>216</v>
      </c>
      <c r="E59" s="2641">
        <f>+'11.3. ДА Базова година'!F64</f>
        <v>2</v>
      </c>
      <c r="F59" s="2617">
        <f>$E59-SUMIF('11.2. ДА за периода'!$B$61:$B$108,$B59,'11.2. ДА за периода'!$E$61:$E$108)+SUMIF('11.2. ДА за периода'!$B$61:$B$108,$B59,'11.2. ДА за периода'!F$61:F$108)+SUMIF('11.1.Амортиз.нови активи'!$B$61:$B$108,$B59,'11.1.Амортиз.нови активи'!F$61:F$108)+('11.1.Амортиз.нови активи'!F$110*SUMIF('11.1.Амортиз.нови активи'!$B$61:$B$108,$B59,'11.1.Амортиз.нови активи'!AO$61:AO$108))</f>
        <v>2</v>
      </c>
      <c r="G59" s="1110">
        <f>$E59-SUMIF('11.2. ДА за периода'!$B$61:$B$108,$B59,'11.2. ДА за периода'!$E$61:$E$108)+SUMIF('11.2. ДА за периода'!$B$61:$B$108,$B59,'11.2. ДА за периода'!G$61:G$108)+SUMIF('11.1.Амортиз.нови активи'!$B$61:$B$108,$B59,'11.1.Амортиз.нови активи'!G$61:G$108)+('11.1.Амортиз.нови активи'!G$110*SUMIF('11.1.Амортиз.нови активи'!$B$61:$B$108,$B59,'11.1.Амортиз.нови активи'!AP$61:AP$108))</f>
        <v>2</v>
      </c>
      <c r="H59" s="1110">
        <f>$E59-SUMIF('11.2. ДА за периода'!$B$61:$B$108,$B59,'11.2. ДА за периода'!$E$61:$E$108)+SUMIF('11.2. ДА за периода'!$B$61:$B$108,$B59,'11.2. ДА за периода'!H$61:H$108)+SUMIF('11.1.Амортиз.нови активи'!$B$61:$B$108,$B59,'11.1.Амортиз.нови активи'!H$61:H$108)+('11.1.Амортиз.нови активи'!H$110*SUMIF('11.1.Амортиз.нови активи'!$B$61:$B$108,$B59,'11.1.Амортиз.нови активи'!AQ$61:AQ$108))</f>
        <v>2</v>
      </c>
      <c r="I59" s="1110">
        <f>$E59-SUMIF('11.2. ДА за периода'!$B$61:$B$108,$B59,'11.2. ДА за периода'!$E$61:$E$108)+SUMIF('11.2. ДА за периода'!$B$61:$B$108,$B59,'11.2. ДА за периода'!I$61:I$108)+SUMIF('11.1.Амортиз.нови активи'!$B$61:$B$108,$B59,'11.1.Амортиз.нови активи'!I$61:I$108)+('11.1.Амортиз.нови активи'!I$110*SUMIF('11.1.Амортиз.нови активи'!$B$61:$B$108,$B59,'11.1.Амортиз.нови активи'!AR$61:AR$108))</f>
        <v>2</v>
      </c>
      <c r="J59" s="1110">
        <f>$E59-SUMIF('11.2. ДА за периода'!$B$61:$B$108,$B59,'11.2. ДА за периода'!$E$61:$E$108)+SUMIF('11.2. ДА за периода'!$B$61:$B$108,$B59,'11.2. ДА за периода'!J$61:J$108)+SUMIF('11.1.Амортиз.нови активи'!$B$61:$B$108,$B59,'11.1.Амортиз.нови активи'!J$61:J$108)+('11.1.Амортиз.нови активи'!J$110*SUMIF('11.1.Амортиз.нови активи'!$B$61:$B$108,$B59,'11.1.Амортиз.нови активи'!AS$61:AS$108))</f>
        <v>2</v>
      </c>
      <c r="K59" s="2618">
        <f>$E59-SUMIF('11.2. ДА за периода'!$B$61:$B$108,$B59,'11.2. ДА за периода'!$E$61:$E$108)+SUMIF('11.2. ДА за периода'!$B$61:$B$108,$B59,'11.2. ДА за периода'!K$61:K$108)+SUMIF('11.1.Амортиз.нови активи'!$B$61:$B$108,$B59,'11.1.Амортиз.нови активи'!K$61:K$108)+('11.1.Амортиз.нови активи'!K$110*SUMIF('11.1.Амортиз.нови активи'!$B$61:$B$108,$B59,'11.1.Амортиз.нови активи'!AT$61:AT$108))</f>
        <v>2</v>
      </c>
      <c r="L59" s="4388">
        <f>+'11.3. ДА Базова година'!J64</f>
        <v>2</v>
      </c>
      <c r="M59" s="2617">
        <f>$L59-SUMIF('11.2. ДА за периода'!$B$61:$B$108,$B59,'11.2. ДА за периода'!$L$61:$L$108)+SUMIF('11.2. ДА за периода'!$B$61:$B$108,$B59,'11.2. ДА за периода'!M$61:M$108)+SUMIF('11.1.Амортиз.нови активи'!$B$61:$B$108,$B59,'11.1.Амортиз.нови активи'!M$61:M$108)+('11.1.Амортиз.нови активи'!F$111*SUMIF('11.1.Амортиз.нови активи'!$B$61:$B$108,$B59,'11.1.Амортиз.нови активи'!AO$61:AO$108))</f>
        <v>2</v>
      </c>
      <c r="N59" s="1110">
        <f>$L59-SUMIF('11.2. ДА за периода'!$B$61:$B$108,$B59,'11.2. ДА за периода'!$L$61:$L$108)+SUMIF('11.2. ДА за периода'!$B$61:$B$108,$B59,'11.2. ДА за периода'!N$61:N$108)+SUMIF('11.1.Амортиз.нови активи'!$B$61:$B$108,$B59,'11.1.Амортиз.нови активи'!N$61:N$108)+('11.1.Амортиз.нови активи'!G$111*SUMIF('11.1.Амортиз.нови активи'!$B$61:$B$108,$B59,'11.1.Амортиз.нови активи'!AP$61:AP$108))</f>
        <v>2</v>
      </c>
      <c r="O59" s="1110">
        <f>$L59-SUMIF('11.2. ДА за периода'!$B$61:$B$108,$B59,'11.2. ДА за периода'!$L$61:$L$108)+SUMIF('11.2. ДА за периода'!$B$61:$B$108,$B59,'11.2. ДА за периода'!O$61:O$108)+SUMIF('11.1.Амортиз.нови активи'!$B$61:$B$108,$B59,'11.1.Амортиз.нови активи'!O$61:O$108)+('11.1.Амортиз.нови активи'!H$111*SUMIF('11.1.Амортиз.нови активи'!$B$61:$B$108,$B59,'11.1.Амортиз.нови активи'!AQ$61:AQ$108))</f>
        <v>2</v>
      </c>
      <c r="P59" s="1110">
        <f>$L59-SUMIF('11.2. ДА за периода'!$B$61:$B$108,$B59,'11.2. ДА за периода'!$L$61:$L$108)+SUMIF('11.2. ДА за периода'!$B$61:$B$108,$B59,'11.2. ДА за периода'!P$61:P$108)+SUMIF('11.1.Амортиз.нови активи'!$B$61:$B$108,$B59,'11.1.Амортиз.нови активи'!P$61:P$108)+('11.1.Амортиз.нови активи'!I$111*SUMIF('11.1.Амортиз.нови активи'!$B$61:$B$108,$B59,'11.1.Амортиз.нови активи'!AR$61:AR$108))</f>
        <v>2</v>
      </c>
      <c r="Q59" s="1110">
        <f>$L59-SUMIF('11.2. ДА за периода'!$B$61:$B$108,$B59,'11.2. ДА за периода'!$L$61:$L$108)+SUMIF('11.2. ДА за периода'!$B$61:$B$108,$B59,'11.2. ДА за периода'!Q$61:Q$108)+SUMIF('11.1.Амортиз.нови активи'!$B$61:$B$108,$B59,'11.1.Амортиз.нови активи'!Q$61:Q$108)+('11.1.Амортиз.нови активи'!J$111*SUMIF('11.1.Амортиз.нови активи'!$B$61:$B$108,$B59,'11.1.Амортиз.нови активи'!AS$61:AS$108))</f>
        <v>2</v>
      </c>
      <c r="R59" s="2618">
        <f>$L59-SUMIF('11.2. ДА за периода'!$B$61:$B$108,$B59,'11.2. ДА за периода'!$L$61:$L$108)+SUMIF('11.2. ДА за периода'!$B$61:$B$108,$B59,'11.2. ДА за периода'!R$61:R$108)+SUMIF('11.1.Амортиз.нови активи'!$B$61:$B$108,$B59,'11.1.Амортиз.нови активи'!R$61:R$108)+('11.1.Амортиз.нови активи'!K$111*SUMIF('11.1.Амортиз.нови активи'!$B$61:$B$108,$B59,'11.1.Амортиз.нови активи'!AT$61:AT$108))</f>
        <v>2</v>
      </c>
      <c r="S59" s="4388">
        <f>+'11.3. ДА Базова година'!N64</f>
        <v>3</v>
      </c>
      <c r="T59" s="2617">
        <f>$S59-SUMIF('11.2. ДА за периода'!$B$61:$B$108,$B59,'11.2. ДА за периода'!$S$61:$S$108)+SUMIF('11.2. ДА за периода'!$B$61:$B$108,$B59,'11.2. ДА за периода'!T$61:T$108)+SUMIF('11.1.Амортиз.нови активи'!$B$61:$B$108,$B59,'11.1.Амортиз.нови активи'!T$61:T$108)+('11.1.Амортиз.нови активи'!F$112*SUMIF('11.1.Амортиз.нови активи'!$B$61:$B$108,$B59,'11.1.Амортиз.нови активи'!AO$61:AO$108))</f>
        <v>3</v>
      </c>
      <c r="U59" s="1110">
        <f>$S59-SUMIF('11.2. ДА за периода'!$B$61:$B$108,$B59,'11.2. ДА за периода'!$S$61:$S$108)+SUMIF('11.2. ДА за периода'!$B$61:$B$108,$B59,'11.2. ДА за периода'!U$61:U$108)+SUMIF('11.1.Амортиз.нови активи'!$B$61:$B$108,$B59,'11.1.Амортиз.нови активи'!U$61:U$108)+('11.1.Амортиз.нови активи'!G$112*SUMIF('11.1.Амортиз.нови активи'!$B$61:$B$108,$B59,'11.1.Амортиз.нови активи'!AP$61:AP$108))</f>
        <v>3</v>
      </c>
      <c r="V59" s="1110">
        <f>$S59-SUMIF('11.2. ДА за периода'!$B$61:$B$108,$B59,'11.2. ДА за периода'!$S$61:$S$108)+SUMIF('11.2. ДА за периода'!$B$61:$B$108,$B59,'11.2. ДА за периода'!V$61:V$108)+SUMIF('11.1.Амортиз.нови активи'!$B$61:$B$108,$B59,'11.1.Амортиз.нови активи'!V$61:V$108)+('11.1.Амортиз.нови активи'!H$112*SUMIF('11.1.Амортиз.нови активи'!$B$61:$B$108,$B59,'11.1.Амортиз.нови активи'!AQ$61:AQ$108))</f>
        <v>3</v>
      </c>
      <c r="W59" s="1110">
        <f>$S59-SUMIF('11.2. ДА за периода'!$B$61:$B$108,$B59,'11.2. ДА за периода'!$S$61:$S$108)+SUMIF('11.2. ДА за периода'!$B$61:$B$108,$B59,'11.2. ДА за периода'!W$61:W$108)+SUMIF('11.1.Амортиз.нови активи'!$B$61:$B$108,$B59,'11.1.Амортиз.нови активи'!W$61:W$108)+('11.1.Амортиз.нови активи'!I$112*SUMIF('11.1.Амортиз.нови активи'!$B$61:$B$108,$B59,'11.1.Амортиз.нови активи'!AR$61:AR$108))</f>
        <v>3</v>
      </c>
      <c r="X59" s="1110">
        <f>$S59-SUMIF('11.2. ДА за периода'!$B$61:$B$108,$B59,'11.2. ДА за периода'!$S$61:$S$108)+SUMIF('11.2. ДА за периода'!$B$61:$B$108,$B59,'11.2. ДА за периода'!X$61:X$108)+SUMIF('11.1.Амортиз.нови активи'!$B$61:$B$108,$B59,'11.1.Амортиз.нови активи'!X$61:X$108)+('11.1.Амортиз.нови активи'!J$112*SUMIF('11.1.Амортиз.нови активи'!$B$61:$B$108,$B59,'11.1.Амортиз.нови активи'!AS$61:AS$108))</f>
        <v>3</v>
      </c>
      <c r="Y59" s="2618">
        <f>$S59-SUMIF('11.2. ДА за периода'!$B$61:$B$108,$B59,'11.2. ДА за периода'!$S$61:$S$108)+SUMIF('11.2. ДА за периода'!$B$61:$B$108,$B59,'11.2. ДА за периода'!Y$61:Y$108)+SUMIF('11.1.Амортиз.нови активи'!$B$61:$B$108,$B59,'11.1.Амортиз.нови активи'!Y$61:Y$108)+('11.1.Амортиз.нови активи'!K$112*SUMIF('11.1.Амортиз.нови активи'!$B$61:$B$108,$B59,'11.1.Амортиз.нови активи'!AT$61:AT$108))</f>
        <v>3</v>
      </c>
      <c r="Z59" s="4388">
        <f>+'11.3. ДА Базова година'!R64</f>
        <v>0</v>
      </c>
      <c r="AA59" s="2617">
        <f>$Z59-SUMIF('11.2. ДА за периода'!$B$61:$B$108,$B59,'11.2. ДА за периода'!$Z$61:$Z$108)+SUMIF('11.2. ДА за периода'!$B$61:$B$108,$B59,'11.2. ДА за периода'!AA$61:AA$108)+SUMIF('11.1.Амортиз.нови активи'!$B$61:$B$108,$B59,'11.1.Амортиз.нови активи'!AA$61:AA$108)</f>
        <v>0</v>
      </c>
      <c r="AB59" s="1110">
        <f>$Z59-SUMIF('11.2. ДА за периода'!$B$61:$B$108,$B59,'11.2. ДА за периода'!$Z$61:$Z$108)+SUMIF('11.2. ДА за периода'!$B$61:$B$108,$B59,'11.2. ДА за периода'!AB$61:AB$108)+SUMIF('11.1.Амортиз.нови активи'!$B$61:$B$108,$B59,'11.1.Амортиз.нови активи'!AB$61:AB$108)</f>
        <v>0</v>
      </c>
      <c r="AC59" s="1110">
        <f>$Z59-SUMIF('11.2. ДА за периода'!$B$61:$B$108,$B59,'11.2. ДА за периода'!$Z$61:$Z$108)+SUMIF('11.2. ДА за периода'!$B$61:$B$108,$B59,'11.2. ДА за периода'!AC$61:AC$108)+SUMIF('11.1.Амортиз.нови активи'!$B$61:$B$108,$B59,'11.1.Амортиз.нови активи'!AC$61:AC$108)</f>
        <v>0</v>
      </c>
      <c r="AD59" s="1110">
        <f>$Z59-SUMIF('11.2. ДА за периода'!$B$61:$B$108,$B59,'11.2. ДА за периода'!$Z$61:$Z$108)+SUMIF('11.2. ДА за периода'!$B$61:$B$108,$B59,'11.2. ДА за периода'!AD$61:AD$108)+SUMIF('11.1.Амортиз.нови активи'!$B$61:$B$108,$B59,'11.1.Амортиз.нови активи'!AD$61:AD$108)</f>
        <v>0</v>
      </c>
      <c r="AE59" s="1110">
        <f>$Z59-SUMIF('11.2. ДА за периода'!$B$61:$B$108,$B59,'11.2. ДА за периода'!$Z$61:$Z$108)+SUMIF('11.2. ДА за периода'!$B$61:$B$108,$B59,'11.2. ДА за периода'!AE$61:AE$108)+SUMIF('11.1.Амортиз.нови активи'!$B$61:$B$108,$B59,'11.1.Амортиз.нови активи'!AE$61:AE$108)</f>
        <v>0</v>
      </c>
      <c r="AF59" s="2618">
        <f>$Z59-SUMIF('11.2. ДА за периода'!$B$61:$B$108,$B59,'11.2. ДА за периода'!$Z$61:$Z$108)+SUMIF('11.2. ДА за периода'!$B$61:$B$108,$B59,'11.2. ДА за периода'!AF$61:AF$108)+SUMIF('11.1.Амортиз.нови активи'!$B$61:$B$108,$B59,'11.1.Амортиз.нови активи'!AF$61:AF$108)</f>
        <v>0</v>
      </c>
      <c r="AG59" s="4388">
        <f>+'11.3. ДА Базова година'!V64</f>
        <v>0</v>
      </c>
      <c r="AH59" s="2617">
        <f>$AG59-SUMIF('11.2. ДА за периода'!$B$61:$B$108,$B59,'11.2. ДА за периода'!$AG$61:$AG$108)+SUMIF('11.2. ДА за периода'!$B$61:$B$108,$B59,'11.2. ДА за периода'!AH$61:AH$108)+SUMIF('11.1.Амортиз.нови активи'!$B$61:$B$108,$B59,'11.1.Амортиз.нови активи'!AH$61:AH$108)+('11.1.Амортиз.нови активи'!T$112*SUMIF('11.1.Амортиз.нови активи'!$B$61:$B$108,$B59,'11.1.Амортиз.нови активи'!BB$61:BB$108))</f>
        <v>0</v>
      </c>
      <c r="AI59" s="1110">
        <f>$AG59-SUMIF('11.2. ДА за периода'!$B$61:$B$108,$B59,'11.2. ДА за периода'!$AG$61:$AG$108)+SUMIF('11.2. ДА за периода'!$B$61:$B$108,$B59,'11.2. ДА за периода'!AI$61:AI$108)+SUMIF('11.1.Амортиз.нови активи'!$B$61:$B$108,$B59,'11.1.Амортиз.нови активи'!AI$61:AI$108)+('11.1.Амортиз.нови активи'!U$112*SUMIF('11.1.Амортиз.нови активи'!$B$61:$B$108,$B59,'11.1.Амортиз.нови активи'!BC$61:BC$108))</f>
        <v>0</v>
      </c>
      <c r="AJ59" s="1110">
        <f>$AG59-SUMIF('11.2. ДА за периода'!$B$61:$B$108,$B59,'11.2. ДА за периода'!$AG$61:$AG$108)+SUMIF('11.2. ДА за периода'!$B$61:$B$108,$B59,'11.2. ДА за периода'!AJ$61:AJ$108)+SUMIF('11.1.Амортиз.нови активи'!$B$61:$B$108,$B59,'11.1.Амортиз.нови активи'!AJ$61:AJ$108)+('11.1.Амортиз.нови активи'!V$112*SUMIF('11.1.Амортиз.нови активи'!$B$61:$B$108,$B59,'11.1.Амортиз.нови активи'!BD$61:BD$108))</f>
        <v>0</v>
      </c>
      <c r="AK59" s="1110">
        <f>$AG59-SUMIF('11.2. ДА за периода'!$B$61:$B$108,$B59,'11.2. ДА за периода'!$AG$61:$AG$108)+SUMIF('11.2. ДА за периода'!$B$61:$B$108,$B59,'11.2. ДА за периода'!AK$61:AK$108)+SUMIF('11.1.Амортиз.нови активи'!$B$61:$B$108,$B59,'11.1.Амортиз.нови активи'!AK$61:AK$108)+('11.1.Амортиз.нови активи'!W$112*SUMIF('11.1.Амортиз.нови активи'!$B$61:$B$108,$B59,'11.1.Амортиз.нови активи'!BE$61:BE$108))</f>
        <v>0</v>
      </c>
      <c r="AL59" s="1110">
        <f>$AG59-SUMIF('11.2. ДА за периода'!$B$61:$B$108,$B59,'11.2. ДА за периода'!$AG$61:$AG$108)+SUMIF('11.2. ДА за периода'!$B$61:$B$108,$B59,'11.2. ДА за периода'!AL$61:AL$108)+SUMIF('11.1.Амортиз.нови активи'!$B$61:$B$108,$B59,'11.1.Амортиз.нови активи'!AL$61:AL$108)+('11.1.Амортиз.нови активи'!X$112*SUMIF('11.1.Амортиз.нови активи'!$B$61:$B$108,$B59,'11.1.Амортиз.нови активи'!BF$61:BF$108))</f>
        <v>0</v>
      </c>
      <c r="AM59" s="2618">
        <f>$AG59-SUMIF('11.2. ДА за периода'!$B$61:$B$108,$B59,'11.2. ДА за периода'!$AG$61:$AG$108)+SUMIF('11.2. ДА за периода'!$B$61:$B$108,$B59,'11.2. ДА за периода'!AM$61:AM$108)+SUMIF('11.1.Амортиз.нови активи'!$B$61:$B$108,$B59,'11.1.Амортиз.нови активи'!AM$61:AM$108)+('11.1.Амортиз.нови активи'!Y$112*SUMIF('11.1.Амортиз.нови активи'!$B$61:$B$108,$B59,'11.1.Амортиз.нови активи'!BG$61:BG$108))</f>
        <v>0</v>
      </c>
      <c r="AN59" s="2513"/>
      <c r="AO59" s="2551"/>
      <c r="AP59" s="4422"/>
      <c r="AQ59" s="4438">
        <f t="shared" si="31"/>
        <v>1.022583762392437</v>
      </c>
      <c r="AR59" s="4438">
        <f t="shared" si="32"/>
        <v>1.022583762392437</v>
      </c>
      <c r="AS59" s="4438">
        <f t="shared" si="33"/>
        <v>1.022583762392437</v>
      </c>
      <c r="AT59" s="4438">
        <f t="shared" si="34"/>
        <v>1.022583762392437</v>
      </c>
      <c r="AU59" s="4438">
        <f t="shared" si="35"/>
        <v>1.022583762392437</v>
      </c>
      <c r="AV59" s="4438">
        <f t="shared" si="36"/>
        <v>1.022583762392437</v>
      </c>
      <c r="AW59" s="4438">
        <f t="shared" si="37"/>
        <v>1.022583762392437</v>
      </c>
      <c r="AX59" s="4438">
        <f t="shared" si="38"/>
        <v>1.022583762392437</v>
      </c>
      <c r="AY59" s="4438">
        <f t="shared" si="39"/>
        <v>1.022583762392437</v>
      </c>
      <c r="AZ59" s="4438">
        <f t="shared" si="40"/>
        <v>1.022583762392437</v>
      </c>
      <c r="BA59" s="4438">
        <f t="shared" si="41"/>
        <v>1.022583762392437</v>
      </c>
      <c r="BB59" s="4438">
        <f t="shared" si="42"/>
        <v>1.022583762392437</v>
      </c>
      <c r="BC59" s="4438">
        <f t="shared" si="43"/>
        <v>1.022583762392437</v>
      </c>
      <c r="BD59" s="4438">
        <f t="shared" si="44"/>
        <v>1.022583762392437</v>
      </c>
      <c r="BE59" s="4438">
        <f t="shared" si="45"/>
        <v>1.5338756435886556</v>
      </c>
      <c r="BF59" s="4438">
        <f t="shared" si="46"/>
        <v>1.5338756435886556</v>
      </c>
      <c r="BG59" s="4438">
        <f t="shared" si="47"/>
        <v>1.5338756435886556</v>
      </c>
      <c r="BH59" s="4438">
        <f t="shared" si="48"/>
        <v>1.5338756435886556</v>
      </c>
      <c r="BI59" s="4438">
        <f t="shared" si="49"/>
        <v>1.5338756435886556</v>
      </c>
      <c r="BJ59" s="4438">
        <f t="shared" si="50"/>
        <v>1.5338756435886556</v>
      </c>
      <c r="BK59" s="4438">
        <f t="shared" si="51"/>
        <v>1.5338756435886556</v>
      </c>
      <c r="BL59" s="4438">
        <f t="shared" si="52"/>
        <v>0</v>
      </c>
      <c r="BM59" s="4438">
        <f t="shared" si="53"/>
        <v>0</v>
      </c>
      <c r="BN59" s="4438">
        <f t="shared" si="54"/>
        <v>0</v>
      </c>
      <c r="BO59" s="4438">
        <f t="shared" si="55"/>
        <v>0</v>
      </c>
      <c r="BP59" s="4438">
        <f t="shared" si="56"/>
        <v>0</v>
      </c>
      <c r="BQ59" s="4438">
        <f t="shared" si="57"/>
        <v>0</v>
      </c>
      <c r="BR59" s="4438">
        <f t="shared" si="58"/>
        <v>0</v>
      </c>
      <c r="BS59" s="4438">
        <f t="shared" si="59"/>
        <v>0</v>
      </c>
      <c r="BT59" s="4438">
        <f t="shared" si="60"/>
        <v>0</v>
      </c>
      <c r="BU59" s="4438">
        <f t="shared" si="61"/>
        <v>0</v>
      </c>
      <c r="BV59" s="4438">
        <f t="shared" si="62"/>
        <v>0</v>
      </c>
      <c r="BW59" s="4438">
        <f t="shared" si="63"/>
        <v>0</v>
      </c>
      <c r="BX59" s="4438">
        <f t="shared" si="64"/>
        <v>0</v>
      </c>
      <c r="BY59" s="4438">
        <f t="shared" si="65"/>
        <v>0</v>
      </c>
    </row>
    <row r="60" spans="1:77" ht="13.5" thickBot="1">
      <c r="A60" s="3685" t="s">
        <v>219</v>
      </c>
      <c r="B60" s="2539"/>
      <c r="C60" s="2539"/>
      <c r="D60" s="2502" t="s">
        <v>220</v>
      </c>
      <c r="E60" s="2507">
        <f t="shared" ref="E60" si="85">SUM(E61:E84)-E63-E69</f>
        <v>6161</v>
      </c>
      <c r="F60" s="2504">
        <f t="shared" ref="F60:Z60" si="86">SUM(F61:F84)-F63-F69</f>
        <v>6554.451757812496</v>
      </c>
      <c r="G60" s="2505">
        <f t="shared" si="86"/>
        <v>7000.005267716122</v>
      </c>
      <c r="H60" s="2505">
        <f t="shared" si="86"/>
        <v>7500.7742968935199</v>
      </c>
      <c r="I60" s="2505">
        <f t="shared" si="86"/>
        <v>8037.9448087402907</v>
      </c>
      <c r="J60" s="2505">
        <f t="shared" si="86"/>
        <v>8605.0645721980109</v>
      </c>
      <c r="K60" s="2506">
        <f t="shared" si="86"/>
        <v>9191.1869610785579</v>
      </c>
      <c r="L60" s="2507">
        <f t="shared" si="86"/>
        <v>1686</v>
      </c>
      <c r="M60" s="2504">
        <f t="shared" si="86"/>
        <v>1731.0113281249999</v>
      </c>
      <c r="N60" s="2505">
        <f t="shared" si="86"/>
        <v>1787.7200707735014</v>
      </c>
      <c r="O60" s="2505">
        <f t="shared" si="86"/>
        <v>1844.6270542506884</v>
      </c>
      <c r="P60" s="2505">
        <f t="shared" si="86"/>
        <v>1832.3317360203839</v>
      </c>
      <c r="Q60" s="2505">
        <f t="shared" si="86"/>
        <v>1819.490648015634</v>
      </c>
      <c r="R60" s="2506">
        <f t="shared" si="86"/>
        <v>1806.3931125235085</v>
      </c>
      <c r="S60" s="2507">
        <f t="shared" si="86"/>
        <v>1073</v>
      </c>
      <c r="T60" s="2504">
        <f t="shared" si="86"/>
        <v>1130.3369140625</v>
      </c>
      <c r="U60" s="2505">
        <f t="shared" si="86"/>
        <v>1190.1646615103755</v>
      </c>
      <c r="V60" s="2505">
        <f t="shared" si="86"/>
        <v>1251.5686488557928</v>
      </c>
      <c r="W60" s="2505">
        <f t="shared" si="86"/>
        <v>1313.9134552393255</v>
      </c>
      <c r="X60" s="2505">
        <f t="shared" si="86"/>
        <v>1376.6547797863541</v>
      </c>
      <c r="Y60" s="2506">
        <f t="shared" si="86"/>
        <v>1439.4899263979351</v>
      </c>
      <c r="Z60" s="2507">
        <f t="shared" si="86"/>
        <v>0</v>
      </c>
      <c r="AA60" s="2504">
        <f t="shared" ref="AA60:AM60" si="87">SUM(AA61:AA84)-AA63-AA69</f>
        <v>0</v>
      </c>
      <c r="AB60" s="2505">
        <f t="shared" si="87"/>
        <v>0</v>
      </c>
      <c r="AC60" s="2505">
        <f t="shared" si="87"/>
        <v>0</v>
      </c>
      <c r="AD60" s="2505">
        <f t="shared" si="87"/>
        <v>0</v>
      </c>
      <c r="AE60" s="2505">
        <f t="shared" si="87"/>
        <v>0</v>
      </c>
      <c r="AF60" s="2506">
        <f t="shared" si="87"/>
        <v>0</v>
      </c>
      <c r="AG60" s="2507">
        <f t="shared" si="87"/>
        <v>0</v>
      </c>
      <c r="AH60" s="2504">
        <f t="shared" si="87"/>
        <v>0</v>
      </c>
      <c r="AI60" s="2505">
        <f t="shared" si="87"/>
        <v>0</v>
      </c>
      <c r="AJ60" s="2505">
        <f t="shared" si="87"/>
        <v>0</v>
      </c>
      <c r="AK60" s="2505">
        <f t="shared" si="87"/>
        <v>0</v>
      </c>
      <c r="AL60" s="2505">
        <f t="shared" si="87"/>
        <v>0</v>
      </c>
      <c r="AM60" s="2506">
        <f t="shared" si="87"/>
        <v>0</v>
      </c>
      <c r="AN60" s="2508"/>
      <c r="AO60" s="2540"/>
      <c r="AP60" s="4422"/>
      <c r="AQ60" s="4438">
        <f t="shared" si="31"/>
        <v>3150.0692800499023</v>
      </c>
      <c r="AR60" s="4438">
        <f t="shared" si="32"/>
        <v>3351.2379694618121</v>
      </c>
      <c r="AS60" s="4438">
        <f t="shared" si="33"/>
        <v>3579.0458617140152</v>
      </c>
      <c r="AT60" s="4438">
        <f t="shared" si="34"/>
        <v>3835.0850006869309</v>
      </c>
      <c r="AU60" s="4438">
        <f t="shared" si="35"/>
        <v>4109.7359222122022</v>
      </c>
      <c r="AV60" s="4438">
        <f t="shared" si="36"/>
        <v>4399.699652934054</v>
      </c>
      <c r="AW60" s="4438">
        <f t="shared" si="37"/>
        <v>4699.3792717560109</v>
      </c>
      <c r="AX60" s="4438">
        <f t="shared" si="38"/>
        <v>862.03811169682433</v>
      </c>
      <c r="AY60" s="4438">
        <f t="shared" si="39"/>
        <v>885.05203832899588</v>
      </c>
      <c r="AZ60" s="4438">
        <f t="shared" si="40"/>
        <v>914.04675803802047</v>
      </c>
      <c r="BA60" s="4438">
        <f t="shared" si="41"/>
        <v>943.14283667327345</v>
      </c>
      <c r="BB60" s="4438">
        <f t="shared" si="42"/>
        <v>936.85634028539494</v>
      </c>
      <c r="BC60" s="4438">
        <f t="shared" si="43"/>
        <v>930.29079624284009</v>
      </c>
      <c r="BD60" s="4438">
        <f t="shared" si="44"/>
        <v>923.59413268203707</v>
      </c>
      <c r="BE60" s="4438">
        <f t="shared" si="45"/>
        <v>548.61618852354241</v>
      </c>
      <c r="BF60" s="4438">
        <f t="shared" si="46"/>
        <v>577.93208717654397</v>
      </c>
      <c r="BG60" s="4438">
        <f t="shared" si="47"/>
        <v>608.52152871690055</v>
      </c>
      <c r="BH60" s="4438">
        <f t="shared" si="48"/>
        <v>639.91688891968772</v>
      </c>
      <c r="BI60" s="4438">
        <f t="shared" si="49"/>
        <v>671.79328225833819</v>
      </c>
      <c r="BJ60" s="4438">
        <f t="shared" si="50"/>
        <v>703.87241211473088</v>
      </c>
      <c r="BK60" s="4438">
        <f t="shared" si="51"/>
        <v>735.99951243100634</v>
      </c>
      <c r="BL60" s="4438">
        <f t="shared" si="52"/>
        <v>0</v>
      </c>
      <c r="BM60" s="4438">
        <f t="shared" si="53"/>
        <v>0</v>
      </c>
      <c r="BN60" s="4438">
        <f t="shared" si="54"/>
        <v>0</v>
      </c>
      <c r="BO60" s="4438">
        <f t="shared" si="55"/>
        <v>0</v>
      </c>
      <c r="BP60" s="4438">
        <f t="shared" si="56"/>
        <v>0</v>
      </c>
      <c r="BQ60" s="4438">
        <f t="shared" si="57"/>
        <v>0</v>
      </c>
      <c r="BR60" s="4438">
        <f t="shared" si="58"/>
        <v>0</v>
      </c>
      <c r="BS60" s="4438">
        <f t="shared" si="59"/>
        <v>0</v>
      </c>
      <c r="BT60" s="4438">
        <f t="shared" si="60"/>
        <v>0</v>
      </c>
      <c r="BU60" s="4438">
        <f t="shared" si="61"/>
        <v>0</v>
      </c>
      <c r="BV60" s="4438">
        <f t="shared" si="62"/>
        <v>0</v>
      </c>
      <c r="BW60" s="4438">
        <f t="shared" si="63"/>
        <v>0</v>
      </c>
      <c r="BX60" s="4438">
        <f t="shared" si="64"/>
        <v>0</v>
      </c>
      <c r="BY60" s="4438">
        <f t="shared" si="65"/>
        <v>0</v>
      </c>
    </row>
    <row r="61" spans="1:77">
      <c r="A61" s="2509">
        <v>1</v>
      </c>
      <c r="B61" s="2509">
        <v>20101</v>
      </c>
      <c r="C61" s="2558">
        <v>0</v>
      </c>
      <c r="D61" s="2561" t="s">
        <v>556</v>
      </c>
      <c r="E61" s="4387">
        <f>+'11.3. ДА Базова година'!H41</f>
        <v>0</v>
      </c>
      <c r="F61" s="2605">
        <f t="shared" ref="F61:K62" si="88">E61+F36</f>
        <v>0</v>
      </c>
      <c r="G61" s="2603">
        <f t="shared" si="88"/>
        <v>0</v>
      </c>
      <c r="H61" s="2603">
        <f t="shared" si="88"/>
        <v>0</v>
      </c>
      <c r="I61" s="2603">
        <f t="shared" si="88"/>
        <v>0</v>
      </c>
      <c r="J61" s="2603">
        <f t="shared" si="88"/>
        <v>0</v>
      </c>
      <c r="K61" s="2604">
        <f t="shared" si="88"/>
        <v>0</v>
      </c>
      <c r="L61" s="4387">
        <f>+'11.3. ДА Базова година'!L41</f>
        <v>0</v>
      </c>
      <c r="M61" s="2605">
        <f t="shared" ref="M61:R62" si="89">L61+M36</f>
        <v>0</v>
      </c>
      <c r="N61" s="2603">
        <f t="shared" si="89"/>
        <v>0</v>
      </c>
      <c r="O61" s="2603">
        <f t="shared" si="89"/>
        <v>0</v>
      </c>
      <c r="P61" s="2603">
        <f t="shared" si="89"/>
        <v>0</v>
      </c>
      <c r="Q61" s="2603">
        <f t="shared" si="89"/>
        <v>0</v>
      </c>
      <c r="R61" s="2604">
        <f t="shared" si="89"/>
        <v>0</v>
      </c>
      <c r="S61" s="4387">
        <f>+'11.3. ДА Базова година'!P41</f>
        <v>0</v>
      </c>
      <c r="T61" s="2605">
        <f t="shared" ref="T61:Y62" si="90">S61+T36</f>
        <v>0</v>
      </c>
      <c r="U61" s="2603">
        <f t="shared" si="90"/>
        <v>0</v>
      </c>
      <c r="V61" s="2603">
        <f t="shared" si="90"/>
        <v>0</v>
      </c>
      <c r="W61" s="2603">
        <f t="shared" si="90"/>
        <v>0</v>
      </c>
      <c r="X61" s="2603">
        <f t="shared" si="90"/>
        <v>0</v>
      </c>
      <c r="Y61" s="2604">
        <f t="shared" si="90"/>
        <v>0</v>
      </c>
      <c r="Z61" s="4387">
        <f>+'11.3. ДА Базова година'!T41</f>
        <v>0</v>
      </c>
      <c r="AA61" s="2605">
        <f t="shared" ref="AA61:AF62" si="91">Z61+AA36</f>
        <v>0</v>
      </c>
      <c r="AB61" s="2603">
        <f t="shared" si="91"/>
        <v>0</v>
      </c>
      <c r="AC61" s="2603">
        <f t="shared" si="91"/>
        <v>0</v>
      </c>
      <c r="AD61" s="2603">
        <f t="shared" si="91"/>
        <v>0</v>
      </c>
      <c r="AE61" s="2603">
        <f t="shared" si="91"/>
        <v>0</v>
      </c>
      <c r="AF61" s="2604">
        <f t="shared" si="91"/>
        <v>0</v>
      </c>
      <c r="AG61" s="4387">
        <f>+'11.3. ДА Базова година'!X41</f>
        <v>0</v>
      </c>
      <c r="AH61" s="2605">
        <f t="shared" ref="AH61:AM62" si="92">AG61+AH36</f>
        <v>0</v>
      </c>
      <c r="AI61" s="2603">
        <f t="shared" si="92"/>
        <v>0</v>
      </c>
      <c r="AJ61" s="2603">
        <f t="shared" si="92"/>
        <v>0</v>
      </c>
      <c r="AK61" s="2603">
        <f t="shared" si="92"/>
        <v>0</v>
      </c>
      <c r="AL61" s="2603">
        <f t="shared" si="92"/>
        <v>0</v>
      </c>
      <c r="AM61" s="2604">
        <f t="shared" si="92"/>
        <v>0</v>
      </c>
      <c r="AN61" s="2513"/>
      <c r="AO61" s="2514"/>
      <c r="AP61" s="4422"/>
      <c r="AQ61" s="4438">
        <f t="shared" si="31"/>
        <v>0</v>
      </c>
      <c r="AR61" s="4438">
        <f t="shared" si="32"/>
        <v>0</v>
      </c>
      <c r="AS61" s="4438">
        <f t="shared" si="33"/>
        <v>0</v>
      </c>
      <c r="AT61" s="4438">
        <f t="shared" si="34"/>
        <v>0</v>
      </c>
      <c r="AU61" s="4438">
        <f t="shared" si="35"/>
        <v>0</v>
      </c>
      <c r="AV61" s="4438">
        <f t="shared" si="36"/>
        <v>0</v>
      </c>
      <c r="AW61" s="4438">
        <f t="shared" si="37"/>
        <v>0</v>
      </c>
      <c r="AX61" s="4438">
        <f t="shared" si="38"/>
        <v>0</v>
      </c>
      <c r="AY61" s="4438">
        <f t="shared" si="39"/>
        <v>0</v>
      </c>
      <c r="AZ61" s="4438">
        <f t="shared" si="40"/>
        <v>0</v>
      </c>
      <c r="BA61" s="4438">
        <f t="shared" si="41"/>
        <v>0</v>
      </c>
      <c r="BB61" s="4438">
        <f t="shared" si="42"/>
        <v>0</v>
      </c>
      <c r="BC61" s="4438">
        <f t="shared" si="43"/>
        <v>0</v>
      </c>
      <c r="BD61" s="4438">
        <f t="shared" si="44"/>
        <v>0</v>
      </c>
      <c r="BE61" s="4438">
        <f t="shared" si="45"/>
        <v>0</v>
      </c>
      <c r="BF61" s="4438">
        <f t="shared" si="46"/>
        <v>0</v>
      </c>
      <c r="BG61" s="4438">
        <f t="shared" si="47"/>
        <v>0</v>
      </c>
      <c r="BH61" s="4438">
        <f t="shared" si="48"/>
        <v>0</v>
      </c>
      <c r="BI61" s="4438">
        <f t="shared" si="49"/>
        <v>0</v>
      </c>
      <c r="BJ61" s="4438">
        <f t="shared" si="50"/>
        <v>0</v>
      </c>
      <c r="BK61" s="4438">
        <f t="shared" si="51"/>
        <v>0</v>
      </c>
      <c r="BL61" s="4438">
        <f t="shared" si="52"/>
        <v>0</v>
      </c>
      <c r="BM61" s="4438">
        <f t="shared" si="53"/>
        <v>0</v>
      </c>
      <c r="BN61" s="4438">
        <f t="shared" si="54"/>
        <v>0</v>
      </c>
      <c r="BO61" s="4438">
        <f t="shared" si="55"/>
        <v>0</v>
      </c>
      <c r="BP61" s="4438">
        <f t="shared" si="56"/>
        <v>0</v>
      </c>
      <c r="BQ61" s="4438">
        <f t="shared" si="57"/>
        <v>0</v>
      </c>
      <c r="BR61" s="4438">
        <f t="shared" si="58"/>
        <v>0</v>
      </c>
      <c r="BS61" s="4438">
        <f t="shared" si="59"/>
        <v>0</v>
      </c>
      <c r="BT61" s="4438">
        <f t="shared" si="60"/>
        <v>0</v>
      </c>
      <c r="BU61" s="4438">
        <f t="shared" si="61"/>
        <v>0</v>
      </c>
      <c r="BV61" s="4438">
        <f t="shared" si="62"/>
        <v>0</v>
      </c>
      <c r="BW61" s="4438">
        <f t="shared" si="63"/>
        <v>0</v>
      </c>
      <c r="BX61" s="4438">
        <f t="shared" si="64"/>
        <v>0</v>
      </c>
      <c r="BY61" s="4438">
        <f t="shared" si="65"/>
        <v>0</v>
      </c>
    </row>
    <row r="62" spans="1:77">
      <c r="A62" s="2515">
        <v>2</v>
      </c>
      <c r="B62" s="2515">
        <v>20201</v>
      </c>
      <c r="C62" s="2562">
        <v>0.03</v>
      </c>
      <c r="D62" s="2563" t="s">
        <v>425</v>
      </c>
      <c r="E62" s="2641">
        <f>+'11.3. ДА Базова година'!H42</f>
        <v>424</v>
      </c>
      <c r="F62" s="1202">
        <f t="shared" si="88"/>
        <v>436.57949218750002</v>
      </c>
      <c r="G62" s="1198">
        <f t="shared" si="88"/>
        <v>449.73704888333435</v>
      </c>
      <c r="H62" s="1198">
        <f t="shared" si="88"/>
        <v>462.85881029830512</v>
      </c>
      <c r="I62" s="1198">
        <f t="shared" si="88"/>
        <v>475.29399283447316</v>
      </c>
      <c r="J62" s="1198">
        <f t="shared" si="88"/>
        <v>487.73638267501224</v>
      </c>
      <c r="K62" s="1203">
        <f t="shared" si="88"/>
        <v>497.68188806924786</v>
      </c>
      <c r="L62" s="2641">
        <f>+'11.3. ДА Базова година'!L42</f>
        <v>294</v>
      </c>
      <c r="M62" s="1202">
        <f t="shared" si="89"/>
        <v>302.15117187499999</v>
      </c>
      <c r="N62" s="1198">
        <f t="shared" si="89"/>
        <v>310.35721176174593</v>
      </c>
      <c r="O62" s="1198">
        <f t="shared" si="89"/>
        <v>318.52137546846222</v>
      </c>
      <c r="P62" s="1198">
        <f t="shared" si="89"/>
        <v>326.67499254541343</v>
      </c>
      <c r="Q62" s="1198">
        <f t="shared" si="89"/>
        <v>334.82077324755301</v>
      </c>
      <c r="R62" s="1203">
        <f t="shared" si="89"/>
        <v>342.95837790723999</v>
      </c>
      <c r="S62" s="2641">
        <f>+'11.3. ДА Базова година'!P42</f>
        <v>579</v>
      </c>
      <c r="T62" s="1202">
        <f t="shared" si="90"/>
        <v>596.01933593750005</v>
      </c>
      <c r="U62" s="1198">
        <f t="shared" si="90"/>
        <v>613.15573935491977</v>
      </c>
      <c r="V62" s="1198">
        <f t="shared" si="90"/>
        <v>630.36981423323277</v>
      </c>
      <c r="W62" s="1198">
        <f t="shared" si="90"/>
        <v>647.62101462011356</v>
      </c>
      <c r="X62" s="1198">
        <f t="shared" si="90"/>
        <v>664.87284407743493</v>
      </c>
      <c r="Y62" s="1203">
        <f t="shared" si="90"/>
        <v>682.10973402351237</v>
      </c>
      <c r="Z62" s="2641">
        <f>+'11.3. ДА Базова година'!T42</f>
        <v>0</v>
      </c>
      <c r="AA62" s="1202">
        <f t="shared" si="91"/>
        <v>0</v>
      </c>
      <c r="AB62" s="1198">
        <f t="shared" si="91"/>
        <v>0</v>
      </c>
      <c r="AC62" s="1198">
        <f t="shared" si="91"/>
        <v>0</v>
      </c>
      <c r="AD62" s="1198">
        <f t="shared" si="91"/>
        <v>0</v>
      </c>
      <c r="AE62" s="1198">
        <f t="shared" si="91"/>
        <v>0</v>
      </c>
      <c r="AF62" s="1203">
        <f t="shared" si="91"/>
        <v>0</v>
      </c>
      <c r="AG62" s="2641">
        <f>+'11.3. ДА Базова година'!X42</f>
        <v>0</v>
      </c>
      <c r="AH62" s="1202">
        <f t="shared" si="92"/>
        <v>0</v>
      </c>
      <c r="AI62" s="1198">
        <f t="shared" si="92"/>
        <v>0</v>
      </c>
      <c r="AJ62" s="1198">
        <f t="shared" si="92"/>
        <v>0</v>
      </c>
      <c r="AK62" s="1198">
        <f t="shared" si="92"/>
        <v>0</v>
      </c>
      <c r="AL62" s="1198">
        <f t="shared" si="92"/>
        <v>0</v>
      </c>
      <c r="AM62" s="1203">
        <f t="shared" si="92"/>
        <v>0</v>
      </c>
      <c r="AN62" s="2513"/>
      <c r="AO62" s="2519"/>
      <c r="AP62" s="4422"/>
      <c r="AQ62" s="4438">
        <f t="shared" si="31"/>
        <v>216.78775762719664</v>
      </c>
      <c r="AR62" s="4438">
        <f t="shared" si="32"/>
        <v>223.21954985223667</v>
      </c>
      <c r="AS62" s="4438">
        <f t="shared" si="33"/>
        <v>229.9469017671957</v>
      </c>
      <c r="AT62" s="4438">
        <f t="shared" si="34"/>
        <v>236.65595184566405</v>
      </c>
      <c r="AU62" s="4438">
        <f t="shared" si="35"/>
        <v>243.01395971759979</v>
      </c>
      <c r="AV62" s="4438">
        <f t="shared" si="36"/>
        <v>249.37565262574572</v>
      </c>
      <c r="AW62" s="4438">
        <f t="shared" si="37"/>
        <v>254.46070878821158</v>
      </c>
      <c r="AX62" s="4438">
        <f t="shared" si="38"/>
        <v>150.31981307168823</v>
      </c>
      <c r="AY62" s="4438">
        <f t="shared" si="39"/>
        <v>154.48744107361068</v>
      </c>
      <c r="AZ62" s="4438">
        <f t="shared" si="40"/>
        <v>158.68312264447621</v>
      </c>
      <c r="BA62" s="4438">
        <f t="shared" si="41"/>
        <v>162.85739326447708</v>
      </c>
      <c r="BB62" s="4438">
        <f t="shared" si="42"/>
        <v>167.02627147830509</v>
      </c>
      <c r="BC62" s="4438">
        <f t="shared" si="43"/>
        <v>171.19114301731389</v>
      </c>
      <c r="BD62" s="4438">
        <f t="shared" si="44"/>
        <v>175.35183421219637</v>
      </c>
      <c r="BE62" s="4438">
        <f t="shared" si="45"/>
        <v>296.03799921261049</v>
      </c>
      <c r="BF62" s="4438">
        <f t="shared" si="46"/>
        <v>304.7398475008053</v>
      </c>
      <c r="BG62" s="4438">
        <f t="shared" si="47"/>
        <v>313.50155144103513</v>
      </c>
      <c r="BH62" s="4438">
        <f t="shared" si="48"/>
        <v>322.3029681686204</v>
      </c>
      <c r="BI62" s="4438">
        <f t="shared" si="49"/>
        <v>331.12336686732158</v>
      </c>
      <c r="BJ62" s="4438">
        <f t="shared" si="50"/>
        <v>339.94408720463178</v>
      </c>
      <c r="BK62" s="4438">
        <f t="shared" si="51"/>
        <v>348.7571690911339</v>
      </c>
      <c r="BL62" s="4438">
        <f t="shared" si="52"/>
        <v>0</v>
      </c>
      <c r="BM62" s="4438">
        <f t="shared" si="53"/>
        <v>0</v>
      </c>
      <c r="BN62" s="4438">
        <f t="shared" si="54"/>
        <v>0</v>
      </c>
      <c r="BO62" s="4438">
        <f t="shared" si="55"/>
        <v>0</v>
      </c>
      <c r="BP62" s="4438">
        <f t="shared" si="56"/>
        <v>0</v>
      </c>
      <c r="BQ62" s="4438">
        <f t="shared" si="57"/>
        <v>0</v>
      </c>
      <c r="BR62" s="4438">
        <f t="shared" si="58"/>
        <v>0</v>
      </c>
      <c r="BS62" s="4438">
        <f t="shared" si="59"/>
        <v>0</v>
      </c>
      <c r="BT62" s="4438">
        <f t="shared" si="60"/>
        <v>0</v>
      </c>
      <c r="BU62" s="4438">
        <f t="shared" si="61"/>
        <v>0</v>
      </c>
      <c r="BV62" s="4438">
        <f t="shared" si="62"/>
        <v>0</v>
      </c>
      <c r="BW62" s="4438">
        <f t="shared" si="63"/>
        <v>0</v>
      </c>
      <c r="BX62" s="4438">
        <f t="shared" si="64"/>
        <v>0</v>
      </c>
      <c r="BY62" s="4438">
        <f t="shared" si="65"/>
        <v>0</v>
      </c>
    </row>
    <row r="63" spans="1:77" ht="24">
      <c r="A63" s="2515">
        <v>3</v>
      </c>
      <c r="B63" s="2516">
        <v>203</v>
      </c>
      <c r="C63" s="2511"/>
      <c r="D63" s="2547" t="s">
        <v>405</v>
      </c>
      <c r="E63" s="4059">
        <f>SUM(E64:E67)</f>
        <v>2668</v>
      </c>
      <c r="F63" s="2607">
        <f t="shared" ref="F63:Y63" si="93">SUM(F64:F67)</f>
        <v>2847.85</v>
      </c>
      <c r="G63" s="2608">
        <f t="shared" si="93"/>
        <v>3038.6950168293074</v>
      </c>
      <c r="H63" s="2608">
        <f t="shared" si="93"/>
        <v>3231.7577102061964</v>
      </c>
      <c r="I63" s="2608">
        <f t="shared" si="93"/>
        <v>3424.0035011962582</v>
      </c>
      <c r="J63" s="2608">
        <f t="shared" si="93"/>
        <v>3613.0684650868816</v>
      </c>
      <c r="K63" s="2608">
        <f t="shared" si="93"/>
        <v>3802.3461942157537</v>
      </c>
      <c r="L63" s="4059">
        <f>SUM(L64:L67)</f>
        <v>32</v>
      </c>
      <c r="M63" s="2607">
        <f t="shared" si="93"/>
        <v>42</v>
      </c>
      <c r="N63" s="2608">
        <f t="shared" si="93"/>
        <v>62.564003799917778</v>
      </c>
      <c r="O63" s="2608">
        <f t="shared" si="93"/>
        <v>83.587825885439699</v>
      </c>
      <c r="P63" s="2608">
        <f t="shared" si="93"/>
        <v>104.65349988556164</v>
      </c>
      <c r="Q63" s="2608">
        <f t="shared" si="93"/>
        <v>125.76296596930753</v>
      </c>
      <c r="R63" s="2608">
        <f t="shared" si="93"/>
        <v>146.90603113161734</v>
      </c>
      <c r="S63" s="2619">
        <f>SUM(S64:S67)</f>
        <v>69</v>
      </c>
      <c r="T63" s="2607">
        <f t="shared" si="93"/>
        <v>70.849999999999994</v>
      </c>
      <c r="U63" s="2608">
        <f t="shared" si="93"/>
        <v>73.990979370774895</v>
      </c>
      <c r="V63" s="2608">
        <f t="shared" si="93"/>
        <v>77.704463908364119</v>
      </c>
      <c r="W63" s="2608">
        <f t="shared" si="93"/>
        <v>81.692998918180706</v>
      </c>
      <c r="X63" s="2608">
        <f t="shared" si="93"/>
        <v>85.818568943811343</v>
      </c>
      <c r="Y63" s="2609">
        <f t="shared" si="93"/>
        <v>89.997774652629275</v>
      </c>
      <c r="Z63" s="2619">
        <f>SUM(Z64:Z67)</f>
        <v>0</v>
      </c>
      <c r="AA63" s="2607">
        <f t="shared" ref="AA63:AF63" si="94">SUM(AA64:AA67)</f>
        <v>0</v>
      </c>
      <c r="AB63" s="2608">
        <f t="shared" si="94"/>
        <v>0</v>
      </c>
      <c r="AC63" s="2608">
        <f t="shared" si="94"/>
        <v>0</v>
      </c>
      <c r="AD63" s="2608">
        <f t="shared" si="94"/>
        <v>0</v>
      </c>
      <c r="AE63" s="2608">
        <f t="shared" si="94"/>
        <v>0</v>
      </c>
      <c r="AF63" s="2609">
        <f t="shared" si="94"/>
        <v>0</v>
      </c>
      <c r="AG63" s="2619">
        <f>SUM(AG64:AG67)</f>
        <v>0</v>
      </c>
      <c r="AH63" s="2607">
        <f t="shared" ref="AH63:AM63" si="95">SUM(AH64:AH67)</f>
        <v>0</v>
      </c>
      <c r="AI63" s="2608">
        <f t="shared" si="95"/>
        <v>0</v>
      </c>
      <c r="AJ63" s="2608">
        <f t="shared" si="95"/>
        <v>0</v>
      </c>
      <c r="AK63" s="2608">
        <f t="shared" si="95"/>
        <v>0</v>
      </c>
      <c r="AL63" s="2608">
        <f t="shared" si="95"/>
        <v>0</v>
      </c>
      <c r="AM63" s="2609">
        <f t="shared" si="95"/>
        <v>0</v>
      </c>
      <c r="AN63" s="2513"/>
      <c r="AO63" s="2549"/>
      <c r="AP63" s="4422"/>
      <c r="AQ63" s="4438">
        <f t="shared" si="31"/>
        <v>1364.1267390315109</v>
      </c>
      <c r="AR63" s="4438">
        <f t="shared" si="32"/>
        <v>1456.0825838646508</v>
      </c>
      <c r="AS63" s="4438">
        <f t="shared" si="33"/>
        <v>1553.6600915362314</v>
      </c>
      <c r="AT63" s="4438">
        <f t="shared" si="34"/>
        <v>1652.3714792217097</v>
      </c>
      <c r="AU63" s="4438">
        <f t="shared" si="35"/>
        <v>1750.6651913490734</v>
      </c>
      <c r="AV63" s="4438">
        <f t="shared" si="36"/>
        <v>1847.3325724050053</v>
      </c>
      <c r="AW63" s="4438">
        <f t="shared" si="37"/>
        <v>1944.1087385998546</v>
      </c>
      <c r="AX63" s="4438">
        <f t="shared" si="38"/>
        <v>16.361340198278992</v>
      </c>
      <c r="AY63" s="4438">
        <f t="shared" si="39"/>
        <v>21.474259010241177</v>
      </c>
      <c r="AZ63" s="4438">
        <f t="shared" si="40"/>
        <v>31.988467198027323</v>
      </c>
      <c r="BA63" s="4438">
        <f t="shared" si="41"/>
        <v>42.737776742068434</v>
      </c>
      <c r="BB63" s="4438">
        <f t="shared" si="42"/>
        <v>53.508484830257046</v>
      </c>
      <c r="BC63" s="4438">
        <f t="shared" si="43"/>
        <v>64.301583455263255</v>
      </c>
      <c r="BD63" s="4438">
        <f t="shared" si="44"/>
        <v>75.111861016354865</v>
      </c>
      <c r="BE63" s="4438">
        <f t="shared" si="45"/>
        <v>35.279139802539078</v>
      </c>
      <c r="BF63" s="4438">
        <f t="shared" si="46"/>
        <v>36.225029782752081</v>
      </c>
      <c r="BG63" s="4438">
        <f t="shared" si="47"/>
        <v>37.830987034034088</v>
      </c>
      <c r="BH63" s="4438">
        <f t="shared" si="48"/>
        <v>39.729661529051157</v>
      </c>
      <c r="BI63" s="4438">
        <f t="shared" si="49"/>
        <v>41.768967097437255</v>
      </c>
      <c r="BJ63" s="4438">
        <f t="shared" si="50"/>
        <v>43.878337556848678</v>
      </c>
      <c r="BK63" s="4438">
        <f t="shared" si="51"/>
        <v>46.015131505616175</v>
      </c>
      <c r="BL63" s="4438">
        <f t="shared" si="52"/>
        <v>0</v>
      </c>
      <c r="BM63" s="4438">
        <f t="shared" si="53"/>
        <v>0</v>
      </c>
      <c r="BN63" s="4438">
        <f t="shared" si="54"/>
        <v>0</v>
      </c>
      <c r="BO63" s="4438">
        <f t="shared" si="55"/>
        <v>0</v>
      </c>
      <c r="BP63" s="4438">
        <f t="shared" si="56"/>
        <v>0</v>
      </c>
      <c r="BQ63" s="4438">
        <f t="shared" si="57"/>
        <v>0</v>
      </c>
      <c r="BR63" s="4438">
        <f t="shared" si="58"/>
        <v>0</v>
      </c>
      <c r="BS63" s="4438">
        <f t="shared" si="59"/>
        <v>0</v>
      </c>
      <c r="BT63" s="4438">
        <f t="shared" si="60"/>
        <v>0</v>
      </c>
      <c r="BU63" s="4438">
        <f t="shared" si="61"/>
        <v>0</v>
      </c>
      <c r="BV63" s="4438">
        <f t="shared" si="62"/>
        <v>0</v>
      </c>
      <c r="BW63" s="4438">
        <f t="shared" si="63"/>
        <v>0</v>
      </c>
      <c r="BX63" s="4438">
        <f t="shared" si="64"/>
        <v>0</v>
      </c>
      <c r="BY63" s="4438">
        <f t="shared" si="65"/>
        <v>0</v>
      </c>
    </row>
    <row r="64" spans="1:77">
      <c r="A64" s="2515"/>
      <c r="B64" s="2516">
        <v>20301</v>
      </c>
      <c r="C64" s="2522">
        <v>0.1</v>
      </c>
      <c r="D64" s="2550" t="s">
        <v>427</v>
      </c>
      <c r="E64" s="4387">
        <f>+'11.3. ДА Базова година'!H44</f>
        <v>79</v>
      </c>
      <c r="F64" s="1202">
        <f t="shared" ref="F64:K68" si="96">E64+F39</f>
        <v>78.900000000000006</v>
      </c>
      <c r="G64" s="1198">
        <f t="shared" si="96"/>
        <v>78.800000000000011</v>
      </c>
      <c r="H64" s="1198">
        <f t="shared" si="96"/>
        <v>78.700000000000017</v>
      </c>
      <c r="I64" s="1198">
        <f t="shared" si="96"/>
        <v>78.600000000000023</v>
      </c>
      <c r="J64" s="1198">
        <f t="shared" si="96"/>
        <v>78.500000000000028</v>
      </c>
      <c r="K64" s="1203">
        <f t="shared" si="96"/>
        <v>78.400000000000034</v>
      </c>
      <c r="L64" s="2641">
        <f>+'11.3. ДА Базова година'!L44</f>
        <v>0</v>
      </c>
      <c r="M64" s="1202">
        <f t="shared" ref="M64:R68" si="97">L64+M39</f>
        <v>0</v>
      </c>
      <c r="N64" s="1198">
        <f t="shared" si="97"/>
        <v>0</v>
      </c>
      <c r="O64" s="1198">
        <f t="shared" si="97"/>
        <v>0</v>
      </c>
      <c r="P64" s="1198">
        <f t="shared" si="97"/>
        <v>0</v>
      </c>
      <c r="Q64" s="1198">
        <f t="shared" si="97"/>
        <v>0</v>
      </c>
      <c r="R64" s="1203">
        <f t="shared" si="97"/>
        <v>0</v>
      </c>
      <c r="S64" s="2641">
        <f>+'11.3. ДА Базова година'!P44</f>
        <v>1</v>
      </c>
      <c r="T64" s="1202">
        <f t="shared" ref="T64:Y68" si="98">S64+T39</f>
        <v>1</v>
      </c>
      <c r="U64" s="1198">
        <f t="shared" si="98"/>
        <v>1</v>
      </c>
      <c r="V64" s="1198">
        <f t="shared" si="98"/>
        <v>1</v>
      </c>
      <c r="W64" s="1198">
        <f t="shared" si="98"/>
        <v>1</v>
      </c>
      <c r="X64" s="1198">
        <f t="shared" si="98"/>
        <v>1</v>
      </c>
      <c r="Y64" s="1203">
        <f t="shared" si="98"/>
        <v>1</v>
      </c>
      <c r="Z64" s="4387">
        <f>+'11.3. ДА Базова година'!T44</f>
        <v>0</v>
      </c>
      <c r="AA64" s="1202">
        <f t="shared" ref="AA64:AF68" si="99">Z64+AA39</f>
        <v>0</v>
      </c>
      <c r="AB64" s="1198">
        <f t="shared" si="99"/>
        <v>0</v>
      </c>
      <c r="AC64" s="1198">
        <f t="shared" si="99"/>
        <v>0</v>
      </c>
      <c r="AD64" s="1198">
        <f t="shared" si="99"/>
        <v>0</v>
      </c>
      <c r="AE64" s="1198">
        <f t="shared" si="99"/>
        <v>0</v>
      </c>
      <c r="AF64" s="1203">
        <f t="shared" si="99"/>
        <v>0</v>
      </c>
      <c r="AG64" s="2641">
        <f>+'11.3. ДА Базова година'!X44</f>
        <v>0</v>
      </c>
      <c r="AH64" s="1202">
        <f t="shared" ref="AH64:AM68" si="100">AG64+AH39</f>
        <v>0</v>
      </c>
      <c r="AI64" s="1198">
        <f t="shared" si="100"/>
        <v>0</v>
      </c>
      <c r="AJ64" s="1198">
        <f t="shared" si="100"/>
        <v>0</v>
      </c>
      <c r="AK64" s="1198">
        <f t="shared" si="100"/>
        <v>0</v>
      </c>
      <c r="AL64" s="1198">
        <f t="shared" si="100"/>
        <v>0</v>
      </c>
      <c r="AM64" s="1203">
        <f t="shared" si="100"/>
        <v>0</v>
      </c>
      <c r="AN64" s="2513"/>
      <c r="AO64" s="2549"/>
      <c r="AP64" s="4422"/>
      <c r="AQ64" s="4438">
        <f t="shared" si="31"/>
        <v>40.392058614501259</v>
      </c>
      <c r="AR64" s="4438">
        <f t="shared" si="32"/>
        <v>40.340929426381642</v>
      </c>
      <c r="AS64" s="4438">
        <f t="shared" si="33"/>
        <v>40.289800238262025</v>
      </c>
      <c r="AT64" s="4438">
        <f t="shared" si="34"/>
        <v>40.238671050142408</v>
      </c>
      <c r="AU64" s="4438">
        <f t="shared" si="35"/>
        <v>40.187541862022783</v>
      </c>
      <c r="AV64" s="4438">
        <f t="shared" si="36"/>
        <v>40.136412673903166</v>
      </c>
      <c r="AW64" s="4438">
        <f t="shared" si="37"/>
        <v>40.085283485783549</v>
      </c>
      <c r="AX64" s="4438">
        <f t="shared" si="38"/>
        <v>0</v>
      </c>
      <c r="AY64" s="4438">
        <f t="shared" si="39"/>
        <v>0</v>
      </c>
      <c r="AZ64" s="4438">
        <f t="shared" si="40"/>
        <v>0</v>
      </c>
      <c r="BA64" s="4438">
        <f t="shared" si="41"/>
        <v>0</v>
      </c>
      <c r="BB64" s="4438">
        <f t="shared" si="42"/>
        <v>0</v>
      </c>
      <c r="BC64" s="4438">
        <f t="shared" si="43"/>
        <v>0</v>
      </c>
      <c r="BD64" s="4438">
        <f t="shared" si="44"/>
        <v>0</v>
      </c>
      <c r="BE64" s="4438">
        <f t="shared" si="45"/>
        <v>0.51129188119621849</v>
      </c>
      <c r="BF64" s="4438">
        <f t="shared" si="46"/>
        <v>0.51129188119621849</v>
      </c>
      <c r="BG64" s="4438">
        <f t="shared" si="47"/>
        <v>0.51129188119621849</v>
      </c>
      <c r="BH64" s="4438">
        <f t="shared" si="48"/>
        <v>0.51129188119621849</v>
      </c>
      <c r="BI64" s="4438">
        <f t="shared" si="49"/>
        <v>0.51129188119621849</v>
      </c>
      <c r="BJ64" s="4438">
        <f t="shared" si="50"/>
        <v>0.51129188119621849</v>
      </c>
      <c r="BK64" s="4438">
        <f t="shared" si="51"/>
        <v>0.51129188119621849</v>
      </c>
      <c r="BL64" s="4438">
        <f t="shared" si="52"/>
        <v>0</v>
      </c>
      <c r="BM64" s="4438">
        <f t="shared" si="53"/>
        <v>0</v>
      </c>
      <c r="BN64" s="4438">
        <f t="shared" si="54"/>
        <v>0</v>
      </c>
      <c r="BO64" s="4438">
        <f t="shared" si="55"/>
        <v>0</v>
      </c>
      <c r="BP64" s="4438">
        <f t="shared" si="56"/>
        <v>0</v>
      </c>
      <c r="BQ64" s="4438">
        <f t="shared" si="57"/>
        <v>0</v>
      </c>
      <c r="BR64" s="4438">
        <f t="shared" si="58"/>
        <v>0</v>
      </c>
      <c r="BS64" s="4438">
        <f t="shared" si="59"/>
        <v>0</v>
      </c>
      <c r="BT64" s="4438">
        <f t="shared" si="60"/>
        <v>0</v>
      </c>
      <c r="BU64" s="4438">
        <f t="shared" si="61"/>
        <v>0</v>
      </c>
      <c r="BV64" s="4438">
        <f t="shared" si="62"/>
        <v>0</v>
      </c>
      <c r="BW64" s="4438">
        <f t="shared" si="63"/>
        <v>0</v>
      </c>
      <c r="BX64" s="4438">
        <f t="shared" si="64"/>
        <v>0</v>
      </c>
      <c r="BY64" s="4438">
        <f t="shared" si="65"/>
        <v>0</v>
      </c>
    </row>
    <row r="65" spans="1:77">
      <c r="A65" s="2515"/>
      <c r="B65" s="2516">
        <v>20302</v>
      </c>
      <c r="C65" s="2522">
        <v>0.1</v>
      </c>
      <c r="D65" s="2550" t="s">
        <v>428</v>
      </c>
      <c r="E65" s="4387">
        <f>+'11.3. ДА Базова година'!H45</f>
        <v>101</v>
      </c>
      <c r="F65" s="1202">
        <f t="shared" si="96"/>
        <v>108.05</v>
      </c>
      <c r="G65" s="1198">
        <f t="shared" si="96"/>
        <v>115.3</v>
      </c>
      <c r="H65" s="1198">
        <f t="shared" si="96"/>
        <v>122.55</v>
      </c>
      <c r="I65" s="1198">
        <f t="shared" si="96"/>
        <v>129.80000000000001</v>
      </c>
      <c r="J65" s="1198">
        <f t="shared" si="96"/>
        <v>137.05000000000001</v>
      </c>
      <c r="K65" s="1203">
        <f t="shared" si="96"/>
        <v>144.30000000000001</v>
      </c>
      <c r="L65" s="2641">
        <f>+'11.3. ДА Базова година'!L45</f>
        <v>0</v>
      </c>
      <c r="M65" s="1202">
        <f t="shared" si="97"/>
        <v>0</v>
      </c>
      <c r="N65" s="1198">
        <f t="shared" si="97"/>
        <v>0</v>
      </c>
      <c r="O65" s="1198">
        <f t="shared" si="97"/>
        <v>0</v>
      </c>
      <c r="P65" s="1198">
        <f t="shared" si="97"/>
        <v>0</v>
      </c>
      <c r="Q65" s="1198">
        <f t="shared" si="97"/>
        <v>0</v>
      </c>
      <c r="R65" s="1203">
        <f t="shared" si="97"/>
        <v>0</v>
      </c>
      <c r="S65" s="2641">
        <f>+'11.3. ДА Базова година'!P45</f>
        <v>2</v>
      </c>
      <c r="T65" s="1202">
        <f t="shared" si="98"/>
        <v>3</v>
      </c>
      <c r="U65" s="1198">
        <f t="shared" si="98"/>
        <v>5</v>
      </c>
      <c r="V65" s="1198">
        <f t="shared" si="98"/>
        <v>7</v>
      </c>
      <c r="W65" s="1198">
        <f t="shared" si="98"/>
        <v>9</v>
      </c>
      <c r="X65" s="1198">
        <f t="shared" si="98"/>
        <v>11</v>
      </c>
      <c r="Y65" s="1203">
        <f t="shared" si="98"/>
        <v>13</v>
      </c>
      <c r="Z65" s="4387">
        <f>+'11.3. ДА Базова година'!T45</f>
        <v>0</v>
      </c>
      <c r="AA65" s="1202">
        <f t="shared" si="99"/>
        <v>0</v>
      </c>
      <c r="AB65" s="1198">
        <f t="shared" si="99"/>
        <v>0</v>
      </c>
      <c r="AC65" s="1198">
        <f t="shared" si="99"/>
        <v>0</v>
      </c>
      <c r="AD65" s="1198">
        <f t="shared" si="99"/>
        <v>0</v>
      </c>
      <c r="AE65" s="1198">
        <f t="shared" si="99"/>
        <v>0</v>
      </c>
      <c r="AF65" s="1203">
        <f t="shared" si="99"/>
        <v>0</v>
      </c>
      <c r="AG65" s="2641">
        <f>+'11.3. ДА Базова година'!X45</f>
        <v>0</v>
      </c>
      <c r="AH65" s="1202">
        <f t="shared" si="100"/>
        <v>0</v>
      </c>
      <c r="AI65" s="1198">
        <f t="shared" si="100"/>
        <v>0</v>
      </c>
      <c r="AJ65" s="1198">
        <f t="shared" si="100"/>
        <v>0</v>
      </c>
      <c r="AK65" s="1198">
        <f t="shared" si="100"/>
        <v>0</v>
      </c>
      <c r="AL65" s="1198">
        <f t="shared" si="100"/>
        <v>0</v>
      </c>
      <c r="AM65" s="1203">
        <f t="shared" si="100"/>
        <v>0</v>
      </c>
      <c r="AN65" s="2513"/>
      <c r="AO65" s="2549"/>
      <c r="AP65" s="4422"/>
      <c r="AQ65" s="4438">
        <f t="shared" si="31"/>
        <v>51.640480000818066</v>
      </c>
      <c r="AR65" s="4438">
        <f t="shared" si="32"/>
        <v>55.245087763251405</v>
      </c>
      <c r="AS65" s="4438">
        <f t="shared" si="33"/>
        <v>58.951953901923993</v>
      </c>
      <c r="AT65" s="4438">
        <f t="shared" si="34"/>
        <v>62.658820040596574</v>
      </c>
      <c r="AU65" s="4438">
        <f t="shared" si="35"/>
        <v>66.365686179269161</v>
      </c>
      <c r="AV65" s="4438">
        <f t="shared" si="36"/>
        <v>70.072552317941756</v>
      </c>
      <c r="AW65" s="4438">
        <f t="shared" si="37"/>
        <v>73.779418456614337</v>
      </c>
      <c r="AX65" s="4438">
        <f t="shared" si="38"/>
        <v>0</v>
      </c>
      <c r="AY65" s="4438">
        <f t="shared" si="39"/>
        <v>0</v>
      </c>
      <c r="AZ65" s="4438">
        <f t="shared" si="40"/>
        <v>0</v>
      </c>
      <c r="BA65" s="4438">
        <f t="shared" si="41"/>
        <v>0</v>
      </c>
      <c r="BB65" s="4438">
        <f t="shared" si="42"/>
        <v>0</v>
      </c>
      <c r="BC65" s="4438">
        <f t="shared" si="43"/>
        <v>0</v>
      </c>
      <c r="BD65" s="4438">
        <f t="shared" si="44"/>
        <v>0</v>
      </c>
      <c r="BE65" s="4438">
        <f t="shared" si="45"/>
        <v>1.022583762392437</v>
      </c>
      <c r="BF65" s="4438">
        <f t="shared" si="46"/>
        <v>1.5338756435886556</v>
      </c>
      <c r="BG65" s="4438">
        <f t="shared" si="47"/>
        <v>2.5564594059810926</v>
      </c>
      <c r="BH65" s="4438">
        <f t="shared" si="48"/>
        <v>3.5790431683735293</v>
      </c>
      <c r="BI65" s="4438">
        <f t="shared" si="49"/>
        <v>4.6016269307659661</v>
      </c>
      <c r="BJ65" s="4438">
        <f t="shared" si="50"/>
        <v>5.6242106931584033</v>
      </c>
      <c r="BK65" s="4438">
        <f t="shared" si="51"/>
        <v>6.6467944555508405</v>
      </c>
      <c r="BL65" s="4438">
        <f t="shared" si="52"/>
        <v>0</v>
      </c>
      <c r="BM65" s="4438">
        <f t="shared" si="53"/>
        <v>0</v>
      </c>
      <c r="BN65" s="4438">
        <f t="shared" si="54"/>
        <v>0</v>
      </c>
      <c r="BO65" s="4438">
        <f t="shared" si="55"/>
        <v>0</v>
      </c>
      <c r="BP65" s="4438">
        <f t="shared" si="56"/>
        <v>0</v>
      </c>
      <c r="BQ65" s="4438">
        <f t="shared" si="57"/>
        <v>0</v>
      </c>
      <c r="BR65" s="4438">
        <f t="shared" si="58"/>
        <v>0</v>
      </c>
      <c r="BS65" s="4438">
        <f t="shared" si="59"/>
        <v>0</v>
      </c>
      <c r="BT65" s="4438">
        <f t="shared" si="60"/>
        <v>0</v>
      </c>
      <c r="BU65" s="4438">
        <f t="shared" si="61"/>
        <v>0</v>
      </c>
      <c r="BV65" s="4438">
        <f t="shared" si="62"/>
        <v>0</v>
      </c>
      <c r="BW65" s="4438">
        <f t="shared" si="63"/>
        <v>0</v>
      </c>
      <c r="BX65" s="4438">
        <f t="shared" si="64"/>
        <v>0</v>
      </c>
      <c r="BY65" s="4438">
        <f t="shared" si="65"/>
        <v>0</v>
      </c>
    </row>
    <row r="66" spans="1:77">
      <c r="A66" s="2515"/>
      <c r="B66" s="2516">
        <v>20303</v>
      </c>
      <c r="C66" s="2511">
        <v>0.1</v>
      </c>
      <c r="D66" s="2550" t="s">
        <v>406</v>
      </c>
      <c r="E66" s="4387">
        <f>+'11.3. ДА Базова година'!H46</f>
        <v>2162</v>
      </c>
      <c r="F66" s="1202">
        <f t="shared" si="96"/>
        <v>2323.85</v>
      </c>
      <c r="G66" s="1198">
        <f t="shared" si="96"/>
        <v>2494.5</v>
      </c>
      <c r="H66" s="1198">
        <f t="shared" si="96"/>
        <v>2665.15</v>
      </c>
      <c r="I66" s="1198">
        <f t="shared" si="96"/>
        <v>2834.7000000000003</v>
      </c>
      <c r="J66" s="1198">
        <f t="shared" si="96"/>
        <v>3000.4500000000003</v>
      </c>
      <c r="K66" s="1203">
        <f t="shared" si="96"/>
        <v>3166.2000000000003</v>
      </c>
      <c r="L66" s="2641">
        <f>+'11.3. ДА Базова година'!L46</f>
        <v>29</v>
      </c>
      <c r="M66" s="1202">
        <f t="shared" si="97"/>
        <v>39</v>
      </c>
      <c r="N66" s="1198">
        <f t="shared" si="97"/>
        <v>59</v>
      </c>
      <c r="O66" s="1198">
        <f t="shared" si="97"/>
        <v>79</v>
      </c>
      <c r="P66" s="1198">
        <f t="shared" si="97"/>
        <v>99</v>
      </c>
      <c r="Q66" s="1198">
        <f t="shared" si="97"/>
        <v>119</v>
      </c>
      <c r="R66" s="1203">
        <f t="shared" si="97"/>
        <v>139</v>
      </c>
      <c r="S66" s="2641">
        <f>+'11.3. ДА Базова година'!P46</f>
        <v>58</v>
      </c>
      <c r="T66" s="1202">
        <f t="shared" si="98"/>
        <v>59</v>
      </c>
      <c r="U66" s="1198">
        <f t="shared" si="98"/>
        <v>60</v>
      </c>
      <c r="V66" s="1198">
        <f t="shared" si="98"/>
        <v>61</v>
      </c>
      <c r="W66" s="1198">
        <f t="shared" si="98"/>
        <v>62</v>
      </c>
      <c r="X66" s="1198">
        <f t="shared" si="98"/>
        <v>63</v>
      </c>
      <c r="Y66" s="1203">
        <f t="shared" si="98"/>
        <v>64</v>
      </c>
      <c r="Z66" s="4387">
        <f>+'11.3. ДА Базова година'!T46</f>
        <v>0</v>
      </c>
      <c r="AA66" s="1202">
        <f t="shared" si="99"/>
        <v>0</v>
      </c>
      <c r="AB66" s="1198">
        <f t="shared" si="99"/>
        <v>0</v>
      </c>
      <c r="AC66" s="1198">
        <f t="shared" si="99"/>
        <v>0</v>
      </c>
      <c r="AD66" s="1198">
        <f t="shared" si="99"/>
        <v>0</v>
      </c>
      <c r="AE66" s="1198">
        <f t="shared" si="99"/>
        <v>0</v>
      </c>
      <c r="AF66" s="1203">
        <f t="shared" si="99"/>
        <v>0</v>
      </c>
      <c r="AG66" s="2641">
        <f>+'11.3. ДА Базова година'!X46</f>
        <v>0</v>
      </c>
      <c r="AH66" s="1202">
        <f t="shared" si="100"/>
        <v>0</v>
      </c>
      <c r="AI66" s="1198">
        <f t="shared" si="100"/>
        <v>0</v>
      </c>
      <c r="AJ66" s="1198">
        <f t="shared" si="100"/>
        <v>0</v>
      </c>
      <c r="AK66" s="1198">
        <f t="shared" si="100"/>
        <v>0</v>
      </c>
      <c r="AL66" s="1198">
        <f t="shared" si="100"/>
        <v>0</v>
      </c>
      <c r="AM66" s="1203">
        <f t="shared" si="100"/>
        <v>0</v>
      </c>
      <c r="AN66" s="2513"/>
      <c r="AO66" s="2549"/>
      <c r="AP66" s="4422"/>
      <c r="AQ66" s="4438">
        <f t="shared" si="31"/>
        <v>1105.4130471462245</v>
      </c>
      <c r="AR66" s="4438">
        <f t="shared" si="32"/>
        <v>1188.1656381178323</v>
      </c>
      <c r="AS66" s="4438">
        <f t="shared" si="33"/>
        <v>1275.4175976439669</v>
      </c>
      <c r="AT66" s="4438">
        <f t="shared" si="34"/>
        <v>1362.6695571701018</v>
      </c>
      <c r="AU66" s="4438">
        <f t="shared" si="35"/>
        <v>1449.3590956269206</v>
      </c>
      <c r="AV66" s="4438">
        <f t="shared" si="36"/>
        <v>1534.1057249351938</v>
      </c>
      <c r="AW66" s="4438">
        <f t="shared" si="37"/>
        <v>1618.8523542434671</v>
      </c>
      <c r="AX66" s="4438">
        <f t="shared" si="38"/>
        <v>14.827464554690337</v>
      </c>
      <c r="AY66" s="4438">
        <f t="shared" si="39"/>
        <v>19.940383366652522</v>
      </c>
      <c r="AZ66" s="4438">
        <f t="shared" si="40"/>
        <v>30.166220990576893</v>
      </c>
      <c r="BA66" s="4438">
        <f t="shared" si="41"/>
        <v>40.392058614501259</v>
      </c>
      <c r="BB66" s="4438">
        <f t="shared" si="42"/>
        <v>50.617896238425629</v>
      </c>
      <c r="BC66" s="4438">
        <f t="shared" si="43"/>
        <v>60.84373386235</v>
      </c>
      <c r="BD66" s="4438">
        <f t="shared" si="44"/>
        <v>71.06957148627437</v>
      </c>
      <c r="BE66" s="4438">
        <f t="shared" si="45"/>
        <v>29.654929109380674</v>
      </c>
      <c r="BF66" s="4438">
        <f t="shared" si="46"/>
        <v>30.166220990576893</v>
      </c>
      <c r="BG66" s="4438">
        <f t="shared" si="47"/>
        <v>30.677512871773111</v>
      </c>
      <c r="BH66" s="4438">
        <f t="shared" si="48"/>
        <v>31.188804752969329</v>
      </c>
      <c r="BI66" s="4438">
        <f t="shared" si="49"/>
        <v>31.700096634165547</v>
      </c>
      <c r="BJ66" s="4438">
        <f t="shared" si="50"/>
        <v>32.211388515361769</v>
      </c>
      <c r="BK66" s="4438">
        <f t="shared" si="51"/>
        <v>32.722680396557983</v>
      </c>
      <c r="BL66" s="4438">
        <f t="shared" si="52"/>
        <v>0</v>
      </c>
      <c r="BM66" s="4438">
        <f t="shared" si="53"/>
        <v>0</v>
      </c>
      <c r="BN66" s="4438">
        <f t="shared" si="54"/>
        <v>0</v>
      </c>
      <c r="BO66" s="4438">
        <f t="shared" si="55"/>
        <v>0</v>
      </c>
      <c r="BP66" s="4438">
        <f t="shared" si="56"/>
        <v>0</v>
      </c>
      <c r="BQ66" s="4438">
        <f t="shared" si="57"/>
        <v>0</v>
      </c>
      <c r="BR66" s="4438">
        <f t="shared" si="58"/>
        <v>0</v>
      </c>
      <c r="BS66" s="4438">
        <f t="shared" si="59"/>
        <v>0</v>
      </c>
      <c r="BT66" s="4438">
        <f t="shared" si="60"/>
        <v>0</v>
      </c>
      <c r="BU66" s="4438">
        <f t="shared" si="61"/>
        <v>0</v>
      </c>
      <c r="BV66" s="4438">
        <f t="shared" si="62"/>
        <v>0</v>
      </c>
      <c r="BW66" s="4438">
        <f t="shared" si="63"/>
        <v>0</v>
      </c>
      <c r="BX66" s="4438">
        <f t="shared" si="64"/>
        <v>0</v>
      </c>
      <c r="BY66" s="4438">
        <f t="shared" si="65"/>
        <v>0</v>
      </c>
    </row>
    <row r="67" spans="1:77">
      <c r="A67" s="2515"/>
      <c r="B67" s="2516">
        <v>20306</v>
      </c>
      <c r="C67" s="2511">
        <v>0.1</v>
      </c>
      <c r="D67" s="2550" t="s">
        <v>409</v>
      </c>
      <c r="E67" s="4387">
        <f>+'11.3. ДА Базова година'!H47</f>
        <v>326</v>
      </c>
      <c r="F67" s="1202">
        <f t="shared" si="96"/>
        <v>337.05</v>
      </c>
      <c r="G67" s="1198">
        <f t="shared" si="96"/>
        <v>350.09501682930733</v>
      </c>
      <c r="H67" s="1198">
        <f t="shared" si="96"/>
        <v>365.3577102061962</v>
      </c>
      <c r="I67" s="1198">
        <f t="shared" si="96"/>
        <v>380.90350119625765</v>
      </c>
      <c r="J67" s="1198">
        <f t="shared" si="96"/>
        <v>397.06846508688113</v>
      </c>
      <c r="K67" s="1203">
        <f t="shared" si="96"/>
        <v>413.44619421575339</v>
      </c>
      <c r="L67" s="2641">
        <f>+'11.3. ДА Базова година'!L47</f>
        <v>3</v>
      </c>
      <c r="M67" s="1202">
        <f t="shared" si="97"/>
        <v>3</v>
      </c>
      <c r="N67" s="1198">
        <f t="shared" si="97"/>
        <v>3.5640037999177805</v>
      </c>
      <c r="O67" s="1198">
        <f t="shared" si="97"/>
        <v>4.5878258854396989</v>
      </c>
      <c r="P67" s="1198">
        <f t="shared" si="97"/>
        <v>5.6534998855616498</v>
      </c>
      <c r="Q67" s="1198">
        <f t="shared" si="97"/>
        <v>6.7629659693075279</v>
      </c>
      <c r="R67" s="1203">
        <f t="shared" si="97"/>
        <v>7.9060311316173495</v>
      </c>
      <c r="S67" s="2641">
        <f>+'11.3. ДА Базова година'!P47</f>
        <v>8</v>
      </c>
      <c r="T67" s="1202">
        <f t="shared" si="98"/>
        <v>7.85</v>
      </c>
      <c r="U67" s="1198">
        <f t="shared" si="98"/>
        <v>7.9909793707748884</v>
      </c>
      <c r="V67" s="1198">
        <f t="shared" si="98"/>
        <v>8.7044639083641204</v>
      </c>
      <c r="W67" s="1198">
        <f t="shared" si="98"/>
        <v>9.6929989181807077</v>
      </c>
      <c r="X67" s="1198">
        <f t="shared" si="98"/>
        <v>10.818568943811339</v>
      </c>
      <c r="Y67" s="1203">
        <f t="shared" si="98"/>
        <v>11.997774652629269</v>
      </c>
      <c r="Z67" s="4387">
        <f>+'11.3. ДА Базова година'!T47</f>
        <v>0</v>
      </c>
      <c r="AA67" s="1202">
        <f t="shared" si="99"/>
        <v>0</v>
      </c>
      <c r="AB67" s="1198">
        <f t="shared" si="99"/>
        <v>0</v>
      </c>
      <c r="AC67" s="1198">
        <f t="shared" si="99"/>
        <v>0</v>
      </c>
      <c r="AD67" s="1198">
        <f t="shared" si="99"/>
        <v>0</v>
      </c>
      <c r="AE67" s="1198">
        <f t="shared" si="99"/>
        <v>0</v>
      </c>
      <c r="AF67" s="1203">
        <f t="shared" si="99"/>
        <v>0</v>
      </c>
      <c r="AG67" s="2641">
        <f>+'11.3. ДА Базова година'!X47</f>
        <v>0</v>
      </c>
      <c r="AH67" s="1202">
        <f t="shared" si="100"/>
        <v>0</v>
      </c>
      <c r="AI67" s="1198">
        <f t="shared" si="100"/>
        <v>0</v>
      </c>
      <c r="AJ67" s="1198">
        <f t="shared" si="100"/>
        <v>0</v>
      </c>
      <c r="AK67" s="1198">
        <f t="shared" si="100"/>
        <v>0</v>
      </c>
      <c r="AL67" s="1198">
        <f t="shared" si="100"/>
        <v>0</v>
      </c>
      <c r="AM67" s="1203">
        <f t="shared" si="100"/>
        <v>0</v>
      </c>
      <c r="AN67" s="2513"/>
      <c r="AO67" s="2551"/>
      <c r="AP67" s="4422"/>
      <c r="AQ67" s="4438">
        <f t="shared" si="31"/>
        <v>166.68115326996724</v>
      </c>
      <c r="AR67" s="4438">
        <f t="shared" si="32"/>
        <v>172.33092855718544</v>
      </c>
      <c r="AS67" s="4438">
        <f t="shared" si="33"/>
        <v>179.00073975207832</v>
      </c>
      <c r="AT67" s="4438">
        <f t="shared" si="34"/>
        <v>186.8044309608689</v>
      </c>
      <c r="AU67" s="4438">
        <f t="shared" si="35"/>
        <v>194.75286768086065</v>
      </c>
      <c r="AV67" s="4438">
        <f t="shared" si="36"/>
        <v>203.01788247796645</v>
      </c>
      <c r="AW67" s="4438">
        <f t="shared" si="37"/>
        <v>211.39168241398966</v>
      </c>
      <c r="AX67" s="4438">
        <f t="shared" si="38"/>
        <v>1.5338756435886556</v>
      </c>
      <c r="AY67" s="4438">
        <f t="shared" si="39"/>
        <v>1.5338756435886556</v>
      </c>
      <c r="AZ67" s="4438">
        <f t="shared" si="40"/>
        <v>1.8222462074504331</v>
      </c>
      <c r="BA67" s="4438">
        <f t="shared" si="41"/>
        <v>2.3457181275671704</v>
      </c>
      <c r="BB67" s="4438">
        <f t="shared" si="42"/>
        <v>2.8905885918314218</v>
      </c>
      <c r="BC67" s="4438">
        <f t="shared" si="43"/>
        <v>3.4578495929132531</v>
      </c>
      <c r="BD67" s="4438">
        <f t="shared" si="44"/>
        <v>4.0422895300805024</v>
      </c>
      <c r="BE67" s="4438">
        <f t="shared" si="45"/>
        <v>4.0903350495697479</v>
      </c>
      <c r="BF67" s="4438">
        <f t="shared" si="46"/>
        <v>4.013641267390315</v>
      </c>
      <c r="BG67" s="4438">
        <f t="shared" si="47"/>
        <v>4.0857228750836674</v>
      </c>
      <c r="BH67" s="4438">
        <f t="shared" si="48"/>
        <v>4.45052172651208</v>
      </c>
      <c r="BI67" s="4438">
        <f t="shared" si="49"/>
        <v>4.9559516513095252</v>
      </c>
      <c r="BJ67" s="4438">
        <f t="shared" si="50"/>
        <v>5.5314464671322865</v>
      </c>
      <c r="BK67" s="4438">
        <f t="shared" si="51"/>
        <v>6.1343647723111259</v>
      </c>
      <c r="BL67" s="4438">
        <f t="shared" si="52"/>
        <v>0</v>
      </c>
      <c r="BM67" s="4438">
        <f t="shared" si="53"/>
        <v>0</v>
      </c>
      <c r="BN67" s="4438">
        <f t="shared" si="54"/>
        <v>0</v>
      </c>
      <c r="BO67" s="4438">
        <f t="shared" si="55"/>
        <v>0</v>
      </c>
      <c r="BP67" s="4438">
        <f t="shared" si="56"/>
        <v>0</v>
      </c>
      <c r="BQ67" s="4438">
        <f t="shared" si="57"/>
        <v>0</v>
      </c>
      <c r="BR67" s="4438">
        <f t="shared" si="58"/>
        <v>0</v>
      </c>
      <c r="BS67" s="4438">
        <f t="shared" si="59"/>
        <v>0</v>
      </c>
      <c r="BT67" s="4438">
        <f t="shared" si="60"/>
        <v>0</v>
      </c>
      <c r="BU67" s="4438">
        <f t="shared" si="61"/>
        <v>0</v>
      </c>
      <c r="BV67" s="4438">
        <f t="shared" si="62"/>
        <v>0</v>
      </c>
      <c r="BW67" s="4438">
        <f t="shared" si="63"/>
        <v>0</v>
      </c>
      <c r="BX67" s="4438">
        <f t="shared" si="64"/>
        <v>0</v>
      </c>
      <c r="BY67" s="4438">
        <f t="shared" si="65"/>
        <v>0</v>
      </c>
    </row>
    <row r="68" spans="1:77">
      <c r="A68" s="2515">
        <v>4</v>
      </c>
      <c r="B68" s="2516">
        <v>20403</v>
      </c>
      <c r="C68" s="2522">
        <v>0.04</v>
      </c>
      <c r="D68" s="2552" t="s">
        <v>434</v>
      </c>
      <c r="E68" s="4387">
        <f>+'11.3. ДА Базова година'!H48</f>
        <v>132</v>
      </c>
      <c r="F68" s="1202">
        <f t="shared" si="96"/>
        <v>132</v>
      </c>
      <c r="G68" s="1198">
        <f t="shared" si="96"/>
        <v>132</v>
      </c>
      <c r="H68" s="1198">
        <f t="shared" si="96"/>
        <v>132</v>
      </c>
      <c r="I68" s="1198">
        <f t="shared" si="96"/>
        <v>132</v>
      </c>
      <c r="J68" s="1198">
        <f t="shared" si="96"/>
        <v>130.56</v>
      </c>
      <c r="K68" s="1203">
        <f t="shared" si="96"/>
        <v>129.12</v>
      </c>
      <c r="L68" s="2641">
        <f>+'11.3. ДА Базова година'!L48</f>
        <v>1</v>
      </c>
      <c r="M68" s="1202">
        <f t="shared" si="97"/>
        <v>1</v>
      </c>
      <c r="N68" s="1198">
        <f t="shared" si="97"/>
        <v>1</v>
      </c>
      <c r="O68" s="1198">
        <f t="shared" si="97"/>
        <v>1</v>
      </c>
      <c r="P68" s="1198">
        <f t="shared" si="97"/>
        <v>1</v>
      </c>
      <c r="Q68" s="1198">
        <f t="shared" si="97"/>
        <v>1</v>
      </c>
      <c r="R68" s="1203">
        <f t="shared" si="97"/>
        <v>1</v>
      </c>
      <c r="S68" s="2641">
        <f>+'11.3. ДА Базова година'!P48</f>
        <v>1</v>
      </c>
      <c r="T68" s="1202">
        <f t="shared" si="98"/>
        <v>1</v>
      </c>
      <c r="U68" s="1198">
        <f t="shared" si="98"/>
        <v>1</v>
      </c>
      <c r="V68" s="1198">
        <f t="shared" si="98"/>
        <v>1</v>
      </c>
      <c r="W68" s="1198">
        <f t="shared" si="98"/>
        <v>1</v>
      </c>
      <c r="X68" s="1198">
        <f t="shared" si="98"/>
        <v>1</v>
      </c>
      <c r="Y68" s="1203">
        <f t="shared" si="98"/>
        <v>1</v>
      </c>
      <c r="Z68" s="4387">
        <f>+'11.3. ДА Базова година'!T48</f>
        <v>0</v>
      </c>
      <c r="AA68" s="1202">
        <f t="shared" si="99"/>
        <v>0</v>
      </c>
      <c r="AB68" s="1198">
        <f t="shared" si="99"/>
        <v>0</v>
      </c>
      <c r="AC68" s="1198">
        <f t="shared" si="99"/>
        <v>0</v>
      </c>
      <c r="AD68" s="1198">
        <f t="shared" si="99"/>
        <v>0</v>
      </c>
      <c r="AE68" s="1198">
        <f t="shared" si="99"/>
        <v>0</v>
      </c>
      <c r="AF68" s="1203">
        <f t="shared" si="99"/>
        <v>0</v>
      </c>
      <c r="AG68" s="2641">
        <f>+'11.3. ДА Базова година'!X48</f>
        <v>0</v>
      </c>
      <c r="AH68" s="1202">
        <f t="shared" si="100"/>
        <v>0</v>
      </c>
      <c r="AI68" s="1198">
        <f t="shared" si="100"/>
        <v>0</v>
      </c>
      <c r="AJ68" s="1198">
        <f t="shared" si="100"/>
        <v>0</v>
      </c>
      <c r="AK68" s="1198">
        <f t="shared" si="100"/>
        <v>0</v>
      </c>
      <c r="AL68" s="1198">
        <f t="shared" si="100"/>
        <v>0</v>
      </c>
      <c r="AM68" s="1203">
        <f t="shared" si="100"/>
        <v>0</v>
      </c>
      <c r="AN68" s="2513"/>
      <c r="AO68" s="2551"/>
      <c r="AP68" s="4422"/>
      <c r="AQ68" s="4438">
        <f t="shared" si="31"/>
        <v>67.490528317900839</v>
      </c>
      <c r="AR68" s="4438">
        <f t="shared" si="32"/>
        <v>67.490528317900839</v>
      </c>
      <c r="AS68" s="4438">
        <f t="shared" si="33"/>
        <v>67.490528317900839</v>
      </c>
      <c r="AT68" s="4438">
        <f t="shared" si="34"/>
        <v>67.490528317900839</v>
      </c>
      <c r="AU68" s="4438">
        <f t="shared" si="35"/>
        <v>67.490528317900839</v>
      </c>
      <c r="AV68" s="4438">
        <f t="shared" si="36"/>
        <v>66.754268008978286</v>
      </c>
      <c r="AW68" s="4438">
        <f t="shared" si="37"/>
        <v>66.018007700055733</v>
      </c>
      <c r="AX68" s="4438">
        <f t="shared" si="38"/>
        <v>0.51129188119621849</v>
      </c>
      <c r="AY68" s="4438">
        <f t="shared" si="39"/>
        <v>0.51129188119621849</v>
      </c>
      <c r="AZ68" s="4438">
        <f t="shared" si="40"/>
        <v>0.51129188119621849</v>
      </c>
      <c r="BA68" s="4438">
        <f t="shared" si="41"/>
        <v>0.51129188119621849</v>
      </c>
      <c r="BB68" s="4438">
        <f t="shared" si="42"/>
        <v>0.51129188119621849</v>
      </c>
      <c r="BC68" s="4438">
        <f t="shared" si="43"/>
        <v>0.51129188119621849</v>
      </c>
      <c r="BD68" s="4438">
        <f t="shared" si="44"/>
        <v>0.51129188119621849</v>
      </c>
      <c r="BE68" s="4438">
        <f t="shared" si="45"/>
        <v>0.51129188119621849</v>
      </c>
      <c r="BF68" s="4438">
        <f t="shared" si="46"/>
        <v>0.51129188119621849</v>
      </c>
      <c r="BG68" s="4438">
        <f t="shared" si="47"/>
        <v>0.51129188119621849</v>
      </c>
      <c r="BH68" s="4438">
        <f t="shared" si="48"/>
        <v>0.51129188119621849</v>
      </c>
      <c r="BI68" s="4438">
        <f t="shared" si="49"/>
        <v>0.51129188119621849</v>
      </c>
      <c r="BJ68" s="4438">
        <f t="shared" si="50"/>
        <v>0.51129188119621849</v>
      </c>
      <c r="BK68" s="4438">
        <f t="shared" si="51"/>
        <v>0.51129188119621849</v>
      </c>
      <c r="BL68" s="4438">
        <f t="shared" si="52"/>
        <v>0</v>
      </c>
      <c r="BM68" s="4438">
        <f t="shared" si="53"/>
        <v>0</v>
      </c>
      <c r="BN68" s="4438">
        <f t="shared" si="54"/>
        <v>0</v>
      </c>
      <c r="BO68" s="4438">
        <f t="shared" si="55"/>
        <v>0</v>
      </c>
      <c r="BP68" s="4438">
        <f t="shared" si="56"/>
        <v>0</v>
      </c>
      <c r="BQ68" s="4438">
        <f t="shared" si="57"/>
        <v>0</v>
      </c>
      <c r="BR68" s="4438">
        <f t="shared" si="58"/>
        <v>0</v>
      </c>
      <c r="BS68" s="4438">
        <f t="shared" si="59"/>
        <v>0</v>
      </c>
      <c r="BT68" s="4438">
        <f t="shared" si="60"/>
        <v>0</v>
      </c>
      <c r="BU68" s="4438">
        <f t="shared" si="61"/>
        <v>0</v>
      </c>
      <c r="BV68" s="4438">
        <f t="shared" si="62"/>
        <v>0</v>
      </c>
      <c r="BW68" s="4438">
        <f t="shared" si="63"/>
        <v>0</v>
      </c>
      <c r="BX68" s="4438">
        <f t="shared" si="64"/>
        <v>0</v>
      </c>
      <c r="BY68" s="4438">
        <f t="shared" si="65"/>
        <v>0</v>
      </c>
    </row>
    <row r="69" spans="1:77">
      <c r="A69" s="2515">
        <v>5</v>
      </c>
      <c r="B69" s="2516">
        <v>205</v>
      </c>
      <c r="C69" s="2511"/>
      <c r="D69" s="2547" t="s">
        <v>212</v>
      </c>
      <c r="E69" s="4059">
        <f>SUM(E70:E73)</f>
        <v>2592</v>
      </c>
      <c r="F69" s="2607">
        <f>SUM(F70:F73)</f>
        <v>2768.1589843750003</v>
      </c>
      <c r="G69" s="2608">
        <f>SUM(G70:G73)</f>
        <v>2986.4140977666684</v>
      </c>
      <c r="H69" s="2608">
        <f t="shared" ref="H69:K69" si="101">SUM(H70:H73)</f>
        <v>3260.6376205966103</v>
      </c>
      <c r="I69" s="2608">
        <f t="shared" si="101"/>
        <v>3577.1879856689466</v>
      </c>
      <c r="J69" s="2608">
        <f t="shared" si="101"/>
        <v>3935.932765350025</v>
      </c>
      <c r="K69" s="2608">
        <f t="shared" si="101"/>
        <v>4316.3037761384958</v>
      </c>
      <c r="L69" s="4059">
        <f>SUM(L70:L73)</f>
        <v>1223</v>
      </c>
      <c r="M69" s="2607">
        <f>SUM(M70:M73)</f>
        <v>1233.8023437499999</v>
      </c>
      <c r="N69" s="2608">
        <f>SUM(N70:N73)</f>
        <v>1245.2144235234919</v>
      </c>
      <c r="O69" s="2608">
        <f t="shared" ref="O69:R69" si="102">SUM(O70:O73)</f>
        <v>1256.5427509369244</v>
      </c>
      <c r="P69" s="2608">
        <f t="shared" si="102"/>
        <v>1198.569985090827</v>
      </c>
      <c r="Q69" s="2608">
        <f t="shared" si="102"/>
        <v>1139.941546495106</v>
      </c>
      <c r="R69" s="2608">
        <f t="shared" si="102"/>
        <v>1080.9767558144799</v>
      </c>
      <c r="S69" s="2610">
        <f>SUM(S70:S73)</f>
        <v>155</v>
      </c>
      <c r="T69" s="2607">
        <f>SUM(T70:T73)</f>
        <v>162.03867187499998</v>
      </c>
      <c r="U69" s="2608">
        <f>SUM(U70:U73)</f>
        <v>169.31147870983949</v>
      </c>
      <c r="V69" s="2608">
        <f t="shared" ref="V69:Y69" si="103">SUM(V70:V73)</f>
        <v>176.73962846646538</v>
      </c>
      <c r="W69" s="2608">
        <f t="shared" si="103"/>
        <v>184.24202924022688</v>
      </c>
      <c r="X69" s="2608">
        <f t="shared" si="103"/>
        <v>191.74568815486964</v>
      </c>
      <c r="Y69" s="2609">
        <f t="shared" si="103"/>
        <v>199.21946804702441</v>
      </c>
      <c r="Z69" s="2610">
        <f>SUM(Z70:Z73)</f>
        <v>0</v>
      </c>
      <c r="AA69" s="2607">
        <f>SUM(AA70:AA73)</f>
        <v>0</v>
      </c>
      <c r="AB69" s="2608">
        <f>SUM(AB70:AB73)</f>
        <v>0</v>
      </c>
      <c r="AC69" s="2608">
        <f t="shared" ref="AC69:AF69" si="104">SUM(AC70:AC73)</f>
        <v>0</v>
      </c>
      <c r="AD69" s="2608">
        <f t="shared" si="104"/>
        <v>0</v>
      </c>
      <c r="AE69" s="2608">
        <f t="shared" si="104"/>
        <v>0</v>
      </c>
      <c r="AF69" s="2609">
        <f t="shared" si="104"/>
        <v>0</v>
      </c>
      <c r="AG69" s="2610">
        <f>SUM(AG70:AG73)</f>
        <v>0</v>
      </c>
      <c r="AH69" s="2607">
        <f>SUM(AH70:AH73)</f>
        <v>0</v>
      </c>
      <c r="AI69" s="2608">
        <f>SUM(AI70:AI73)</f>
        <v>0</v>
      </c>
      <c r="AJ69" s="2608">
        <f t="shared" ref="AJ69:AM69" si="105">SUM(AJ70:AJ73)</f>
        <v>0</v>
      </c>
      <c r="AK69" s="2608">
        <f t="shared" si="105"/>
        <v>0</v>
      </c>
      <c r="AL69" s="2608">
        <f t="shared" si="105"/>
        <v>0</v>
      </c>
      <c r="AM69" s="2609">
        <f t="shared" si="105"/>
        <v>0</v>
      </c>
      <c r="AN69" s="2513"/>
      <c r="AO69" s="2551"/>
      <c r="AP69" s="4422"/>
      <c r="AQ69" s="4438">
        <f t="shared" si="31"/>
        <v>1325.2685560605983</v>
      </c>
      <c r="AR69" s="4438">
        <f t="shared" si="32"/>
        <v>1415.3372145713074</v>
      </c>
      <c r="AS69" s="4438">
        <f t="shared" si="33"/>
        <v>1526.9292820780274</v>
      </c>
      <c r="AT69" s="4438">
        <f t="shared" si="34"/>
        <v>1667.1375429340026</v>
      </c>
      <c r="AU69" s="4438">
        <f t="shared" si="35"/>
        <v>1828.9871745851872</v>
      </c>
      <c r="AV69" s="4438">
        <f t="shared" si="36"/>
        <v>2012.4104678576487</v>
      </c>
      <c r="AW69" s="4438">
        <f t="shared" si="37"/>
        <v>2206.891077516193</v>
      </c>
      <c r="AX69" s="4438">
        <f t="shared" si="38"/>
        <v>625.30997070297519</v>
      </c>
      <c r="AY69" s="4438">
        <f t="shared" si="39"/>
        <v>630.83312136024085</v>
      </c>
      <c r="AZ69" s="4438">
        <f t="shared" si="40"/>
        <v>636.66802509599086</v>
      </c>
      <c r="BA69" s="4438">
        <f t="shared" si="41"/>
        <v>642.46010693001153</v>
      </c>
      <c r="BB69" s="4438">
        <f t="shared" si="42"/>
        <v>612.81910242241247</v>
      </c>
      <c r="BC69" s="4438">
        <f t="shared" si="43"/>
        <v>582.8428577612093</v>
      </c>
      <c r="BD69" s="4438">
        <f t="shared" si="44"/>
        <v>552.69463900977075</v>
      </c>
      <c r="BE69" s="4438">
        <f t="shared" si="45"/>
        <v>79.25024158541386</v>
      </c>
      <c r="BF69" s="4438">
        <f t="shared" si="46"/>
        <v>82.849057369505516</v>
      </c>
      <c r="BG69" s="4438">
        <f t="shared" si="47"/>
        <v>86.567584457667337</v>
      </c>
      <c r="BH69" s="4438">
        <f t="shared" si="48"/>
        <v>90.365537120539813</v>
      </c>
      <c r="BI69" s="4438">
        <f t="shared" si="49"/>
        <v>94.201453725644299</v>
      </c>
      <c r="BJ69" s="4438">
        <f t="shared" si="50"/>
        <v>98.038013607966775</v>
      </c>
      <c r="BK69" s="4438">
        <f t="shared" si="51"/>
        <v>101.85929658867305</v>
      </c>
      <c r="BL69" s="4438">
        <f t="shared" si="52"/>
        <v>0</v>
      </c>
      <c r="BM69" s="4438">
        <f t="shared" si="53"/>
        <v>0</v>
      </c>
      <c r="BN69" s="4438">
        <f t="shared" si="54"/>
        <v>0</v>
      </c>
      <c r="BO69" s="4438">
        <f t="shared" si="55"/>
        <v>0</v>
      </c>
      <c r="BP69" s="4438">
        <f t="shared" si="56"/>
        <v>0</v>
      </c>
      <c r="BQ69" s="4438">
        <f t="shared" si="57"/>
        <v>0</v>
      </c>
      <c r="BR69" s="4438">
        <f t="shared" si="58"/>
        <v>0</v>
      </c>
      <c r="BS69" s="4438">
        <f t="shared" si="59"/>
        <v>0</v>
      </c>
      <c r="BT69" s="4438">
        <f t="shared" si="60"/>
        <v>0</v>
      </c>
      <c r="BU69" s="4438">
        <f t="shared" si="61"/>
        <v>0</v>
      </c>
      <c r="BV69" s="4438">
        <f t="shared" si="62"/>
        <v>0</v>
      </c>
      <c r="BW69" s="4438">
        <f t="shared" si="63"/>
        <v>0</v>
      </c>
      <c r="BX69" s="4438">
        <f t="shared" si="64"/>
        <v>0</v>
      </c>
      <c r="BY69" s="4438">
        <f t="shared" si="65"/>
        <v>0</v>
      </c>
    </row>
    <row r="70" spans="1:77">
      <c r="A70" s="2526"/>
      <c r="B70" s="2527">
        <v>20501</v>
      </c>
      <c r="C70" s="2511">
        <v>0.08</v>
      </c>
      <c r="D70" s="2553" t="s">
        <v>410</v>
      </c>
      <c r="E70" s="4387">
        <f>+'11.3. ДА Базова година'!H50</f>
        <v>1542</v>
      </c>
      <c r="F70" s="1202">
        <f t="shared" ref="F70:K76" si="106">E70+F45</f>
        <v>1607</v>
      </c>
      <c r="G70" s="1198">
        <f t="shared" si="106"/>
        <v>1711.44</v>
      </c>
      <c r="H70" s="1198">
        <f t="shared" si="106"/>
        <v>1875.72</v>
      </c>
      <c r="I70" s="1198">
        <f t="shared" si="106"/>
        <v>2082.88</v>
      </c>
      <c r="J70" s="1198">
        <f t="shared" si="106"/>
        <v>2332.92</v>
      </c>
      <c r="K70" s="1203">
        <f t="shared" si="106"/>
        <v>2625.84</v>
      </c>
      <c r="L70" s="2641">
        <f>+'11.3. ДА Базова година'!L50</f>
        <v>1163</v>
      </c>
      <c r="M70" s="1202">
        <f t="shared" ref="M70:R77" si="107">L70+M45</f>
        <v>1170</v>
      </c>
      <c r="N70" s="1198">
        <f t="shared" si="107"/>
        <v>1177</v>
      </c>
      <c r="O70" s="1198">
        <f t="shared" si="107"/>
        <v>1184</v>
      </c>
      <c r="P70" s="1198">
        <f t="shared" si="107"/>
        <v>1121.72</v>
      </c>
      <c r="Q70" s="1198">
        <f t="shared" si="107"/>
        <v>1058.8</v>
      </c>
      <c r="R70" s="1203">
        <f t="shared" si="107"/>
        <v>995.56</v>
      </c>
      <c r="S70" s="2641">
        <f>+'11.3. ДА Базова година'!P50</f>
        <v>10</v>
      </c>
      <c r="T70" s="1202">
        <f t="shared" ref="T70:Y84" si="108">S70+T45</f>
        <v>10</v>
      </c>
      <c r="U70" s="1198">
        <f t="shared" si="108"/>
        <v>10</v>
      </c>
      <c r="V70" s="1198">
        <f t="shared" si="108"/>
        <v>10</v>
      </c>
      <c r="W70" s="1198">
        <f t="shared" si="108"/>
        <v>10</v>
      </c>
      <c r="X70" s="1198">
        <f t="shared" si="108"/>
        <v>10</v>
      </c>
      <c r="Y70" s="1203">
        <f t="shared" si="108"/>
        <v>10</v>
      </c>
      <c r="Z70" s="4387">
        <f>+'11.3. ДА Базова година'!T50</f>
        <v>0</v>
      </c>
      <c r="AA70" s="1202">
        <f t="shared" ref="AA70:AF84" si="109">Z70+AA45</f>
        <v>0</v>
      </c>
      <c r="AB70" s="1198">
        <f t="shared" si="109"/>
        <v>0</v>
      </c>
      <c r="AC70" s="1198">
        <f t="shared" si="109"/>
        <v>0</v>
      </c>
      <c r="AD70" s="1198">
        <f t="shared" si="109"/>
        <v>0</v>
      </c>
      <c r="AE70" s="1198">
        <f t="shared" si="109"/>
        <v>0</v>
      </c>
      <c r="AF70" s="1203">
        <f t="shared" si="109"/>
        <v>0</v>
      </c>
      <c r="AG70" s="2641">
        <f>+'11.3. ДА Базова година'!X50</f>
        <v>0</v>
      </c>
      <c r="AH70" s="1202">
        <f t="shared" ref="AH70:AM84" si="110">AG70+AH45</f>
        <v>0</v>
      </c>
      <c r="AI70" s="1198">
        <f t="shared" si="110"/>
        <v>0</v>
      </c>
      <c r="AJ70" s="1198">
        <f t="shared" si="110"/>
        <v>0</v>
      </c>
      <c r="AK70" s="1198">
        <f t="shared" si="110"/>
        <v>0</v>
      </c>
      <c r="AL70" s="1198">
        <f t="shared" si="110"/>
        <v>0</v>
      </c>
      <c r="AM70" s="1203">
        <f t="shared" si="110"/>
        <v>0</v>
      </c>
      <c r="AN70" s="2513"/>
      <c r="AO70" s="2551"/>
      <c r="AP70" s="4422"/>
      <c r="AQ70" s="4438">
        <f t="shared" si="31"/>
        <v>788.41208080456897</v>
      </c>
      <c r="AR70" s="4438">
        <f t="shared" si="32"/>
        <v>821.64605308232308</v>
      </c>
      <c r="AS70" s="4438">
        <f t="shared" si="33"/>
        <v>875.04537715445622</v>
      </c>
      <c r="AT70" s="4438">
        <f t="shared" si="34"/>
        <v>959.04040739737093</v>
      </c>
      <c r="AU70" s="4438">
        <f t="shared" si="35"/>
        <v>1064.9596335059796</v>
      </c>
      <c r="AV70" s="4438">
        <f t="shared" si="36"/>
        <v>1192.8030554802822</v>
      </c>
      <c r="AW70" s="4438">
        <f t="shared" si="37"/>
        <v>1342.5706733202785</v>
      </c>
      <c r="AX70" s="4438">
        <f t="shared" si="38"/>
        <v>594.63245783120215</v>
      </c>
      <c r="AY70" s="4438">
        <f t="shared" si="39"/>
        <v>598.21150099957561</v>
      </c>
      <c r="AZ70" s="4438">
        <f t="shared" si="40"/>
        <v>601.79054416794918</v>
      </c>
      <c r="BA70" s="4438">
        <f t="shared" si="41"/>
        <v>605.36958733632275</v>
      </c>
      <c r="BB70" s="4438">
        <f t="shared" si="42"/>
        <v>573.52632897542219</v>
      </c>
      <c r="BC70" s="4438">
        <f t="shared" si="43"/>
        <v>541.35584381055617</v>
      </c>
      <c r="BD70" s="4438">
        <f t="shared" si="44"/>
        <v>509.02174524370724</v>
      </c>
      <c r="BE70" s="4438">
        <f t="shared" si="45"/>
        <v>5.1129188119621851</v>
      </c>
      <c r="BF70" s="4438">
        <f t="shared" si="46"/>
        <v>5.1129188119621851</v>
      </c>
      <c r="BG70" s="4438">
        <f t="shared" si="47"/>
        <v>5.1129188119621851</v>
      </c>
      <c r="BH70" s="4438">
        <f t="shared" si="48"/>
        <v>5.1129188119621851</v>
      </c>
      <c r="BI70" s="4438">
        <f t="shared" si="49"/>
        <v>5.1129188119621851</v>
      </c>
      <c r="BJ70" s="4438">
        <f t="shared" si="50"/>
        <v>5.1129188119621851</v>
      </c>
      <c r="BK70" s="4438">
        <f t="shared" si="51"/>
        <v>5.1129188119621851</v>
      </c>
      <c r="BL70" s="4438">
        <f t="shared" si="52"/>
        <v>0</v>
      </c>
      <c r="BM70" s="4438">
        <f t="shared" si="53"/>
        <v>0</v>
      </c>
      <c r="BN70" s="4438">
        <f t="shared" si="54"/>
        <v>0</v>
      </c>
      <c r="BO70" s="4438">
        <f t="shared" si="55"/>
        <v>0</v>
      </c>
      <c r="BP70" s="4438">
        <f t="shared" si="56"/>
        <v>0</v>
      </c>
      <c r="BQ70" s="4438">
        <f t="shared" si="57"/>
        <v>0</v>
      </c>
      <c r="BR70" s="4438">
        <f t="shared" si="58"/>
        <v>0</v>
      </c>
      <c r="BS70" s="4438">
        <f t="shared" si="59"/>
        <v>0</v>
      </c>
      <c r="BT70" s="4438">
        <f t="shared" si="60"/>
        <v>0</v>
      </c>
      <c r="BU70" s="4438">
        <f t="shared" si="61"/>
        <v>0</v>
      </c>
      <c r="BV70" s="4438">
        <f t="shared" si="62"/>
        <v>0</v>
      </c>
      <c r="BW70" s="4438">
        <f t="shared" si="63"/>
        <v>0</v>
      </c>
      <c r="BX70" s="4438">
        <f t="shared" si="64"/>
        <v>0</v>
      </c>
      <c r="BY70" s="4438">
        <f t="shared" si="65"/>
        <v>0</v>
      </c>
    </row>
    <row r="71" spans="1:77">
      <c r="A71" s="2526"/>
      <c r="B71" s="2527">
        <v>20502</v>
      </c>
      <c r="C71" s="2511">
        <v>0.1</v>
      </c>
      <c r="D71" s="2553" t="s">
        <v>411</v>
      </c>
      <c r="E71" s="4387">
        <f>+'11.3. ДА Базова година'!H51</f>
        <v>551</v>
      </c>
      <c r="F71" s="1202">
        <f t="shared" si="106"/>
        <v>643.88632812499998</v>
      </c>
      <c r="G71" s="1198">
        <f t="shared" si="106"/>
        <v>738.65803258888957</v>
      </c>
      <c r="H71" s="1198">
        <f t="shared" si="106"/>
        <v>830.0058735322034</v>
      </c>
      <c r="I71" s="1198">
        <f t="shared" si="106"/>
        <v>921.23599522298207</v>
      </c>
      <c r="J71" s="1198">
        <f t="shared" si="106"/>
        <v>1011.7709217833415</v>
      </c>
      <c r="K71" s="1203">
        <f t="shared" si="106"/>
        <v>1102.3212587128319</v>
      </c>
      <c r="L71" s="2641">
        <f>+'11.3. ДА Базова година'!L51</f>
        <v>28</v>
      </c>
      <c r="M71" s="1202">
        <f t="shared" si="107"/>
        <v>28.600781250000001</v>
      </c>
      <c r="N71" s="1198">
        <f t="shared" si="107"/>
        <v>29.738141174497276</v>
      </c>
      <c r="O71" s="1198">
        <f t="shared" si="107"/>
        <v>30.847583645641471</v>
      </c>
      <c r="P71" s="1198">
        <f t="shared" si="107"/>
        <v>31.949995030275616</v>
      </c>
      <c r="Q71" s="1198">
        <f t="shared" si="107"/>
        <v>33.047182165035323</v>
      </c>
      <c r="R71" s="1203">
        <f t="shared" si="107"/>
        <v>34.138918604826657</v>
      </c>
      <c r="S71" s="2641">
        <f>+'11.3. ДА Базова година'!P51</f>
        <v>64</v>
      </c>
      <c r="T71" s="1202">
        <f t="shared" si="108"/>
        <v>65.012890624999997</v>
      </c>
      <c r="U71" s="1198">
        <f t="shared" si="108"/>
        <v>66.103826236613159</v>
      </c>
      <c r="V71" s="1198">
        <f t="shared" si="108"/>
        <v>67.246542822155135</v>
      </c>
      <c r="W71" s="1198">
        <f t="shared" si="108"/>
        <v>68.414009746742309</v>
      </c>
      <c r="X71" s="1198">
        <f t="shared" si="108"/>
        <v>69.581896051623218</v>
      </c>
      <c r="Y71" s="1203">
        <f t="shared" si="108"/>
        <v>70.739822682341483</v>
      </c>
      <c r="Z71" s="4387">
        <f>+'11.3. ДА Базова година'!T51</f>
        <v>0</v>
      </c>
      <c r="AA71" s="1202">
        <f t="shared" si="109"/>
        <v>0</v>
      </c>
      <c r="AB71" s="1198">
        <f t="shared" si="109"/>
        <v>0</v>
      </c>
      <c r="AC71" s="1198">
        <f t="shared" si="109"/>
        <v>0</v>
      </c>
      <c r="AD71" s="1198">
        <f t="shared" si="109"/>
        <v>0</v>
      </c>
      <c r="AE71" s="1198">
        <f t="shared" si="109"/>
        <v>0</v>
      </c>
      <c r="AF71" s="1203">
        <f t="shared" si="109"/>
        <v>0</v>
      </c>
      <c r="AG71" s="2641">
        <f>+'11.3. ДА Базова година'!X51</f>
        <v>0</v>
      </c>
      <c r="AH71" s="1202">
        <f t="shared" si="110"/>
        <v>0</v>
      </c>
      <c r="AI71" s="1198">
        <f t="shared" si="110"/>
        <v>0</v>
      </c>
      <c r="AJ71" s="1198">
        <f t="shared" si="110"/>
        <v>0</v>
      </c>
      <c r="AK71" s="1198">
        <f t="shared" si="110"/>
        <v>0</v>
      </c>
      <c r="AL71" s="1198">
        <f t="shared" si="110"/>
        <v>0</v>
      </c>
      <c r="AM71" s="1203">
        <f t="shared" si="110"/>
        <v>0</v>
      </c>
      <c r="AN71" s="2513"/>
      <c r="AO71" s="2551"/>
      <c r="AP71" s="4422"/>
      <c r="AQ71" s="4438">
        <f t="shared" si="31"/>
        <v>281.72182653911636</v>
      </c>
      <c r="AR71" s="4438">
        <f t="shared" si="32"/>
        <v>329.21385198355682</v>
      </c>
      <c r="AS71" s="4438">
        <f t="shared" si="33"/>
        <v>377.66985504307104</v>
      </c>
      <c r="AT71" s="4438">
        <f t="shared" si="34"/>
        <v>424.37526448219091</v>
      </c>
      <c r="AU71" s="4438">
        <f t="shared" si="35"/>
        <v>471.02048502322907</v>
      </c>
      <c r="AV71" s="4438">
        <f t="shared" si="36"/>
        <v>517.31025793823665</v>
      </c>
      <c r="AW71" s="4438">
        <f t="shared" si="37"/>
        <v>563.60791004986731</v>
      </c>
      <c r="AX71" s="4438">
        <f t="shared" si="38"/>
        <v>14.316172673494117</v>
      </c>
      <c r="AY71" s="4438">
        <f t="shared" si="39"/>
        <v>14.623347248994033</v>
      </c>
      <c r="AZ71" s="4438">
        <f t="shared" si="40"/>
        <v>15.204870144387435</v>
      </c>
      <c r="BA71" s="4438">
        <f t="shared" si="41"/>
        <v>15.772119072537732</v>
      </c>
      <c r="BB71" s="4438">
        <f t="shared" si="42"/>
        <v>16.335773063239451</v>
      </c>
      <c r="BC71" s="4438">
        <f t="shared" si="43"/>
        <v>16.896755937395032</v>
      </c>
      <c r="BD71" s="4438">
        <f t="shared" si="44"/>
        <v>17.454951915466403</v>
      </c>
      <c r="BE71" s="4438">
        <f t="shared" si="45"/>
        <v>32.722680396557983</v>
      </c>
      <c r="BF71" s="4438">
        <f t="shared" si="46"/>
        <v>33.240563149660247</v>
      </c>
      <c r="BG71" s="4438">
        <f t="shared" si="47"/>
        <v>33.798349670785889</v>
      </c>
      <c r="BH71" s="4438">
        <f t="shared" si="48"/>
        <v>34.382611383481766</v>
      </c>
      <c r="BI71" s="4438">
        <f t="shared" si="49"/>
        <v>34.979527743588299</v>
      </c>
      <c r="BJ71" s="4438">
        <f t="shared" si="50"/>
        <v>35.576658529434162</v>
      </c>
      <c r="BK71" s="4438">
        <f t="shared" si="51"/>
        <v>36.168697014741305</v>
      </c>
      <c r="BL71" s="4438">
        <f t="shared" si="52"/>
        <v>0</v>
      </c>
      <c r="BM71" s="4438">
        <f t="shared" si="53"/>
        <v>0</v>
      </c>
      <c r="BN71" s="4438">
        <f t="shared" si="54"/>
        <v>0</v>
      </c>
      <c r="BO71" s="4438">
        <f t="shared" si="55"/>
        <v>0</v>
      </c>
      <c r="BP71" s="4438">
        <f t="shared" si="56"/>
        <v>0</v>
      </c>
      <c r="BQ71" s="4438">
        <f t="shared" si="57"/>
        <v>0</v>
      </c>
      <c r="BR71" s="4438">
        <f t="shared" si="58"/>
        <v>0</v>
      </c>
      <c r="BS71" s="4438">
        <f t="shared" si="59"/>
        <v>0</v>
      </c>
      <c r="BT71" s="4438">
        <f t="shared" si="60"/>
        <v>0</v>
      </c>
      <c r="BU71" s="4438">
        <f t="shared" si="61"/>
        <v>0</v>
      </c>
      <c r="BV71" s="4438">
        <f t="shared" si="62"/>
        <v>0</v>
      </c>
      <c r="BW71" s="4438">
        <f t="shared" si="63"/>
        <v>0</v>
      </c>
      <c r="BX71" s="4438">
        <f t="shared" si="64"/>
        <v>0</v>
      </c>
      <c r="BY71" s="4438">
        <f t="shared" si="65"/>
        <v>0</v>
      </c>
    </row>
    <row r="72" spans="1:77">
      <c r="A72" s="2526"/>
      <c r="B72" s="2527">
        <v>20503</v>
      </c>
      <c r="C72" s="2511">
        <v>0.1</v>
      </c>
      <c r="D72" s="2550" t="s">
        <v>412</v>
      </c>
      <c r="E72" s="4387">
        <f>+'11.3. ДА Базова година'!H52</f>
        <v>484</v>
      </c>
      <c r="F72" s="1202">
        <f t="shared" si="106"/>
        <v>502.27265625000001</v>
      </c>
      <c r="G72" s="1198">
        <f t="shared" si="106"/>
        <v>521.31606517777914</v>
      </c>
      <c r="H72" s="1198">
        <f t="shared" si="106"/>
        <v>539.91174706440677</v>
      </c>
      <c r="I72" s="1198">
        <f t="shared" si="106"/>
        <v>558.07199044596416</v>
      </c>
      <c r="J72" s="1198">
        <f t="shared" si="106"/>
        <v>576.24184356668297</v>
      </c>
      <c r="K72" s="1203">
        <f t="shared" si="106"/>
        <v>573.14251742566375</v>
      </c>
      <c r="L72" s="2641">
        <f>+'11.3. ДА Базова година'!L52</f>
        <v>32</v>
      </c>
      <c r="M72" s="1202">
        <f t="shared" si="107"/>
        <v>35.201562500000001</v>
      </c>
      <c r="N72" s="1198">
        <f t="shared" si="107"/>
        <v>38.476282348994552</v>
      </c>
      <c r="O72" s="1198">
        <f t="shared" si="107"/>
        <v>41.695167291282942</v>
      </c>
      <c r="P72" s="1198">
        <f t="shared" si="107"/>
        <v>44.899990060551232</v>
      </c>
      <c r="Q72" s="1198">
        <f t="shared" si="107"/>
        <v>48.094364330070654</v>
      </c>
      <c r="R72" s="1203">
        <f t="shared" si="107"/>
        <v>51.277837209653327</v>
      </c>
      <c r="S72" s="2641">
        <f>+'11.3. ДА Базова година'!P52</f>
        <v>81</v>
      </c>
      <c r="T72" s="1202">
        <f t="shared" si="108"/>
        <v>87.025781249999994</v>
      </c>
      <c r="U72" s="1198">
        <f t="shared" si="108"/>
        <v>93.207652473226318</v>
      </c>
      <c r="V72" s="1198">
        <f t="shared" si="108"/>
        <v>99.493085644310256</v>
      </c>
      <c r="W72" s="1198">
        <f t="shared" si="108"/>
        <v>105.82801949348459</v>
      </c>
      <c r="X72" s="1198">
        <f t="shared" si="108"/>
        <v>112.16379210324641</v>
      </c>
      <c r="Y72" s="1203">
        <f t="shared" si="108"/>
        <v>118.47964536468294</v>
      </c>
      <c r="Z72" s="4387">
        <f>+'11.3. ДА Базова година'!T52</f>
        <v>0</v>
      </c>
      <c r="AA72" s="1202">
        <f t="shared" si="109"/>
        <v>0</v>
      </c>
      <c r="AB72" s="1198">
        <f t="shared" si="109"/>
        <v>0</v>
      </c>
      <c r="AC72" s="1198">
        <f t="shared" si="109"/>
        <v>0</v>
      </c>
      <c r="AD72" s="1198">
        <f t="shared" si="109"/>
        <v>0</v>
      </c>
      <c r="AE72" s="1198">
        <f t="shared" si="109"/>
        <v>0</v>
      </c>
      <c r="AF72" s="1203">
        <f t="shared" si="109"/>
        <v>0</v>
      </c>
      <c r="AG72" s="2641">
        <f>+'11.3. ДА Базова година'!X52</f>
        <v>0</v>
      </c>
      <c r="AH72" s="1202">
        <f t="shared" si="110"/>
        <v>0</v>
      </c>
      <c r="AI72" s="1198">
        <f t="shared" si="110"/>
        <v>0</v>
      </c>
      <c r="AJ72" s="1198">
        <f t="shared" si="110"/>
        <v>0</v>
      </c>
      <c r="AK72" s="1198">
        <f t="shared" si="110"/>
        <v>0</v>
      </c>
      <c r="AL72" s="1198">
        <f t="shared" si="110"/>
        <v>0</v>
      </c>
      <c r="AM72" s="1203">
        <f t="shared" si="110"/>
        <v>0</v>
      </c>
      <c r="AN72" s="2513"/>
      <c r="AO72" s="2551"/>
      <c r="AP72" s="4422"/>
      <c r="AQ72" s="4438">
        <f t="shared" si="31"/>
        <v>247.46527049896974</v>
      </c>
      <c r="AR72" s="4438">
        <f t="shared" si="32"/>
        <v>256.80793128748411</v>
      </c>
      <c r="AS72" s="4438">
        <f t="shared" si="33"/>
        <v>266.54467166255716</v>
      </c>
      <c r="AT72" s="4438">
        <f t="shared" si="34"/>
        <v>276.05249283649744</v>
      </c>
      <c r="AU72" s="4438">
        <f t="shared" si="35"/>
        <v>285.33767783803512</v>
      </c>
      <c r="AV72" s="4438">
        <f t="shared" si="36"/>
        <v>294.62777622118642</v>
      </c>
      <c r="AW72" s="4438">
        <f t="shared" si="37"/>
        <v>293.04311592810404</v>
      </c>
      <c r="AX72" s="4438">
        <f t="shared" si="38"/>
        <v>16.361340198278992</v>
      </c>
      <c r="AY72" s="4438">
        <f t="shared" si="39"/>
        <v>17.99827311167126</v>
      </c>
      <c r="AZ72" s="4438">
        <f t="shared" si="40"/>
        <v>19.672610783654282</v>
      </c>
      <c r="BA72" s="4438">
        <f t="shared" si="41"/>
        <v>21.318400521151094</v>
      </c>
      <c r="BB72" s="4438">
        <f t="shared" si="42"/>
        <v>22.957000383750753</v>
      </c>
      <c r="BC72" s="4438">
        <f t="shared" si="43"/>
        <v>24.590258013258133</v>
      </c>
      <c r="BD72" s="4438">
        <f t="shared" si="44"/>
        <v>26.2179418505971</v>
      </c>
      <c r="BE72" s="4438">
        <f t="shared" si="45"/>
        <v>41.414642376893696</v>
      </c>
      <c r="BF72" s="4438">
        <f t="shared" si="46"/>
        <v>44.495575407883095</v>
      </c>
      <c r="BG72" s="4438">
        <f t="shared" si="47"/>
        <v>47.656315974919252</v>
      </c>
      <c r="BH72" s="4438">
        <f t="shared" si="48"/>
        <v>50.870006925095872</v>
      </c>
      <c r="BI72" s="4438">
        <f t="shared" si="49"/>
        <v>54.109007170093818</v>
      </c>
      <c r="BJ72" s="4438">
        <f t="shared" si="50"/>
        <v>57.34843626657041</v>
      </c>
      <c r="BK72" s="4438">
        <f t="shared" si="51"/>
        <v>60.577680761969567</v>
      </c>
      <c r="BL72" s="4438">
        <f t="shared" si="52"/>
        <v>0</v>
      </c>
      <c r="BM72" s="4438">
        <f t="shared" si="53"/>
        <v>0</v>
      </c>
      <c r="BN72" s="4438">
        <f t="shared" si="54"/>
        <v>0</v>
      </c>
      <c r="BO72" s="4438">
        <f t="shared" si="55"/>
        <v>0</v>
      </c>
      <c r="BP72" s="4438">
        <f t="shared" si="56"/>
        <v>0</v>
      </c>
      <c r="BQ72" s="4438">
        <f t="shared" si="57"/>
        <v>0</v>
      </c>
      <c r="BR72" s="4438">
        <f t="shared" si="58"/>
        <v>0</v>
      </c>
      <c r="BS72" s="4438">
        <f t="shared" si="59"/>
        <v>0</v>
      </c>
      <c r="BT72" s="4438">
        <f t="shared" si="60"/>
        <v>0</v>
      </c>
      <c r="BU72" s="4438">
        <f t="shared" si="61"/>
        <v>0</v>
      </c>
      <c r="BV72" s="4438">
        <f t="shared" si="62"/>
        <v>0</v>
      </c>
      <c r="BW72" s="4438">
        <f t="shared" si="63"/>
        <v>0</v>
      </c>
      <c r="BX72" s="4438">
        <f t="shared" si="64"/>
        <v>0</v>
      </c>
      <c r="BY72" s="4438">
        <f t="shared" si="65"/>
        <v>0</v>
      </c>
    </row>
    <row r="73" spans="1:77">
      <c r="A73" s="2526"/>
      <c r="B73" s="2527">
        <v>20504</v>
      </c>
      <c r="C73" s="2511">
        <v>0.1</v>
      </c>
      <c r="D73" s="2550" t="s">
        <v>557</v>
      </c>
      <c r="E73" s="4387">
        <f>+'11.3. ДА Базова година'!H53</f>
        <v>15</v>
      </c>
      <c r="F73" s="1202">
        <f t="shared" si="106"/>
        <v>15</v>
      </c>
      <c r="G73" s="1198">
        <f t="shared" si="106"/>
        <v>15</v>
      </c>
      <c r="H73" s="1198">
        <f t="shared" si="106"/>
        <v>15</v>
      </c>
      <c r="I73" s="1198">
        <f t="shared" si="106"/>
        <v>15</v>
      </c>
      <c r="J73" s="1198">
        <f t="shared" si="106"/>
        <v>15</v>
      </c>
      <c r="K73" s="1203">
        <f t="shared" si="106"/>
        <v>15</v>
      </c>
      <c r="L73" s="2641">
        <f>+'11.3. ДА Базова година'!L53</f>
        <v>0</v>
      </c>
      <c r="M73" s="1202">
        <f t="shared" si="107"/>
        <v>0</v>
      </c>
      <c r="N73" s="1198">
        <f t="shared" si="107"/>
        <v>0</v>
      </c>
      <c r="O73" s="1198">
        <f t="shared" si="107"/>
        <v>0</v>
      </c>
      <c r="P73" s="1198">
        <f t="shared" si="107"/>
        <v>0</v>
      </c>
      <c r="Q73" s="1198">
        <f t="shared" si="107"/>
        <v>0</v>
      </c>
      <c r="R73" s="1203">
        <f t="shared" si="107"/>
        <v>0</v>
      </c>
      <c r="S73" s="2641">
        <f>+'11.3. ДА Базова година'!P53</f>
        <v>0</v>
      </c>
      <c r="T73" s="1202">
        <f t="shared" si="108"/>
        <v>0</v>
      </c>
      <c r="U73" s="1198">
        <f t="shared" si="108"/>
        <v>0</v>
      </c>
      <c r="V73" s="1198">
        <f t="shared" si="108"/>
        <v>0</v>
      </c>
      <c r="W73" s="1198">
        <f t="shared" si="108"/>
        <v>0</v>
      </c>
      <c r="X73" s="1198">
        <f t="shared" si="108"/>
        <v>0</v>
      </c>
      <c r="Y73" s="1203">
        <f t="shared" si="108"/>
        <v>0</v>
      </c>
      <c r="Z73" s="4387">
        <f>+'11.3. ДА Базова година'!T53</f>
        <v>0</v>
      </c>
      <c r="AA73" s="1202">
        <f t="shared" si="109"/>
        <v>0</v>
      </c>
      <c r="AB73" s="1198">
        <f t="shared" si="109"/>
        <v>0</v>
      </c>
      <c r="AC73" s="1198">
        <f t="shared" si="109"/>
        <v>0</v>
      </c>
      <c r="AD73" s="1198">
        <f t="shared" si="109"/>
        <v>0</v>
      </c>
      <c r="AE73" s="1198">
        <f t="shared" si="109"/>
        <v>0</v>
      </c>
      <c r="AF73" s="1203">
        <f t="shared" si="109"/>
        <v>0</v>
      </c>
      <c r="AG73" s="2641">
        <f>+'11.3. ДА Базова година'!X53</f>
        <v>0</v>
      </c>
      <c r="AH73" s="1202">
        <f t="shared" si="110"/>
        <v>0</v>
      </c>
      <c r="AI73" s="1198">
        <f t="shared" si="110"/>
        <v>0</v>
      </c>
      <c r="AJ73" s="1198">
        <f t="shared" si="110"/>
        <v>0</v>
      </c>
      <c r="AK73" s="1198">
        <f t="shared" si="110"/>
        <v>0</v>
      </c>
      <c r="AL73" s="1198">
        <f t="shared" si="110"/>
        <v>0</v>
      </c>
      <c r="AM73" s="1203">
        <f t="shared" si="110"/>
        <v>0</v>
      </c>
      <c r="AN73" s="2513"/>
      <c r="AO73" s="2551"/>
      <c r="AP73" s="4422"/>
      <c r="AQ73" s="4438">
        <f t="shared" si="31"/>
        <v>7.6693782179432777</v>
      </c>
      <c r="AR73" s="4438">
        <f t="shared" si="32"/>
        <v>7.6693782179432777</v>
      </c>
      <c r="AS73" s="4438">
        <f t="shared" si="33"/>
        <v>7.6693782179432777</v>
      </c>
      <c r="AT73" s="4438">
        <f t="shared" si="34"/>
        <v>7.6693782179432777</v>
      </c>
      <c r="AU73" s="4438">
        <f t="shared" si="35"/>
        <v>7.6693782179432777</v>
      </c>
      <c r="AV73" s="4438">
        <f t="shared" si="36"/>
        <v>7.6693782179432777</v>
      </c>
      <c r="AW73" s="4438">
        <f t="shared" si="37"/>
        <v>7.6693782179432777</v>
      </c>
      <c r="AX73" s="4438">
        <f t="shared" si="38"/>
        <v>0</v>
      </c>
      <c r="AY73" s="4438">
        <f t="shared" si="39"/>
        <v>0</v>
      </c>
      <c r="AZ73" s="4438">
        <f t="shared" si="40"/>
        <v>0</v>
      </c>
      <c r="BA73" s="4438">
        <f t="shared" si="41"/>
        <v>0</v>
      </c>
      <c r="BB73" s="4438">
        <f t="shared" si="42"/>
        <v>0</v>
      </c>
      <c r="BC73" s="4438">
        <f t="shared" si="43"/>
        <v>0</v>
      </c>
      <c r="BD73" s="4438">
        <f t="shared" si="44"/>
        <v>0</v>
      </c>
      <c r="BE73" s="4438">
        <f t="shared" si="45"/>
        <v>0</v>
      </c>
      <c r="BF73" s="4438">
        <f t="shared" si="46"/>
        <v>0</v>
      </c>
      <c r="BG73" s="4438">
        <f t="shared" si="47"/>
        <v>0</v>
      </c>
      <c r="BH73" s="4438">
        <f t="shared" si="48"/>
        <v>0</v>
      </c>
      <c r="BI73" s="4438">
        <f t="shared" si="49"/>
        <v>0</v>
      </c>
      <c r="BJ73" s="4438">
        <f t="shared" si="50"/>
        <v>0</v>
      </c>
      <c r="BK73" s="4438">
        <f t="shared" si="51"/>
        <v>0</v>
      </c>
      <c r="BL73" s="4438">
        <f t="shared" si="52"/>
        <v>0</v>
      </c>
      <c r="BM73" s="4438">
        <f t="shared" si="53"/>
        <v>0</v>
      </c>
      <c r="BN73" s="4438">
        <f t="shared" si="54"/>
        <v>0</v>
      </c>
      <c r="BO73" s="4438">
        <f t="shared" si="55"/>
        <v>0</v>
      </c>
      <c r="BP73" s="4438">
        <f t="shared" si="56"/>
        <v>0</v>
      </c>
      <c r="BQ73" s="4438">
        <f t="shared" si="57"/>
        <v>0</v>
      </c>
      <c r="BR73" s="4438">
        <f t="shared" si="58"/>
        <v>0</v>
      </c>
      <c r="BS73" s="4438">
        <f t="shared" si="59"/>
        <v>0</v>
      </c>
      <c r="BT73" s="4438">
        <f t="shared" si="60"/>
        <v>0</v>
      </c>
      <c r="BU73" s="4438">
        <f t="shared" si="61"/>
        <v>0</v>
      </c>
      <c r="BV73" s="4438">
        <f t="shared" si="62"/>
        <v>0</v>
      </c>
      <c r="BW73" s="4438">
        <f t="shared" si="63"/>
        <v>0</v>
      </c>
      <c r="BX73" s="4438">
        <f t="shared" si="64"/>
        <v>0</v>
      </c>
      <c r="BY73" s="4438">
        <f t="shared" si="65"/>
        <v>0</v>
      </c>
    </row>
    <row r="74" spans="1:77">
      <c r="A74" s="2526">
        <v>6</v>
      </c>
      <c r="B74" s="2527">
        <v>208</v>
      </c>
      <c r="C74" s="2511">
        <v>0.2</v>
      </c>
      <c r="D74" s="2552" t="s">
        <v>413</v>
      </c>
      <c r="E74" s="4387">
        <f>+'11.3. ДА Базова година'!H54</f>
        <v>167</v>
      </c>
      <c r="F74" s="1202">
        <f t="shared" si="106"/>
        <v>175.34531250000001</v>
      </c>
      <c r="G74" s="1198">
        <f t="shared" si="106"/>
        <v>181.63213035555825</v>
      </c>
      <c r="H74" s="1198">
        <f t="shared" si="106"/>
        <v>185.02349412881358</v>
      </c>
      <c r="I74" s="1198">
        <f t="shared" si="106"/>
        <v>183.34398089192834</v>
      </c>
      <c r="J74" s="1198">
        <f t="shared" si="106"/>
        <v>176.08368713336586</v>
      </c>
      <c r="K74" s="1203">
        <f t="shared" si="106"/>
        <v>168.88503485132745</v>
      </c>
      <c r="L74" s="2641">
        <f>+'11.3. ДА Базова година'!L54</f>
        <v>59</v>
      </c>
      <c r="M74" s="1202">
        <f t="shared" si="107"/>
        <v>63.803125000000001</v>
      </c>
      <c r="N74" s="1198">
        <f t="shared" si="107"/>
        <v>68.752564697989101</v>
      </c>
      <c r="O74" s="1198">
        <f t="shared" si="107"/>
        <v>73.590334582565887</v>
      </c>
      <c r="P74" s="1198">
        <f t="shared" si="107"/>
        <v>78.399980121102473</v>
      </c>
      <c r="Q74" s="1198">
        <f t="shared" si="107"/>
        <v>83.188728660141308</v>
      </c>
      <c r="R74" s="1203">
        <f t="shared" si="107"/>
        <v>87.955674419306646</v>
      </c>
      <c r="S74" s="2641">
        <f>+'11.3. ДА Базова година'!P54</f>
        <v>111</v>
      </c>
      <c r="T74" s="1202">
        <f t="shared" si="108"/>
        <v>118.8515625</v>
      </c>
      <c r="U74" s="1198">
        <f t="shared" si="108"/>
        <v>127.01530494645266</v>
      </c>
      <c r="V74" s="1198">
        <f t="shared" si="108"/>
        <v>135.38617128862055</v>
      </c>
      <c r="W74" s="1198">
        <f t="shared" si="108"/>
        <v>143.85603898696922</v>
      </c>
      <c r="X74" s="1198">
        <f t="shared" si="108"/>
        <v>152.32758420649287</v>
      </c>
      <c r="Y74" s="1203">
        <f t="shared" si="108"/>
        <v>160.75929072936592</v>
      </c>
      <c r="Z74" s="4387">
        <f>+'11.3. ДА Базова година'!T54</f>
        <v>0</v>
      </c>
      <c r="AA74" s="1202">
        <f t="shared" si="109"/>
        <v>0</v>
      </c>
      <c r="AB74" s="1198">
        <f t="shared" si="109"/>
        <v>0</v>
      </c>
      <c r="AC74" s="1198">
        <f t="shared" si="109"/>
        <v>0</v>
      </c>
      <c r="AD74" s="1198">
        <f t="shared" si="109"/>
        <v>0</v>
      </c>
      <c r="AE74" s="1198">
        <f t="shared" si="109"/>
        <v>0</v>
      </c>
      <c r="AF74" s="1203">
        <f t="shared" si="109"/>
        <v>0</v>
      </c>
      <c r="AG74" s="2641">
        <f>+'11.3. ДА Базова година'!X54</f>
        <v>0</v>
      </c>
      <c r="AH74" s="1202">
        <f t="shared" si="110"/>
        <v>0</v>
      </c>
      <c r="AI74" s="1198">
        <f t="shared" si="110"/>
        <v>0</v>
      </c>
      <c r="AJ74" s="1198">
        <f t="shared" si="110"/>
        <v>0</v>
      </c>
      <c r="AK74" s="1198">
        <f t="shared" si="110"/>
        <v>0</v>
      </c>
      <c r="AL74" s="1198">
        <f t="shared" si="110"/>
        <v>0</v>
      </c>
      <c r="AM74" s="1203">
        <f t="shared" si="110"/>
        <v>0</v>
      </c>
      <c r="AN74" s="2513"/>
      <c r="AO74" s="2551"/>
      <c r="AP74" s="4422"/>
      <c r="AQ74" s="4438">
        <f t="shared" si="31"/>
        <v>85.385744159768493</v>
      </c>
      <c r="AR74" s="4438">
        <f t="shared" si="32"/>
        <v>89.652634687063809</v>
      </c>
      <c r="AS74" s="4438">
        <f t="shared" si="33"/>
        <v>92.867033615170158</v>
      </c>
      <c r="AT74" s="4438">
        <f t="shared" si="34"/>
        <v>94.601010378618582</v>
      </c>
      <c r="AU74" s="4438">
        <f t="shared" si="35"/>
        <v>93.742288896237582</v>
      </c>
      <c r="AV74" s="4438">
        <f t="shared" si="36"/>
        <v>90.030159642385001</v>
      </c>
      <c r="AW74" s="4438">
        <f t="shared" si="37"/>
        <v>86.349547175024128</v>
      </c>
      <c r="AX74" s="4438">
        <f t="shared" si="38"/>
        <v>30.166220990576893</v>
      </c>
      <c r="AY74" s="4438">
        <f t="shared" si="39"/>
        <v>32.622019807447479</v>
      </c>
      <c r="AZ74" s="4438">
        <f t="shared" si="40"/>
        <v>35.152628141499569</v>
      </c>
      <c r="BA74" s="4438">
        <f t="shared" si="41"/>
        <v>37.626140606579249</v>
      </c>
      <c r="BB74" s="4438">
        <f t="shared" si="42"/>
        <v>40.085273321864619</v>
      </c>
      <c r="BC74" s="4438">
        <f t="shared" si="43"/>
        <v>42.533721570965426</v>
      </c>
      <c r="BD74" s="4438">
        <f t="shared" si="44"/>
        <v>44.971022235729407</v>
      </c>
      <c r="BE74" s="4438">
        <f t="shared" si="45"/>
        <v>56.753398812780254</v>
      </c>
      <c r="BF74" s="4438">
        <f t="shared" si="46"/>
        <v>60.767838973734939</v>
      </c>
      <c r="BG74" s="4438">
        <f t="shared" si="47"/>
        <v>64.941894206783132</v>
      </c>
      <c r="BH74" s="4438">
        <f t="shared" si="48"/>
        <v>69.221850206112265</v>
      </c>
      <c r="BI74" s="4438">
        <f t="shared" si="49"/>
        <v>73.55242479508405</v>
      </c>
      <c r="BJ74" s="4438">
        <f t="shared" si="50"/>
        <v>77.883857087013126</v>
      </c>
      <c r="BK74" s="4438">
        <f t="shared" si="51"/>
        <v>82.194920176787306</v>
      </c>
      <c r="BL74" s="4438">
        <f t="shared" si="52"/>
        <v>0</v>
      </c>
      <c r="BM74" s="4438">
        <f t="shared" si="53"/>
        <v>0</v>
      </c>
      <c r="BN74" s="4438">
        <f t="shared" si="54"/>
        <v>0</v>
      </c>
      <c r="BO74" s="4438">
        <f t="shared" si="55"/>
        <v>0</v>
      </c>
      <c r="BP74" s="4438">
        <f t="shared" si="56"/>
        <v>0</v>
      </c>
      <c r="BQ74" s="4438">
        <f t="shared" si="57"/>
        <v>0</v>
      </c>
      <c r="BR74" s="4438">
        <f t="shared" si="58"/>
        <v>0</v>
      </c>
      <c r="BS74" s="4438">
        <f t="shared" si="59"/>
        <v>0</v>
      </c>
      <c r="BT74" s="4438">
        <f t="shared" si="60"/>
        <v>0</v>
      </c>
      <c r="BU74" s="4438">
        <f t="shared" si="61"/>
        <v>0</v>
      </c>
      <c r="BV74" s="4438">
        <f t="shared" si="62"/>
        <v>0</v>
      </c>
      <c r="BW74" s="4438">
        <f t="shared" si="63"/>
        <v>0</v>
      </c>
      <c r="BX74" s="4438">
        <f t="shared" si="64"/>
        <v>0</v>
      </c>
      <c r="BY74" s="4438">
        <f t="shared" si="65"/>
        <v>0</v>
      </c>
    </row>
    <row r="75" spans="1:77">
      <c r="A75" s="2526">
        <v>7</v>
      </c>
      <c r="B75" s="2530">
        <v>20601</v>
      </c>
      <c r="C75" s="2522">
        <v>0.1</v>
      </c>
      <c r="D75" s="2552" t="s">
        <v>564</v>
      </c>
      <c r="E75" s="4387">
        <f>+'11.3. ДА Базова година'!H55</f>
        <v>50</v>
      </c>
      <c r="F75" s="1202">
        <f>E75+F50</f>
        <v>51.72265625</v>
      </c>
      <c r="G75" s="1198">
        <f t="shared" si="106"/>
        <v>54.49484352569629</v>
      </c>
      <c r="H75" s="1198">
        <f t="shared" si="106"/>
        <v>58.023167534780079</v>
      </c>
      <c r="I75" s="1198">
        <f t="shared" si="106"/>
        <v>62.571367256757526</v>
      </c>
      <c r="J75" s="1198">
        <f t="shared" si="106"/>
        <v>68.249584819363051</v>
      </c>
      <c r="K75" s="1203">
        <f t="shared" si="106"/>
        <v>75.165032952404061</v>
      </c>
      <c r="L75" s="2641">
        <f>+'11.3. ДА Базова година'!L55</f>
        <v>9</v>
      </c>
      <c r="M75" s="1202">
        <f t="shared" si="107"/>
        <v>9.3015624999999993</v>
      </c>
      <c r="N75" s="1198">
        <f t="shared" si="107"/>
        <v>9.7793022923675075</v>
      </c>
      <c r="O75" s="1198">
        <f t="shared" si="107"/>
        <v>10.344432794730341</v>
      </c>
      <c r="P75" s="1198">
        <f t="shared" si="107"/>
        <v>11.033298256376682</v>
      </c>
      <c r="Q75" s="1198">
        <f t="shared" si="107"/>
        <v>11.837904983384574</v>
      </c>
      <c r="R75" s="1203">
        <f t="shared" si="107"/>
        <v>12.740598831558763</v>
      </c>
      <c r="S75" s="2641">
        <f>+'11.3. ДА Базова година'!P55</f>
        <v>22</v>
      </c>
      <c r="T75" s="1202">
        <f t="shared" si="108"/>
        <v>24.275781250000001</v>
      </c>
      <c r="U75" s="1198">
        <f t="shared" si="108"/>
        <v>26.775854181936207</v>
      </c>
      <c r="V75" s="1198">
        <f t="shared" si="108"/>
        <v>29.632399670489583</v>
      </c>
      <c r="W75" s="1198">
        <f t="shared" si="108"/>
        <v>32.845334486865795</v>
      </c>
      <c r="X75" s="1198">
        <f t="shared" si="108"/>
        <v>36.312510197252379</v>
      </c>
      <c r="Y75" s="1203">
        <f t="shared" si="108"/>
        <v>39.944368216037184</v>
      </c>
      <c r="Z75" s="4387">
        <f>+'11.3. ДА Базова година'!T55</f>
        <v>0</v>
      </c>
      <c r="AA75" s="1202">
        <f t="shared" si="109"/>
        <v>0</v>
      </c>
      <c r="AB75" s="1198">
        <f t="shared" si="109"/>
        <v>0</v>
      </c>
      <c r="AC75" s="1198">
        <f t="shared" si="109"/>
        <v>0</v>
      </c>
      <c r="AD75" s="1198">
        <f t="shared" si="109"/>
        <v>0</v>
      </c>
      <c r="AE75" s="1198">
        <f t="shared" si="109"/>
        <v>0</v>
      </c>
      <c r="AF75" s="1203">
        <f t="shared" si="109"/>
        <v>0</v>
      </c>
      <c r="AG75" s="2641">
        <f>+'11.3. ДА Базова година'!X55</f>
        <v>0</v>
      </c>
      <c r="AH75" s="1202">
        <f t="shared" si="110"/>
        <v>0</v>
      </c>
      <c r="AI75" s="1198">
        <f t="shared" si="110"/>
        <v>0</v>
      </c>
      <c r="AJ75" s="1198">
        <f t="shared" si="110"/>
        <v>0</v>
      </c>
      <c r="AK75" s="1198">
        <f t="shared" si="110"/>
        <v>0</v>
      </c>
      <c r="AL75" s="1198">
        <f t="shared" si="110"/>
        <v>0</v>
      </c>
      <c r="AM75" s="1203">
        <f t="shared" si="110"/>
        <v>0</v>
      </c>
      <c r="AN75" s="2513"/>
      <c r="AO75" s="2551"/>
      <c r="AP75" s="4422"/>
      <c r="AQ75" s="4438">
        <f t="shared" ref="AQ75:AQ109" si="111">IFERROR(E75/$D$1,0)</f>
        <v>25.564594059810926</v>
      </c>
      <c r="AR75" s="4438">
        <f t="shared" ref="AR75:AR109" si="112">IFERROR(F75/$D$1,0)</f>
        <v>26.445374214527849</v>
      </c>
      <c r="AS75" s="4438">
        <f t="shared" ref="AS75:AS109" si="113">IFERROR(G75/$D$1,0)</f>
        <v>27.862771061746823</v>
      </c>
      <c r="AT75" s="4438">
        <f t="shared" ref="AT75:AT109" si="114">IFERROR(H75/$D$1,0)</f>
        <v>29.666774481821058</v>
      </c>
      <c r="AU75" s="4438">
        <f t="shared" ref="AU75:AU109" si="115">IFERROR(I75/$D$1,0)</f>
        <v>31.992232073727024</v>
      </c>
      <c r="AV75" s="4438">
        <f t="shared" ref="AV75:AV109" si="116">IFERROR(J75/$D$1,0)</f>
        <v>34.895458613153011</v>
      </c>
      <c r="AW75" s="4438">
        <f t="shared" ref="AW75:AW109" si="117">IFERROR(K75/$D$1,0)</f>
        <v>38.431271098410427</v>
      </c>
      <c r="AX75" s="4438">
        <f t="shared" ref="AX75:AX109" si="118">IFERROR(L75/$D$1,0)</f>
        <v>4.6016269307659661</v>
      </c>
      <c r="AY75" s="4438">
        <f t="shared" ref="AY75:AY109" si="119">IFERROR(M75/$D$1,0)</f>
        <v>4.7558133886892007</v>
      </c>
      <c r="AZ75" s="4438">
        <f t="shared" ref="AZ75:AZ109" si="120">IFERROR(N75/$D$1,0)</f>
        <v>5.0000778658510745</v>
      </c>
      <c r="BA75" s="4438">
        <f t="shared" ref="BA75:BA109" si="121">IFERROR(O75/$D$1,0)</f>
        <v>5.2890245035255319</v>
      </c>
      <c r="BB75" s="4438">
        <f t="shared" ref="BB75:BB109" si="122">IFERROR(P75/$D$1,0)</f>
        <v>5.641235821301791</v>
      </c>
      <c r="BC75" s="4438">
        <f t="shared" ref="BC75:BC109" si="123">IFERROR(Q75/$D$1,0)</f>
        <v>6.0526247083767881</v>
      </c>
      <c r="BD75" s="4438">
        <f t="shared" ref="BD75:BD109" si="124">IFERROR(R75/$D$1,0)</f>
        <v>6.5141647441540238</v>
      </c>
      <c r="BE75" s="4438">
        <f t="shared" ref="BE75:BE109" si="125">IFERROR(S75/$D$1,0)</f>
        <v>11.248421386316807</v>
      </c>
      <c r="BF75" s="4438">
        <f t="shared" ref="BF75:BF109" si="126">IFERROR(T75/$D$1,0)</f>
        <v>12.412009862820389</v>
      </c>
      <c r="BG75" s="4438">
        <f t="shared" ref="BG75:BG109" si="127">IFERROR(U75/$D$1,0)</f>
        <v>13.690276855317798</v>
      </c>
      <c r="BH75" s="4438">
        <f t="shared" ref="BH75:BH109" si="128">IFERROR(V75/$D$1,0)</f>
        <v>15.150805371882823</v>
      </c>
      <c r="BI75" s="4438">
        <f t="shared" ref="BI75:BI109" si="129">IFERROR(W75/$D$1,0)</f>
        <v>16.793552858308644</v>
      </c>
      <c r="BJ75" s="4438">
        <f t="shared" ref="BJ75:BJ109" si="130">IFERROR(X75/$D$1,0)</f>
        <v>18.566291649710035</v>
      </c>
      <c r="BK75" s="4438">
        <f t="shared" ref="BK75:BK109" si="131">IFERROR(Y75/$D$1,0)</f>
        <v>20.423231168372091</v>
      </c>
      <c r="BL75" s="4438">
        <f t="shared" ref="BL75:BL109" si="132">IFERROR(Z75/$D$1,0)</f>
        <v>0</v>
      </c>
      <c r="BM75" s="4438">
        <f t="shared" ref="BM75:BM109" si="133">IFERROR(AA75/$D$1,0)</f>
        <v>0</v>
      </c>
      <c r="BN75" s="4438">
        <f t="shared" ref="BN75:BN109" si="134">IFERROR(AB75/$D$1,0)</f>
        <v>0</v>
      </c>
      <c r="BO75" s="4438">
        <f t="shared" ref="BO75:BO109" si="135">IFERROR(AC75/$D$1,0)</f>
        <v>0</v>
      </c>
      <c r="BP75" s="4438">
        <f t="shared" ref="BP75:BP109" si="136">IFERROR(AD75/$D$1,0)</f>
        <v>0</v>
      </c>
      <c r="BQ75" s="4438">
        <f t="shared" ref="BQ75:BQ109" si="137">IFERROR(AE75/$D$1,0)</f>
        <v>0</v>
      </c>
      <c r="BR75" s="4438">
        <f t="shared" ref="BR75:BR109" si="138">IFERROR(AF75/$D$1,0)</f>
        <v>0</v>
      </c>
      <c r="BS75" s="4438">
        <f t="shared" ref="BS75:BS109" si="139">IFERROR(AG75/$D$1,0)</f>
        <v>0</v>
      </c>
      <c r="BT75" s="4438">
        <f t="shared" ref="BT75:BT109" si="140">IFERROR(AH75/$D$1,0)</f>
        <v>0</v>
      </c>
      <c r="BU75" s="4438">
        <f t="shared" ref="BU75:BU109" si="141">IFERROR(AI75/$D$1,0)</f>
        <v>0</v>
      </c>
      <c r="BV75" s="4438">
        <f t="shared" ref="BV75:BV109" si="142">IFERROR(AJ75/$D$1,0)</f>
        <v>0</v>
      </c>
      <c r="BW75" s="4438">
        <f t="shared" ref="BW75:BW109" si="143">IFERROR(AK75/$D$1,0)</f>
        <v>0</v>
      </c>
      <c r="BX75" s="4438">
        <f t="shared" ref="BX75:BX109" si="144">IFERROR(AL75/$D$1,0)</f>
        <v>0</v>
      </c>
      <c r="BY75" s="4438">
        <f t="shared" ref="BY75:BY109" si="145">IFERROR(AM75/$D$1,0)</f>
        <v>0</v>
      </c>
    </row>
    <row r="76" spans="1:77">
      <c r="A76" s="2531">
        <v>8</v>
      </c>
      <c r="B76" s="2530">
        <v>20602</v>
      </c>
      <c r="C76" s="2522">
        <v>0.1</v>
      </c>
      <c r="D76" s="2552" t="s">
        <v>435</v>
      </c>
      <c r="E76" s="4387">
        <f>+'11.3. ДА Базова година'!H56</f>
        <v>45</v>
      </c>
      <c r="F76" s="1202">
        <f>E76+F51</f>
        <v>52.05</v>
      </c>
      <c r="G76" s="1198">
        <f t="shared" si="106"/>
        <v>58.4</v>
      </c>
      <c r="H76" s="1198">
        <f t="shared" si="106"/>
        <v>64.05</v>
      </c>
      <c r="I76" s="1198">
        <f t="shared" si="106"/>
        <v>69.399999999999991</v>
      </c>
      <c r="J76" s="1198">
        <f t="shared" si="106"/>
        <v>73.55</v>
      </c>
      <c r="K76" s="1203">
        <f t="shared" si="106"/>
        <v>76</v>
      </c>
      <c r="L76" s="2641">
        <f>+'11.3. ДА Базова година'!L56</f>
        <v>26</v>
      </c>
      <c r="M76" s="1202">
        <f t="shared" si="107"/>
        <v>29.25</v>
      </c>
      <c r="N76" s="1198">
        <f t="shared" si="107"/>
        <v>32.5</v>
      </c>
      <c r="O76" s="1198">
        <f t="shared" si="107"/>
        <v>35.75</v>
      </c>
      <c r="P76" s="1198">
        <f t="shared" si="107"/>
        <v>39</v>
      </c>
      <c r="Q76" s="1198">
        <f t="shared" si="107"/>
        <v>42.25</v>
      </c>
      <c r="R76" s="1203">
        <f t="shared" si="107"/>
        <v>45.5</v>
      </c>
      <c r="S76" s="2641">
        <f>+'11.3. ДА Базова година'!P56</f>
        <v>53</v>
      </c>
      <c r="T76" s="1202">
        <f t="shared" si="108"/>
        <v>59.65</v>
      </c>
      <c r="U76" s="1198">
        <f>T76+U51</f>
        <v>66.3</v>
      </c>
      <c r="V76" s="1198">
        <f t="shared" si="108"/>
        <v>72.95</v>
      </c>
      <c r="W76" s="1198">
        <f t="shared" si="108"/>
        <v>79.600000000000009</v>
      </c>
      <c r="X76" s="1198">
        <f t="shared" si="108"/>
        <v>86.250000000000014</v>
      </c>
      <c r="Y76" s="1203">
        <f t="shared" si="108"/>
        <v>92.90000000000002</v>
      </c>
      <c r="Z76" s="4387">
        <f>+'11.3. ДА Базова година'!T56</f>
        <v>0</v>
      </c>
      <c r="AA76" s="1202">
        <f t="shared" si="109"/>
        <v>0</v>
      </c>
      <c r="AB76" s="1198">
        <f>AA76+AB51</f>
        <v>0</v>
      </c>
      <c r="AC76" s="1198">
        <f t="shared" si="109"/>
        <v>0</v>
      </c>
      <c r="AD76" s="1198">
        <f t="shared" si="109"/>
        <v>0</v>
      </c>
      <c r="AE76" s="1198">
        <f t="shared" si="109"/>
        <v>0</v>
      </c>
      <c r="AF76" s="1203">
        <f t="shared" si="109"/>
        <v>0</v>
      </c>
      <c r="AG76" s="2641">
        <f>+'11.3. ДА Базова година'!X56</f>
        <v>0</v>
      </c>
      <c r="AH76" s="1202">
        <f t="shared" si="110"/>
        <v>0</v>
      </c>
      <c r="AI76" s="1198">
        <f>AH76+AI51</f>
        <v>0</v>
      </c>
      <c r="AJ76" s="1198">
        <f t="shared" si="110"/>
        <v>0</v>
      </c>
      <c r="AK76" s="1198">
        <f t="shared" si="110"/>
        <v>0</v>
      </c>
      <c r="AL76" s="1198">
        <f t="shared" si="110"/>
        <v>0</v>
      </c>
      <c r="AM76" s="1203">
        <f t="shared" si="110"/>
        <v>0</v>
      </c>
      <c r="AN76" s="2513"/>
      <c r="AO76" s="2551"/>
      <c r="AP76" s="4422"/>
      <c r="AQ76" s="4438">
        <f t="shared" si="111"/>
        <v>23.008134653829831</v>
      </c>
      <c r="AR76" s="4438">
        <f t="shared" si="112"/>
        <v>26.61274241626317</v>
      </c>
      <c r="AS76" s="4438">
        <f t="shared" si="113"/>
        <v>29.859445861859161</v>
      </c>
      <c r="AT76" s="4438">
        <f t="shared" si="114"/>
        <v>32.748244990617792</v>
      </c>
      <c r="AU76" s="4438">
        <f t="shared" si="115"/>
        <v>35.483656555017561</v>
      </c>
      <c r="AV76" s="4438">
        <f t="shared" si="116"/>
        <v>37.605517861981866</v>
      </c>
      <c r="AW76" s="4438">
        <f t="shared" si="117"/>
        <v>38.858182970912608</v>
      </c>
      <c r="AX76" s="4438">
        <f t="shared" si="118"/>
        <v>13.293588911101681</v>
      </c>
      <c r="AY76" s="4438">
        <f t="shared" si="119"/>
        <v>14.955287524989391</v>
      </c>
      <c r="AZ76" s="4438">
        <f t="shared" si="120"/>
        <v>16.616986138877103</v>
      </c>
      <c r="BA76" s="4438">
        <f t="shared" si="121"/>
        <v>18.278684752764811</v>
      </c>
      <c r="BB76" s="4438">
        <f t="shared" si="122"/>
        <v>19.940383366652522</v>
      </c>
      <c r="BC76" s="4438">
        <f t="shared" si="123"/>
        <v>21.60208198054023</v>
      </c>
      <c r="BD76" s="4438">
        <f t="shared" si="124"/>
        <v>23.263780594427942</v>
      </c>
      <c r="BE76" s="4438">
        <f t="shared" si="125"/>
        <v>27.09846970339958</v>
      </c>
      <c r="BF76" s="4438">
        <f t="shared" si="126"/>
        <v>30.498560713354433</v>
      </c>
      <c r="BG76" s="4438">
        <f t="shared" si="127"/>
        <v>33.898651723309285</v>
      </c>
      <c r="BH76" s="4438">
        <f t="shared" si="128"/>
        <v>37.298742733264142</v>
      </c>
      <c r="BI76" s="4438">
        <f t="shared" si="129"/>
        <v>40.698833743218998</v>
      </c>
      <c r="BJ76" s="4438">
        <f t="shared" si="130"/>
        <v>44.098924753173854</v>
      </c>
      <c r="BK76" s="4438">
        <f t="shared" si="131"/>
        <v>47.49901576312871</v>
      </c>
      <c r="BL76" s="4438">
        <f t="shared" si="132"/>
        <v>0</v>
      </c>
      <c r="BM76" s="4438">
        <f t="shared" si="133"/>
        <v>0</v>
      </c>
      <c r="BN76" s="4438">
        <f t="shared" si="134"/>
        <v>0</v>
      </c>
      <c r="BO76" s="4438">
        <f t="shared" si="135"/>
        <v>0</v>
      </c>
      <c r="BP76" s="4438">
        <f t="shared" si="136"/>
        <v>0</v>
      </c>
      <c r="BQ76" s="4438">
        <f t="shared" si="137"/>
        <v>0</v>
      </c>
      <c r="BR76" s="4438">
        <f t="shared" si="138"/>
        <v>0</v>
      </c>
      <c r="BS76" s="4438">
        <f t="shared" si="139"/>
        <v>0</v>
      </c>
      <c r="BT76" s="4438">
        <f t="shared" si="140"/>
        <v>0</v>
      </c>
      <c r="BU76" s="4438">
        <f t="shared" si="141"/>
        <v>0</v>
      </c>
      <c r="BV76" s="4438">
        <f t="shared" si="142"/>
        <v>0</v>
      </c>
      <c r="BW76" s="4438">
        <f t="shared" si="143"/>
        <v>0</v>
      </c>
      <c r="BX76" s="4438">
        <f t="shared" si="144"/>
        <v>0</v>
      </c>
      <c r="BY76" s="4438">
        <f t="shared" si="145"/>
        <v>0</v>
      </c>
    </row>
    <row r="77" spans="1:77">
      <c r="A77" s="2531">
        <v>9</v>
      </c>
      <c r="B77" s="2527">
        <v>20603</v>
      </c>
      <c r="C77" s="2522">
        <v>0.5</v>
      </c>
      <c r="D77" s="2552" t="s">
        <v>1015</v>
      </c>
      <c r="E77" s="4387">
        <f>+'11.3. ДА Базова година'!H57</f>
        <v>4</v>
      </c>
      <c r="F77" s="1202">
        <f t="shared" ref="F77:K84" si="146">E77+F52</f>
        <v>1</v>
      </c>
      <c r="G77" s="1198">
        <f t="shared" si="146"/>
        <v>-2</v>
      </c>
      <c r="H77" s="1198">
        <f t="shared" si="146"/>
        <v>-5</v>
      </c>
      <c r="I77" s="1198">
        <f t="shared" si="146"/>
        <v>-8</v>
      </c>
      <c r="J77" s="1198">
        <f t="shared" si="146"/>
        <v>-11</v>
      </c>
      <c r="K77" s="1203">
        <f t="shared" si="146"/>
        <v>-14</v>
      </c>
      <c r="L77" s="2641">
        <f>+'11.3. ДА Базова година'!L57</f>
        <v>2</v>
      </c>
      <c r="M77" s="1202">
        <f>L77+M52</f>
        <v>3</v>
      </c>
      <c r="N77" s="1198">
        <f t="shared" si="107"/>
        <v>4</v>
      </c>
      <c r="O77" s="1198">
        <f t="shared" si="107"/>
        <v>5</v>
      </c>
      <c r="P77" s="1198">
        <f t="shared" si="107"/>
        <v>6</v>
      </c>
      <c r="Q77" s="1198">
        <f t="shared" si="107"/>
        <v>7</v>
      </c>
      <c r="R77" s="1203">
        <f t="shared" si="107"/>
        <v>8</v>
      </c>
      <c r="S77" s="2641">
        <f>+'11.3. ДА Базова година'!P57</f>
        <v>4</v>
      </c>
      <c r="T77" s="1202">
        <f t="shared" si="108"/>
        <v>6</v>
      </c>
      <c r="U77" s="1198">
        <f t="shared" si="108"/>
        <v>8</v>
      </c>
      <c r="V77" s="1198">
        <f t="shared" si="108"/>
        <v>10</v>
      </c>
      <c r="W77" s="1198">
        <f t="shared" si="108"/>
        <v>12</v>
      </c>
      <c r="X77" s="1198">
        <f t="shared" si="108"/>
        <v>14</v>
      </c>
      <c r="Y77" s="1203">
        <f t="shared" si="108"/>
        <v>16</v>
      </c>
      <c r="Z77" s="4387">
        <f>+'11.3. ДА Базова година'!T57</f>
        <v>0</v>
      </c>
      <c r="AA77" s="1202">
        <f t="shared" si="109"/>
        <v>0</v>
      </c>
      <c r="AB77" s="1198">
        <f t="shared" si="109"/>
        <v>0</v>
      </c>
      <c r="AC77" s="1198">
        <f t="shared" si="109"/>
        <v>0</v>
      </c>
      <c r="AD77" s="1198">
        <f t="shared" si="109"/>
        <v>0</v>
      </c>
      <c r="AE77" s="1198">
        <f t="shared" si="109"/>
        <v>0</v>
      </c>
      <c r="AF77" s="1203">
        <f t="shared" si="109"/>
        <v>0</v>
      </c>
      <c r="AG77" s="2641">
        <f>+'11.3. ДА Базова година'!X57</f>
        <v>0</v>
      </c>
      <c r="AH77" s="1202">
        <f t="shared" si="110"/>
        <v>0</v>
      </c>
      <c r="AI77" s="1198">
        <f t="shared" si="110"/>
        <v>0</v>
      </c>
      <c r="AJ77" s="1198">
        <f t="shared" si="110"/>
        <v>0</v>
      </c>
      <c r="AK77" s="1198">
        <f t="shared" si="110"/>
        <v>0</v>
      </c>
      <c r="AL77" s="1198">
        <f t="shared" si="110"/>
        <v>0</v>
      </c>
      <c r="AM77" s="1203">
        <f t="shared" si="110"/>
        <v>0</v>
      </c>
      <c r="AN77" s="2513"/>
      <c r="AO77" s="2551"/>
      <c r="AP77" s="4422"/>
      <c r="AQ77" s="4438">
        <f t="shared" si="111"/>
        <v>2.045167524784874</v>
      </c>
      <c r="AR77" s="4438">
        <f t="shared" si="112"/>
        <v>0.51129188119621849</v>
      </c>
      <c r="AS77" s="4438">
        <f t="shared" si="113"/>
        <v>-1.022583762392437</v>
      </c>
      <c r="AT77" s="4438">
        <f t="shared" si="114"/>
        <v>-2.5564594059810926</v>
      </c>
      <c r="AU77" s="4438">
        <f t="shared" si="115"/>
        <v>-4.0903350495697479</v>
      </c>
      <c r="AV77" s="4438">
        <f t="shared" si="116"/>
        <v>-5.6242106931584033</v>
      </c>
      <c r="AW77" s="4438">
        <f t="shared" si="117"/>
        <v>-7.1580863367470586</v>
      </c>
      <c r="AX77" s="4438">
        <f t="shared" si="118"/>
        <v>1.022583762392437</v>
      </c>
      <c r="AY77" s="4438">
        <f t="shared" si="119"/>
        <v>1.5338756435886556</v>
      </c>
      <c r="AZ77" s="4438">
        <f t="shared" si="120"/>
        <v>2.045167524784874</v>
      </c>
      <c r="BA77" s="4438">
        <f t="shared" si="121"/>
        <v>2.5564594059810926</v>
      </c>
      <c r="BB77" s="4438">
        <f t="shared" si="122"/>
        <v>3.0677512871773112</v>
      </c>
      <c r="BC77" s="4438">
        <f t="shared" si="123"/>
        <v>3.5790431683735293</v>
      </c>
      <c r="BD77" s="4438">
        <f t="shared" si="124"/>
        <v>4.0903350495697479</v>
      </c>
      <c r="BE77" s="4438">
        <f t="shared" si="125"/>
        <v>2.045167524784874</v>
      </c>
      <c r="BF77" s="4438">
        <f t="shared" si="126"/>
        <v>3.0677512871773112</v>
      </c>
      <c r="BG77" s="4438">
        <f t="shared" si="127"/>
        <v>4.0903350495697479</v>
      </c>
      <c r="BH77" s="4438">
        <f t="shared" si="128"/>
        <v>5.1129188119621851</v>
      </c>
      <c r="BI77" s="4438">
        <f t="shared" si="129"/>
        <v>6.1355025743546223</v>
      </c>
      <c r="BJ77" s="4438">
        <f t="shared" si="130"/>
        <v>7.1580863367470586</v>
      </c>
      <c r="BK77" s="4438">
        <f t="shared" si="131"/>
        <v>8.1806700991394958</v>
      </c>
      <c r="BL77" s="4438">
        <f t="shared" si="132"/>
        <v>0</v>
      </c>
      <c r="BM77" s="4438">
        <f t="shared" si="133"/>
        <v>0</v>
      </c>
      <c r="BN77" s="4438">
        <f t="shared" si="134"/>
        <v>0</v>
      </c>
      <c r="BO77" s="4438">
        <f t="shared" si="135"/>
        <v>0</v>
      </c>
      <c r="BP77" s="4438">
        <f t="shared" si="136"/>
        <v>0</v>
      </c>
      <c r="BQ77" s="4438">
        <f t="shared" si="137"/>
        <v>0</v>
      </c>
      <c r="BR77" s="4438">
        <f t="shared" si="138"/>
        <v>0</v>
      </c>
      <c r="BS77" s="4438">
        <f t="shared" si="139"/>
        <v>0</v>
      </c>
      <c r="BT77" s="4438">
        <f t="shared" si="140"/>
        <v>0</v>
      </c>
      <c r="BU77" s="4438">
        <f t="shared" si="141"/>
        <v>0</v>
      </c>
      <c r="BV77" s="4438">
        <f t="shared" si="142"/>
        <v>0</v>
      </c>
      <c r="BW77" s="4438">
        <f t="shared" si="143"/>
        <v>0</v>
      </c>
      <c r="BX77" s="4438">
        <f t="shared" si="144"/>
        <v>0</v>
      </c>
      <c r="BY77" s="4438">
        <f t="shared" si="145"/>
        <v>0</v>
      </c>
    </row>
    <row r="78" spans="1:77">
      <c r="A78" s="2531">
        <v>10</v>
      </c>
      <c r="B78" s="2527">
        <v>209</v>
      </c>
      <c r="C78" s="2511">
        <v>0.1</v>
      </c>
      <c r="D78" s="2552" t="s">
        <v>213</v>
      </c>
      <c r="E78" s="4387">
        <f>+'11.3. ДА Базова година'!H58</f>
        <v>1</v>
      </c>
      <c r="F78" s="1202">
        <f t="shared" si="146"/>
        <v>1</v>
      </c>
      <c r="G78" s="1198">
        <f t="shared" si="146"/>
        <v>0.8</v>
      </c>
      <c r="H78" s="1198">
        <f t="shared" si="146"/>
        <v>0.60000000000000009</v>
      </c>
      <c r="I78" s="1198">
        <f t="shared" si="146"/>
        <v>0.40000000000000008</v>
      </c>
      <c r="J78" s="1198">
        <f t="shared" si="146"/>
        <v>0.20000000000000007</v>
      </c>
      <c r="K78" s="1203">
        <f t="shared" si="146"/>
        <v>0</v>
      </c>
      <c r="L78" s="2641">
        <f>+'11.3. ДА Базова година'!L58</f>
        <v>0</v>
      </c>
      <c r="M78" s="1202">
        <f t="shared" ref="M78:R84" si="147">L78+M53</f>
        <v>0</v>
      </c>
      <c r="N78" s="1198">
        <f t="shared" si="147"/>
        <v>0</v>
      </c>
      <c r="O78" s="1198">
        <f t="shared" si="147"/>
        <v>0</v>
      </c>
      <c r="P78" s="1198">
        <f t="shared" si="147"/>
        <v>0</v>
      </c>
      <c r="Q78" s="1198">
        <f t="shared" si="147"/>
        <v>0</v>
      </c>
      <c r="R78" s="1203">
        <f t="shared" si="147"/>
        <v>0</v>
      </c>
      <c r="S78" s="2641">
        <f>+'11.3. ДА Базова година'!P58</f>
        <v>1</v>
      </c>
      <c r="T78" s="1202">
        <f t="shared" si="108"/>
        <v>1</v>
      </c>
      <c r="U78" s="1198">
        <f t="shared" si="108"/>
        <v>1</v>
      </c>
      <c r="V78" s="1198">
        <f t="shared" si="108"/>
        <v>1</v>
      </c>
      <c r="W78" s="1198">
        <f t="shared" si="108"/>
        <v>1</v>
      </c>
      <c r="X78" s="1198">
        <f t="shared" si="108"/>
        <v>1</v>
      </c>
      <c r="Y78" s="1203">
        <f t="shared" si="108"/>
        <v>1</v>
      </c>
      <c r="Z78" s="4387">
        <f>+'11.3. ДА Базова година'!T58</f>
        <v>0</v>
      </c>
      <c r="AA78" s="1202">
        <f t="shared" si="109"/>
        <v>0</v>
      </c>
      <c r="AB78" s="1198">
        <f t="shared" si="109"/>
        <v>0</v>
      </c>
      <c r="AC78" s="1198">
        <f t="shared" si="109"/>
        <v>0</v>
      </c>
      <c r="AD78" s="1198">
        <f t="shared" si="109"/>
        <v>0</v>
      </c>
      <c r="AE78" s="1198">
        <f t="shared" si="109"/>
        <v>0</v>
      </c>
      <c r="AF78" s="1203">
        <f t="shared" si="109"/>
        <v>0</v>
      </c>
      <c r="AG78" s="2641">
        <f>+'11.3. ДА Базова година'!X58</f>
        <v>0</v>
      </c>
      <c r="AH78" s="1202">
        <f t="shared" si="110"/>
        <v>0</v>
      </c>
      <c r="AI78" s="1198">
        <f t="shared" si="110"/>
        <v>0</v>
      </c>
      <c r="AJ78" s="1198">
        <f t="shared" si="110"/>
        <v>0</v>
      </c>
      <c r="AK78" s="1198">
        <f t="shared" si="110"/>
        <v>0</v>
      </c>
      <c r="AL78" s="1198">
        <f t="shared" si="110"/>
        <v>0</v>
      </c>
      <c r="AM78" s="1203">
        <f t="shared" si="110"/>
        <v>0</v>
      </c>
      <c r="AN78" s="2513"/>
      <c r="AO78" s="2551"/>
      <c r="AP78" s="4422"/>
      <c r="AQ78" s="4438">
        <f t="shared" si="111"/>
        <v>0.51129188119621849</v>
      </c>
      <c r="AR78" s="4438">
        <f t="shared" si="112"/>
        <v>0.51129188119621849</v>
      </c>
      <c r="AS78" s="4438">
        <f t="shared" si="113"/>
        <v>0.40903350495697482</v>
      </c>
      <c r="AT78" s="4438">
        <f t="shared" si="114"/>
        <v>0.30677512871773116</v>
      </c>
      <c r="AU78" s="4438">
        <f t="shared" si="115"/>
        <v>0.20451675247848744</v>
      </c>
      <c r="AV78" s="4438">
        <f t="shared" si="116"/>
        <v>0.10225837623924373</v>
      </c>
      <c r="AW78" s="4438">
        <f t="shared" si="117"/>
        <v>0</v>
      </c>
      <c r="AX78" s="4438">
        <f t="shared" si="118"/>
        <v>0</v>
      </c>
      <c r="AY78" s="4438">
        <f t="shared" si="119"/>
        <v>0</v>
      </c>
      <c r="AZ78" s="4438">
        <f t="shared" si="120"/>
        <v>0</v>
      </c>
      <c r="BA78" s="4438">
        <f t="shared" si="121"/>
        <v>0</v>
      </c>
      <c r="BB78" s="4438">
        <f t="shared" si="122"/>
        <v>0</v>
      </c>
      <c r="BC78" s="4438">
        <f t="shared" si="123"/>
        <v>0</v>
      </c>
      <c r="BD78" s="4438">
        <f t="shared" si="124"/>
        <v>0</v>
      </c>
      <c r="BE78" s="4438">
        <f t="shared" si="125"/>
        <v>0.51129188119621849</v>
      </c>
      <c r="BF78" s="4438">
        <f t="shared" si="126"/>
        <v>0.51129188119621849</v>
      </c>
      <c r="BG78" s="4438">
        <f t="shared" si="127"/>
        <v>0.51129188119621849</v>
      </c>
      <c r="BH78" s="4438">
        <f t="shared" si="128"/>
        <v>0.51129188119621849</v>
      </c>
      <c r="BI78" s="4438">
        <f t="shared" si="129"/>
        <v>0.51129188119621849</v>
      </c>
      <c r="BJ78" s="4438">
        <f t="shared" si="130"/>
        <v>0.51129188119621849</v>
      </c>
      <c r="BK78" s="4438">
        <f t="shared" si="131"/>
        <v>0.51129188119621849</v>
      </c>
      <c r="BL78" s="4438">
        <f t="shared" si="132"/>
        <v>0</v>
      </c>
      <c r="BM78" s="4438">
        <f t="shared" si="133"/>
        <v>0</v>
      </c>
      <c r="BN78" s="4438">
        <f t="shared" si="134"/>
        <v>0</v>
      </c>
      <c r="BO78" s="4438">
        <f t="shared" si="135"/>
        <v>0</v>
      </c>
      <c r="BP78" s="4438">
        <f t="shared" si="136"/>
        <v>0</v>
      </c>
      <c r="BQ78" s="4438">
        <f t="shared" si="137"/>
        <v>0</v>
      </c>
      <c r="BR78" s="4438">
        <f t="shared" si="138"/>
        <v>0</v>
      </c>
      <c r="BS78" s="4438">
        <f t="shared" si="139"/>
        <v>0</v>
      </c>
      <c r="BT78" s="4438">
        <f t="shared" si="140"/>
        <v>0</v>
      </c>
      <c r="BU78" s="4438">
        <f t="shared" si="141"/>
        <v>0</v>
      </c>
      <c r="BV78" s="4438">
        <f t="shared" si="142"/>
        <v>0</v>
      </c>
      <c r="BW78" s="4438">
        <f t="shared" si="143"/>
        <v>0</v>
      </c>
      <c r="BX78" s="4438">
        <f t="shared" si="144"/>
        <v>0</v>
      </c>
      <c r="BY78" s="4438">
        <f t="shared" si="145"/>
        <v>0</v>
      </c>
    </row>
    <row r="79" spans="1:77" ht="24">
      <c r="A79" s="2531">
        <v>11</v>
      </c>
      <c r="B79" s="2527">
        <v>207</v>
      </c>
      <c r="C79" s="2511" t="s">
        <v>313</v>
      </c>
      <c r="D79" s="2552" t="s">
        <v>414</v>
      </c>
      <c r="E79" s="4387">
        <f>+'11.3. ДА Базова година'!H59</f>
        <v>0</v>
      </c>
      <c r="F79" s="1202">
        <f t="shared" si="146"/>
        <v>0</v>
      </c>
      <c r="G79" s="1198">
        <f t="shared" si="146"/>
        <v>0</v>
      </c>
      <c r="H79" s="1198">
        <f t="shared" si="146"/>
        <v>0</v>
      </c>
      <c r="I79" s="1198">
        <f t="shared" si="146"/>
        <v>0</v>
      </c>
      <c r="J79" s="1198">
        <f t="shared" si="146"/>
        <v>0</v>
      </c>
      <c r="K79" s="1203">
        <f t="shared" si="146"/>
        <v>0</v>
      </c>
      <c r="L79" s="2641">
        <f>+'11.3. ДА Базова година'!L59</f>
        <v>0</v>
      </c>
      <c r="M79" s="1202">
        <f t="shared" si="147"/>
        <v>0</v>
      </c>
      <c r="N79" s="1198">
        <f t="shared" si="147"/>
        <v>0</v>
      </c>
      <c r="O79" s="1198">
        <f t="shared" si="147"/>
        <v>0</v>
      </c>
      <c r="P79" s="1198">
        <f t="shared" si="147"/>
        <v>0</v>
      </c>
      <c r="Q79" s="1198">
        <f t="shared" si="147"/>
        <v>0</v>
      </c>
      <c r="R79" s="1203">
        <f t="shared" si="147"/>
        <v>0</v>
      </c>
      <c r="S79" s="2641">
        <f>+'11.3. ДА Базова година'!P59</f>
        <v>0</v>
      </c>
      <c r="T79" s="1202">
        <f t="shared" si="108"/>
        <v>0</v>
      </c>
      <c r="U79" s="1198">
        <f t="shared" si="108"/>
        <v>0</v>
      </c>
      <c r="V79" s="1198">
        <f t="shared" si="108"/>
        <v>0</v>
      </c>
      <c r="W79" s="1198">
        <f t="shared" si="108"/>
        <v>0</v>
      </c>
      <c r="X79" s="1198">
        <f t="shared" si="108"/>
        <v>0</v>
      </c>
      <c r="Y79" s="1203">
        <f t="shared" si="108"/>
        <v>0</v>
      </c>
      <c r="Z79" s="4387">
        <f>+'11.3. ДА Базова година'!T59</f>
        <v>0</v>
      </c>
      <c r="AA79" s="1202">
        <f t="shared" si="109"/>
        <v>0</v>
      </c>
      <c r="AB79" s="1198">
        <f t="shared" si="109"/>
        <v>0</v>
      </c>
      <c r="AC79" s="1198">
        <f t="shared" si="109"/>
        <v>0</v>
      </c>
      <c r="AD79" s="1198">
        <f t="shared" si="109"/>
        <v>0</v>
      </c>
      <c r="AE79" s="1198">
        <f t="shared" si="109"/>
        <v>0</v>
      </c>
      <c r="AF79" s="1203">
        <f t="shared" si="109"/>
        <v>0</v>
      </c>
      <c r="AG79" s="4387">
        <f>+'11.3. ДА Базова година'!X59</f>
        <v>0</v>
      </c>
      <c r="AH79" s="1202">
        <f t="shared" si="110"/>
        <v>0</v>
      </c>
      <c r="AI79" s="1198">
        <f t="shared" si="110"/>
        <v>0</v>
      </c>
      <c r="AJ79" s="1198">
        <f t="shared" si="110"/>
        <v>0</v>
      </c>
      <c r="AK79" s="1198">
        <f t="shared" si="110"/>
        <v>0</v>
      </c>
      <c r="AL79" s="1198">
        <f t="shared" si="110"/>
        <v>0</v>
      </c>
      <c r="AM79" s="1203">
        <f t="shared" si="110"/>
        <v>0</v>
      </c>
      <c r="AN79" s="2513"/>
      <c r="AO79" s="2551"/>
      <c r="AP79" s="4422"/>
      <c r="AQ79" s="4438">
        <f t="shared" si="111"/>
        <v>0</v>
      </c>
      <c r="AR79" s="4438">
        <f t="shared" si="112"/>
        <v>0</v>
      </c>
      <c r="AS79" s="4438">
        <f t="shared" si="113"/>
        <v>0</v>
      </c>
      <c r="AT79" s="4438">
        <f t="shared" si="114"/>
        <v>0</v>
      </c>
      <c r="AU79" s="4438">
        <f t="shared" si="115"/>
        <v>0</v>
      </c>
      <c r="AV79" s="4438">
        <f t="shared" si="116"/>
        <v>0</v>
      </c>
      <c r="AW79" s="4438">
        <f t="shared" si="117"/>
        <v>0</v>
      </c>
      <c r="AX79" s="4438">
        <f t="shared" si="118"/>
        <v>0</v>
      </c>
      <c r="AY79" s="4438">
        <f t="shared" si="119"/>
        <v>0</v>
      </c>
      <c r="AZ79" s="4438">
        <f t="shared" si="120"/>
        <v>0</v>
      </c>
      <c r="BA79" s="4438">
        <f t="shared" si="121"/>
        <v>0</v>
      </c>
      <c r="BB79" s="4438">
        <f t="shared" si="122"/>
        <v>0</v>
      </c>
      <c r="BC79" s="4438">
        <f t="shared" si="123"/>
        <v>0</v>
      </c>
      <c r="BD79" s="4438">
        <f t="shared" si="124"/>
        <v>0</v>
      </c>
      <c r="BE79" s="4438">
        <f t="shared" si="125"/>
        <v>0</v>
      </c>
      <c r="BF79" s="4438">
        <f t="shared" si="126"/>
        <v>0</v>
      </c>
      <c r="BG79" s="4438">
        <f t="shared" si="127"/>
        <v>0</v>
      </c>
      <c r="BH79" s="4438">
        <f t="shared" si="128"/>
        <v>0</v>
      </c>
      <c r="BI79" s="4438">
        <f t="shared" si="129"/>
        <v>0</v>
      </c>
      <c r="BJ79" s="4438">
        <f t="shared" si="130"/>
        <v>0</v>
      </c>
      <c r="BK79" s="4438">
        <f t="shared" si="131"/>
        <v>0</v>
      </c>
      <c r="BL79" s="4438">
        <f t="shared" si="132"/>
        <v>0</v>
      </c>
      <c r="BM79" s="4438">
        <f t="shared" si="133"/>
        <v>0</v>
      </c>
      <c r="BN79" s="4438">
        <f t="shared" si="134"/>
        <v>0</v>
      </c>
      <c r="BO79" s="4438">
        <f t="shared" si="135"/>
        <v>0</v>
      </c>
      <c r="BP79" s="4438">
        <f t="shared" si="136"/>
        <v>0</v>
      </c>
      <c r="BQ79" s="4438">
        <f t="shared" si="137"/>
        <v>0</v>
      </c>
      <c r="BR79" s="4438">
        <f t="shared" si="138"/>
        <v>0</v>
      </c>
      <c r="BS79" s="4438">
        <f t="shared" si="139"/>
        <v>0</v>
      </c>
      <c r="BT79" s="4438">
        <f t="shared" si="140"/>
        <v>0</v>
      </c>
      <c r="BU79" s="4438">
        <f t="shared" si="141"/>
        <v>0</v>
      </c>
      <c r="BV79" s="4438">
        <f t="shared" si="142"/>
        <v>0</v>
      </c>
      <c r="BW79" s="4438">
        <f t="shared" si="143"/>
        <v>0</v>
      </c>
      <c r="BX79" s="4438">
        <f t="shared" si="144"/>
        <v>0</v>
      </c>
      <c r="BY79" s="4438">
        <f t="shared" si="145"/>
        <v>0</v>
      </c>
    </row>
    <row r="80" spans="1:77">
      <c r="A80" s="2531">
        <v>12</v>
      </c>
      <c r="B80" s="2527">
        <v>212</v>
      </c>
      <c r="C80" s="2522">
        <v>0.2</v>
      </c>
      <c r="D80" s="2554" t="s">
        <v>214</v>
      </c>
      <c r="E80" s="4387">
        <f>+'11.3. ДА Базова година'!H60</f>
        <v>56</v>
      </c>
      <c r="F80" s="1202">
        <f t="shared" si="146"/>
        <v>64.745312499999997</v>
      </c>
      <c r="G80" s="1198">
        <f t="shared" si="146"/>
        <v>73.832130355558235</v>
      </c>
      <c r="H80" s="1198">
        <f t="shared" si="146"/>
        <v>82.823494128813564</v>
      </c>
      <c r="I80" s="1198">
        <f t="shared" si="146"/>
        <v>91.743980891928317</v>
      </c>
      <c r="J80" s="1198">
        <f t="shared" si="146"/>
        <v>98.683687133365851</v>
      </c>
      <c r="K80" s="1203">
        <f t="shared" si="146"/>
        <v>105.68503485132746</v>
      </c>
      <c r="L80" s="2641">
        <f>+'11.3. ДА Базова година'!L60</f>
        <v>35</v>
      </c>
      <c r="M80" s="1202">
        <f t="shared" si="147"/>
        <v>39.703125</v>
      </c>
      <c r="N80" s="1198">
        <f t="shared" si="147"/>
        <v>44.552564697989105</v>
      </c>
      <c r="O80" s="1198">
        <f t="shared" si="147"/>
        <v>49.29033458256589</v>
      </c>
      <c r="P80" s="1198">
        <f t="shared" si="147"/>
        <v>53.999980121102475</v>
      </c>
      <c r="Q80" s="1198">
        <f t="shared" si="147"/>
        <v>58.688728660141315</v>
      </c>
      <c r="R80" s="1203">
        <f t="shared" si="147"/>
        <v>63.355674419306659</v>
      </c>
      <c r="S80" s="2641">
        <f>+'11.3. ДА Базова година'!P60</f>
        <v>69</v>
      </c>
      <c r="T80" s="1202">
        <f>S80+T55</f>
        <v>78.651562499999997</v>
      </c>
      <c r="U80" s="1198">
        <f t="shared" si="108"/>
        <v>88.615304946452653</v>
      </c>
      <c r="V80" s="1198">
        <f t="shared" si="108"/>
        <v>98.786171288620537</v>
      </c>
      <c r="W80" s="1198">
        <f t="shared" si="108"/>
        <v>109.05603898696921</v>
      </c>
      <c r="X80" s="1198">
        <f t="shared" si="108"/>
        <v>119.32758420649284</v>
      </c>
      <c r="Y80" s="1203">
        <f t="shared" si="108"/>
        <v>129.5592907293659</v>
      </c>
      <c r="Z80" s="4387">
        <f>+'11.3. ДА Базова година'!T60</f>
        <v>0</v>
      </c>
      <c r="AA80" s="1202">
        <f>Z80+AA55</f>
        <v>0</v>
      </c>
      <c r="AB80" s="1198">
        <f t="shared" si="109"/>
        <v>0</v>
      </c>
      <c r="AC80" s="1198">
        <f t="shared" si="109"/>
        <v>0</v>
      </c>
      <c r="AD80" s="1198">
        <f t="shared" si="109"/>
        <v>0</v>
      </c>
      <c r="AE80" s="1198">
        <f t="shared" si="109"/>
        <v>0</v>
      </c>
      <c r="AF80" s="1203">
        <f t="shared" si="109"/>
        <v>0</v>
      </c>
      <c r="AG80" s="4387">
        <f>+'11.3. ДА Базова година'!X60</f>
        <v>0</v>
      </c>
      <c r="AH80" s="1202">
        <f>AG80+AH55</f>
        <v>0</v>
      </c>
      <c r="AI80" s="1198">
        <f t="shared" si="110"/>
        <v>0</v>
      </c>
      <c r="AJ80" s="1198">
        <f t="shared" si="110"/>
        <v>0</v>
      </c>
      <c r="AK80" s="1198">
        <f t="shared" si="110"/>
        <v>0</v>
      </c>
      <c r="AL80" s="1198">
        <f t="shared" si="110"/>
        <v>0</v>
      </c>
      <c r="AM80" s="1203">
        <f t="shared" si="110"/>
        <v>0</v>
      </c>
      <c r="AN80" s="2513"/>
      <c r="AO80" s="2551"/>
      <c r="AP80" s="4422"/>
      <c r="AQ80" s="4438">
        <f t="shared" si="111"/>
        <v>28.632345346988235</v>
      </c>
      <c r="AR80" s="4438">
        <f t="shared" si="112"/>
        <v>33.103752626762038</v>
      </c>
      <c r="AS80" s="4438">
        <f t="shared" si="113"/>
        <v>37.749768822217796</v>
      </c>
      <c r="AT80" s="4438">
        <f t="shared" si="114"/>
        <v>42.346980120365046</v>
      </c>
      <c r="AU80" s="4438">
        <f t="shared" si="115"/>
        <v>46.907952578663952</v>
      </c>
      <c r="AV80" s="4438">
        <f t="shared" si="116"/>
        <v>50.456168037797688</v>
      </c>
      <c r="AW80" s="4438">
        <f t="shared" si="117"/>
        <v>54.035900283423132</v>
      </c>
      <c r="AX80" s="4438">
        <f t="shared" si="118"/>
        <v>17.895215841867646</v>
      </c>
      <c r="AY80" s="4438">
        <f t="shared" si="119"/>
        <v>20.299885470618612</v>
      </c>
      <c r="AZ80" s="4438">
        <f t="shared" si="120"/>
        <v>22.779364616551085</v>
      </c>
      <c r="BA80" s="4438">
        <f t="shared" si="121"/>
        <v>25.20174789351114</v>
      </c>
      <c r="BB80" s="4438">
        <f t="shared" si="122"/>
        <v>27.609751420676886</v>
      </c>
      <c r="BC80" s="4438">
        <f t="shared" si="123"/>
        <v>30.007070481658076</v>
      </c>
      <c r="BD80" s="4438">
        <f t="shared" si="124"/>
        <v>32.39324195830244</v>
      </c>
      <c r="BE80" s="4438">
        <f t="shared" si="125"/>
        <v>35.279139802539078</v>
      </c>
      <c r="BF80" s="4438">
        <f t="shared" si="126"/>
        <v>40.21390534964695</v>
      </c>
      <c r="BG80" s="4438">
        <f t="shared" si="127"/>
        <v>45.308285968848345</v>
      </c>
      <c r="BH80" s="4438">
        <f t="shared" si="128"/>
        <v>50.508567354330665</v>
      </c>
      <c r="BI80" s="4438">
        <f t="shared" si="129"/>
        <v>55.759467329455639</v>
      </c>
      <c r="BJ80" s="4438">
        <f t="shared" si="130"/>
        <v>61.011225007537895</v>
      </c>
      <c r="BK80" s="4438">
        <f t="shared" si="131"/>
        <v>66.242613483465277</v>
      </c>
      <c r="BL80" s="4438">
        <f t="shared" si="132"/>
        <v>0</v>
      </c>
      <c r="BM80" s="4438">
        <f t="shared" si="133"/>
        <v>0</v>
      </c>
      <c r="BN80" s="4438">
        <f t="shared" si="134"/>
        <v>0</v>
      </c>
      <c r="BO80" s="4438">
        <f t="shared" si="135"/>
        <v>0</v>
      </c>
      <c r="BP80" s="4438">
        <f t="shared" si="136"/>
        <v>0</v>
      </c>
      <c r="BQ80" s="4438">
        <f t="shared" si="137"/>
        <v>0</v>
      </c>
      <c r="BR80" s="4438">
        <f t="shared" si="138"/>
        <v>0</v>
      </c>
      <c r="BS80" s="4438">
        <f t="shared" si="139"/>
        <v>0</v>
      </c>
      <c r="BT80" s="4438">
        <f t="shared" si="140"/>
        <v>0</v>
      </c>
      <c r="BU80" s="4438">
        <f t="shared" si="141"/>
        <v>0</v>
      </c>
      <c r="BV80" s="4438">
        <f t="shared" si="142"/>
        <v>0</v>
      </c>
      <c r="BW80" s="4438">
        <f t="shared" si="143"/>
        <v>0</v>
      </c>
      <c r="BX80" s="4438">
        <f t="shared" si="144"/>
        <v>0</v>
      </c>
      <c r="BY80" s="4438">
        <f t="shared" si="145"/>
        <v>0</v>
      </c>
    </row>
    <row r="81" spans="1:77">
      <c r="A81" s="2531">
        <v>13</v>
      </c>
      <c r="B81" s="2526">
        <v>213</v>
      </c>
      <c r="C81" s="2533">
        <v>0.2</v>
      </c>
      <c r="D81" s="2555" t="s">
        <v>215</v>
      </c>
      <c r="E81" s="4387">
        <f>+'11.3. ДА Базова година'!H61</f>
        <v>0</v>
      </c>
      <c r="F81" s="1202">
        <f t="shared" si="146"/>
        <v>0</v>
      </c>
      <c r="G81" s="1198">
        <f t="shared" si="146"/>
        <v>0</v>
      </c>
      <c r="H81" s="1198">
        <f t="shared" si="146"/>
        <v>0</v>
      </c>
      <c r="I81" s="1198">
        <f t="shared" si="146"/>
        <v>0</v>
      </c>
      <c r="J81" s="1198">
        <f t="shared" si="146"/>
        <v>0</v>
      </c>
      <c r="K81" s="1203">
        <f t="shared" si="146"/>
        <v>0</v>
      </c>
      <c r="L81" s="4387">
        <f>+'11.3. ДА Базова година'!L61</f>
        <v>0</v>
      </c>
      <c r="M81" s="1202">
        <f t="shared" si="147"/>
        <v>0</v>
      </c>
      <c r="N81" s="1198">
        <f t="shared" si="147"/>
        <v>0</v>
      </c>
      <c r="O81" s="1198">
        <f t="shared" si="147"/>
        <v>0</v>
      </c>
      <c r="P81" s="1198">
        <f t="shared" si="147"/>
        <v>0</v>
      </c>
      <c r="Q81" s="1198">
        <f t="shared" si="147"/>
        <v>0</v>
      </c>
      <c r="R81" s="1203">
        <f t="shared" si="147"/>
        <v>0</v>
      </c>
      <c r="S81" s="4387">
        <f>+'11.3. ДА Базова година'!P61</f>
        <v>0</v>
      </c>
      <c r="T81" s="1202">
        <f>S81+T56</f>
        <v>0</v>
      </c>
      <c r="U81" s="1198">
        <f t="shared" si="108"/>
        <v>0</v>
      </c>
      <c r="V81" s="1198">
        <f t="shared" si="108"/>
        <v>0</v>
      </c>
      <c r="W81" s="1198">
        <f t="shared" si="108"/>
        <v>0</v>
      </c>
      <c r="X81" s="1198">
        <f t="shared" si="108"/>
        <v>0</v>
      </c>
      <c r="Y81" s="1203">
        <f t="shared" si="108"/>
        <v>0</v>
      </c>
      <c r="Z81" s="4387">
        <f>+'11.3. ДА Базова година'!T61</f>
        <v>0</v>
      </c>
      <c r="AA81" s="1202">
        <f>Z81+AA56</f>
        <v>0</v>
      </c>
      <c r="AB81" s="1198">
        <f t="shared" si="109"/>
        <v>0</v>
      </c>
      <c r="AC81" s="1198">
        <f t="shared" si="109"/>
        <v>0</v>
      </c>
      <c r="AD81" s="1198">
        <f t="shared" si="109"/>
        <v>0</v>
      </c>
      <c r="AE81" s="1198">
        <f t="shared" si="109"/>
        <v>0</v>
      </c>
      <c r="AF81" s="1203">
        <f t="shared" si="109"/>
        <v>0</v>
      </c>
      <c r="AG81" s="4387">
        <f>+'11.3. ДА Базова година'!X61</f>
        <v>0</v>
      </c>
      <c r="AH81" s="1202">
        <f>AG81+AH56</f>
        <v>0</v>
      </c>
      <c r="AI81" s="1198">
        <f t="shared" si="110"/>
        <v>0</v>
      </c>
      <c r="AJ81" s="1198">
        <f t="shared" si="110"/>
        <v>0</v>
      </c>
      <c r="AK81" s="1198">
        <f t="shared" si="110"/>
        <v>0</v>
      </c>
      <c r="AL81" s="1198">
        <f t="shared" si="110"/>
        <v>0</v>
      </c>
      <c r="AM81" s="1203">
        <f t="shared" si="110"/>
        <v>0</v>
      </c>
      <c r="AN81" s="2513"/>
      <c r="AO81" s="2521"/>
      <c r="AP81" s="4422"/>
      <c r="AQ81" s="4438">
        <f t="shared" si="111"/>
        <v>0</v>
      </c>
      <c r="AR81" s="4438">
        <f t="shared" si="112"/>
        <v>0</v>
      </c>
      <c r="AS81" s="4438">
        <f t="shared" si="113"/>
        <v>0</v>
      </c>
      <c r="AT81" s="4438">
        <f t="shared" si="114"/>
        <v>0</v>
      </c>
      <c r="AU81" s="4438">
        <f t="shared" si="115"/>
        <v>0</v>
      </c>
      <c r="AV81" s="4438">
        <f t="shared" si="116"/>
        <v>0</v>
      </c>
      <c r="AW81" s="4438">
        <f t="shared" si="117"/>
        <v>0</v>
      </c>
      <c r="AX81" s="4438">
        <f t="shared" si="118"/>
        <v>0</v>
      </c>
      <c r="AY81" s="4438">
        <f t="shared" si="119"/>
        <v>0</v>
      </c>
      <c r="AZ81" s="4438">
        <f t="shared" si="120"/>
        <v>0</v>
      </c>
      <c r="BA81" s="4438">
        <f t="shared" si="121"/>
        <v>0</v>
      </c>
      <c r="BB81" s="4438">
        <f t="shared" si="122"/>
        <v>0</v>
      </c>
      <c r="BC81" s="4438">
        <f t="shared" si="123"/>
        <v>0</v>
      </c>
      <c r="BD81" s="4438">
        <f t="shared" si="124"/>
        <v>0</v>
      </c>
      <c r="BE81" s="4438">
        <f t="shared" si="125"/>
        <v>0</v>
      </c>
      <c r="BF81" s="4438">
        <f t="shared" si="126"/>
        <v>0</v>
      </c>
      <c r="BG81" s="4438">
        <f t="shared" si="127"/>
        <v>0</v>
      </c>
      <c r="BH81" s="4438">
        <f t="shared" si="128"/>
        <v>0</v>
      </c>
      <c r="BI81" s="4438">
        <f t="shared" si="129"/>
        <v>0</v>
      </c>
      <c r="BJ81" s="4438">
        <f t="shared" si="130"/>
        <v>0</v>
      </c>
      <c r="BK81" s="4438">
        <f t="shared" si="131"/>
        <v>0</v>
      </c>
      <c r="BL81" s="4438">
        <f t="shared" si="132"/>
        <v>0</v>
      </c>
      <c r="BM81" s="4438">
        <f t="shared" si="133"/>
        <v>0</v>
      </c>
      <c r="BN81" s="4438">
        <f t="shared" si="134"/>
        <v>0</v>
      </c>
      <c r="BO81" s="4438">
        <f t="shared" si="135"/>
        <v>0</v>
      </c>
      <c r="BP81" s="4438">
        <f t="shared" si="136"/>
        <v>0</v>
      </c>
      <c r="BQ81" s="4438">
        <f t="shared" si="137"/>
        <v>0</v>
      </c>
      <c r="BR81" s="4438">
        <f t="shared" si="138"/>
        <v>0</v>
      </c>
      <c r="BS81" s="4438">
        <f t="shared" si="139"/>
        <v>0</v>
      </c>
      <c r="BT81" s="4438">
        <f t="shared" si="140"/>
        <v>0</v>
      </c>
      <c r="BU81" s="4438">
        <f t="shared" si="141"/>
        <v>0</v>
      </c>
      <c r="BV81" s="4438">
        <f t="shared" si="142"/>
        <v>0</v>
      </c>
      <c r="BW81" s="4438">
        <f t="shared" si="143"/>
        <v>0</v>
      </c>
      <c r="BX81" s="4438">
        <f t="shared" si="144"/>
        <v>0</v>
      </c>
      <c r="BY81" s="4438">
        <f t="shared" si="145"/>
        <v>0</v>
      </c>
    </row>
    <row r="82" spans="1:77">
      <c r="A82" s="2531">
        <v>14</v>
      </c>
      <c r="B82" s="2600"/>
      <c r="C82" s="2600"/>
      <c r="D82" s="2556" t="s">
        <v>628</v>
      </c>
      <c r="E82" s="4387">
        <f>+'11.3. ДА Базова година'!H62</f>
        <v>0</v>
      </c>
      <c r="F82" s="1202">
        <f t="shared" si="146"/>
        <v>0</v>
      </c>
      <c r="G82" s="1198">
        <f t="shared" si="146"/>
        <v>0</v>
      </c>
      <c r="H82" s="1198">
        <f t="shared" si="146"/>
        <v>0</v>
      </c>
      <c r="I82" s="1198">
        <f t="shared" si="146"/>
        <v>0</v>
      </c>
      <c r="J82" s="1198">
        <f t="shared" si="146"/>
        <v>0</v>
      </c>
      <c r="K82" s="1203">
        <f t="shared" si="146"/>
        <v>0</v>
      </c>
      <c r="L82" s="4387">
        <f>+'11.3. ДА Базова година'!L62</f>
        <v>0</v>
      </c>
      <c r="M82" s="1202">
        <f t="shared" si="147"/>
        <v>0</v>
      </c>
      <c r="N82" s="1198">
        <f t="shared" si="147"/>
        <v>0</v>
      </c>
      <c r="O82" s="1198">
        <f t="shared" si="147"/>
        <v>0</v>
      </c>
      <c r="P82" s="1198">
        <f t="shared" si="147"/>
        <v>0</v>
      </c>
      <c r="Q82" s="1198">
        <f t="shared" si="147"/>
        <v>0</v>
      </c>
      <c r="R82" s="1203">
        <f t="shared" si="147"/>
        <v>0</v>
      </c>
      <c r="S82" s="4387">
        <f>+'11.3. ДА Базова година'!P62</f>
        <v>0</v>
      </c>
      <c r="T82" s="1202">
        <f>S82+T57</f>
        <v>0</v>
      </c>
      <c r="U82" s="1198">
        <f t="shared" si="108"/>
        <v>0</v>
      </c>
      <c r="V82" s="1198">
        <f t="shared" si="108"/>
        <v>0</v>
      </c>
      <c r="W82" s="1198">
        <f t="shared" si="108"/>
        <v>0</v>
      </c>
      <c r="X82" s="1198">
        <f t="shared" si="108"/>
        <v>0</v>
      </c>
      <c r="Y82" s="1203">
        <f t="shared" si="108"/>
        <v>0</v>
      </c>
      <c r="Z82" s="4387">
        <f>+'11.3. ДА Базова година'!T62</f>
        <v>0</v>
      </c>
      <c r="AA82" s="1202">
        <f>Z82+AA57</f>
        <v>0</v>
      </c>
      <c r="AB82" s="1198">
        <f t="shared" si="109"/>
        <v>0</v>
      </c>
      <c r="AC82" s="1198">
        <f t="shared" si="109"/>
        <v>0</v>
      </c>
      <c r="AD82" s="1198">
        <f t="shared" si="109"/>
        <v>0</v>
      </c>
      <c r="AE82" s="1198">
        <f t="shared" si="109"/>
        <v>0</v>
      </c>
      <c r="AF82" s="1203">
        <f t="shared" si="109"/>
        <v>0</v>
      </c>
      <c r="AG82" s="4387">
        <f>+'11.3. ДА Базова година'!X62</f>
        <v>0</v>
      </c>
      <c r="AH82" s="1202">
        <f>AG82+AH57</f>
        <v>0</v>
      </c>
      <c r="AI82" s="1198">
        <f t="shared" si="110"/>
        <v>0</v>
      </c>
      <c r="AJ82" s="1198">
        <f t="shared" si="110"/>
        <v>0</v>
      </c>
      <c r="AK82" s="1198">
        <f t="shared" si="110"/>
        <v>0</v>
      </c>
      <c r="AL82" s="1198">
        <f t="shared" si="110"/>
        <v>0</v>
      </c>
      <c r="AM82" s="1203">
        <f t="shared" si="110"/>
        <v>0</v>
      </c>
      <c r="AN82" s="2513"/>
      <c r="AO82" s="2551"/>
      <c r="AP82" s="4422"/>
      <c r="AQ82" s="4438">
        <f t="shared" si="111"/>
        <v>0</v>
      </c>
      <c r="AR82" s="4438">
        <f t="shared" si="112"/>
        <v>0</v>
      </c>
      <c r="AS82" s="4438">
        <f t="shared" si="113"/>
        <v>0</v>
      </c>
      <c r="AT82" s="4438">
        <f t="shared" si="114"/>
        <v>0</v>
      </c>
      <c r="AU82" s="4438">
        <f t="shared" si="115"/>
        <v>0</v>
      </c>
      <c r="AV82" s="4438">
        <f t="shared" si="116"/>
        <v>0</v>
      </c>
      <c r="AW82" s="4438">
        <f t="shared" si="117"/>
        <v>0</v>
      </c>
      <c r="AX82" s="4438">
        <f t="shared" si="118"/>
        <v>0</v>
      </c>
      <c r="AY82" s="4438">
        <f t="shared" si="119"/>
        <v>0</v>
      </c>
      <c r="AZ82" s="4438">
        <f t="shared" si="120"/>
        <v>0</v>
      </c>
      <c r="BA82" s="4438">
        <f t="shared" si="121"/>
        <v>0</v>
      </c>
      <c r="BB82" s="4438">
        <f t="shared" si="122"/>
        <v>0</v>
      </c>
      <c r="BC82" s="4438">
        <f t="shared" si="123"/>
        <v>0</v>
      </c>
      <c r="BD82" s="4438">
        <f t="shared" si="124"/>
        <v>0</v>
      </c>
      <c r="BE82" s="4438">
        <f t="shared" si="125"/>
        <v>0</v>
      </c>
      <c r="BF82" s="4438">
        <f t="shared" si="126"/>
        <v>0</v>
      </c>
      <c r="BG82" s="4438">
        <f t="shared" si="127"/>
        <v>0</v>
      </c>
      <c r="BH82" s="4438">
        <f t="shared" si="128"/>
        <v>0</v>
      </c>
      <c r="BI82" s="4438">
        <f t="shared" si="129"/>
        <v>0</v>
      </c>
      <c r="BJ82" s="4438">
        <f t="shared" si="130"/>
        <v>0</v>
      </c>
      <c r="BK82" s="4438">
        <f t="shared" si="131"/>
        <v>0</v>
      </c>
      <c r="BL82" s="4438">
        <f t="shared" si="132"/>
        <v>0</v>
      </c>
      <c r="BM82" s="4438">
        <f t="shared" si="133"/>
        <v>0</v>
      </c>
      <c r="BN82" s="4438">
        <f t="shared" si="134"/>
        <v>0</v>
      </c>
      <c r="BO82" s="4438">
        <f t="shared" si="135"/>
        <v>0</v>
      </c>
      <c r="BP82" s="4438">
        <f t="shared" si="136"/>
        <v>0</v>
      </c>
      <c r="BQ82" s="4438">
        <f t="shared" si="137"/>
        <v>0</v>
      </c>
      <c r="BR82" s="4438">
        <f t="shared" si="138"/>
        <v>0</v>
      </c>
      <c r="BS82" s="4438">
        <f t="shared" si="139"/>
        <v>0</v>
      </c>
      <c r="BT82" s="4438">
        <f t="shared" si="140"/>
        <v>0</v>
      </c>
      <c r="BU82" s="4438">
        <f t="shared" si="141"/>
        <v>0</v>
      </c>
      <c r="BV82" s="4438">
        <f t="shared" si="142"/>
        <v>0</v>
      </c>
      <c r="BW82" s="4438">
        <f t="shared" si="143"/>
        <v>0</v>
      </c>
      <c r="BX82" s="4438">
        <f t="shared" si="144"/>
        <v>0</v>
      </c>
      <c r="BY82" s="4438">
        <f t="shared" si="145"/>
        <v>0</v>
      </c>
    </row>
    <row r="83" spans="1:77" ht="24">
      <c r="A83" s="2531">
        <v>15</v>
      </c>
      <c r="B83" s="2526">
        <v>207</v>
      </c>
      <c r="C83" s="2558" t="s">
        <v>313</v>
      </c>
      <c r="D83" s="2555" t="s">
        <v>415</v>
      </c>
      <c r="E83" s="4387">
        <f>+'11.3. ДА Базова година'!H63</f>
        <v>0</v>
      </c>
      <c r="F83" s="1202">
        <f t="shared" si="146"/>
        <v>0</v>
      </c>
      <c r="G83" s="1198">
        <f t="shared" si="146"/>
        <v>0</v>
      </c>
      <c r="H83" s="1198">
        <f t="shared" si="146"/>
        <v>0</v>
      </c>
      <c r="I83" s="1198">
        <f t="shared" si="146"/>
        <v>0</v>
      </c>
      <c r="J83" s="1198">
        <f t="shared" si="146"/>
        <v>0</v>
      </c>
      <c r="K83" s="1203">
        <f t="shared" si="146"/>
        <v>0</v>
      </c>
      <c r="L83" s="4387">
        <f>+'11.3. ДА Базова година'!L63</f>
        <v>0</v>
      </c>
      <c r="M83" s="1202">
        <f t="shared" si="147"/>
        <v>0</v>
      </c>
      <c r="N83" s="1198">
        <f t="shared" si="147"/>
        <v>0</v>
      </c>
      <c r="O83" s="1198">
        <f t="shared" si="147"/>
        <v>0</v>
      </c>
      <c r="P83" s="1198">
        <f t="shared" si="147"/>
        <v>0</v>
      </c>
      <c r="Q83" s="1198">
        <f t="shared" si="147"/>
        <v>0</v>
      </c>
      <c r="R83" s="1203">
        <f t="shared" si="147"/>
        <v>0</v>
      </c>
      <c r="S83" s="4387">
        <f>+'11.3. ДА Базова година'!P63</f>
        <v>0</v>
      </c>
      <c r="T83" s="1202">
        <f>S83+T58</f>
        <v>0</v>
      </c>
      <c r="U83" s="1198">
        <f t="shared" si="108"/>
        <v>0</v>
      </c>
      <c r="V83" s="1198">
        <f t="shared" si="108"/>
        <v>0</v>
      </c>
      <c r="W83" s="1198">
        <f t="shared" si="108"/>
        <v>0</v>
      </c>
      <c r="X83" s="1198">
        <f t="shared" si="108"/>
        <v>0</v>
      </c>
      <c r="Y83" s="1203">
        <f t="shared" si="108"/>
        <v>0</v>
      </c>
      <c r="Z83" s="4387">
        <f>+'11.3. ДА Базова година'!T63</f>
        <v>0</v>
      </c>
      <c r="AA83" s="1202">
        <f>Z83+AA58</f>
        <v>0</v>
      </c>
      <c r="AB83" s="1198">
        <f t="shared" si="109"/>
        <v>0</v>
      </c>
      <c r="AC83" s="1198">
        <f t="shared" si="109"/>
        <v>0</v>
      </c>
      <c r="AD83" s="1198">
        <f t="shared" si="109"/>
        <v>0</v>
      </c>
      <c r="AE83" s="1198">
        <f t="shared" si="109"/>
        <v>0</v>
      </c>
      <c r="AF83" s="1203">
        <f t="shared" si="109"/>
        <v>0</v>
      </c>
      <c r="AG83" s="4387">
        <f>+'11.3. ДА Базова година'!X63</f>
        <v>0</v>
      </c>
      <c r="AH83" s="1202">
        <f>AG83+AH58</f>
        <v>0</v>
      </c>
      <c r="AI83" s="1198">
        <f t="shared" si="110"/>
        <v>0</v>
      </c>
      <c r="AJ83" s="1198">
        <f t="shared" si="110"/>
        <v>0</v>
      </c>
      <c r="AK83" s="1198">
        <f t="shared" si="110"/>
        <v>0</v>
      </c>
      <c r="AL83" s="1198">
        <f t="shared" si="110"/>
        <v>0</v>
      </c>
      <c r="AM83" s="1203">
        <f t="shared" si="110"/>
        <v>0</v>
      </c>
      <c r="AN83" s="2513"/>
      <c r="AO83" s="2551"/>
      <c r="AP83" s="4422"/>
      <c r="AQ83" s="4438">
        <f t="shared" si="111"/>
        <v>0</v>
      </c>
      <c r="AR83" s="4438">
        <f t="shared" si="112"/>
        <v>0</v>
      </c>
      <c r="AS83" s="4438">
        <f t="shared" si="113"/>
        <v>0</v>
      </c>
      <c r="AT83" s="4438">
        <f t="shared" si="114"/>
        <v>0</v>
      </c>
      <c r="AU83" s="4438">
        <f t="shared" si="115"/>
        <v>0</v>
      </c>
      <c r="AV83" s="4438">
        <f t="shared" si="116"/>
        <v>0</v>
      </c>
      <c r="AW83" s="4438">
        <f t="shared" si="117"/>
        <v>0</v>
      </c>
      <c r="AX83" s="4438">
        <f t="shared" si="118"/>
        <v>0</v>
      </c>
      <c r="AY83" s="4438">
        <f t="shared" si="119"/>
        <v>0</v>
      </c>
      <c r="AZ83" s="4438">
        <f t="shared" si="120"/>
        <v>0</v>
      </c>
      <c r="BA83" s="4438">
        <f t="shared" si="121"/>
        <v>0</v>
      </c>
      <c r="BB83" s="4438">
        <f t="shared" si="122"/>
        <v>0</v>
      </c>
      <c r="BC83" s="4438">
        <f t="shared" si="123"/>
        <v>0</v>
      </c>
      <c r="BD83" s="4438">
        <f t="shared" si="124"/>
        <v>0</v>
      </c>
      <c r="BE83" s="4438">
        <f t="shared" si="125"/>
        <v>0</v>
      </c>
      <c r="BF83" s="4438">
        <f t="shared" si="126"/>
        <v>0</v>
      </c>
      <c r="BG83" s="4438">
        <f t="shared" si="127"/>
        <v>0</v>
      </c>
      <c r="BH83" s="4438">
        <f t="shared" si="128"/>
        <v>0</v>
      </c>
      <c r="BI83" s="4438">
        <f t="shared" si="129"/>
        <v>0</v>
      </c>
      <c r="BJ83" s="4438">
        <f t="shared" si="130"/>
        <v>0</v>
      </c>
      <c r="BK83" s="4438">
        <f t="shared" si="131"/>
        <v>0</v>
      </c>
      <c r="BL83" s="4438">
        <f t="shared" si="132"/>
        <v>0</v>
      </c>
      <c r="BM83" s="4438">
        <f t="shared" si="133"/>
        <v>0</v>
      </c>
      <c r="BN83" s="4438">
        <f t="shared" si="134"/>
        <v>0</v>
      </c>
      <c r="BO83" s="4438">
        <f t="shared" si="135"/>
        <v>0</v>
      </c>
      <c r="BP83" s="4438">
        <f t="shared" si="136"/>
        <v>0</v>
      </c>
      <c r="BQ83" s="4438">
        <f t="shared" si="137"/>
        <v>0</v>
      </c>
      <c r="BR83" s="4438">
        <f t="shared" si="138"/>
        <v>0</v>
      </c>
      <c r="BS83" s="4438">
        <f t="shared" si="139"/>
        <v>0</v>
      </c>
      <c r="BT83" s="4438">
        <f t="shared" si="140"/>
        <v>0</v>
      </c>
      <c r="BU83" s="4438">
        <f t="shared" si="141"/>
        <v>0</v>
      </c>
      <c r="BV83" s="4438">
        <f t="shared" si="142"/>
        <v>0</v>
      </c>
      <c r="BW83" s="4438">
        <f t="shared" si="143"/>
        <v>0</v>
      </c>
      <c r="BX83" s="4438">
        <f t="shared" si="144"/>
        <v>0</v>
      </c>
      <c r="BY83" s="4438">
        <f t="shared" si="145"/>
        <v>0</v>
      </c>
    </row>
    <row r="84" spans="1:77" ht="13.5" thickBot="1">
      <c r="A84" s="2531">
        <v>16</v>
      </c>
      <c r="B84" s="2536">
        <v>219</v>
      </c>
      <c r="C84" s="2564">
        <v>0.1</v>
      </c>
      <c r="D84" s="2560" t="s">
        <v>216</v>
      </c>
      <c r="E84" s="4388">
        <f>+'11.3. ДА Базова година'!H64</f>
        <v>22</v>
      </c>
      <c r="F84" s="1202">
        <f t="shared" si="146"/>
        <v>24</v>
      </c>
      <c r="G84" s="1198">
        <f t="shared" si="146"/>
        <v>26</v>
      </c>
      <c r="H84" s="1198">
        <f t="shared" si="146"/>
        <v>28</v>
      </c>
      <c r="I84" s="1198">
        <f t="shared" si="146"/>
        <v>30</v>
      </c>
      <c r="J84" s="1198">
        <f t="shared" si="146"/>
        <v>32</v>
      </c>
      <c r="K84" s="1203">
        <f t="shared" si="146"/>
        <v>34</v>
      </c>
      <c r="L84" s="4388">
        <f>+'11.3. ДА Базова година'!L64</f>
        <v>5</v>
      </c>
      <c r="M84" s="1202">
        <f t="shared" si="147"/>
        <v>7</v>
      </c>
      <c r="N84" s="1198">
        <f t="shared" si="147"/>
        <v>9</v>
      </c>
      <c r="O84" s="1198">
        <f t="shared" si="147"/>
        <v>11</v>
      </c>
      <c r="P84" s="1198">
        <f t="shared" si="147"/>
        <v>13</v>
      </c>
      <c r="Q84" s="1198">
        <f t="shared" si="147"/>
        <v>15</v>
      </c>
      <c r="R84" s="1203">
        <f t="shared" si="147"/>
        <v>17</v>
      </c>
      <c r="S84" s="4388">
        <f>+'11.3. ДА Базова година'!P64</f>
        <v>9</v>
      </c>
      <c r="T84" s="1202">
        <f>S84+T59</f>
        <v>12</v>
      </c>
      <c r="U84" s="1198">
        <f t="shared" si="108"/>
        <v>15</v>
      </c>
      <c r="V84" s="1198">
        <f t="shared" si="108"/>
        <v>18</v>
      </c>
      <c r="W84" s="1198">
        <f t="shared" si="108"/>
        <v>21</v>
      </c>
      <c r="X84" s="1198">
        <f t="shared" si="108"/>
        <v>24</v>
      </c>
      <c r="Y84" s="1203">
        <f t="shared" si="108"/>
        <v>27</v>
      </c>
      <c r="Z84" s="4388">
        <f>+'11.3. ДА Базова година'!T64</f>
        <v>0</v>
      </c>
      <c r="AA84" s="1202">
        <f>Z84+AA59</f>
        <v>0</v>
      </c>
      <c r="AB84" s="1198">
        <f t="shared" si="109"/>
        <v>0</v>
      </c>
      <c r="AC84" s="1198">
        <f t="shared" si="109"/>
        <v>0</v>
      </c>
      <c r="AD84" s="1198">
        <f t="shared" si="109"/>
        <v>0</v>
      </c>
      <c r="AE84" s="1198">
        <f t="shared" si="109"/>
        <v>0</v>
      </c>
      <c r="AF84" s="1203">
        <f t="shared" si="109"/>
        <v>0</v>
      </c>
      <c r="AG84" s="4388">
        <f>+'11.3. ДА Базова година'!X64</f>
        <v>0</v>
      </c>
      <c r="AH84" s="1202">
        <f>AG84+AH59</f>
        <v>0</v>
      </c>
      <c r="AI84" s="1198">
        <f t="shared" si="110"/>
        <v>0</v>
      </c>
      <c r="AJ84" s="1198">
        <f t="shared" si="110"/>
        <v>0</v>
      </c>
      <c r="AK84" s="1198">
        <f t="shared" si="110"/>
        <v>0</v>
      </c>
      <c r="AL84" s="1198">
        <f t="shared" si="110"/>
        <v>0</v>
      </c>
      <c r="AM84" s="1203">
        <f t="shared" si="110"/>
        <v>0</v>
      </c>
      <c r="AN84" s="2513"/>
      <c r="AO84" s="2551"/>
      <c r="AP84" s="4422"/>
      <c r="AQ84" s="4438">
        <f t="shared" si="111"/>
        <v>11.248421386316807</v>
      </c>
      <c r="AR84" s="4438">
        <f t="shared" si="112"/>
        <v>12.271005148709245</v>
      </c>
      <c r="AS84" s="4438">
        <f t="shared" si="113"/>
        <v>13.293588911101681</v>
      </c>
      <c r="AT84" s="4438">
        <f t="shared" si="114"/>
        <v>14.316172673494117</v>
      </c>
      <c r="AU84" s="4438">
        <f t="shared" si="115"/>
        <v>15.338756435886555</v>
      </c>
      <c r="AV84" s="4438">
        <f t="shared" si="116"/>
        <v>16.361340198278992</v>
      </c>
      <c r="AW84" s="4438">
        <f t="shared" si="117"/>
        <v>17.383923960671428</v>
      </c>
      <c r="AX84" s="4438">
        <f t="shared" si="118"/>
        <v>2.5564594059810926</v>
      </c>
      <c r="AY84" s="4438">
        <f t="shared" si="119"/>
        <v>3.5790431683735293</v>
      </c>
      <c r="AZ84" s="4438">
        <f t="shared" si="120"/>
        <v>4.6016269307659661</v>
      </c>
      <c r="BA84" s="4438">
        <f t="shared" si="121"/>
        <v>5.6242106931584033</v>
      </c>
      <c r="BB84" s="4438">
        <f t="shared" si="122"/>
        <v>6.6467944555508405</v>
      </c>
      <c r="BC84" s="4438">
        <f t="shared" si="123"/>
        <v>7.6693782179432777</v>
      </c>
      <c r="BD84" s="4438">
        <f t="shared" si="124"/>
        <v>8.691961980335714</v>
      </c>
      <c r="BE84" s="4438">
        <f t="shared" si="125"/>
        <v>4.6016269307659661</v>
      </c>
      <c r="BF84" s="4438">
        <f t="shared" si="126"/>
        <v>6.1355025743546223</v>
      </c>
      <c r="BG84" s="4438">
        <f t="shared" si="127"/>
        <v>7.6693782179432777</v>
      </c>
      <c r="BH84" s="4438">
        <f t="shared" si="128"/>
        <v>9.2032538615319321</v>
      </c>
      <c r="BI84" s="4438">
        <f t="shared" si="129"/>
        <v>10.737129505120588</v>
      </c>
      <c r="BJ84" s="4438">
        <f t="shared" si="130"/>
        <v>12.271005148709245</v>
      </c>
      <c r="BK84" s="4438">
        <f t="shared" si="131"/>
        <v>13.804880792297899</v>
      </c>
      <c r="BL84" s="4438">
        <f t="shared" si="132"/>
        <v>0</v>
      </c>
      <c r="BM84" s="4438">
        <f t="shared" si="133"/>
        <v>0</v>
      </c>
      <c r="BN84" s="4438">
        <f t="shared" si="134"/>
        <v>0</v>
      </c>
      <c r="BO84" s="4438">
        <f t="shared" si="135"/>
        <v>0</v>
      </c>
      <c r="BP84" s="4438">
        <f t="shared" si="136"/>
        <v>0</v>
      </c>
      <c r="BQ84" s="4438">
        <f t="shared" si="137"/>
        <v>0</v>
      </c>
      <c r="BR84" s="4438">
        <f t="shared" si="138"/>
        <v>0</v>
      </c>
      <c r="BS84" s="4438">
        <f t="shared" si="139"/>
        <v>0</v>
      </c>
      <c r="BT84" s="4438">
        <f t="shared" si="140"/>
        <v>0</v>
      </c>
      <c r="BU84" s="4438">
        <f t="shared" si="141"/>
        <v>0</v>
      </c>
      <c r="BV84" s="4438">
        <f t="shared" si="142"/>
        <v>0</v>
      </c>
      <c r="BW84" s="4438">
        <f t="shared" si="143"/>
        <v>0</v>
      </c>
      <c r="BX84" s="4438">
        <f t="shared" si="144"/>
        <v>0</v>
      </c>
      <c r="BY84" s="4438">
        <f t="shared" si="145"/>
        <v>0</v>
      </c>
    </row>
    <row r="85" spans="1:77" ht="13.5" thickBot="1">
      <c r="A85" s="3685" t="s">
        <v>221</v>
      </c>
      <c r="B85" s="2539"/>
      <c r="C85" s="2539"/>
      <c r="D85" s="2502" t="s">
        <v>222</v>
      </c>
      <c r="E85" s="2507">
        <f t="shared" ref="E85" si="148">SUM(E86:E109)-E88-E94</f>
        <v>5163</v>
      </c>
      <c r="F85" s="2504">
        <f t="shared" ref="F85:AM85" si="149">SUM(F86:F109)-F88-F94</f>
        <v>5095.2149088541673</v>
      </c>
      <c r="G85" s="2505">
        <f t="shared" si="149"/>
        <v>5662.3280656172101</v>
      </c>
      <c r="H85" s="2505">
        <f t="shared" si="149"/>
        <v>5705.2257031064801</v>
      </c>
      <c r="I85" s="2505">
        <f t="shared" si="149"/>
        <v>5711.7218579263736</v>
      </c>
      <c r="J85" s="2505">
        <f t="shared" si="149"/>
        <v>5688.2687611353213</v>
      </c>
      <c r="K85" s="2506">
        <f t="shared" si="149"/>
        <v>5645.8130389214439</v>
      </c>
      <c r="L85" s="2507">
        <f t="shared" si="149"/>
        <v>349</v>
      </c>
      <c r="M85" s="2504">
        <f t="shared" si="149"/>
        <v>560.65533854166677</v>
      </c>
      <c r="N85" s="2505">
        <f t="shared" si="149"/>
        <v>530.61326255983215</v>
      </c>
      <c r="O85" s="2505">
        <f t="shared" si="149"/>
        <v>481.37294574931167</v>
      </c>
      <c r="P85" s="2505">
        <f t="shared" si="149"/>
        <v>501.33493064628317</v>
      </c>
      <c r="Q85" s="2505">
        <f t="shared" si="149"/>
        <v>521.84268531769976</v>
      </c>
      <c r="R85" s="2506">
        <f t="shared" si="149"/>
        <v>542.60688747649078</v>
      </c>
      <c r="S85" s="2507">
        <f t="shared" si="149"/>
        <v>591</v>
      </c>
      <c r="T85" s="2504">
        <f t="shared" si="149"/>
        <v>601.32975260416663</v>
      </c>
      <c r="U85" s="2505">
        <f t="shared" si="149"/>
        <v>564.16867182295755</v>
      </c>
      <c r="V85" s="2505">
        <f t="shared" si="149"/>
        <v>510.43135114420704</v>
      </c>
      <c r="W85" s="2505">
        <f t="shared" si="149"/>
        <v>455.75321142734117</v>
      </c>
      <c r="X85" s="2505">
        <f t="shared" si="149"/>
        <v>400.67855354697923</v>
      </c>
      <c r="Y85" s="2506">
        <f t="shared" si="149"/>
        <v>345.51007360206484</v>
      </c>
      <c r="Z85" s="2507">
        <f t="shared" si="149"/>
        <v>0</v>
      </c>
      <c r="AA85" s="2504">
        <f t="shared" si="149"/>
        <v>0</v>
      </c>
      <c r="AB85" s="2505">
        <f t="shared" si="149"/>
        <v>0</v>
      </c>
      <c r="AC85" s="2505">
        <f t="shared" si="149"/>
        <v>0</v>
      </c>
      <c r="AD85" s="2505">
        <f t="shared" si="149"/>
        <v>0</v>
      </c>
      <c r="AE85" s="2505">
        <f t="shared" si="149"/>
        <v>0</v>
      </c>
      <c r="AF85" s="2506">
        <f t="shared" si="149"/>
        <v>0</v>
      </c>
      <c r="AG85" s="2507">
        <f t="shared" si="149"/>
        <v>0</v>
      </c>
      <c r="AH85" s="2504">
        <f t="shared" si="149"/>
        <v>0</v>
      </c>
      <c r="AI85" s="2505">
        <f t="shared" si="149"/>
        <v>0</v>
      </c>
      <c r="AJ85" s="2505">
        <f t="shared" si="149"/>
        <v>0</v>
      </c>
      <c r="AK85" s="2505">
        <f t="shared" si="149"/>
        <v>0</v>
      </c>
      <c r="AL85" s="2505">
        <f t="shared" si="149"/>
        <v>0</v>
      </c>
      <c r="AM85" s="2506">
        <f t="shared" si="149"/>
        <v>0</v>
      </c>
      <c r="AN85" s="2508"/>
      <c r="AO85" s="2565">
        <f>-(K85+R85+Y85+K171+R171+Y171+K258+R258+Y258)+((K10+R10+Y10+K111+R111+Y111+K192+R192+Y192)-(K60+R60+Y60+K151+R151+Y151+K236+R236+Y236))</f>
        <v>0</v>
      </c>
      <c r="AP85" s="4422"/>
      <c r="AQ85" s="4438">
        <f t="shared" si="111"/>
        <v>2639.7999826160762</v>
      </c>
      <c r="AR85" s="4438">
        <f t="shared" si="112"/>
        <v>2605.142015847066</v>
      </c>
      <c r="AS85" s="4438">
        <f t="shared" si="113"/>
        <v>2895.1023686195681</v>
      </c>
      <c r="AT85" s="4438">
        <f t="shared" si="114"/>
        <v>2917.0355823903305</v>
      </c>
      <c r="AU85" s="4438">
        <f t="shared" si="115"/>
        <v>2920.357013608736</v>
      </c>
      <c r="AV85" s="4438">
        <f t="shared" si="116"/>
        <v>2908.3656356305614</v>
      </c>
      <c r="AW85" s="4438">
        <f t="shared" si="117"/>
        <v>2886.6583695522841</v>
      </c>
      <c r="AX85" s="4438">
        <f t="shared" si="118"/>
        <v>178.44086653748025</v>
      </c>
      <c r="AY85" s="4438">
        <f t="shared" si="119"/>
        <v>286.65852274567152</v>
      </c>
      <c r="AZ85" s="4438">
        <f t="shared" si="120"/>
        <v>271.29825320187962</v>
      </c>
      <c r="BA85" s="4438">
        <f t="shared" si="121"/>
        <v>246.12207898913078</v>
      </c>
      <c r="BB85" s="4438">
        <f t="shared" si="122"/>
        <v>256.32847979951384</v>
      </c>
      <c r="BC85" s="4438">
        <f t="shared" si="123"/>
        <v>266.81392826457301</v>
      </c>
      <c r="BD85" s="4438">
        <f t="shared" si="124"/>
        <v>277.43049624787983</v>
      </c>
      <c r="BE85" s="4438">
        <f t="shared" si="125"/>
        <v>302.17350178696512</v>
      </c>
      <c r="BF85" s="4438">
        <f t="shared" si="126"/>
        <v>307.45502042824103</v>
      </c>
      <c r="BG85" s="4438">
        <f t="shared" si="127"/>
        <v>288.454861528332</v>
      </c>
      <c r="BH85" s="4438">
        <f t="shared" si="128"/>
        <v>260.9794057480492</v>
      </c>
      <c r="BI85" s="4438">
        <f t="shared" si="129"/>
        <v>233.02291683190316</v>
      </c>
      <c r="BJ85" s="4438">
        <f t="shared" si="130"/>
        <v>204.86369139801477</v>
      </c>
      <c r="BK85" s="4438">
        <f t="shared" si="131"/>
        <v>176.65649550424365</v>
      </c>
      <c r="BL85" s="4438">
        <f t="shared" si="132"/>
        <v>0</v>
      </c>
      <c r="BM85" s="4438">
        <f t="shared" si="133"/>
        <v>0</v>
      </c>
      <c r="BN85" s="4438">
        <f t="shared" si="134"/>
        <v>0</v>
      </c>
      <c r="BO85" s="4438">
        <f t="shared" si="135"/>
        <v>0</v>
      </c>
      <c r="BP85" s="4438">
        <f t="shared" si="136"/>
        <v>0</v>
      </c>
      <c r="BQ85" s="4438">
        <f t="shared" si="137"/>
        <v>0</v>
      </c>
      <c r="BR85" s="4438">
        <f t="shared" si="138"/>
        <v>0</v>
      </c>
      <c r="BS85" s="4438">
        <f t="shared" si="139"/>
        <v>0</v>
      </c>
      <c r="BT85" s="4438">
        <f t="shared" si="140"/>
        <v>0</v>
      </c>
      <c r="BU85" s="4438">
        <f t="shared" si="141"/>
        <v>0</v>
      </c>
      <c r="BV85" s="4438">
        <f t="shared" si="142"/>
        <v>0</v>
      </c>
      <c r="BW85" s="4438">
        <f t="shared" si="143"/>
        <v>0</v>
      </c>
      <c r="BX85" s="4438">
        <f t="shared" si="144"/>
        <v>0</v>
      </c>
      <c r="BY85" s="4438">
        <f t="shared" si="145"/>
        <v>0</v>
      </c>
    </row>
    <row r="86" spans="1:77">
      <c r="A86" s="2509">
        <v>1</v>
      </c>
      <c r="B86" s="2509">
        <v>20101</v>
      </c>
      <c r="C86" s="2533">
        <v>0</v>
      </c>
      <c r="D86" s="2561" t="s">
        <v>556</v>
      </c>
      <c r="E86" s="2621">
        <f>E11-E61</f>
        <v>54</v>
      </c>
      <c r="F86" s="2602">
        <f t="shared" ref="F86:AM87" si="150">F11-F61</f>
        <v>54</v>
      </c>
      <c r="G86" s="2603">
        <f t="shared" si="150"/>
        <v>54</v>
      </c>
      <c r="H86" s="2603">
        <f t="shared" si="150"/>
        <v>54</v>
      </c>
      <c r="I86" s="2603">
        <f t="shared" si="150"/>
        <v>54</v>
      </c>
      <c r="J86" s="2603">
        <f t="shared" si="150"/>
        <v>54</v>
      </c>
      <c r="K86" s="2622">
        <f t="shared" si="150"/>
        <v>54</v>
      </c>
      <c r="L86" s="2621">
        <f t="shared" si="150"/>
        <v>37</v>
      </c>
      <c r="M86" s="2602">
        <f t="shared" si="150"/>
        <v>37</v>
      </c>
      <c r="N86" s="2603">
        <f t="shared" si="150"/>
        <v>37</v>
      </c>
      <c r="O86" s="2603">
        <f t="shared" si="150"/>
        <v>37</v>
      </c>
      <c r="P86" s="2603">
        <f t="shared" si="150"/>
        <v>37</v>
      </c>
      <c r="Q86" s="2603">
        <f t="shared" si="150"/>
        <v>37</v>
      </c>
      <c r="R86" s="2622">
        <f t="shared" si="150"/>
        <v>37</v>
      </c>
      <c r="S86" s="2621">
        <f t="shared" si="150"/>
        <v>73</v>
      </c>
      <c r="T86" s="2605">
        <f t="shared" si="150"/>
        <v>73</v>
      </c>
      <c r="U86" s="2603">
        <f t="shared" si="150"/>
        <v>73</v>
      </c>
      <c r="V86" s="2603">
        <f t="shared" si="150"/>
        <v>73</v>
      </c>
      <c r="W86" s="2603">
        <f t="shared" si="150"/>
        <v>73</v>
      </c>
      <c r="X86" s="2603">
        <f t="shared" si="150"/>
        <v>73</v>
      </c>
      <c r="Y86" s="2604">
        <f t="shared" si="150"/>
        <v>73</v>
      </c>
      <c r="Z86" s="2621">
        <f t="shared" si="150"/>
        <v>0</v>
      </c>
      <c r="AA86" s="2605">
        <f t="shared" si="150"/>
        <v>0</v>
      </c>
      <c r="AB86" s="2603">
        <f t="shared" si="150"/>
        <v>0</v>
      </c>
      <c r="AC86" s="2603">
        <f t="shared" si="150"/>
        <v>0</v>
      </c>
      <c r="AD86" s="2603">
        <f t="shared" si="150"/>
        <v>0</v>
      </c>
      <c r="AE86" s="2603">
        <f t="shared" si="150"/>
        <v>0</v>
      </c>
      <c r="AF86" s="2604">
        <f t="shared" si="150"/>
        <v>0</v>
      </c>
      <c r="AG86" s="2621">
        <f t="shared" si="150"/>
        <v>0</v>
      </c>
      <c r="AH86" s="2605">
        <f t="shared" si="150"/>
        <v>0</v>
      </c>
      <c r="AI86" s="2603">
        <f t="shared" si="150"/>
        <v>0</v>
      </c>
      <c r="AJ86" s="2603">
        <f t="shared" si="150"/>
        <v>0</v>
      </c>
      <c r="AK86" s="2603">
        <f t="shared" si="150"/>
        <v>0</v>
      </c>
      <c r="AL86" s="2603">
        <f t="shared" si="150"/>
        <v>0</v>
      </c>
      <c r="AM86" s="2604">
        <f t="shared" si="150"/>
        <v>0</v>
      </c>
      <c r="AN86" s="2513"/>
      <c r="AO86" s="2514"/>
      <c r="AP86" s="4422"/>
      <c r="AQ86" s="4438">
        <f t="shared" si="111"/>
        <v>27.609761584595798</v>
      </c>
      <c r="AR86" s="4438">
        <f t="shared" si="112"/>
        <v>27.609761584595798</v>
      </c>
      <c r="AS86" s="4438">
        <f t="shared" si="113"/>
        <v>27.609761584595798</v>
      </c>
      <c r="AT86" s="4438">
        <f t="shared" si="114"/>
        <v>27.609761584595798</v>
      </c>
      <c r="AU86" s="4438">
        <f t="shared" si="115"/>
        <v>27.609761584595798</v>
      </c>
      <c r="AV86" s="4438">
        <f t="shared" si="116"/>
        <v>27.609761584595798</v>
      </c>
      <c r="AW86" s="4438">
        <f t="shared" si="117"/>
        <v>27.609761584595798</v>
      </c>
      <c r="AX86" s="4438">
        <f t="shared" si="118"/>
        <v>18.917799604260086</v>
      </c>
      <c r="AY86" s="4438">
        <f t="shared" si="119"/>
        <v>18.917799604260086</v>
      </c>
      <c r="AZ86" s="4438">
        <f t="shared" si="120"/>
        <v>18.917799604260086</v>
      </c>
      <c r="BA86" s="4438">
        <f t="shared" si="121"/>
        <v>18.917799604260086</v>
      </c>
      <c r="BB86" s="4438">
        <f t="shared" si="122"/>
        <v>18.917799604260086</v>
      </c>
      <c r="BC86" s="4438">
        <f t="shared" si="123"/>
        <v>18.917799604260086</v>
      </c>
      <c r="BD86" s="4438">
        <f t="shared" si="124"/>
        <v>18.917799604260086</v>
      </c>
      <c r="BE86" s="4438">
        <f t="shared" si="125"/>
        <v>37.32430732732395</v>
      </c>
      <c r="BF86" s="4438">
        <f t="shared" si="126"/>
        <v>37.32430732732395</v>
      </c>
      <c r="BG86" s="4438">
        <f t="shared" si="127"/>
        <v>37.32430732732395</v>
      </c>
      <c r="BH86" s="4438">
        <f t="shared" si="128"/>
        <v>37.32430732732395</v>
      </c>
      <c r="BI86" s="4438">
        <f t="shared" si="129"/>
        <v>37.32430732732395</v>
      </c>
      <c r="BJ86" s="4438">
        <f t="shared" si="130"/>
        <v>37.32430732732395</v>
      </c>
      <c r="BK86" s="4438">
        <f t="shared" si="131"/>
        <v>37.32430732732395</v>
      </c>
      <c r="BL86" s="4438">
        <f t="shared" si="132"/>
        <v>0</v>
      </c>
      <c r="BM86" s="4438">
        <f t="shared" si="133"/>
        <v>0</v>
      </c>
      <c r="BN86" s="4438">
        <f t="shared" si="134"/>
        <v>0</v>
      </c>
      <c r="BO86" s="4438">
        <f t="shared" si="135"/>
        <v>0</v>
      </c>
      <c r="BP86" s="4438">
        <f t="shared" si="136"/>
        <v>0</v>
      </c>
      <c r="BQ86" s="4438">
        <f t="shared" si="137"/>
        <v>0</v>
      </c>
      <c r="BR86" s="4438">
        <f t="shared" si="138"/>
        <v>0</v>
      </c>
      <c r="BS86" s="4438">
        <f t="shared" si="139"/>
        <v>0</v>
      </c>
      <c r="BT86" s="4438">
        <f t="shared" si="140"/>
        <v>0</v>
      </c>
      <c r="BU86" s="4438">
        <f t="shared" si="141"/>
        <v>0</v>
      </c>
      <c r="BV86" s="4438">
        <f t="shared" si="142"/>
        <v>0</v>
      </c>
      <c r="BW86" s="4438">
        <f t="shared" si="143"/>
        <v>0</v>
      </c>
      <c r="BX86" s="4438">
        <f t="shared" si="144"/>
        <v>0</v>
      </c>
      <c r="BY86" s="4438">
        <f t="shared" si="145"/>
        <v>0</v>
      </c>
    </row>
    <row r="87" spans="1:77">
      <c r="A87" s="2515">
        <v>2</v>
      </c>
      <c r="B87" s="2515">
        <v>20201</v>
      </c>
      <c r="C87" s="2562">
        <v>0.03</v>
      </c>
      <c r="D87" s="2563" t="s">
        <v>425</v>
      </c>
      <c r="E87" s="1091">
        <f t="shared" ref="E87" si="151">E12-E62</f>
        <v>90</v>
      </c>
      <c r="F87" s="883">
        <f t="shared" si="150"/>
        <v>94.087174479166606</v>
      </c>
      <c r="G87" s="1198">
        <f t="shared" si="150"/>
        <v>80.929617783332276</v>
      </c>
      <c r="H87" s="1198">
        <f t="shared" si="150"/>
        <v>67.807856368361513</v>
      </c>
      <c r="I87" s="1198">
        <f t="shared" si="150"/>
        <v>55.37267383219347</v>
      </c>
      <c r="J87" s="1198">
        <f t="shared" si="150"/>
        <v>42.930283991654392</v>
      </c>
      <c r="K87" s="2623">
        <f t="shared" si="150"/>
        <v>32.984778597418767</v>
      </c>
      <c r="L87" s="1091">
        <f t="shared" si="150"/>
        <v>62</v>
      </c>
      <c r="M87" s="883">
        <f t="shared" si="150"/>
        <v>70.515494791666697</v>
      </c>
      <c r="N87" s="1198">
        <f t="shared" si="150"/>
        <v>62.309454904920756</v>
      </c>
      <c r="O87" s="1198">
        <f t="shared" si="150"/>
        <v>54.145291198204461</v>
      </c>
      <c r="P87" s="1198">
        <f t="shared" si="150"/>
        <v>45.991674121253254</v>
      </c>
      <c r="Q87" s="1198">
        <f t="shared" si="150"/>
        <v>37.845893419113679</v>
      </c>
      <c r="R87" s="2623">
        <f t="shared" si="150"/>
        <v>29.708288759426694</v>
      </c>
      <c r="S87" s="1091">
        <f t="shared" si="150"/>
        <v>122</v>
      </c>
      <c r="T87" s="1202">
        <f t="shared" si="150"/>
        <v>121.64733072916658</v>
      </c>
      <c r="U87" s="1198">
        <f t="shared" si="150"/>
        <v>104.51092731174685</v>
      </c>
      <c r="V87" s="1198">
        <f t="shared" si="150"/>
        <v>87.296852433433855</v>
      </c>
      <c r="W87" s="1198">
        <f t="shared" si="150"/>
        <v>70.045652046553073</v>
      </c>
      <c r="X87" s="1198">
        <f t="shared" si="150"/>
        <v>52.793822589231695</v>
      </c>
      <c r="Y87" s="1203">
        <f t="shared" si="150"/>
        <v>35.556932643154255</v>
      </c>
      <c r="Z87" s="1091">
        <f t="shared" si="150"/>
        <v>0</v>
      </c>
      <c r="AA87" s="1202">
        <f t="shared" si="150"/>
        <v>0</v>
      </c>
      <c r="AB87" s="1198">
        <f t="shared" si="150"/>
        <v>0</v>
      </c>
      <c r="AC87" s="1198">
        <f t="shared" si="150"/>
        <v>0</v>
      </c>
      <c r="AD87" s="1198">
        <f t="shared" si="150"/>
        <v>0</v>
      </c>
      <c r="AE87" s="1198">
        <f t="shared" si="150"/>
        <v>0</v>
      </c>
      <c r="AF87" s="1203">
        <f t="shared" si="150"/>
        <v>0</v>
      </c>
      <c r="AG87" s="1091">
        <f t="shared" si="150"/>
        <v>0</v>
      </c>
      <c r="AH87" s="1202">
        <f t="shared" si="150"/>
        <v>0</v>
      </c>
      <c r="AI87" s="1198">
        <f t="shared" si="150"/>
        <v>0</v>
      </c>
      <c r="AJ87" s="1198">
        <f t="shared" si="150"/>
        <v>0</v>
      </c>
      <c r="AK87" s="1198">
        <f t="shared" si="150"/>
        <v>0</v>
      </c>
      <c r="AL87" s="1198">
        <f t="shared" si="150"/>
        <v>0</v>
      </c>
      <c r="AM87" s="1203">
        <f t="shared" si="150"/>
        <v>0</v>
      </c>
      <c r="AN87" s="2513"/>
      <c r="AO87" s="2566"/>
      <c r="AP87" s="4422"/>
      <c r="AQ87" s="4438">
        <f t="shared" si="111"/>
        <v>46.016269307659663</v>
      </c>
      <c r="AR87" s="4438">
        <f t="shared" si="112"/>
        <v>48.106008435889933</v>
      </c>
      <c r="AS87" s="4438">
        <f t="shared" si="113"/>
        <v>41.378656520930896</v>
      </c>
      <c r="AT87" s="4438">
        <f t="shared" si="114"/>
        <v>34.669606442462545</v>
      </c>
      <c r="AU87" s="4438">
        <f t="shared" si="115"/>
        <v>28.311598570526822</v>
      </c>
      <c r="AV87" s="4438">
        <f t="shared" si="116"/>
        <v>21.949905662380878</v>
      </c>
      <c r="AW87" s="4438">
        <f t="shared" si="117"/>
        <v>16.864849499915007</v>
      </c>
      <c r="AX87" s="4438">
        <f t="shared" si="118"/>
        <v>31.700096634165547</v>
      </c>
      <c r="AY87" s="4438">
        <f t="shared" si="119"/>
        <v>36.053999985513414</v>
      </c>
      <c r="AZ87" s="4438">
        <f t="shared" si="120"/>
        <v>31.858318414647876</v>
      </c>
      <c r="BA87" s="4438">
        <f t="shared" si="121"/>
        <v>27.684047794647011</v>
      </c>
      <c r="BB87" s="4438">
        <f t="shared" si="122"/>
        <v>23.515169580819016</v>
      </c>
      <c r="BC87" s="4438">
        <f t="shared" si="123"/>
        <v>19.35029804181022</v>
      </c>
      <c r="BD87" s="4438">
        <f t="shared" si="124"/>
        <v>15.189606846927747</v>
      </c>
      <c r="BE87" s="4438">
        <f t="shared" si="125"/>
        <v>62.377609505938658</v>
      </c>
      <c r="BF87" s="4438">
        <f t="shared" si="126"/>
        <v>62.197292571014138</v>
      </c>
      <c r="BG87" s="4438">
        <f t="shared" si="127"/>
        <v>53.435588630784302</v>
      </c>
      <c r="BH87" s="4438">
        <f t="shared" si="128"/>
        <v>44.634171903199082</v>
      </c>
      <c r="BI87" s="4438">
        <f t="shared" si="129"/>
        <v>35.81377320449787</v>
      </c>
      <c r="BJ87" s="4438">
        <f t="shared" si="130"/>
        <v>26.993052867187689</v>
      </c>
      <c r="BK87" s="4438">
        <f t="shared" si="131"/>
        <v>18.179970980685567</v>
      </c>
      <c r="BL87" s="4438">
        <f t="shared" si="132"/>
        <v>0</v>
      </c>
      <c r="BM87" s="4438">
        <f t="shared" si="133"/>
        <v>0</v>
      </c>
      <c r="BN87" s="4438">
        <f t="shared" si="134"/>
        <v>0</v>
      </c>
      <c r="BO87" s="4438">
        <f t="shared" si="135"/>
        <v>0</v>
      </c>
      <c r="BP87" s="4438">
        <f t="shared" si="136"/>
        <v>0</v>
      </c>
      <c r="BQ87" s="4438">
        <f t="shared" si="137"/>
        <v>0</v>
      </c>
      <c r="BR87" s="4438">
        <f t="shared" si="138"/>
        <v>0</v>
      </c>
      <c r="BS87" s="4438">
        <f t="shared" si="139"/>
        <v>0</v>
      </c>
      <c r="BT87" s="4438">
        <f t="shared" si="140"/>
        <v>0</v>
      </c>
      <c r="BU87" s="4438">
        <f t="shared" si="141"/>
        <v>0</v>
      </c>
      <c r="BV87" s="4438">
        <f t="shared" si="142"/>
        <v>0</v>
      </c>
      <c r="BW87" s="4438">
        <f t="shared" si="143"/>
        <v>0</v>
      </c>
      <c r="BX87" s="4438">
        <f t="shared" si="144"/>
        <v>0</v>
      </c>
      <c r="BY87" s="4438">
        <f t="shared" si="145"/>
        <v>0</v>
      </c>
    </row>
    <row r="88" spans="1:77" ht="24">
      <c r="A88" s="2515">
        <v>3</v>
      </c>
      <c r="B88" s="2516">
        <v>203</v>
      </c>
      <c r="C88" s="2522"/>
      <c r="D88" s="2547" t="s">
        <v>405</v>
      </c>
      <c r="E88" s="2606">
        <f t="shared" ref="E88" si="152">SUM(E89:E92)</f>
        <v>1808</v>
      </c>
      <c r="F88" s="2624">
        <f t="shared" ref="F88:AM88" si="153">SUM(F89:F92)</f>
        <v>1827.15</v>
      </c>
      <c r="G88" s="2625">
        <f t="shared" si="153"/>
        <v>1653.9716498373596</v>
      </c>
      <c r="H88" s="2625">
        <f t="shared" si="153"/>
        <v>1463.5756231271371</v>
      </c>
      <c r="I88" s="2625">
        <f t="shared" si="153"/>
        <v>1273.996498803742</v>
      </c>
      <c r="J88" s="2625">
        <f t="shared" si="153"/>
        <v>1087.5982015797854</v>
      </c>
      <c r="K88" s="2626">
        <f t="shared" si="153"/>
        <v>900.98713911757977</v>
      </c>
      <c r="L88" s="2606">
        <f t="shared" si="153"/>
        <v>2</v>
      </c>
      <c r="M88" s="2624">
        <f t="shared" si="153"/>
        <v>192</v>
      </c>
      <c r="N88" s="2625">
        <f t="shared" si="153"/>
        <v>193.10266286674889</v>
      </c>
      <c r="O88" s="2625">
        <f t="shared" si="153"/>
        <v>174.74550744789363</v>
      </c>
      <c r="P88" s="2625">
        <f t="shared" si="153"/>
        <v>156.34650011443836</v>
      </c>
      <c r="Q88" s="2625">
        <f t="shared" si="153"/>
        <v>137.90370069735914</v>
      </c>
      <c r="R88" s="2626">
        <f t="shared" si="153"/>
        <v>119.42730220171597</v>
      </c>
      <c r="S88" s="2606">
        <f t="shared" si="153"/>
        <v>10</v>
      </c>
      <c r="T88" s="2620">
        <f t="shared" si="153"/>
        <v>29.15</v>
      </c>
      <c r="U88" s="2608">
        <f t="shared" si="153"/>
        <v>43.675687295891777</v>
      </c>
      <c r="V88" s="2608">
        <f t="shared" si="153"/>
        <v>42.62886942496921</v>
      </c>
      <c r="W88" s="2608">
        <f t="shared" si="153"/>
        <v>41.307001081819287</v>
      </c>
      <c r="X88" s="2608">
        <f t="shared" si="153"/>
        <v>39.848097722855314</v>
      </c>
      <c r="Y88" s="2609">
        <f t="shared" si="153"/>
        <v>38.335558680704054</v>
      </c>
      <c r="Z88" s="2606">
        <f t="shared" si="153"/>
        <v>0</v>
      </c>
      <c r="AA88" s="2620">
        <f t="shared" si="153"/>
        <v>0</v>
      </c>
      <c r="AB88" s="2608">
        <f t="shared" si="153"/>
        <v>0</v>
      </c>
      <c r="AC88" s="2608">
        <f t="shared" si="153"/>
        <v>0</v>
      </c>
      <c r="AD88" s="2608">
        <f t="shared" si="153"/>
        <v>0</v>
      </c>
      <c r="AE88" s="2608">
        <f t="shared" si="153"/>
        <v>0</v>
      </c>
      <c r="AF88" s="2609">
        <f t="shared" si="153"/>
        <v>0</v>
      </c>
      <c r="AG88" s="2606">
        <f t="shared" si="153"/>
        <v>0</v>
      </c>
      <c r="AH88" s="2620">
        <f t="shared" si="153"/>
        <v>0</v>
      </c>
      <c r="AI88" s="2608">
        <f t="shared" si="153"/>
        <v>0</v>
      </c>
      <c r="AJ88" s="2608">
        <f t="shared" si="153"/>
        <v>0</v>
      </c>
      <c r="AK88" s="2608">
        <f t="shared" si="153"/>
        <v>0</v>
      </c>
      <c r="AL88" s="2608">
        <f t="shared" si="153"/>
        <v>0</v>
      </c>
      <c r="AM88" s="2609">
        <f t="shared" si="153"/>
        <v>0</v>
      </c>
      <c r="AN88" s="2513"/>
      <c r="AO88" s="2551"/>
      <c r="AP88" s="4422"/>
      <c r="AQ88" s="4438">
        <f t="shared" si="111"/>
        <v>924.41572120276305</v>
      </c>
      <c r="AR88" s="4438">
        <f t="shared" si="112"/>
        <v>934.20696072767066</v>
      </c>
      <c r="AS88" s="4438">
        <f t="shared" si="113"/>
        <v>845.66227629055675</v>
      </c>
      <c r="AT88" s="4438">
        <f t="shared" si="114"/>
        <v>748.31433362160158</v>
      </c>
      <c r="AU88" s="4438">
        <f t="shared" si="115"/>
        <v>651.38406651076116</v>
      </c>
      <c r="AV88" s="4438">
        <f t="shared" si="116"/>
        <v>556.0801304713525</v>
      </c>
      <c r="AW88" s="4438">
        <f t="shared" si="117"/>
        <v>460.66740929302637</v>
      </c>
      <c r="AX88" s="4438">
        <f t="shared" si="118"/>
        <v>1.022583762392437</v>
      </c>
      <c r="AY88" s="4438">
        <f t="shared" si="119"/>
        <v>98.168041189673957</v>
      </c>
      <c r="AZ88" s="4438">
        <f t="shared" si="120"/>
        <v>98.731823761139211</v>
      </c>
      <c r="BA88" s="4438">
        <f t="shared" si="121"/>
        <v>89.345959233621343</v>
      </c>
      <c r="BB88" s="4438">
        <f t="shared" si="122"/>
        <v>79.938696161955974</v>
      </c>
      <c r="BC88" s="4438">
        <f t="shared" si="123"/>
        <v>70.509042553473023</v>
      </c>
      <c r="BD88" s="4438">
        <f t="shared" si="124"/>
        <v>61.06221000890465</v>
      </c>
      <c r="BE88" s="4438">
        <f t="shared" si="125"/>
        <v>5.1129188119621851</v>
      </c>
      <c r="BF88" s="4438">
        <f t="shared" si="126"/>
        <v>14.904158336869768</v>
      </c>
      <c r="BG88" s="4438">
        <f t="shared" si="127"/>
        <v>22.331024320054286</v>
      </c>
      <c r="BH88" s="4438">
        <f t="shared" si="128"/>
        <v>21.795794841560468</v>
      </c>
      <c r="BI88" s="4438">
        <f t="shared" si="129"/>
        <v>21.119934289697614</v>
      </c>
      <c r="BJ88" s="4438">
        <f t="shared" si="130"/>
        <v>20.374008846809446</v>
      </c>
      <c r="BK88" s="4438">
        <f t="shared" si="131"/>
        <v>19.600659914565199</v>
      </c>
      <c r="BL88" s="4438">
        <f t="shared" si="132"/>
        <v>0</v>
      </c>
      <c r="BM88" s="4438">
        <f t="shared" si="133"/>
        <v>0</v>
      </c>
      <c r="BN88" s="4438">
        <f t="shared" si="134"/>
        <v>0</v>
      </c>
      <c r="BO88" s="4438">
        <f t="shared" si="135"/>
        <v>0</v>
      </c>
      <c r="BP88" s="4438">
        <f t="shared" si="136"/>
        <v>0</v>
      </c>
      <c r="BQ88" s="4438">
        <f t="shared" si="137"/>
        <v>0</v>
      </c>
      <c r="BR88" s="4438">
        <f t="shared" si="138"/>
        <v>0</v>
      </c>
      <c r="BS88" s="4438">
        <f t="shared" si="139"/>
        <v>0</v>
      </c>
      <c r="BT88" s="4438">
        <f t="shared" si="140"/>
        <v>0</v>
      </c>
      <c r="BU88" s="4438">
        <f t="shared" si="141"/>
        <v>0</v>
      </c>
      <c r="BV88" s="4438">
        <f t="shared" si="142"/>
        <v>0</v>
      </c>
      <c r="BW88" s="4438">
        <f t="shared" si="143"/>
        <v>0</v>
      </c>
      <c r="BX88" s="4438">
        <f t="shared" si="144"/>
        <v>0</v>
      </c>
      <c r="BY88" s="4438">
        <f t="shared" si="145"/>
        <v>0</v>
      </c>
    </row>
    <row r="89" spans="1:77">
      <c r="A89" s="2515"/>
      <c r="B89" s="2516">
        <v>20301</v>
      </c>
      <c r="C89" s="2522">
        <v>0.1</v>
      </c>
      <c r="D89" s="2550" t="s">
        <v>427</v>
      </c>
      <c r="E89" s="1091">
        <f t="shared" ref="E89:E93" si="154">E14-E64</f>
        <v>5</v>
      </c>
      <c r="F89" s="883">
        <f t="shared" ref="F89:AM93" si="155">F14-F64</f>
        <v>5.0999999999999943</v>
      </c>
      <c r="G89" s="1198">
        <f t="shared" si="155"/>
        <v>5.1999999999999886</v>
      </c>
      <c r="H89" s="1198">
        <f t="shared" si="155"/>
        <v>5.2999999999999829</v>
      </c>
      <c r="I89" s="1198">
        <f t="shared" si="155"/>
        <v>5.3999999999999773</v>
      </c>
      <c r="J89" s="1198">
        <f t="shared" si="155"/>
        <v>5.4999999999999716</v>
      </c>
      <c r="K89" s="2623">
        <f t="shared" si="155"/>
        <v>5.5999999999999659</v>
      </c>
      <c r="L89" s="1091">
        <f t="shared" si="155"/>
        <v>0</v>
      </c>
      <c r="M89" s="883">
        <f t="shared" si="155"/>
        <v>0</v>
      </c>
      <c r="N89" s="1198">
        <f t="shared" si="155"/>
        <v>0</v>
      </c>
      <c r="O89" s="1198">
        <f t="shared" si="155"/>
        <v>0</v>
      </c>
      <c r="P89" s="1198">
        <f t="shared" si="155"/>
        <v>0</v>
      </c>
      <c r="Q89" s="1198">
        <f t="shared" si="155"/>
        <v>0</v>
      </c>
      <c r="R89" s="2623">
        <f t="shared" si="155"/>
        <v>0</v>
      </c>
      <c r="S89" s="1091">
        <f t="shared" si="155"/>
        <v>0</v>
      </c>
      <c r="T89" s="1202">
        <f t="shared" si="155"/>
        <v>0</v>
      </c>
      <c r="U89" s="1198">
        <f t="shared" si="155"/>
        <v>0</v>
      </c>
      <c r="V89" s="1198">
        <f t="shared" si="155"/>
        <v>0</v>
      </c>
      <c r="W89" s="1198">
        <f t="shared" si="155"/>
        <v>0</v>
      </c>
      <c r="X89" s="1198">
        <f t="shared" si="155"/>
        <v>0</v>
      </c>
      <c r="Y89" s="1203">
        <f t="shared" si="155"/>
        <v>0</v>
      </c>
      <c r="Z89" s="1091">
        <f t="shared" si="155"/>
        <v>0</v>
      </c>
      <c r="AA89" s="1202">
        <f t="shared" si="155"/>
        <v>0</v>
      </c>
      <c r="AB89" s="1198">
        <f t="shared" si="155"/>
        <v>0</v>
      </c>
      <c r="AC89" s="1198">
        <f t="shared" si="155"/>
        <v>0</v>
      </c>
      <c r="AD89" s="1198">
        <f t="shared" si="155"/>
        <v>0</v>
      </c>
      <c r="AE89" s="1198">
        <f t="shared" si="155"/>
        <v>0</v>
      </c>
      <c r="AF89" s="1203">
        <f t="shared" si="155"/>
        <v>0</v>
      </c>
      <c r="AG89" s="1091">
        <f t="shared" si="155"/>
        <v>0</v>
      </c>
      <c r="AH89" s="1202">
        <f t="shared" si="155"/>
        <v>0</v>
      </c>
      <c r="AI89" s="1198">
        <f t="shared" si="155"/>
        <v>0</v>
      </c>
      <c r="AJ89" s="1198">
        <f t="shared" si="155"/>
        <v>0</v>
      </c>
      <c r="AK89" s="1198">
        <f t="shared" si="155"/>
        <v>0</v>
      </c>
      <c r="AL89" s="1198">
        <f t="shared" si="155"/>
        <v>0</v>
      </c>
      <c r="AM89" s="1203">
        <f t="shared" si="155"/>
        <v>0</v>
      </c>
      <c r="AN89" s="2513"/>
      <c r="AO89" s="2551"/>
      <c r="AP89" s="4422"/>
      <c r="AQ89" s="4438">
        <f t="shared" si="111"/>
        <v>2.5564594059810926</v>
      </c>
      <c r="AR89" s="4438">
        <f t="shared" si="112"/>
        <v>2.6075885941007115</v>
      </c>
      <c r="AS89" s="4438">
        <f t="shared" si="113"/>
        <v>2.6587177822203305</v>
      </c>
      <c r="AT89" s="4438">
        <f t="shared" si="114"/>
        <v>2.7098469703399495</v>
      </c>
      <c r="AU89" s="4438">
        <f t="shared" si="115"/>
        <v>2.7609761584595685</v>
      </c>
      <c r="AV89" s="4438">
        <f t="shared" si="116"/>
        <v>2.812105346579187</v>
      </c>
      <c r="AW89" s="4438">
        <f t="shared" si="117"/>
        <v>2.863234534698806</v>
      </c>
      <c r="AX89" s="4438">
        <f t="shared" si="118"/>
        <v>0</v>
      </c>
      <c r="AY89" s="4438">
        <f t="shared" si="119"/>
        <v>0</v>
      </c>
      <c r="AZ89" s="4438">
        <f t="shared" si="120"/>
        <v>0</v>
      </c>
      <c r="BA89" s="4438">
        <f t="shared" si="121"/>
        <v>0</v>
      </c>
      <c r="BB89" s="4438">
        <f t="shared" si="122"/>
        <v>0</v>
      </c>
      <c r="BC89" s="4438">
        <f t="shared" si="123"/>
        <v>0</v>
      </c>
      <c r="BD89" s="4438">
        <f t="shared" si="124"/>
        <v>0</v>
      </c>
      <c r="BE89" s="4438">
        <f t="shared" si="125"/>
        <v>0</v>
      </c>
      <c r="BF89" s="4438">
        <f t="shared" si="126"/>
        <v>0</v>
      </c>
      <c r="BG89" s="4438">
        <f t="shared" si="127"/>
        <v>0</v>
      </c>
      <c r="BH89" s="4438">
        <f t="shared" si="128"/>
        <v>0</v>
      </c>
      <c r="BI89" s="4438">
        <f t="shared" si="129"/>
        <v>0</v>
      </c>
      <c r="BJ89" s="4438">
        <f t="shared" si="130"/>
        <v>0</v>
      </c>
      <c r="BK89" s="4438">
        <f t="shared" si="131"/>
        <v>0</v>
      </c>
      <c r="BL89" s="4438">
        <f t="shared" si="132"/>
        <v>0</v>
      </c>
      <c r="BM89" s="4438">
        <f t="shared" si="133"/>
        <v>0</v>
      </c>
      <c r="BN89" s="4438">
        <f t="shared" si="134"/>
        <v>0</v>
      </c>
      <c r="BO89" s="4438">
        <f t="shared" si="135"/>
        <v>0</v>
      </c>
      <c r="BP89" s="4438">
        <f t="shared" si="136"/>
        <v>0</v>
      </c>
      <c r="BQ89" s="4438">
        <f t="shared" si="137"/>
        <v>0</v>
      </c>
      <c r="BR89" s="4438">
        <f t="shared" si="138"/>
        <v>0</v>
      </c>
      <c r="BS89" s="4438">
        <f t="shared" si="139"/>
        <v>0</v>
      </c>
      <c r="BT89" s="4438">
        <f t="shared" si="140"/>
        <v>0</v>
      </c>
      <c r="BU89" s="4438">
        <f t="shared" si="141"/>
        <v>0</v>
      </c>
      <c r="BV89" s="4438">
        <f t="shared" si="142"/>
        <v>0</v>
      </c>
      <c r="BW89" s="4438">
        <f t="shared" si="143"/>
        <v>0</v>
      </c>
      <c r="BX89" s="4438">
        <f t="shared" si="144"/>
        <v>0</v>
      </c>
      <c r="BY89" s="4438">
        <f t="shared" si="145"/>
        <v>0</v>
      </c>
    </row>
    <row r="90" spans="1:77">
      <c r="A90" s="2515"/>
      <c r="B90" s="2516">
        <v>20302</v>
      </c>
      <c r="C90" s="2522">
        <v>0.1</v>
      </c>
      <c r="D90" s="2550" t="s">
        <v>428</v>
      </c>
      <c r="E90" s="1091">
        <f t="shared" si="154"/>
        <v>36</v>
      </c>
      <c r="F90" s="883">
        <f t="shared" si="155"/>
        <v>48.95</v>
      </c>
      <c r="G90" s="1198">
        <f t="shared" si="155"/>
        <v>41.7</v>
      </c>
      <c r="H90" s="1198">
        <f t="shared" si="155"/>
        <v>34.450000000000003</v>
      </c>
      <c r="I90" s="1198">
        <f t="shared" si="155"/>
        <v>27.199999999999989</v>
      </c>
      <c r="J90" s="1198">
        <f t="shared" si="155"/>
        <v>19.949999999999989</v>
      </c>
      <c r="K90" s="2623">
        <f t="shared" si="155"/>
        <v>12.699999999999989</v>
      </c>
      <c r="L90" s="1091">
        <f t="shared" si="155"/>
        <v>0</v>
      </c>
      <c r="M90" s="883">
        <f t="shared" si="155"/>
        <v>0</v>
      </c>
      <c r="N90" s="1198">
        <f t="shared" si="155"/>
        <v>0</v>
      </c>
      <c r="O90" s="1198">
        <f t="shared" si="155"/>
        <v>0</v>
      </c>
      <c r="P90" s="1198">
        <f t="shared" si="155"/>
        <v>0</v>
      </c>
      <c r="Q90" s="1198">
        <f t="shared" si="155"/>
        <v>0</v>
      </c>
      <c r="R90" s="2623">
        <f t="shared" si="155"/>
        <v>0</v>
      </c>
      <c r="S90" s="1091">
        <f t="shared" si="155"/>
        <v>4</v>
      </c>
      <c r="T90" s="1202">
        <f t="shared" si="155"/>
        <v>23</v>
      </c>
      <c r="U90" s="1198">
        <f t="shared" si="155"/>
        <v>21</v>
      </c>
      <c r="V90" s="1198">
        <f t="shared" si="155"/>
        <v>19</v>
      </c>
      <c r="W90" s="1198">
        <f t="shared" si="155"/>
        <v>17</v>
      </c>
      <c r="X90" s="1198">
        <f t="shared" si="155"/>
        <v>15</v>
      </c>
      <c r="Y90" s="1203">
        <f t="shared" si="155"/>
        <v>13</v>
      </c>
      <c r="Z90" s="1091">
        <f t="shared" si="155"/>
        <v>0</v>
      </c>
      <c r="AA90" s="1202">
        <f t="shared" si="155"/>
        <v>0</v>
      </c>
      <c r="AB90" s="1198">
        <f t="shared" si="155"/>
        <v>0</v>
      </c>
      <c r="AC90" s="1198">
        <f t="shared" si="155"/>
        <v>0</v>
      </c>
      <c r="AD90" s="1198">
        <f t="shared" si="155"/>
        <v>0</v>
      </c>
      <c r="AE90" s="1198">
        <f t="shared" si="155"/>
        <v>0</v>
      </c>
      <c r="AF90" s="1203">
        <f t="shared" si="155"/>
        <v>0</v>
      </c>
      <c r="AG90" s="1091">
        <f t="shared" si="155"/>
        <v>0</v>
      </c>
      <c r="AH90" s="1202">
        <f t="shared" si="155"/>
        <v>0</v>
      </c>
      <c r="AI90" s="1198">
        <f t="shared" si="155"/>
        <v>0</v>
      </c>
      <c r="AJ90" s="1198">
        <f t="shared" si="155"/>
        <v>0</v>
      </c>
      <c r="AK90" s="1198">
        <f t="shared" si="155"/>
        <v>0</v>
      </c>
      <c r="AL90" s="1198">
        <f t="shared" si="155"/>
        <v>0</v>
      </c>
      <c r="AM90" s="1203">
        <f t="shared" si="155"/>
        <v>0</v>
      </c>
      <c r="AN90" s="2513"/>
      <c r="AO90" s="2551"/>
      <c r="AP90" s="4422"/>
      <c r="AQ90" s="4438">
        <f t="shared" si="111"/>
        <v>18.406507723063864</v>
      </c>
      <c r="AR90" s="4438">
        <f t="shared" si="112"/>
        <v>25.027737584554895</v>
      </c>
      <c r="AS90" s="4438">
        <f t="shared" si="113"/>
        <v>21.320871445882311</v>
      </c>
      <c r="AT90" s="4438">
        <f t="shared" si="114"/>
        <v>17.61400530720973</v>
      </c>
      <c r="AU90" s="4438">
        <f t="shared" si="115"/>
        <v>13.907139168537137</v>
      </c>
      <c r="AV90" s="4438">
        <f t="shared" si="116"/>
        <v>10.200273029864553</v>
      </c>
      <c r="AW90" s="4438">
        <f t="shared" si="117"/>
        <v>6.4934068911919693</v>
      </c>
      <c r="AX90" s="4438">
        <f t="shared" si="118"/>
        <v>0</v>
      </c>
      <c r="AY90" s="4438">
        <f t="shared" si="119"/>
        <v>0</v>
      </c>
      <c r="AZ90" s="4438">
        <f t="shared" si="120"/>
        <v>0</v>
      </c>
      <c r="BA90" s="4438">
        <f t="shared" si="121"/>
        <v>0</v>
      </c>
      <c r="BB90" s="4438">
        <f t="shared" si="122"/>
        <v>0</v>
      </c>
      <c r="BC90" s="4438">
        <f t="shared" si="123"/>
        <v>0</v>
      </c>
      <c r="BD90" s="4438">
        <f t="shared" si="124"/>
        <v>0</v>
      </c>
      <c r="BE90" s="4438">
        <f t="shared" si="125"/>
        <v>2.045167524784874</v>
      </c>
      <c r="BF90" s="4438">
        <f t="shared" si="126"/>
        <v>11.759713267513025</v>
      </c>
      <c r="BG90" s="4438">
        <f t="shared" si="127"/>
        <v>10.737129505120588</v>
      </c>
      <c r="BH90" s="4438">
        <f t="shared" si="128"/>
        <v>9.7145457427281521</v>
      </c>
      <c r="BI90" s="4438">
        <f t="shared" si="129"/>
        <v>8.691961980335714</v>
      </c>
      <c r="BJ90" s="4438">
        <f t="shared" si="130"/>
        <v>7.6693782179432777</v>
      </c>
      <c r="BK90" s="4438">
        <f t="shared" si="131"/>
        <v>6.6467944555508405</v>
      </c>
      <c r="BL90" s="4438">
        <f t="shared" si="132"/>
        <v>0</v>
      </c>
      <c r="BM90" s="4438">
        <f t="shared" si="133"/>
        <v>0</v>
      </c>
      <c r="BN90" s="4438">
        <f t="shared" si="134"/>
        <v>0</v>
      </c>
      <c r="BO90" s="4438">
        <f t="shared" si="135"/>
        <v>0</v>
      </c>
      <c r="BP90" s="4438">
        <f t="shared" si="136"/>
        <v>0</v>
      </c>
      <c r="BQ90" s="4438">
        <f t="shared" si="137"/>
        <v>0</v>
      </c>
      <c r="BR90" s="4438">
        <f t="shared" si="138"/>
        <v>0</v>
      </c>
      <c r="BS90" s="4438">
        <f t="shared" si="139"/>
        <v>0</v>
      </c>
      <c r="BT90" s="4438">
        <f t="shared" si="140"/>
        <v>0</v>
      </c>
      <c r="BU90" s="4438">
        <f t="shared" si="141"/>
        <v>0</v>
      </c>
      <c r="BV90" s="4438">
        <f t="shared" si="142"/>
        <v>0</v>
      </c>
      <c r="BW90" s="4438">
        <f t="shared" si="143"/>
        <v>0</v>
      </c>
      <c r="BX90" s="4438">
        <f t="shared" si="144"/>
        <v>0</v>
      </c>
      <c r="BY90" s="4438">
        <f t="shared" si="145"/>
        <v>0</v>
      </c>
    </row>
    <row r="91" spans="1:77" ht="18.75" customHeight="1">
      <c r="A91" s="2515"/>
      <c r="B91" s="2516">
        <v>20303</v>
      </c>
      <c r="C91" s="2522">
        <v>0.1</v>
      </c>
      <c r="D91" s="2550" t="s">
        <v>406</v>
      </c>
      <c r="E91" s="1091">
        <f t="shared" si="154"/>
        <v>1676</v>
      </c>
      <c r="F91" s="883">
        <f t="shared" si="155"/>
        <v>1690.15</v>
      </c>
      <c r="G91" s="1198">
        <f t="shared" si="155"/>
        <v>1519.5</v>
      </c>
      <c r="H91" s="1198">
        <f t="shared" si="155"/>
        <v>1348.85</v>
      </c>
      <c r="I91" s="1198">
        <f t="shared" si="155"/>
        <v>1179.2999999999997</v>
      </c>
      <c r="J91" s="1198">
        <f t="shared" si="155"/>
        <v>1013.5499999999997</v>
      </c>
      <c r="K91" s="2623">
        <f t="shared" si="155"/>
        <v>847.79999999999973</v>
      </c>
      <c r="L91" s="1091">
        <f t="shared" si="155"/>
        <v>0</v>
      </c>
      <c r="M91" s="883">
        <f t="shared" si="155"/>
        <v>190</v>
      </c>
      <c r="N91" s="1198">
        <f t="shared" si="155"/>
        <v>170</v>
      </c>
      <c r="O91" s="1198">
        <f t="shared" si="155"/>
        <v>150</v>
      </c>
      <c r="P91" s="1198">
        <f t="shared" si="155"/>
        <v>130</v>
      </c>
      <c r="Q91" s="1198">
        <f t="shared" si="155"/>
        <v>110</v>
      </c>
      <c r="R91" s="2623">
        <f t="shared" si="155"/>
        <v>90</v>
      </c>
      <c r="S91" s="1091">
        <f t="shared" si="155"/>
        <v>-1</v>
      </c>
      <c r="T91" s="1202">
        <f t="shared" si="155"/>
        <v>-2</v>
      </c>
      <c r="U91" s="1198">
        <f t="shared" si="155"/>
        <v>-3</v>
      </c>
      <c r="V91" s="1198">
        <f t="shared" si="155"/>
        <v>-4</v>
      </c>
      <c r="W91" s="1198">
        <f t="shared" si="155"/>
        <v>-5</v>
      </c>
      <c r="X91" s="1198">
        <f t="shared" si="155"/>
        <v>-6</v>
      </c>
      <c r="Y91" s="1203">
        <f t="shared" si="155"/>
        <v>-7</v>
      </c>
      <c r="Z91" s="1091">
        <f t="shared" si="155"/>
        <v>0</v>
      </c>
      <c r="AA91" s="1202">
        <f t="shared" si="155"/>
        <v>0</v>
      </c>
      <c r="AB91" s="1198">
        <f t="shared" si="155"/>
        <v>0</v>
      </c>
      <c r="AC91" s="1198">
        <f t="shared" si="155"/>
        <v>0</v>
      </c>
      <c r="AD91" s="1198">
        <f t="shared" si="155"/>
        <v>0</v>
      </c>
      <c r="AE91" s="1198">
        <f t="shared" si="155"/>
        <v>0</v>
      </c>
      <c r="AF91" s="1203">
        <f t="shared" si="155"/>
        <v>0</v>
      </c>
      <c r="AG91" s="1091">
        <f t="shared" si="155"/>
        <v>0</v>
      </c>
      <c r="AH91" s="1202">
        <f t="shared" si="155"/>
        <v>0</v>
      </c>
      <c r="AI91" s="1198">
        <f t="shared" si="155"/>
        <v>0</v>
      </c>
      <c r="AJ91" s="1198">
        <f t="shared" si="155"/>
        <v>0</v>
      </c>
      <c r="AK91" s="1198">
        <f t="shared" si="155"/>
        <v>0</v>
      </c>
      <c r="AL91" s="1198">
        <f t="shared" si="155"/>
        <v>0</v>
      </c>
      <c r="AM91" s="1203">
        <f t="shared" si="155"/>
        <v>0</v>
      </c>
      <c r="AN91" s="2513"/>
      <c r="AO91" s="2551"/>
      <c r="AP91" s="4422"/>
      <c r="AQ91" s="4438">
        <f t="shared" si="111"/>
        <v>856.92519288486221</v>
      </c>
      <c r="AR91" s="4438">
        <f t="shared" si="112"/>
        <v>864.15997300378876</v>
      </c>
      <c r="AS91" s="4438">
        <f t="shared" si="113"/>
        <v>776.90801347765398</v>
      </c>
      <c r="AT91" s="4438">
        <f t="shared" si="114"/>
        <v>689.65605395151931</v>
      </c>
      <c r="AU91" s="4438">
        <f t="shared" si="115"/>
        <v>602.96651549470039</v>
      </c>
      <c r="AV91" s="4438">
        <f t="shared" si="116"/>
        <v>518.21988618642706</v>
      </c>
      <c r="AW91" s="4438">
        <f t="shared" si="117"/>
        <v>433.4732568781539</v>
      </c>
      <c r="AX91" s="4438">
        <f t="shared" si="118"/>
        <v>0</v>
      </c>
      <c r="AY91" s="4438">
        <f t="shared" si="119"/>
        <v>97.145457427281514</v>
      </c>
      <c r="AZ91" s="4438">
        <f t="shared" si="120"/>
        <v>86.919619803357151</v>
      </c>
      <c r="BA91" s="4438">
        <f t="shared" si="121"/>
        <v>76.693782179432773</v>
      </c>
      <c r="BB91" s="4438">
        <f t="shared" si="122"/>
        <v>66.46794455550841</v>
      </c>
      <c r="BC91" s="4438">
        <f t="shared" si="123"/>
        <v>56.242106931584033</v>
      </c>
      <c r="BD91" s="4438">
        <f t="shared" si="124"/>
        <v>46.016269307659663</v>
      </c>
      <c r="BE91" s="4438">
        <f t="shared" si="125"/>
        <v>-0.51129188119621849</v>
      </c>
      <c r="BF91" s="4438">
        <f t="shared" si="126"/>
        <v>-1.022583762392437</v>
      </c>
      <c r="BG91" s="4438">
        <f t="shared" si="127"/>
        <v>-1.5338756435886556</v>
      </c>
      <c r="BH91" s="4438">
        <f t="shared" si="128"/>
        <v>-2.045167524784874</v>
      </c>
      <c r="BI91" s="4438">
        <f t="shared" si="129"/>
        <v>-2.5564594059810926</v>
      </c>
      <c r="BJ91" s="4438">
        <f t="shared" si="130"/>
        <v>-3.0677512871773112</v>
      </c>
      <c r="BK91" s="4438">
        <f t="shared" si="131"/>
        <v>-3.5790431683735293</v>
      </c>
      <c r="BL91" s="4438">
        <f t="shared" si="132"/>
        <v>0</v>
      </c>
      <c r="BM91" s="4438">
        <f t="shared" si="133"/>
        <v>0</v>
      </c>
      <c r="BN91" s="4438">
        <f t="shared" si="134"/>
        <v>0</v>
      </c>
      <c r="BO91" s="4438">
        <f t="shared" si="135"/>
        <v>0</v>
      </c>
      <c r="BP91" s="4438">
        <f t="shared" si="136"/>
        <v>0</v>
      </c>
      <c r="BQ91" s="4438">
        <f t="shared" si="137"/>
        <v>0</v>
      </c>
      <c r="BR91" s="4438">
        <f t="shared" si="138"/>
        <v>0</v>
      </c>
      <c r="BS91" s="4438">
        <f t="shared" si="139"/>
        <v>0</v>
      </c>
      <c r="BT91" s="4438">
        <f t="shared" si="140"/>
        <v>0</v>
      </c>
      <c r="BU91" s="4438">
        <f t="shared" si="141"/>
        <v>0</v>
      </c>
      <c r="BV91" s="4438">
        <f t="shared" si="142"/>
        <v>0</v>
      </c>
      <c r="BW91" s="4438">
        <f t="shared" si="143"/>
        <v>0</v>
      </c>
      <c r="BX91" s="4438">
        <f t="shared" si="144"/>
        <v>0</v>
      </c>
      <c r="BY91" s="4438">
        <f t="shared" si="145"/>
        <v>0</v>
      </c>
    </row>
    <row r="92" spans="1:77">
      <c r="A92" s="2515"/>
      <c r="B92" s="2516">
        <v>20306</v>
      </c>
      <c r="C92" s="2522">
        <v>0.1</v>
      </c>
      <c r="D92" s="2550" t="s">
        <v>409</v>
      </c>
      <c r="E92" s="1091">
        <f t="shared" si="154"/>
        <v>91</v>
      </c>
      <c r="F92" s="883">
        <f t="shared" si="155"/>
        <v>82.949999999999989</v>
      </c>
      <c r="G92" s="1198">
        <f t="shared" si="155"/>
        <v>87.571649837359359</v>
      </c>
      <c r="H92" s="1198">
        <f t="shared" si="155"/>
        <v>74.975623127137169</v>
      </c>
      <c r="I92" s="1198">
        <f t="shared" si="155"/>
        <v>62.096498803742406</v>
      </c>
      <c r="J92" s="1198">
        <f t="shared" si="155"/>
        <v>48.598201579785609</v>
      </c>
      <c r="K92" s="2623">
        <f t="shared" si="155"/>
        <v>34.887139117580034</v>
      </c>
      <c r="L92" s="1091">
        <f t="shared" si="155"/>
        <v>2</v>
      </c>
      <c r="M92" s="883">
        <f t="shared" si="155"/>
        <v>2</v>
      </c>
      <c r="N92" s="1198">
        <f t="shared" si="155"/>
        <v>23.102662866748883</v>
      </c>
      <c r="O92" s="1198">
        <f t="shared" si="155"/>
        <v>24.745507447893633</v>
      </c>
      <c r="P92" s="1198">
        <f t="shared" si="155"/>
        <v>26.346500114438349</v>
      </c>
      <c r="Q92" s="1198">
        <f t="shared" si="155"/>
        <v>27.903700697359135</v>
      </c>
      <c r="R92" s="2623">
        <f t="shared" si="155"/>
        <v>29.427302201715978</v>
      </c>
      <c r="S92" s="1091">
        <f t="shared" si="155"/>
        <v>7</v>
      </c>
      <c r="T92" s="1202">
        <f t="shared" si="155"/>
        <v>8.15</v>
      </c>
      <c r="U92" s="1198">
        <f t="shared" si="155"/>
        <v>25.675687295891777</v>
      </c>
      <c r="V92" s="1198">
        <f t="shared" si="155"/>
        <v>27.62886942496921</v>
      </c>
      <c r="W92" s="1198">
        <f t="shared" si="155"/>
        <v>29.307001081819287</v>
      </c>
      <c r="X92" s="1198">
        <f t="shared" si="155"/>
        <v>30.848097722855318</v>
      </c>
      <c r="Y92" s="1203">
        <f t="shared" si="155"/>
        <v>32.335558680704054</v>
      </c>
      <c r="Z92" s="1091">
        <f t="shared" si="155"/>
        <v>0</v>
      </c>
      <c r="AA92" s="1202">
        <f t="shared" si="155"/>
        <v>0</v>
      </c>
      <c r="AB92" s="1198">
        <f t="shared" si="155"/>
        <v>0</v>
      </c>
      <c r="AC92" s="1198">
        <f t="shared" si="155"/>
        <v>0</v>
      </c>
      <c r="AD92" s="1198">
        <f t="shared" si="155"/>
        <v>0</v>
      </c>
      <c r="AE92" s="1198">
        <f t="shared" si="155"/>
        <v>0</v>
      </c>
      <c r="AF92" s="1203">
        <f t="shared" si="155"/>
        <v>0</v>
      </c>
      <c r="AG92" s="1091">
        <f t="shared" si="155"/>
        <v>0</v>
      </c>
      <c r="AH92" s="1202">
        <f t="shared" si="155"/>
        <v>0</v>
      </c>
      <c r="AI92" s="1198">
        <f t="shared" si="155"/>
        <v>0</v>
      </c>
      <c r="AJ92" s="1198">
        <f t="shared" si="155"/>
        <v>0</v>
      </c>
      <c r="AK92" s="1198">
        <f t="shared" si="155"/>
        <v>0</v>
      </c>
      <c r="AL92" s="1198">
        <f t="shared" si="155"/>
        <v>0</v>
      </c>
      <c r="AM92" s="1203">
        <f t="shared" si="155"/>
        <v>0</v>
      </c>
      <c r="AN92" s="2513"/>
      <c r="AO92" s="2551"/>
      <c r="AP92" s="4422"/>
      <c r="AQ92" s="4438">
        <f t="shared" si="111"/>
        <v>46.527561188855884</v>
      </c>
      <c r="AR92" s="4438">
        <f t="shared" si="112"/>
        <v>42.411661545226316</v>
      </c>
      <c r="AS92" s="4438">
        <f t="shared" si="113"/>
        <v>44.774673584799991</v>
      </c>
      <c r="AT92" s="4438">
        <f t="shared" si="114"/>
        <v>38.334427392532668</v>
      </c>
      <c r="AU92" s="4438">
        <f t="shared" si="115"/>
        <v>31.749435689064185</v>
      </c>
      <c r="AV92" s="4438">
        <f t="shared" si="116"/>
        <v>24.847865908481623</v>
      </c>
      <c r="AW92" s="4438">
        <f t="shared" si="117"/>
        <v>17.837510988981677</v>
      </c>
      <c r="AX92" s="4438">
        <f t="shared" si="118"/>
        <v>1.022583762392437</v>
      </c>
      <c r="AY92" s="4438">
        <f t="shared" si="119"/>
        <v>1.022583762392437</v>
      </c>
      <c r="AZ92" s="4438">
        <f t="shared" si="120"/>
        <v>11.812203957782058</v>
      </c>
      <c r="BA92" s="4438">
        <f t="shared" si="121"/>
        <v>12.652177054188572</v>
      </c>
      <c r="BB92" s="4438">
        <f t="shared" si="122"/>
        <v>13.470751606447569</v>
      </c>
      <c r="BC92" s="4438">
        <f t="shared" si="123"/>
        <v>14.266935621888987</v>
      </c>
      <c r="BD92" s="4438">
        <f t="shared" si="124"/>
        <v>15.045940701244986</v>
      </c>
      <c r="BE92" s="4438">
        <f t="shared" si="125"/>
        <v>3.5790431683735293</v>
      </c>
      <c r="BF92" s="4438">
        <f t="shared" si="126"/>
        <v>4.1670288317491808</v>
      </c>
      <c r="BG92" s="4438">
        <f t="shared" si="127"/>
        <v>13.127770458522354</v>
      </c>
      <c r="BH92" s="4438">
        <f t="shared" si="128"/>
        <v>14.126416623617191</v>
      </c>
      <c r="BI92" s="4438">
        <f t="shared" si="129"/>
        <v>14.984431715342994</v>
      </c>
      <c r="BJ92" s="4438">
        <f t="shared" si="130"/>
        <v>15.77238191604348</v>
      </c>
      <c r="BK92" s="4438">
        <f t="shared" si="131"/>
        <v>16.53290862738789</v>
      </c>
      <c r="BL92" s="4438">
        <f t="shared" si="132"/>
        <v>0</v>
      </c>
      <c r="BM92" s="4438">
        <f t="shared" si="133"/>
        <v>0</v>
      </c>
      <c r="BN92" s="4438">
        <f t="shared" si="134"/>
        <v>0</v>
      </c>
      <c r="BO92" s="4438">
        <f t="shared" si="135"/>
        <v>0</v>
      </c>
      <c r="BP92" s="4438">
        <f t="shared" si="136"/>
        <v>0</v>
      </c>
      <c r="BQ92" s="4438">
        <f t="shared" si="137"/>
        <v>0</v>
      </c>
      <c r="BR92" s="4438">
        <f t="shared" si="138"/>
        <v>0</v>
      </c>
      <c r="BS92" s="4438">
        <f t="shared" si="139"/>
        <v>0</v>
      </c>
      <c r="BT92" s="4438">
        <f t="shared" si="140"/>
        <v>0</v>
      </c>
      <c r="BU92" s="4438">
        <f t="shared" si="141"/>
        <v>0</v>
      </c>
      <c r="BV92" s="4438">
        <f t="shared" si="142"/>
        <v>0</v>
      </c>
      <c r="BW92" s="4438">
        <f t="shared" si="143"/>
        <v>0</v>
      </c>
      <c r="BX92" s="4438">
        <f t="shared" si="144"/>
        <v>0</v>
      </c>
      <c r="BY92" s="4438">
        <f t="shared" si="145"/>
        <v>0</v>
      </c>
    </row>
    <row r="93" spans="1:77">
      <c r="A93" s="2515">
        <v>4</v>
      </c>
      <c r="B93" s="2516">
        <v>20403</v>
      </c>
      <c r="C93" s="2522">
        <v>0.04</v>
      </c>
      <c r="D93" s="2552" t="s">
        <v>434</v>
      </c>
      <c r="E93" s="1091">
        <f t="shared" si="154"/>
        <v>0</v>
      </c>
      <c r="F93" s="883">
        <f t="shared" si="155"/>
        <v>0</v>
      </c>
      <c r="G93" s="1198">
        <f t="shared" si="155"/>
        <v>0</v>
      </c>
      <c r="H93" s="1198">
        <f t="shared" si="155"/>
        <v>0</v>
      </c>
      <c r="I93" s="1198">
        <f t="shared" si="155"/>
        <v>0</v>
      </c>
      <c r="J93" s="1198">
        <f t="shared" si="155"/>
        <v>1.4399999999999977</v>
      </c>
      <c r="K93" s="2623">
        <f t="shared" si="155"/>
        <v>2.8799999999999955</v>
      </c>
      <c r="L93" s="1091">
        <f t="shared" si="155"/>
        <v>0</v>
      </c>
      <c r="M93" s="883">
        <f t="shared" si="155"/>
        <v>0</v>
      </c>
      <c r="N93" s="1198">
        <f t="shared" si="155"/>
        <v>0</v>
      </c>
      <c r="O93" s="1198">
        <f t="shared" si="155"/>
        <v>0</v>
      </c>
      <c r="P93" s="1198">
        <f t="shared" si="155"/>
        <v>0</v>
      </c>
      <c r="Q93" s="1198">
        <f t="shared" si="155"/>
        <v>0</v>
      </c>
      <c r="R93" s="2623">
        <f t="shared" si="155"/>
        <v>0</v>
      </c>
      <c r="S93" s="1091">
        <f t="shared" si="155"/>
        <v>1</v>
      </c>
      <c r="T93" s="1202">
        <f t="shared" si="155"/>
        <v>1</v>
      </c>
      <c r="U93" s="1198">
        <f t="shared" si="155"/>
        <v>1</v>
      </c>
      <c r="V93" s="1198">
        <f t="shared" si="155"/>
        <v>1</v>
      </c>
      <c r="W93" s="1198">
        <f t="shared" si="155"/>
        <v>1</v>
      </c>
      <c r="X93" s="1198">
        <f t="shared" si="155"/>
        <v>1</v>
      </c>
      <c r="Y93" s="1203">
        <f t="shared" si="155"/>
        <v>1</v>
      </c>
      <c r="Z93" s="1091">
        <f t="shared" si="155"/>
        <v>0</v>
      </c>
      <c r="AA93" s="1202">
        <f t="shared" si="155"/>
        <v>0</v>
      </c>
      <c r="AB93" s="1198">
        <f t="shared" si="155"/>
        <v>0</v>
      </c>
      <c r="AC93" s="1198">
        <f t="shared" si="155"/>
        <v>0</v>
      </c>
      <c r="AD93" s="1198">
        <f t="shared" si="155"/>
        <v>0</v>
      </c>
      <c r="AE93" s="1198">
        <f t="shared" si="155"/>
        <v>0</v>
      </c>
      <c r="AF93" s="1203">
        <f t="shared" si="155"/>
        <v>0</v>
      </c>
      <c r="AG93" s="1091">
        <f t="shared" si="155"/>
        <v>0</v>
      </c>
      <c r="AH93" s="1202">
        <f t="shared" si="155"/>
        <v>0</v>
      </c>
      <c r="AI93" s="1198">
        <f t="shared" si="155"/>
        <v>0</v>
      </c>
      <c r="AJ93" s="1198">
        <f t="shared" si="155"/>
        <v>0</v>
      </c>
      <c r="AK93" s="1198">
        <f t="shared" si="155"/>
        <v>0</v>
      </c>
      <c r="AL93" s="1198">
        <f t="shared" si="155"/>
        <v>0</v>
      </c>
      <c r="AM93" s="1203">
        <f t="shared" si="155"/>
        <v>0</v>
      </c>
      <c r="AN93" s="2513"/>
      <c r="AO93" s="2551"/>
      <c r="AP93" s="4422"/>
      <c r="AQ93" s="4438">
        <f t="shared" si="111"/>
        <v>0</v>
      </c>
      <c r="AR93" s="4438">
        <f t="shared" si="112"/>
        <v>0</v>
      </c>
      <c r="AS93" s="4438">
        <f t="shared" si="113"/>
        <v>0</v>
      </c>
      <c r="AT93" s="4438">
        <f t="shared" si="114"/>
        <v>0</v>
      </c>
      <c r="AU93" s="4438">
        <f t="shared" si="115"/>
        <v>0</v>
      </c>
      <c r="AV93" s="4438">
        <f t="shared" si="116"/>
        <v>0.73626030892255345</v>
      </c>
      <c r="AW93" s="4438">
        <f t="shared" si="117"/>
        <v>1.4725206178451069</v>
      </c>
      <c r="AX93" s="4438">
        <f t="shared" si="118"/>
        <v>0</v>
      </c>
      <c r="AY93" s="4438">
        <f t="shared" si="119"/>
        <v>0</v>
      </c>
      <c r="AZ93" s="4438">
        <f t="shared" si="120"/>
        <v>0</v>
      </c>
      <c r="BA93" s="4438">
        <f t="shared" si="121"/>
        <v>0</v>
      </c>
      <c r="BB93" s="4438">
        <f t="shared" si="122"/>
        <v>0</v>
      </c>
      <c r="BC93" s="4438">
        <f t="shared" si="123"/>
        <v>0</v>
      </c>
      <c r="BD93" s="4438">
        <f t="shared" si="124"/>
        <v>0</v>
      </c>
      <c r="BE93" s="4438">
        <f t="shared" si="125"/>
        <v>0.51129188119621849</v>
      </c>
      <c r="BF93" s="4438">
        <f t="shared" si="126"/>
        <v>0.51129188119621849</v>
      </c>
      <c r="BG93" s="4438">
        <f t="shared" si="127"/>
        <v>0.51129188119621849</v>
      </c>
      <c r="BH93" s="4438">
        <f t="shared" si="128"/>
        <v>0.51129188119621849</v>
      </c>
      <c r="BI93" s="4438">
        <f t="shared" si="129"/>
        <v>0.51129188119621849</v>
      </c>
      <c r="BJ93" s="4438">
        <f t="shared" si="130"/>
        <v>0.51129188119621849</v>
      </c>
      <c r="BK93" s="4438">
        <f t="shared" si="131"/>
        <v>0.51129188119621849</v>
      </c>
      <c r="BL93" s="4438">
        <f t="shared" si="132"/>
        <v>0</v>
      </c>
      <c r="BM93" s="4438">
        <f t="shared" si="133"/>
        <v>0</v>
      </c>
      <c r="BN93" s="4438">
        <f t="shared" si="134"/>
        <v>0</v>
      </c>
      <c r="BO93" s="4438">
        <f t="shared" si="135"/>
        <v>0</v>
      </c>
      <c r="BP93" s="4438">
        <f t="shared" si="136"/>
        <v>0</v>
      </c>
      <c r="BQ93" s="4438">
        <f t="shared" si="137"/>
        <v>0</v>
      </c>
      <c r="BR93" s="4438">
        <f t="shared" si="138"/>
        <v>0</v>
      </c>
      <c r="BS93" s="4438">
        <f t="shared" si="139"/>
        <v>0</v>
      </c>
      <c r="BT93" s="4438">
        <f t="shared" si="140"/>
        <v>0</v>
      </c>
      <c r="BU93" s="4438">
        <f t="shared" si="141"/>
        <v>0</v>
      </c>
      <c r="BV93" s="4438">
        <f t="shared" si="142"/>
        <v>0</v>
      </c>
      <c r="BW93" s="4438">
        <f t="shared" si="143"/>
        <v>0</v>
      </c>
      <c r="BX93" s="4438">
        <f t="shared" si="144"/>
        <v>0</v>
      </c>
      <c r="BY93" s="4438">
        <f t="shared" si="145"/>
        <v>0</v>
      </c>
    </row>
    <row r="94" spans="1:77">
      <c r="A94" s="2515">
        <v>5</v>
      </c>
      <c r="B94" s="2516">
        <v>205</v>
      </c>
      <c r="C94" s="2522"/>
      <c r="D94" s="2547" t="s">
        <v>212</v>
      </c>
      <c r="E94" s="2619">
        <f>SUM(E95:E98)</f>
        <v>1527</v>
      </c>
      <c r="F94" s="2607">
        <f>SUM(F95:F98)</f>
        <v>1440.841015625</v>
      </c>
      <c r="G94" s="2608">
        <f>SUM(G95:G98)</f>
        <v>2212.5859022333311</v>
      </c>
      <c r="H94" s="2608">
        <f t="shared" ref="H94:K94" si="156">SUM(H95:H98)</f>
        <v>2474.3623794033902</v>
      </c>
      <c r="I94" s="2608">
        <f t="shared" si="156"/>
        <v>2693.8120143310534</v>
      </c>
      <c r="J94" s="2608">
        <f t="shared" si="156"/>
        <v>2871.0672346499755</v>
      </c>
      <c r="K94" s="2627">
        <f t="shared" si="156"/>
        <v>3026.6962238615038</v>
      </c>
      <c r="L94" s="2619">
        <f>SUM(L95:L98)</f>
        <v>43</v>
      </c>
      <c r="M94" s="2607">
        <f>SUM(M95:M98)</f>
        <v>52.197656249999994</v>
      </c>
      <c r="N94" s="2608">
        <f>SUM(N95:N98)</f>
        <v>40.785576476508169</v>
      </c>
      <c r="O94" s="2608">
        <f t="shared" ref="O94:R94" si="157">SUM(O95:O98)</f>
        <v>29.457249063075587</v>
      </c>
      <c r="P94" s="2608">
        <f t="shared" si="157"/>
        <v>87.43001490917311</v>
      </c>
      <c r="Q94" s="2608">
        <f t="shared" si="157"/>
        <v>146.05845350489406</v>
      </c>
      <c r="R94" s="2627">
        <f t="shared" si="157"/>
        <v>205.02324418552007</v>
      </c>
      <c r="S94" s="2619">
        <f>SUM(S95:S98)</f>
        <v>44</v>
      </c>
      <c r="T94" s="2620">
        <f>SUM(T95:T98)</f>
        <v>46.961328124999994</v>
      </c>
      <c r="U94" s="2608">
        <f>SUM(U95:U98)</f>
        <v>39.688521290160509</v>
      </c>
      <c r="V94" s="2608">
        <f t="shared" ref="V94:Y94" si="158">SUM(V95:V98)</f>
        <v>32.260371533534595</v>
      </c>
      <c r="W94" s="2608">
        <f t="shared" si="158"/>
        <v>24.757970759773087</v>
      </c>
      <c r="X94" s="2608">
        <f t="shared" si="158"/>
        <v>17.25431184513036</v>
      </c>
      <c r="Y94" s="2609">
        <f t="shared" si="158"/>
        <v>9.780531952975565</v>
      </c>
      <c r="Z94" s="2619">
        <f>SUM(Z95:Z98)</f>
        <v>0</v>
      </c>
      <c r="AA94" s="2620">
        <f>SUM(AA95:AA98)</f>
        <v>0</v>
      </c>
      <c r="AB94" s="2608">
        <f>SUM(AB95:AB98)</f>
        <v>0</v>
      </c>
      <c r="AC94" s="2608">
        <f t="shared" ref="AC94:AF94" si="159">SUM(AC95:AC98)</f>
        <v>0</v>
      </c>
      <c r="AD94" s="2608">
        <f t="shared" si="159"/>
        <v>0</v>
      </c>
      <c r="AE94" s="2608">
        <f t="shared" si="159"/>
        <v>0</v>
      </c>
      <c r="AF94" s="2609">
        <f t="shared" si="159"/>
        <v>0</v>
      </c>
      <c r="AG94" s="2619">
        <f>SUM(AG95:AG98)</f>
        <v>0</v>
      </c>
      <c r="AH94" s="2620">
        <f>SUM(AH95:AH98)</f>
        <v>0</v>
      </c>
      <c r="AI94" s="2608">
        <f>SUM(AI95:AI98)</f>
        <v>0</v>
      </c>
      <c r="AJ94" s="2608">
        <f t="shared" ref="AJ94:AM94" si="160">SUM(AJ95:AJ98)</f>
        <v>0</v>
      </c>
      <c r="AK94" s="2608">
        <f t="shared" si="160"/>
        <v>0</v>
      </c>
      <c r="AL94" s="2608">
        <f t="shared" si="160"/>
        <v>0</v>
      </c>
      <c r="AM94" s="2609">
        <f t="shared" si="160"/>
        <v>0</v>
      </c>
      <c r="AN94" s="2513"/>
      <c r="AO94" s="2551"/>
      <c r="AP94" s="4422"/>
      <c r="AQ94" s="4438">
        <f t="shared" si="111"/>
        <v>780.74270258662568</v>
      </c>
      <c r="AR94" s="4438">
        <f t="shared" si="112"/>
        <v>736.69031338357627</v>
      </c>
      <c r="AS94" s="4438">
        <f t="shared" si="113"/>
        <v>1131.2772082611123</v>
      </c>
      <c r="AT94" s="4438">
        <f t="shared" si="114"/>
        <v>1265.1213957263108</v>
      </c>
      <c r="AU94" s="4438">
        <f t="shared" si="115"/>
        <v>1377.3242123962991</v>
      </c>
      <c r="AV94" s="4438">
        <f t="shared" si="116"/>
        <v>1467.9533674450108</v>
      </c>
      <c r="AW94" s="4438">
        <f t="shared" si="117"/>
        <v>1547.5252061076392</v>
      </c>
      <c r="AX94" s="4438">
        <f t="shared" si="118"/>
        <v>21.985550891437395</v>
      </c>
      <c r="AY94" s="4438">
        <f t="shared" si="119"/>
        <v>26.688237858096048</v>
      </c>
      <c r="AZ94" s="4438">
        <f t="shared" si="120"/>
        <v>20.853334122346098</v>
      </c>
      <c r="BA94" s="4438">
        <f t="shared" si="121"/>
        <v>15.061252288325461</v>
      </c>
      <c r="BB94" s="4438">
        <f t="shared" si="122"/>
        <v>44.702256795924548</v>
      </c>
      <c r="BC94" s="4438">
        <f t="shared" si="123"/>
        <v>74.678501457127695</v>
      </c>
      <c r="BD94" s="4438">
        <f t="shared" si="124"/>
        <v>104.82672020856623</v>
      </c>
      <c r="BE94" s="4438">
        <f t="shared" si="125"/>
        <v>22.496842772633613</v>
      </c>
      <c r="BF94" s="4438">
        <f t="shared" si="126"/>
        <v>24.010945800504132</v>
      </c>
      <c r="BG94" s="4438">
        <f t="shared" si="127"/>
        <v>20.292418712342336</v>
      </c>
      <c r="BH94" s="4438">
        <f t="shared" si="128"/>
        <v>16.494466049469839</v>
      </c>
      <c r="BI94" s="4438">
        <f t="shared" si="129"/>
        <v>12.658549444365352</v>
      </c>
      <c r="BJ94" s="4438">
        <f t="shared" si="130"/>
        <v>8.8219895620428979</v>
      </c>
      <c r="BK94" s="4438">
        <f t="shared" si="131"/>
        <v>5.0007065813366012</v>
      </c>
      <c r="BL94" s="4438">
        <f t="shared" si="132"/>
        <v>0</v>
      </c>
      <c r="BM94" s="4438">
        <f t="shared" si="133"/>
        <v>0</v>
      </c>
      <c r="BN94" s="4438">
        <f t="shared" si="134"/>
        <v>0</v>
      </c>
      <c r="BO94" s="4438">
        <f t="shared" si="135"/>
        <v>0</v>
      </c>
      <c r="BP94" s="4438">
        <f t="shared" si="136"/>
        <v>0</v>
      </c>
      <c r="BQ94" s="4438">
        <f t="shared" si="137"/>
        <v>0</v>
      </c>
      <c r="BR94" s="4438">
        <f t="shared" si="138"/>
        <v>0</v>
      </c>
      <c r="BS94" s="4438">
        <f t="shared" si="139"/>
        <v>0</v>
      </c>
      <c r="BT94" s="4438">
        <f t="shared" si="140"/>
        <v>0</v>
      </c>
      <c r="BU94" s="4438">
        <f t="shared" si="141"/>
        <v>0</v>
      </c>
      <c r="BV94" s="4438">
        <f t="shared" si="142"/>
        <v>0</v>
      </c>
      <c r="BW94" s="4438">
        <f t="shared" si="143"/>
        <v>0</v>
      </c>
      <c r="BX94" s="4438">
        <f t="shared" si="144"/>
        <v>0</v>
      </c>
      <c r="BY94" s="4438">
        <f t="shared" si="145"/>
        <v>0</v>
      </c>
    </row>
    <row r="95" spans="1:77">
      <c r="A95" s="2526"/>
      <c r="B95" s="2527">
        <v>20501</v>
      </c>
      <c r="C95" s="2522">
        <v>0.08</v>
      </c>
      <c r="D95" s="2553" t="s">
        <v>410</v>
      </c>
      <c r="E95" s="1091">
        <f t="shared" ref="E95:E100" si="161">E20-E70</f>
        <v>645</v>
      </c>
      <c r="F95" s="883">
        <f t="shared" ref="F95:AM102" si="162">F20-F70</f>
        <v>630</v>
      </c>
      <c r="G95" s="1198">
        <f t="shared" si="162"/>
        <v>1515.56</v>
      </c>
      <c r="H95" s="1198">
        <f t="shared" si="162"/>
        <v>1887.28</v>
      </c>
      <c r="I95" s="1198">
        <f t="shared" si="162"/>
        <v>2216.12</v>
      </c>
      <c r="J95" s="1198">
        <f t="shared" si="162"/>
        <v>2502.08</v>
      </c>
      <c r="K95" s="2623">
        <f t="shared" si="162"/>
        <v>2745.16</v>
      </c>
      <c r="L95" s="1091">
        <f t="shared" ref="L95:L101" si="163">L20-L70</f>
        <v>21</v>
      </c>
      <c r="M95" s="883">
        <f t="shared" si="162"/>
        <v>14</v>
      </c>
      <c r="N95" s="1198">
        <f t="shared" si="162"/>
        <v>7</v>
      </c>
      <c r="O95" s="1198">
        <f t="shared" si="162"/>
        <v>0</v>
      </c>
      <c r="P95" s="1198">
        <f t="shared" si="162"/>
        <v>62.279999999999973</v>
      </c>
      <c r="Q95" s="1198">
        <f t="shared" si="162"/>
        <v>125.20000000000005</v>
      </c>
      <c r="R95" s="2623">
        <f t="shared" si="162"/>
        <v>188.44000000000005</v>
      </c>
      <c r="S95" s="1091">
        <f t="shared" ref="S95:S101" si="164">S20-S70</f>
        <v>0</v>
      </c>
      <c r="T95" s="1202">
        <f t="shared" si="162"/>
        <v>0</v>
      </c>
      <c r="U95" s="1198">
        <f t="shared" si="162"/>
        <v>0</v>
      </c>
      <c r="V95" s="1198">
        <f t="shared" si="162"/>
        <v>0</v>
      </c>
      <c r="W95" s="1198">
        <f t="shared" si="162"/>
        <v>0</v>
      </c>
      <c r="X95" s="1198">
        <f t="shared" si="162"/>
        <v>0</v>
      </c>
      <c r="Y95" s="1203">
        <f t="shared" si="162"/>
        <v>0</v>
      </c>
      <c r="Z95" s="1091">
        <f t="shared" ref="Z95:Z101" si="165">Z20-Z70</f>
        <v>0</v>
      </c>
      <c r="AA95" s="1202">
        <f t="shared" si="162"/>
        <v>0</v>
      </c>
      <c r="AB95" s="1198">
        <f t="shared" si="162"/>
        <v>0</v>
      </c>
      <c r="AC95" s="1198">
        <f t="shared" si="162"/>
        <v>0</v>
      </c>
      <c r="AD95" s="1198">
        <f t="shared" si="162"/>
        <v>0</v>
      </c>
      <c r="AE95" s="1198">
        <f t="shared" si="162"/>
        <v>0</v>
      </c>
      <c r="AF95" s="1203">
        <f t="shared" si="162"/>
        <v>0</v>
      </c>
      <c r="AG95" s="1091">
        <f t="shared" ref="AG95:AG101" si="166">AG20-AG70</f>
        <v>0</v>
      </c>
      <c r="AH95" s="1202">
        <f t="shared" si="162"/>
        <v>0</v>
      </c>
      <c r="AI95" s="1198">
        <f t="shared" si="162"/>
        <v>0</v>
      </c>
      <c r="AJ95" s="1198">
        <f t="shared" si="162"/>
        <v>0</v>
      </c>
      <c r="AK95" s="1198">
        <f t="shared" si="162"/>
        <v>0</v>
      </c>
      <c r="AL95" s="1198">
        <f t="shared" si="162"/>
        <v>0</v>
      </c>
      <c r="AM95" s="1203">
        <f t="shared" si="162"/>
        <v>0</v>
      </c>
      <c r="AN95" s="2513"/>
      <c r="AO95" s="2551"/>
      <c r="AP95" s="4422"/>
      <c r="AQ95" s="4438">
        <f t="shared" si="111"/>
        <v>329.78326337156091</v>
      </c>
      <c r="AR95" s="4438">
        <f t="shared" si="112"/>
        <v>322.11388515361767</v>
      </c>
      <c r="AS95" s="4438">
        <f t="shared" si="113"/>
        <v>774.89352346574083</v>
      </c>
      <c r="AT95" s="4438">
        <f t="shared" si="114"/>
        <v>964.95094154399919</v>
      </c>
      <c r="AU95" s="4438">
        <f t="shared" si="115"/>
        <v>1133.0841637565636</v>
      </c>
      <c r="AV95" s="4438">
        <f t="shared" si="116"/>
        <v>1279.2931901034344</v>
      </c>
      <c r="AW95" s="4438">
        <f t="shared" si="117"/>
        <v>1403.5780205846111</v>
      </c>
      <c r="AX95" s="4438">
        <f t="shared" si="118"/>
        <v>10.737129505120588</v>
      </c>
      <c r="AY95" s="4438">
        <f t="shared" si="119"/>
        <v>7.1580863367470586</v>
      </c>
      <c r="AZ95" s="4438">
        <f t="shared" si="120"/>
        <v>3.5790431683735293</v>
      </c>
      <c r="BA95" s="4438">
        <f t="shared" si="121"/>
        <v>0</v>
      </c>
      <c r="BB95" s="4438">
        <f t="shared" si="122"/>
        <v>31.843258360900474</v>
      </c>
      <c r="BC95" s="4438">
        <f t="shared" si="123"/>
        <v>64.013743525766586</v>
      </c>
      <c r="BD95" s="4438">
        <f t="shared" si="124"/>
        <v>96.347842092615437</v>
      </c>
      <c r="BE95" s="4438">
        <f t="shared" si="125"/>
        <v>0</v>
      </c>
      <c r="BF95" s="4438">
        <f t="shared" si="126"/>
        <v>0</v>
      </c>
      <c r="BG95" s="4438">
        <f t="shared" si="127"/>
        <v>0</v>
      </c>
      <c r="BH95" s="4438">
        <f t="shared" si="128"/>
        <v>0</v>
      </c>
      <c r="BI95" s="4438">
        <f t="shared" si="129"/>
        <v>0</v>
      </c>
      <c r="BJ95" s="4438">
        <f t="shared" si="130"/>
        <v>0</v>
      </c>
      <c r="BK95" s="4438">
        <f t="shared" si="131"/>
        <v>0</v>
      </c>
      <c r="BL95" s="4438">
        <f t="shared" si="132"/>
        <v>0</v>
      </c>
      <c r="BM95" s="4438">
        <f t="shared" si="133"/>
        <v>0</v>
      </c>
      <c r="BN95" s="4438">
        <f t="shared" si="134"/>
        <v>0</v>
      </c>
      <c r="BO95" s="4438">
        <f t="shared" si="135"/>
        <v>0</v>
      </c>
      <c r="BP95" s="4438">
        <f t="shared" si="136"/>
        <v>0</v>
      </c>
      <c r="BQ95" s="4438">
        <f t="shared" si="137"/>
        <v>0</v>
      </c>
      <c r="BR95" s="4438">
        <f t="shared" si="138"/>
        <v>0</v>
      </c>
      <c r="BS95" s="4438">
        <f t="shared" si="139"/>
        <v>0</v>
      </c>
      <c r="BT95" s="4438">
        <f t="shared" si="140"/>
        <v>0</v>
      </c>
      <c r="BU95" s="4438">
        <f t="shared" si="141"/>
        <v>0</v>
      </c>
      <c r="BV95" s="4438">
        <f t="shared" si="142"/>
        <v>0</v>
      </c>
      <c r="BW95" s="4438">
        <f t="shared" si="143"/>
        <v>0</v>
      </c>
      <c r="BX95" s="4438">
        <f t="shared" si="144"/>
        <v>0</v>
      </c>
      <c r="BY95" s="4438">
        <f t="shared" si="145"/>
        <v>0</v>
      </c>
    </row>
    <row r="96" spans="1:77">
      <c r="A96" s="2526"/>
      <c r="B96" s="2527">
        <v>20502</v>
      </c>
      <c r="C96" s="2522">
        <v>0.1</v>
      </c>
      <c r="D96" s="2553" t="s">
        <v>411</v>
      </c>
      <c r="E96" s="1091">
        <f t="shared" si="161"/>
        <v>778</v>
      </c>
      <c r="F96" s="883">
        <f t="shared" si="162"/>
        <v>718.44700520833328</v>
      </c>
      <c r="G96" s="1198">
        <f t="shared" si="162"/>
        <v>623.67530074444369</v>
      </c>
      <c r="H96" s="1198">
        <f t="shared" si="162"/>
        <v>532.32745980112986</v>
      </c>
      <c r="I96" s="1198">
        <f t="shared" si="162"/>
        <v>441.09733811035119</v>
      </c>
      <c r="J96" s="1198">
        <f t="shared" si="162"/>
        <v>350.56241154999179</v>
      </c>
      <c r="K96" s="2623">
        <f t="shared" si="162"/>
        <v>260.01207462050138</v>
      </c>
      <c r="L96" s="1091">
        <f t="shared" si="163"/>
        <v>1</v>
      </c>
      <c r="M96" s="883">
        <f t="shared" si="162"/>
        <v>13.732552083333335</v>
      </c>
      <c r="N96" s="1198">
        <f t="shared" si="162"/>
        <v>12.59519215883606</v>
      </c>
      <c r="O96" s="1198">
        <f t="shared" si="162"/>
        <v>11.485749687691865</v>
      </c>
      <c r="P96" s="1198">
        <f t="shared" si="162"/>
        <v>10.38333830305772</v>
      </c>
      <c r="Q96" s="1198">
        <f t="shared" si="162"/>
        <v>9.2861511682980122</v>
      </c>
      <c r="R96" s="2623">
        <f t="shared" si="162"/>
        <v>8.1944147285066791</v>
      </c>
      <c r="S96" s="1091">
        <f t="shared" si="164"/>
        <v>3</v>
      </c>
      <c r="T96" s="1202">
        <f t="shared" si="162"/>
        <v>5.3204427083333314</v>
      </c>
      <c r="U96" s="1198">
        <f t="shared" si="162"/>
        <v>4.2295070967201696</v>
      </c>
      <c r="V96" s="1198">
        <f t="shared" si="162"/>
        <v>3.0867905111781937</v>
      </c>
      <c r="W96" s="1198">
        <f t="shared" si="162"/>
        <v>1.9193235865910196</v>
      </c>
      <c r="X96" s="1198">
        <f t="shared" si="162"/>
        <v>0.75143728171011048</v>
      </c>
      <c r="Y96" s="1203">
        <f t="shared" si="162"/>
        <v>-0.40648934900815448</v>
      </c>
      <c r="Z96" s="1091">
        <f t="shared" si="165"/>
        <v>0</v>
      </c>
      <c r="AA96" s="1202">
        <f t="shared" si="162"/>
        <v>0</v>
      </c>
      <c r="AB96" s="1198">
        <f t="shared" si="162"/>
        <v>0</v>
      </c>
      <c r="AC96" s="1198">
        <f t="shared" si="162"/>
        <v>0</v>
      </c>
      <c r="AD96" s="1198">
        <f t="shared" si="162"/>
        <v>0</v>
      </c>
      <c r="AE96" s="1198">
        <f t="shared" si="162"/>
        <v>0</v>
      </c>
      <c r="AF96" s="1203">
        <f t="shared" si="162"/>
        <v>0</v>
      </c>
      <c r="AG96" s="1091">
        <f t="shared" si="166"/>
        <v>0</v>
      </c>
      <c r="AH96" s="1202">
        <f t="shared" si="162"/>
        <v>0</v>
      </c>
      <c r="AI96" s="1198">
        <f t="shared" si="162"/>
        <v>0</v>
      </c>
      <c r="AJ96" s="1198">
        <f t="shared" si="162"/>
        <v>0</v>
      </c>
      <c r="AK96" s="1198">
        <f t="shared" si="162"/>
        <v>0</v>
      </c>
      <c r="AL96" s="1198">
        <f t="shared" si="162"/>
        <v>0</v>
      </c>
      <c r="AM96" s="1203">
        <f t="shared" si="162"/>
        <v>0</v>
      </c>
      <c r="AN96" s="2513"/>
      <c r="AO96" s="2551"/>
      <c r="AP96" s="4422"/>
      <c r="AQ96" s="4438">
        <f t="shared" si="111"/>
        <v>397.785083570658</v>
      </c>
      <c r="AR96" s="4438">
        <f t="shared" si="112"/>
        <v>367.33612083275813</v>
      </c>
      <c r="AS96" s="4438">
        <f t="shared" si="113"/>
        <v>318.88011777324397</v>
      </c>
      <c r="AT96" s="4438">
        <f t="shared" si="114"/>
        <v>272.17470833412409</v>
      </c>
      <c r="AU96" s="4438">
        <f t="shared" si="115"/>
        <v>225.52948779308591</v>
      </c>
      <c r="AV96" s="4438">
        <f t="shared" si="116"/>
        <v>179.23971487807825</v>
      </c>
      <c r="AW96" s="4438">
        <f t="shared" si="117"/>
        <v>132.94206276644769</v>
      </c>
      <c r="AX96" s="4438">
        <f t="shared" si="118"/>
        <v>0.51129188119621849</v>
      </c>
      <c r="AY96" s="4438">
        <f t="shared" si="119"/>
        <v>7.0213423883125508</v>
      </c>
      <c r="AZ96" s="4438">
        <f t="shared" si="120"/>
        <v>6.439819492919149</v>
      </c>
      <c r="BA96" s="4438">
        <f t="shared" si="121"/>
        <v>5.8725705647688526</v>
      </c>
      <c r="BB96" s="4438">
        <f t="shared" si="122"/>
        <v>5.3089165740671325</v>
      </c>
      <c r="BC96" s="4438">
        <f t="shared" si="123"/>
        <v>4.7479336999115525</v>
      </c>
      <c r="BD96" s="4438">
        <f t="shared" si="124"/>
        <v>4.1897377218401797</v>
      </c>
      <c r="BE96" s="4438">
        <f t="shared" si="125"/>
        <v>1.5338756435886556</v>
      </c>
      <c r="BF96" s="4438">
        <f t="shared" si="126"/>
        <v>2.7202991611404528</v>
      </c>
      <c r="BG96" s="4438">
        <f t="shared" si="127"/>
        <v>2.1625126400148118</v>
      </c>
      <c r="BH96" s="4438">
        <f t="shared" si="128"/>
        <v>1.5782509273189356</v>
      </c>
      <c r="BI96" s="4438">
        <f t="shared" si="129"/>
        <v>0.98133456721239565</v>
      </c>
      <c r="BJ96" s="4438">
        <f t="shared" si="130"/>
        <v>0.38420378136653516</v>
      </c>
      <c r="BK96" s="4438">
        <f t="shared" si="131"/>
        <v>-0.20783470394060552</v>
      </c>
      <c r="BL96" s="4438">
        <f t="shared" si="132"/>
        <v>0</v>
      </c>
      <c r="BM96" s="4438">
        <f t="shared" si="133"/>
        <v>0</v>
      </c>
      <c r="BN96" s="4438">
        <f t="shared" si="134"/>
        <v>0</v>
      </c>
      <c r="BO96" s="4438">
        <f t="shared" si="135"/>
        <v>0</v>
      </c>
      <c r="BP96" s="4438">
        <f t="shared" si="136"/>
        <v>0</v>
      </c>
      <c r="BQ96" s="4438">
        <f t="shared" si="137"/>
        <v>0</v>
      </c>
      <c r="BR96" s="4438">
        <f t="shared" si="138"/>
        <v>0</v>
      </c>
      <c r="BS96" s="4438">
        <f t="shared" si="139"/>
        <v>0</v>
      </c>
      <c r="BT96" s="4438">
        <f t="shared" si="140"/>
        <v>0</v>
      </c>
      <c r="BU96" s="4438">
        <f t="shared" si="141"/>
        <v>0</v>
      </c>
      <c r="BV96" s="4438">
        <f t="shared" si="142"/>
        <v>0</v>
      </c>
      <c r="BW96" s="4438">
        <f t="shared" si="143"/>
        <v>0</v>
      </c>
      <c r="BX96" s="4438">
        <f t="shared" si="144"/>
        <v>0</v>
      </c>
      <c r="BY96" s="4438">
        <f t="shared" si="145"/>
        <v>0</v>
      </c>
    </row>
    <row r="97" spans="1:77">
      <c r="A97" s="2526"/>
      <c r="B97" s="2527">
        <v>20503</v>
      </c>
      <c r="C97" s="2522">
        <v>0.1</v>
      </c>
      <c r="D97" s="2550" t="s">
        <v>412</v>
      </c>
      <c r="E97" s="1091">
        <f t="shared" si="161"/>
        <v>103</v>
      </c>
      <c r="F97" s="883">
        <f t="shared" si="162"/>
        <v>91.394010416666617</v>
      </c>
      <c r="G97" s="1198">
        <f t="shared" si="162"/>
        <v>72.350601488887492</v>
      </c>
      <c r="H97" s="1198">
        <f t="shared" si="162"/>
        <v>53.754919602259861</v>
      </c>
      <c r="I97" s="1198">
        <f t="shared" si="162"/>
        <v>35.594676220702468</v>
      </c>
      <c r="J97" s="1198">
        <f t="shared" si="162"/>
        <v>17.424823099983655</v>
      </c>
      <c r="K97" s="2623">
        <f t="shared" si="162"/>
        <v>20.524149241002874</v>
      </c>
      <c r="L97" s="1091">
        <f t="shared" si="163"/>
        <v>21</v>
      </c>
      <c r="M97" s="883">
        <f t="shared" si="162"/>
        <v>24.465104166666663</v>
      </c>
      <c r="N97" s="1198">
        <f t="shared" si="162"/>
        <v>21.190384317672113</v>
      </c>
      <c r="O97" s="1198">
        <f t="shared" si="162"/>
        <v>17.971499375383722</v>
      </c>
      <c r="P97" s="1198">
        <f t="shared" si="162"/>
        <v>14.766676606115432</v>
      </c>
      <c r="Q97" s="1198">
        <f t="shared" si="162"/>
        <v>11.57230233659601</v>
      </c>
      <c r="R97" s="2623">
        <f t="shared" si="162"/>
        <v>8.3888294570133368</v>
      </c>
      <c r="S97" s="1091">
        <f t="shared" si="164"/>
        <v>41</v>
      </c>
      <c r="T97" s="1202">
        <f t="shared" si="162"/>
        <v>41.640885416666663</v>
      </c>
      <c r="U97" s="1198">
        <f t="shared" si="162"/>
        <v>35.459014193440339</v>
      </c>
      <c r="V97" s="1198">
        <f t="shared" si="162"/>
        <v>29.173581022356402</v>
      </c>
      <c r="W97" s="1198">
        <f t="shared" si="162"/>
        <v>22.838647173182068</v>
      </c>
      <c r="X97" s="1198">
        <f t="shared" si="162"/>
        <v>16.502874563420249</v>
      </c>
      <c r="Y97" s="1203">
        <f t="shared" si="162"/>
        <v>10.187021301983719</v>
      </c>
      <c r="Z97" s="1091">
        <f t="shared" si="165"/>
        <v>0</v>
      </c>
      <c r="AA97" s="1202">
        <f t="shared" si="162"/>
        <v>0</v>
      </c>
      <c r="AB97" s="1198">
        <f t="shared" si="162"/>
        <v>0</v>
      </c>
      <c r="AC97" s="1198">
        <f t="shared" si="162"/>
        <v>0</v>
      </c>
      <c r="AD97" s="1198">
        <f t="shared" si="162"/>
        <v>0</v>
      </c>
      <c r="AE97" s="1198">
        <f t="shared" si="162"/>
        <v>0</v>
      </c>
      <c r="AF97" s="1203">
        <f t="shared" si="162"/>
        <v>0</v>
      </c>
      <c r="AG97" s="1091">
        <f t="shared" si="166"/>
        <v>0</v>
      </c>
      <c r="AH97" s="1202">
        <f t="shared" si="162"/>
        <v>0</v>
      </c>
      <c r="AI97" s="1198">
        <f t="shared" si="162"/>
        <v>0</v>
      </c>
      <c r="AJ97" s="1198">
        <f t="shared" si="162"/>
        <v>0</v>
      </c>
      <c r="AK97" s="1198">
        <f t="shared" si="162"/>
        <v>0</v>
      </c>
      <c r="AL97" s="1198">
        <f t="shared" si="162"/>
        <v>0</v>
      </c>
      <c r="AM97" s="1203">
        <f t="shared" si="162"/>
        <v>0</v>
      </c>
      <c r="AN97" s="2513"/>
      <c r="AO97" s="2551"/>
      <c r="AP97" s="4422"/>
      <c r="AQ97" s="4438">
        <f t="shared" si="111"/>
        <v>52.663063763210502</v>
      </c>
      <c r="AR97" s="4438">
        <f t="shared" si="112"/>
        <v>46.729015516004267</v>
      </c>
      <c r="AS97" s="4438">
        <f t="shared" si="113"/>
        <v>36.992275140931213</v>
      </c>
      <c r="AT97" s="4438">
        <f t="shared" si="114"/>
        <v>27.484453966990927</v>
      </c>
      <c r="AU97" s="4438">
        <f t="shared" si="115"/>
        <v>18.199268965453271</v>
      </c>
      <c r="AV97" s="4438">
        <f t="shared" si="116"/>
        <v>8.9091705823019662</v>
      </c>
      <c r="AW97" s="4438">
        <f t="shared" si="117"/>
        <v>10.493830875384299</v>
      </c>
      <c r="AX97" s="4438">
        <f t="shared" si="118"/>
        <v>10.737129505120588</v>
      </c>
      <c r="AY97" s="4438">
        <f t="shared" si="119"/>
        <v>12.508809133036442</v>
      </c>
      <c r="AZ97" s="4438">
        <f t="shared" si="120"/>
        <v>10.834471461053422</v>
      </c>
      <c r="BA97" s="4438">
        <f t="shared" si="121"/>
        <v>9.1886817235566092</v>
      </c>
      <c r="BB97" s="4438">
        <f t="shared" si="122"/>
        <v>7.5500818609569507</v>
      </c>
      <c r="BC97" s="4438">
        <f t="shared" si="123"/>
        <v>5.9168242314495689</v>
      </c>
      <c r="BD97" s="4438">
        <f t="shared" si="124"/>
        <v>4.2891403941106008</v>
      </c>
      <c r="BE97" s="4438">
        <f t="shared" si="125"/>
        <v>20.962967129044959</v>
      </c>
      <c r="BF97" s="4438">
        <f t="shared" si="126"/>
        <v>21.290646639363679</v>
      </c>
      <c r="BG97" s="4438">
        <f t="shared" si="127"/>
        <v>18.129906072327522</v>
      </c>
      <c r="BH97" s="4438">
        <f t="shared" si="128"/>
        <v>14.916215122150904</v>
      </c>
      <c r="BI97" s="4438">
        <f t="shared" si="129"/>
        <v>11.677214877152958</v>
      </c>
      <c r="BJ97" s="4438">
        <f t="shared" si="130"/>
        <v>8.4377857806763625</v>
      </c>
      <c r="BK97" s="4438">
        <f t="shared" si="131"/>
        <v>5.2085412852772066</v>
      </c>
      <c r="BL97" s="4438">
        <f t="shared" si="132"/>
        <v>0</v>
      </c>
      <c r="BM97" s="4438">
        <f t="shared" si="133"/>
        <v>0</v>
      </c>
      <c r="BN97" s="4438">
        <f t="shared" si="134"/>
        <v>0</v>
      </c>
      <c r="BO97" s="4438">
        <f t="shared" si="135"/>
        <v>0</v>
      </c>
      <c r="BP97" s="4438">
        <f t="shared" si="136"/>
        <v>0</v>
      </c>
      <c r="BQ97" s="4438">
        <f t="shared" si="137"/>
        <v>0</v>
      </c>
      <c r="BR97" s="4438">
        <f t="shared" si="138"/>
        <v>0</v>
      </c>
      <c r="BS97" s="4438">
        <f t="shared" si="139"/>
        <v>0</v>
      </c>
      <c r="BT97" s="4438">
        <f t="shared" si="140"/>
        <v>0</v>
      </c>
      <c r="BU97" s="4438">
        <f t="shared" si="141"/>
        <v>0</v>
      </c>
      <c r="BV97" s="4438">
        <f t="shared" si="142"/>
        <v>0</v>
      </c>
      <c r="BW97" s="4438">
        <f t="shared" si="143"/>
        <v>0</v>
      </c>
      <c r="BX97" s="4438">
        <f t="shared" si="144"/>
        <v>0</v>
      </c>
      <c r="BY97" s="4438">
        <f t="shared" si="145"/>
        <v>0</v>
      </c>
    </row>
    <row r="98" spans="1:77">
      <c r="A98" s="2526"/>
      <c r="B98" s="2527">
        <v>20504</v>
      </c>
      <c r="C98" s="2522">
        <v>0.1</v>
      </c>
      <c r="D98" s="2550" t="s">
        <v>557</v>
      </c>
      <c r="E98" s="1091">
        <f t="shared" si="161"/>
        <v>1</v>
      </c>
      <c r="F98" s="883">
        <f t="shared" si="162"/>
        <v>1</v>
      </c>
      <c r="G98" s="1198">
        <f t="shared" si="162"/>
        <v>1</v>
      </c>
      <c r="H98" s="1198">
        <f t="shared" si="162"/>
        <v>1</v>
      </c>
      <c r="I98" s="1198">
        <f t="shared" si="162"/>
        <v>1</v>
      </c>
      <c r="J98" s="1198">
        <f t="shared" si="162"/>
        <v>1</v>
      </c>
      <c r="K98" s="2623">
        <f t="shared" si="162"/>
        <v>1</v>
      </c>
      <c r="L98" s="1091">
        <f t="shared" si="163"/>
        <v>0</v>
      </c>
      <c r="M98" s="883">
        <f t="shared" si="162"/>
        <v>0</v>
      </c>
      <c r="N98" s="1198">
        <f t="shared" si="162"/>
        <v>0</v>
      </c>
      <c r="O98" s="1198">
        <f t="shared" si="162"/>
        <v>0</v>
      </c>
      <c r="P98" s="1198">
        <f t="shared" si="162"/>
        <v>0</v>
      </c>
      <c r="Q98" s="1198">
        <f t="shared" si="162"/>
        <v>0</v>
      </c>
      <c r="R98" s="2623">
        <f t="shared" si="162"/>
        <v>0</v>
      </c>
      <c r="S98" s="1091">
        <f t="shared" si="164"/>
        <v>0</v>
      </c>
      <c r="T98" s="1202">
        <f t="shared" si="162"/>
        <v>0</v>
      </c>
      <c r="U98" s="1198">
        <f t="shared" si="162"/>
        <v>0</v>
      </c>
      <c r="V98" s="1198">
        <f t="shared" si="162"/>
        <v>0</v>
      </c>
      <c r="W98" s="1198">
        <f t="shared" si="162"/>
        <v>0</v>
      </c>
      <c r="X98" s="1198">
        <f t="shared" si="162"/>
        <v>0</v>
      </c>
      <c r="Y98" s="1203">
        <f t="shared" si="162"/>
        <v>0</v>
      </c>
      <c r="Z98" s="1091">
        <f t="shared" si="165"/>
        <v>0</v>
      </c>
      <c r="AA98" s="1202">
        <f t="shared" si="162"/>
        <v>0</v>
      </c>
      <c r="AB98" s="1198">
        <f t="shared" si="162"/>
        <v>0</v>
      </c>
      <c r="AC98" s="1198">
        <f t="shared" si="162"/>
        <v>0</v>
      </c>
      <c r="AD98" s="1198">
        <f t="shared" si="162"/>
        <v>0</v>
      </c>
      <c r="AE98" s="1198">
        <f t="shared" si="162"/>
        <v>0</v>
      </c>
      <c r="AF98" s="1203">
        <f t="shared" si="162"/>
        <v>0</v>
      </c>
      <c r="AG98" s="1091">
        <f t="shared" si="166"/>
        <v>0</v>
      </c>
      <c r="AH98" s="1202">
        <f t="shared" si="162"/>
        <v>0</v>
      </c>
      <c r="AI98" s="1198">
        <f t="shared" si="162"/>
        <v>0</v>
      </c>
      <c r="AJ98" s="1198">
        <f t="shared" si="162"/>
        <v>0</v>
      </c>
      <c r="AK98" s="1198">
        <f t="shared" si="162"/>
        <v>0</v>
      </c>
      <c r="AL98" s="1198">
        <f t="shared" si="162"/>
        <v>0</v>
      </c>
      <c r="AM98" s="1203">
        <f t="shared" si="162"/>
        <v>0</v>
      </c>
      <c r="AN98" s="2513"/>
      <c r="AO98" s="2551"/>
      <c r="AP98" s="4422"/>
      <c r="AQ98" s="4438">
        <f t="shared" si="111"/>
        <v>0.51129188119621849</v>
      </c>
      <c r="AR98" s="4438">
        <f t="shared" si="112"/>
        <v>0.51129188119621849</v>
      </c>
      <c r="AS98" s="4438">
        <f t="shared" si="113"/>
        <v>0.51129188119621849</v>
      </c>
      <c r="AT98" s="4438">
        <f t="shared" si="114"/>
        <v>0.51129188119621849</v>
      </c>
      <c r="AU98" s="4438">
        <f t="shared" si="115"/>
        <v>0.51129188119621849</v>
      </c>
      <c r="AV98" s="4438">
        <f t="shared" si="116"/>
        <v>0.51129188119621849</v>
      </c>
      <c r="AW98" s="4438">
        <f t="shared" si="117"/>
        <v>0.51129188119621849</v>
      </c>
      <c r="AX98" s="4438">
        <f t="shared" si="118"/>
        <v>0</v>
      </c>
      <c r="AY98" s="4438">
        <f t="shared" si="119"/>
        <v>0</v>
      </c>
      <c r="AZ98" s="4438">
        <f t="shared" si="120"/>
        <v>0</v>
      </c>
      <c r="BA98" s="4438">
        <f t="shared" si="121"/>
        <v>0</v>
      </c>
      <c r="BB98" s="4438">
        <f t="shared" si="122"/>
        <v>0</v>
      </c>
      <c r="BC98" s="4438">
        <f t="shared" si="123"/>
        <v>0</v>
      </c>
      <c r="BD98" s="4438">
        <f t="shared" si="124"/>
        <v>0</v>
      </c>
      <c r="BE98" s="4438">
        <f t="shared" si="125"/>
        <v>0</v>
      </c>
      <c r="BF98" s="4438">
        <f t="shared" si="126"/>
        <v>0</v>
      </c>
      <c r="BG98" s="4438">
        <f t="shared" si="127"/>
        <v>0</v>
      </c>
      <c r="BH98" s="4438">
        <f t="shared" si="128"/>
        <v>0</v>
      </c>
      <c r="BI98" s="4438">
        <f t="shared" si="129"/>
        <v>0</v>
      </c>
      <c r="BJ98" s="4438">
        <f t="shared" si="130"/>
        <v>0</v>
      </c>
      <c r="BK98" s="4438">
        <f t="shared" si="131"/>
        <v>0</v>
      </c>
      <c r="BL98" s="4438">
        <f t="shared" si="132"/>
        <v>0</v>
      </c>
      <c r="BM98" s="4438">
        <f t="shared" si="133"/>
        <v>0</v>
      </c>
      <c r="BN98" s="4438">
        <f t="shared" si="134"/>
        <v>0</v>
      </c>
      <c r="BO98" s="4438">
        <f t="shared" si="135"/>
        <v>0</v>
      </c>
      <c r="BP98" s="4438">
        <f t="shared" si="136"/>
        <v>0</v>
      </c>
      <c r="BQ98" s="4438">
        <f t="shared" si="137"/>
        <v>0</v>
      </c>
      <c r="BR98" s="4438">
        <f t="shared" si="138"/>
        <v>0</v>
      </c>
      <c r="BS98" s="4438">
        <f t="shared" si="139"/>
        <v>0</v>
      </c>
      <c r="BT98" s="4438">
        <f t="shared" si="140"/>
        <v>0</v>
      </c>
      <c r="BU98" s="4438">
        <f t="shared" si="141"/>
        <v>0</v>
      </c>
      <c r="BV98" s="4438">
        <f t="shared" si="142"/>
        <v>0</v>
      </c>
      <c r="BW98" s="4438">
        <f t="shared" si="143"/>
        <v>0</v>
      </c>
      <c r="BX98" s="4438">
        <f t="shared" si="144"/>
        <v>0</v>
      </c>
      <c r="BY98" s="4438">
        <f t="shared" si="145"/>
        <v>0</v>
      </c>
    </row>
    <row r="99" spans="1:77">
      <c r="A99" s="2526">
        <v>6</v>
      </c>
      <c r="B99" s="2527">
        <v>208</v>
      </c>
      <c r="C99" s="2522">
        <v>0.2</v>
      </c>
      <c r="D99" s="2552" t="s">
        <v>413</v>
      </c>
      <c r="E99" s="1091">
        <f t="shared" si="161"/>
        <v>27</v>
      </c>
      <c r="F99" s="883">
        <f t="shared" si="162"/>
        <v>25.321354166666652</v>
      </c>
      <c r="G99" s="1198">
        <f t="shared" si="162"/>
        <v>19.034536311108411</v>
      </c>
      <c r="H99" s="1198">
        <f t="shared" si="162"/>
        <v>15.643172537853076</v>
      </c>
      <c r="I99" s="1198">
        <f t="shared" si="162"/>
        <v>17.322685774738318</v>
      </c>
      <c r="J99" s="1198">
        <f t="shared" si="162"/>
        <v>24.582979533300801</v>
      </c>
      <c r="K99" s="2623">
        <f t="shared" si="162"/>
        <v>31.78163181533921</v>
      </c>
      <c r="L99" s="1091">
        <f t="shared" si="163"/>
        <v>11</v>
      </c>
      <c r="M99" s="883">
        <f t="shared" si="162"/>
        <v>12.86354166666667</v>
      </c>
      <c r="N99" s="1198">
        <f t="shared" si="162"/>
        <v>7.9141019686775707</v>
      </c>
      <c r="O99" s="1198">
        <f t="shared" si="162"/>
        <v>3.076332084100784</v>
      </c>
      <c r="P99" s="1198">
        <f t="shared" si="162"/>
        <v>-1.7333134544358018</v>
      </c>
      <c r="Q99" s="1198">
        <f t="shared" si="162"/>
        <v>-6.5220619934746367</v>
      </c>
      <c r="R99" s="2623">
        <f t="shared" si="162"/>
        <v>-11.289007752639975</v>
      </c>
      <c r="S99" s="1091">
        <f t="shared" si="164"/>
        <v>21</v>
      </c>
      <c r="T99" s="1202">
        <f t="shared" si="162"/>
        <v>19.815104166666657</v>
      </c>
      <c r="U99" s="1198">
        <f t="shared" si="162"/>
        <v>11.651361720213998</v>
      </c>
      <c r="V99" s="1198">
        <f t="shared" si="162"/>
        <v>3.2804953780461119</v>
      </c>
      <c r="W99" s="1198">
        <f t="shared" si="162"/>
        <v>-5.1893723203025672</v>
      </c>
      <c r="X99" s="1198">
        <f t="shared" si="162"/>
        <v>-13.660917539826215</v>
      </c>
      <c r="Y99" s="1203">
        <f t="shared" si="162"/>
        <v>-22.092624062699258</v>
      </c>
      <c r="Z99" s="1091">
        <f t="shared" si="165"/>
        <v>0</v>
      </c>
      <c r="AA99" s="1202">
        <f t="shared" si="162"/>
        <v>0</v>
      </c>
      <c r="AB99" s="1198">
        <f t="shared" si="162"/>
        <v>0</v>
      </c>
      <c r="AC99" s="1198">
        <f t="shared" si="162"/>
        <v>0</v>
      </c>
      <c r="AD99" s="1198">
        <f t="shared" si="162"/>
        <v>0</v>
      </c>
      <c r="AE99" s="1198">
        <f t="shared" si="162"/>
        <v>0</v>
      </c>
      <c r="AF99" s="1203">
        <f t="shared" si="162"/>
        <v>0</v>
      </c>
      <c r="AG99" s="1091">
        <f t="shared" si="166"/>
        <v>0</v>
      </c>
      <c r="AH99" s="1202">
        <f t="shared" si="162"/>
        <v>0</v>
      </c>
      <c r="AI99" s="1198">
        <f t="shared" si="162"/>
        <v>0</v>
      </c>
      <c r="AJ99" s="1198">
        <f t="shared" si="162"/>
        <v>0</v>
      </c>
      <c r="AK99" s="1198">
        <f t="shared" si="162"/>
        <v>0</v>
      </c>
      <c r="AL99" s="1198">
        <f t="shared" si="162"/>
        <v>0</v>
      </c>
      <c r="AM99" s="1203">
        <f t="shared" si="162"/>
        <v>0</v>
      </c>
      <c r="AN99" s="2513"/>
      <c r="AO99" s="2551"/>
      <c r="AP99" s="4422"/>
      <c r="AQ99" s="4438">
        <f t="shared" si="111"/>
        <v>13.804880792297899</v>
      </c>
      <c r="AR99" s="4438">
        <f t="shared" si="112"/>
        <v>12.946602806310699</v>
      </c>
      <c r="AS99" s="4438">
        <f t="shared" si="113"/>
        <v>9.7322038782043485</v>
      </c>
      <c r="AT99" s="4438">
        <f t="shared" si="114"/>
        <v>7.998227114755923</v>
      </c>
      <c r="AU99" s="4438">
        <f t="shared" si="115"/>
        <v>8.8569485971369275</v>
      </c>
      <c r="AV99" s="4438">
        <f t="shared" si="116"/>
        <v>12.569077850989505</v>
      </c>
      <c r="AW99" s="4438">
        <f t="shared" si="117"/>
        <v>16.249690318350375</v>
      </c>
      <c r="AX99" s="4438">
        <f t="shared" si="118"/>
        <v>5.6242106931584033</v>
      </c>
      <c r="AY99" s="4438">
        <f t="shared" si="119"/>
        <v>6.5770244175959416</v>
      </c>
      <c r="AZ99" s="4438">
        <f t="shared" si="120"/>
        <v>4.0464160835438516</v>
      </c>
      <c r="BA99" s="4438">
        <f t="shared" si="121"/>
        <v>1.5729036184641734</v>
      </c>
      <c r="BB99" s="4438">
        <f t="shared" si="122"/>
        <v>-0.88622909682119699</v>
      </c>
      <c r="BC99" s="4438">
        <f t="shared" si="123"/>
        <v>-3.3346773459220058</v>
      </c>
      <c r="BD99" s="4438">
        <f t="shared" si="124"/>
        <v>-5.7719780106859879</v>
      </c>
      <c r="BE99" s="4438">
        <f t="shared" si="125"/>
        <v>10.737129505120588</v>
      </c>
      <c r="BF99" s="4438">
        <f t="shared" si="126"/>
        <v>10.131301885474022</v>
      </c>
      <c r="BG99" s="4438">
        <f t="shared" si="127"/>
        <v>5.9572466524258232</v>
      </c>
      <c r="BH99" s="4438">
        <f t="shared" si="128"/>
        <v>1.6772906530966964</v>
      </c>
      <c r="BI99" s="4438">
        <f t="shared" si="129"/>
        <v>-2.653283935875085</v>
      </c>
      <c r="BJ99" s="4438">
        <f t="shared" si="130"/>
        <v>-6.9847162278041628</v>
      </c>
      <c r="BK99" s="4438">
        <f t="shared" si="131"/>
        <v>-11.295779317578347</v>
      </c>
      <c r="BL99" s="4438">
        <f t="shared" si="132"/>
        <v>0</v>
      </c>
      <c r="BM99" s="4438">
        <f t="shared" si="133"/>
        <v>0</v>
      </c>
      <c r="BN99" s="4438">
        <f t="shared" si="134"/>
        <v>0</v>
      </c>
      <c r="BO99" s="4438">
        <f t="shared" si="135"/>
        <v>0</v>
      </c>
      <c r="BP99" s="4438">
        <f t="shared" si="136"/>
        <v>0</v>
      </c>
      <c r="BQ99" s="4438">
        <f t="shared" si="137"/>
        <v>0</v>
      </c>
      <c r="BR99" s="4438">
        <f t="shared" si="138"/>
        <v>0</v>
      </c>
      <c r="BS99" s="4438">
        <f t="shared" si="139"/>
        <v>0</v>
      </c>
      <c r="BT99" s="4438">
        <f t="shared" si="140"/>
        <v>0</v>
      </c>
      <c r="BU99" s="4438">
        <f t="shared" si="141"/>
        <v>0</v>
      </c>
      <c r="BV99" s="4438">
        <f t="shared" si="142"/>
        <v>0</v>
      </c>
      <c r="BW99" s="4438">
        <f t="shared" si="143"/>
        <v>0</v>
      </c>
      <c r="BX99" s="4438">
        <f t="shared" si="144"/>
        <v>0</v>
      </c>
      <c r="BY99" s="4438">
        <f t="shared" si="145"/>
        <v>0</v>
      </c>
    </row>
    <row r="100" spans="1:77">
      <c r="A100" s="2526">
        <v>7</v>
      </c>
      <c r="B100" s="2530">
        <v>20601</v>
      </c>
      <c r="C100" s="2522">
        <v>0.1</v>
      </c>
      <c r="D100" s="2552" t="s">
        <v>564</v>
      </c>
      <c r="E100" s="1091">
        <f t="shared" si="161"/>
        <v>9</v>
      </c>
      <c r="F100" s="883">
        <f t="shared" si="162"/>
        <v>13.944010416666671</v>
      </c>
      <c r="G100" s="1198">
        <f>G25-G75</f>
        <v>16.171823140970382</v>
      </c>
      <c r="H100" s="1198">
        <f t="shared" si="162"/>
        <v>17.643499131886593</v>
      </c>
      <c r="I100" s="1198">
        <f t="shared" si="162"/>
        <v>18.095299409909146</v>
      </c>
      <c r="J100" s="1198">
        <f t="shared" si="162"/>
        <v>17.417081847303621</v>
      </c>
      <c r="K100" s="2623">
        <f t="shared" si="162"/>
        <v>15.50163371426261</v>
      </c>
      <c r="L100" s="1091">
        <f t="shared" si="163"/>
        <v>3</v>
      </c>
      <c r="M100" s="883">
        <f t="shared" si="162"/>
        <v>9.365104166666665</v>
      </c>
      <c r="N100" s="1198">
        <f t="shared" si="162"/>
        <v>13.887364374299157</v>
      </c>
      <c r="O100" s="1198">
        <f t="shared" si="162"/>
        <v>18.322233871936323</v>
      </c>
      <c r="P100" s="1198">
        <f t="shared" si="162"/>
        <v>22.633368410289982</v>
      </c>
      <c r="Q100" s="1198">
        <f t="shared" si="162"/>
        <v>26.828761683282089</v>
      </c>
      <c r="R100" s="2623">
        <f t="shared" si="162"/>
        <v>30.926067835107901</v>
      </c>
      <c r="S100" s="1091">
        <f t="shared" si="164"/>
        <v>10</v>
      </c>
      <c r="T100" s="1202">
        <f t="shared" si="162"/>
        <v>14.390885416666663</v>
      </c>
      <c r="U100" s="1198">
        <f t="shared" si="162"/>
        <v>16.890812484730457</v>
      </c>
      <c r="V100" s="1198">
        <f t="shared" si="162"/>
        <v>19.034266996177081</v>
      </c>
      <c r="W100" s="1198">
        <f t="shared" si="162"/>
        <v>20.821332179800869</v>
      </c>
      <c r="X100" s="1198">
        <f t="shared" si="162"/>
        <v>22.354156469414285</v>
      </c>
      <c r="Y100" s="1203">
        <f t="shared" si="162"/>
        <v>23.722298450629481</v>
      </c>
      <c r="Z100" s="1091">
        <f t="shared" si="165"/>
        <v>0</v>
      </c>
      <c r="AA100" s="1202">
        <f t="shared" si="162"/>
        <v>0</v>
      </c>
      <c r="AB100" s="1198">
        <f t="shared" si="162"/>
        <v>0</v>
      </c>
      <c r="AC100" s="1198">
        <f t="shared" si="162"/>
        <v>0</v>
      </c>
      <c r="AD100" s="1198">
        <f t="shared" si="162"/>
        <v>0</v>
      </c>
      <c r="AE100" s="1198">
        <f t="shared" si="162"/>
        <v>0</v>
      </c>
      <c r="AF100" s="1203">
        <f t="shared" si="162"/>
        <v>0</v>
      </c>
      <c r="AG100" s="1091">
        <f t="shared" si="166"/>
        <v>0</v>
      </c>
      <c r="AH100" s="1202">
        <f t="shared" si="162"/>
        <v>0</v>
      </c>
      <c r="AI100" s="1198">
        <f t="shared" si="162"/>
        <v>0</v>
      </c>
      <c r="AJ100" s="1198">
        <f t="shared" si="162"/>
        <v>0</v>
      </c>
      <c r="AK100" s="1198">
        <f t="shared" si="162"/>
        <v>0</v>
      </c>
      <c r="AL100" s="1198">
        <f t="shared" si="162"/>
        <v>0</v>
      </c>
      <c r="AM100" s="1203">
        <f t="shared" si="162"/>
        <v>0</v>
      </c>
      <c r="AN100" s="2513"/>
      <c r="AO100" s="2551"/>
      <c r="AP100" s="4422"/>
      <c r="AQ100" s="4438">
        <f t="shared" si="111"/>
        <v>4.6016269307659661</v>
      </c>
      <c r="AR100" s="4438">
        <f t="shared" si="112"/>
        <v>7.1294593173571688</v>
      </c>
      <c r="AS100" s="4438">
        <f t="shared" si="113"/>
        <v>8.2685218761192854</v>
      </c>
      <c r="AT100" s="4438">
        <f t="shared" si="114"/>
        <v>9.0209778620261432</v>
      </c>
      <c r="AU100" s="4438">
        <f t="shared" si="115"/>
        <v>9.2519796761012696</v>
      </c>
      <c r="AV100" s="4438">
        <f t="shared" si="116"/>
        <v>8.9052125426563773</v>
      </c>
      <c r="AW100" s="4438">
        <f t="shared" si="117"/>
        <v>7.9258594633800534</v>
      </c>
      <c r="AX100" s="4438">
        <f t="shared" si="118"/>
        <v>1.5338756435886556</v>
      </c>
      <c r="AY100" s="4438">
        <f t="shared" si="119"/>
        <v>4.7883017269735433</v>
      </c>
      <c r="AZ100" s="4438">
        <f t="shared" si="120"/>
        <v>7.100496655792762</v>
      </c>
      <c r="BA100" s="4438">
        <f t="shared" si="121"/>
        <v>9.3680094240993963</v>
      </c>
      <c r="BB100" s="4438">
        <f t="shared" si="122"/>
        <v>11.57225751230423</v>
      </c>
      <c r="BC100" s="4438">
        <f t="shared" si="123"/>
        <v>13.717328031210325</v>
      </c>
      <c r="BD100" s="4438">
        <f t="shared" si="124"/>
        <v>15.812247401414183</v>
      </c>
      <c r="BE100" s="4438">
        <f t="shared" si="125"/>
        <v>5.1129188119621851</v>
      </c>
      <c r="BF100" s="4438">
        <f t="shared" si="126"/>
        <v>7.3579428767667245</v>
      </c>
      <c r="BG100" s="4438">
        <f t="shared" si="127"/>
        <v>8.6361352902504098</v>
      </c>
      <c r="BH100" s="4438">
        <f t="shared" si="128"/>
        <v>9.7320661796664751</v>
      </c>
      <c r="BI100" s="4438">
        <f t="shared" si="129"/>
        <v>10.645778099221747</v>
      </c>
      <c r="BJ100" s="4438">
        <f t="shared" si="130"/>
        <v>11.429498713801447</v>
      </c>
      <c r="BK100" s="4438">
        <f t="shared" si="131"/>
        <v>12.129018601120487</v>
      </c>
      <c r="BL100" s="4438">
        <f t="shared" si="132"/>
        <v>0</v>
      </c>
      <c r="BM100" s="4438">
        <f t="shared" si="133"/>
        <v>0</v>
      </c>
      <c r="BN100" s="4438">
        <f t="shared" si="134"/>
        <v>0</v>
      </c>
      <c r="BO100" s="4438">
        <f t="shared" si="135"/>
        <v>0</v>
      </c>
      <c r="BP100" s="4438">
        <f t="shared" si="136"/>
        <v>0</v>
      </c>
      <c r="BQ100" s="4438">
        <f t="shared" si="137"/>
        <v>0</v>
      </c>
      <c r="BR100" s="4438">
        <f t="shared" si="138"/>
        <v>0</v>
      </c>
      <c r="BS100" s="4438">
        <f t="shared" si="139"/>
        <v>0</v>
      </c>
      <c r="BT100" s="4438">
        <f t="shared" si="140"/>
        <v>0</v>
      </c>
      <c r="BU100" s="4438">
        <f t="shared" si="141"/>
        <v>0</v>
      </c>
      <c r="BV100" s="4438">
        <f t="shared" si="142"/>
        <v>0</v>
      </c>
      <c r="BW100" s="4438">
        <f t="shared" si="143"/>
        <v>0</v>
      </c>
      <c r="BX100" s="4438">
        <f t="shared" si="144"/>
        <v>0</v>
      </c>
      <c r="BY100" s="4438">
        <f t="shared" si="145"/>
        <v>0</v>
      </c>
    </row>
    <row r="101" spans="1:77">
      <c r="A101" s="2531">
        <v>8</v>
      </c>
      <c r="B101" s="2530">
        <v>20602</v>
      </c>
      <c r="C101" s="2522">
        <v>0.1</v>
      </c>
      <c r="D101" s="2552" t="s">
        <v>435</v>
      </c>
      <c r="E101" s="1091">
        <f>E26-E76</f>
        <v>56</v>
      </c>
      <c r="F101" s="883">
        <f>F26-F76</f>
        <v>48.95</v>
      </c>
      <c r="G101" s="1198">
        <f t="shared" ref="G101:K101" si="167">G26-G76</f>
        <v>42.6</v>
      </c>
      <c r="H101" s="1198">
        <f t="shared" si="167"/>
        <v>36.950000000000003</v>
      </c>
      <c r="I101" s="1198">
        <f t="shared" si="167"/>
        <v>31.600000000000009</v>
      </c>
      <c r="J101" s="1198">
        <f t="shared" si="167"/>
        <v>27.450000000000003</v>
      </c>
      <c r="K101" s="2623">
        <f t="shared" si="167"/>
        <v>25</v>
      </c>
      <c r="L101" s="1091">
        <f t="shared" si="163"/>
        <v>21</v>
      </c>
      <c r="M101" s="883">
        <f t="shared" si="162"/>
        <v>17.75</v>
      </c>
      <c r="N101" s="1198">
        <f t="shared" si="162"/>
        <v>14.5</v>
      </c>
      <c r="O101" s="1198">
        <f t="shared" si="162"/>
        <v>11.25</v>
      </c>
      <c r="P101" s="1198">
        <f t="shared" si="162"/>
        <v>8</v>
      </c>
      <c r="Q101" s="1198">
        <f t="shared" si="162"/>
        <v>4.75</v>
      </c>
      <c r="R101" s="2623">
        <f t="shared" si="162"/>
        <v>1.5</v>
      </c>
      <c r="S101" s="1091">
        <f t="shared" si="164"/>
        <v>49</v>
      </c>
      <c r="T101" s="1202">
        <f t="shared" si="162"/>
        <v>42.35</v>
      </c>
      <c r="U101" s="1198">
        <f t="shared" si="162"/>
        <v>35.700000000000003</v>
      </c>
      <c r="V101" s="1198">
        <f t="shared" si="162"/>
        <v>29.049999999999997</v>
      </c>
      <c r="W101" s="1198">
        <f t="shared" si="162"/>
        <v>22.399999999999991</v>
      </c>
      <c r="X101" s="1198">
        <f t="shared" si="162"/>
        <v>15.749999999999986</v>
      </c>
      <c r="Y101" s="1203">
        <f t="shared" si="162"/>
        <v>9.0999999999999801</v>
      </c>
      <c r="Z101" s="1091">
        <f t="shared" si="165"/>
        <v>0</v>
      </c>
      <c r="AA101" s="1202">
        <f t="shared" si="162"/>
        <v>0</v>
      </c>
      <c r="AB101" s="1198">
        <f t="shared" si="162"/>
        <v>0</v>
      </c>
      <c r="AC101" s="1198">
        <f t="shared" si="162"/>
        <v>0</v>
      </c>
      <c r="AD101" s="1198">
        <f t="shared" si="162"/>
        <v>0</v>
      </c>
      <c r="AE101" s="1198">
        <f t="shared" si="162"/>
        <v>0</v>
      </c>
      <c r="AF101" s="1203">
        <f t="shared" si="162"/>
        <v>0</v>
      </c>
      <c r="AG101" s="1091">
        <f t="shared" si="166"/>
        <v>0</v>
      </c>
      <c r="AH101" s="1202">
        <f t="shared" si="162"/>
        <v>0</v>
      </c>
      <c r="AI101" s="1198">
        <f t="shared" si="162"/>
        <v>0</v>
      </c>
      <c r="AJ101" s="1198">
        <f t="shared" si="162"/>
        <v>0</v>
      </c>
      <c r="AK101" s="1198">
        <f t="shared" si="162"/>
        <v>0</v>
      </c>
      <c r="AL101" s="1198">
        <f t="shared" si="162"/>
        <v>0</v>
      </c>
      <c r="AM101" s="1203">
        <f t="shared" si="162"/>
        <v>0</v>
      </c>
      <c r="AN101" s="2513"/>
      <c r="AO101" s="2551"/>
      <c r="AP101" s="4422"/>
      <c r="AQ101" s="4438">
        <f t="shared" si="111"/>
        <v>28.632345346988235</v>
      </c>
      <c r="AR101" s="4438">
        <f t="shared" si="112"/>
        <v>25.027737584554895</v>
      </c>
      <c r="AS101" s="4438">
        <f t="shared" si="113"/>
        <v>21.781034138958908</v>
      </c>
      <c r="AT101" s="4438">
        <f t="shared" si="114"/>
        <v>18.892235010200274</v>
      </c>
      <c r="AU101" s="4438">
        <f t="shared" si="115"/>
        <v>16.156823445800509</v>
      </c>
      <c r="AV101" s="4438">
        <f t="shared" si="116"/>
        <v>14.0349621388362</v>
      </c>
      <c r="AW101" s="4438">
        <f t="shared" si="117"/>
        <v>12.782297029905463</v>
      </c>
      <c r="AX101" s="4438">
        <f t="shared" si="118"/>
        <v>10.737129505120588</v>
      </c>
      <c r="AY101" s="4438">
        <f t="shared" si="119"/>
        <v>9.0754308912328785</v>
      </c>
      <c r="AZ101" s="4438">
        <f t="shared" si="120"/>
        <v>7.4137322773451686</v>
      </c>
      <c r="BA101" s="4438">
        <f t="shared" si="121"/>
        <v>5.7520336634574578</v>
      </c>
      <c r="BB101" s="4438">
        <f t="shared" si="122"/>
        <v>4.0903350495697479</v>
      </c>
      <c r="BC101" s="4438">
        <f t="shared" si="123"/>
        <v>2.428636435682038</v>
      </c>
      <c r="BD101" s="4438">
        <f t="shared" si="124"/>
        <v>0.76693782179432779</v>
      </c>
      <c r="BE101" s="4438">
        <f t="shared" si="125"/>
        <v>25.053302178614707</v>
      </c>
      <c r="BF101" s="4438">
        <f t="shared" si="126"/>
        <v>21.653211168659855</v>
      </c>
      <c r="BG101" s="4438">
        <f t="shared" si="127"/>
        <v>18.253120158705002</v>
      </c>
      <c r="BH101" s="4438">
        <f t="shared" si="128"/>
        <v>14.853029148750146</v>
      </c>
      <c r="BI101" s="4438">
        <f t="shared" si="129"/>
        <v>11.45293813879529</v>
      </c>
      <c r="BJ101" s="4438">
        <f t="shared" si="130"/>
        <v>8.0528471288404333</v>
      </c>
      <c r="BK101" s="4438">
        <f t="shared" si="131"/>
        <v>4.6527561188855779</v>
      </c>
      <c r="BL101" s="4438">
        <f t="shared" si="132"/>
        <v>0</v>
      </c>
      <c r="BM101" s="4438">
        <f t="shared" si="133"/>
        <v>0</v>
      </c>
      <c r="BN101" s="4438">
        <f t="shared" si="134"/>
        <v>0</v>
      </c>
      <c r="BO101" s="4438">
        <f t="shared" si="135"/>
        <v>0</v>
      </c>
      <c r="BP101" s="4438">
        <f t="shared" si="136"/>
        <v>0</v>
      </c>
      <c r="BQ101" s="4438">
        <f t="shared" si="137"/>
        <v>0</v>
      </c>
      <c r="BR101" s="4438">
        <f t="shared" si="138"/>
        <v>0</v>
      </c>
      <c r="BS101" s="4438">
        <f t="shared" si="139"/>
        <v>0</v>
      </c>
      <c r="BT101" s="4438">
        <f t="shared" si="140"/>
        <v>0</v>
      </c>
      <c r="BU101" s="4438">
        <f t="shared" si="141"/>
        <v>0</v>
      </c>
      <c r="BV101" s="4438">
        <f t="shared" si="142"/>
        <v>0</v>
      </c>
      <c r="BW101" s="4438">
        <f t="shared" si="143"/>
        <v>0</v>
      </c>
      <c r="BX101" s="4438">
        <f t="shared" si="144"/>
        <v>0</v>
      </c>
      <c r="BY101" s="4438">
        <f t="shared" si="145"/>
        <v>0</v>
      </c>
    </row>
    <row r="102" spans="1:77">
      <c r="A102" s="2531">
        <v>9</v>
      </c>
      <c r="B102" s="2527">
        <v>20603</v>
      </c>
      <c r="C102" s="2522">
        <v>0.5</v>
      </c>
      <c r="D102" s="2552" t="s">
        <v>1015</v>
      </c>
      <c r="E102" s="1091">
        <f t="shared" ref="E102:E109" si="168">E27-E77</f>
        <v>0</v>
      </c>
      <c r="F102" s="883">
        <f t="shared" ref="F102:T109" si="169">F27-F77</f>
        <v>3</v>
      </c>
      <c r="G102" s="1198">
        <f t="shared" si="169"/>
        <v>6</v>
      </c>
      <c r="H102" s="1198">
        <f t="shared" si="169"/>
        <v>9</v>
      </c>
      <c r="I102" s="1198">
        <f t="shared" si="169"/>
        <v>12</v>
      </c>
      <c r="J102" s="1198">
        <f t="shared" si="169"/>
        <v>15</v>
      </c>
      <c r="K102" s="2623">
        <f t="shared" si="169"/>
        <v>18</v>
      </c>
      <c r="L102" s="1091">
        <f>L27-L77</f>
        <v>0</v>
      </c>
      <c r="M102" s="883">
        <f>M27-M77</f>
        <v>-1</v>
      </c>
      <c r="N102" s="1198">
        <f t="shared" si="162"/>
        <v>-2</v>
      </c>
      <c r="O102" s="1198">
        <f t="shared" si="162"/>
        <v>-3</v>
      </c>
      <c r="P102" s="1198">
        <f t="shared" si="162"/>
        <v>-4</v>
      </c>
      <c r="Q102" s="1198">
        <f t="shared" si="162"/>
        <v>-5</v>
      </c>
      <c r="R102" s="2623">
        <f t="shared" si="162"/>
        <v>-6</v>
      </c>
      <c r="S102" s="1091">
        <f>S27-S77</f>
        <v>1</v>
      </c>
      <c r="T102" s="1202">
        <f t="shared" si="162"/>
        <v>-1</v>
      </c>
      <c r="U102" s="1198">
        <f t="shared" si="162"/>
        <v>-3</v>
      </c>
      <c r="V102" s="1198">
        <f t="shared" si="162"/>
        <v>-5</v>
      </c>
      <c r="W102" s="1198">
        <f t="shared" si="162"/>
        <v>-7</v>
      </c>
      <c r="X102" s="1198">
        <f t="shared" si="162"/>
        <v>-9</v>
      </c>
      <c r="Y102" s="1203">
        <f t="shared" si="162"/>
        <v>-11</v>
      </c>
      <c r="Z102" s="1091">
        <f>Z27-Z77</f>
        <v>0</v>
      </c>
      <c r="AA102" s="1202">
        <f t="shared" si="162"/>
        <v>0</v>
      </c>
      <c r="AB102" s="1198">
        <f t="shared" si="162"/>
        <v>0</v>
      </c>
      <c r="AC102" s="1198">
        <f t="shared" si="162"/>
        <v>0</v>
      </c>
      <c r="AD102" s="1198">
        <f t="shared" si="162"/>
        <v>0</v>
      </c>
      <c r="AE102" s="1198">
        <f t="shared" si="162"/>
        <v>0</v>
      </c>
      <c r="AF102" s="1203">
        <f t="shared" si="162"/>
        <v>0</v>
      </c>
      <c r="AG102" s="1091">
        <f>AG27-AG77</f>
        <v>0</v>
      </c>
      <c r="AH102" s="1202">
        <f t="shared" si="162"/>
        <v>0</v>
      </c>
      <c r="AI102" s="1198">
        <f t="shared" si="162"/>
        <v>0</v>
      </c>
      <c r="AJ102" s="1198">
        <f t="shared" ref="AJ102:AM102" si="170">AJ27-AJ77</f>
        <v>0</v>
      </c>
      <c r="AK102" s="1198">
        <f t="shared" si="170"/>
        <v>0</v>
      </c>
      <c r="AL102" s="1198">
        <f t="shared" si="170"/>
        <v>0</v>
      </c>
      <c r="AM102" s="1203">
        <f t="shared" si="170"/>
        <v>0</v>
      </c>
      <c r="AN102" s="2513"/>
      <c r="AO102" s="2551"/>
      <c r="AP102" s="4422"/>
      <c r="AQ102" s="4438">
        <f t="shared" si="111"/>
        <v>0</v>
      </c>
      <c r="AR102" s="4438">
        <f t="shared" si="112"/>
        <v>1.5338756435886556</v>
      </c>
      <c r="AS102" s="4438">
        <f t="shared" si="113"/>
        <v>3.0677512871773112</v>
      </c>
      <c r="AT102" s="4438">
        <f t="shared" si="114"/>
        <v>4.6016269307659661</v>
      </c>
      <c r="AU102" s="4438">
        <f t="shared" si="115"/>
        <v>6.1355025743546223</v>
      </c>
      <c r="AV102" s="4438">
        <f t="shared" si="116"/>
        <v>7.6693782179432777</v>
      </c>
      <c r="AW102" s="4438">
        <f t="shared" si="117"/>
        <v>9.2032538615319321</v>
      </c>
      <c r="AX102" s="4438">
        <f t="shared" si="118"/>
        <v>0</v>
      </c>
      <c r="AY102" s="4438">
        <f t="shared" si="119"/>
        <v>-0.51129188119621849</v>
      </c>
      <c r="AZ102" s="4438">
        <f t="shared" si="120"/>
        <v>-1.022583762392437</v>
      </c>
      <c r="BA102" s="4438">
        <f t="shared" si="121"/>
        <v>-1.5338756435886556</v>
      </c>
      <c r="BB102" s="4438">
        <f t="shared" si="122"/>
        <v>-2.045167524784874</v>
      </c>
      <c r="BC102" s="4438">
        <f t="shared" si="123"/>
        <v>-2.5564594059810926</v>
      </c>
      <c r="BD102" s="4438">
        <f t="shared" si="124"/>
        <v>-3.0677512871773112</v>
      </c>
      <c r="BE102" s="4438">
        <f t="shared" si="125"/>
        <v>0.51129188119621849</v>
      </c>
      <c r="BF102" s="4438">
        <f t="shared" si="126"/>
        <v>-0.51129188119621849</v>
      </c>
      <c r="BG102" s="4438">
        <f t="shared" si="127"/>
        <v>-1.5338756435886556</v>
      </c>
      <c r="BH102" s="4438">
        <f t="shared" si="128"/>
        <v>-2.5564594059810926</v>
      </c>
      <c r="BI102" s="4438">
        <f t="shared" si="129"/>
        <v>-3.5790431683735293</v>
      </c>
      <c r="BJ102" s="4438">
        <f t="shared" si="130"/>
        <v>-4.6016269307659661</v>
      </c>
      <c r="BK102" s="4438">
        <f t="shared" si="131"/>
        <v>-5.6242106931584033</v>
      </c>
      <c r="BL102" s="4438">
        <f t="shared" si="132"/>
        <v>0</v>
      </c>
      <c r="BM102" s="4438">
        <f t="shared" si="133"/>
        <v>0</v>
      </c>
      <c r="BN102" s="4438">
        <f t="shared" si="134"/>
        <v>0</v>
      </c>
      <c r="BO102" s="4438">
        <f t="shared" si="135"/>
        <v>0</v>
      </c>
      <c r="BP102" s="4438">
        <f t="shared" si="136"/>
        <v>0</v>
      </c>
      <c r="BQ102" s="4438">
        <f t="shared" si="137"/>
        <v>0</v>
      </c>
      <c r="BR102" s="4438">
        <f t="shared" si="138"/>
        <v>0</v>
      </c>
      <c r="BS102" s="4438">
        <f t="shared" si="139"/>
        <v>0</v>
      </c>
      <c r="BT102" s="4438">
        <f t="shared" si="140"/>
        <v>0</v>
      </c>
      <c r="BU102" s="4438">
        <f t="shared" si="141"/>
        <v>0</v>
      </c>
      <c r="BV102" s="4438">
        <f t="shared" si="142"/>
        <v>0</v>
      </c>
      <c r="BW102" s="4438">
        <f t="shared" si="143"/>
        <v>0</v>
      </c>
      <c r="BX102" s="4438">
        <f t="shared" si="144"/>
        <v>0</v>
      </c>
      <c r="BY102" s="4438">
        <f t="shared" si="145"/>
        <v>0</v>
      </c>
    </row>
    <row r="103" spans="1:77">
      <c r="A103" s="2531">
        <v>10</v>
      </c>
      <c r="B103" s="2527">
        <v>209</v>
      </c>
      <c r="C103" s="2522">
        <v>0.1</v>
      </c>
      <c r="D103" s="2552" t="s">
        <v>213</v>
      </c>
      <c r="E103" s="1091">
        <f t="shared" si="168"/>
        <v>0</v>
      </c>
      <c r="F103" s="883">
        <f t="shared" si="169"/>
        <v>0</v>
      </c>
      <c r="G103" s="1198">
        <f>G28-G78</f>
        <v>0.19999999999999996</v>
      </c>
      <c r="H103" s="1198">
        <f t="shared" si="169"/>
        <v>0.39999999999999991</v>
      </c>
      <c r="I103" s="1198">
        <f t="shared" si="169"/>
        <v>0.59999999999999987</v>
      </c>
      <c r="J103" s="1198">
        <f t="shared" si="169"/>
        <v>0.79999999999999993</v>
      </c>
      <c r="K103" s="2623">
        <f t="shared" si="169"/>
        <v>1</v>
      </c>
      <c r="L103" s="1091">
        <f t="shared" si="169"/>
        <v>0</v>
      </c>
      <c r="M103" s="883">
        <f t="shared" si="169"/>
        <v>0</v>
      </c>
      <c r="N103" s="1198">
        <f t="shared" si="169"/>
        <v>0</v>
      </c>
      <c r="O103" s="1198">
        <f t="shared" si="169"/>
        <v>0</v>
      </c>
      <c r="P103" s="1198">
        <f t="shared" si="169"/>
        <v>0</v>
      </c>
      <c r="Q103" s="1198">
        <f t="shared" si="169"/>
        <v>0</v>
      </c>
      <c r="R103" s="2623">
        <f t="shared" si="169"/>
        <v>0</v>
      </c>
      <c r="S103" s="1091">
        <f t="shared" si="169"/>
        <v>0</v>
      </c>
      <c r="T103" s="1202">
        <f t="shared" si="169"/>
        <v>0</v>
      </c>
      <c r="U103" s="1198">
        <f t="shared" ref="U103:AM109" si="171">U28-U78</f>
        <v>0</v>
      </c>
      <c r="V103" s="1198">
        <f t="shared" si="171"/>
        <v>0</v>
      </c>
      <c r="W103" s="1198">
        <f t="shared" si="171"/>
        <v>0</v>
      </c>
      <c r="X103" s="1198">
        <f t="shared" si="171"/>
        <v>0</v>
      </c>
      <c r="Y103" s="1203">
        <f t="shared" si="171"/>
        <v>0</v>
      </c>
      <c r="Z103" s="1091">
        <f t="shared" si="171"/>
        <v>0</v>
      </c>
      <c r="AA103" s="1202">
        <f t="shared" si="171"/>
        <v>0</v>
      </c>
      <c r="AB103" s="1198">
        <f t="shared" si="171"/>
        <v>0</v>
      </c>
      <c r="AC103" s="1198">
        <f t="shared" si="171"/>
        <v>0</v>
      </c>
      <c r="AD103" s="1198">
        <f t="shared" si="171"/>
        <v>0</v>
      </c>
      <c r="AE103" s="1198">
        <f t="shared" si="171"/>
        <v>0</v>
      </c>
      <c r="AF103" s="1203">
        <f t="shared" si="171"/>
        <v>0</v>
      </c>
      <c r="AG103" s="1091">
        <f t="shared" si="171"/>
        <v>0</v>
      </c>
      <c r="AH103" s="1202">
        <f t="shared" si="171"/>
        <v>0</v>
      </c>
      <c r="AI103" s="1198">
        <f t="shared" si="171"/>
        <v>0</v>
      </c>
      <c r="AJ103" s="1198">
        <f t="shared" si="171"/>
        <v>0</v>
      </c>
      <c r="AK103" s="1198">
        <f t="shared" si="171"/>
        <v>0</v>
      </c>
      <c r="AL103" s="1198">
        <f t="shared" si="171"/>
        <v>0</v>
      </c>
      <c r="AM103" s="1203">
        <f t="shared" si="171"/>
        <v>0</v>
      </c>
      <c r="AN103" s="2513"/>
      <c r="AO103" s="2551"/>
      <c r="AP103" s="4422"/>
      <c r="AQ103" s="4438">
        <f t="shared" si="111"/>
        <v>0</v>
      </c>
      <c r="AR103" s="4438">
        <f t="shared" si="112"/>
        <v>0</v>
      </c>
      <c r="AS103" s="4438">
        <f t="shared" si="113"/>
        <v>0.10225837623924368</v>
      </c>
      <c r="AT103" s="4438">
        <f t="shared" si="114"/>
        <v>0.20451675247848736</v>
      </c>
      <c r="AU103" s="4438">
        <f t="shared" si="115"/>
        <v>0.30677512871773105</v>
      </c>
      <c r="AV103" s="4438">
        <f t="shared" si="116"/>
        <v>0.40903350495697477</v>
      </c>
      <c r="AW103" s="4438">
        <f t="shared" si="117"/>
        <v>0.51129188119621849</v>
      </c>
      <c r="AX103" s="4438">
        <f t="shared" si="118"/>
        <v>0</v>
      </c>
      <c r="AY103" s="4438">
        <f t="shared" si="119"/>
        <v>0</v>
      </c>
      <c r="AZ103" s="4438">
        <f t="shared" si="120"/>
        <v>0</v>
      </c>
      <c r="BA103" s="4438">
        <f t="shared" si="121"/>
        <v>0</v>
      </c>
      <c r="BB103" s="4438">
        <f t="shared" si="122"/>
        <v>0</v>
      </c>
      <c r="BC103" s="4438">
        <f t="shared" si="123"/>
        <v>0</v>
      </c>
      <c r="BD103" s="4438">
        <f t="shared" si="124"/>
        <v>0</v>
      </c>
      <c r="BE103" s="4438">
        <f t="shared" si="125"/>
        <v>0</v>
      </c>
      <c r="BF103" s="4438">
        <f t="shared" si="126"/>
        <v>0</v>
      </c>
      <c r="BG103" s="4438">
        <f t="shared" si="127"/>
        <v>0</v>
      </c>
      <c r="BH103" s="4438">
        <f t="shared" si="128"/>
        <v>0</v>
      </c>
      <c r="BI103" s="4438">
        <f t="shared" si="129"/>
        <v>0</v>
      </c>
      <c r="BJ103" s="4438">
        <f t="shared" si="130"/>
        <v>0</v>
      </c>
      <c r="BK103" s="4438">
        <f t="shared" si="131"/>
        <v>0</v>
      </c>
      <c r="BL103" s="4438">
        <f t="shared" si="132"/>
        <v>0</v>
      </c>
      <c r="BM103" s="4438">
        <f t="shared" si="133"/>
        <v>0</v>
      </c>
      <c r="BN103" s="4438">
        <f t="shared" si="134"/>
        <v>0</v>
      </c>
      <c r="BO103" s="4438">
        <f t="shared" si="135"/>
        <v>0</v>
      </c>
      <c r="BP103" s="4438">
        <f t="shared" si="136"/>
        <v>0</v>
      </c>
      <c r="BQ103" s="4438">
        <f t="shared" si="137"/>
        <v>0</v>
      </c>
      <c r="BR103" s="4438">
        <f t="shared" si="138"/>
        <v>0</v>
      </c>
      <c r="BS103" s="4438">
        <f t="shared" si="139"/>
        <v>0</v>
      </c>
      <c r="BT103" s="4438">
        <f t="shared" si="140"/>
        <v>0</v>
      </c>
      <c r="BU103" s="4438">
        <f t="shared" si="141"/>
        <v>0</v>
      </c>
      <c r="BV103" s="4438">
        <f t="shared" si="142"/>
        <v>0</v>
      </c>
      <c r="BW103" s="4438">
        <f t="shared" si="143"/>
        <v>0</v>
      </c>
      <c r="BX103" s="4438">
        <f t="shared" si="144"/>
        <v>0</v>
      </c>
      <c r="BY103" s="4438">
        <f t="shared" si="145"/>
        <v>0</v>
      </c>
    </row>
    <row r="104" spans="1:77" ht="24">
      <c r="A104" s="2531">
        <v>11</v>
      </c>
      <c r="B104" s="2527">
        <v>207</v>
      </c>
      <c r="C104" s="2522" t="s">
        <v>313</v>
      </c>
      <c r="D104" s="2552" t="s">
        <v>414</v>
      </c>
      <c r="E104" s="1091">
        <f t="shared" si="168"/>
        <v>1582</v>
      </c>
      <c r="F104" s="883">
        <f t="shared" si="169"/>
        <v>1582</v>
      </c>
      <c r="G104" s="1198">
        <f t="shared" si="169"/>
        <v>1582</v>
      </c>
      <c r="H104" s="1198">
        <f t="shared" si="169"/>
        <v>1582</v>
      </c>
      <c r="I104" s="1198">
        <f t="shared" si="169"/>
        <v>1582</v>
      </c>
      <c r="J104" s="1198">
        <f t="shared" si="169"/>
        <v>1582</v>
      </c>
      <c r="K104" s="2623">
        <f t="shared" si="169"/>
        <v>1582</v>
      </c>
      <c r="L104" s="1091">
        <f t="shared" si="169"/>
        <v>163</v>
      </c>
      <c r="M104" s="883">
        <f t="shared" si="169"/>
        <v>163</v>
      </c>
      <c r="N104" s="1198">
        <f t="shared" si="169"/>
        <v>163</v>
      </c>
      <c r="O104" s="1198">
        <f t="shared" si="169"/>
        <v>163</v>
      </c>
      <c r="P104" s="1198">
        <f t="shared" si="169"/>
        <v>163</v>
      </c>
      <c r="Q104" s="1198">
        <f t="shared" si="169"/>
        <v>163</v>
      </c>
      <c r="R104" s="2623">
        <f t="shared" si="169"/>
        <v>163</v>
      </c>
      <c r="S104" s="1091">
        <f t="shared" si="169"/>
        <v>245</v>
      </c>
      <c r="T104" s="1202">
        <f t="shared" si="169"/>
        <v>245</v>
      </c>
      <c r="U104" s="1198">
        <f t="shared" si="171"/>
        <v>245</v>
      </c>
      <c r="V104" s="1198">
        <f t="shared" si="171"/>
        <v>245</v>
      </c>
      <c r="W104" s="1198">
        <f t="shared" si="171"/>
        <v>245</v>
      </c>
      <c r="X104" s="1198">
        <f t="shared" si="171"/>
        <v>245</v>
      </c>
      <c r="Y104" s="1203">
        <f t="shared" si="171"/>
        <v>245</v>
      </c>
      <c r="Z104" s="1091">
        <f t="shared" si="171"/>
        <v>0</v>
      </c>
      <c r="AA104" s="1202">
        <f t="shared" si="171"/>
        <v>0</v>
      </c>
      <c r="AB104" s="1198">
        <f t="shared" si="171"/>
        <v>0</v>
      </c>
      <c r="AC104" s="1198">
        <f t="shared" si="171"/>
        <v>0</v>
      </c>
      <c r="AD104" s="1198">
        <f t="shared" si="171"/>
        <v>0</v>
      </c>
      <c r="AE104" s="1198">
        <f t="shared" si="171"/>
        <v>0</v>
      </c>
      <c r="AF104" s="1203">
        <f t="shared" si="171"/>
        <v>0</v>
      </c>
      <c r="AG104" s="1091">
        <f t="shared" si="171"/>
        <v>0</v>
      </c>
      <c r="AH104" s="1202">
        <f t="shared" si="171"/>
        <v>0</v>
      </c>
      <c r="AI104" s="1198">
        <f t="shared" si="171"/>
        <v>0</v>
      </c>
      <c r="AJ104" s="1198">
        <f t="shared" si="171"/>
        <v>0</v>
      </c>
      <c r="AK104" s="1198">
        <f t="shared" si="171"/>
        <v>0</v>
      </c>
      <c r="AL104" s="1198">
        <f t="shared" si="171"/>
        <v>0</v>
      </c>
      <c r="AM104" s="1203">
        <f t="shared" si="171"/>
        <v>0</v>
      </c>
      <c r="AN104" s="2513"/>
      <c r="AO104" s="2521"/>
      <c r="AP104" s="4422"/>
      <c r="AQ104" s="4438">
        <f t="shared" si="111"/>
        <v>808.86375605241767</v>
      </c>
      <c r="AR104" s="4438">
        <f t="shared" si="112"/>
        <v>808.86375605241767</v>
      </c>
      <c r="AS104" s="4438">
        <f t="shared" si="113"/>
        <v>808.86375605241767</v>
      </c>
      <c r="AT104" s="4438">
        <f t="shared" si="114"/>
        <v>808.86375605241767</v>
      </c>
      <c r="AU104" s="4438">
        <f t="shared" si="115"/>
        <v>808.86375605241767</v>
      </c>
      <c r="AV104" s="4438">
        <f t="shared" si="116"/>
        <v>808.86375605241767</v>
      </c>
      <c r="AW104" s="4438">
        <f t="shared" si="117"/>
        <v>808.86375605241767</v>
      </c>
      <c r="AX104" s="4438">
        <f t="shared" si="118"/>
        <v>83.34057663498362</v>
      </c>
      <c r="AY104" s="4438">
        <f t="shared" si="119"/>
        <v>83.34057663498362</v>
      </c>
      <c r="AZ104" s="4438">
        <f t="shared" si="120"/>
        <v>83.34057663498362</v>
      </c>
      <c r="BA104" s="4438">
        <f t="shared" si="121"/>
        <v>83.34057663498362</v>
      </c>
      <c r="BB104" s="4438">
        <f t="shared" si="122"/>
        <v>83.34057663498362</v>
      </c>
      <c r="BC104" s="4438">
        <f t="shared" si="123"/>
        <v>83.34057663498362</v>
      </c>
      <c r="BD104" s="4438">
        <f t="shared" si="124"/>
        <v>83.34057663498362</v>
      </c>
      <c r="BE104" s="4438">
        <f t="shared" si="125"/>
        <v>125.26651089307353</v>
      </c>
      <c r="BF104" s="4438">
        <f t="shared" si="126"/>
        <v>125.26651089307353</v>
      </c>
      <c r="BG104" s="4438">
        <f t="shared" si="127"/>
        <v>125.26651089307353</v>
      </c>
      <c r="BH104" s="4438">
        <f t="shared" si="128"/>
        <v>125.26651089307353</v>
      </c>
      <c r="BI104" s="4438">
        <f t="shared" si="129"/>
        <v>125.26651089307353</v>
      </c>
      <c r="BJ104" s="4438">
        <f t="shared" si="130"/>
        <v>125.26651089307353</v>
      </c>
      <c r="BK104" s="4438">
        <f t="shared" si="131"/>
        <v>125.26651089307353</v>
      </c>
      <c r="BL104" s="4438">
        <f t="shared" si="132"/>
        <v>0</v>
      </c>
      <c r="BM104" s="4438">
        <f t="shared" si="133"/>
        <v>0</v>
      </c>
      <c r="BN104" s="4438">
        <f t="shared" si="134"/>
        <v>0</v>
      </c>
      <c r="BO104" s="4438">
        <f t="shared" si="135"/>
        <v>0</v>
      </c>
      <c r="BP104" s="4438">
        <f t="shared" si="136"/>
        <v>0</v>
      </c>
      <c r="BQ104" s="4438">
        <f t="shared" si="137"/>
        <v>0</v>
      </c>
      <c r="BR104" s="4438">
        <f t="shared" si="138"/>
        <v>0</v>
      </c>
      <c r="BS104" s="4438">
        <f t="shared" si="139"/>
        <v>0</v>
      </c>
      <c r="BT104" s="4438">
        <f t="shared" si="140"/>
        <v>0</v>
      </c>
      <c r="BU104" s="4438">
        <f t="shared" si="141"/>
        <v>0</v>
      </c>
      <c r="BV104" s="4438">
        <f t="shared" si="142"/>
        <v>0</v>
      </c>
      <c r="BW104" s="4438">
        <f t="shared" si="143"/>
        <v>0</v>
      </c>
      <c r="BX104" s="4438">
        <f t="shared" si="144"/>
        <v>0</v>
      </c>
      <c r="BY104" s="4438">
        <f t="shared" si="145"/>
        <v>0</v>
      </c>
    </row>
    <row r="105" spans="1:77">
      <c r="A105" s="2531">
        <v>12</v>
      </c>
      <c r="B105" s="2527">
        <v>212</v>
      </c>
      <c r="C105" s="2522">
        <v>0.2</v>
      </c>
      <c r="D105" s="2554" t="s">
        <v>214</v>
      </c>
      <c r="E105" s="1091">
        <f t="shared" si="168"/>
        <v>4</v>
      </c>
      <c r="F105" s="883">
        <f t="shared" si="169"/>
        <v>1.9213541666666742</v>
      </c>
      <c r="G105" s="1198">
        <f t="shared" si="169"/>
        <v>-7.1654636888915633</v>
      </c>
      <c r="H105" s="1198">
        <f t="shared" si="169"/>
        <v>-16.156827462146893</v>
      </c>
      <c r="I105" s="1198">
        <f t="shared" si="169"/>
        <v>-25.077314225261645</v>
      </c>
      <c r="J105" s="1198">
        <f t="shared" si="169"/>
        <v>-32.017020466699179</v>
      </c>
      <c r="K105" s="2623">
        <f t="shared" si="169"/>
        <v>-39.018368184660787</v>
      </c>
      <c r="L105" s="1091">
        <f t="shared" si="169"/>
        <v>3</v>
      </c>
      <c r="M105" s="883">
        <f t="shared" si="169"/>
        <v>4.9635416666666643</v>
      </c>
      <c r="N105" s="1198">
        <f t="shared" si="169"/>
        <v>0.11410196867755928</v>
      </c>
      <c r="O105" s="1198">
        <f t="shared" si="169"/>
        <v>-4.623667915899226</v>
      </c>
      <c r="P105" s="1198">
        <f t="shared" si="169"/>
        <v>-9.3333134544358103</v>
      </c>
      <c r="Q105" s="1198">
        <f t="shared" si="169"/>
        <v>-14.022061993474651</v>
      </c>
      <c r="R105" s="2623">
        <f t="shared" si="169"/>
        <v>-18.689007752639995</v>
      </c>
      <c r="S105" s="1091">
        <f t="shared" si="169"/>
        <v>6</v>
      </c>
      <c r="T105" s="1202">
        <f t="shared" si="169"/>
        <v>3.0151041666666742</v>
      </c>
      <c r="U105" s="1198">
        <f t="shared" si="171"/>
        <v>-6.9486382797859818</v>
      </c>
      <c r="V105" s="1198">
        <f t="shared" si="171"/>
        <v>-17.119504621953865</v>
      </c>
      <c r="W105" s="1198">
        <f t="shared" si="171"/>
        <v>-27.389372320302542</v>
      </c>
      <c r="X105" s="1198">
        <f t="shared" si="171"/>
        <v>-37.660917539826173</v>
      </c>
      <c r="Y105" s="1203">
        <f t="shared" si="171"/>
        <v>-47.892624062699227</v>
      </c>
      <c r="Z105" s="1091">
        <f t="shared" si="171"/>
        <v>0</v>
      </c>
      <c r="AA105" s="1202">
        <f t="shared" si="171"/>
        <v>0</v>
      </c>
      <c r="AB105" s="1198">
        <f t="shared" si="171"/>
        <v>0</v>
      </c>
      <c r="AC105" s="1198">
        <f t="shared" si="171"/>
        <v>0</v>
      </c>
      <c r="AD105" s="1198">
        <f t="shared" si="171"/>
        <v>0</v>
      </c>
      <c r="AE105" s="1198">
        <f t="shared" si="171"/>
        <v>0</v>
      </c>
      <c r="AF105" s="1203">
        <f t="shared" si="171"/>
        <v>0</v>
      </c>
      <c r="AG105" s="1091">
        <f t="shared" si="171"/>
        <v>0</v>
      </c>
      <c r="AH105" s="1202">
        <f t="shared" si="171"/>
        <v>0</v>
      </c>
      <c r="AI105" s="1198">
        <f t="shared" si="171"/>
        <v>0</v>
      </c>
      <c r="AJ105" s="1198">
        <f t="shared" si="171"/>
        <v>0</v>
      </c>
      <c r="AK105" s="1198">
        <f t="shared" si="171"/>
        <v>0</v>
      </c>
      <c r="AL105" s="1198">
        <f t="shared" si="171"/>
        <v>0</v>
      </c>
      <c r="AM105" s="1203">
        <f t="shared" si="171"/>
        <v>0</v>
      </c>
      <c r="AN105" s="2513"/>
      <c r="AO105" s="2551"/>
      <c r="AP105" s="4422"/>
      <c r="AQ105" s="4438">
        <f t="shared" si="111"/>
        <v>2.045167524784874</v>
      </c>
      <c r="AR105" s="4438">
        <f t="shared" si="112"/>
        <v>0.98237278631919656</v>
      </c>
      <c r="AS105" s="4438">
        <f t="shared" si="113"/>
        <v>-3.6636434091365628</v>
      </c>
      <c r="AT105" s="4438">
        <f t="shared" si="114"/>
        <v>-8.2608547072838103</v>
      </c>
      <c r="AU105" s="4438">
        <f t="shared" si="115"/>
        <v>-12.821827165582718</v>
      </c>
      <c r="AV105" s="4438">
        <f t="shared" si="116"/>
        <v>-16.370042624716454</v>
      </c>
      <c r="AW105" s="4438">
        <f t="shared" si="117"/>
        <v>-19.949774870341894</v>
      </c>
      <c r="AX105" s="4438">
        <f t="shared" si="118"/>
        <v>1.5338756435886556</v>
      </c>
      <c r="AY105" s="4438">
        <f t="shared" si="119"/>
        <v>2.5378185561458126</v>
      </c>
      <c r="AZ105" s="4438">
        <f t="shared" si="120"/>
        <v>5.8339410213341283E-2</v>
      </c>
      <c r="BA105" s="4438">
        <f t="shared" si="121"/>
        <v>-2.3640438667467141</v>
      </c>
      <c r="BB105" s="4438">
        <f t="shared" si="122"/>
        <v>-4.7720473939124624</v>
      </c>
      <c r="BC105" s="4438">
        <f t="shared" si="123"/>
        <v>-7.1693664548936518</v>
      </c>
      <c r="BD105" s="4438">
        <f t="shared" si="124"/>
        <v>-9.555537931538014</v>
      </c>
      <c r="BE105" s="4438">
        <f t="shared" si="125"/>
        <v>3.0677512871773112</v>
      </c>
      <c r="BF105" s="4438">
        <f t="shared" si="126"/>
        <v>1.5415982813775606</v>
      </c>
      <c r="BG105" s="4438">
        <f t="shared" si="127"/>
        <v>-3.5527823378238303</v>
      </c>
      <c r="BH105" s="4438">
        <f t="shared" si="128"/>
        <v>-8.7530637233061483</v>
      </c>
      <c r="BI105" s="4438">
        <f t="shared" si="129"/>
        <v>-14.003963698431123</v>
      </c>
      <c r="BJ105" s="4438">
        <f t="shared" si="130"/>
        <v>-19.255721376513385</v>
      </c>
      <c r="BK105" s="4438">
        <f t="shared" si="131"/>
        <v>-24.487109852440767</v>
      </c>
      <c r="BL105" s="4438">
        <f t="shared" si="132"/>
        <v>0</v>
      </c>
      <c r="BM105" s="4438">
        <f t="shared" si="133"/>
        <v>0</v>
      </c>
      <c r="BN105" s="4438">
        <f t="shared" si="134"/>
        <v>0</v>
      </c>
      <c r="BO105" s="4438">
        <f t="shared" si="135"/>
        <v>0</v>
      </c>
      <c r="BP105" s="4438">
        <f t="shared" si="136"/>
        <v>0</v>
      </c>
      <c r="BQ105" s="4438">
        <f t="shared" si="137"/>
        <v>0</v>
      </c>
      <c r="BR105" s="4438">
        <f t="shared" si="138"/>
        <v>0</v>
      </c>
      <c r="BS105" s="4438">
        <f t="shared" si="139"/>
        <v>0</v>
      </c>
      <c r="BT105" s="4438">
        <f t="shared" si="140"/>
        <v>0</v>
      </c>
      <c r="BU105" s="4438">
        <f t="shared" si="141"/>
        <v>0</v>
      </c>
      <c r="BV105" s="4438">
        <f t="shared" si="142"/>
        <v>0</v>
      </c>
      <c r="BW105" s="4438">
        <f t="shared" si="143"/>
        <v>0</v>
      </c>
      <c r="BX105" s="4438">
        <f t="shared" si="144"/>
        <v>0</v>
      </c>
      <c r="BY105" s="4438">
        <f t="shared" si="145"/>
        <v>0</v>
      </c>
    </row>
    <row r="106" spans="1:77">
      <c r="A106" s="2531">
        <v>13</v>
      </c>
      <c r="B106" s="2526">
        <v>213</v>
      </c>
      <c r="C106" s="2533">
        <v>0.2</v>
      </c>
      <c r="D106" s="2555" t="s">
        <v>215</v>
      </c>
      <c r="E106" s="1091">
        <f t="shared" si="168"/>
        <v>0</v>
      </c>
      <c r="F106" s="883">
        <f t="shared" si="169"/>
        <v>0</v>
      </c>
      <c r="G106" s="1198">
        <f t="shared" si="169"/>
        <v>0</v>
      </c>
      <c r="H106" s="1198">
        <f t="shared" si="169"/>
        <v>0</v>
      </c>
      <c r="I106" s="1198">
        <f t="shared" si="169"/>
        <v>0</v>
      </c>
      <c r="J106" s="1198">
        <f t="shared" si="169"/>
        <v>0</v>
      </c>
      <c r="K106" s="2623">
        <f t="shared" si="169"/>
        <v>0</v>
      </c>
      <c r="L106" s="1091">
        <f t="shared" si="169"/>
        <v>0</v>
      </c>
      <c r="M106" s="883">
        <f t="shared" si="169"/>
        <v>0</v>
      </c>
      <c r="N106" s="1198">
        <f t="shared" si="169"/>
        <v>0</v>
      </c>
      <c r="O106" s="1198">
        <f t="shared" si="169"/>
        <v>0</v>
      </c>
      <c r="P106" s="1198">
        <f t="shared" si="169"/>
        <v>0</v>
      </c>
      <c r="Q106" s="1198">
        <f t="shared" si="169"/>
        <v>0</v>
      </c>
      <c r="R106" s="2623">
        <f t="shared" si="169"/>
        <v>0</v>
      </c>
      <c r="S106" s="1091">
        <f t="shared" si="169"/>
        <v>0</v>
      </c>
      <c r="T106" s="1202">
        <f t="shared" si="169"/>
        <v>0</v>
      </c>
      <c r="U106" s="1198">
        <f t="shared" si="171"/>
        <v>0</v>
      </c>
      <c r="V106" s="1198">
        <f t="shared" si="171"/>
        <v>0</v>
      </c>
      <c r="W106" s="1198">
        <f t="shared" si="171"/>
        <v>0</v>
      </c>
      <c r="X106" s="1198">
        <f t="shared" si="171"/>
        <v>0</v>
      </c>
      <c r="Y106" s="1203">
        <f t="shared" si="171"/>
        <v>0</v>
      </c>
      <c r="Z106" s="1091">
        <f t="shared" si="171"/>
        <v>0</v>
      </c>
      <c r="AA106" s="1202">
        <f t="shared" si="171"/>
        <v>0</v>
      </c>
      <c r="AB106" s="1198">
        <f t="shared" si="171"/>
        <v>0</v>
      </c>
      <c r="AC106" s="1198">
        <f t="shared" si="171"/>
        <v>0</v>
      </c>
      <c r="AD106" s="1198">
        <f t="shared" si="171"/>
        <v>0</v>
      </c>
      <c r="AE106" s="1198">
        <f t="shared" si="171"/>
        <v>0</v>
      </c>
      <c r="AF106" s="1203">
        <f t="shared" si="171"/>
        <v>0</v>
      </c>
      <c r="AG106" s="1091">
        <f t="shared" si="171"/>
        <v>0</v>
      </c>
      <c r="AH106" s="1202">
        <f t="shared" si="171"/>
        <v>0</v>
      </c>
      <c r="AI106" s="1198">
        <f t="shared" si="171"/>
        <v>0</v>
      </c>
      <c r="AJ106" s="1198">
        <f t="shared" si="171"/>
        <v>0</v>
      </c>
      <c r="AK106" s="1198">
        <f t="shared" si="171"/>
        <v>0</v>
      </c>
      <c r="AL106" s="1198">
        <f t="shared" si="171"/>
        <v>0</v>
      </c>
      <c r="AM106" s="1203">
        <f t="shared" si="171"/>
        <v>0</v>
      </c>
      <c r="AN106" s="2513"/>
      <c r="AO106" s="2551"/>
      <c r="AP106" s="4422"/>
      <c r="AQ106" s="4438">
        <f t="shared" si="111"/>
        <v>0</v>
      </c>
      <c r="AR106" s="4438">
        <f t="shared" si="112"/>
        <v>0</v>
      </c>
      <c r="AS106" s="4438">
        <f t="shared" si="113"/>
        <v>0</v>
      </c>
      <c r="AT106" s="4438">
        <f t="shared" si="114"/>
        <v>0</v>
      </c>
      <c r="AU106" s="4438">
        <f t="shared" si="115"/>
        <v>0</v>
      </c>
      <c r="AV106" s="4438">
        <f t="shared" si="116"/>
        <v>0</v>
      </c>
      <c r="AW106" s="4438">
        <f t="shared" si="117"/>
        <v>0</v>
      </c>
      <c r="AX106" s="4438">
        <f t="shared" si="118"/>
        <v>0</v>
      </c>
      <c r="AY106" s="4438">
        <f t="shared" si="119"/>
        <v>0</v>
      </c>
      <c r="AZ106" s="4438">
        <f t="shared" si="120"/>
        <v>0</v>
      </c>
      <c r="BA106" s="4438">
        <f t="shared" si="121"/>
        <v>0</v>
      </c>
      <c r="BB106" s="4438">
        <f t="shared" si="122"/>
        <v>0</v>
      </c>
      <c r="BC106" s="4438">
        <f t="shared" si="123"/>
        <v>0</v>
      </c>
      <c r="BD106" s="4438">
        <f t="shared" si="124"/>
        <v>0</v>
      </c>
      <c r="BE106" s="4438">
        <f t="shared" si="125"/>
        <v>0</v>
      </c>
      <c r="BF106" s="4438">
        <f t="shared" si="126"/>
        <v>0</v>
      </c>
      <c r="BG106" s="4438">
        <f t="shared" si="127"/>
        <v>0</v>
      </c>
      <c r="BH106" s="4438">
        <f t="shared" si="128"/>
        <v>0</v>
      </c>
      <c r="BI106" s="4438">
        <f t="shared" si="129"/>
        <v>0</v>
      </c>
      <c r="BJ106" s="4438">
        <f t="shared" si="130"/>
        <v>0</v>
      </c>
      <c r="BK106" s="4438">
        <f t="shared" si="131"/>
        <v>0</v>
      </c>
      <c r="BL106" s="4438">
        <f t="shared" si="132"/>
        <v>0</v>
      </c>
      <c r="BM106" s="4438">
        <f t="shared" si="133"/>
        <v>0</v>
      </c>
      <c r="BN106" s="4438">
        <f t="shared" si="134"/>
        <v>0</v>
      </c>
      <c r="BO106" s="4438">
        <f t="shared" si="135"/>
        <v>0</v>
      </c>
      <c r="BP106" s="4438">
        <f t="shared" si="136"/>
        <v>0</v>
      </c>
      <c r="BQ106" s="4438">
        <f t="shared" si="137"/>
        <v>0</v>
      </c>
      <c r="BR106" s="4438">
        <f t="shared" si="138"/>
        <v>0</v>
      </c>
      <c r="BS106" s="4438">
        <f t="shared" si="139"/>
        <v>0</v>
      </c>
      <c r="BT106" s="4438">
        <f t="shared" si="140"/>
        <v>0</v>
      </c>
      <c r="BU106" s="4438">
        <f t="shared" si="141"/>
        <v>0</v>
      </c>
      <c r="BV106" s="4438">
        <f t="shared" si="142"/>
        <v>0</v>
      </c>
      <c r="BW106" s="4438">
        <f t="shared" si="143"/>
        <v>0</v>
      </c>
      <c r="BX106" s="4438">
        <f t="shared" si="144"/>
        <v>0</v>
      </c>
      <c r="BY106" s="4438">
        <f t="shared" si="145"/>
        <v>0</v>
      </c>
    </row>
    <row r="107" spans="1:77">
      <c r="A107" s="2531">
        <v>14</v>
      </c>
      <c r="B107" s="2600"/>
      <c r="C107" s="2600"/>
      <c r="D107" s="2556" t="s">
        <v>628</v>
      </c>
      <c r="E107" s="1091">
        <f t="shared" si="168"/>
        <v>0</v>
      </c>
      <c r="F107" s="883">
        <f t="shared" si="169"/>
        <v>0</v>
      </c>
      <c r="G107" s="1198">
        <f t="shared" si="169"/>
        <v>0</v>
      </c>
      <c r="H107" s="1198">
        <f t="shared" si="169"/>
        <v>0</v>
      </c>
      <c r="I107" s="1198">
        <f t="shared" si="169"/>
        <v>0</v>
      </c>
      <c r="J107" s="1198">
        <f t="shared" si="169"/>
        <v>0</v>
      </c>
      <c r="K107" s="2623">
        <f t="shared" si="169"/>
        <v>0</v>
      </c>
      <c r="L107" s="1091">
        <f t="shared" si="169"/>
        <v>0</v>
      </c>
      <c r="M107" s="883">
        <f t="shared" si="169"/>
        <v>0</v>
      </c>
      <c r="N107" s="1198">
        <f t="shared" si="169"/>
        <v>0</v>
      </c>
      <c r="O107" s="1198">
        <f t="shared" si="169"/>
        <v>0</v>
      </c>
      <c r="P107" s="1198">
        <f t="shared" si="169"/>
        <v>0</v>
      </c>
      <c r="Q107" s="1198">
        <f t="shared" si="169"/>
        <v>0</v>
      </c>
      <c r="R107" s="2623">
        <f t="shared" si="169"/>
        <v>0</v>
      </c>
      <c r="S107" s="1091">
        <f t="shared" si="169"/>
        <v>0</v>
      </c>
      <c r="T107" s="1202">
        <f t="shared" si="169"/>
        <v>0</v>
      </c>
      <c r="U107" s="1198">
        <f t="shared" si="171"/>
        <v>0</v>
      </c>
      <c r="V107" s="1198">
        <f t="shared" si="171"/>
        <v>0</v>
      </c>
      <c r="W107" s="1198">
        <f t="shared" si="171"/>
        <v>0</v>
      </c>
      <c r="X107" s="1198">
        <f t="shared" si="171"/>
        <v>0</v>
      </c>
      <c r="Y107" s="1203">
        <f t="shared" si="171"/>
        <v>0</v>
      </c>
      <c r="Z107" s="1091">
        <f t="shared" si="171"/>
        <v>0</v>
      </c>
      <c r="AA107" s="1202">
        <f t="shared" si="171"/>
        <v>0</v>
      </c>
      <c r="AB107" s="1198">
        <f t="shared" si="171"/>
        <v>0</v>
      </c>
      <c r="AC107" s="1198">
        <f t="shared" si="171"/>
        <v>0</v>
      </c>
      <c r="AD107" s="1198">
        <f t="shared" si="171"/>
        <v>0</v>
      </c>
      <c r="AE107" s="1198">
        <f t="shared" si="171"/>
        <v>0</v>
      </c>
      <c r="AF107" s="1203">
        <f t="shared" si="171"/>
        <v>0</v>
      </c>
      <c r="AG107" s="1091">
        <f t="shared" si="171"/>
        <v>0</v>
      </c>
      <c r="AH107" s="1202">
        <f t="shared" si="171"/>
        <v>0</v>
      </c>
      <c r="AI107" s="1198">
        <f t="shared" si="171"/>
        <v>0</v>
      </c>
      <c r="AJ107" s="1198">
        <f t="shared" si="171"/>
        <v>0</v>
      </c>
      <c r="AK107" s="1198">
        <f t="shared" si="171"/>
        <v>0</v>
      </c>
      <c r="AL107" s="1198">
        <f t="shared" si="171"/>
        <v>0</v>
      </c>
      <c r="AM107" s="1203">
        <f t="shared" si="171"/>
        <v>0</v>
      </c>
      <c r="AN107" s="2513"/>
      <c r="AO107" s="2551"/>
      <c r="AP107" s="4422"/>
      <c r="AQ107" s="4438">
        <f t="shared" si="111"/>
        <v>0</v>
      </c>
      <c r="AR107" s="4438">
        <f t="shared" si="112"/>
        <v>0</v>
      </c>
      <c r="AS107" s="4438">
        <f t="shared" si="113"/>
        <v>0</v>
      </c>
      <c r="AT107" s="4438">
        <f t="shared" si="114"/>
        <v>0</v>
      </c>
      <c r="AU107" s="4438">
        <f t="shared" si="115"/>
        <v>0</v>
      </c>
      <c r="AV107" s="4438">
        <f t="shared" si="116"/>
        <v>0</v>
      </c>
      <c r="AW107" s="4438">
        <f t="shared" si="117"/>
        <v>0</v>
      </c>
      <c r="AX107" s="4438">
        <f t="shared" si="118"/>
        <v>0</v>
      </c>
      <c r="AY107" s="4438">
        <f t="shared" si="119"/>
        <v>0</v>
      </c>
      <c r="AZ107" s="4438">
        <f t="shared" si="120"/>
        <v>0</v>
      </c>
      <c r="BA107" s="4438">
        <f t="shared" si="121"/>
        <v>0</v>
      </c>
      <c r="BB107" s="4438">
        <f t="shared" si="122"/>
        <v>0</v>
      </c>
      <c r="BC107" s="4438">
        <f t="shared" si="123"/>
        <v>0</v>
      </c>
      <c r="BD107" s="4438">
        <f t="shared" si="124"/>
        <v>0</v>
      </c>
      <c r="BE107" s="4438">
        <f t="shared" si="125"/>
        <v>0</v>
      </c>
      <c r="BF107" s="4438">
        <f t="shared" si="126"/>
        <v>0</v>
      </c>
      <c r="BG107" s="4438">
        <f t="shared" si="127"/>
        <v>0</v>
      </c>
      <c r="BH107" s="4438">
        <f t="shared" si="128"/>
        <v>0</v>
      </c>
      <c r="BI107" s="4438">
        <f t="shared" si="129"/>
        <v>0</v>
      </c>
      <c r="BJ107" s="4438">
        <f t="shared" si="130"/>
        <v>0</v>
      </c>
      <c r="BK107" s="4438">
        <f t="shared" si="131"/>
        <v>0</v>
      </c>
      <c r="BL107" s="4438">
        <f t="shared" si="132"/>
        <v>0</v>
      </c>
      <c r="BM107" s="4438">
        <f t="shared" si="133"/>
        <v>0</v>
      </c>
      <c r="BN107" s="4438">
        <f t="shared" si="134"/>
        <v>0</v>
      </c>
      <c r="BO107" s="4438">
        <f t="shared" si="135"/>
        <v>0</v>
      </c>
      <c r="BP107" s="4438">
        <f t="shared" si="136"/>
        <v>0</v>
      </c>
      <c r="BQ107" s="4438">
        <f t="shared" si="137"/>
        <v>0</v>
      </c>
      <c r="BR107" s="4438">
        <f t="shared" si="138"/>
        <v>0</v>
      </c>
      <c r="BS107" s="4438">
        <f t="shared" si="139"/>
        <v>0</v>
      </c>
      <c r="BT107" s="4438">
        <f t="shared" si="140"/>
        <v>0</v>
      </c>
      <c r="BU107" s="4438">
        <f t="shared" si="141"/>
        <v>0</v>
      </c>
      <c r="BV107" s="4438">
        <f t="shared" si="142"/>
        <v>0</v>
      </c>
      <c r="BW107" s="4438">
        <f t="shared" si="143"/>
        <v>0</v>
      </c>
      <c r="BX107" s="4438">
        <f t="shared" si="144"/>
        <v>0</v>
      </c>
      <c r="BY107" s="4438">
        <f t="shared" si="145"/>
        <v>0</v>
      </c>
    </row>
    <row r="108" spans="1:77" ht="24">
      <c r="A108" s="2531">
        <v>15</v>
      </c>
      <c r="B108" s="2526">
        <v>207</v>
      </c>
      <c r="C108" s="2526" t="s">
        <v>313</v>
      </c>
      <c r="D108" s="2555" t="s">
        <v>415</v>
      </c>
      <c r="E108" s="1091">
        <f t="shared" si="168"/>
        <v>0</v>
      </c>
      <c r="F108" s="883">
        <f t="shared" si="169"/>
        <v>0</v>
      </c>
      <c r="G108" s="1198">
        <f t="shared" si="169"/>
        <v>0</v>
      </c>
      <c r="H108" s="1198">
        <f t="shared" si="169"/>
        <v>0</v>
      </c>
      <c r="I108" s="1198">
        <f t="shared" si="169"/>
        <v>0</v>
      </c>
      <c r="J108" s="1198">
        <f t="shared" si="169"/>
        <v>0</v>
      </c>
      <c r="K108" s="2623">
        <f t="shared" si="169"/>
        <v>0</v>
      </c>
      <c r="L108" s="1091">
        <f t="shared" si="169"/>
        <v>0</v>
      </c>
      <c r="M108" s="883">
        <f t="shared" si="169"/>
        <v>0</v>
      </c>
      <c r="N108" s="1198">
        <f t="shared" si="169"/>
        <v>0</v>
      </c>
      <c r="O108" s="1198">
        <f t="shared" si="169"/>
        <v>0</v>
      </c>
      <c r="P108" s="1198">
        <f t="shared" si="169"/>
        <v>0</v>
      </c>
      <c r="Q108" s="1198">
        <f t="shared" si="169"/>
        <v>0</v>
      </c>
      <c r="R108" s="2623">
        <f t="shared" si="169"/>
        <v>0</v>
      </c>
      <c r="S108" s="1091">
        <f t="shared" si="169"/>
        <v>0</v>
      </c>
      <c r="T108" s="1202">
        <f t="shared" si="169"/>
        <v>0</v>
      </c>
      <c r="U108" s="1198">
        <f t="shared" si="171"/>
        <v>0</v>
      </c>
      <c r="V108" s="1198">
        <f t="shared" si="171"/>
        <v>0</v>
      </c>
      <c r="W108" s="1198">
        <f t="shared" si="171"/>
        <v>0</v>
      </c>
      <c r="X108" s="1198">
        <f t="shared" si="171"/>
        <v>0</v>
      </c>
      <c r="Y108" s="1203">
        <f t="shared" si="171"/>
        <v>0</v>
      </c>
      <c r="Z108" s="1091">
        <f t="shared" si="171"/>
        <v>0</v>
      </c>
      <c r="AA108" s="1202">
        <f t="shared" si="171"/>
        <v>0</v>
      </c>
      <c r="AB108" s="1198">
        <f t="shared" si="171"/>
        <v>0</v>
      </c>
      <c r="AC108" s="1198">
        <f t="shared" si="171"/>
        <v>0</v>
      </c>
      <c r="AD108" s="1198">
        <f t="shared" si="171"/>
        <v>0</v>
      </c>
      <c r="AE108" s="1198">
        <f t="shared" si="171"/>
        <v>0</v>
      </c>
      <c r="AF108" s="1203">
        <f t="shared" si="171"/>
        <v>0</v>
      </c>
      <c r="AG108" s="1091">
        <f t="shared" si="171"/>
        <v>0</v>
      </c>
      <c r="AH108" s="1202">
        <f t="shared" si="171"/>
        <v>0</v>
      </c>
      <c r="AI108" s="1198">
        <f t="shared" si="171"/>
        <v>0</v>
      </c>
      <c r="AJ108" s="1198">
        <f t="shared" si="171"/>
        <v>0</v>
      </c>
      <c r="AK108" s="1198">
        <f t="shared" si="171"/>
        <v>0</v>
      </c>
      <c r="AL108" s="1198">
        <f t="shared" si="171"/>
        <v>0</v>
      </c>
      <c r="AM108" s="1203">
        <f t="shared" si="171"/>
        <v>0</v>
      </c>
      <c r="AN108" s="2513"/>
      <c r="AO108" s="2551"/>
      <c r="AP108" s="4422"/>
      <c r="AQ108" s="4438">
        <f t="shared" si="111"/>
        <v>0</v>
      </c>
      <c r="AR108" s="4438">
        <f t="shared" si="112"/>
        <v>0</v>
      </c>
      <c r="AS108" s="4438">
        <f t="shared" si="113"/>
        <v>0</v>
      </c>
      <c r="AT108" s="4438">
        <f t="shared" si="114"/>
        <v>0</v>
      </c>
      <c r="AU108" s="4438">
        <f t="shared" si="115"/>
        <v>0</v>
      </c>
      <c r="AV108" s="4438">
        <f t="shared" si="116"/>
        <v>0</v>
      </c>
      <c r="AW108" s="4438">
        <f t="shared" si="117"/>
        <v>0</v>
      </c>
      <c r="AX108" s="4438">
        <f t="shared" si="118"/>
        <v>0</v>
      </c>
      <c r="AY108" s="4438">
        <f t="shared" si="119"/>
        <v>0</v>
      </c>
      <c r="AZ108" s="4438">
        <f t="shared" si="120"/>
        <v>0</v>
      </c>
      <c r="BA108" s="4438">
        <f t="shared" si="121"/>
        <v>0</v>
      </c>
      <c r="BB108" s="4438">
        <f t="shared" si="122"/>
        <v>0</v>
      </c>
      <c r="BC108" s="4438">
        <f t="shared" si="123"/>
        <v>0</v>
      </c>
      <c r="BD108" s="4438">
        <f t="shared" si="124"/>
        <v>0</v>
      </c>
      <c r="BE108" s="4438">
        <f t="shared" si="125"/>
        <v>0</v>
      </c>
      <c r="BF108" s="4438">
        <f t="shared" si="126"/>
        <v>0</v>
      </c>
      <c r="BG108" s="4438">
        <f t="shared" si="127"/>
        <v>0</v>
      </c>
      <c r="BH108" s="4438">
        <f t="shared" si="128"/>
        <v>0</v>
      </c>
      <c r="BI108" s="4438">
        <f t="shared" si="129"/>
        <v>0</v>
      </c>
      <c r="BJ108" s="4438">
        <f t="shared" si="130"/>
        <v>0</v>
      </c>
      <c r="BK108" s="4438">
        <f t="shared" si="131"/>
        <v>0</v>
      </c>
      <c r="BL108" s="4438">
        <f t="shared" si="132"/>
        <v>0</v>
      </c>
      <c r="BM108" s="4438">
        <f t="shared" si="133"/>
        <v>0</v>
      </c>
      <c r="BN108" s="4438">
        <f t="shared" si="134"/>
        <v>0</v>
      </c>
      <c r="BO108" s="4438">
        <f t="shared" si="135"/>
        <v>0</v>
      </c>
      <c r="BP108" s="4438">
        <f t="shared" si="136"/>
        <v>0</v>
      </c>
      <c r="BQ108" s="4438">
        <f t="shared" si="137"/>
        <v>0</v>
      </c>
      <c r="BR108" s="4438">
        <f t="shared" si="138"/>
        <v>0</v>
      </c>
      <c r="BS108" s="4438">
        <f t="shared" si="139"/>
        <v>0</v>
      </c>
      <c r="BT108" s="4438">
        <f t="shared" si="140"/>
        <v>0</v>
      </c>
      <c r="BU108" s="4438">
        <f t="shared" si="141"/>
        <v>0</v>
      </c>
      <c r="BV108" s="4438">
        <f t="shared" si="142"/>
        <v>0</v>
      </c>
      <c r="BW108" s="4438">
        <f t="shared" si="143"/>
        <v>0</v>
      </c>
      <c r="BX108" s="4438">
        <f t="shared" si="144"/>
        <v>0</v>
      </c>
      <c r="BY108" s="4438">
        <f t="shared" si="145"/>
        <v>0</v>
      </c>
    </row>
    <row r="109" spans="1:77" ht="13.5" thickBot="1">
      <c r="A109" s="2531">
        <v>16</v>
      </c>
      <c r="B109" s="2536">
        <v>219</v>
      </c>
      <c r="C109" s="2537">
        <v>0.1</v>
      </c>
      <c r="D109" s="2560" t="s">
        <v>216</v>
      </c>
      <c r="E109" s="2628">
        <f t="shared" si="168"/>
        <v>6</v>
      </c>
      <c r="F109" s="883">
        <f t="shared" si="169"/>
        <v>4</v>
      </c>
      <c r="G109" s="1198">
        <f t="shared" si="169"/>
        <v>2</v>
      </c>
      <c r="H109" s="1198">
        <f t="shared" si="169"/>
        <v>0</v>
      </c>
      <c r="I109" s="1198">
        <f t="shared" si="169"/>
        <v>-2</v>
      </c>
      <c r="J109" s="1198">
        <f t="shared" si="169"/>
        <v>-4</v>
      </c>
      <c r="K109" s="2623">
        <f t="shared" si="169"/>
        <v>-6</v>
      </c>
      <c r="L109" s="2628">
        <f t="shared" si="169"/>
        <v>4</v>
      </c>
      <c r="M109" s="883">
        <f t="shared" si="169"/>
        <v>2</v>
      </c>
      <c r="N109" s="1198">
        <f t="shared" si="169"/>
        <v>0</v>
      </c>
      <c r="O109" s="1198">
        <f t="shared" si="169"/>
        <v>-2</v>
      </c>
      <c r="P109" s="1198">
        <f t="shared" si="169"/>
        <v>-4</v>
      </c>
      <c r="Q109" s="1198">
        <f t="shared" si="169"/>
        <v>-6</v>
      </c>
      <c r="R109" s="2623">
        <f t="shared" si="169"/>
        <v>-8</v>
      </c>
      <c r="S109" s="2628">
        <f t="shared" si="169"/>
        <v>9</v>
      </c>
      <c r="T109" s="1202">
        <f t="shared" si="169"/>
        <v>6</v>
      </c>
      <c r="U109" s="1198">
        <f t="shared" si="171"/>
        <v>3</v>
      </c>
      <c r="V109" s="1198">
        <f t="shared" si="171"/>
        <v>0</v>
      </c>
      <c r="W109" s="1198">
        <f t="shared" si="171"/>
        <v>-3</v>
      </c>
      <c r="X109" s="1198">
        <f t="shared" si="171"/>
        <v>-6</v>
      </c>
      <c r="Y109" s="1203">
        <f t="shared" si="171"/>
        <v>-9</v>
      </c>
      <c r="Z109" s="2628">
        <f t="shared" si="171"/>
        <v>0</v>
      </c>
      <c r="AA109" s="1202">
        <f t="shared" si="171"/>
        <v>0</v>
      </c>
      <c r="AB109" s="1198">
        <f t="shared" si="171"/>
        <v>0</v>
      </c>
      <c r="AC109" s="1198">
        <f t="shared" si="171"/>
        <v>0</v>
      </c>
      <c r="AD109" s="1198">
        <f t="shared" si="171"/>
        <v>0</v>
      </c>
      <c r="AE109" s="1198">
        <f t="shared" si="171"/>
        <v>0</v>
      </c>
      <c r="AF109" s="1203">
        <f t="shared" si="171"/>
        <v>0</v>
      </c>
      <c r="AG109" s="2628">
        <f t="shared" si="171"/>
        <v>0</v>
      </c>
      <c r="AH109" s="1202">
        <f t="shared" si="171"/>
        <v>0</v>
      </c>
      <c r="AI109" s="1198">
        <f t="shared" si="171"/>
        <v>0</v>
      </c>
      <c r="AJ109" s="1198">
        <f t="shared" si="171"/>
        <v>0</v>
      </c>
      <c r="AK109" s="1198">
        <f t="shared" si="171"/>
        <v>0</v>
      </c>
      <c r="AL109" s="1198">
        <f t="shared" si="171"/>
        <v>0</v>
      </c>
      <c r="AM109" s="1203">
        <f t="shared" si="171"/>
        <v>0</v>
      </c>
      <c r="AN109" s="2567"/>
      <c r="AO109" s="2549"/>
      <c r="AP109" s="4422"/>
      <c r="AQ109" s="4438">
        <f t="shared" si="111"/>
        <v>3.0677512871773112</v>
      </c>
      <c r="AR109" s="4438">
        <f t="shared" si="112"/>
        <v>2.045167524784874</v>
      </c>
      <c r="AS109" s="4438">
        <f t="shared" si="113"/>
        <v>1.022583762392437</v>
      </c>
      <c r="AT109" s="4438">
        <f t="shared" si="114"/>
        <v>0</v>
      </c>
      <c r="AU109" s="4438">
        <f t="shared" si="115"/>
        <v>-1.022583762392437</v>
      </c>
      <c r="AV109" s="4438">
        <f t="shared" si="116"/>
        <v>-2.045167524784874</v>
      </c>
      <c r="AW109" s="4438">
        <f t="shared" si="117"/>
        <v>-3.0677512871773112</v>
      </c>
      <c r="AX109" s="4438">
        <f t="shared" si="118"/>
        <v>2.045167524784874</v>
      </c>
      <c r="AY109" s="4438">
        <f t="shared" si="119"/>
        <v>1.022583762392437</v>
      </c>
      <c r="AZ109" s="4438">
        <f t="shared" si="120"/>
        <v>0</v>
      </c>
      <c r="BA109" s="4438">
        <f t="shared" si="121"/>
        <v>-1.022583762392437</v>
      </c>
      <c r="BB109" s="4438">
        <f t="shared" si="122"/>
        <v>-2.045167524784874</v>
      </c>
      <c r="BC109" s="4438">
        <f t="shared" si="123"/>
        <v>-3.0677512871773112</v>
      </c>
      <c r="BD109" s="4438">
        <f t="shared" si="124"/>
        <v>-4.0903350495697479</v>
      </c>
      <c r="BE109" s="4438">
        <f t="shared" si="125"/>
        <v>4.6016269307659661</v>
      </c>
      <c r="BF109" s="4438">
        <f t="shared" si="126"/>
        <v>3.0677512871773112</v>
      </c>
      <c r="BG109" s="4438">
        <f t="shared" si="127"/>
        <v>1.5338756435886556</v>
      </c>
      <c r="BH109" s="4438">
        <f t="shared" si="128"/>
        <v>0</v>
      </c>
      <c r="BI109" s="4438">
        <f t="shared" si="129"/>
        <v>-1.5338756435886556</v>
      </c>
      <c r="BJ109" s="4438">
        <f t="shared" si="130"/>
        <v>-3.0677512871773112</v>
      </c>
      <c r="BK109" s="4438">
        <f t="shared" si="131"/>
        <v>-4.6016269307659661</v>
      </c>
      <c r="BL109" s="4438">
        <f t="shared" si="132"/>
        <v>0</v>
      </c>
      <c r="BM109" s="4438">
        <f t="shared" si="133"/>
        <v>0</v>
      </c>
      <c r="BN109" s="4438">
        <f t="shared" si="134"/>
        <v>0</v>
      </c>
      <c r="BO109" s="4438">
        <f t="shared" si="135"/>
        <v>0</v>
      </c>
      <c r="BP109" s="4438">
        <f t="shared" si="136"/>
        <v>0</v>
      </c>
      <c r="BQ109" s="4438">
        <f t="shared" si="137"/>
        <v>0</v>
      </c>
      <c r="BR109" s="4438">
        <f t="shared" si="138"/>
        <v>0</v>
      </c>
      <c r="BS109" s="4438">
        <f t="shared" si="139"/>
        <v>0</v>
      </c>
      <c r="BT109" s="4438">
        <f t="shared" si="140"/>
        <v>0</v>
      </c>
      <c r="BU109" s="4438">
        <f t="shared" si="141"/>
        <v>0</v>
      </c>
      <c r="BV109" s="4438">
        <f t="shared" si="142"/>
        <v>0</v>
      </c>
      <c r="BW109" s="4438">
        <f t="shared" si="143"/>
        <v>0</v>
      </c>
      <c r="BX109" s="4438">
        <f t="shared" si="144"/>
        <v>0</v>
      </c>
      <c r="BY109" s="4438">
        <f t="shared" si="145"/>
        <v>0</v>
      </c>
    </row>
    <row r="110" spans="1:77" ht="24.75" thickBot="1">
      <c r="A110" s="2568" t="s">
        <v>416</v>
      </c>
      <c r="B110" s="2568"/>
      <c r="C110" s="2568"/>
      <c r="D110" s="2569" t="s">
        <v>644</v>
      </c>
      <c r="E110" s="2629"/>
      <c r="F110" s="2630"/>
      <c r="G110" s="2495"/>
      <c r="H110" s="2495"/>
      <c r="I110" s="2495"/>
      <c r="J110" s="2495"/>
      <c r="K110" s="2631"/>
      <c r="L110" s="2629"/>
      <c r="M110" s="2630"/>
      <c r="N110" s="2495"/>
      <c r="O110" s="2495"/>
      <c r="P110" s="2495"/>
      <c r="Q110" s="2495"/>
      <c r="R110" s="2631"/>
      <c r="S110" s="2629"/>
      <c r="T110" s="2630"/>
      <c r="U110" s="2495"/>
      <c r="V110" s="2495"/>
      <c r="W110" s="2495"/>
      <c r="X110" s="2495"/>
      <c r="Y110" s="2631"/>
      <c r="Z110" s="2629"/>
      <c r="AA110" s="2630"/>
      <c r="AB110" s="2495"/>
      <c r="AC110" s="2495"/>
      <c r="AD110" s="2495"/>
      <c r="AE110" s="2495"/>
      <c r="AF110" s="2631"/>
      <c r="AG110" s="2629"/>
      <c r="AH110" s="2630"/>
      <c r="AI110" s="2495"/>
      <c r="AJ110" s="2495"/>
      <c r="AK110" s="2495"/>
      <c r="AL110" s="2495"/>
      <c r="AM110" s="2631"/>
      <c r="AN110" s="2570"/>
      <c r="AO110" s="2549"/>
      <c r="AP110" s="4422"/>
    </row>
    <row r="111" spans="1:77" s="1292" customFormat="1" ht="11.25" customHeight="1" thickBot="1">
      <c r="A111" s="2501" t="s">
        <v>205</v>
      </c>
      <c r="B111" s="2502"/>
      <c r="C111" s="2502"/>
      <c r="D111" s="2502" t="s">
        <v>334</v>
      </c>
      <c r="E111" s="1220">
        <f t="shared" ref="E111" si="172">SUM(E112:E130)</f>
        <v>6040</v>
      </c>
      <c r="F111" s="2632">
        <f t="shared" ref="F111:AM111" si="173">SUM(F112:F130)</f>
        <v>7399</v>
      </c>
      <c r="G111" s="1121">
        <f t="shared" si="173"/>
        <v>12367.479203333332</v>
      </c>
      <c r="H111" s="1121">
        <f t="shared" si="173"/>
        <v>21293.104276666669</v>
      </c>
      <c r="I111" s="1122">
        <f t="shared" si="173"/>
        <v>30218.062683333337</v>
      </c>
      <c r="J111" s="1121">
        <f t="shared" si="173"/>
        <v>31372.796016666667</v>
      </c>
      <c r="K111" s="1121">
        <f t="shared" si="173"/>
        <v>32497.462683333335</v>
      </c>
      <c r="L111" s="1220">
        <f t="shared" si="173"/>
        <v>368</v>
      </c>
      <c r="M111" s="2632">
        <f t="shared" si="173"/>
        <v>504</v>
      </c>
      <c r="N111" s="1121">
        <f t="shared" si="173"/>
        <v>1930.6016933333333</v>
      </c>
      <c r="O111" s="1121">
        <f t="shared" si="173"/>
        <v>4344.4717466666661</v>
      </c>
      <c r="P111" s="1122">
        <f t="shared" si="173"/>
        <v>6576.6751333333332</v>
      </c>
      <c r="Q111" s="1121">
        <f t="shared" si="173"/>
        <v>6908.4084666666668</v>
      </c>
      <c r="R111" s="1121">
        <f t="shared" si="173"/>
        <v>7254.0751333333337</v>
      </c>
      <c r="S111" s="1220">
        <f t="shared" si="173"/>
        <v>611</v>
      </c>
      <c r="T111" s="2632">
        <f t="shared" si="173"/>
        <v>715</v>
      </c>
      <c r="U111" s="1121">
        <f t="shared" si="173"/>
        <v>2172.2228773333331</v>
      </c>
      <c r="V111" s="1121">
        <f t="shared" si="173"/>
        <v>4758.3352986666669</v>
      </c>
      <c r="W111" s="1122">
        <f t="shared" si="173"/>
        <v>7234.7810533333331</v>
      </c>
      <c r="X111" s="1121">
        <f t="shared" si="173"/>
        <v>7548.5143866666667</v>
      </c>
      <c r="Y111" s="2633">
        <f t="shared" si="173"/>
        <v>7869.1810533333337</v>
      </c>
      <c r="Z111" s="1220">
        <f t="shared" si="173"/>
        <v>0</v>
      </c>
      <c r="AA111" s="2632">
        <f t="shared" si="173"/>
        <v>0</v>
      </c>
      <c r="AB111" s="1121">
        <f t="shared" si="173"/>
        <v>0</v>
      </c>
      <c r="AC111" s="1121">
        <f t="shared" si="173"/>
        <v>0</v>
      </c>
      <c r="AD111" s="1122">
        <f t="shared" si="173"/>
        <v>0</v>
      </c>
      <c r="AE111" s="1121">
        <f t="shared" si="173"/>
        <v>0</v>
      </c>
      <c r="AF111" s="2633">
        <f t="shared" si="173"/>
        <v>0</v>
      </c>
      <c r="AG111" s="1220">
        <f t="shared" si="173"/>
        <v>0</v>
      </c>
      <c r="AH111" s="2632">
        <f t="shared" si="173"/>
        <v>0</v>
      </c>
      <c r="AI111" s="1121">
        <f t="shared" si="173"/>
        <v>0</v>
      </c>
      <c r="AJ111" s="1121">
        <f t="shared" si="173"/>
        <v>0</v>
      </c>
      <c r="AK111" s="1122">
        <f t="shared" si="173"/>
        <v>0</v>
      </c>
      <c r="AL111" s="1121">
        <f t="shared" si="173"/>
        <v>0</v>
      </c>
      <c r="AM111" s="2633">
        <f t="shared" si="173"/>
        <v>0</v>
      </c>
      <c r="AN111" s="2508"/>
      <c r="AO111" s="2551"/>
      <c r="AP111" s="4422"/>
      <c r="AQ111" s="4438">
        <f t="shared" ref="AQ111:AQ174" si="174">IFERROR(E111/$D$1,0)</f>
        <v>3088.2029624251595</v>
      </c>
      <c r="AR111" s="4438">
        <f t="shared" ref="AR111:AR174" si="175">IFERROR(F111/$D$1,0)</f>
        <v>3783.0486289708206</v>
      </c>
      <c r="AS111" s="4438">
        <f t="shared" ref="AS111:AS174" si="176">IFERROR(G111/$D$1,0)</f>
        <v>6323.3917075274094</v>
      </c>
      <c r="AT111" s="4438">
        <f t="shared" ref="AT111:AT174" si="177">IFERROR(H111/$D$1,0)</f>
        <v>10886.991342124147</v>
      </c>
      <c r="AU111" s="4438">
        <f t="shared" ref="AU111:AU174" si="178">IFERROR(I111/$D$1,0)</f>
        <v>15450.250115466752</v>
      </c>
      <c r="AV111" s="4438">
        <f t="shared" ref="AV111:AV174" si="179">IFERROR(J111/$D$1,0)</f>
        <v>16040.655893746731</v>
      </c>
      <c r="AW111" s="4438">
        <f t="shared" ref="AW111:AW174" si="180">IFERROR(K111/$D$1,0)</f>
        <v>16615.688829465413</v>
      </c>
      <c r="AX111" s="4438">
        <f t="shared" ref="AX111:AX174" si="181">IFERROR(L111/$D$1,0)</f>
        <v>188.1554122802084</v>
      </c>
      <c r="AY111" s="4438">
        <f t="shared" ref="AY111:AY174" si="182">IFERROR(M111/$D$1,0)</f>
        <v>257.69110812289415</v>
      </c>
      <c r="AZ111" s="4438">
        <f t="shared" ref="AZ111:AZ174" si="183">IFERROR(N111/$D$1,0)</f>
        <v>987.10097162500495</v>
      </c>
      <c r="BA111" s="4438">
        <f t="shared" ref="BA111:BA174" si="184">IFERROR(O111/$D$1,0)</f>
        <v>2221.2931321570209</v>
      </c>
      <c r="BB111" s="4438">
        <f t="shared" ref="BB111:BB174" si="185">IFERROR(P111/$D$1,0)</f>
        <v>3362.6006009383909</v>
      </c>
      <c r="BC111" s="4438">
        <f t="shared" ref="BC111:BC174" si="186">IFERROR(Q111/$D$1,0)</f>
        <v>3532.2131609938833</v>
      </c>
      <c r="BD111" s="4438">
        <f t="shared" ref="BD111:BD174" si="187">IFERROR(R111/$D$1,0)</f>
        <v>3708.9497212607098</v>
      </c>
      <c r="BE111" s="4438">
        <f t="shared" ref="BE111:BE174" si="188">IFERROR(S111/$D$1,0)</f>
        <v>312.39933941088952</v>
      </c>
      <c r="BF111" s="4438">
        <f t="shared" ref="BF111:BF174" si="189">IFERROR(T111/$D$1,0)</f>
        <v>365.57369505529624</v>
      </c>
      <c r="BG111" s="4438">
        <f t="shared" ref="BG111:BG174" si="190">IFERROR(U111/$D$1,0)</f>
        <v>1110.6399213292225</v>
      </c>
      <c r="BH111" s="4438">
        <f t="shared" ref="BH111:BH174" si="191">IFERROR(V111/$D$1,0)</f>
        <v>2432.8982062176501</v>
      </c>
      <c r="BI111" s="4438">
        <f t="shared" ref="BI111:BI174" si="192">IFERROR(W111/$D$1,0)</f>
        <v>3699.0848148015589</v>
      </c>
      <c r="BJ111" s="4438">
        <f t="shared" ref="BJ111:BJ174" si="193">IFERROR(X111/$D$1,0)</f>
        <v>3859.4941209955196</v>
      </c>
      <c r="BK111" s="4438">
        <f t="shared" ref="BK111:BK174" si="194">IFERROR(Y111/$D$1,0)</f>
        <v>4023.4483842324403</v>
      </c>
      <c r="BL111" s="4438">
        <f t="shared" ref="BL111:BL174" si="195">IFERROR(Z111/$D$1,0)</f>
        <v>0</v>
      </c>
      <c r="BM111" s="4438">
        <f t="shared" ref="BM111:BM174" si="196">IFERROR(AA111/$D$1,0)</f>
        <v>0</v>
      </c>
      <c r="BN111" s="4438">
        <f t="shared" ref="BN111:BN174" si="197">IFERROR(AB111/$D$1,0)</f>
        <v>0</v>
      </c>
      <c r="BO111" s="4438">
        <f t="shared" ref="BO111:BO174" si="198">IFERROR(AC111/$D$1,0)</f>
        <v>0</v>
      </c>
      <c r="BP111" s="4438">
        <f t="shared" ref="BP111:BP174" si="199">IFERROR(AD111/$D$1,0)</f>
        <v>0</v>
      </c>
      <c r="BQ111" s="4438">
        <f t="shared" ref="BQ111:BQ174" si="200">IFERROR(AE111/$D$1,0)</f>
        <v>0</v>
      </c>
      <c r="BR111" s="4438">
        <f t="shared" ref="BR111:BR174" si="201">IFERROR(AF111/$D$1,0)</f>
        <v>0</v>
      </c>
      <c r="BS111" s="4438">
        <f t="shared" ref="BS111:BS174" si="202">IFERROR(AG111/$D$1,0)</f>
        <v>0</v>
      </c>
      <c r="BT111" s="4438">
        <f t="shared" ref="BT111:BT174" si="203">IFERROR(AH111/$D$1,0)</f>
        <v>0</v>
      </c>
      <c r="BU111" s="4438">
        <f t="shared" ref="BU111:BU174" si="204">IFERROR(AI111/$D$1,0)</f>
        <v>0</v>
      </c>
      <c r="BV111" s="4438">
        <f t="shared" ref="BV111:BV174" si="205">IFERROR(AJ111/$D$1,0)</f>
        <v>0</v>
      </c>
      <c r="BW111" s="4438">
        <f t="shared" ref="BW111:BW174" si="206">IFERROR(AK111/$D$1,0)</f>
        <v>0</v>
      </c>
      <c r="BX111" s="4438">
        <f t="shared" ref="BX111:BX174" si="207">IFERROR(AL111/$D$1,0)</f>
        <v>0</v>
      </c>
      <c r="BY111" s="4438">
        <f t="shared" ref="BY111:BY174" si="208">IFERROR(AM111/$D$1,0)</f>
        <v>0</v>
      </c>
    </row>
    <row r="112" spans="1:77" s="1292" customFormat="1">
      <c r="A112" s="2515">
        <v>1</v>
      </c>
      <c r="B112" s="2509">
        <v>20102</v>
      </c>
      <c r="C112" s="2533">
        <v>0</v>
      </c>
      <c r="D112" s="2563" t="s">
        <v>558</v>
      </c>
      <c r="E112" s="4387">
        <f>+'11.3. ДА Базова година'!H92</f>
        <v>0</v>
      </c>
      <c r="F112" s="2614">
        <f>E112+SUMIF('11.1.Амортиз.нови активи'!$B$12:$B$59,$B112,'11.1.Амортиз.нови активи'!F$12:F$59)+('9.Инвестиционна програма'!H$130*SUMIF('11.1.Амортиз.нови активи'!$B$12:$B$59,$B112,'11.1.Амортиз.нови активи'!AO$12:AO$59))</f>
        <v>0</v>
      </c>
      <c r="G112" s="1114">
        <f>F112+SUMIF('11.1.Амортиз.нови активи'!$B$12:$B$59,$B112,'11.1.Амортиз.нови активи'!G$12:G$59)+('9.Инвестиционна програма'!I$130*SUMIF('11.1.Амортиз.нови активи'!$B$12:$B$59,$B112,'11.1.Амортиз.нови активи'!AP$12:AP$59))</f>
        <v>0</v>
      </c>
      <c r="H112" s="1119">
        <f>G112+SUMIF('11.1.Амортиз.нови активи'!$B$12:$B$59,$B112,'11.1.Амортиз.нови активи'!H$12:H$59)+('9.Инвестиционна програма'!J$130*SUMIF('11.1.Амортиз.нови активи'!$B$12:$B$59,$B112,'11.1.Амортиз.нови активи'!AQ$12:AQ$59))</f>
        <v>0</v>
      </c>
      <c r="I112" s="1119">
        <f>H112+SUMIF('11.1.Амортиз.нови активи'!$B$12:$B$59,$B112,'11.1.Амортиз.нови активи'!I$12:I$59)+('9.Инвестиционна програма'!K$130*SUMIF('11.1.Амортиз.нови активи'!$B$12:$B$59,$B112,'11.1.Амортиз.нови активи'!AR$12:AR$59))</f>
        <v>0</v>
      </c>
      <c r="J112" s="1119">
        <f>I112+SUMIF('11.1.Амортиз.нови активи'!$B$12:$B$59,$B112,'11.1.Амортиз.нови активи'!J$12:J$59)+('9.Инвестиционна програма'!L$130*SUMIF('11.1.Амортиз.нови активи'!$B$12:$B$59,$B112,'11.1.Амортиз.нови активи'!AS$12:AS$59))</f>
        <v>0</v>
      </c>
      <c r="K112" s="2615">
        <f>J112+SUMIF('11.1.Амортиз.нови активи'!$B$12:$B$59,$B112,'11.1.Амортиз.нови активи'!K$12:K$59)+('9.Инвестиционна програма'!M$130*SUMIF('11.1.Амортиз.нови активи'!$B$12:$B$59,$B112,'11.1.Амортиз.нови активи'!AT$12:AT$59))</f>
        <v>0</v>
      </c>
      <c r="L112" s="4387">
        <f>+'11.3. ДА Базова година'!L92</f>
        <v>0</v>
      </c>
      <c r="M112" s="2614">
        <f>L112+SUMIF('11.1.Амортиз.нови активи'!$B$12:$B$59,$B112,'11.1.Амортиз.нови активи'!M$12:M$59)+('9.Инвестиционна програма'!H$131*SUMIF('11.1.Амортиз.нови активи'!$B$12:$B$59,$B112,'11.1.Амортиз.нови активи'!AO$12:AO$59))</f>
        <v>0</v>
      </c>
      <c r="N112" s="1119">
        <f>M112+SUMIF('11.1.Амортиз.нови активи'!$B$12:$B$59,$B112,'11.1.Амортиз.нови активи'!N$12:N$59)+('9.Инвестиционна програма'!I$131*SUMIF('11.1.Амортиз.нови активи'!$B$12:$B$59,$B112,'11.1.Амортиз.нови активи'!AP$12:AP$59))</f>
        <v>0</v>
      </c>
      <c r="O112" s="1119">
        <f>N112+SUMIF('11.1.Амортиз.нови активи'!$B$12:$B$59,$B112,'11.1.Амортиз.нови активи'!O$12:O$59)+('9.Инвестиционна програма'!J$131*SUMIF('11.1.Амортиз.нови активи'!$B$12:$B$59,$B112,'11.1.Амортиз.нови активи'!AQ$12:AQ$59))</f>
        <v>0</v>
      </c>
      <c r="P112" s="1119">
        <f>O112+SUMIF('11.1.Амортиз.нови активи'!$B$12:$B$59,$B112,'11.1.Амортиз.нови активи'!P$12:P$59)+('9.Инвестиционна програма'!K$131*SUMIF('11.1.Амортиз.нови активи'!$B$12:$B$59,$B112,'11.1.Амортиз.нови активи'!AR$12:AR$59))</f>
        <v>0</v>
      </c>
      <c r="Q112" s="1119">
        <f>P112+SUMIF('11.1.Амортиз.нови активи'!$B$12:$B$59,$B112,'11.1.Амортиз.нови активи'!Q$12:Q$59)+('9.Инвестиционна програма'!L$131*SUMIF('11.1.Амортиз.нови активи'!$B$12:$B$59,$B112,'11.1.Амортиз.нови активи'!AS$12:AS$59))</f>
        <v>0</v>
      </c>
      <c r="R112" s="2615">
        <f>Q112+SUMIF('11.1.Амортиз.нови активи'!$B$12:$B$59,$B112,'11.1.Амортиз.нови активи'!R$12:R$59)+('9.Инвестиционна програма'!M$131*SUMIF('11.1.Амортиз.нови активи'!$B$12:$B$59,$B112,'11.1.Амортиз.нови активи'!AT$12:AT$59))</f>
        <v>0</v>
      </c>
      <c r="S112" s="4387">
        <f>+'11.3. ДА Базова година'!P92</f>
        <v>0</v>
      </c>
      <c r="T112" s="2614">
        <f>S112+SUMIF('11.1.Амортиз.нови активи'!$B$12:$B$59,$B112,'11.1.Амортиз.нови активи'!T$12:T$59)+('9.Инвестиционна програма'!H$132*SUMIF('11.1.Амортиз.нови активи'!$B$12:$B$59,$B112,'11.1.Амортиз.нови активи'!AO$12:AO$59))</f>
        <v>0</v>
      </c>
      <c r="U112" s="1119">
        <f>T112+SUMIF('11.1.Амортиз.нови активи'!$B$12:$B$59,$B112,'11.1.Амортиз.нови активи'!U$12:U$59)+('9.Инвестиционна програма'!I$132*SUMIF('11.1.Амортиз.нови активи'!$B$12:$B$59,$B112,'11.1.Амортиз.нови активи'!AP$12:AP$59))</f>
        <v>0</v>
      </c>
      <c r="V112" s="1119">
        <f>U112+SUMIF('11.1.Амортиз.нови активи'!$B$12:$B$59,$B112,'11.1.Амортиз.нови активи'!V$12:V$59)+('9.Инвестиционна програма'!J$132*SUMIF('11.1.Амортиз.нови активи'!$B$12:$B$59,$B112,'11.1.Амортиз.нови активи'!AQ$12:AQ$59))</f>
        <v>0</v>
      </c>
      <c r="W112" s="1119">
        <f>V112+SUMIF('11.1.Амортиз.нови активи'!$B$12:$B$59,$B112,'11.1.Амортиз.нови активи'!W$12:W$59)+('9.Инвестиционна програма'!K$132*SUMIF('11.1.Амортиз.нови активи'!$B$12:$B$59,$B112,'11.1.Амортиз.нови активи'!AR$12:AR$59))</f>
        <v>0</v>
      </c>
      <c r="X112" s="1119">
        <f>W112+SUMIF('11.1.Амортиз.нови активи'!$B$12:$B$59,$B112,'11.1.Амортиз.нови активи'!X$12:X$59)+('9.Инвестиционна програма'!L$132*SUMIF('11.1.Амортиз.нови активи'!$B$12:$B$59,$B112,'11.1.Амортиз.нови активи'!AS$12:AS$59))</f>
        <v>0</v>
      </c>
      <c r="Y112" s="2615">
        <f>X112+SUMIF('11.1.Амортиз.нови активи'!$B$12:$B$59,$B112,'11.1.Амортиз.нови активи'!Y$12:Y$59)+('9.Инвестиционна програма'!M$132*SUMIF('11.1.Амортиз.нови активи'!$B$12:$B$59,$B112,'11.1.Амортиз.нови активи'!AT$12:AT$59))</f>
        <v>0</v>
      </c>
      <c r="Z112" s="4387">
        <f>+'11.3. ДА Базова година'!T92</f>
        <v>0</v>
      </c>
      <c r="AA112" s="2614">
        <f>Z112+SUMIF('11.1.Амортиз.нови активи'!$B$12:$B$59,$B112,'11.1.Амортиз.нови активи'!AA$12:AA$59)</f>
        <v>0</v>
      </c>
      <c r="AB112" s="1119">
        <f>AA112+SUMIF('11.1.Амортиз.нови активи'!$B$12:$B$59,$B112,'11.1.Амортиз.нови активи'!AB$12:AB$59)</f>
        <v>0</v>
      </c>
      <c r="AC112" s="1119">
        <f>AB112+SUMIF('11.1.Амортиз.нови активи'!$B$12:$B$59,$B112,'11.1.Амортиз.нови активи'!AC$12:AC$59)</f>
        <v>0</v>
      </c>
      <c r="AD112" s="1119">
        <f>AC112+SUMIF('11.1.Амортиз.нови активи'!$B$12:$B$59,$B112,'11.1.Амортиз.нови активи'!AD$12:AD$59)</f>
        <v>0</v>
      </c>
      <c r="AE112" s="1119">
        <f>AD112+SUMIF('11.1.Амортиз.нови активи'!$B$12:$B$59,$B112,'11.1.Амортиз.нови активи'!AE$12:AE$59)</f>
        <v>0</v>
      </c>
      <c r="AF112" s="2615">
        <f>AE112+SUMIF('11.1.Амортиз.нови активи'!$B$12:$B$59,$B112,'11.1.Амортиз.нови активи'!AF$12:AF$59)</f>
        <v>0</v>
      </c>
      <c r="AG112" s="4387">
        <f>+'11.3. ДА Базова година'!X92</f>
        <v>0</v>
      </c>
      <c r="AH112" s="2614">
        <f>AG112+SUMIF('11.1.Амортиз.нови активи'!$B$12:$B$59,$B112,'11.1.Амортиз.нови активи'!AH$12:AH$59)</f>
        <v>0</v>
      </c>
      <c r="AI112" s="1119">
        <f>AH112+SUMIF('11.1.Амортиз.нови активи'!$B$12:$B$59,$B112,'11.1.Амортиз.нови активи'!AI$12:AI$59)</f>
        <v>0</v>
      </c>
      <c r="AJ112" s="1119">
        <f>AI112+SUMIF('11.1.Амортиз.нови активи'!$B$12:$B$59,$B112,'11.1.Амортиз.нови активи'!AJ$12:AJ$59)</f>
        <v>0</v>
      </c>
      <c r="AK112" s="1119">
        <f>AJ112+SUMIF('11.1.Амортиз.нови активи'!$B$12:$B$59,$B112,'11.1.Амортиз.нови активи'!AK$12:AK$59)</f>
        <v>0</v>
      </c>
      <c r="AL112" s="1119">
        <f>AK112+SUMIF('11.1.Амортиз.нови активи'!$B$12:$B$59,$B112,'11.1.Амортиз.нови активи'!AL$12:AL$59)</f>
        <v>0</v>
      </c>
      <c r="AM112" s="2615">
        <f>AL112+SUMIF('11.1.Амортиз.нови активи'!$B$12:$B$59,$B112,'11.1.Амортиз.нови активи'!AM$12:AM$59)</f>
        <v>0</v>
      </c>
      <c r="AN112" s="2513"/>
      <c r="AO112" s="2551"/>
      <c r="AP112" s="4422"/>
      <c r="AQ112" s="4438">
        <f t="shared" si="174"/>
        <v>0</v>
      </c>
      <c r="AR112" s="4438">
        <f t="shared" si="175"/>
        <v>0</v>
      </c>
      <c r="AS112" s="4438">
        <f t="shared" si="176"/>
        <v>0</v>
      </c>
      <c r="AT112" s="4438">
        <f t="shared" si="177"/>
        <v>0</v>
      </c>
      <c r="AU112" s="4438">
        <f t="shared" si="178"/>
        <v>0</v>
      </c>
      <c r="AV112" s="4438">
        <f t="shared" si="179"/>
        <v>0</v>
      </c>
      <c r="AW112" s="4438">
        <f t="shared" si="180"/>
        <v>0</v>
      </c>
      <c r="AX112" s="4438">
        <f t="shared" si="181"/>
        <v>0</v>
      </c>
      <c r="AY112" s="4438">
        <f t="shared" si="182"/>
        <v>0</v>
      </c>
      <c r="AZ112" s="4438">
        <f t="shared" si="183"/>
        <v>0</v>
      </c>
      <c r="BA112" s="4438">
        <f t="shared" si="184"/>
        <v>0</v>
      </c>
      <c r="BB112" s="4438">
        <f t="shared" si="185"/>
        <v>0</v>
      </c>
      <c r="BC112" s="4438">
        <f t="shared" si="186"/>
        <v>0</v>
      </c>
      <c r="BD112" s="4438">
        <f t="shared" si="187"/>
        <v>0</v>
      </c>
      <c r="BE112" s="4438">
        <f t="shared" si="188"/>
        <v>0</v>
      </c>
      <c r="BF112" s="4438">
        <f t="shared" si="189"/>
        <v>0</v>
      </c>
      <c r="BG112" s="4438">
        <f t="shared" si="190"/>
        <v>0</v>
      </c>
      <c r="BH112" s="4438">
        <f t="shared" si="191"/>
        <v>0</v>
      </c>
      <c r="BI112" s="4438">
        <f t="shared" si="192"/>
        <v>0</v>
      </c>
      <c r="BJ112" s="4438">
        <f t="shared" si="193"/>
        <v>0</v>
      </c>
      <c r="BK112" s="4438">
        <f t="shared" si="194"/>
        <v>0</v>
      </c>
      <c r="BL112" s="4438">
        <f t="shared" si="195"/>
        <v>0</v>
      </c>
      <c r="BM112" s="4438">
        <f t="shared" si="196"/>
        <v>0</v>
      </c>
      <c r="BN112" s="4438">
        <f t="shared" si="197"/>
        <v>0</v>
      </c>
      <c r="BO112" s="4438">
        <f t="shared" si="198"/>
        <v>0</v>
      </c>
      <c r="BP112" s="4438">
        <f t="shared" si="199"/>
        <v>0</v>
      </c>
      <c r="BQ112" s="4438">
        <f t="shared" si="200"/>
        <v>0</v>
      </c>
      <c r="BR112" s="4438">
        <f t="shared" si="201"/>
        <v>0</v>
      </c>
      <c r="BS112" s="4438">
        <f t="shared" si="202"/>
        <v>0</v>
      </c>
      <c r="BT112" s="4438">
        <f t="shared" si="203"/>
        <v>0</v>
      </c>
      <c r="BU112" s="4438">
        <f t="shared" si="204"/>
        <v>0</v>
      </c>
      <c r="BV112" s="4438">
        <f t="shared" si="205"/>
        <v>0</v>
      </c>
      <c r="BW112" s="4438">
        <f t="shared" si="206"/>
        <v>0</v>
      </c>
      <c r="BX112" s="4438">
        <f t="shared" si="207"/>
        <v>0</v>
      </c>
      <c r="BY112" s="4438">
        <f t="shared" si="208"/>
        <v>0</v>
      </c>
    </row>
    <row r="113" spans="1:77" s="1292" customFormat="1">
      <c r="A113" s="2515">
        <v>2</v>
      </c>
      <c r="B113" s="2516">
        <v>20202</v>
      </c>
      <c r="C113" s="2517">
        <v>0.03</v>
      </c>
      <c r="D113" s="2571" t="s">
        <v>426</v>
      </c>
      <c r="E113" s="4387">
        <f>+'11.3. ДА Базова година'!H93</f>
        <v>12</v>
      </c>
      <c r="F113" s="2617">
        <f>E113+SUMIF('11.1.Амортиз.нови активи'!$B$12:$B$59,$B113,'11.1.Амортиз.нови активи'!F$12:F$59)+('9.Инвестиционна програма'!H$130*SUMIF('11.1.Амортиз.нови активи'!$B$12:$B$59,$B113,'11.1.Амортиз.нови активи'!AO$12:AO$59))</f>
        <v>32</v>
      </c>
      <c r="G113" s="1110">
        <f>F113+SUMIF('11.1.Амортиз.нови активи'!$B$12:$B$59,$B113,'11.1.Амортиз.нови активи'!G$12:G$59)+('9.Инвестиционна програма'!I$130*SUMIF('11.1.Амортиз.нови активи'!$B$12:$B$59,$B113,'11.1.Амортиз.нови активи'!AP$12:AP$59))</f>
        <v>32</v>
      </c>
      <c r="H113" s="1110">
        <f>G113+SUMIF('11.1.Амортиз.нови активи'!$B$12:$B$59,$B113,'11.1.Амортиз.нови активи'!H$12:H$59)+('9.Инвестиционна програма'!J$130*SUMIF('11.1.Амортиз.нови активи'!$B$12:$B$59,$B113,'11.1.Амортиз.нови активи'!AQ$12:AQ$59))</f>
        <v>32</v>
      </c>
      <c r="I113" s="1110">
        <f>H113+SUMIF('11.1.Амортиз.нови активи'!$B$12:$B$59,$B113,'11.1.Амортиз.нови активи'!I$12:I$59)+('9.Инвестиционна програма'!K$130*SUMIF('11.1.Амортиз.нови активи'!$B$12:$B$59,$B113,'11.1.Амортиз.нови активи'!AR$12:AR$59))</f>
        <v>32</v>
      </c>
      <c r="J113" s="1110">
        <f>I113+SUMIF('11.1.Амортиз.нови активи'!$B$12:$B$59,$B113,'11.1.Амортиз.нови активи'!J$12:J$59)+('9.Инвестиционна програма'!L$130*SUMIF('11.1.Амортиз.нови активи'!$B$12:$B$59,$B113,'11.1.Амортиз.нови активи'!AS$12:AS$59))</f>
        <v>32</v>
      </c>
      <c r="K113" s="2618">
        <f>J113+SUMIF('11.1.Амортиз.нови активи'!$B$12:$B$59,$B113,'11.1.Амортиз.нови активи'!K$12:K$59)+('9.Инвестиционна програма'!M$130*SUMIF('11.1.Амортиз.нови активи'!$B$12:$B$59,$B113,'11.1.Амортиз.нови активи'!AT$12:AT$59))</f>
        <v>32</v>
      </c>
      <c r="L113" s="4387">
        <f>+'11.3. ДА Базова година'!L93</f>
        <v>1</v>
      </c>
      <c r="M113" s="2617">
        <f>L113+SUMIF('11.1.Амортиз.нови активи'!$B$12:$B$59,$B113,'11.1.Амортиз.нови активи'!M$12:M$59)+('9.Инвестиционна програма'!H$131*SUMIF('11.1.Амортиз.нови активи'!$B$12:$B$59,$B113,'11.1.Амортиз.нови активи'!AO$12:AO$59))</f>
        <v>1</v>
      </c>
      <c r="N113" s="1110">
        <f>M113+SUMIF('11.1.Амортиз.нови активи'!$B$12:$B$59,$B113,'11.1.Амортиз.нови активи'!N$12:N$59)+('9.Инвестиционна програма'!I$131*SUMIF('11.1.Амортиз.нови активи'!$B$12:$B$59,$B113,'11.1.Амортиз.нови активи'!AP$12:AP$59))</f>
        <v>1</v>
      </c>
      <c r="O113" s="1110">
        <f>N113+SUMIF('11.1.Амортиз.нови активи'!$B$12:$B$59,$B113,'11.1.Амортиз.нови активи'!O$12:O$59)+('9.Инвестиционна програма'!J$131*SUMIF('11.1.Амортиз.нови активи'!$B$12:$B$59,$B113,'11.1.Амортиз.нови активи'!AQ$12:AQ$59))</f>
        <v>1</v>
      </c>
      <c r="P113" s="1110">
        <f>O113+SUMIF('11.1.Амортиз.нови активи'!$B$12:$B$59,$B113,'11.1.Амортиз.нови активи'!P$12:P$59)+('9.Инвестиционна програма'!K$131*SUMIF('11.1.Амортиз.нови активи'!$B$12:$B$59,$B113,'11.1.Амортиз.нови активи'!AR$12:AR$59))</f>
        <v>1</v>
      </c>
      <c r="Q113" s="1110">
        <f>P113+SUMIF('11.1.Амортиз.нови активи'!$B$12:$B$59,$B113,'11.1.Амортиз.нови активи'!Q$12:Q$59)+('9.Инвестиционна програма'!L$131*SUMIF('11.1.Амортиз.нови активи'!$B$12:$B$59,$B113,'11.1.Амортиз.нови активи'!AS$12:AS$59))</f>
        <v>1</v>
      </c>
      <c r="R113" s="2618">
        <f>Q113+SUMIF('11.1.Амортиз.нови активи'!$B$12:$B$59,$B113,'11.1.Амортиз.нови активи'!R$12:R$59)+('9.Инвестиционна програма'!M$131*SUMIF('11.1.Амортиз.нови активи'!$B$12:$B$59,$B113,'11.1.Амортиз.нови активи'!AT$12:AT$59))</f>
        <v>1</v>
      </c>
      <c r="S113" s="4387">
        <f>+'11.3. ДА Базова година'!P93</f>
        <v>0</v>
      </c>
      <c r="T113" s="2617">
        <f>S113+SUMIF('11.1.Амортиз.нови активи'!$B$12:$B$59,$B113,'11.1.Амортиз.нови активи'!T$12:T$59)+('9.Инвестиционна програма'!H$132*SUMIF('11.1.Амортиз.нови активи'!$B$12:$B$59,$B113,'11.1.Амортиз.нови активи'!AO$12:AO$59))</f>
        <v>0</v>
      </c>
      <c r="U113" s="1110">
        <f>T113+SUMIF('11.1.Амортиз.нови активи'!$B$12:$B$59,$B113,'11.1.Амортиз.нови активи'!U$12:U$59)+('9.Инвестиционна програма'!I$132*SUMIF('11.1.Амортиз.нови активи'!$B$12:$B$59,$B113,'11.1.Амортиз.нови активи'!AP$12:AP$59))</f>
        <v>0</v>
      </c>
      <c r="V113" s="1110">
        <f>U113+SUMIF('11.1.Амортиз.нови активи'!$B$12:$B$59,$B113,'11.1.Амортиз.нови активи'!V$12:V$59)+('9.Инвестиционна програма'!J$132*SUMIF('11.1.Амортиз.нови активи'!$B$12:$B$59,$B113,'11.1.Амортиз.нови активи'!AQ$12:AQ$59))</f>
        <v>0</v>
      </c>
      <c r="W113" s="1110">
        <f>V113+SUMIF('11.1.Амортиз.нови активи'!$B$12:$B$59,$B113,'11.1.Амортиз.нови активи'!W$12:W$59)+('9.Инвестиционна програма'!K$132*SUMIF('11.1.Амортиз.нови активи'!$B$12:$B$59,$B113,'11.1.Амортиз.нови активи'!AR$12:AR$59))</f>
        <v>0</v>
      </c>
      <c r="X113" s="1110">
        <f>W113+SUMIF('11.1.Амортиз.нови активи'!$B$12:$B$59,$B113,'11.1.Амортиз.нови активи'!X$12:X$59)+('9.Инвестиционна програма'!L$132*SUMIF('11.1.Амортиз.нови активи'!$B$12:$B$59,$B113,'11.1.Амортиз.нови активи'!AS$12:AS$59))</f>
        <v>0</v>
      </c>
      <c r="Y113" s="2618">
        <f>X113+SUMIF('11.1.Амортиз.нови активи'!$B$12:$B$59,$B113,'11.1.Амортиз.нови активи'!Y$12:Y$59)+('9.Инвестиционна програма'!M$132*SUMIF('11.1.Амортиз.нови активи'!$B$12:$B$59,$B113,'11.1.Амортиз.нови активи'!AT$12:AT$59))</f>
        <v>0</v>
      </c>
      <c r="Z113" s="4387">
        <f>+'11.3. ДА Базова година'!T93</f>
        <v>0</v>
      </c>
      <c r="AA113" s="2617">
        <f>Z113+SUMIF('11.1.Амортиз.нови активи'!$B$12:$B$59,$B113,'11.1.Амортиз.нови активи'!AA$12:AA$59)</f>
        <v>0</v>
      </c>
      <c r="AB113" s="1110">
        <f>AA113+SUMIF('11.1.Амортиз.нови активи'!$B$12:$B$59,$B113,'11.1.Амортиз.нови активи'!AB$12:AB$59)</f>
        <v>0</v>
      </c>
      <c r="AC113" s="1110">
        <f>AB113+SUMIF('11.1.Амортиз.нови активи'!$B$12:$B$59,$B113,'11.1.Амортиз.нови активи'!AC$12:AC$59)</f>
        <v>0</v>
      </c>
      <c r="AD113" s="1110">
        <f>AC113+SUMIF('11.1.Амортиз.нови активи'!$B$12:$B$59,$B113,'11.1.Амортиз.нови активи'!AD$12:AD$59)</f>
        <v>0</v>
      </c>
      <c r="AE113" s="1110">
        <f>AD113+SUMIF('11.1.Амортиз.нови активи'!$B$12:$B$59,$B113,'11.1.Амортиз.нови активи'!AE$12:AE$59)</f>
        <v>0</v>
      </c>
      <c r="AF113" s="2618">
        <f>AE113+SUMIF('11.1.Амортиз.нови активи'!$B$12:$B$59,$B113,'11.1.Амортиз.нови активи'!AF$12:AF$59)</f>
        <v>0</v>
      </c>
      <c r="AG113" s="4387">
        <f>+'11.3. ДА Базова година'!X93</f>
        <v>0</v>
      </c>
      <c r="AH113" s="2617">
        <f>AG113+SUMIF('11.1.Амортиз.нови активи'!$B$12:$B$59,$B113,'11.1.Амортиз.нови активи'!AH$12:AH$59)</f>
        <v>0</v>
      </c>
      <c r="AI113" s="1110">
        <f>AH113+SUMIF('11.1.Амортиз.нови активи'!$B$12:$B$59,$B113,'11.1.Амортиз.нови активи'!AI$12:AI$59)</f>
        <v>0</v>
      </c>
      <c r="AJ113" s="1110">
        <f>AI113+SUMIF('11.1.Амортиз.нови активи'!$B$12:$B$59,$B113,'11.1.Амортиз.нови активи'!AJ$12:AJ$59)</f>
        <v>0</v>
      </c>
      <c r="AK113" s="1110">
        <f>AJ113+SUMIF('11.1.Амортиз.нови активи'!$B$12:$B$59,$B113,'11.1.Амортиз.нови активи'!AK$12:AK$59)</f>
        <v>0</v>
      </c>
      <c r="AL113" s="1110">
        <f>AK113+SUMIF('11.1.Амортиз.нови активи'!$B$12:$B$59,$B113,'11.1.Амортиз.нови активи'!AL$12:AL$59)</f>
        <v>0</v>
      </c>
      <c r="AM113" s="2618">
        <f>AL113+SUMIF('11.1.Амортиз.нови активи'!$B$12:$B$59,$B113,'11.1.Амортиз.нови активи'!AM$12:AM$59)</f>
        <v>0</v>
      </c>
      <c r="AN113" s="2513"/>
      <c r="AO113" s="2551"/>
      <c r="AP113" s="4422"/>
      <c r="AQ113" s="4438">
        <f t="shared" si="174"/>
        <v>6.1355025743546223</v>
      </c>
      <c r="AR113" s="4438">
        <f t="shared" si="175"/>
        <v>16.361340198278992</v>
      </c>
      <c r="AS113" s="4438">
        <f t="shared" si="176"/>
        <v>16.361340198278992</v>
      </c>
      <c r="AT113" s="4438">
        <f t="shared" si="177"/>
        <v>16.361340198278992</v>
      </c>
      <c r="AU113" s="4438">
        <f t="shared" si="178"/>
        <v>16.361340198278992</v>
      </c>
      <c r="AV113" s="4438">
        <f t="shared" si="179"/>
        <v>16.361340198278992</v>
      </c>
      <c r="AW113" s="4438">
        <f t="shared" si="180"/>
        <v>16.361340198278992</v>
      </c>
      <c r="AX113" s="4438">
        <f t="shared" si="181"/>
        <v>0.51129188119621849</v>
      </c>
      <c r="AY113" s="4438">
        <f t="shared" si="182"/>
        <v>0.51129188119621849</v>
      </c>
      <c r="AZ113" s="4438">
        <f t="shared" si="183"/>
        <v>0.51129188119621849</v>
      </c>
      <c r="BA113" s="4438">
        <f t="shared" si="184"/>
        <v>0.51129188119621849</v>
      </c>
      <c r="BB113" s="4438">
        <f t="shared" si="185"/>
        <v>0.51129188119621849</v>
      </c>
      <c r="BC113" s="4438">
        <f t="shared" si="186"/>
        <v>0.51129188119621849</v>
      </c>
      <c r="BD113" s="4438">
        <f t="shared" si="187"/>
        <v>0.51129188119621849</v>
      </c>
      <c r="BE113" s="4438">
        <f t="shared" si="188"/>
        <v>0</v>
      </c>
      <c r="BF113" s="4438">
        <f t="shared" si="189"/>
        <v>0</v>
      </c>
      <c r="BG113" s="4438">
        <f t="shared" si="190"/>
        <v>0</v>
      </c>
      <c r="BH113" s="4438">
        <f t="shared" si="191"/>
        <v>0</v>
      </c>
      <c r="BI113" s="4438">
        <f t="shared" si="192"/>
        <v>0</v>
      </c>
      <c r="BJ113" s="4438">
        <f t="shared" si="193"/>
        <v>0</v>
      </c>
      <c r="BK113" s="4438">
        <f t="shared" si="194"/>
        <v>0</v>
      </c>
      <c r="BL113" s="4438">
        <f t="shared" si="195"/>
        <v>0</v>
      </c>
      <c r="BM113" s="4438">
        <f t="shared" si="196"/>
        <v>0</v>
      </c>
      <c r="BN113" s="4438">
        <f t="shared" si="197"/>
        <v>0</v>
      </c>
      <c r="BO113" s="4438">
        <f t="shared" si="198"/>
        <v>0</v>
      </c>
      <c r="BP113" s="4438">
        <f t="shared" si="199"/>
        <v>0</v>
      </c>
      <c r="BQ113" s="4438">
        <f t="shared" si="200"/>
        <v>0</v>
      </c>
      <c r="BR113" s="4438">
        <f t="shared" si="201"/>
        <v>0</v>
      </c>
      <c r="BS113" s="4438">
        <f t="shared" si="202"/>
        <v>0</v>
      </c>
      <c r="BT113" s="4438">
        <f t="shared" si="203"/>
        <v>0</v>
      </c>
      <c r="BU113" s="4438">
        <f t="shared" si="204"/>
        <v>0</v>
      </c>
      <c r="BV113" s="4438">
        <f t="shared" si="205"/>
        <v>0</v>
      </c>
      <c r="BW113" s="4438">
        <f t="shared" si="206"/>
        <v>0</v>
      </c>
      <c r="BX113" s="4438">
        <f t="shared" si="207"/>
        <v>0</v>
      </c>
      <c r="BY113" s="4438">
        <f t="shared" si="208"/>
        <v>0</v>
      </c>
    </row>
    <row r="114" spans="1:77" s="1292" customFormat="1">
      <c r="A114" s="2515">
        <v>3</v>
      </c>
      <c r="B114" s="2516">
        <v>2030401</v>
      </c>
      <c r="C114" s="2522">
        <v>0.1</v>
      </c>
      <c r="D114" s="2552" t="s">
        <v>1031</v>
      </c>
      <c r="E114" s="4387">
        <f>+'11.3. ДА Базова година'!H94</f>
        <v>1131</v>
      </c>
      <c r="F114" s="2617">
        <f>E114+SUMIF('11.1.Амортиз.нови активи'!$B$12:$B$59,$B114,'11.1.Амортиз.нови активи'!F$12:F$59)+('9.Инвестиционна програма'!H$130*SUMIF('11.1.Амортиз.нови активи'!$B$12:$B$59,$B114,'11.1.Амортиз.нови активи'!AO$12:AO$59))</f>
        <v>1331</v>
      </c>
      <c r="G114" s="1110">
        <f>F114+SUMIF('11.1.Амортиз.нови активи'!$B$12:$B$59,$B114,'11.1.Амортиз.нови активи'!G$12:G$59)+('9.Инвестиционна програма'!I$130*SUMIF('11.1.Амортиз.нови активи'!$B$12:$B$59,$B114,'11.1.Амортиз.нови активи'!AP$12:AP$59))</f>
        <v>1432</v>
      </c>
      <c r="H114" s="1110">
        <f>G114+SUMIF('11.1.Амортиз.нови активи'!$B$12:$B$59,$B114,'11.1.Амортиз.нови активи'!H$12:H$59)+('9.Инвестиционна програма'!J$130*SUMIF('11.1.Амортиз.нови активи'!$B$12:$B$59,$B114,'11.1.Амортиз.нови активи'!AQ$12:AQ$59))</f>
        <v>1470</v>
      </c>
      <c r="I114" s="1110">
        <f>H114+SUMIF('11.1.Амортиз.нови активи'!$B$12:$B$59,$B114,'11.1.Амортиз.нови активи'!I$12:I$59)+('9.Инвестиционна програма'!K$130*SUMIF('11.1.Амортиз.нови активи'!$B$12:$B$59,$B114,'11.1.Амортиз.нови активи'!AR$12:AR$59))</f>
        <v>1591</v>
      </c>
      <c r="J114" s="1110">
        <f>I114+SUMIF('11.1.Амортиз.нови активи'!$B$12:$B$59,$B114,'11.1.Амортиз.нови активи'!J$12:J$59)+('9.Инвестиционна програма'!L$130*SUMIF('11.1.Амортиз.нови активи'!$B$12:$B$59,$B114,'11.1.Амортиз.нови активи'!AS$12:AS$59))</f>
        <v>1711</v>
      </c>
      <c r="K114" s="2618">
        <f>J114+SUMIF('11.1.Амортиз.нови активи'!$B$12:$B$59,$B114,'11.1.Амортиз.нови активи'!K$12:K$59)+('9.Инвестиционна програма'!M$130*SUMIF('11.1.Амортиз.нови активи'!$B$12:$B$59,$B114,'11.1.Амортиз.нови активи'!AT$12:AT$59))</f>
        <v>1831</v>
      </c>
      <c r="L114" s="4387">
        <f>+'11.3. ДА Базова година'!L94</f>
        <v>38</v>
      </c>
      <c r="M114" s="2617">
        <f>L114+SUMIF('11.1.Амортиз.нови активи'!$B$12:$B$59,$B114,'11.1.Амортиз.нови активи'!M$12:M$59)+('9.Инвестиционна програма'!H$131*SUMIF('11.1.Амортиз.нови активи'!$B$12:$B$59,$B114,'11.1.Амортиз.нови активи'!AO$12:AO$59))</f>
        <v>38</v>
      </c>
      <c r="N114" s="1110">
        <f>M114+SUMIF('11.1.Амортиз.нови активи'!$B$12:$B$59,$B114,'11.1.Амортиз.нови активи'!N$12:N$59)+('9.Инвестиционна програма'!I$131*SUMIF('11.1.Амортиз.нови активи'!$B$12:$B$59,$B114,'11.1.Амортиз.нови активи'!AP$12:AP$59))</f>
        <v>38</v>
      </c>
      <c r="O114" s="1110">
        <f>N114+SUMIF('11.1.Амортиз.нови активи'!$B$12:$B$59,$B114,'11.1.Амортиз.нови активи'!O$12:O$59)+('9.Инвестиционна програма'!J$131*SUMIF('11.1.Амортиз.нови активи'!$B$12:$B$59,$B114,'11.1.Амортиз.нови активи'!AQ$12:AQ$59))</f>
        <v>38</v>
      </c>
      <c r="P114" s="1110">
        <f>O114+SUMIF('11.1.Амортиз.нови активи'!$B$12:$B$59,$B114,'11.1.Амортиз.нови активи'!P$12:P$59)+('9.Инвестиционна програма'!K$131*SUMIF('11.1.Амортиз.нови активи'!$B$12:$B$59,$B114,'11.1.Амортиз.нови активи'!AR$12:AR$59))</f>
        <v>38</v>
      </c>
      <c r="Q114" s="1110">
        <f>P114+SUMIF('11.1.Амортиз.нови активи'!$B$12:$B$59,$B114,'11.1.Амортиз.нови активи'!Q$12:Q$59)+('9.Инвестиционна програма'!L$131*SUMIF('11.1.Амортиз.нови активи'!$B$12:$B$59,$B114,'11.1.Амортиз.нови активи'!AS$12:AS$59))</f>
        <v>38</v>
      </c>
      <c r="R114" s="2618">
        <f>Q114+SUMIF('11.1.Амортиз.нови активи'!$B$12:$B$59,$B114,'11.1.Амортиз.нови активи'!R$12:R$59)+('9.Инвестиционна програма'!M$131*SUMIF('11.1.Амортиз.нови активи'!$B$12:$B$59,$B114,'11.1.Амортиз.нови активи'!AT$12:AT$59))</f>
        <v>38</v>
      </c>
      <c r="S114" s="4387">
        <f>+'11.3. ДА Базова година'!P94</f>
        <v>2</v>
      </c>
      <c r="T114" s="2617">
        <f>S114+SUMIF('11.1.Амортиз.нови активи'!$B$12:$B$59,$B114,'11.1.Амортиз.нови активи'!T$12:T$59)+('9.Инвестиционна програма'!H$132*SUMIF('11.1.Амортиз.нови активи'!$B$12:$B$59,$B114,'11.1.Амортиз.нови активи'!AO$12:AO$59))</f>
        <v>2</v>
      </c>
      <c r="U114" s="1110">
        <f>T114+SUMIF('11.1.Амортиз.нови активи'!$B$12:$B$59,$B114,'11.1.Амортиз.нови активи'!U$12:U$59)+('9.Инвестиционна програма'!I$132*SUMIF('11.1.Амортиз.нови активи'!$B$12:$B$59,$B114,'11.1.Амортиз.нови активи'!AP$12:AP$59))</f>
        <v>2</v>
      </c>
      <c r="V114" s="1110">
        <f>U114+SUMIF('11.1.Амортиз.нови активи'!$B$12:$B$59,$B114,'11.1.Амортиз.нови активи'!V$12:V$59)+('9.Инвестиционна програма'!J$132*SUMIF('11.1.Амортиз.нови активи'!$B$12:$B$59,$B114,'11.1.Амортиз.нови активи'!AQ$12:AQ$59))</f>
        <v>2</v>
      </c>
      <c r="W114" s="1110">
        <f>V114+SUMIF('11.1.Амортиз.нови активи'!$B$12:$B$59,$B114,'11.1.Амортиз.нови активи'!W$12:W$59)+('9.Инвестиционна програма'!K$132*SUMIF('11.1.Амортиз.нови активи'!$B$12:$B$59,$B114,'11.1.Амортиз.нови активи'!AR$12:AR$59))</f>
        <v>2</v>
      </c>
      <c r="X114" s="1110">
        <f>W114+SUMIF('11.1.Амортиз.нови активи'!$B$12:$B$59,$B114,'11.1.Амортиз.нови активи'!X$12:X$59)+('9.Инвестиционна програма'!L$132*SUMIF('11.1.Амортиз.нови активи'!$B$12:$B$59,$B114,'11.1.Амортиз.нови активи'!AS$12:AS$59))</f>
        <v>2</v>
      </c>
      <c r="Y114" s="2618">
        <f>X114+SUMIF('11.1.Амортиз.нови активи'!$B$12:$B$59,$B114,'11.1.Амортиз.нови активи'!Y$12:Y$59)+('9.Инвестиционна програма'!M$132*SUMIF('11.1.Амортиз.нови активи'!$B$12:$B$59,$B114,'11.1.Амортиз.нови активи'!AT$12:AT$59))</f>
        <v>2</v>
      </c>
      <c r="Z114" s="4387">
        <f>+'11.3. ДА Базова година'!T94</f>
        <v>0</v>
      </c>
      <c r="AA114" s="2617">
        <f>Z114+SUMIF('11.1.Амортиз.нови активи'!$B$12:$B$59,$B114,'11.1.Амортиз.нови активи'!AA$12:AA$59)</f>
        <v>0</v>
      </c>
      <c r="AB114" s="1110">
        <f>AA114+SUMIF('11.1.Амортиз.нови активи'!$B$12:$B$59,$B114,'11.1.Амортиз.нови активи'!AB$12:AB$59)</f>
        <v>0</v>
      </c>
      <c r="AC114" s="1110">
        <f>AB114+SUMIF('11.1.Амортиз.нови активи'!$B$12:$B$59,$B114,'11.1.Амортиз.нови активи'!AC$12:AC$59)</f>
        <v>0</v>
      </c>
      <c r="AD114" s="1110">
        <f>AC114+SUMIF('11.1.Амортиз.нови активи'!$B$12:$B$59,$B114,'11.1.Амортиз.нови активи'!AD$12:AD$59)</f>
        <v>0</v>
      </c>
      <c r="AE114" s="1110">
        <f>AD114+SUMIF('11.1.Амортиз.нови активи'!$B$12:$B$59,$B114,'11.1.Амортиз.нови активи'!AE$12:AE$59)</f>
        <v>0</v>
      </c>
      <c r="AF114" s="2618">
        <f>AE114+SUMIF('11.1.Амортиз.нови активи'!$B$12:$B$59,$B114,'11.1.Амортиз.нови активи'!AF$12:AF$59)</f>
        <v>0</v>
      </c>
      <c r="AG114" s="4387">
        <f>+'11.3. ДА Базова година'!X94</f>
        <v>0</v>
      </c>
      <c r="AH114" s="2617">
        <f>AG114+SUMIF('11.1.Амортиз.нови активи'!$B$12:$B$59,$B114,'11.1.Амортиз.нови активи'!AH$12:AH$59)</f>
        <v>0</v>
      </c>
      <c r="AI114" s="1110">
        <f>AH114+SUMIF('11.1.Амортиз.нови активи'!$B$12:$B$59,$B114,'11.1.Амортиз.нови активи'!AI$12:AI$59)</f>
        <v>0</v>
      </c>
      <c r="AJ114" s="1110">
        <f>AI114+SUMIF('11.1.Амортиз.нови активи'!$B$12:$B$59,$B114,'11.1.Амортиз.нови активи'!AJ$12:AJ$59)</f>
        <v>0</v>
      </c>
      <c r="AK114" s="1110">
        <f>AJ114+SUMIF('11.1.Амортиз.нови активи'!$B$12:$B$59,$B114,'11.1.Амортиз.нови активи'!AK$12:AK$59)</f>
        <v>0</v>
      </c>
      <c r="AL114" s="1110">
        <f>AK114+SUMIF('11.1.Амортиз.нови активи'!$B$12:$B$59,$B114,'11.1.Амортиз.нови активи'!AL$12:AL$59)</f>
        <v>0</v>
      </c>
      <c r="AM114" s="2618">
        <f>AL114+SUMIF('11.1.Амортиз.нови активи'!$B$12:$B$59,$B114,'11.1.Амортиз.нови активи'!AM$12:AM$59)</f>
        <v>0</v>
      </c>
      <c r="AN114" s="2513"/>
      <c r="AO114" s="2551"/>
      <c r="AP114" s="4422"/>
      <c r="AQ114" s="4438">
        <f t="shared" si="174"/>
        <v>578.27111763292316</v>
      </c>
      <c r="AR114" s="4438">
        <f t="shared" si="175"/>
        <v>680.52949387216677</v>
      </c>
      <c r="AS114" s="4438">
        <f t="shared" si="176"/>
        <v>732.16997387298488</v>
      </c>
      <c r="AT114" s="4438">
        <f t="shared" si="177"/>
        <v>751.59906535844118</v>
      </c>
      <c r="AU114" s="4438">
        <f t="shared" si="178"/>
        <v>813.46538298318364</v>
      </c>
      <c r="AV114" s="4438">
        <f t="shared" si="179"/>
        <v>874.82040872672985</v>
      </c>
      <c r="AW114" s="4438">
        <f t="shared" si="180"/>
        <v>936.17543447027606</v>
      </c>
      <c r="AX114" s="4438">
        <f t="shared" si="181"/>
        <v>19.429091485456304</v>
      </c>
      <c r="AY114" s="4438">
        <f t="shared" si="182"/>
        <v>19.429091485456304</v>
      </c>
      <c r="AZ114" s="4438">
        <f t="shared" si="183"/>
        <v>19.429091485456304</v>
      </c>
      <c r="BA114" s="4438">
        <f t="shared" si="184"/>
        <v>19.429091485456304</v>
      </c>
      <c r="BB114" s="4438">
        <f t="shared" si="185"/>
        <v>19.429091485456304</v>
      </c>
      <c r="BC114" s="4438">
        <f t="shared" si="186"/>
        <v>19.429091485456304</v>
      </c>
      <c r="BD114" s="4438">
        <f t="shared" si="187"/>
        <v>19.429091485456304</v>
      </c>
      <c r="BE114" s="4438">
        <f t="shared" si="188"/>
        <v>1.022583762392437</v>
      </c>
      <c r="BF114" s="4438">
        <f t="shared" si="189"/>
        <v>1.022583762392437</v>
      </c>
      <c r="BG114" s="4438">
        <f t="shared" si="190"/>
        <v>1.022583762392437</v>
      </c>
      <c r="BH114" s="4438">
        <f t="shared" si="191"/>
        <v>1.022583762392437</v>
      </c>
      <c r="BI114" s="4438">
        <f t="shared" si="192"/>
        <v>1.022583762392437</v>
      </c>
      <c r="BJ114" s="4438">
        <f t="shared" si="193"/>
        <v>1.022583762392437</v>
      </c>
      <c r="BK114" s="4438">
        <f t="shared" si="194"/>
        <v>1.022583762392437</v>
      </c>
      <c r="BL114" s="4438">
        <f t="shared" si="195"/>
        <v>0</v>
      </c>
      <c r="BM114" s="4438">
        <f t="shared" si="196"/>
        <v>0</v>
      </c>
      <c r="BN114" s="4438">
        <f t="shared" si="197"/>
        <v>0</v>
      </c>
      <c r="BO114" s="4438">
        <f t="shared" si="198"/>
        <v>0</v>
      </c>
      <c r="BP114" s="4438">
        <f t="shared" si="199"/>
        <v>0</v>
      </c>
      <c r="BQ114" s="4438">
        <f t="shared" si="200"/>
        <v>0</v>
      </c>
      <c r="BR114" s="4438">
        <f t="shared" si="201"/>
        <v>0</v>
      </c>
      <c r="BS114" s="4438">
        <f t="shared" si="202"/>
        <v>0</v>
      </c>
      <c r="BT114" s="4438">
        <f t="shared" si="203"/>
        <v>0</v>
      </c>
      <c r="BU114" s="4438">
        <f t="shared" si="204"/>
        <v>0</v>
      </c>
      <c r="BV114" s="4438">
        <f t="shared" si="205"/>
        <v>0</v>
      </c>
      <c r="BW114" s="4438">
        <f t="shared" si="206"/>
        <v>0</v>
      </c>
      <c r="BX114" s="4438">
        <f t="shared" si="207"/>
        <v>0</v>
      </c>
      <c r="BY114" s="4438">
        <f t="shared" si="208"/>
        <v>0</v>
      </c>
    </row>
    <row r="115" spans="1:77" s="1292" customFormat="1">
      <c r="A115" s="2515">
        <v>4</v>
      </c>
      <c r="B115" s="2516">
        <v>2030402</v>
      </c>
      <c r="C115" s="2522">
        <v>0.1</v>
      </c>
      <c r="D115" s="2552" t="s">
        <v>429</v>
      </c>
      <c r="E115" s="4387">
        <f>+'11.3. ДА Базова година'!H95</f>
        <v>282</v>
      </c>
      <c r="F115" s="2617">
        <f>E115+SUMIF('11.1.Амортиз.нови активи'!$B$12:$B$59,$B115,'11.1.Амортиз.нови активи'!F$12:F$59)+('9.Инвестиционна програма'!H$130*SUMIF('11.1.Амортиз.нови активи'!$B$12:$B$59,$B115,'11.1.Амортиз.нови активи'!AO$12:AO$59))</f>
        <v>282</v>
      </c>
      <c r="G115" s="1110">
        <f>F115+SUMIF('11.1.Амортиз.нови активи'!$B$12:$B$59,$B115,'11.1.Амортиз.нови активи'!G$12:G$59)+('9.Инвестиционна програма'!I$130*SUMIF('11.1.Амортиз.нови активи'!$B$12:$B$59,$B115,'11.1.Амортиз.нови активи'!AP$12:AP$59))</f>
        <v>282</v>
      </c>
      <c r="H115" s="1110">
        <f>G115+SUMIF('11.1.Амортиз.нови активи'!$B$12:$B$59,$B115,'11.1.Амортиз.нови активи'!H$12:H$59)+('9.Инвестиционна програма'!J$130*SUMIF('11.1.Амортиз.нови активи'!$B$12:$B$59,$B115,'11.1.Амортиз.нови активи'!AQ$12:AQ$59))</f>
        <v>282</v>
      </c>
      <c r="I115" s="1110">
        <f>H115+SUMIF('11.1.Амортиз.нови активи'!$B$12:$B$59,$B115,'11.1.Амортиз.нови активи'!I$12:I$59)+('9.Инвестиционна програма'!K$130*SUMIF('11.1.Амортиз.нови активи'!$B$12:$B$59,$B115,'11.1.Амортиз.нови активи'!AR$12:AR$59))</f>
        <v>282</v>
      </c>
      <c r="J115" s="1110">
        <f>I115+SUMIF('11.1.Амортиз.нови активи'!$B$12:$B$59,$B115,'11.1.Амортиз.нови активи'!J$12:J$59)+('9.Инвестиционна програма'!L$130*SUMIF('11.1.Амортиз.нови активи'!$B$12:$B$59,$B115,'11.1.Амортиз.нови активи'!AS$12:AS$59))</f>
        <v>282</v>
      </c>
      <c r="K115" s="2618">
        <f>J115+SUMIF('11.1.Амортиз.нови активи'!$B$12:$B$59,$B115,'11.1.Амортиз.нови активи'!K$12:K$59)+('9.Инвестиционна програма'!M$130*SUMIF('11.1.Амортиз.нови активи'!$B$12:$B$59,$B115,'11.1.Амортиз.нови активи'!AT$12:AT$59))</f>
        <v>282</v>
      </c>
      <c r="L115" s="4387">
        <f>+'11.3. ДА Базова година'!L95</f>
        <v>4</v>
      </c>
      <c r="M115" s="2617">
        <f>L115+SUMIF('11.1.Амортиз.нови активи'!$B$12:$B$59,$B115,'11.1.Амортиз.нови активи'!M$12:M$59)+('9.Инвестиционна програма'!H$131*SUMIF('11.1.Амортиз.нови активи'!$B$12:$B$59,$B115,'11.1.Амортиз.нови активи'!AO$12:AO$59))</f>
        <v>4</v>
      </c>
      <c r="N115" s="1110">
        <f>M115+SUMIF('11.1.Амортиз.нови активи'!$B$12:$B$59,$B115,'11.1.Амортиз.нови активи'!N$12:N$59)+('9.Инвестиционна програма'!I$131*SUMIF('11.1.Амортиз.нови активи'!$B$12:$B$59,$B115,'11.1.Амортиз.нови активи'!AP$12:AP$59))</f>
        <v>4</v>
      </c>
      <c r="O115" s="1110">
        <f>N115+SUMIF('11.1.Амортиз.нови активи'!$B$12:$B$59,$B115,'11.1.Амортиз.нови активи'!O$12:O$59)+('9.Инвестиционна програма'!J$131*SUMIF('11.1.Амортиз.нови активи'!$B$12:$B$59,$B115,'11.1.Амортиз.нови активи'!AQ$12:AQ$59))</f>
        <v>4</v>
      </c>
      <c r="P115" s="1110">
        <f>O115+SUMIF('11.1.Амортиз.нови активи'!$B$12:$B$59,$B115,'11.1.Амортиз.нови активи'!P$12:P$59)+('9.Инвестиционна програма'!K$131*SUMIF('11.1.Амортиз.нови активи'!$B$12:$B$59,$B115,'11.1.Амортиз.нови активи'!AR$12:AR$59))</f>
        <v>4</v>
      </c>
      <c r="Q115" s="1110">
        <f>P115+SUMIF('11.1.Амортиз.нови активи'!$B$12:$B$59,$B115,'11.1.Амортиз.нови активи'!Q$12:Q$59)+('9.Инвестиционна програма'!L$131*SUMIF('11.1.Амортиз.нови активи'!$B$12:$B$59,$B115,'11.1.Амортиз.нови активи'!AS$12:AS$59))</f>
        <v>4</v>
      </c>
      <c r="R115" s="2618">
        <f>Q115+SUMIF('11.1.Амортиз.нови активи'!$B$12:$B$59,$B115,'11.1.Амортиз.нови активи'!R$12:R$59)+('9.Инвестиционна програма'!M$131*SUMIF('11.1.Амортиз.нови активи'!$B$12:$B$59,$B115,'11.1.Амортиз.нови активи'!AT$12:AT$59))</f>
        <v>4</v>
      </c>
      <c r="S115" s="4387">
        <f>+'11.3. ДА Базова година'!P95</f>
        <v>16</v>
      </c>
      <c r="T115" s="2617">
        <f>S115+SUMIF('11.1.Амортиз.нови активи'!$B$12:$B$59,$B115,'11.1.Амортиз.нови активи'!T$12:T$59)+('9.Инвестиционна програма'!H$132*SUMIF('11.1.Амортиз.нови активи'!$B$12:$B$59,$B115,'11.1.Амортиз.нови активи'!AO$12:AO$59))</f>
        <v>16</v>
      </c>
      <c r="U115" s="1110">
        <f>T115+SUMIF('11.1.Амортиз.нови активи'!$B$12:$B$59,$B115,'11.1.Амортиз.нови активи'!U$12:U$59)+('9.Инвестиционна програма'!I$132*SUMIF('11.1.Амортиз.нови активи'!$B$12:$B$59,$B115,'11.1.Амортиз.нови активи'!AP$12:AP$59))</f>
        <v>16</v>
      </c>
      <c r="V115" s="1110">
        <f>U115+SUMIF('11.1.Амортиз.нови активи'!$B$12:$B$59,$B115,'11.1.Амортиз.нови активи'!V$12:V$59)+('9.Инвестиционна програма'!J$132*SUMIF('11.1.Амортиз.нови активи'!$B$12:$B$59,$B115,'11.1.Амортиз.нови активи'!AQ$12:AQ$59))</f>
        <v>16</v>
      </c>
      <c r="W115" s="1110">
        <f>V115+SUMIF('11.1.Амортиз.нови активи'!$B$12:$B$59,$B115,'11.1.Амортиз.нови активи'!W$12:W$59)+('9.Инвестиционна програма'!K$132*SUMIF('11.1.Амортиз.нови активи'!$B$12:$B$59,$B115,'11.1.Амортиз.нови активи'!AR$12:AR$59))</f>
        <v>16</v>
      </c>
      <c r="X115" s="1110">
        <f>W115+SUMIF('11.1.Амортиз.нови активи'!$B$12:$B$59,$B115,'11.1.Амортиз.нови активи'!X$12:X$59)+('9.Инвестиционна програма'!L$132*SUMIF('11.1.Амортиз.нови активи'!$B$12:$B$59,$B115,'11.1.Амортиз.нови активи'!AS$12:AS$59))</f>
        <v>16</v>
      </c>
      <c r="Y115" s="2618">
        <f>X115+SUMIF('11.1.Амортиз.нови активи'!$B$12:$B$59,$B115,'11.1.Амортиз.нови активи'!Y$12:Y$59)+('9.Инвестиционна програма'!M$132*SUMIF('11.1.Амортиз.нови активи'!$B$12:$B$59,$B115,'11.1.Амортиз.нови активи'!AT$12:AT$59))</f>
        <v>16</v>
      </c>
      <c r="Z115" s="4387">
        <f>+'11.3. ДА Базова година'!T95</f>
        <v>0</v>
      </c>
      <c r="AA115" s="2617">
        <f>Z115+SUMIF('11.1.Амортиз.нови активи'!$B$12:$B$59,$B115,'11.1.Амортиз.нови активи'!AA$12:AA$59)</f>
        <v>0</v>
      </c>
      <c r="AB115" s="1110">
        <f>AA115+SUMIF('11.1.Амортиз.нови активи'!$B$12:$B$59,$B115,'11.1.Амортиз.нови активи'!AB$12:AB$59)</f>
        <v>0</v>
      </c>
      <c r="AC115" s="1110">
        <f>AB115+SUMIF('11.1.Амортиз.нови активи'!$B$12:$B$59,$B115,'11.1.Амортиз.нови активи'!AC$12:AC$59)</f>
        <v>0</v>
      </c>
      <c r="AD115" s="1110">
        <f>AC115+SUMIF('11.1.Амортиз.нови активи'!$B$12:$B$59,$B115,'11.1.Амортиз.нови активи'!AD$12:AD$59)</f>
        <v>0</v>
      </c>
      <c r="AE115" s="1110">
        <f>AD115+SUMIF('11.1.Амортиз.нови активи'!$B$12:$B$59,$B115,'11.1.Амортиз.нови активи'!AE$12:AE$59)</f>
        <v>0</v>
      </c>
      <c r="AF115" s="2618">
        <f>AE115+SUMIF('11.1.Амортиз.нови активи'!$B$12:$B$59,$B115,'11.1.Амортиз.нови активи'!AF$12:AF$59)</f>
        <v>0</v>
      </c>
      <c r="AG115" s="4387">
        <f>+'11.3. ДА Базова година'!X95</f>
        <v>0</v>
      </c>
      <c r="AH115" s="2617">
        <f>AG115+SUMIF('11.1.Амортиз.нови активи'!$B$12:$B$59,$B115,'11.1.Амортиз.нови активи'!AH$12:AH$59)</f>
        <v>0</v>
      </c>
      <c r="AI115" s="1110">
        <f>AH115+SUMIF('11.1.Амортиз.нови активи'!$B$12:$B$59,$B115,'11.1.Амортиз.нови активи'!AI$12:AI$59)</f>
        <v>0</v>
      </c>
      <c r="AJ115" s="1110">
        <f>AI115+SUMIF('11.1.Амортиз.нови активи'!$B$12:$B$59,$B115,'11.1.Амортиз.нови активи'!AJ$12:AJ$59)</f>
        <v>0</v>
      </c>
      <c r="AK115" s="1110">
        <f>AJ115+SUMIF('11.1.Амортиз.нови активи'!$B$12:$B$59,$B115,'11.1.Амортиз.нови активи'!AK$12:AK$59)</f>
        <v>0</v>
      </c>
      <c r="AL115" s="1110">
        <f>AK115+SUMIF('11.1.Амортиз.нови активи'!$B$12:$B$59,$B115,'11.1.Амортиз.нови активи'!AL$12:AL$59)</f>
        <v>0</v>
      </c>
      <c r="AM115" s="2618">
        <f>AL115+SUMIF('11.1.Амортиз.нови активи'!$B$12:$B$59,$B115,'11.1.Амортиз.нови активи'!AM$12:AM$59)</f>
        <v>0</v>
      </c>
      <c r="AN115" s="2513"/>
      <c r="AO115" s="2551"/>
      <c r="AP115" s="4422"/>
      <c r="AQ115" s="4438">
        <f t="shared" si="174"/>
        <v>144.18431049733363</v>
      </c>
      <c r="AR115" s="4438">
        <f t="shared" si="175"/>
        <v>144.18431049733363</v>
      </c>
      <c r="AS115" s="4438">
        <f t="shared" si="176"/>
        <v>144.18431049733363</v>
      </c>
      <c r="AT115" s="4438">
        <f t="shared" si="177"/>
        <v>144.18431049733363</v>
      </c>
      <c r="AU115" s="4438">
        <f t="shared" si="178"/>
        <v>144.18431049733363</v>
      </c>
      <c r="AV115" s="4438">
        <f t="shared" si="179"/>
        <v>144.18431049733363</v>
      </c>
      <c r="AW115" s="4438">
        <f t="shared" si="180"/>
        <v>144.18431049733363</v>
      </c>
      <c r="AX115" s="4438">
        <f t="shared" si="181"/>
        <v>2.045167524784874</v>
      </c>
      <c r="AY115" s="4438">
        <f t="shared" si="182"/>
        <v>2.045167524784874</v>
      </c>
      <c r="AZ115" s="4438">
        <f t="shared" si="183"/>
        <v>2.045167524784874</v>
      </c>
      <c r="BA115" s="4438">
        <f t="shared" si="184"/>
        <v>2.045167524784874</v>
      </c>
      <c r="BB115" s="4438">
        <f t="shared" si="185"/>
        <v>2.045167524784874</v>
      </c>
      <c r="BC115" s="4438">
        <f t="shared" si="186"/>
        <v>2.045167524784874</v>
      </c>
      <c r="BD115" s="4438">
        <f t="shared" si="187"/>
        <v>2.045167524784874</v>
      </c>
      <c r="BE115" s="4438">
        <f t="shared" si="188"/>
        <v>8.1806700991394958</v>
      </c>
      <c r="BF115" s="4438">
        <f t="shared" si="189"/>
        <v>8.1806700991394958</v>
      </c>
      <c r="BG115" s="4438">
        <f t="shared" si="190"/>
        <v>8.1806700991394958</v>
      </c>
      <c r="BH115" s="4438">
        <f t="shared" si="191"/>
        <v>8.1806700991394958</v>
      </c>
      <c r="BI115" s="4438">
        <f t="shared" si="192"/>
        <v>8.1806700991394958</v>
      </c>
      <c r="BJ115" s="4438">
        <f t="shared" si="193"/>
        <v>8.1806700991394958</v>
      </c>
      <c r="BK115" s="4438">
        <f t="shared" si="194"/>
        <v>8.1806700991394958</v>
      </c>
      <c r="BL115" s="4438">
        <f t="shared" si="195"/>
        <v>0</v>
      </c>
      <c r="BM115" s="4438">
        <f t="shared" si="196"/>
        <v>0</v>
      </c>
      <c r="BN115" s="4438">
        <f t="shared" si="197"/>
        <v>0</v>
      </c>
      <c r="BO115" s="4438">
        <f t="shared" si="198"/>
        <v>0</v>
      </c>
      <c r="BP115" s="4438">
        <f t="shared" si="199"/>
        <v>0</v>
      </c>
      <c r="BQ115" s="4438">
        <f t="shared" si="200"/>
        <v>0</v>
      </c>
      <c r="BR115" s="4438">
        <f t="shared" si="201"/>
        <v>0</v>
      </c>
      <c r="BS115" s="4438">
        <f t="shared" si="202"/>
        <v>0</v>
      </c>
      <c r="BT115" s="4438">
        <f t="shared" si="203"/>
        <v>0</v>
      </c>
      <c r="BU115" s="4438">
        <f t="shared" si="204"/>
        <v>0</v>
      </c>
      <c r="BV115" s="4438">
        <f t="shared" si="205"/>
        <v>0</v>
      </c>
      <c r="BW115" s="4438">
        <f t="shared" si="206"/>
        <v>0</v>
      </c>
      <c r="BX115" s="4438">
        <f t="shared" si="207"/>
        <v>0</v>
      </c>
      <c r="BY115" s="4438">
        <f t="shared" si="208"/>
        <v>0</v>
      </c>
    </row>
    <row r="116" spans="1:77" s="1292" customFormat="1">
      <c r="A116" s="2515">
        <v>5</v>
      </c>
      <c r="B116" s="2516">
        <v>2030501</v>
      </c>
      <c r="C116" s="2522">
        <v>0.1</v>
      </c>
      <c r="D116" s="2552" t="s">
        <v>1001</v>
      </c>
      <c r="E116" s="4387">
        <f>+'11.3. ДА Базова година'!H96</f>
        <v>624</v>
      </c>
      <c r="F116" s="2617">
        <f>E116+SUMIF('11.1.Амортиз.нови активи'!$B$12:$B$59,$B116,'11.1.Амортиз.нови активи'!F$12:F$59)+('9.Инвестиционна програма'!H$130*SUMIF('11.1.Амортиз.нови активи'!$B$12:$B$59,$B116,'11.1.Амортиз.нови активи'!AO$12:AO$59))</f>
        <v>788</v>
      </c>
      <c r="G116" s="1110">
        <f>F116+SUMIF('11.1.Амортиз.нови активи'!$B$12:$B$59,$B116,'11.1.Амортиз.нови активи'!G$12:G$59)+('9.Инвестиционна програма'!I$130*SUMIF('11.1.Амортиз.нови активи'!$B$12:$B$59,$B116,'11.1.Амортиз.нови активи'!AP$12:AP$59))</f>
        <v>1197.3333333333333</v>
      </c>
      <c r="H116" s="1110">
        <f>G116+SUMIF('11.1.Амортиз.нови активи'!$B$12:$B$59,$B116,'11.1.Амортиз.нови активи'!H$12:H$59)+('9.Инвестиционна програма'!J$130*SUMIF('11.1.Амортиз.нови активи'!$B$12:$B$59,$B116,'11.1.Амортиз.нови активи'!AQ$12:AQ$59))</f>
        <v>1690.6666666666665</v>
      </c>
      <c r="I116" s="1110">
        <f>H116+SUMIF('11.1.Амортиз.нови активи'!$B$12:$B$59,$B116,'11.1.Амортиз.нови активи'!I$12:I$59)+('9.Инвестиционна програма'!K$130*SUMIF('11.1.Амортиз.нови активи'!$B$12:$B$59,$B116,'11.1.Амортиз.нови активи'!AR$12:AR$59))</f>
        <v>2068.333333333333</v>
      </c>
      <c r="J116" s="1110">
        <f>I116+SUMIF('11.1.Амортиз.нови активи'!$B$12:$B$59,$B116,'11.1.Амортиз.нови активи'!J$12:J$59)+('9.Инвестиционна програма'!L$130*SUMIF('11.1.Амортиз.нови активи'!$B$12:$B$59,$B116,'11.1.Амортиз.нови активи'!AS$12:AS$59))</f>
        <v>2397.0666666666666</v>
      </c>
      <c r="K116" s="2618">
        <f>J116+SUMIF('11.1.Амортиз.нови активи'!$B$12:$B$59,$B116,'11.1.Амортиз.нови активи'!K$12:K$59)+('9.Инвестиционна програма'!M$130*SUMIF('11.1.Амортиз.нови активи'!$B$12:$B$59,$B116,'11.1.Амортиз.нови активи'!AT$12:AT$59))</f>
        <v>2741.7333333333331</v>
      </c>
      <c r="L116" s="4387">
        <f>+'11.3. ДА Базова година'!L96</f>
        <v>256</v>
      </c>
      <c r="M116" s="2617">
        <f>L116+SUMIF('11.1.Амортиз.нови активи'!$B$12:$B$59,$B116,'11.1.Амортиз.нови активи'!M$12:M$59)+('9.Инвестиционна програма'!H$131*SUMIF('11.1.Амортиз.нови активи'!$B$12:$B$59,$B116,'11.1.Амортиз.нови активи'!AO$12:AO$59))</f>
        <v>340</v>
      </c>
      <c r="N116" s="1110">
        <f>M116+SUMIF('11.1.Амортиз.нови активи'!$B$12:$B$59,$B116,'11.1.Амортиз.нови активи'!N$12:N$59)+('9.Инвестиционна програма'!I$131*SUMIF('11.1.Амортиз.нови активи'!$B$12:$B$59,$B116,'11.1.Амортиз.нови активи'!AP$12:AP$59))</f>
        <v>745.33333333333326</v>
      </c>
      <c r="O116" s="1110">
        <f>N116+SUMIF('11.1.Амортиз.нови активи'!$B$12:$B$59,$B116,'11.1.Амортиз.нови активи'!O$12:O$59)+('9.Инвестиционна програма'!J$131*SUMIF('11.1.Амортиз.нови активи'!$B$12:$B$59,$B116,'11.1.Амортиз.нови активи'!AQ$12:AQ$59))</f>
        <v>1231.6666666666665</v>
      </c>
      <c r="P116" s="1110">
        <f>O116+SUMIF('11.1.Амортиз.нови активи'!$B$12:$B$59,$B116,'11.1.Амортиз.нови активи'!P$12:P$59)+('9.Инвестиционна програма'!K$131*SUMIF('11.1.Амортиз.нови активи'!$B$12:$B$59,$B116,'11.1.Амортиз.нови активи'!AR$12:AR$59))</f>
        <v>1591.333333333333</v>
      </c>
      <c r="Q116" s="1110">
        <f>P116+SUMIF('11.1.Амортиз.нови активи'!$B$12:$B$59,$B116,'11.1.Амортиз.нови активи'!Q$12:Q$59)+('9.Инвестиционна програма'!L$131*SUMIF('11.1.Амортиз.нови активи'!$B$12:$B$59,$B116,'11.1.Амортиз.нови активи'!AS$12:AS$59))</f>
        <v>1903.0666666666664</v>
      </c>
      <c r="R116" s="2618">
        <f>Q116+SUMIF('11.1.Амортиз.нови активи'!$B$12:$B$59,$B116,'11.1.Амортиз.нови активи'!R$12:R$59)+('9.Инвестиционна програма'!M$131*SUMIF('11.1.Амортиз.нови активи'!$B$12:$B$59,$B116,'11.1.Амортиз.нови активи'!AT$12:AT$59))</f>
        <v>2223.7333333333331</v>
      </c>
      <c r="S116" s="4387">
        <f>+'11.3. ДА Базова година'!P96</f>
        <v>446</v>
      </c>
      <c r="T116" s="2617">
        <f>S116+SUMIF('11.1.Амортиз.нови активи'!$B$12:$B$59,$B116,'11.1.Амортиз.нови активи'!T$12:T$59)+('9.Инвестиционна програма'!H$132*SUMIF('11.1.Амортиз.нови активи'!$B$12:$B$59,$B116,'11.1.Амортиз.нови активи'!AO$12:AO$59))</f>
        <v>530</v>
      </c>
      <c r="U116" s="1110">
        <f>T116+SUMIF('11.1.Амортиз.нови активи'!$B$12:$B$59,$B116,'11.1.Амортиз.нови активи'!U$12:U$59)+('9.Инвестиционна програма'!I$132*SUMIF('11.1.Амортиз.нови активи'!$B$12:$B$59,$B116,'11.1.Амортиз.нови активи'!AP$12:AP$59))</f>
        <v>935.33333333333326</v>
      </c>
      <c r="V116" s="1110">
        <f>U116+SUMIF('11.1.Амортиз.нови активи'!$B$12:$B$59,$B116,'11.1.Амортиз.нови активи'!V$12:V$59)+('9.Инвестиционна програма'!J$132*SUMIF('11.1.Амортиз.нови активи'!$B$12:$B$59,$B116,'11.1.Амортиз.нови активи'!AQ$12:AQ$59))</f>
        <v>1421.6666666666665</v>
      </c>
      <c r="W116" s="1110">
        <f>V116+SUMIF('11.1.Амортиз.нови активи'!$B$12:$B$59,$B116,'11.1.Амортиз.нови активи'!W$12:W$59)+('9.Инвестиционна програма'!K$132*SUMIF('11.1.Амортиз.нови активи'!$B$12:$B$59,$B116,'11.1.Амортиз.нови активи'!AR$12:AR$59))</f>
        <v>1781.333333333333</v>
      </c>
      <c r="X116" s="1110">
        <f>W116+SUMIF('11.1.Амортиз.нови активи'!$B$12:$B$59,$B116,'11.1.Амортиз.нови активи'!X$12:X$59)+('9.Инвестиционна програма'!L$132*SUMIF('11.1.Амортиз.нови активи'!$B$12:$B$59,$B116,'11.1.Амортиз.нови активи'!AS$12:AS$59))</f>
        <v>2093.0666666666666</v>
      </c>
      <c r="Y116" s="2618">
        <f>X116+SUMIF('11.1.Амортиз.нови активи'!$B$12:$B$59,$B116,'11.1.Амортиз.нови активи'!Y$12:Y$59)+('9.Инвестиционна програма'!M$132*SUMIF('11.1.Амортиз.нови активи'!$B$12:$B$59,$B116,'11.1.Амортиз.нови активи'!AT$12:AT$59))</f>
        <v>2413.7333333333331</v>
      </c>
      <c r="Z116" s="4387">
        <f>+'11.3. ДА Базова година'!T96</f>
        <v>0</v>
      </c>
      <c r="AA116" s="2617">
        <f>Z116+SUMIF('11.1.Амортиз.нови активи'!$B$12:$B$59,$B116,'11.1.Амортиз.нови активи'!AA$12:AA$59)</f>
        <v>0</v>
      </c>
      <c r="AB116" s="1110">
        <f>AA116+SUMIF('11.1.Амортиз.нови активи'!$B$12:$B$59,$B116,'11.1.Амортиз.нови активи'!AB$12:AB$59)</f>
        <v>0</v>
      </c>
      <c r="AC116" s="1110">
        <f>AB116+SUMIF('11.1.Амортиз.нови активи'!$B$12:$B$59,$B116,'11.1.Амортиз.нови активи'!AC$12:AC$59)</f>
        <v>0</v>
      </c>
      <c r="AD116" s="1110">
        <f>AC116+SUMIF('11.1.Амортиз.нови активи'!$B$12:$B$59,$B116,'11.1.Амортиз.нови активи'!AD$12:AD$59)</f>
        <v>0</v>
      </c>
      <c r="AE116" s="1110">
        <f>AD116+SUMIF('11.1.Амортиз.нови активи'!$B$12:$B$59,$B116,'11.1.Амортиз.нови активи'!AE$12:AE$59)</f>
        <v>0</v>
      </c>
      <c r="AF116" s="2618">
        <f>AE116+SUMIF('11.1.Амортиз.нови активи'!$B$12:$B$59,$B116,'11.1.Амортиз.нови активи'!AF$12:AF$59)</f>
        <v>0</v>
      </c>
      <c r="AG116" s="4387">
        <f>+'11.3. ДА Базова година'!X96</f>
        <v>0</v>
      </c>
      <c r="AH116" s="2617">
        <f>AG116+SUMIF('11.1.Амортиз.нови активи'!$B$12:$B$59,$B116,'11.1.Амортиз.нови активи'!AH$12:AH$59)</f>
        <v>0</v>
      </c>
      <c r="AI116" s="1110">
        <f>AH116+SUMIF('11.1.Амортиз.нови активи'!$B$12:$B$59,$B116,'11.1.Амортиз.нови активи'!AI$12:AI$59)</f>
        <v>0</v>
      </c>
      <c r="AJ116" s="1110">
        <f>AI116+SUMIF('11.1.Амортиз.нови активи'!$B$12:$B$59,$B116,'11.1.Амортиз.нови активи'!AJ$12:AJ$59)</f>
        <v>0</v>
      </c>
      <c r="AK116" s="1110">
        <f>AJ116+SUMIF('11.1.Амортиз.нови активи'!$B$12:$B$59,$B116,'11.1.Амортиз.нови активи'!AK$12:AK$59)</f>
        <v>0</v>
      </c>
      <c r="AL116" s="1110">
        <f>AK116+SUMIF('11.1.Амортиз.нови активи'!$B$12:$B$59,$B116,'11.1.Амортиз.нови активи'!AL$12:AL$59)</f>
        <v>0</v>
      </c>
      <c r="AM116" s="2618">
        <f>AL116+SUMIF('11.1.Амортиз.нови активи'!$B$12:$B$59,$B116,'11.1.Амортиз.нови активи'!AM$12:AM$59)</f>
        <v>0</v>
      </c>
      <c r="AN116" s="2524"/>
      <c r="AO116" s="2551"/>
      <c r="AP116" s="4422"/>
      <c r="AQ116" s="4438">
        <f t="shared" si="174"/>
        <v>319.04613386644036</v>
      </c>
      <c r="AR116" s="4438">
        <f t="shared" si="175"/>
        <v>402.89800238262018</v>
      </c>
      <c r="AS116" s="4438">
        <f t="shared" si="176"/>
        <v>612.18681241893887</v>
      </c>
      <c r="AT116" s="4438">
        <f t="shared" si="177"/>
        <v>864.42414047574005</v>
      </c>
      <c r="AU116" s="4438">
        <f t="shared" si="178"/>
        <v>1057.522040940845</v>
      </c>
      <c r="AV116" s="4438">
        <f t="shared" si="179"/>
        <v>1225.6007253527489</v>
      </c>
      <c r="AW116" s="4438">
        <f t="shared" si="180"/>
        <v>1401.8259937383787</v>
      </c>
      <c r="AX116" s="4438">
        <f t="shared" si="181"/>
        <v>130.89072158623193</v>
      </c>
      <c r="AY116" s="4438">
        <f t="shared" si="182"/>
        <v>173.8392396067143</v>
      </c>
      <c r="AZ116" s="4438">
        <f t="shared" si="183"/>
        <v>381.08288211824816</v>
      </c>
      <c r="BA116" s="4438">
        <f t="shared" si="184"/>
        <v>629.74116700667571</v>
      </c>
      <c r="BB116" s="4438">
        <f t="shared" si="185"/>
        <v>813.63581361024887</v>
      </c>
      <c r="BC116" s="4438">
        <f t="shared" si="186"/>
        <v>973.02253604181669</v>
      </c>
      <c r="BD116" s="4438">
        <f t="shared" si="187"/>
        <v>1136.9767992787374</v>
      </c>
      <c r="BE116" s="4438">
        <f t="shared" si="188"/>
        <v>228.03617901351345</v>
      </c>
      <c r="BF116" s="4438">
        <f t="shared" si="189"/>
        <v>270.98469703399581</v>
      </c>
      <c r="BG116" s="4438">
        <f t="shared" si="190"/>
        <v>478.22833954552965</v>
      </c>
      <c r="BH116" s="4438">
        <f t="shared" si="191"/>
        <v>726.88662443395719</v>
      </c>
      <c r="BI116" s="4438">
        <f t="shared" si="192"/>
        <v>910.78127103753036</v>
      </c>
      <c r="BJ116" s="4438">
        <f t="shared" si="193"/>
        <v>1070.1679934690983</v>
      </c>
      <c r="BK116" s="4438">
        <f t="shared" si="194"/>
        <v>1234.122256706019</v>
      </c>
      <c r="BL116" s="4438">
        <f t="shared" si="195"/>
        <v>0</v>
      </c>
      <c r="BM116" s="4438">
        <f t="shared" si="196"/>
        <v>0</v>
      </c>
      <c r="BN116" s="4438">
        <f t="shared" si="197"/>
        <v>0</v>
      </c>
      <c r="BO116" s="4438">
        <f t="shared" si="198"/>
        <v>0</v>
      </c>
      <c r="BP116" s="4438">
        <f t="shared" si="199"/>
        <v>0</v>
      </c>
      <c r="BQ116" s="4438">
        <f t="shared" si="200"/>
        <v>0</v>
      </c>
      <c r="BR116" s="4438">
        <f t="shared" si="201"/>
        <v>0</v>
      </c>
      <c r="BS116" s="4438">
        <f t="shared" si="202"/>
        <v>0</v>
      </c>
      <c r="BT116" s="4438">
        <f t="shared" si="203"/>
        <v>0</v>
      </c>
      <c r="BU116" s="4438">
        <f t="shared" si="204"/>
        <v>0</v>
      </c>
      <c r="BV116" s="4438">
        <f t="shared" si="205"/>
        <v>0</v>
      </c>
      <c r="BW116" s="4438">
        <f t="shared" si="206"/>
        <v>0</v>
      </c>
      <c r="BX116" s="4438">
        <f t="shared" si="207"/>
        <v>0</v>
      </c>
      <c r="BY116" s="4438">
        <f t="shared" si="208"/>
        <v>0</v>
      </c>
    </row>
    <row r="117" spans="1:77" s="1292" customFormat="1" ht="24">
      <c r="A117" s="2515">
        <v>6</v>
      </c>
      <c r="B117" s="2516">
        <v>2030502</v>
      </c>
      <c r="C117" s="2522">
        <v>0.1</v>
      </c>
      <c r="D117" s="2552" t="s">
        <v>695</v>
      </c>
      <c r="E117" s="4387">
        <f>+'11.3. ДА Базова година'!H97</f>
        <v>871</v>
      </c>
      <c r="F117" s="2617">
        <f>E117+SUMIF('11.1.Амортиз.нови активи'!$B$12:$B$59,$B117,'11.1.Амортиз.нови активи'!F$12:F$59)+('9.Инвестиционна програма'!H$130*SUMIF('11.1.Амортиз.нови активи'!$B$12:$B$59,$B117,'11.1.Амортиз.нови активи'!AO$12:AO$59))</f>
        <v>1021</v>
      </c>
      <c r="G117" s="1110">
        <f>F117+SUMIF('11.1.Амортиз.нови активи'!$B$12:$B$59,$B117,'11.1.Амортиз.нови активи'!G$12:G$59)+('9.Инвестиционна програма'!I$130*SUMIF('11.1.Амортиз.нови активи'!$B$12:$B$59,$B117,'11.1.Амортиз.нови активи'!AP$12:AP$59))</f>
        <v>1039</v>
      </c>
      <c r="H117" s="1110">
        <f>G117+SUMIF('11.1.Амортиз.нови активи'!$B$12:$B$59,$B117,'11.1.Амортиз.нови активи'!H$12:H$59)+('9.Инвестиционна програма'!J$130*SUMIF('11.1.Амортиз.нови активи'!$B$12:$B$59,$B117,'11.1.Амортиз.нови активи'!AQ$12:AQ$59))</f>
        <v>1051</v>
      </c>
      <c r="I117" s="1110">
        <f>H117+SUMIF('11.1.Амортиз.нови активи'!$B$12:$B$59,$B117,'11.1.Амортиз.нови активи'!I$12:I$59)+('9.Инвестиционна програма'!K$130*SUMIF('11.1.Амортиз.нови активи'!$B$12:$B$59,$B117,'11.1.Амортиз.нови активи'!AR$12:AR$59))</f>
        <v>1099</v>
      </c>
      <c r="J117" s="1110">
        <f>I117+SUMIF('11.1.Амортиз.нови активи'!$B$12:$B$59,$B117,'11.1.Амортиз.нови активи'!J$12:J$59)+('9.Инвестиционна програма'!L$130*SUMIF('11.1.Амортиз.нови активи'!$B$12:$B$59,$B117,'11.1.Амортиз.нови активи'!AS$12:AS$59))</f>
        <v>1156</v>
      </c>
      <c r="K117" s="2618">
        <f>J117+SUMIF('11.1.Амортиз.нови активи'!$B$12:$B$59,$B117,'11.1.Амортиз.нови активи'!K$12:K$59)+('9.Инвестиционна програма'!M$130*SUMIF('11.1.Амортиз.нови активи'!$B$12:$B$59,$B117,'11.1.Амортиз.нови активи'!AT$12:AT$59))</f>
        <v>1222</v>
      </c>
      <c r="L117" s="4387">
        <f>+'11.3. ДА Базова година'!L97</f>
        <v>1</v>
      </c>
      <c r="M117" s="2617">
        <f>L117+SUMIF('11.1.Амортиз.нови активи'!$B$12:$B$59,$B117,'11.1.Амортиз.нови активи'!M$12:M$59)+('9.Инвестиционна програма'!H$131*SUMIF('11.1.Амортиз.нови активи'!$B$12:$B$59,$B117,'11.1.Амортиз.нови активи'!AO$12:AO$59))</f>
        <v>1</v>
      </c>
      <c r="N117" s="1110">
        <f>M117+SUMIF('11.1.Амортиз.нови активи'!$B$12:$B$59,$B117,'11.1.Амортиз.нови активи'!N$12:N$59)+('9.Инвестиционна програма'!I$131*SUMIF('11.1.Амортиз.нови активи'!$B$12:$B$59,$B117,'11.1.Амортиз.нови активи'!AP$12:AP$59))</f>
        <v>1</v>
      </c>
      <c r="O117" s="1110">
        <f>N117+SUMIF('11.1.Амортиз.нови активи'!$B$12:$B$59,$B117,'11.1.Амортиз.нови активи'!O$12:O$59)+('9.Инвестиционна програма'!J$131*SUMIF('11.1.Амортиз.нови активи'!$B$12:$B$59,$B117,'11.1.Амортиз.нови активи'!AQ$12:AQ$59))</f>
        <v>1</v>
      </c>
      <c r="P117" s="1110">
        <f>O117+SUMIF('11.1.Амортиз.нови активи'!$B$12:$B$59,$B117,'11.1.Амортиз.нови активи'!P$12:P$59)+('9.Инвестиционна програма'!K$131*SUMIF('11.1.Амортиз.нови активи'!$B$12:$B$59,$B117,'11.1.Амортиз.нови активи'!AR$12:AR$59))</f>
        <v>1</v>
      </c>
      <c r="Q117" s="1110">
        <f>P117+SUMIF('11.1.Амортиз.нови активи'!$B$12:$B$59,$B117,'11.1.Амортиз.нови активи'!Q$12:Q$59)+('9.Инвестиционна програма'!L$131*SUMIF('11.1.Амортиз.нови активи'!$B$12:$B$59,$B117,'11.1.Амортиз.нови активи'!AS$12:AS$59))</f>
        <v>1</v>
      </c>
      <c r="R117" s="2618">
        <f>Q117+SUMIF('11.1.Амортиз.нови активи'!$B$12:$B$59,$B117,'11.1.Амортиз.нови активи'!R$12:R$59)+('9.Инвестиционна програма'!M$131*SUMIF('11.1.Амортиз.нови активи'!$B$12:$B$59,$B117,'11.1.Амортиз.нови активи'!AT$12:AT$59))</f>
        <v>1</v>
      </c>
      <c r="S117" s="4387">
        <f>+'11.3. ДА Базова година'!P97</f>
        <v>1</v>
      </c>
      <c r="T117" s="2617">
        <f>S117+SUMIF('11.1.Амортиз.нови активи'!$B$12:$B$59,$B117,'11.1.Амортиз.нови активи'!T$12:T$59)+('9.Инвестиционна програма'!H$132*SUMIF('11.1.Амортиз.нови активи'!$B$12:$B$59,$B117,'11.1.Амортиз.нови активи'!AO$12:AO$59))</f>
        <v>1</v>
      </c>
      <c r="U117" s="1110">
        <f>T117+SUMIF('11.1.Амортиз.нови активи'!$B$12:$B$59,$B117,'11.1.Амортиз.нови активи'!U$12:U$59)+('9.Инвестиционна програма'!I$132*SUMIF('11.1.Амортиз.нови активи'!$B$12:$B$59,$B117,'11.1.Амортиз.нови активи'!AP$12:AP$59))</f>
        <v>1</v>
      </c>
      <c r="V117" s="1110">
        <f>U117+SUMIF('11.1.Амортиз.нови активи'!$B$12:$B$59,$B117,'11.1.Амортиз.нови активи'!V$12:V$59)+('9.Инвестиционна програма'!J$132*SUMIF('11.1.Амортиз.нови активи'!$B$12:$B$59,$B117,'11.1.Амортиз.нови активи'!AQ$12:AQ$59))</f>
        <v>1</v>
      </c>
      <c r="W117" s="1110">
        <f>V117+SUMIF('11.1.Амортиз.нови активи'!$B$12:$B$59,$B117,'11.1.Амортиз.нови активи'!W$12:W$59)+('9.Инвестиционна програма'!K$132*SUMIF('11.1.Амортиз.нови активи'!$B$12:$B$59,$B117,'11.1.Амортиз.нови активи'!AR$12:AR$59))</f>
        <v>1</v>
      </c>
      <c r="X117" s="1110">
        <f>W117+SUMIF('11.1.Амортиз.нови активи'!$B$12:$B$59,$B117,'11.1.Амортиз.нови активи'!X$12:X$59)+('9.Инвестиционна програма'!L$132*SUMIF('11.1.Амортиз.нови активи'!$B$12:$B$59,$B117,'11.1.Амортиз.нови активи'!AS$12:AS$59))</f>
        <v>1</v>
      </c>
      <c r="Y117" s="2618">
        <f>X117+SUMIF('11.1.Амортиз.нови активи'!$B$12:$B$59,$B117,'11.1.Амортиз.нови активи'!Y$12:Y$59)+('9.Инвестиционна програма'!M$132*SUMIF('11.1.Амортиз.нови активи'!$B$12:$B$59,$B117,'11.1.Амортиз.нови активи'!AT$12:AT$59))</f>
        <v>1</v>
      </c>
      <c r="Z117" s="4387">
        <f>+'11.3. ДА Базова година'!T97</f>
        <v>0</v>
      </c>
      <c r="AA117" s="2617">
        <f>Z117+SUMIF('11.1.Амортиз.нови активи'!$B$12:$B$59,$B117,'11.1.Амортиз.нови активи'!AA$12:AA$59)</f>
        <v>0</v>
      </c>
      <c r="AB117" s="1110">
        <f>AA117+SUMIF('11.1.Амортиз.нови активи'!$B$12:$B$59,$B117,'11.1.Амортиз.нови активи'!AB$12:AB$59)</f>
        <v>0</v>
      </c>
      <c r="AC117" s="1110">
        <f>AB117+SUMIF('11.1.Амортиз.нови активи'!$B$12:$B$59,$B117,'11.1.Амортиз.нови активи'!AC$12:AC$59)</f>
        <v>0</v>
      </c>
      <c r="AD117" s="1110">
        <f>AC117+SUMIF('11.1.Амортиз.нови активи'!$B$12:$B$59,$B117,'11.1.Амортиз.нови активи'!AD$12:AD$59)</f>
        <v>0</v>
      </c>
      <c r="AE117" s="1110">
        <f>AD117+SUMIF('11.1.Амортиз.нови активи'!$B$12:$B$59,$B117,'11.1.Амортиз.нови активи'!AE$12:AE$59)</f>
        <v>0</v>
      </c>
      <c r="AF117" s="2618">
        <f>AE117+SUMIF('11.1.Амортиз.нови активи'!$B$12:$B$59,$B117,'11.1.Амортиз.нови активи'!AF$12:AF$59)</f>
        <v>0</v>
      </c>
      <c r="AG117" s="4387">
        <f>+'11.3. ДА Базова година'!X97</f>
        <v>0</v>
      </c>
      <c r="AH117" s="2617">
        <f>AG117+SUMIF('11.1.Амортиз.нови активи'!$B$12:$B$59,$B117,'11.1.Амортиз.нови активи'!AH$12:AH$59)</f>
        <v>0</v>
      </c>
      <c r="AI117" s="1110">
        <f>AH117+SUMIF('11.1.Амортиз.нови активи'!$B$12:$B$59,$B117,'11.1.Амортиз.нови активи'!AI$12:AI$59)</f>
        <v>0</v>
      </c>
      <c r="AJ117" s="1110">
        <f>AI117+SUMIF('11.1.Амортиз.нови активи'!$B$12:$B$59,$B117,'11.1.Амортиз.нови активи'!AJ$12:AJ$59)</f>
        <v>0</v>
      </c>
      <c r="AK117" s="1110">
        <f>AJ117+SUMIF('11.1.Амортиз.нови активи'!$B$12:$B$59,$B117,'11.1.Амортиз.нови активи'!AK$12:AK$59)</f>
        <v>0</v>
      </c>
      <c r="AL117" s="1110">
        <f>AK117+SUMIF('11.1.Амортиз.нови активи'!$B$12:$B$59,$B117,'11.1.Амортиз.нови активи'!AL$12:AL$59)</f>
        <v>0</v>
      </c>
      <c r="AM117" s="2618">
        <f>AL117+SUMIF('11.1.Амортиз.нови активи'!$B$12:$B$59,$B117,'11.1.Амортиз.нови активи'!AM$12:AM$59)</f>
        <v>0</v>
      </c>
      <c r="AN117" s="2513"/>
      <c r="AO117" s="2551"/>
      <c r="AP117" s="4422"/>
      <c r="AQ117" s="4438">
        <f t="shared" si="174"/>
        <v>445.33522852190629</v>
      </c>
      <c r="AR117" s="4438">
        <f t="shared" si="175"/>
        <v>522.02901070133908</v>
      </c>
      <c r="AS117" s="4438">
        <f t="shared" si="176"/>
        <v>531.23226456287102</v>
      </c>
      <c r="AT117" s="4438">
        <f t="shared" si="177"/>
        <v>537.36776713722566</v>
      </c>
      <c r="AU117" s="4438">
        <f t="shared" si="178"/>
        <v>561.90977743464418</v>
      </c>
      <c r="AV117" s="4438">
        <f t="shared" si="179"/>
        <v>591.05341466282857</v>
      </c>
      <c r="AW117" s="4438">
        <f t="shared" si="180"/>
        <v>624.79867882177905</v>
      </c>
      <c r="AX117" s="4438">
        <f t="shared" si="181"/>
        <v>0.51129188119621849</v>
      </c>
      <c r="AY117" s="4438">
        <f t="shared" si="182"/>
        <v>0.51129188119621849</v>
      </c>
      <c r="AZ117" s="4438">
        <f t="shared" si="183"/>
        <v>0.51129188119621849</v>
      </c>
      <c r="BA117" s="4438">
        <f t="shared" si="184"/>
        <v>0.51129188119621849</v>
      </c>
      <c r="BB117" s="4438">
        <f t="shared" si="185"/>
        <v>0.51129188119621849</v>
      </c>
      <c r="BC117" s="4438">
        <f t="shared" si="186"/>
        <v>0.51129188119621849</v>
      </c>
      <c r="BD117" s="4438">
        <f t="shared" si="187"/>
        <v>0.51129188119621849</v>
      </c>
      <c r="BE117" s="4438">
        <f t="shared" si="188"/>
        <v>0.51129188119621849</v>
      </c>
      <c r="BF117" s="4438">
        <f t="shared" si="189"/>
        <v>0.51129188119621849</v>
      </c>
      <c r="BG117" s="4438">
        <f t="shared" si="190"/>
        <v>0.51129188119621849</v>
      </c>
      <c r="BH117" s="4438">
        <f t="shared" si="191"/>
        <v>0.51129188119621849</v>
      </c>
      <c r="BI117" s="4438">
        <f t="shared" si="192"/>
        <v>0.51129188119621849</v>
      </c>
      <c r="BJ117" s="4438">
        <f t="shared" si="193"/>
        <v>0.51129188119621849</v>
      </c>
      <c r="BK117" s="4438">
        <f t="shared" si="194"/>
        <v>0.51129188119621849</v>
      </c>
      <c r="BL117" s="4438">
        <f t="shared" si="195"/>
        <v>0</v>
      </c>
      <c r="BM117" s="4438">
        <f t="shared" si="196"/>
        <v>0</v>
      </c>
      <c r="BN117" s="4438">
        <f t="shared" si="197"/>
        <v>0</v>
      </c>
      <c r="BO117" s="4438">
        <f t="shared" si="198"/>
        <v>0</v>
      </c>
      <c r="BP117" s="4438">
        <f t="shared" si="199"/>
        <v>0</v>
      </c>
      <c r="BQ117" s="4438">
        <f t="shared" si="200"/>
        <v>0</v>
      </c>
      <c r="BR117" s="4438">
        <f t="shared" si="201"/>
        <v>0</v>
      </c>
      <c r="BS117" s="4438">
        <f t="shared" si="202"/>
        <v>0</v>
      </c>
      <c r="BT117" s="4438">
        <f t="shared" si="203"/>
        <v>0</v>
      </c>
      <c r="BU117" s="4438">
        <f t="shared" si="204"/>
        <v>0</v>
      </c>
      <c r="BV117" s="4438">
        <f t="shared" si="205"/>
        <v>0</v>
      </c>
      <c r="BW117" s="4438">
        <f t="shared" si="206"/>
        <v>0</v>
      </c>
      <c r="BX117" s="4438">
        <f t="shared" si="207"/>
        <v>0</v>
      </c>
      <c r="BY117" s="4438">
        <f t="shared" si="208"/>
        <v>0</v>
      </c>
    </row>
    <row r="118" spans="1:77" s="1292" customFormat="1">
      <c r="A118" s="2515">
        <v>7</v>
      </c>
      <c r="B118" s="2516">
        <v>2030503</v>
      </c>
      <c r="C118" s="2522">
        <v>0.1</v>
      </c>
      <c r="D118" s="2552" t="s">
        <v>713</v>
      </c>
      <c r="E118" s="4387">
        <f>+'11.3. ДА Базова година'!H98</f>
        <v>211</v>
      </c>
      <c r="F118" s="2617">
        <f>E118+SUMIF('11.1.Амортиз.нови активи'!$B$12:$B$59,$B118,'11.1.Амортиз.нови активи'!F$12:F$59)+('9.Инвестиционна програма'!H$130*SUMIF('11.1.Амортиз.нови активи'!$B$12:$B$59,$B118,'11.1.Амортиз.нови активи'!AO$12:AO$59))</f>
        <v>311</v>
      </c>
      <c r="G118" s="1110">
        <f>F118+SUMIF('11.1.Амортиз.нови активи'!$B$12:$B$59,$B118,'11.1.Амортиз.нови активи'!G$12:G$59)+('9.Инвестиционна програма'!I$130*SUMIF('11.1.Амортиз.нови активи'!$B$12:$B$59,$B118,'11.1.Амортиз.нови активи'!AP$12:AP$59))</f>
        <v>313</v>
      </c>
      <c r="H118" s="1110">
        <f>G118+SUMIF('11.1.Амортиз.нови активи'!$B$12:$B$59,$B118,'11.1.Амортиз.нови активи'!H$12:H$59)+('9.Инвестиционна програма'!J$130*SUMIF('11.1.Амортиз.нови активи'!$B$12:$B$59,$B118,'11.1.Амортиз.нови активи'!AQ$12:AQ$59))</f>
        <v>343</v>
      </c>
      <c r="I118" s="1110">
        <f>H118+SUMIF('11.1.Амортиз.нови активи'!$B$12:$B$59,$B118,'11.1.Амортиз.нови активи'!I$12:I$59)+('9.Инвестиционна програма'!K$130*SUMIF('11.1.Амортиз.нови активи'!$B$12:$B$59,$B118,'11.1.Амортиз.нови активи'!AR$12:AR$59))</f>
        <v>345</v>
      </c>
      <c r="J118" s="1110">
        <f>I118+SUMIF('11.1.Амортиз.нови активи'!$B$12:$B$59,$B118,'11.1.Амортиз.нови активи'!J$12:J$59)+('9.Инвестиционна програма'!L$130*SUMIF('11.1.Амортиз.нови активи'!$B$12:$B$59,$B118,'11.1.Амортиз.нови активи'!AS$12:AS$59))</f>
        <v>433</v>
      </c>
      <c r="K118" s="2618">
        <f>J118+SUMIF('11.1.Амортиз.нови активи'!$B$12:$B$59,$B118,'11.1.Амортиз.нови активи'!K$12:K$59)+('9.Инвестиционна програма'!M$130*SUMIF('11.1.Амортиз.нови активи'!$B$12:$B$59,$B118,'11.1.Амортиз.нови активи'!AT$12:AT$59))</f>
        <v>449</v>
      </c>
      <c r="L118" s="4387">
        <f>+'11.3. ДА Базова година'!L98</f>
        <v>4</v>
      </c>
      <c r="M118" s="2617">
        <f>L118+SUMIF('11.1.Амортиз.нови активи'!$B$12:$B$59,$B118,'11.1.Амортиз.нови активи'!M$12:M$59)+('9.Инвестиционна програма'!H$131*SUMIF('11.1.Амортиз.нови активи'!$B$12:$B$59,$B118,'11.1.Амортиз.нови активи'!AO$12:AO$59))</f>
        <v>6</v>
      </c>
      <c r="N118" s="1110">
        <f>M118+SUMIF('11.1.Амортиз.нови активи'!$B$12:$B$59,$B118,'11.1.Амортиз.нови активи'!N$12:N$59)+('9.Инвестиционна програма'!I$131*SUMIF('11.1.Амортиз.нови активи'!$B$12:$B$59,$B118,'11.1.Амортиз.нови активи'!AP$12:AP$59))</f>
        <v>6</v>
      </c>
      <c r="O118" s="1110">
        <f>N118+SUMIF('11.1.Амортиз.нови активи'!$B$12:$B$59,$B118,'11.1.Амортиз.нови активи'!O$12:O$59)+('9.Инвестиционна програма'!J$131*SUMIF('11.1.Амортиз.нови активи'!$B$12:$B$59,$B118,'11.1.Амортиз.нови активи'!AQ$12:AQ$59))</f>
        <v>6</v>
      </c>
      <c r="P118" s="1110">
        <f>O118+SUMIF('11.1.Амортиз.нови активи'!$B$12:$B$59,$B118,'11.1.Амортиз.нови активи'!P$12:P$59)+('9.Инвестиционна програма'!K$131*SUMIF('11.1.Амортиз.нови активи'!$B$12:$B$59,$B118,'11.1.Амортиз.нови активи'!AR$12:AR$59))</f>
        <v>6</v>
      </c>
      <c r="Q118" s="1110">
        <f>P118+SUMIF('11.1.Амортиз.нови активи'!$B$12:$B$59,$B118,'11.1.Амортиз.нови активи'!Q$12:Q$59)+('9.Инвестиционна програма'!L$131*SUMIF('11.1.Амортиз.нови активи'!$B$12:$B$59,$B118,'11.1.Амортиз.нови активи'!AS$12:AS$59))</f>
        <v>6</v>
      </c>
      <c r="R118" s="2618">
        <f>Q118+SUMIF('11.1.Амортиз.нови активи'!$B$12:$B$59,$B118,'11.1.Амортиз.нови активи'!R$12:R$59)+('9.Инвестиционна програма'!M$131*SUMIF('11.1.Амортиз.нови активи'!$B$12:$B$59,$B118,'11.1.Амортиз.нови активи'!AT$12:AT$59))</f>
        <v>6</v>
      </c>
      <c r="S118" s="4387">
        <f>+'11.3. ДА Базова година'!P98</f>
        <v>11</v>
      </c>
      <c r="T118" s="2617">
        <f>S118+SUMIF('11.1.Амортиз.нови активи'!$B$12:$B$59,$B118,'11.1.Амортиз.нови активи'!T$12:T$59)+('9.Инвестиционна програма'!H$132*SUMIF('11.1.Амортиз.нови активи'!$B$12:$B$59,$B118,'11.1.Амортиз.нови активи'!AO$12:AO$59))</f>
        <v>21</v>
      </c>
      <c r="U118" s="1110">
        <f>T118+SUMIF('11.1.Амортиз.нови активи'!$B$12:$B$59,$B118,'11.1.Амортиз.нови активи'!U$12:U$59)+('9.Инвестиционна програма'!I$132*SUMIF('11.1.Амортиз.нови активи'!$B$12:$B$59,$B118,'11.1.Амортиз.нови активи'!AP$12:AP$59))</f>
        <v>21</v>
      </c>
      <c r="V118" s="1110">
        <f>U118+SUMIF('11.1.Амортиз.нови активи'!$B$12:$B$59,$B118,'11.1.Амортиз.нови активи'!V$12:V$59)+('9.Инвестиционна програма'!J$132*SUMIF('11.1.Амортиз.нови активи'!$B$12:$B$59,$B118,'11.1.Амортиз.нови активи'!AQ$12:AQ$59))</f>
        <v>21</v>
      </c>
      <c r="W118" s="1110">
        <f>V118+SUMIF('11.1.Амортиз.нови активи'!$B$12:$B$59,$B118,'11.1.Амортиз.нови активи'!W$12:W$59)+('9.Инвестиционна програма'!K$132*SUMIF('11.1.Амортиз.нови активи'!$B$12:$B$59,$B118,'11.1.Амортиз.нови активи'!AR$12:AR$59))</f>
        <v>21</v>
      </c>
      <c r="X118" s="1110">
        <f>W118+SUMIF('11.1.Амортиз.нови активи'!$B$12:$B$59,$B118,'11.1.Амортиз.нови активи'!X$12:X$59)+('9.Инвестиционна програма'!L$132*SUMIF('11.1.Амортиз.нови активи'!$B$12:$B$59,$B118,'11.1.Амортиз.нови активи'!AS$12:AS$59))</f>
        <v>21</v>
      </c>
      <c r="Y118" s="2618">
        <f>X118+SUMIF('11.1.Амортиз.нови активи'!$B$12:$B$59,$B118,'11.1.Амортиз.нови активи'!Y$12:Y$59)+('9.Инвестиционна програма'!M$132*SUMIF('11.1.Амортиз.нови активи'!$B$12:$B$59,$B118,'11.1.Амортиз.нови активи'!AT$12:AT$59))</f>
        <v>21</v>
      </c>
      <c r="Z118" s="4387">
        <f>+'11.3. ДА Базова година'!T98</f>
        <v>0</v>
      </c>
      <c r="AA118" s="2617">
        <f>Z118+SUMIF('11.1.Амортиз.нови активи'!$B$12:$B$59,$B118,'11.1.Амортиз.нови активи'!AA$12:AA$59)</f>
        <v>0</v>
      </c>
      <c r="AB118" s="1110">
        <f>AA118+SUMIF('11.1.Амортиз.нови активи'!$B$12:$B$59,$B118,'11.1.Амортиз.нови активи'!AB$12:AB$59)</f>
        <v>0</v>
      </c>
      <c r="AC118" s="1110">
        <f>AB118+SUMIF('11.1.Амортиз.нови активи'!$B$12:$B$59,$B118,'11.1.Амортиз.нови активи'!AC$12:AC$59)</f>
        <v>0</v>
      </c>
      <c r="AD118" s="1110">
        <f>AC118+SUMIF('11.1.Амортиз.нови активи'!$B$12:$B$59,$B118,'11.1.Амортиз.нови активи'!AD$12:AD$59)</f>
        <v>0</v>
      </c>
      <c r="AE118" s="1110">
        <f>AD118+SUMIF('11.1.Амортиз.нови активи'!$B$12:$B$59,$B118,'11.1.Амортиз.нови активи'!AE$12:AE$59)</f>
        <v>0</v>
      </c>
      <c r="AF118" s="2618">
        <f>AE118+SUMIF('11.1.Амортиз.нови активи'!$B$12:$B$59,$B118,'11.1.Амортиз.нови активи'!AF$12:AF$59)</f>
        <v>0</v>
      </c>
      <c r="AG118" s="4387">
        <f>+'11.3. ДА Базова година'!X98</f>
        <v>0</v>
      </c>
      <c r="AH118" s="2617">
        <f>AG118+SUMIF('11.1.Амортиз.нови активи'!$B$12:$B$59,$B118,'11.1.Амортиз.нови активи'!AH$12:AH$59)</f>
        <v>0</v>
      </c>
      <c r="AI118" s="1110">
        <f>AH118+SUMIF('11.1.Амортиз.нови активи'!$B$12:$B$59,$B118,'11.1.Амортиз.нови активи'!AI$12:AI$59)</f>
        <v>0</v>
      </c>
      <c r="AJ118" s="1110">
        <f>AI118+SUMIF('11.1.Амортиз.нови активи'!$B$12:$B$59,$B118,'11.1.Амортиз.нови активи'!AJ$12:AJ$59)</f>
        <v>0</v>
      </c>
      <c r="AK118" s="1110">
        <f>AJ118+SUMIF('11.1.Амортиз.нови активи'!$B$12:$B$59,$B118,'11.1.Амортиз.нови активи'!AK$12:AK$59)</f>
        <v>0</v>
      </c>
      <c r="AL118" s="1110">
        <f>AK118+SUMIF('11.1.Амортиз.нови активи'!$B$12:$B$59,$B118,'11.1.Амортиз.нови активи'!AL$12:AL$59)</f>
        <v>0</v>
      </c>
      <c r="AM118" s="2618">
        <f>AL118+SUMIF('11.1.Амортиз.нови активи'!$B$12:$B$59,$B118,'11.1.Амортиз.нови активи'!AM$12:AM$59)</f>
        <v>0</v>
      </c>
      <c r="AN118" s="2513"/>
      <c r="AO118" s="2551"/>
      <c r="AP118" s="4422"/>
      <c r="AQ118" s="4438">
        <f t="shared" si="174"/>
        <v>107.88258693240211</v>
      </c>
      <c r="AR118" s="4438">
        <f t="shared" si="175"/>
        <v>159.01177505202395</v>
      </c>
      <c r="AS118" s="4438">
        <f t="shared" si="176"/>
        <v>160.03435881441638</v>
      </c>
      <c r="AT118" s="4438">
        <f t="shared" si="177"/>
        <v>175.37311525030293</v>
      </c>
      <c r="AU118" s="4438">
        <f t="shared" si="178"/>
        <v>176.39569901269539</v>
      </c>
      <c r="AV118" s="4438">
        <f t="shared" si="179"/>
        <v>221.38938455796261</v>
      </c>
      <c r="AW118" s="4438">
        <f t="shared" si="180"/>
        <v>229.57005465710211</v>
      </c>
      <c r="AX118" s="4438">
        <f t="shared" si="181"/>
        <v>2.045167524784874</v>
      </c>
      <c r="AY118" s="4438">
        <f t="shared" si="182"/>
        <v>3.0677512871773112</v>
      </c>
      <c r="AZ118" s="4438">
        <f t="shared" si="183"/>
        <v>3.0677512871773112</v>
      </c>
      <c r="BA118" s="4438">
        <f t="shared" si="184"/>
        <v>3.0677512871773112</v>
      </c>
      <c r="BB118" s="4438">
        <f t="shared" si="185"/>
        <v>3.0677512871773112</v>
      </c>
      <c r="BC118" s="4438">
        <f t="shared" si="186"/>
        <v>3.0677512871773112</v>
      </c>
      <c r="BD118" s="4438">
        <f t="shared" si="187"/>
        <v>3.0677512871773112</v>
      </c>
      <c r="BE118" s="4438">
        <f t="shared" si="188"/>
        <v>5.6242106931584033</v>
      </c>
      <c r="BF118" s="4438">
        <f t="shared" si="189"/>
        <v>10.737129505120588</v>
      </c>
      <c r="BG118" s="4438">
        <f t="shared" si="190"/>
        <v>10.737129505120588</v>
      </c>
      <c r="BH118" s="4438">
        <f t="shared" si="191"/>
        <v>10.737129505120588</v>
      </c>
      <c r="BI118" s="4438">
        <f t="shared" si="192"/>
        <v>10.737129505120588</v>
      </c>
      <c r="BJ118" s="4438">
        <f t="shared" si="193"/>
        <v>10.737129505120588</v>
      </c>
      <c r="BK118" s="4438">
        <f t="shared" si="194"/>
        <v>10.737129505120588</v>
      </c>
      <c r="BL118" s="4438">
        <f t="shared" si="195"/>
        <v>0</v>
      </c>
      <c r="BM118" s="4438">
        <f t="shared" si="196"/>
        <v>0</v>
      </c>
      <c r="BN118" s="4438">
        <f t="shared" si="197"/>
        <v>0</v>
      </c>
      <c r="BO118" s="4438">
        <f t="shared" si="198"/>
        <v>0</v>
      </c>
      <c r="BP118" s="4438">
        <f t="shared" si="199"/>
        <v>0</v>
      </c>
      <c r="BQ118" s="4438">
        <f t="shared" si="200"/>
        <v>0</v>
      </c>
      <c r="BR118" s="4438">
        <f t="shared" si="201"/>
        <v>0</v>
      </c>
      <c r="BS118" s="4438">
        <f t="shared" si="202"/>
        <v>0</v>
      </c>
      <c r="BT118" s="4438">
        <f t="shared" si="203"/>
        <v>0</v>
      </c>
      <c r="BU118" s="4438">
        <f t="shared" si="204"/>
        <v>0</v>
      </c>
      <c r="BV118" s="4438">
        <f t="shared" si="205"/>
        <v>0</v>
      </c>
      <c r="BW118" s="4438">
        <f t="shared" si="206"/>
        <v>0</v>
      </c>
      <c r="BX118" s="4438">
        <f t="shared" si="207"/>
        <v>0</v>
      </c>
      <c r="BY118" s="4438">
        <f t="shared" si="208"/>
        <v>0</v>
      </c>
    </row>
    <row r="119" spans="1:77" s="1292" customFormat="1">
      <c r="A119" s="2515">
        <v>8</v>
      </c>
      <c r="B119" s="2516">
        <v>2040101</v>
      </c>
      <c r="C119" s="2572">
        <v>0.1</v>
      </c>
      <c r="D119" s="2546" t="s">
        <v>1016</v>
      </c>
      <c r="E119" s="4387">
        <f>+'11.3. ДА Базова година'!H99</f>
        <v>38</v>
      </c>
      <c r="F119" s="2617">
        <f>E119+SUMIF('11.1.Амортиз.нови активи'!$B$12:$B$59,$B119,'11.1.Амортиз.нови активи'!F$12:F$59)+('9.Инвестиционна програма'!H$130*SUMIF('11.1.Амортиз.нови активи'!$B$12:$B$59,$B119,'11.1.Амортиз.нови активи'!AO$12:AO$59))</f>
        <v>38</v>
      </c>
      <c r="G119" s="1110">
        <f>F119+SUMIF('11.1.Амортиз.нови активи'!$B$12:$B$59,$B119,'11.1.Амортиз.нови активи'!G$12:G$59)+('9.Инвестиционна програма'!I$130*SUMIF('11.1.Амортиз.нови активи'!$B$12:$B$59,$B119,'11.1.Амортиз.нови активи'!AP$12:AP$59))</f>
        <v>38</v>
      </c>
      <c r="H119" s="1110">
        <f>G119+SUMIF('11.1.Амортиз.нови активи'!$B$12:$B$59,$B119,'11.1.Амортиз.нови активи'!H$12:H$59)+('9.Инвестиционна програма'!J$130*SUMIF('11.1.Амортиз.нови активи'!$B$12:$B$59,$B119,'11.1.Амортиз.нови активи'!AQ$12:AQ$59))</f>
        <v>38</v>
      </c>
      <c r="I119" s="1110">
        <f>H119+SUMIF('11.1.Амортиз.нови активи'!$B$12:$B$59,$B119,'11.1.Амортиз.нови активи'!I$12:I$59)+('9.Инвестиционна програма'!K$130*SUMIF('11.1.Амортиз.нови активи'!$B$12:$B$59,$B119,'11.1.Амортиз.нови активи'!AR$12:AR$59))</f>
        <v>38</v>
      </c>
      <c r="J119" s="1110">
        <f>I119+SUMIF('11.1.Амортиз.нови активи'!$B$12:$B$59,$B119,'11.1.Амортиз.нови активи'!J$12:J$59)+('9.Инвестиционна програма'!L$130*SUMIF('11.1.Амортиз.нови активи'!$B$12:$B$59,$B119,'11.1.Амортиз.нови активи'!AS$12:AS$59))</f>
        <v>38</v>
      </c>
      <c r="K119" s="2618">
        <f>J119+SUMIF('11.1.Амортиз.нови активи'!$B$12:$B$59,$B119,'11.1.Амортиз.нови активи'!K$12:K$59)+('9.Инвестиционна програма'!M$130*SUMIF('11.1.Амортиз.нови активи'!$B$12:$B$59,$B119,'11.1.Амортиз.нови активи'!AT$12:AT$59))</f>
        <v>38</v>
      </c>
      <c r="L119" s="4387">
        <f>+'11.3. ДА Базова година'!L99</f>
        <v>0</v>
      </c>
      <c r="M119" s="2617">
        <f>L119+SUMIF('11.1.Амортиз.нови активи'!$B$12:$B$59,$B119,'11.1.Амортиз.нови активи'!M$12:M$59)+('9.Инвестиционна програма'!H$131*SUMIF('11.1.Амортиз.нови активи'!$B$12:$B$59,$B119,'11.1.Амортиз.нови активи'!AO$12:AO$59))</f>
        <v>0</v>
      </c>
      <c r="N119" s="1110">
        <f>M119+SUMIF('11.1.Амортиз.нови активи'!$B$12:$B$59,$B119,'11.1.Амортиз.нови активи'!N$12:N$59)+('9.Инвестиционна програма'!I$131*SUMIF('11.1.Амортиз.нови активи'!$B$12:$B$59,$B119,'11.1.Амортиз.нови активи'!AP$12:AP$59))</f>
        <v>0</v>
      </c>
      <c r="O119" s="1110">
        <f>N119+SUMIF('11.1.Амортиз.нови активи'!$B$12:$B$59,$B119,'11.1.Амортиз.нови активи'!O$12:O$59)+('9.Инвестиционна програма'!J$131*SUMIF('11.1.Амортиз.нови активи'!$B$12:$B$59,$B119,'11.1.Амортиз.нови активи'!AQ$12:AQ$59))</f>
        <v>0</v>
      </c>
      <c r="P119" s="1110">
        <f>O119+SUMIF('11.1.Амортиз.нови активи'!$B$12:$B$59,$B119,'11.1.Амортиз.нови активи'!P$12:P$59)+('9.Инвестиционна програма'!K$131*SUMIF('11.1.Амортиз.нови активи'!$B$12:$B$59,$B119,'11.1.Амортиз.нови активи'!AR$12:AR$59))</f>
        <v>0</v>
      </c>
      <c r="Q119" s="1110">
        <f>P119+SUMIF('11.1.Амортиз.нови активи'!$B$12:$B$59,$B119,'11.1.Амортиз.нови активи'!Q$12:Q$59)+('9.Инвестиционна програма'!L$131*SUMIF('11.1.Амортиз.нови активи'!$B$12:$B$59,$B119,'11.1.Амортиз.нови активи'!AS$12:AS$59))</f>
        <v>0</v>
      </c>
      <c r="R119" s="2618">
        <f>Q119+SUMIF('11.1.Амортиз.нови активи'!$B$12:$B$59,$B119,'11.1.Амортиз.нови активи'!R$12:R$59)+('9.Инвестиционна програма'!M$131*SUMIF('11.1.Амортиз.нови активи'!$B$12:$B$59,$B119,'11.1.Амортиз.нови активи'!AT$12:AT$59))</f>
        <v>0</v>
      </c>
      <c r="S119" s="4387">
        <f>+'11.3. ДА Базова година'!P99</f>
        <v>2</v>
      </c>
      <c r="T119" s="2617">
        <f>S119+SUMIF('11.1.Амортиз.нови активи'!$B$12:$B$59,$B119,'11.1.Амортиз.нови активи'!T$12:T$59)+('9.Инвестиционна програма'!H$132*SUMIF('11.1.Амортиз.нови активи'!$B$12:$B$59,$B119,'11.1.Амортиз.нови активи'!AO$12:AO$59))</f>
        <v>2</v>
      </c>
      <c r="U119" s="1110">
        <f>T119+SUMIF('11.1.Амортиз.нови активи'!$B$12:$B$59,$B119,'11.1.Амортиз.нови активи'!U$12:U$59)+('9.Инвестиционна програма'!I$132*SUMIF('11.1.Амортиз.нови активи'!$B$12:$B$59,$B119,'11.1.Амортиз.нови активи'!AP$12:AP$59))</f>
        <v>2</v>
      </c>
      <c r="V119" s="1110">
        <f>U119+SUMIF('11.1.Амортиз.нови активи'!$B$12:$B$59,$B119,'11.1.Амортиз.нови активи'!V$12:V$59)+('9.Инвестиционна програма'!J$132*SUMIF('11.1.Амортиз.нови активи'!$B$12:$B$59,$B119,'11.1.Амортиз.нови активи'!AQ$12:AQ$59))</f>
        <v>2</v>
      </c>
      <c r="W119" s="1110">
        <f>V119+SUMIF('11.1.Амортиз.нови активи'!$B$12:$B$59,$B119,'11.1.Амортиз.нови активи'!W$12:W$59)+('9.Инвестиционна програма'!K$132*SUMIF('11.1.Амортиз.нови активи'!$B$12:$B$59,$B119,'11.1.Амортиз.нови активи'!AR$12:AR$59))</f>
        <v>2</v>
      </c>
      <c r="X119" s="1110">
        <f>W119+SUMIF('11.1.Амортиз.нови активи'!$B$12:$B$59,$B119,'11.1.Амортиз.нови активи'!X$12:X$59)+('9.Инвестиционна програма'!L$132*SUMIF('11.1.Амортиз.нови активи'!$B$12:$B$59,$B119,'11.1.Амортиз.нови активи'!AS$12:AS$59))</f>
        <v>2</v>
      </c>
      <c r="Y119" s="2618">
        <f>X119+SUMIF('11.1.Амортиз.нови активи'!$B$12:$B$59,$B119,'11.1.Амортиз.нови активи'!Y$12:Y$59)+('9.Инвестиционна програма'!M$132*SUMIF('11.1.Амортиз.нови активи'!$B$12:$B$59,$B119,'11.1.Амортиз.нови активи'!AT$12:AT$59))</f>
        <v>2</v>
      </c>
      <c r="Z119" s="4387">
        <f>+'11.3. ДА Базова година'!T99</f>
        <v>0</v>
      </c>
      <c r="AA119" s="2617">
        <f>Z119+SUMIF('11.1.Амортиз.нови активи'!$B$12:$B$59,$B119,'11.1.Амортиз.нови активи'!AA$12:AA$59)</f>
        <v>0</v>
      </c>
      <c r="AB119" s="1110">
        <f>AA119+SUMIF('11.1.Амортиз.нови активи'!$B$12:$B$59,$B119,'11.1.Амортиз.нови активи'!AB$12:AB$59)</f>
        <v>0</v>
      </c>
      <c r="AC119" s="1110">
        <f>AB119+SUMIF('11.1.Амортиз.нови активи'!$B$12:$B$59,$B119,'11.1.Амортиз.нови активи'!AC$12:AC$59)</f>
        <v>0</v>
      </c>
      <c r="AD119" s="1110">
        <f>AC119+SUMIF('11.1.Амортиз.нови активи'!$B$12:$B$59,$B119,'11.1.Амортиз.нови активи'!AD$12:AD$59)</f>
        <v>0</v>
      </c>
      <c r="AE119" s="1110">
        <f>AD119+SUMIF('11.1.Амортиз.нови активи'!$B$12:$B$59,$B119,'11.1.Амортиз.нови активи'!AE$12:AE$59)</f>
        <v>0</v>
      </c>
      <c r="AF119" s="2618">
        <f>AE119+SUMIF('11.1.Амортиз.нови активи'!$B$12:$B$59,$B119,'11.1.Амортиз.нови активи'!AF$12:AF$59)</f>
        <v>0</v>
      </c>
      <c r="AG119" s="4387">
        <f>+'11.3. ДА Базова година'!X99</f>
        <v>0</v>
      </c>
      <c r="AH119" s="2617">
        <f>AG119+SUMIF('11.1.Амортиз.нови активи'!$B$12:$B$59,$B119,'11.1.Амортиз.нови активи'!AH$12:AH$59)</f>
        <v>0</v>
      </c>
      <c r="AI119" s="1110">
        <f>AH119+SUMIF('11.1.Амортиз.нови активи'!$B$12:$B$59,$B119,'11.1.Амортиз.нови активи'!AI$12:AI$59)</f>
        <v>0</v>
      </c>
      <c r="AJ119" s="1110">
        <f>AI119+SUMIF('11.1.Амортиз.нови активи'!$B$12:$B$59,$B119,'11.1.Амортиз.нови активи'!AJ$12:AJ$59)</f>
        <v>0</v>
      </c>
      <c r="AK119" s="1110">
        <f>AJ119+SUMIF('11.1.Амортиз.нови активи'!$B$12:$B$59,$B119,'11.1.Амортиз.нови активи'!AK$12:AK$59)</f>
        <v>0</v>
      </c>
      <c r="AL119" s="1110">
        <f>AK119+SUMIF('11.1.Амортиз.нови активи'!$B$12:$B$59,$B119,'11.1.Амортиз.нови активи'!AL$12:AL$59)</f>
        <v>0</v>
      </c>
      <c r="AM119" s="2618">
        <f>AL119+SUMIF('11.1.Амортиз.нови активи'!$B$12:$B$59,$B119,'11.1.Амортиз.нови активи'!AM$12:AM$59)</f>
        <v>0</v>
      </c>
      <c r="AN119" s="2513"/>
      <c r="AO119" s="2551"/>
      <c r="AP119" s="4422"/>
      <c r="AQ119" s="4438">
        <f t="shared" si="174"/>
        <v>19.429091485456304</v>
      </c>
      <c r="AR119" s="4438">
        <f t="shared" si="175"/>
        <v>19.429091485456304</v>
      </c>
      <c r="AS119" s="4438">
        <f t="shared" si="176"/>
        <v>19.429091485456304</v>
      </c>
      <c r="AT119" s="4438">
        <f t="shared" si="177"/>
        <v>19.429091485456304</v>
      </c>
      <c r="AU119" s="4438">
        <f t="shared" si="178"/>
        <v>19.429091485456304</v>
      </c>
      <c r="AV119" s="4438">
        <f t="shared" si="179"/>
        <v>19.429091485456304</v>
      </c>
      <c r="AW119" s="4438">
        <f t="shared" si="180"/>
        <v>19.429091485456304</v>
      </c>
      <c r="AX119" s="4438">
        <f t="shared" si="181"/>
        <v>0</v>
      </c>
      <c r="AY119" s="4438">
        <f t="shared" si="182"/>
        <v>0</v>
      </c>
      <c r="AZ119" s="4438">
        <f t="shared" si="183"/>
        <v>0</v>
      </c>
      <c r="BA119" s="4438">
        <f t="shared" si="184"/>
        <v>0</v>
      </c>
      <c r="BB119" s="4438">
        <f t="shared" si="185"/>
        <v>0</v>
      </c>
      <c r="BC119" s="4438">
        <f t="shared" si="186"/>
        <v>0</v>
      </c>
      <c r="BD119" s="4438">
        <f t="shared" si="187"/>
        <v>0</v>
      </c>
      <c r="BE119" s="4438">
        <f t="shared" si="188"/>
        <v>1.022583762392437</v>
      </c>
      <c r="BF119" s="4438">
        <f t="shared" si="189"/>
        <v>1.022583762392437</v>
      </c>
      <c r="BG119" s="4438">
        <f t="shared" si="190"/>
        <v>1.022583762392437</v>
      </c>
      <c r="BH119" s="4438">
        <f t="shared" si="191"/>
        <v>1.022583762392437</v>
      </c>
      <c r="BI119" s="4438">
        <f t="shared" si="192"/>
        <v>1.022583762392437</v>
      </c>
      <c r="BJ119" s="4438">
        <f t="shared" si="193"/>
        <v>1.022583762392437</v>
      </c>
      <c r="BK119" s="4438">
        <f t="shared" si="194"/>
        <v>1.022583762392437</v>
      </c>
      <c r="BL119" s="4438">
        <f t="shared" si="195"/>
        <v>0</v>
      </c>
      <c r="BM119" s="4438">
        <f t="shared" si="196"/>
        <v>0</v>
      </c>
      <c r="BN119" s="4438">
        <f t="shared" si="197"/>
        <v>0</v>
      </c>
      <c r="BO119" s="4438">
        <f t="shared" si="198"/>
        <v>0</v>
      </c>
      <c r="BP119" s="4438">
        <f t="shared" si="199"/>
        <v>0</v>
      </c>
      <c r="BQ119" s="4438">
        <f t="shared" si="200"/>
        <v>0</v>
      </c>
      <c r="BR119" s="4438">
        <f t="shared" si="201"/>
        <v>0</v>
      </c>
      <c r="BS119" s="4438">
        <f t="shared" si="202"/>
        <v>0</v>
      </c>
      <c r="BT119" s="4438">
        <f t="shared" si="203"/>
        <v>0</v>
      </c>
      <c r="BU119" s="4438">
        <f t="shared" si="204"/>
        <v>0</v>
      </c>
      <c r="BV119" s="4438">
        <f t="shared" si="205"/>
        <v>0</v>
      </c>
      <c r="BW119" s="4438">
        <f t="shared" si="206"/>
        <v>0</v>
      </c>
      <c r="BX119" s="4438">
        <f t="shared" si="207"/>
        <v>0</v>
      </c>
      <c r="BY119" s="4438">
        <f t="shared" si="208"/>
        <v>0</v>
      </c>
    </row>
    <row r="120" spans="1:77" s="1292" customFormat="1">
      <c r="A120" s="2573">
        <v>9</v>
      </c>
      <c r="B120" s="2516">
        <v>2040102</v>
      </c>
      <c r="C120" s="2572">
        <v>0.04</v>
      </c>
      <c r="D120" s="2546" t="s">
        <v>432</v>
      </c>
      <c r="E120" s="4387">
        <f>+'11.3. ДА Базова година'!H100</f>
        <v>0</v>
      </c>
      <c r="F120" s="2617">
        <f>E120+SUMIF('11.1.Амортиз.нови активи'!$B$12:$B$59,$B120,'11.1.Амортиз.нови активи'!F$12:F$59)+('9.Инвестиционна програма'!H$130*SUMIF('11.1.Амортиз.нови активи'!$B$12:$B$59,$B120,'11.1.Амортиз.нови активи'!AO$12:AO$59))</f>
        <v>0</v>
      </c>
      <c r="G120" s="1110">
        <f>F120+SUMIF('11.1.Амортиз.нови активи'!$B$12:$B$59,$B120,'11.1.Амортиз.нови активи'!G$12:G$59)+('9.Инвестиционна програма'!I$130*SUMIF('11.1.Амортиз.нови активи'!$B$12:$B$59,$B120,'11.1.Амортиз.нови активи'!AP$12:AP$59))</f>
        <v>0</v>
      </c>
      <c r="H120" s="1110">
        <f>G120+SUMIF('11.1.Амортиз.нови активи'!$B$12:$B$59,$B120,'11.1.Амортиз.нови активи'!H$12:H$59)+('9.Инвестиционна програма'!J$130*SUMIF('11.1.Амортиз.нови активи'!$B$12:$B$59,$B120,'11.1.Амортиз.нови активи'!AQ$12:AQ$59))</f>
        <v>0</v>
      </c>
      <c r="I120" s="1110">
        <f>H120+SUMIF('11.1.Амортиз.нови активи'!$B$12:$B$59,$B120,'11.1.Амортиз.нови активи'!I$12:I$59)+('9.Инвестиционна програма'!K$130*SUMIF('11.1.Амортиз.нови активи'!$B$12:$B$59,$B120,'11.1.Амортиз.нови активи'!AR$12:AR$59))</f>
        <v>0</v>
      </c>
      <c r="J120" s="1110">
        <f>I120+SUMIF('11.1.Амортиз.нови активи'!$B$12:$B$59,$B120,'11.1.Амортиз.нови активи'!J$12:J$59)+('9.Инвестиционна програма'!L$130*SUMIF('11.1.Амортиз.нови активи'!$B$12:$B$59,$B120,'11.1.Амортиз.нови активи'!AS$12:AS$59))</f>
        <v>0</v>
      </c>
      <c r="K120" s="2618">
        <f>J120+SUMIF('11.1.Амортиз.нови активи'!$B$12:$B$59,$B120,'11.1.Амортиз.нови активи'!K$12:K$59)+('9.Инвестиционна програма'!M$130*SUMIF('11.1.Амортиз.нови активи'!$B$12:$B$59,$B120,'11.1.Амортиз.нови активи'!AT$12:AT$59))</f>
        <v>0</v>
      </c>
      <c r="L120" s="4387">
        <f>+'11.3. ДА Базова година'!L100</f>
        <v>0</v>
      </c>
      <c r="M120" s="2617">
        <f>L120+SUMIF('11.1.Амортиз.нови активи'!$B$12:$B$59,$B120,'11.1.Амортиз.нови активи'!M$12:M$59)+('9.Инвестиционна програма'!H$131*SUMIF('11.1.Амортиз.нови активи'!$B$12:$B$59,$B120,'11.1.Амортиз.нови активи'!AO$12:AO$59))</f>
        <v>0</v>
      </c>
      <c r="N120" s="1110">
        <f>M120+SUMIF('11.1.Амортиз.нови активи'!$B$12:$B$59,$B120,'11.1.Амортиз.нови активи'!N$12:N$59)+('9.Инвестиционна програма'!I$131*SUMIF('11.1.Амортиз.нови активи'!$B$12:$B$59,$B120,'11.1.Амортиз.нови активи'!AP$12:AP$59))</f>
        <v>0</v>
      </c>
      <c r="O120" s="1110">
        <f>N120+SUMIF('11.1.Амортиз.нови активи'!$B$12:$B$59,$B120,'11.1.Амортиз.нови активи'!O$12:O$59)+('9.Инвестиционна програма'!J$131*SUMIF('11.1.Амортиз.нови активи'!$B$12:$B$59,$B120,'11.1.Амортиз.нови активи'!AQ$12:AQ$59))</f>
        <v>0</v>
      </c>
      <c r="P120" s="1110">
        <f>O120+SUMIF('11.1.Амортиз.нови активи'!$B$12:$B$59,$B120,'11.1.Амортиз.нови активи'!P$12:P$59)+('9.Инвестиционна програма'!K$131*SUMIF('11.1.Амортиз.нови активи'!$B$12:$B$59,$B120,'11.1.Амортиз.нови активи'!AR$12:AR$59))</f>
        <v>0</v>
      </c>
      <c r="Q120" s="1110">
        <f>P120+SUMIF('11.1.Амортиз.нови активи'!$B$12:$B$59,$B120,'11.1.Амортиз.нови активи'!Q$12:Q$59)+('9.Инвестиционна програма'!L$131*SUMIF('11.1.Амортиз.нови активи'!$B$12:$B$59,$B120,'11.1.Амортиз.нови активи'!AS$12:AS$59))</f>
        <v>0</v>
      </c>
      <c r="R120" s="2618">
        <f>Q120+SUMIF('11.1.Амортиз.нови активи'!$B$12:$B$59,$B120,'11.1.Амортиз.нови активи'!R$12:R$59)+('9.Инвестиционна програма'!M$131*SUMIF('11.1.Амортиз.нови активи'!$B$12:$B$59,$B120,'11.1.Амортиз.нови активи'!AT$12:AT$59))</f>
        <v>0</v>
      </c>
      <c r="S120" s="4387">
        <f>+'11.3. ДА Базова година'!P100</f>
        <v>0</v>
      </c>
      <c r="T120" s="2617">
        <f>S120+SUMIF('11.1.Амортиз.нови активи'!$B$12:$B$59,$B120,'11.1.Амортиз.нови активи'!T$12:T$59)+('9.Инвестиционна програма'!H$132*SUMIF('11.1.Амортиз.нови активи'!$B$12:$B$59,$B120,'11.1.Амортиз.нови активи'!AO$12:AO$59))</f>
        <v>0</v>
      </c>
      <c r="U120" s="1110">
        <f>T120+SUMIF('11.1.Амортиз.нови активи'!$B$12:$B$59,$B120,'11.1.Амортиз.нови активи'!U$12:U$59)+('9.Инвестиционна програма'!I$132*SUMIF('11.1.Амортиз.нови активи'!$B$12:$B$59,$B120,'11.1.Амортиз.нови активи'!AP$12:AP$59))</f>
        <v>0</v>
      </c>
      <c r="V120" s="1110">
        <f>U120+SUMIF('11.1.Амортиз.нови активи'!$B$12:$B$59,$B120,'11.1.Амортиз.нови активи'!V$12:V$59)+('9.Инвестиционна програма'!J$132*SUMIF('11.1.Амортиз.нови активи'!$B$12:$B$59,$B120,'11.1.Амортиз.нови активи'!AQ$12:AQ$59))</f>
        <v>0</v>
      </c>
      <c r="W120" s="1110">
        <f>V120+SUMIF('11.1.Амортиз.нови активи'!$B$12:$B$59,$B120,'11.1.Амортиз.нови активи'!W$12:W$59)+('9.Инвестиционна програма'!K$132*SUMIF('11.1.Амортиз.нови активи'!$B$12:$B$59,$B120,'11.1.Амортиз.нови активи'!AR$12:AR$59))</f>
        <v>0</v>
      </c>
      <c r="X120" s="1110">
        <f>W120+SUMIF('11.1.Амортиз.нови активи'!$B$12:$B$59,$B120,'11.1.Амортиз.нови активи'!X$12:X$59)+('9.Инвестиционна програма'!L$132*SUMIF('11.1.Амортиз.нови активи'!$B$12:$B$59,$B120,'11.1.Амортиз.нови активи'!AS$12:AS$59))</f>
        <v>0</v>
      </c>
      <c r="Y120" s="2618">
        <f>X120+SUMIF('11.1.Амортиз.нови активи'!$B$12:$B$59,$B120,'11.1.Амортиз.нови активи'!Y$12:Y$59)+('9.Инвестиционна програма'!M$132*SUMIF('11.1.Амортиз.нови активи'!$B$12:$B$59,$B120,'11.1.Амортиз.нови активи'!AT$12:AT$59))</f>
        <v>0</v>
      </c>
      <c r="Z120" s="4387">
        <f>+'11.3. ДА Базова година'!T100</f>
        <v>0</v>
      </c>
      <c r="AA120" s="2617">
        <f>Z120+SUMIF('11.1.Амортиз.нови активи'!$B$12:$B$59,$B120,'11.1.Амортиз.нови активи'!AA$12:AA$59)</f>
        <v>0</v>
      </c>
      <c r="AB120" s="1110">
        <f>AA120+SUMIF('11.1.Амортиз.нови активи'!$B$12:$B$59,$B120,'11.1.Амортиз.нови активи'!AB$12:AB$59)</f>
        <v>0</v>
      </c>
      <c r="AC120" s="1110">
        <f>AB120+SUMIF('11.1.Амортиз.нови активи'!$B$12:$B$59,$B120,'11.1.Амортиз.нови активи'!AC$12:AC$59)</f>
        <v>0</v>
      </c>
      <c r="AD120" s="1110">
        <f>AC120+SUMIF('11.1.Амортиз.нови активи'!$B$12:$B$59,$B120,'11.1.Амортиз.нови активи'!AD$12:AD$59)</f>
        <v>0</v>
      </c>
      <c r="AE120" s="1110">
        <f>AD120+SUMIF('11.1.Амортиз.нови активи'!$B$12:$B$59,$B120,'11.1.Амортиз.нови активи'!AE$12:AE$59)</f>
        <v>0</v>
      </c>
      <c r="AF120" s="2618">
        <f>AE120+SUMIF('11.1.Амортиз.нови активи'!$B$12:$B$59,$B120,'11.1.Амортиз.нови активи'!AF$12:AF$59)</f>
        <v>0</v>
      </c>
      <c r="AG120" s="4387">
        <f>+'11.3. ДА Базова година'!X100</f>
        <v>0</v>
      </c>
      <c r="AH120" s="2617">
        <f>AG120+SUMIF('11.1.Амортиз.нови активи'!$B$12:$B$59,$B120,'11.1.Амортиз.нови активи'!AH$12:AH$59)</f>
        <v>0</v>
      </c>
      <c r="AI120" s="1110">
        <f>AH120+SUMIF('11.1.Амортиз.нови активи'!$B$12:$B$59,$B120,'11.1.Амортиз.нови активи'!AI$12:AI$59)</f>
        <v>0</v>
      </c>
      <c r="AJ120" s="1110">
        <f>AI120+SUMIF('11.1.Амортиз.нови активи'!$B$12:$B$59,$B120,'11.1.Амортиз.нови активи'!AJ$12:AJ$59)</f>
        <v>0</v>
      </c>
      <c r="AK120" s="1110">
        <f>AJ120+SUMIF('11.1.Амортиз.нови активи'!$B$12:$B$59,$B120,'11.1.Амортиз.нови активи'!AK$12:AK$59)</f>
        <v>0</v>
      </c>
      <c r="AL120" s="1110">
        <f>AK120+SUMIF('11.1.Амортиз.нови активи'!$B$12:$B$59,$B120,'11.1.Амортиз.нови активи'!AL$12:AL$59)</f>
        <v>0</v>
      </c>
      <c r="AM120" s="2618">
        <f>AL120+SUMIF('11.1.Амортиз.нови активи'!$B$12:$B$59,$B120,'11.1.Амортиз.нови активи'!AM$12:AM$59)</f>
        <v>0</v>
      </c>
      <c r="AN120" s="2513"/>
      <c r="AO120" s="2551"/>
      <c r="AP120" s="4422"/>
      <c r="AQ120" s="4438">
        <f t="shared" si="174"/>
        <v>0</v>
      </c>
      <c r="AR120" s="4438">
        <f t="shared" si="175"/>
        <v>0</v>
      </c>
      <c r="AS120" s="4438">
        <f t="shared" si="176"/>
        <v>0</v>
      </c>
      <c r="AT120" s="4438">
        <f t="shared" si="177"/>
        <v>0</v>
      </c>
      <c r="AU120" s="4438">
        <f t="shared" si="178"/>
        <v>0</v>
      </c>
      <c r="AV120" s="4438">
        <f t="shared" si="179"/>
        <v>0</v>
      </c>
      <c r="AW120" s="4438">
        <f t="shared" si="180"/>
        <v>0</v>
      </c>
      <c r="AX120" s="4438">
        <f t="shared" si="181"/>
        <v>0</v>
      </c>
      <c r="AY120" s="4438">
        <f t="shared" si="182"/>
        <v>0</v>
      </c>
      <c r="AZ120" s="4438">
        <f t="shared" si="183"/>
        <v>0</v>
      </c>
      <c r="BA120" s="4438">
        <f t="shared" si="184"/>
        <v>0</v>
      </c>
      <c r="BB120" s="4438">
        <f t="shared" si="185"/>
        <v>0</v>
      </c>
      <c r="BC120" s="4438">
        <f t="shared" si="186"/>
        <v>0</v>
      </c>
      <c r="BD120" s="4438">
        <f t="shared" si="187"/>
        <v>0</v>
      </c>
      <c r="BE120" s="4438">
        <f t="shared" si="188"/>
        <v>0</v>
      </c>
      <c r="BF120" s="4438">
        <f t="shared" si="189"/>
        <v>0</v>
      </c>
      <c r="BG120" s="4438">
        <f t="shared" si="190"/>
        <v>0</v>
      </c>
      <c r="BH120" s="4438">
        <f t="shared" si="191"/>
        <v>0</v>
      </c>
      <c r="BI120" s="4438">
        <f t="shared" si="192"/>
        <v>0</v>
      </c>
      <c r="BJ120" s="4438">
        <f t="shared" si="193"/>
        <v>0</v>
      </c>
      <c r="BK120" s="4438">
        <f t="shared" si="194"/>
        <v>0</v>
      </c>
      <c r="BL120" s="4438">
        <f t="shared" si="195"/>
        <v>0</v>
      </c>
      <c r="BM120" s="4438">
        <f t="shared" si="196"/>
        <v>0</v>
      </c>
      <c r="BN120" s="4438">
        <f t="shared" si="197"/>
        <v>0</v>
      </c>
      <c r="BO120" s="4438">
        <f t="shared" si="198"/>
        <v>0</v>
      </c>
      <c r="BP120" s="4438">
        <f t="shared" si="199"/>
        <v>0</v>
      </c>
      <c r="BQ120" s="4438">
        <f t="shared" si="200"/>
        <v>0</v>
      </c>
      <c r="BR120" s="4438">
        <f t="shared" si="201"/>
        <v>0</v>
      </c>
      <c r="BS120" s="4438">
        <f t="shared" si="202"/>
        <v>0</v>
      </c>
      <c r="BT120" s="4438">
        <f t="shared" si="203"/>
        <v>0</v>
      </c>
      <c r="BU120" s="4438">
        <f t="shared" si="204"/>
        <v>0</v>
      </c>
      <c r="BV120" s="4438">
        <f t="shared" si="205"/>
        <v>0</v>
      </c>
      <c r="BW120" s="4438">
        <f t="shared" si="206"/>
        <v>0</v>
      </c>
      <c r="BX120" s="4438">
        <f t="shared" si="207"/>
        <v>0</v>
      </c>
      <c r="BY120" s="4438">
        <f t="shared" si="208"/>
        <v>0</v>
      </c>
    </row>
    <row r="121" spans="1:77" s="1292" customFormat="1">
      <c r="A121" s="2573">
        <v>10</v>
      </c>
      <c r="B121" s="2516">
        <v>2040201</v>
      </c>
      <c r="C121" s="2517">
        <v>0.02</v>
      </c>
      <c r="D121" s="2547" t="s">
        <v>738</v>
      </c>
      <c r="E121" s="4387">
        <f>+'11.3. ДА Базова година'!H101</f>
        <v>0</v>
      </c>
      <c r="F121" s="2617">
        <f>E121+SUMIF('11.1.Амортиз.нови активи'!$B$12:$B$59,$B121,'11.1.Амортиз.нови активи'!F$12:F$59)+('9.Инвестиционна програма'!H$130*SUMIF('11.1.Амортиз.нови активи'!$B$12:$B$59,$B121,'11.1.Амортиз.нови активи'!AO$12:AO$59))</f>
        <v>0</v>
      </c>
      <c r="G121" s="1110">
        <f>F121+SUMIF('11.1.Амортиз.нови активи'!$B$12:$B$59,$B121,'11.1.Амортиз.нови активи'!G$12:G$59)+('9.Инвестиционна програма'!I$130*SUMIF('11.1.Амортиз.нови активи'!$B$12:$B$59,$B121,'11.1.Амортиз.нови активи'!AP$12:AP$59))</f>
        <v>0</v>
      </c>
      <c r="H121" s="1110">
        <f>G121+SUMIF('11.1.Амортиз.нови активи'!$B$12:$B$59,$B121,'11.1.Амортиз.нови активи'!H$12:H$59)+('9.Инвестиционна програма'!J$130*SUMIF('11.1.Амортиз.нови активи'!$B$12:$B$59,$B121,'11.1.Амортиз.нови активи'!AQ$12:AQ$59))</f>
        <v>0</v>
      </c>
      <c r="I121" s="1110">
        <f>H121+SUMIF('11.1.Амортиз.нови активи'!$B$12:$B$59,$B121,'11.1.Амортиз.нови активи'!I$12:I$59)+('9.Инвестиционна програма'!K$130*SUMIF('11.1.Амортиз.нови активи'!$B$12:$B$59,$B121,'11.1.Амортиз.нови активи'!AR$12:AR$59))</f>
        <v>0</v>
      </c>
      <c r="J121" s="1110">
        <f>I121+SUMIF('11.1.Амортиз.нови активи'!$B$12:$B$59,$B121,'11.1.Амортиз.нови активи'!J$12:J$59)+('9.Инвестиционна програма'!L$130*SUMIF('11.1.Амортиз.нови активи'!$B$12:$B$59,$B121,'11.1.Амортиз.нови активи'!AS$12:AS$59))</f>
        <v>0</v>
      </c>
      <c r="K121" s="2618">
        <f>J121+SUMIF('11.1.Амортиз.нови активи'!$B$12:$B$59,$B121,'11.1.Амортиз.нови активи'!K$12:K$59)+('9.Инвестиционна програма'!M$130*SUMIF('11.1.Амортиз.нови активи'!$B$12:$B$59,$B121,'11.1.Амортиз.нови активи'!AT$12:AT$59))</f>
        <v>0</v>
      </c>
      <c r="L121" s="4387">
        <f>+'11.3. ДА Базова година'!L101</f>
        <v>0</v>
      </c>
      <c r="M121" s="2617">
        <f>L121+SUMIF('11.1.Амортиз.нови активи'!$B$12:$B$59,$B121,'11.1.Амортиз.нови активи'!M$12:M$59)+('9.Инвестиционна програма'!H$131*SUMIF('11.1.Амортиз.нови активи'!$B$12:$B$59,$B121,'11.1.Амортиз.нови активи'!AO$12:AO$59))</f>
        <v>0</v>
      </c>
      <c r="N121" s="1110">
        <f>M121+SUMIF('11.1.Амортиз.нови активи'!$B$12:$B$59,$B121,'11.1.Амортиз.нови активи'!N$12:N$59)+('9.Инвестиционна програма'!I$131*SUMIF('11.1.Амортиз.нови активи'!$B$12:$B$59,$B121,'11.1.Амортиз.нови активи'!AP$12:AP$59))</f>
        <v>0</v>
      </c>
      <c r="O121" s="1110">
        <f>N121+SUMIF('11.1.Амортиз.нови активи'!$B$12:$B$59,$B121,'11.1.Амортиз.нови активи'!O$12:O$59)+('9.Инвестиционна програма'!J$131*SUMIF('11.1.Амортиз.нови активи'!$B$12:$B$59,$B121,'11.1.Амортиз.нови активи'!AQ$12:AQ$59))</f>
        <v>0</v>
      </c>
      <c r="P121" s="1110">
        <f>O121+SUMIF('11.1.Амортиз.нови активи'!$B$12:$B$59,$B121,'11.1.Амортиз.нови активи'!P$12:P$59)+('9.Инвестиционна програма'!K$131*SUMIF('11.1.Амортиз.нови активи'!$B$12:$B$59,$B121,'11.1.Амортиз.нови активи'!AR$12:AR$59))</f>
        <v>0</v>
      </c>
      <c r="Q121" s="1110">
        <f>P121+SUMIF('11.1.Амортиз.нови активи'!$B$12:$B$59,$B121,'11.1.Амортиз.нови активи'!Q$12:Q$59)+('9.Инвестиционна програма'!L$131*SUMIF('11.1.Амортиз.нови активи'!$B$12:$B$59,$B121,'11.1.Амортиз.нови активи'!AS$12:AS$59))</f>
        <v>0</v>
      </c>
      <c r="R121" s="2618">
        <f>Q121+SUMIF('11.1.Амортиз.нови активи'!$B$12:$B$59,$B121,'11.1.Амортиз.нови активи'!R$12:R$59)+('9.Инвестиционна програма'!M$131*SUMIF('11.1.Амортиз.нови активи'!$B$12:$B$59,$B121,'11.1.Амортиз.нови активи'!AT$12:AT$59))</f>
        <v>0</v>
      </c>
      <c r="S121" s="4387">
        <f>+'11.3. ДА Базова година'!P101</f>
        <v>0</v>
      </c>
      <c r="T121" s="2617">
        <f>S121+SUMIF('11.1.Амортиз.нови активи'!$B$12:$B$59,$B121,'11.1.Амортиз.нови активи'!T$12:T$59)+('9.Инвестиционна програма'!H$132*SUMIF('11.1.Амортиз.нови активи'!$B$12:$B$59,$B121,'11.1.Амортиз.нови активи'!AO$12:AO$59))</f>
        <v>0</v>
      </c>
      <c r="U121" s="1110">
        <f>T121+SUMIF('11.1.Амортиз.нови активи'!$B$12:$B$59,$B121,'11.1.Амортиз.нови активи'!U$12:U$59)+('9.Инвестиционна програма'!I$132*SUMIF('11.1.Амортиз.нови активи'!$B$12:$B$59,$B121,'11.1.Амортиз.нови активи'!AP$12:AP$59))</f>
        <v>0</v>
      </c>
      <c r="V121" s="1110">
        <f>U121+SUMIF('11.1.Амортиз.нови активи'!$B$12:$B$59,$B121,'11.1.Амортиз.нови активи'!V$12:V$59)+('9.Инвестиционна програма'!J$132*SUMIF('11.1.Амортиз.нови активи'!$B$12:$B$59,$B121,'11.1.Амортиз.нови активи'!AQ$12:AQ$59))</f>
        <v>0</v>
      </c>
      <c r="W121" s="1110">
        <f>V121+SUMIF('11.1.Амортиз.нови активи'!$B$12:$B$59,$B121,'11.1.Амортиз.нови активи'!W$12:W$59)+('9.Инвестиционна програма'!K$132*SUMIF('11.1.Амортиз.нови активи'!$B$12:$B$59,$B121,'11.1.Амортиз.нови активи'!AR$12:AR$59))</f>
        <v>0</v>
      </c>
      <c r="X121" s="1110">
        <f>W121+SUMIF('11.1.Амортиз.нови активи'!$B$12:$B$59,$B121,'11.1.Амортиз.нови активи'!X$12:X$59)+('9.Инвестиционна програма'!L$132*SUMIF('11.1.Амортиз.нови активи'!$B$12:$B$59,$B121,'11.1.Амортиз.нови активи'!AS$12:AS$59))</f>
        <v>0</v>
      </c>
      <c r="Y121" s="2618">
        <f>X121+SUMIF('11.1.Амортиз.нови активи'!$B$12:$B$59,$B121,'11.1.Амортиз.нови активи'!Y$12:Y$59)+('9.Инвестиционна програма'!M$132*SUMIF('11.1.Амортиз.нови активи'!$B$12:$B$59,$B121,'11.1.Амортиз.нови активи'!AT$12:AT$59))</f>
        <v>0</v>
      </c>
      <c r="Z121" s="4387">
        <f>+'11.3. ДА Базова година'!T101</f>
        <v>0</v>
      </c>
      <c r="AA121" s="2617">
        <f>Z121+SUMIF('11.1.Амортиз.нови активи'!$B$12:$B$59,$B121,'11.1.Амортиз.нови активи'!AA$12:AA$59)</f>
        <v>0</v>
      </c>
      <c r="AB121" s="1110">
        <f>AA121+SUMIF('11.1.Амортиз.нови активи'!$B$12:$B$59,$B121,'11.1.Амортиз.нови активи'!AB$12:AB$59)</f>
        <v>0</v>
      </c>
      <c r="AC121" s="1110">
        <f>AB121+SUMIF('11.1.Амортиз.нови активи'!$B$12:$B$59,$B121,'11.1.Амортиз.нови активи'!AC$12:AC$59)</f>
        <v>0</v>
      </c>
      <c r="AD121" s="1110">
        <f>AC121+SUMIF('11.1.Амортиз.нови активи'!$B$12:$B$59,$B121,'11.1.Амортиз.нови активи'!AD$12:AD$59)</f>
        <v>0</v>
      </c>
      <c r="AE121" s="1110">
        <f>AD121+SUMIF('11.1.Амортиз.нови активи'!$B$12:$B$59,$B121,'11.1.Амортиз.нови активи'!AE$12:AE$59)</f>
        <v>0</v>
      </c>
      <c r="AF121" s="2618">
        <f>AE121+SUMIF('11.1.Амортиз.нови активи'!$B$12:$B$59,$B121,'11.1.Амортиз.нови активи'!AF$12:AF$59)</f>
        <v>0</v>
      </c>
      <c r="AG121" s="4387">
        <f>+'11.3. ДА Базова година'!X101</f>
        <v>0</v>
      </c>
      <c r="AH121" s="2617">
        <f>AG121+SUMIF('11.1.Амортиз.нови активи'!$B$12:$B$59,$B121,'11.1.Амортиз.нови активи'!AH$12:AH$59)</f>
        <v>0</v>
      </c>
      <c r="AI121" s="1110">
        <f>AH121+SUMIF('11.1.Амортиз.нови активи'!$B$12:$B$59,$B121,'11.1.Амортиз.нови активи'!AI$12:AI$59)</f>
        <v>0</v>
      </c>
      <c r="AJ121" s="1110">
        <f>AI121+SUMIF('11.1.Амортиз.нови активи'!$B$12:$B$59,$B121,'11.1.Амортиз.нови активи'!AJ$12:AJ$59)</f>
        <v>0</v>
      </c>
      <c r="AK121" s="1110">
        <f>AJ121+SUMIF('11.1.Амортиз.нови активи'!$B$12:$B$59,$B121,'11.1.Амортиз.нови активи'!AK$12:AK$59)</f>
        <v>0</v>
      </c>
      <c r="AL121" s="1110">
        <f>AK121+SUMIF('11.1.Амортиз.нови активи'!$B$12:$B$59,$B121,'11.1.Амортиз.нови активи'!AL$12:AL$59)</f>
        <v>0</v>
      </c>
      <c r="AM121" s="2618">
        <f>AL121+SUMIF('11.1.Амортиз.нови активи'!$B$12:$B$59,$B121,'11.1.Амортиз.нови активи'!AM$12:AM$59)</f>
        <v>0</v>
      </c>
      <c r="AN121" s="2513"/>
      <c r="AO121" s="2551"/>
      <c r="AP121" s="4422"/>
      <c r="AQ121" s="4438">
        <f t="shared" si="174"/>
        <v>0</v>
      </c>
      <c r="AR121" s="4438">
        <f t="shared" si="175"/>
        <v>0</v>
      </c>
      <c r="AS121" s="4438">
        <f t="shared" si="176"/>
        <v>0</v>
      </c>
      <c r="AT121" s="4438">
        <f t="shared" si="177"/>
        <v>0</v>
      </c>
      <c r="AU121" s="4438">
        <f t="shared" si="178"/>
        <v>0</v>
      </c>
      <c r="AV121" s="4438">
        <f t="shared" si="179"/>
        <v>0</v>
      </c>
      <c r="AW121" s="4438">
        <f t="shared" si="180"/>
        <v>0</v>
      </c>
      <c r="AX121" s="4438">
        <f t="shared" si="181"/>
        <v>0</v>
      </c>
      <c r="AY121" s="4438">
        <f t="shared" si="182"/>
        <v>0</v>
      </c>
      <c r="AZ121" s="4438">
        <f t="shared" si="183"/>
        <v>0</v>
      </c>
      <c r="BA121" s="4438">
        <f t="shared" si="184"/>
        <v>0</v>
      </c>
      <c r="BB121" s="4438">
        <f t="shared" si="185"/>
        <v>0</v>
      </c>
      <c r="BC121" s="4438">
        <f t="shared" si="186"/>
        <v>0</v>
      </c>
      <c r="BD121" s="4438">
        <f t="shared" si="187"/>
        <v>0</v>
      </c>
      <c r="BE121" s="4438">
        <f t="shared" si="188"/>
        <v>0</v>
      </c>
      <c r="BF121" s="4438">
        <f t="shared" si="189"/>
        <v>0</v>
      </c>
      <c r="BG121" s="4438">
        <f t="shared" si="190"/>
        <v>0</v>
      </c>
      <c r="BH121" s="4438">
        <f t="shared" si="191"/>
        <v>0</v>
      </c>
      <c r="BI121" s="4438">
        <f t="shared" si="192"/>
        <v>0</v>
      </c>
      <c r="BJ121" s="4438">
        <f t="shared" si="193"/>
        <v>0</v>
      </c>
      <c r="BK121" s="4438">
        <f t="shared" si="194"/>
        <v>0</v>
      </c>
      <c r="BL121" s="4438">
        <f t="shared" si="195"/>
        <v>0</v>
      </c>
      <c r="BM121" s="4438">
        <f t="shared" si="196"/>
        <v>0</v>
      </c>
      <c r="BN121" s="4438">
        <f t="shared" si="197"/>
        <v>0</v>
      </c>
      <c r="BO121" s="4438">
        <f t="shared" si="198"/>
        <v>0</v>
      </c>
      <c r="BP121" s="4438">
        <f t="shared" si="199"/>
        <v>0</v>
      </c>
      <c r="BQ121" s="4438">
        <f t="shared" si="200"/>
        <v>0</v>
      </c>
      <c r="BR121" s="4438">
        <f t="shared" si="201"/>
        <v>0</v>
      </c>
      <c r="BS121" s="4438">
        <f t="shared" si="202"/>
        <v>0</v>
      </c>
      <c r="BT121" s="4438">
        <f t="shared" si="203"/>
        <v>0</v>
      </c>
      <c r="BU121" s="4438">
        <f t="shared" si="204"/>
        <v>0</v>
      </c>
      <c r="BV121" s="4438">
        <f t="shared" si="205"/>
        <v>0</v>
      </c>
      <c r="BW121" s="4438">
        <f t="shared" si="206"/>
        <v>0</v>
      </c>
      <c r="BX121" s="4438">
        <f t="shared" si="207"/>
        <v>0</v>
      </c>
      <c r="BY121" s="4438">
        <f t="shared" si="208"/>
        <v>0</v>
      </c>
    </row>
    <row r="122" spans="1:77" s="1292" customFormat="1">
      <c r="A122" s="2573">
        <v>11</v>
      </c>
      <c r="B122" s="2516">
        <v>2040202</v>
      </c>
      <c r="C122" s="2517">
        <v>0.02</v>
      </c>
      <c r="D122" s="2547" t="s">
        <v>739</v>
      </c>
      <c r="E122" s="4387">
        <f>+'11.3. ДА Базова година'!H102</f>
        <v>56</v>
      </c>
      <c r="F122" s="2617">
        <f>E122+SUMIF('11.1.Амортиз.нови активи'!$B$12:$B$59,$B122,'11.1.Амортиз.нови активи'!F$12:F$59)+('9.Инвестиционна програма'!H$130*SUMIF('11.1.Амортиз.нови активи'!$B$12:$B$59,$B122,'11.1.Амортиз.нови активи'!AO$12:AO$59))</f>
        <v>56</v>
      </c>
      <c r="G122" s="1110">
        <f>F122+SUMIF('11.1.Амортиз.нови активи'!$B$12:$B$59,$B122,'11.1.Амортиз.нови активи'!G$12:G$59)+('9.Инвестиционна програма'!I$130*SUMIF('11.1.Амортиз.нови активи'!$B$12:$B$59,$B122,'11.1.Амортиз.нови активи'!AP$12:AP$59))</f>
        <v>56</v>
      </c>
      <c r="H122" s="1110">
        <f>G122+SUMIF('11.1.Амортиз.нови активи'!$B$12:$B$59,$B122,'11.1.Амортиз.нови активи'!H$12:H$59)+('9.Инвестиционна програма'!J$130*SUMIF('11.1.Амортиз.нови активи'!$B$12:$B$59,$B122,'11.1.Амортиз.нови активи'!AQ$12:AQ$59))</f>
        <v>56</v>
      </c>
      <c r="I122" s="1110">
        <f>H122+SUMIF('11.1.Амортиз.нови активи'!$B$12:$B$59,$B122,'11.1.Амортиз.нови активи'!I$12:I$59)+('9.Инвестиционна програма'!K$130*SUMIF('11.1.Амортиз.нови активи'!$B$12:$B$59,$B122,'11.1.Амортиз.нови активи'!AR$12:AR$59))</f>
        <v>56</v>
      </c>
      <c r="J122" s="1110">
        <f>I122+SUMIF('11.1.Амортиз.нови активи'!$B$12:$B$59,$B122,'11.1.Амортиз.нови активи'!J$12:J$59)+('9.Инвестиционна програма'!L$130*SUMIF('11.1.Амортиз.нови активи'!$B$12:$B$59,$B122,'11.1.Амортиз.нови активи'!AS$12:AS$59))</f>
        <v>56</v>
      </c>
      <c r="K122" s="2618">
        <f>J122+SUMIF('11.1.Амортиз.нови активи'!$B$12:$B$59,$B122,'11.1.Амортиз.нови активи'!K$12:K$59)+('9.Инвестиционна програма'!M$130*SUMIF('11.1.Амортиз.нови активи'!$B$12:$B$59,$B122,'11.1.Амортиз.нови активи'!AT$12:AT$59))</f>
        <v>56</v>
      </c>
      <c r="L122" s="4387">
        <f>+'11.3. ДА Базова година'!L102</f>
        <v>0</v>
      </c>
      <c r="M122" s="2617">
        <f>L122+SUMIF('11.1.Амортиз.нови активи'!$B$12:$B$59,$B122,'11.1.Амортиз.нови активи'!M$12:M$59)+('9.Инвестиционна програма'!H$131*SUMIF('11.1.Амортиз.нови активи'!$B$12:$B$59,$B122,'11.1.Амортиз.нови активи'!AO$12:AO$59))</f>
        <v>0</v>
      </c>
      <c r="N122" s="1110">
        <f>M122+SUMIF('11.1.Амортиз.нови активи'!$B$12:$B$59,$B122,'11.1.Амортиз.нови активи'!N$12:N$59)+('9.Инвестиционна програма'!I$131*SUMIF('11.1.Амортиз.нови активи'!$B$12:$B$59,$B122,'11.1.Амортиз.нови активи'!AP$12:AP$59))</f>
        <v>0</v>
      </c>
      <c r="O122" s="1110">
        <f>N122+SUMIF('11.1.Амортиз.нови активи'!$B$12:$B$59,$B122,'11.1.Амортиз.нови активи'!O$12:O$59)+('9.Инвестиционна програма'!J$131*SUMIF('11.1.Амортиз.нови активи'!$B$12:$B$59,$B122,'11.1.Амортиз.нови активи'!AQ$12:AQ$59))</f>
        <v>0</v>
      </c>
      <c r="P122" s="1110">
        <f>O122+SUMIF('11.1.Амортиз.нови активи'!$B$12:$B$59,$B122,'11.1.Амортиз.нови активи'!P$12:P$59)+('9.Инвестиционна програма'!K$131*SUMIF('11.1.Амортиз.нови активи'!$B$12:$B$59,$B122,'11.1.Амортиз.нови активи'!AR$12:AR$59))</f>
        <v>0</v>
      </c>
      <c r="Q122" s="1110">
        <f>P122+SUMIF('11.1.Амортиз.нови активи'!$B$12:$B$59,$B122,'11.1.Амортиз.нови активи'!Q$12:Q$59)+('9.Инвестиционна програма'!L$131*SUMIF('11.1.Амортиз.нови активи'!$B$12:$B$59,$B122,'11.1.Амортиз.нови активи'!AS$12:AS$59))</f>
        <v>0</v>
      </c>
      <c r="R122" s="2618">
        <f>Q122+SUMIF('11.1.Амортиз.нови активи'!$B$12:$B$59,$B122,'11.1.Амортиз.нови активи'!R$12:R$59)+('9.Инвестиционна програма'!M$131*SUMIF('11.1.Амортиз.нови активи'!$B$12:$B$59,$B122,'11.1.Амортиз.нови активи'!AT$12:AT$59))</f>
        <v>0</v>
      </c>
      <c r="S122" s="4387">
        <f>+'11.3. ДА Базова година'!P102</f>
        <v>0</v>
      </c>
      <c r="T122" s="2617">
        <f>S122+SUMIF('11.1.Амортиз.нови активи'!$B$12:$B$59,$B122,'11.1.Амортиз.нови активи'!T$12:T$59)+('9.Инвестиционна програма'!H$132*SUMIF('11.1.Амортиз.нови активи'!$B$12:$B$59,$B122,'11.1.Амортиз.нови активи'!AO$12:AO$59))</f>
        <v>0</v>
      </c>
      <c r="U122" s="1110">
        <f>T122+SUMIF('11.1.Амортиз.нови активи'!$B$12:$B$59,$B122,'11.1.Амортиз.нови активи'!U$12:U$59)+('9.Инвестиционна програма'!I$132*SUMIF('11.1.Амортиз.нови активи'!$B$12:$B$59,$B122,'11.1.Амортиз.нови активи'!AP$12:AP$59))</f>
        <v>0</v>
      </c>
      <c r="V122" s="1110">
        <f>U122+SUMIF('11.1.Амортиз.нови активи'!$B$12:$B$59,$B122,'11.1.Амортиз.нови активи'!V$12:V$59)+('9.Инвестиционна програма'!J$132*SUMIF('11.1.Амортиз.нови активи'!$B$12:$B$59,$B122,'11.1.Амортиз.нови активи'!AQ$12:AQ$59))</f>
        <v>0</v>
      </c>
      <c r="W122" s="1110">
        <f>V122+SUMIF('11.1.Амортиз.нови активи'!$B$12:$B$59,$B122,'11.1.Амортиз.нови активи'!W$12:W$59)+('9.Инвестиционна програма'!K$132*SUMIF('11.1.Амортиз.нови активи'!$B$12:$B$59,$B122,'11.1.Амортиз.нови активи'!AR$12:AR$59))</f>
        <v>0</v>
      </c>
      <c r="X122" s="1110">
        <f>W122+SUMIF('11.1.Амортиз.нови активи'!$B$12:$B$59,$B122,'11.1.Амортиз.нови активи'!X$12:X$59)+('9.Инвестиционна програма'!L$132*SUMIF('11.1.Амортиз.нови активи'!$B$12:$B$59,$B122,'11.1.Амортиз.нови активи'!AS$12:AS$59))</f>
        <v>0</v>
      </c>
      <c r="Y122" s="2618">
        <f>X122+SUMIF('11.1.Амортиз.нови активи'!$B$12:$B$59,$B122,'11.1.Амортиз.нови активи'!Y$12:Y$59)+('9.Инвестиционна програма'!M$132*SUMIF('11.1.Амортиз.нови активи'!$B$12:$B$59,$B122,'11.1.Амортиз.нови активи'!AT$12:AT$59))</f>
        <v>0</v>
      </c>
      <c r="Z122" s="4387">
        <f>+'11.3. ДА Базова година'!T102</f>
        <v>0</v>
      </c>
      <c r="AA122" s="2617">
        <f>Z122+SUMIF('11.1.Амортиз.нови активи'!$B$12:$B$59,$B122,'11.1.Амортиз.нови активи'!AA$12:AA$59)</f>
        <v>0</v>
      </c>
      <c r="AB122" s="1110">
        <f>AA122+SUMIF('11.1.Амортиз.нови активи'!$B$12:$B$59,$B122,'11.1.Амортиз.нови активи'!AB$12:AB$59)</f>
        <v>0</v>
      </c>
      <c r="AC122" s="1110">
        <f>AB122+SUMIF('11.1.Амортиз.нови активи'!$B$12:$B$59,$B122,'11.1.Амортиз.нови активи'!AC$12:AC$59)</f>
        <v>0</v>
      </c>
      <c r="AD122" s="1110">
        <f>AC122+SUMIF('11.1.Амортиз.нови активи'!$B$12:$B$59,$B122,'11.1.Амортиз.нови активи'!AD$12:AD$59)</f>
        <v>0</v>
      </c>
      <c r="AE122" s="1110">
        <f>AD122+SUMIF('11.1.Амортиз.нови активи'!$B$12:$B$59,$B122,'11.1.Амортиз.нови активи'!AE$12:AE$59)</f>
        <v>0</v>
      </c>
      <c r="AF122" s="2618">
        <f>AE122+SUMIF('11.1.Амортиз.нови активи'!$B$12:$B$59,$B122,'11.1.Амортиз.нови активи'!AF$12:AF$59)</f>
        <v>0</v>
      </c>
      <c r="AG122" s="4387">
        <f>+'11.3. ДА Базова година'!X102</f>
        <v>0</v>
      </c>
      <c r="AH122" s="2617">
        <f>AG122+SUMIF('11.1.Амортиз.нови активи'!$B$12:$B$59,$B122,'11.1.Амортиз.нови активи'!AH$12:AH$59)</f>
        <v>0</v>
      </c>
      <c r="AI122" s="1110">
        <f>AH122+SUMIF('11.1.Амортиз.нови активи'!$B$12:$B$59,$B122,'11.1.Амортиз.нови активи'!AI$12:AI$59)</f>
        <v>0</v>
      </c>
      <c r="AJ122" s="1110">
        <f>AI122+SUMIF('11.1.Амортиз.нови активи'!$B$12:$B$59,$B122,'11.1.Амортиз.нови активи'!AJ$12:AJ$59)</f>
        <v>0</v>
      </c>
      <c r="AK122" s="1110">
        <f>AJ122+SUMIF('11.1.Амортиз.нови активи'!$B$12:$B$59,$B122,'11.1.Амортиз.нови активи'!AK$12:AK$59)</f>
        <v>0</v>
      </c>
      <c r="AL122" s="1110">
        <f>AK122+SUMIF('11.1.Амортиз.нови активи'!$B$12:$B$59,$B122,'11.1.Амортиз.нови активи'!AL$12:AL$59)</f>
        <v>0</v>
      </c>
      <c r="AM122" s="2618">
        <f>AL122+SUMIF('11.1.Амортиз.нови активи'!$B$12:$B$59,$B122,'11.1.Амортиз.нови активи'!AM$12:AM$59)</f>
        <v>0</v>
      </c>
      <c r="AN122" s="2513"/>
      <c r="AO122" s="2551"/>
      <c r="AP122" s="4422"/>
      <c r="AQ122" s="4438">
        <f t="shared" si="174"/>
        <v>28.632345346988235</v>
      </c>
      <c r="AR122" s="4438">
        <f t="shared" si="175"/>
        <v>28.632345346988235</v>
      </c>
      <c r="AS122" s="4438">
        <f t="shared" si="176"/>
        <v>28.632345346988235</v>
      </c>
      <c r="AT122" s="4438">
        <f t="shared" si="177"/>
        <v>28.632345346988235</v>
      </c>
      <c r="AU122" s="4438">
        <f t="shared" si="178"/>
        <v>28.632345346988235</v>
      </c>
      <c r="AV122" s="4438">
        <f t="shared" si="179"/>
        <v>28.632345346988235</v>
      </c>
      <c r="AW122" s="4438">
        <f t="shared" si="180"/>
        <v>28.632345346988235</v>
      </c>
      <c r="AX122" s="4438">
        <f t="shared" si="181"/>
        <v>0</v>
      </c>
      <c r="AY122" s="4438">
        <f t="shared" si="182"/>
        <v>0</v>
      </c>
      <c r="AZ122" s="4438">
        <f t="shared" si="183"/>
        <v>0</v>
      </c>
      <c r="BA122" s="4438">
        <f t="shared" si="184"/>
        <v>0</v>
      </c>
      <c r="BB122" s="4438">
        <f t="shared" si="185"/>
        <v>0</v>
      </c>
      <c r="BC122" s="4438">
        <f t="shared" si="186"/>
        <v>0</v>
      </c>
      <c r="BD122" s="4438">
        <f t="shared" si="187"/>
        <v>0</v>
      </c>
      <c r="BE122" s="4438">
        <f t="shared" si="188"/>
        <v>0</v>
      </c>
      <c r="BF122" s="4438">
        <f t="shared" si="189"/>
        <v>0</v>
      </c>
      <c r="BG122" s="4438">
        <f t="shared" si="190"/>
        <v>0</v>
      </c>
      <c r="BH122" s="4438">
        <f t="shared" si="191"/>
        <v>0</v>
      </c>
      <c r="BI122" s="4438">
        <f t="shared" si="192"/>
        <v>0</v>
      </c>
      <c r="BJ122" s="4438">
        <f t="shared" si="193"/>
        <v>0</v>
      </c>
      <c r="BK122" s="4438">
        <f t="shared" si="194"/>
        <v>0</v>
      </c>
      <c r="BL122" s="4438">
        <f t="shared" si="195"/>
        <v>0</v>
      </c>
      <c r="BM122" s="4438">
        <f t="shared" si="196"/>
        <v>0</v>
      </c>
      <c r="BN122" s="4438">
        <f t="shared" si="197"/>
        <v>0</v>
      </c>
      <c r="BO122" s="4438">
        <f t="shared" si="198"/>
        <v>0</v>
      </c>
      <c r="BP122" s="4438">
        <f t="shared" si="199"/>
        <v>0</v>
      </c>
      <c r="BQ122" s="4438">
        <f t="shared" si="200"/>
        <v>0</v>
      </c>
      <c r="BR122" s="4438">
        <f t="shared" si="201"/>
        <v>0</v>
      </c>
      <c r="BS122" s="4438">
        <f t="shared" si="202"/>
        <v>0</v>
      </c>
      <c r="BT122" s="4438">
        <f t="shared" si="203"/>
        <v>0</v>
      </c>
      <c r="BU122" s="4438">
        <f t="shared" si="204"/>
        <v>0</v>
      </c>
      <c r="BV122" s="4438">
        <f t="shared" si="205"/>
        <v>0</v>
      </c>
      <c r="BW122" s="4438">
        <f t="shared" si="206"/>
        <v>0</v>
      </c>
      <c r="BX122" s="4438">
        <f t="shared" si="207"/>
        <v>0</v>
      </c>
      <c r="BY122" s="4438">
        <f t="shared" si="208"/>
        <v>0</v>
      </c>
    </row>
    <row r="123" spans="1:77" s="1292" customFormat="1">
      <c r="A123" s="2573">
        <v>12</v>
      </c>
      <c r="B123" s="2516">
        <v>2040203</v>
      </c>
      <c r="C123" s="2517">
        <v>0.02</v>
      </c>
      <c r="D123" s="2547" t="s">
        <v>418</v>
      </c>
      <c r="E123" s="4387">
        <f>+'11.3. ДА Базова година'!H103</f>
        <v>20</v>
      </c>
      <c r="F123" s="2617">
        <f>E123+SUMIF('11.1.Амортиз.нови активи'!$B$12:$B$59,$B123,'11.1.Амортиз.нови активи'!F$12:F$59)+('9.Инвестиционна програма'!H$130*SUMIF('11.1.Амортиз.нови активи'!$B$12:$B$59,$B123,'11.1.Амортиз.нови активи'!AO$12:AO$59))</f>
        <v>20</v>
      </c>
      <c r="G123" s="1110">
        <f>F123+SUMIF('11.1.Амортиз.нови активи'!$B$12:$B$59,$B123,'11.1.Амортиз.нови активи'!G$12:G$59)+('9.Инвестиционна програма'!I$130*SUMIF('11.1.Амортиз.нови активи'!$B$12:$B$59,$B123,'11.1.Амортиз.нови активи'!AP$12:AP$59))</f>
        <v>20</v>
      </c>
      <c r="H123" s="1110">
        <f>G123+SUMIF('11.1.Амортиз.нови активи'!$B$12:$B$59,$B123,'11.1.Амортиз.нови активи'!H$12:H$59)+('9.Инвестиционна програма'!J$130*SUMIF('11.1.Амортиз.нови активи'!$B$12:$B$59,$B123,'11.1.Амортиз.нови активи'!AQ$12:AQ$59))</f>
        <v>20</v>
      </c>
      <c r="I123" s="1110">
        <f>H123+SUMIF('11.1.Амортиз.нови активи'!$B$12:$B$59,$B123,'11.1.Амортиз.нови активи'!I$12:I$59)+('9.Инвестиционна програма'!K$130*SUMIF('11.1.Амортиз.нови активи'!$B$12:$B$59,$B123,'11.1.Амортиз.нови активи'!AR$12:AR$59))</f>
        <v>20</v>
      </c>
      <c r="J123" s="1110">
        <f>I123+SUMIF('11.1.Амортиз.нови активи'!$B$12:$B$59,$B123,'11.1.Амортиз.нови активи'!J$12:J$59)+('9.Инвестиционна програма'!L$130*SUMIF('11.1.Амортиз.нови активи'!$B$12:$B$59,$B123,'11.1.Амортиз.нови активи'!AS$12:AS$59))</f>
        <v>20</v>
      </c>
      <c r="K123" s="2618">
        <f>J123+SUMIF('11.1.Амортиз.нови активи'!$B$12:$B$59,$B123,'11.1.Амортиз.нови активи'!K$12:K$59)+('9.Инвестиционна програма'!M$130*SUMIF('11.1.Амортиз.нови активи'!$B$12:$B$59,$B123,'11.1.Амортиз.нови активи'!AT$12:AT$59))</f>
        <v>20</v>
      </c>
      <c r="L123" s="4387">
        <f>+'11.3. ДА Базова година'!L103</f>
        <v>0</v>
      </c>
      <c r="M123" s="2617">
        <f>L123+SUMIF('11.1.Амортиз.нови активи'!$B$12:$B$59,$B123,'11.1.Амортиз.нови активи'!M$12:M$59)+('9.Инвестиционна програма'!H$131*SUMIF('11.1.Амортиз.нови активи'!$B$12:$B$59,$B123,'11.1.Амортиз.нови активи'!AO$12:AO$59))</f>
        <v>0</v>
      </c>
      <c r="N123" s="1110">
        <f>M123+SUMIF('11.1.Амортиз.нови активи'!$B$12:$B$59,$B123,'11.1.Амортиз.нови активи'!N$12:N$59)+('9.Инвестиционна програма'!I$131*SUMIF('11.1.Амортиз.нови активи'!$B$12:$B$59,$B123,'11.1.Амортиз.нови активи'!AP$12:AP$59))</f>
        <v>0</v>
      </c>
      <c r="O123" s="1110">
        <f>N123+SUMIF('11.1.Амортиз.нови активи'!$B$12:$B$59,$B123,'11.1.Амортиз.нови активи'!O$12:O$59)+('9.Инвестиционна програма'!J$131*SUMIF('11.1.Амортиз.нови активи'!$B$12:$B$59,$B123,'11.1.Амортиз.нови активи'!AQ$12:AQ$59))</f>
        <v>0</v>
      </c>
      <c r="P123" s="1110">
        <f>O123+SUMIF('11.1.Амортиз.нови активи'!$B$12:$B$59,$B123,'11.1.Амортиз.нови активи'!P$12:P$59)+('9.Инвестиционна програма'!K$131*SUMIF('11.1.Амортиз.нови активи'!$B$12:$B$59,$B123,'11.1.Амортиз.нови активи'!AR$12:AR$59))</f>
        <v>0</v>
      </c>
      <c r="Q123" s="1110">
        <f>P123+SUMIF('11.1.Амортиз.нови активи'!$B$12:$B$59,$B123,'11.1.Амортиз.нови активи'!Q$12:Q$59)+('9.Инвестиционна програма'!L$131*SUMIF('11.1.Амортиз.нови активи'!$B$12:$B$59,$B123,'11.1.Амортиз.нови активи'!AS$12:AS$59))</f>
        <v>0</v>
      </c>
      <c r="R123" s="2618">
        <f>Q123+SUMIF('11.1.Амортиз.нови активи'!$B$12:$B$59,$B123,'11.1.Амортиз.нови активи'!R$12:R$59)+('9.Инвестиционна програма'!M$131*SUMIF('11.1.Амортиз.нови активи'!$B$12:$B$59,$B123,'11.1.Амортиз.нови активи'!AT$12:AT$59))</f>
        <v>0</v>
      </c>
      <c r="S123" s="4387">
        <f>+'11.3. ДА Базова година'!P103</f>
        <v>0</v>
      </c>
      <c r="T123" s="2617">
        <f>S123+SUMIF('11.1.Амортиз.нови активи'!$B$12:$B$59,$B123,'11.1.Амортиз.нови активи'!T$12:T$59)+('9.Инвестиционна програма'!H$132*SUMIF('11.1.Амортиз.нови активи'!$B$12:$B$59,$B123,'11.1.Амортиз.нови активи'!AO$12:AO$59))</f>
        <v>0</v>
      </c>
      <c r="U123" s="1110">
        <f>T123+SUMIF('11.1.Амортиз.нови активи'!$B$12:$B$59,$B123,'11.1.Амортиз.нови активи'!U$12:U$59)+('9.Инвестиционна програма'!I$132*SUMIF('11.1.Амортиз.нови активи'!$B$12:$B$59,$B123,'11.1.Амортиз.нови активи'!AP$12:AP$59))</f>
        <v>0</v>
      </c>
      <c r="V123" s="1110">
        <f>U123+SUMIF('11.1.Амортиз.нови активи'!$B$12:$B$59,$B123,'11.1.Амортиз.нови активи'!V$12:V$59)+('9.Инвестиционна програма'!J$132*SUMIF('11.1.Амортиз.нови активи'!$B$12:$B$59,$B123,'11.1.Амортиз.нови активи'!AQ$12:AQ$59))</f>
        <v>0</v>
      </c>
      <c r="W123" s="1110">
        <f>V123+SUMIF('11.1.Амортиз.нови активи'!$B$12:$B$59,$B123,'11.1.Амортиз.нови активи'!W$12:W$59)+('9.Инвестиционна програма'!K$132*SUMIF('11.1.Амортиз.нови активи'!$B$12:$B$59,$B123,'11.1.Амортиз.нови активи'!AR$12:AR$59))</f>
        <v>0</v>
      </c>
      <c r="X123" s="1110">
        <f>W123+SUMIF('11.1.Амортиз.нови активи'!$B$12:$B$59,$B123,'11.1.Амортиз.нови активи'!X$12:X$59)+('9.Инвестиционна програма'!L$132*SUMIF('11.1.Амортиз.нови активи'!$B$12:$B$59,$B123,'11.1.Амортиз.нови активи'!AS$12:AS$59))</f>
        <v>0</v>
      </c>
      <c r="Y123" s="2618">
        <f>X123+SUMIF('11.1.Амортиз.нови активи'!$B$12:$B$59,$B123,'11.1.Амортиз.нови активи'!Y$12:Y$59)+('9.Инвестиционна програма'!M$132*SUMIF('11.1.Амортиз.нови активи'!$B$12:$B$59,$B123,'11.1.Амортиз.нови активи'!AT$12:AT$59))</f>
        <v>0</v>
      </c>
      <c r="Z123" s="4387">
        <f>+'11.3. ДА Базова година'!T103</f>
        <v>0</v>
      </c>
      <c r="AA123" s="2617">
        <f>Z123+SUMIF('11.1.Амортиз.нови активи'!$B$12:$B$59,$B123,'11.1.Амортиз.нови активи'!AA$12:AA$59)</f>
        <v>0</v>
      </c>
      <c r="AB123" s="1110">
        <f>AA123+SUMIF('11.1.Амортиз.нови активи'!$B$12:$B$59,$B123,'11.1.Амортиз.нови активи'!AB$12:AB$59)</f>
        <v>0</v>
      </c>
      <c r="AC123" s="1110">
        <f>AB123+SUMIF('11.1.Амортиз.нови активи'!$B$12:$B$59,$B123,'11.1.Амортиз.нови активи'!AC$12:AC$59)</f>
        <v>0</v>
      </c>
      <c r="AD123" s="1110">
        <f>AC123+SUMIF('11.1.Амортиз.нови активи'!$B$12:$B$59,$B123,'11.1.Амортиз.нови активи'!AD$12:AD$59)</f>
        <v>0</v>
      </c>
      <c r="AE123" s="1110">
        <f>AD123+SUMIF('11.1.Амортиз.нови активи'!$B$12:$B$59,$B123,'11.1.Амортиз.нови активи'!AE$12:AE$59)</f>
        <v>0</v>
      </c>
      <c r="AF123" s="2618">
        <f>AE123+SUMIF('11.1.Амортиз.нови активи'!$B$12:$B$59,$B123,'11.1.Амортиз.нови активи'!AF$12:AF$59)</f>
        <v>0</v>
      </c>
      <c r="AG123" s="4387">
        <f>+'11.3. ДА Базова година'!X103</f>
        <v>0</v>
      </c>
      <c r="AH123" s="2617">
        <f>AG123+SUMIF('11.1.Амортиз.нови активи'!$B$12:$B$59,$B123,'11.1.Амортиз.нови активи'!AH$12:AH$59)</f>
        <v>0</v>
      </c>
      <c r="AI123" s="1110">
        <f>AH123+SUMIF('11.1.Амортиз.нови активи'!$B$12:$B$59,$B123,'11.1.Амортиз.нови активи'!AI$12:AI$59)</f>
        <v>0</v>
      </c>
      <c r="AJ123" s="1110">
        <f>AI123+SUMIF('11.1.Амортиз.нови активи'!$B$12:$B$59,$B123,'11.1.Амортиз.нови активи'!AJ$12:AJ$59)</f>
        <v>0</v>
      </c>
      <c r="AK123" s="1110">
        <f>AJ123+SUMIF('11.1.Амортиз.нови активи'!$B$12:$B$59,$B123,'11.1.Амортиз.нови активи'!AK$12:AK$59)</f>
        <v>0</v>
      </c>
      <c r="AL123" s="1110">
        <f>AK123+SUMIF('11.1.Амортиз.нови активи'!$B$12:$B$59,$B123,'11.1.Амортиз.нови активи'!AL$12:AL$59)</f>
        <v>0</v>
      </c>
      <c r="AM123" s="2618">
        <f>AL123+SUMIF('11.1.Амортиз.нови активи'!$B$12:$B$59,$B123,'11.1.Амортиз.нови активи'!AM$12:AM$59)</f>
        <v>0</v>
      </c>
      <c r="AN123" s="2513"/>
      <c r="AO123" s="2551"/>
      <c r="AP123" s="4422"/>
      <c r="AQ123" s="4438">
        <f t="shared" si="174"/>
        <v>10.22583762392437</v>
      </c>
      <c r="AR123" s="4438">
        <f t="shared" si="175"/>
        <v>10.22583762392437</v>
      </c>
      <c r="AS123" s="4438">
        <f t="shared" si="176"/>
        <v>10.22583762392437</v>
      </c>
      <c r="AT123" s="4438">
        <f t="shared" si="177"/>
        <v>10.22583762392437</v>
      </c>
      <c r="AU123" s="4438">
        <f t="shared" si="178"/>
        <v>10.22583762392437</v>
      </c>
      <c r="AV123" s="4438">
        <f t="shared" si="179"/>
        <v>10.22583762392437</v>
      </c>
      <c r="AW123" s="4438">
        <f t="shared" si="180"/>
        <v>10.22583762392437</v>
      </c>
      <c r="AX123" s="4438">
        <f t="shared" si="181"/>
        <v>0</v>
      </c>
      <c r="AY123" s="4438">
        <f t="shared" si="182"/>
        <v>0</v>
      </c>
      <c r="AZ123" s="4438">
        <f t="shared" si="183"/>
        <v>0</v>
      </c>
      <c r="BA123" s="4438">
        <f t="shared" si="184"/>
        <v>0</v>
      </c>
      <c r="BB123" s="4438">
        <f t="shared" si="185"/>
        <v>0</v>
      </c>
      <c r="BC123" s="4438">
        <f t="shared" si="186"/>
        <v>0</v>
      </c>
      <c r="BD123" s="4438">
        <f t="shared" si="187"/>
        <v>0</v>
      </c>
      <c r="BE123" s="4438">
        <f t="shared" si="188"/>
        <v>0</v>
      </c>
      <c r="BF123" s="4438">
        <f t="shared" si="189"/>
        <v>0</v>
      </c>
      <c r="BG123" s="4438">
        <f t="shared" si="190"/>
        <v>0</v>
      </c>
      <c r="BH123" s="4438">
        <f t="shared" si="191"/>
        <v>0</v>
      </c>
      <c r="BI123" s="4438">
        <f t="shared" si="192"/>
        <v>0</v>
      </c>
      <c r="BJ123" s="4438">
        <f t="shared" si="193"/>
        <v>0</v>
      </c>
      <c r="BK123" s="4438">
        <f t="shared" si="194"/>
        <v>0</v>
      </c>
      <c r="BL123" s="4438">
        <f t="shared" si="195"/>
        <v>0</v>
      </c>
      <c r="BM123" s="4438">
        <f t="shared" si="196"/>
        <v>0</v>
      </c>
      <c r="BN123" s="4438">
        <f t="shared" si="197"/>
        <v>0</v>
      </c>
      <c r="BO123" s="4438">
        <f t="shared" si="198"/>
        <v>0</v>
      </c>
      <c r="BP123" s="4438">
        <f t="shared" si="199"/>
        <v>0</v>
      </c>
      <c r="BQ123" s="4438">
        <f t="shared" si="200"/>
        <v>0</v>
      </c>
      <c r="BR123" s="4438">
        <f t="shared" si="201"/>
        <v>0</v>
      </c>
      <c r="BS123" s="4438">
        <f t="shared" si="202"/>
        <v>0</v>
      </c>
      <c r="BT123" s="4438">
        <f t="shared" si="203"/>
        <v>0</v>
      </c>
      <c r="BU123" s="4438">
        <f t="shared" si="204"/>
        <v>0</v>
      </c>
      <c r="BV123" s="4438">
        <f t="shared" si="205"/>
        <v>0</v>
      </c>
      <c r="BW123" s="4438">
        <f t="shared" si="206"/>
        <v>0</v>
      </c>
      <c r="BX123" s="4438">
        <f t="shared" si="207"/>
        <v>0</v>
      </c>
      <c r="BY123" s="4438">
        <f t="shared" si="208"/>
        <v>0</v>
      </c>
    </row>
    <row r="124" spans="1:77" s="1292" customFormat="1">
      <c r="A124" s="2573">
        <v>13</v>
      </c>
      <c r="B124" s="2516">
        <v>2040204</v>
      </c>
      <c r="C124" s="2517">
        <v>0.02</v>
      </c>
      <c r="D124" s="2546" t="s">
        <v>419</v>
      </c>
      <c r="E124" s="4387">
        <f>+'11.3. ДА Базова година'!H104</f>
        <v>98</v>
      </c>
      <c r="F124" s="2617">
        <f>E124+SUMIF('11.1.Амортиз.нови активи'!$B$12:$B$59,$B124,'11.1.Амортиз.нови активи'!F$12:F$59)+('9.Инвестиционна програма'!H$130*SUMIF('11.1.Амортиз.нови активи'!$B$12:$B$59,$B124,'11.1.Амортиз.нови активи'!AO$12:AO$59))</f>
        <v>98</v>
      </c>
      <c r="G124" s="1110">
        <f>F124+SUMIF('11.1.Амортиз.нови активи'!$B$12:$B$59,$B124,'11.1.Амортиз.нови активи'!G$12:G$59)+('9.Инвестиционна програма'!I$130*SUMIF('11.1.Амортиз.нови активи'!$B$12:$B$59,$B124,'11.1.Амортиз.нови активи'!AP$12:AP$59))</f>
        <v>113</v>
      </c>
      <c r="H124" s="1110">
        <f>G124+SUMIF('11.1.Амортиз.нови активи'!$B$12:$B$59,$B124,'11.1.Амортиз.нови активи'!H$12:H$59)+('9.Инвестиционна програма'!J$130*SUMIF('11.1.Амортиз.нови активи'!$B$12:$B$59,$B124,'11.1.Амортиз.нови активи'!AQ$12:AQ$59))</f>
        <v>113</v>
      </c>
      <c r="I124" s="1110">
        <f>H124+SUMIF('11.1.Амортиз.нови активи'!$B$12:$B$59,$B124,'11.1.Амортиз.нови активи'!I$12:I$59)+('9.Инвестиционна програма'!K$130*SUMIF('11.1.Амортиз.нови активи'!$B$12:$B$59,$B124,'11.1.Амортиз.нови активи'!AR$12:AR$59))</f>
        <v>113</v>
      </c>
      <c r="J124" s="1110">
        <f>I124+SUMIF('11.1.Амортиз.нови активи'!$B$12:$B$59,$B124,'11.1.Амортиз.нови активи'!J$12:J$59)+('9.Инвестиционна програма'!L$130*SUMIF('11.1.Амортиз.нови активи'!$B$12:$B$59,$B124,'11.1.Амортиз.нови активи'!AS$12:AS$59))</f>
        <v>115</v>
      </c>
      <c r="K124" s="2618">
        <f>J124+SUMIF('11.1.Амортиз.нови активи'!$B$12:$B$59,$B124,'11.1.Амортиз.нови активи'!K$12:K$59)+('9.Инвестиционна програма'!M$130*SUMIF('11.1.Амортиз.нови активи'!$B$12:$B$59,$B124,'11.1.Амортиз.нови активи'!AT$12:AT$59))</f>
        <v>141</v>
      </c>
      <c r="L124" s="4387">
        <f>+'11.3. ДА Базова година'!L104</f>
        <v>0</v>
      </c>
      <c r="M124" s="2617">
        <f>L124+SUMIF('11.1.Амортиз.нови активи'!$B$12:$B$59,$B124,'11.1.Амортиз.нови активи'!M$12:M$59)+('9.Инвестиционна програма'!H$131*SUMIF('11.1.Амортиз.нови активи'!$B$12:$B$59,$B124,'11.1.Амортиз.нови активи'!AO$12:AO$59))</f>
        <v>0</v>
      </c>
      <c r="N124" s="1110">
        <f>M124+SUMIF('11.1.Амортиз.нови активи'!$B$12:$B$59,$B124,'11.1.Амортиз.нови активи'!N$12:N$59)+('9.Инвестиционна програма'!I$131*SUMIF('11.1.Амортиз.нови активи'!$B$12:$B$59,$B124,'11.1.Амортиз.нови активи'!AP$12:AP$59))</f>
        <v>0</v>
      </c>
      <c r="O124" s="1110">
        <f>N124+SUMIF('11.1.Амортиз.нови активи'!$B$12:$B$59,$B124,'11.1.Амортиз.нови активи'!O$12:O$59)+('9.Инвестиционна програма'!J$131*SUMIF('11.1.Амортиз.нови активи'!$B$12:$B$59,$B124,'11.1.Амортиз.нови активи'!AQ$12:AQ$59))</f>
        <v>0</v>
      </c>
      <c r="P124" s="1110">
        <f>O124+SUMIF('11.1.Амортиз.нови активи'!$B$12:$B$59,$B124,'11.1.Амортиз.нови активи'!P$12:P$59)+('9.Инвестиционна програма'!K$131*SUMIF('11.1.Амортиз.нови активи'!$B$12:$B$59,$B124,'11.1.Амортиз.нови активи'!AR$12:AR$59))</f>
        <v>0</v>
      </c>
      <c r="Q124" s="1110">
        <f>P124+SUMIF('11.1.Амортиз.нови активи'!$B$12:$B$59,$B124,'11.1.Амортиз.нови активи'!Q$12:Q$59)+('9.Инвестиционна програма'!L$131*SUMIF('11.1.Амортиз.нови активи'!$B$12:$B$59,$B124,'11.1.Амортиз.нови активи'!AS$12:AS$59))</f>
        <v>0</v>
      </c>
      <c r="R124" s="2618">
        <f>Q124+SUMIF('11.1.Амортиз.нови активи'!$B$12:$B$59,$B124,'11.1.Амортиз.нови активи'!R$12:R$59)+('9.Инвестиционна програма'!M$131*SUMIF('11.1.Амортиз.нови активи'!$B$12:$B$59,$B124,'11.1.Амортиз.нови активи'!AT$12:AT$59))</f>
        <v>0</v>
      </c>
      <c r="S124" s="4387">
        <f>+'11.3. ДА Базова година'!P104</f>
        <v>0</v>
      </c>
      <c r="T124" s="2617">
        <f>S124+SUMIF('11.1.Амортиз.нови активи'!$B$12:$B$59,$B124,'11.1.Амортиз.нови активи'!T$12:T$59)+('9.Инвестиционна програма'!H$132*SUMIF('11.1.Амортиз.нови активи'!$B$12:$B$59,$B124,'11.1.Амортиз.нови активи'!AO$12:AO$59))</f>
        <v>0</v>
      </c>
      <c r="U124" s="1110">
        <f>T124+SUMIF('11.1.Амортиз.нови активи'!$B$12:$B$59,$B124,'11.1.Амортиз.нови активи'!U$12:U$59)+('9.Инвестиционна програма'!I$132*SUMIF('11.1.Амортиз.нови активи'!$B$12:$B$59,$B124,'11.1.Амортиз.нови активи'!AP$12:AP$59))</f>
        <v>0</v>
      </c>
      <c r="V124" s="1110">
        <f>U124+SUMIF('11.1.Амортиз.нови активи'!$B$12:$B$59,$B124,'11.1.Амортиз.нови активи'!V$12:V$59)+('9.Инвестиционна програма'!J$132*SUMIF('11.1.Амортиз.нови активи'!$B$12:$B$59,$B124,'11.1.Амортиз.нови активи'!AQ$12:AQ$59))</f>
        <v>0</v>
      </c>
      <c r="W124" s="1110">
        <f>V124+SUMIF('11.1.Амортиз.нови активи'!$B$12:$B$59,$B124,'11.1.Амортиз.нови активи'!W$12:W$59)+('9.Инвестиционна програма'!K$132*SUMIF('11.1.Амортиз.нови активи'!$B$12:$B$59,$B124,'11.1.Амортиз.нови активи'!AR$12:AR$59))</f>
        <v>0</v>
      </c>
      <c r="X124" s="1110">
        <f>W124+SUMIF('11.1.Амортиз.нови активи'!$B$12:$B$59,$B124,'11.1.Амортиз.нови активи'!X$12:X$59)+('9.Инвестиционна програма'!L$132*SUMIF('11.1.Амортиз.нови активи'!$B$12:$B$59,$B124,'11.1.Амортиз.нови активи'!AS$12:AS$59))</f>
        <v>0</v>
      </c>
      <c r="Y124" s="2618">
        <f>X124+SUMIF('11.1.Амортиз.нови активи'!$B$12:$B$59,$B124,'11.1.Амортиз.нови активи'!Y$12:Y$59)+('9.Инвестиционна програма'!M$132*SUMIF('11.1.Амортиз.нови активи'!$B$12:$B$59,$B124,'11.1.Амортиз.нови активи'!AT$12:AT$59))</f>
        <v>0</v>
      </c>
      <c r="Z124" s="4387">
        <f>+'11.3. ДА Базова година'!T104</f>
        <v>0</v>
      </c>
      <c r="AA124" s="2617">
        <f>Z124+SUMIF('11.1.Амортиз.нови активи'!$B$12:$B$59,$B124,'11.1.Амортиз.нови активи'!AA$12:AA$59)</f>
        <v>0</v>
      </c>
      <c r="AB124" s="1110">
        <f>AA124+SUMIF('11.1.Амортиз.нови активи'!$B$12:$B$59,$B124,'11.1.Амортиз.нови активи'!AB$12:AB$59)</f>
        <v>0</v>
      </c>
      <c r="AC124" s="1110">
        <f>AB124+SUMIF('11.1.Амортиз.нови активи'!$B$12:$B$59,$B124,'11.1.Амортиз.нови активи'!AC$12:AC$59)</f>
        <v>0</v>
      </c>
      <c r="AD124" s="1110">
        <f>AC124+SUMIF('11.1.Амортиз.нови активи'!$B$12:$B$59,$B124,'11.1.Амортиз.нови активи'!AD$12:AD$59)</f>
        <v>0</v>
      </c>
      <c r="AE124" s="1110">
        <f>AD124+SUMIF('11.1.Амортиз.нови активи'!$B$12:$B$59,$B124,'11.1.Амортиз.нови активи'!AE$12:AE$59)</f>
        <v>0</v>
      </c>
      <c r="AF124" s="2618">
        <f>AE124+SUMIF('11.1.Амортиз.нови активи'!$B$12:$B$59,$B124,'11.1.Амортиз.нови активи'!AF$12:AF$59)</f>
        <v>0</v>
      </c>
      <c r="AG124" s="4387">
        <f>+'11.3. ДА Базова година'!X104</f>
        <v>0</v>
      </c>
      <c r="AH124" s="2617">
        <f>AG124+SUMIF('11.1.Амортиз.нови активи'!$B$12:$B$59,$B124,'11.1.Амортиз.нови активи'!AH$12:AH$59)</f>
        <v>0</v>
      </c>
      <c r="AI124" s="1110">
        <f>AH124+SUMIF('11.1.Амортиз.нови активи'!$B$12:$B$59,$B124,'11.1.Амортиз.нови активи'!AI$12:AI$59)</f>
        <v>0</v>
      </c>
      <c r="AJ124" s="1110">
        <f>AI124+SUMIF('11.1.Амортиз.нови активи'!$B$12:$B$59,$B124,'11.1.Амортиз.нови активи'!AJ$12:AJ$59)</f>
        <v>0</v>
      </c>
      <c r="AK124" s="1110">
        <f>AJ124+SUMIF('11.1.Амортиз.нови активи'!$B$12:$B$59,$B124,'11.1.Амортиз.нови активи'!AK$12:AK$59)</f>
        <v>0</v>
      </c>
      <c r="AL124" s="1110">
        <f>AK124+SUMIF('11.1.Амортиз.нови активи'!$B$12:$B$59,$B124,'11.1.Амортиз.нови активи'!AL$12:AL$59)</f>
        <v>0</v>
      </c>
      <c r="AM124" s="2618">
        <f>AL124+SUMIF('11.1.Амортиз.нови активи'!$B$12:$B$59,$B124,'11.1.Амортиз.нови активи'!AM$12:AM$59)</f>
        <v>0</v>
      </c>
      <c r="AN124" s="2513"/>
      <c r="AO124" s="2551"/>
      <c r="AP124" s="4422"/>
      <c r="AQ124" s="4438">
        <f t="shared" si="174"/>
        <v>50.106604357229415</v>
      </c>
      <c r="AR124" s="4438">
        <f t="shared" si="175"/>
        <v>50.106604357229415</v>
      </c>
      <c r="AS124" s="4438">
        <f t="shared" si="176"/>
        <v>57.775982575172691</v>
      </c>
      <c r="AT124" s="4438">
        <f t="shared" si="177"/>
        <v>57.775982575172691</v>
      </c>
      <c r="AU124" s="4438">
        <f t="shared" si="178"/>
        <v>57.775982575172691</v>
      </c>
      <c r="AV124" s="4438">
        <f t="shared" si="179"/>
        <v>58.798566337565127</v>
      </c>
      <c r="AW124" s="4438">
        <f t="shared" si="180"/>
        <v>72.092155248666813</v>
      </c>
      <c r="AX124" s="4438">
        <f t="shared" si="181"/>
        <v>0</v>
      </c>
      <c r="AY124" s="4438">
        <f t="shared" si="182"/>
        <v>0</v>
      </c>
      <c r="AZ124" s="4438">
        <f t="shared" si="183"/>
        <v>0</v>
      </c>
      <c r="BA124" s="4438">
        <f t="shared" si="184"/>
        <v>0</v>
      </c>
      <c r="BB124" s="4438">
        <f t="shared" si="185"/>
        <v>0</v>
      </c>
      <c r="BC124" s="4438">
        <f t="shared" si="186"/>
        <v>0</v>
      </c>
      <c r="BD124" s="4438">
        <f t="shared" si="187"/>
        <v>0</v>
      </c>
      <c r="BE124" s="4438">
        <f t="shared" si="188"/>
        <v>0</v>
      </c>
      <c r="BF124" s="4438">
        <f t="shared" si="189"/>
        <v>0</v>
      </c>
      <c r="BG124" s="4438">
        <f t="shared" si="190"/>
        <v>0</v>
      </c>
      <c r="BH124" s="4438">
        <f t="shared" si="191"/>
        <v>0</v>
      </c>
      <c r="BI124" s="4438">
        <f t="shared" si="192"/>
        <v>0</v>
      </c>
      <c r="BJ124" s="4438">
        <f t="shared" si="193"/>
        <v>0</v>
      </c>
      <c r="BK124" s="4438">
        <f t="shared" si="194"/>
        <v>0</v>
      </c>
      <c r="BL124" s="4438">
        <f t="shared" si="195"/>
        <v>0</v>
      </c>
      <c r="BM124" s="4438">
        <f t="shared" si="196"/>
        <v>0</v>
      </c>
      <c r="BN124" s="4438">
        <f t="shared" si="197"/>
        <v>0</v>
      </c>
      <c r="BO124" s="4438">
        <f t="shared" si="198"/>
        <v>0</v>
      </c>
      <c r="BP124" s="4438">
        <f t="shared" si="199"/>
        <v>0</v>
      </c>
      <c r="BQ124" s="4438">
        <f t="shared" si="200"/>
        <v>0</v>
      </c>
      <c r="BR124" s="4438">
        <f t="shared" si="201"/>
        <v>0</v>
      </c>
      <c r="BS124" s="4438">
        <f t="shared" si="202"/>
        <v>0</v>
      </c>
      <c r="BT124" s="4438">
        <f t="shared" si="203"/>
        <v>0</v>
      </c>
      <c r="BU124" s="4438">
        <f t="shared" si="204"/>
        <v>0</v>
      </c>
      <c r="BV124" s="4438">
        <f t="shared" si="205"/>
        <v>0</v>
      </c>
      <c r="BW124" s="4438">
        <f t="shared" si="206"/>
        <v>0</v>
      </c>
      <c r="BX124" s="4438">
        <f t="shared" si="207"/>
        <v>0</v>
      </c>
      <c r="BY124" s="4438">
        <f t="shared" si="208"/>
        <v>0</v>
      </c>
    </row>
    <row r="125" spans="1:77" s="1292" customFormat="1">
      <c r="A125" s="2573">
        <v>14</v>
      </c>
      <c r="B125" s="2516">
        <v>2040205</v>
      </c>
      <c r="C125" s="2517">
        <v>0.02</v>
      </c>
      <c r="D125" s="2547" t="s">
        <v>420</v>
      </c>
      <c r="E125" s="4387">
        <f>+'11.3. ДА Базова година'!H105</f>
        <v>2600</v>
      </c>
      <c r="F125" s="2617">
        <f>E125+SUMIF('11.1.Амортиз.нови активи'!$B$12:$B$59,$B125,'11.1.Амортиз.нови активи'!F$12:F$59)+('9.Инвестиционна програма'!H$130*SUMIF('11.1.Амортиз.нови активи'!$B$12:$B$59,$B125,'11.1.Амортиз.нови активи'!AO$12:AO$59))</f>
        <v>3200</v>
      </c>
      <c r="G125" s="1110">
        <f>F125+SUMIF('11.1.Амортиз.нови активи'!$B$12:$B$59,$B125,'11.1.Амортиз.нови активи'!G$12:G$59)+('9.Инвестиционна програма'!I$130*SUMIF('11.1.Амортиз.нови активи'!$B$12:$B$59,$B125,'11.1.Амортиз.нови активи'!AP$12:AP$59))</f>
        <v>5882.5769520000003</v>
      </c>
      <c r="H125" s="1110">
        <f>G125+SUMIF('11.1.Амортиз.нови активи'!$B$12:$B$59,$B125,'11.1.Амортиз.нови активи'!H$12:H$59)+('9.Инвестиционна програма'!J$130*SUMIF('11.1.Амортиз.нови активи'!$B$12:$B$59,$B125,'11.1.Амортиз.нови активи'!AQ$12:AQ$59))</f>
        <v>10800.730856000002</v>
      </c>
      <c r="I125" s="1110">
        <f>H125+SUMIF('11.1.Амортиз.нови активи'!$B$12:$B$59,$B125,'11.1.Амортиз.нови активи'!I$12:I$59)+('9.Инвестиционна програма'!K$130*SUMIF('11.1.Амортиз.нови активи'!$B$12:$B$59,$B125,'11.1.Амортиз.нови активи'!AR$12:AR$59))</f>
        <v>15931.884760000003</v>
      </c>
      <c r="J125" s="1110">
        <f>I125+SUMIF('11.1.Амортиз.нови активи'!$B$12:$B$59,$B125,'11.1.Амортиз.нови активи'!J$12:J$59)+('9.Инвестиционна програма'!L$130*SUMIF('11.1.Амортиз.нови активи'!$B$12:$B$59,$B125,'11.1.Амортиз.нови активи'!AS$12:AS$59))</f>
        <v>16461.884760000001</v>
      </c>
      <c r="K125" s="2618">
        <f>J125+SUMIF('11.1.Амортиз.нови активи'!$B$12:$B$59,$B125,'11.1.Амортиз.нови активи'!K$12:K$59)+('9.Инвестиционна програма'!M$130*SUMIF('11.1.Амортиз.нови активи'!$B$12:$B$59,$B125,'11.1.Амортиз.нови активи'!AT$12:AT$59))</f>
        <v>16991.884760000001</v>
      </c>
      <c r="L125" s="4387">
        <f>+'11.3. ДА Базова година'!L105</f>
        <v>0</v>
      </c>
      <c r="M125" s="2617">
        <f>L125+SUMIF('11.1.Амортиз.нови активи'!$B$12:$B$59,$B125,'11.1.Амортиз.нови активи'!M$12:M$59)+('9.Инвестиционна програма'!H$131*SUMIF('11.1.Амортиз.нови активи'!$B$12:$B$59,$B125,'11.1.Амортиз.нови активи'!AO$12:AO$59))</f>
        <v>0</v>
      </c>
      <c r="N125" s="1110">
        <f>M125+SUMIF('11.1.Амортиз.нови активи'!$B$12:$B$59,$B125,'11.1.Амортиз.нови активи'!N$12:N$59)+('9.Инвестиционна програма'!I$131*SUMIF('11.1.Амортиз.нови активи'!$B$12:$B$59,$B125,'11.1.Амортиз.нови активи'!AP$12:AP$59))</f>
        <v>0</v>
      </c>
      <c r="O125" s="1110">
        <f>N125+SUMIF('11.1.Амортиз.нови активи'!$B$12:$B$59,$B125,'11.1.Амортиз.нови активи'!O$12:O$59)+('9.Инвестиционна програма'!J$131*SUMIF('11.1.Амортиз.нови активи'!$B$12:$B$59,$B125,'11.1.Амортиз.нови активи'!AQ$12:AQ$59))</f>
        <v>0</v>
      </c>
      <c r="P125" s="1110">
        <f>O125+SUMIF('11.1.Амортиз.нови активи'!$B$12:$B$59,$B125,'11.1.Амортиз.нови активи'!P$12:P$59)+('9.Инвестиционна програма'!K$131*SUMIF('11.1.Амортиз.нови активи'!$B$12:$B$59,$B125,'11.1.Амортиз.нови активи'!AR$12:AR$59))</f>
        <v>0</v>
      </c>
      <c r="Q125" s="1110">
        <f>P125+SUMIF('11.1.Амортиз.нови активи'!$B$12:$B$59,$B125,'11.1.Амортиз.нови активи'!Q$12:Q$59)+('9.Инвестиционна програма'!L$131*SUMIF('11.1.Амортиз.нови активи'!$B$12:$B$59,$B125,'11.1.Амортиз.нови активи'!AS$12:AS$59))</f>
        <v>0</v>
      </c>
      <c r="R125" s="2618">
        <f>Q125+SUMIF('11.1.Амортиз.нови активи'!$B$12:$B$59,$B125,'11.1.Амортиз.нови активи'!R$12:R$59)+('9.Инвестиционна програма'!M$131*SUMIF('11.1.Амортиз.нови активи'!$B$12:$B$59,$B125,'11.1.Амортиз.нови активи'!AT$12:AT$59))</f>
        <v>0</v>
      </c>
      <c r="S125" s="4387">
        <f>+'11.3. ДА Базова година'!P105</f>
        <v>0</v>
      </c>
      <c r="T125" s="2617">
        <f>S125+SUMIF('11.1.Амортиз.нови активи'!$B$12:$B$59,$B125,'11.1.Амортиз.нови активи'!T$12:T$59)+('9.Инвестиционна програма'!H$132*SUMIF('11.1.Амортиз.нови активи'!$B$12:$B$59,$B125,'11.1.Амортиз.нови активи'!AO$12:AO$59))</f>
        <v>0</v>
      </c>
      <c r="U125" s="1110">
        <f>T125+SUMIF('11.1.Амортиз.нови активи'!$B$12:$B$59,$B125,'11.1.Амортиз.нови активи'!U$12:U$59)+('9.Инвестиционна програма'!I$132*SUMIF('11.1.Амортиз.нови активи'!$B$12:$B$59,$B125,'11.1.Амортиз.нови активи'!AP$12:AP$59))</f>
        <v>0</v>
      </c>
      <c r="V125" s="1110">
        <f>U125+SUMIF('11.1.Амортиз.нови активи'!$B$12:$B$59,$B125,'11.1.Амортиз.нови активи'!V$12:V$59)+('9.Инвестиционна програма'!J$132*SUMIF('11.1.Амортиз.нови активи'!$B$12:$B$59,$B125,'11.1.Амортиз.нови активи'!AQ$12:AQ$59))</f>
        <v>0</v>
      </c>
      <c r="W125" s="1110">
        <f>V125+SUMIF('11.1.Амортиз.нови активи'!$B$12:$B$59,$B125,'11.1.Амортиз.нови активи'!W$12:W$59)+('9.Инвестиционна програма'!K$132*SUMIF('11.1.Амортиз.нови активи'!$B$12:$B$59,$B125,'11.1.Амортиз.нови активи'!AR$12:AR$59))</f>
        <v>0</v>
      </c>
      <c r="X125" s="1110">
        <f>W125+SUMIF('11.1.Амортиз.нови активи'!$B$12:$B$59,$B125,'11.1.Амортиз.нови активи'!X$12:X$59)+('9.Инвестиционна програма'!L$132*SUMIF('11.1.Амортиз.нови активи'!$B$12:$B$59,$B125,'11.1.Амортиз.нови активи'!AS$12:AS$59))</f>
        <v>0</v>
      </c>
      <c r="Y125" s="2618">
        <f>X125+SUMIF('11.1.Амортиз.нови активи'!$B$12:$B$59,$B125,'11.1.Амортиз.нови активи'!Y$12:Y$59)+('9.Инвестиционна програма'!M$132*SUMIF('11.1.Амортиз.нови активи'!$B$12:$B$59,$B125,'11.1.Амортиз.нови активи'!AT$12:AT$59))</f>
        <v>0</v>
      </c>
      <c r="Z125" s="4387">
        <f>+'11.3. ДА Базова година'!T105</f>
        <v>0</v>
      </c>
      <c r="AA125" s="2617">
        <f>Z125+SUMIF('11.1.Амортиз.нови активи'!$B$12:$B$59,$B125,'11.1.Амортиз.нови активи'!AA$12:AA$59)</f>
        <v>0</v>
      </c>
      <c r="AB125" s="1110">
        <f>AA125+SUMIF('11.1.Амортиз.нови активи'!$B$12:$B$59,$B125,'11.1.Амортиз.нови активи'!AB$12:AB$59)</f>
        <v>0</v>
      </c>
      <c r="AC125" s="1110">
        <f>AB125+SUMIF('11.1.Амортиз.нови активи'!$B$12:$B$59,$B125,'11.1.Амортиз.нови активи'!AC$12:AC$59)</f>
        <v>0</v>
      </c>
      <c r="AD125" s="1110">
        <f>AC125+SUMIF('11.1.Амортиз.нови активи'!$B$12:$B$59,$B125,'11.1.Амортиз.нови активи'!AD$12:AD$59)</f>
        <v>0</v>
      </c>
      <c r="AE125" s="1110">
        <f>AD125+SUMIF('11.1.Амортиз.нови активи'!$B$12:$B$59,$B125,'11.1.Амортиз.нови активи'!AE$12:AE$59)</f>
        <v>0</v>
      </c>
      <c r="AF125" s="2618">
        <f>AE125+SUMIF('11.1.Амортиз.нови активи'!$B$12:$B$59,$B125,'11.1.Амортиз.нови активи'!AF$12:AF$59)</f>
        <v>0</v>
      </c>
      <c r="AG125" s="4387">
        <f>+'11.3. ДА Базова година'!X105</f>
        <v>0</v>
      </c>
      <c r="AH125" s="2617">
        <f>AG125+SUMIF('11.1.Амортиз.нови активи'!$B$12:$B$59,$B125,'11.1.Амортиз.нови активи'!AH$12:AH$59)</f>
        <v>0</v>
      </c>
      <c r="AI125" s="1110">
        <f>AH125+SUMIF('11.1.Амортиз.нови активи'!$B$12:$B$59,$B125,'11.1.Амортиз.нови активи'!AI$12:AI$59)</f>
        <v>0</v>
      </c>
      <c r="AJ125" s="1110">
        <f>AI125+SUMIF('11.1.Амортиз.нови активи'!$B$12:$B$59,$B125,'11.1.Амортиз.нови активи'!AJ$12:AJ$59)</f>
        <v>0</v>
      </c>
      <c r="AK125" s="1110">
        <f>AJ125+SUMIF('11.1.Амортиз.нови активи'!$B$12:$B$59,$B125,'11.1.Амортиз.нови активи'!AK$12:AK$59)</f>
        <v>0</v>
      </c>
      <c r="AL125" s="1110">
        <f>AK125+SUMIF('11.1.Амортиз.нови активи'!$B$12:$B$59,$B125,'11.1.Амортиз.нови активи'!AL$12:AL$59)</f>
        <v>0</v>
      </c>
      <c r="AM125" s="2618">
        <f>AL125+SUMIF('11.1.Амортиз.нови активи'!$B$12:$B$59,$B125,'11.1.Амортиз.нови активи'!AM$12:AM$59)</f>
        <v>0</v>
      </c>
      <c r="AN125" s="2513"/>
      <c r="AO125" s="2551"/>
      <c r="AP125" s="4422"/>
      <c r="AQ125" s="4438">
        <f t="shared" si="174"/>
        <v>1329.3588911101681</v>
      </c>
      <c r="AR125" s="4438">
        <f t="shared" si="175"/>
        <v>1636.1340198278992</v>
      </c>
      <c r="AS125" s="4438">
        <f t="shared" si="176"/>
        <v>3007.7138360695972</v>
      </c>
      <c r="AT125" s="4438">
        <f t="shared" si="177"/>
        <v>5522.325997658284</v>
      </c>
      <c r="AU125" s="4438">
        <f t="shared" si="178"/>
        <v>8145.8433299417657</v>
      </c>
      <c r="AV125" s="4438">
        <f t="shared" si="179"/>
        <v>8416.8280269757597</v>
      </c>
      <c r="AW125" s="4438">
        <f t="shared" si="180"/>
        <v>8687.8127240097565</v>
      </c>
      <c r="AX125" s="4438">
        <f t="shared" si="181"/>
        <v>0</v>
      </c>
      <c r="AY125" s="4438">
        <f t="shared" si="182"/>
        <v>0</v>
      </c>
      <c r="AZ125" s="4438">
        <f t="shared" si="183"/>
        <v>0</v>
      </c>
      <c r="BA125" s="4438">
        <f t="shared" si="184"/>
        <v>0</v>
      </c>
      <c r="BB125" s="4438">
        <f t="shared" si="185"/>
        <v>0</v>
      </c>
      <c r="BC125" s="4438">
        <f t="shared" si="186"/>
        <v>0</v>
      </c>
      <c r="BD125" s="4438">
        <f t="shared" si="187"/>
        <v>0</v>
      </c>
      <c r="BE125" s="4438">
        <f t="shared" si="188"/>
        <v>0</v>
      </c>
      <c r="BF125" s="4438">
        <f t="shared" si="189"/>
        <v>0</v>
      </c>
      <c r="BG125" s="4438">
        <f t="shared" si="190"/>
        <v>0</v>
      </c>
      <c r="BH125" s="4438">
        <f t="shared" si="191"/>
        <v>0</v>
      </c>
      <c r="BI125" s="4438">
        <f t="shared" si="192"/>
        <v>0</v>
      </c>
      <c r="BJ125" s="4438">
        <f t="shared" si="193"/>
        <v>0</v>
      </c>
      <c r="BK125" s="4438">
        <f t="shared" si="194"/>
        <v>0</v>
      </c>
      <c r="BL125" s="4438">
        <f t="shared" si="195"/>
        <v>0</v>
      </c>
      <c r="BM125" s="4438">
        <f t="shared" si="196"/>
        <v>0</v>
      </c>
      <c r="BN125" s="4438">
        <f t="shared" si="197"/>
        <v>0</v>
      </c>
      <c r="BO125" s="4438">
        <f t="shared" si="198"/>
        <v>0</v>
      </c>
      <c r="BP125" s="4438">
        <f t="shared" si="199"/>
        <v>0</v>
      </c>
      <c r="BQ125" s="4438">
        <f t="shared" si="200"/>
        <v>0</v>
      </c>
      <c r="BR125" s="4438">
        <f t="shared" si="201"/>
        <v>0</v>
      </c>
      <c r="BS125" s="4438">
        <f t="shared" si="202"/>
        <v>0</v>
      </c>
      <c r="BT125" s="4438">
        <f t="shared" si="203"/>
        <v>0</v>
      </c>
      <c r="BU125" s="4438">
        <f t="shared" si="204"/>
        <v>0</v>
      </c>
      <c r="BV125" s="4438">
        <f t="shared" si="205"/>
        <v>0</v>
      </c>
      <c r="BW125" s="4438">
        <f t="shared" si="206"/>
        <v>0</v>
      </c>
      <c r="BX125" s="4438">
        <f t="shared" si="207"/>
        <v>0</v>
      </c>
      <c r="BY125" s="4438">
        <f t="shared" si="208"/>
        <v>0</v>
      </c>
    </row>
    <row r="126" spans="1:77" s="1292" customFormat="1">
      <c r="A126" s="2573">
        <v>15</v>
      </c>
      <c r="B126" s="2516">
        <v>2040206</v>
      </c>
      <c r="C126" s="2517">
        <v>0.02</v>
      </c>
      <c r="D126" s="2552" t="s">
        <v>421</v>
      </c>
      <c r="E126" s="4387">
        <f>+'11.3. ДА Базова година'!H106</f>
        <v>0</v>
      </c>
      <c r="F126" s="2617">
        <f>E126+SUMIF('11.1.Амортиз.нови активи'!$B$12:$B$59,$B126,'11.1.Амортиз.нови активи'!F$12:F$59)+('9.Инвестиционна програма'!H$130*SUMIF('11.1.Амортиз.нови активи'!$B$12:$B$59,$B126,'11.1.Амортиз.нови активи'!AO$12:AO$59))</f>
        <v>0</v>
      </c>
      <c r="G126" s="1110">
        <f>F126+SUMIF('11.1.Амортиз.нови активи'!$B$12:$B$59,$B126,'11.1.Амортиз.нови активи'!G$12:G$59)+('9.Инвестиционна програма'!I$130*SUMIF('11.1.Амортиз.нови активи'!$B$12:$B$59,$B126,'11.1.Амортиз.нови активи'!AP$12:AP$59))</f>
        <v>0</v>
      </c>
      <c r="H126" s="1110">
        <f>G126+SUMIF('11.1.Амортиз.нови активи'!$B$12:$B$59,$B126,'11.1.Амортиз.нови активи'!H$12:H$59)+('9.Инвестиционна програма'!J$130*SUMIF('11.1.Амортиз.нови активи'!$B$12:$B$59,$B126,'11.1.Амортиз.нови активи'!AQ$12:AQ$59))</f>
        <v>0</v>
      </c>
      <c r="I126" s="1110">
        <f>H126+SUMIF('11.1.Амортиз.нови активи'!$B$12:$B$59,$B126,'11.1.Амортиз.нови активи'!I$12:I$59)+('9.Инвестиционна програма'!K$130*SUMIF('11.1.Амортиз.нови активи'!$B$12:$B$59,$B126,'11.1.Амортиз.нови активи'!AR$12:AR$59))</f>
        <v>0</v>
      </c>
      <c r="J126" s="1110">
        <f>I126+SUMIF('11.1.Амортиз.нови активи'!$B$12:$B$59,$B126,'11.1.Амортиз.нови активи'!J$12:J$59)+('9.Инвестиционна програма'!L$130*SUMIF('11.1.Амортиз.нови активи'!$B$12:$B$59,$B126,'11.1.Амортиз.нови активи'!AS$12:AS$59))</f>
        <v>0</v>
      </c>
      <c r="K126" s="2618">
        <f>J126+SUMIF('11.1.Амортиз.нови активи'!$B$12:$B$59,$B126,'11.1.Амортиз.нови активи'!K$12:K$59)+('9.Инвестиционна програма'!M$130*SUMIF('11.1.Амортиз.нови активи'!$B$12:$B$59,$B126,'11.1.Амортиз.нови активи'!AT$12:AT$59))</f>
        <v>0</v>
      </c>
      <c r="L126" s="4387">
        <f>+'11.3. ДА Базова година'!L106</f>
        <v>64</v>
      </c>
      <c r="M126" s="2617">
        <f>L126+SUMIF('11.1.Амортиз.нови активи'!$B$12:$B$59,$B126,'11.1.Амортиз.нови активи'!M$12:M$59)+('9.Инвестиционна програма'!H$131*SUMIF('11.1.Амортиз.нови активи'!$B$12:$B$59,$B126,'11.1.Амортиз.нови активи'!AO$12:AO$59))</f>
        <v>84</v>
      </c>
      <c r="N126" s="1110">
        <f>M126+SUMIF('11.1.Амортиз.нови активи'!$B$12:$B$59,$B126,'11.1.Амортиз.нови активи'!N$12:N$59)+('9.Инвестиционна програма'!I$131*SUMIF('11.1.Амортиз.нови активи'!$B$12:$B$59,$B126,'11.1.Амортиз.нови активи'!AP$12:AP$59))</f>
        <v>1050.26836</v>
      </c>
      <c r="O126" s="1110">
        <f>N126+SUMIF('11.1.Амортиз.нови активи'!$B$12:$B$59,$B126,'11.1.Амортиз.нови активи'!O$12:O$59)+('9.Инвестиционна програма'!J$131*SUMIF('11.1.Амортиз.нови активи'!$B$12:$B$59,$B126,'11.1.Амортиз.нови активи'!AQ$12:AQ$59))</f>
        <v>2977.8050800000001</v>
      </c>
      <c r="P126" s="1110">
        <f>O126+SUMIF('11.1.Амортиз.нови активи'!$B$12:$B$59,$B126,'11.1.Амортиз.нови активи'!P$12:P$59)+('9.Инвестиционна програма'!K$131*SUMIF('11.1.Амортиз.нови активи'!$B$12:$B$59,$B126,'11.1.Амортиз.нови активи'!AR$12:AR$59))</f>
        <v>4850.3418000000001</v>
      </c>
      <c r="Q126" s="1110">
        <f>P126+SUMIF('11.1.Амортиз.нови активи'!$B$12:$B$59,$B126,'11.1.Амортиз.нови активи'!Q$12:Q$59)+('9.Инвестиционна програма'!L$131*SUMIF('11.1.Амортиз.нови активи'!$B$12:$B$59,$B126,'11.1.Амортиз.нови активи'!AS$12:AS$59))</f>
        <v>4870.3418000000001</v>
      </c>
      <c r="R126" s="2618">
        <f>Q126+SUMIF('11.1.Амортиз.нови активи'!$B$12:$B$59,$B126,'11.1.Амортиз.нови активи'!R$12:R$59)+('9.Инвестиционна програма'!M$131*SUMIF('11.1.Амортиз.нови активи'!$B$12:$B$59,$B126,'11.1.Амортиз.нови активи'!AT$12:AT$59))</f>
        <v>4895.3418000000001</v>
      </c>
      <c r="S126" s="4387">
        <f>+'11.3. ДА Базова година'!P106</f>
        <v>1</v>
      </c>
      <c r="T126" s="2617">
        <f>S126+SUMIF('11.1.Амортиз.нови активи'!$B$12:$B$59,$B126,'11.1.Амортиз.нови активи'!T$12:T$59)+('9.Инвестиционна програма'!H$132*SUMIF('11.1.Амортиз.нови активи'!$B$12:$B$59,$B126,'11.1.Амортиз.нови активи'!AO$12:AO$59))</f>
        <v>1</v>
      </c>
      <c r="U126" s="1110">
        <f>T126+SUMIF('11.1.Амортиз.нови активи'!$B$12:$B$59,$B126,'11.1.Амортиз.нови активи'!U$12:U$59)+('9.Инвестиционна програма'!I$132*SUMIF('11.1.Амортиз.нови активи'!$B$12:$B$59,$B126,'11.1.Амортиз.нови активи'!AP$12:AP$59))</f>
        <v>1</v>
      </c>
      <c r="V126" s="1110">
        <f>U126+SUMIF('11.1.Амортиз.нови активи'!$B$12:$B$59,$B126,'11.1.Амортиз.нови активи'!V$12:V$59)+('9.Инвестиционна програма'!J$132*SUMIF('11.1.Амортиз.нови активи'!$B$12:$B$59,$B126,'11.1.Амортиз.нови активи'!AQ$12:AQ$59))</f>
        <v>1</v>
      </c>
      <c r="W126" s="1110">
        <f>V126+SUMIF('11.1.Амортиз.нови активи'!$B$12:$B$59,$B126,'11.1.Амортиз.нови активи'!W$12:W$59)+('9.Инвестиционна програма'!K$132*SUMIF('11.1.Амортиз.нови активи'!$B$12:$B$59,$B126,'11.1.Амортиз.нови активи'!AR$12:AR$59))</f>
        <v>1</v>
      </c>
      <c r="X126" s="1110">
        <f>W126+SUMIF('11.1.Амортиз.нови активи'!$B$12:$B$59,$B126,'11.1.Амортиз.нови активи'!X$12:X$59)+('9.Инвестиционна програма'!L$132*SUMIF('11.1.Амортиз.нови активи'!$B$12:$B$59,$B126,'11.1.Амортиз.нови активи'!AS$12:AS$59))</f>
        <v>1</v>
      </c>
      <c r="Y126" s="2618">
        <f>X126+SUMIF('11.1.Амортиз.нови активи'!$B$12:$B$59,$B126,'11.1.Амортиз.нови активи'!Y$12:Y$59)+('9.Инвестиционна програма'!M$132*SUMIF('11.1.Амортиз.нови активи'!$B$12:$B$59,$B126,'11.1.Амортиз.нови активи'!AT$12:AT$59))</f>
        <v>1</v>
      </c>
      <c r="Z126" s="4387">
        <f>+'11.3. ДА Базова година'!T106</f>
        <v>0</v>
      </c>
      <c r="AA126" s="2617">
        <f>Z126+SUMIF('11.1.Амортиз.нови активи'!$B$12:$B$59,$B126,'11.1.Амортиз.нови активи'!AA$12:AA$59)</f>
        <v>0</v>
      </c>
      <c r="AB126" s="1110">
        <f>AA126+SUMIF('11.1.Амортиз.нови активи'!$B$12:$B$59,$B126,'11.1.Амортиз.нови активи'!AB$12:AB$59)</f>
        <v>0</v>
      </c>
      <c r="AC126" s="1110">
        <f>AB126+SUMIF('11.1.Амортиз.нови активи'!$B$12:$B$59,$B126,'11.1.Амортиз.нови активи'!AC$12:AC$59)</f>
        <v>0</v>
      </c>
      <c r="AD126" s="1110">
        <f>AC126+SUMIF('11.1.Амортиз.нови активи'!$B$12:$B$59,$B126,'11.1.Амортиз.нови активи'!AD$12:AD$59)</f>
        <v>0</v>
      </c>
      <c r="AE126" s="1110">
        <f>AD126+SUMIF('11.1.Амортиз.нови активи'!$B$12:$B$59,$B126,'11.1.Амортиз.нови активи'!AE$12:AE$59)</f>
        <v>0</v>
      </c>
      <c r="AF126" s="2618">
        <f>AE126+SUMIF('11.1.Амортиз.нови активи'!$B$12:$B$59,$B126,'11.1.Амортиз.нови активи'!AF$12:AF$59)</f>
        <v>0</v>
      </c>
      <c r="AG126" s="4387">
        <f>+'11.3. ДА Базова година'!X106</f>
        <v>0</v>
      </c>
      <c r="AH126" s="2617">
        <f>AG126+SUMIF('11.1.Амортиз.нови активи'!$B$12:$B$59,$B126,'11.1.Амортиз.нови активи'!AH$12:AH$59)</f>
        <v>0</v>
      </c>
      <c r="AI126" s="1110">
        <f>AH126+SUMIF('11.1.Амортиз.нови активи'!$B$12:$B$59,$B126,'11.1.Амортиз.нови активи'!AI$12:AI$59)</f>
        <v>0</v>
      </c>
      <c r="AJ126" s="1110">
        <f>AI126+SUMIF('11.1.Амортиз.нови активи'!$B$12:$B$59,$B126,'11.1.Амортиз.нови активи'!AJ$12:AJ$59)</f>
        <v>0</v>
      </c>
      <c r="AK126" s="1110">
        <f>AJ126+SUMIF('11.1.Амортиз.нови активи'!$B$12:$B$59,$B126,'11.1.Амортиз.нови активи'!AK$12:AK$59)</f>
        <v>0</v>
      </c>
      <c r="AL126" s="1110">
        <f>AK126+SUMIF('11.1.Амортиз.нови активи'!$B$12:$B$59,$B126,'11.1.Амортиз.нови активи'!AL$12:AL$59)</f>
        <v>0</v>
      </c>
      <c r="AM126" s="2618">
        <f>AL126+SUMIF('11.1.Амортиз.нови активи'!$B$12:$B$59,$B126,'11.1.Амортиз.нови активи'!AM$12:AM$59)</f>
        <v>0</v>
      </c>
      <c r="AN126" s="2513"/>
      <c r="AO126" s="2551"/>
      <c r="AP126" s="4422"/>
      <c r="AQ126" s="4438">
        <f t="shared" si="174"/>
        <v>0</v>
      </c>
      <c r="AR126" s="4438">
        <f t="shared" si="175"/>
        <v>0</v>
      </c>
      <c r="AS126" s="4438">
        <f t="shared" si="176"/>
        <v>0</v>
      </c>
      <c r="AT126" s="4438">
        <f t="shared" si="177"/>
        <v>0</v>
      </c>
      <c r="AU126" s="4438">
        <f t="shared" si="178"/>
        <v>0</v>
      </c>
      <c r="AV126" s="4438">
        <f t="shared" si="179"/>
        <v>0</v>
      </c>
      <c r="AW126" s="4438">
        <f t="shared" si="180"/>
        <v>0</v>
      </c>
      <c r="AX126" s="4438">
        <f t="shared" si="181"/>
        <v>32.722680396557983</v>
      </c>
      <c r="AY126" s="4438">
        <f t="shared" si="182"/>
        <v>42.948518020482354</v>
      </c>
      <c r="AZ126" s="4438">
        <f t="shared" si="183"/>
        <v>536.99368554526723</v>
      </c>
      <c r="BA126" s="4438">
        <f t="shared" si="184"/>
        <v>1522.527561188856</v>
      </c>
      <c r="BB126" s="4438">
        <f t="shared" si="185"/>
        <v>2479.9403833666524</v>
      </c>
      <c r="BC126" s="4438">
        <f t="shared" si="186"/>
        <v>2490.1662209905771</v>
      </c>
      <c r="BD126" s="4438">
        <f t="shared" si="187"/>
        <v>2502.9485180204824</v>
      </c>
      <c r="BE126" s="4438">
        <f t="shared" si="188"/>
        <v>0.51129188119621849</v>
      </c>
      <c r="BF126" s="4438">
        <f t="shared" si="189"/>
        <v>0.51129188119621849</v>
      </c>
      <c r="BG126" s="4438">
        <f t="shared" si="190"/>
        <v>0.51129188119621849</v>
      </c>
      <c r="BH126" s="4438">
        <f t="shared" si="191"/>
        <v>0.51129188119621849</v>
      </c>
      <c r="BI126" s="4438">
        <f t="shared" si="192"/>
        <v>0.51129188119621849</v>
      </c>
      <c r="BJ126" s="4438">
        <f t="shared" si="193"/>
        <v>0.51129188119621849</v>
      </c>
      <c r="BK126" s="4438">
        <f t="shared" si="194"/>
        <v>0.51129188119621849</v>
      </c>
      <c r="BL126" s="4438">
        <f t="shared" si="195"/>
        <v>0</v>
      </c>
      <c r="BM126" s="4438">
        <f t="shared" si="196"/>
        <v>0</v>
      </c>
      <c r="BN126" s="4438">
        <f t="shared" si="197"/>
        <v>0</v>
      </c>
      <c r="BO126" s="4438">
        <f t="shared" si="198"/>
        <v>0</v>
      </c>
      <c r="BP126" s="4438">
        <f t="shared" si="199"/>
        <v>0</v>
      </c>
      <c r="BQ126" s="4438">
        <f t="shared" si="200"/>
        <v>0</v>
      </c>
      <c r="BR126" s="4438">
        <f t="shared" si="201"/>
        <v>0</v>
      </c>
      <c r="BS126" s="4438">
        <f t="shared" si="202"/>
        <v>0</v>
      </c>
      <c r="BT126" s="4438">
        <f t="shared" si="203"/>
        <v>0</v>
      </c>
      <c r="BU126" s="4438">
        <f t="shared" si="204"/>
        <v>0</v>
      </c>
      <c r="BV126" s="4438">
        <f t="shared" si="205"/>
        <v>0</v>
      </c>
      <c r="BW126" s="4438">
        <f t="shared" si="206"/>
        <v>0</v>
      </c>
      <c r="BX126" s="4438">
        <f t="shared" si="207"/>
        <v>0</v>
      </c>
      <c r="BY126" s="4438">
        <f t="shared" si="208"/>
        <v>0</v>
      </c>
    </row>
    <row r="127" spans="1:77" s="1292" customFormat="1" ht="24">
      <c r="A127" s="2573">
        <v>16</v>
      </c>
      <c r="B127" s="2516">
        <v>2040207</v>
      </c>
      <c r="C127" s="2517">
        <v>0.04</v>
      </c>
      <c r="D127" s="2552" t="s">
        <v>422</v>
      </c>
      <c r="E127" s="4387">
        <f>+'11.3. ДА Базова година'!H107</f>
        <v>62</v>
      </c>
      <c r="F127" s="2617">
        <f>E127+SUMIF('11.1.Амортиз.нови активи'!$B$12:$B$59,$B127,'11.1.Амортиз.нови активи'!F$12:F$59)+('9.Инвестиционна програма'!H$130*SUMIF('11.1.Амортиз.нови активи'!$B$12:$B$59,$B127,'11.1.Амортиз.нови активи'!AO$12:AO$59))</f>
        <v>172</v>
      </c>
      <c r="G127" s="1110">
        <f>F127+SUMIF('11.1.Амортиз.нови активи'!$B$12:$B$59,$B127,'11.1.Амортиз.нови активи'!G$12:G$59)+('9.Инвестиционна програма'!I$130*SUMIF('11.1.Амортиз.нови активи'!$B$12:$B$59,$B127,'11.1.Амортиз.нови активи'!AP$12:AP$59))</f>
        <v>1912.5689179999999</v>
      </c>
      <c r="H127" s="1110">
        <f>G127+SUMIF('11.1.Амортиз.нови активи'!$B$12:$B$59,$B127,'11.1.Амортиз.нови активи'!H$12:H$59)+('9.Инвестиционна програма'!J$130*SUMIF('11.1.Амортиз.нови активи'!$B$12:$B$59,$B127,'11.1.Амортиз.нови активи'!AQ$12:AQ$59))</f>
        <v>5346.7067539999998</v>
      </c>
      <c r="I127" s="1110">
        <f>H127+SUMIF('11.1.Амортиз.нови активи'!$B$12:$B$59,$B127,'11.1.Амортиз.нови активи'!I$12:I$59)+('9.Инвестиционна програма'!K$130*SUMIF('11.1.Амортиз.нови активи'!$B$12:$B$59,$B127,'11.1.Амортиз.нови активи'!AR$12:AR$59))</f>
        <v>8591.8445900000006</v>
      </c>
      <c r="J127" s="1110">
        <f>I127+SUMIF('11.1.Амортиз.нови активи'!$B$12:$B$59,$B127,'11.1.Амортиз.нови активи'!J$12:J$59)+('9.Инвестиционна програма'!L$130*SUMIF('11.1.Амортиз.нови активи'!$B$12:$B$59,$B127,'11.1.Амортиз.нови активи'!AS$12:AS$59))</f>
        <v>8620.8445900000006</v>
      </c>
      <c r="K127" s="2618">
        <f>J127+SUMIF('11.1.Амортиз.нови активи'!$B$12:$B$59,$B127,'11.1.Амортиз.нови активи'!K$12:K$59)+('9.Инвестиционна програма'!M$130*SUMIF('11.1.Амортиз.нови активи'!$B$12:$B$59,$B127,'11.1.Амортиз.нови активи'!AT$12:AT$59))</f>
        <v>8642.8445900000006</v>
      </c>
      <c r="L127" s="4387">
        <f>+'11.3. ДА Базова година'!L107</f>
        <v>0</v>
      </c>
      <c r="M127" s="2617">
        <f>L127+SUMIF('11.1.Амортиз.нови активи'!$B$12:$B$59,$B127,'11.1.Амортиз.нови активи'!M$12:M$59)+('9.Инвестиционна програма'!H$131*SUMIF('11.1.Амортиз.нови активи'!$B$12:$B$59,$B127,'11.1.Амортиз.нови активи'!AO$12:AO$59))</f>
        <v>5</v>
      </c>
      <c r="N127" s="1110">
        <f>M127+SUMIF('11.1.Амортиз.нови активи'!$B$12:$B$59,$B127,'11.1.Амортиз.нови активи'!N$12:N$59)+('9.Инвестиционна програма'!I$131*SUMIF('11.1.Амортиз.нови активи'!$B$12:$B$59,$B127,'11.1.Амортиз.нови активи'!AP$12:AP$59))</f>
        <v>60</v>
      </c>
      <c r="O127" s="1110">
        <f>N127+SUMIF('11.1.Амортиз.нови активи'!$B$12:$B$59,$B127,'11.1.Амортиз.нови активи'!O$12:O$59)+('9.Инвестиционна програма'!J$131*SUMIF('11.1.Амортиз.нови активи'!$B$12:$B$59,$B127,'11.1.Амортиз.нови активи'!AQ$12:AQ$59))</f>
        <v>60</v>
      </c>
      <c r="P127" s="1110">
        <f>O127+SUMIF('11.1.Амортиз.нови активи'!$B$12:$B$59,$B127,'11.1.Амортиз.нови активи'!P$12:P$59)+('9.Инвестиционна програма'!K$131*SUMIF('11.1.Амортиз.нови активи'!$B$12:$B$59,$B127,'11.1.Амортиз.нови активи'!AR$12:AR$59))</f>
        <v>60</v>
      </c>
      <c r="Q127" s="1110">
        <f>P127+SUMIF('11.1.Амортиз.нови активи'!$B$12:$B$59,$B127,'11.1.Амортиз.нови активи'!Q$12:Q$59)+('9.Инвестиционна програма'!L$131*SUMIF('11.1.Амортиз.нови активи'!$B$12:$B$59,$B127,'11.1.Амортиз.нови активи'!AS$12:AS$59))</f>
        <v>60</v>
      </c>
      <c r="R127" s="2618">
        <f>Q127+SUMIF('11.1.Амортиз.нови активи'!$B$12:$B$59,$B127,'11.1.Амортиз.нови активи'!R$12:R$59)+('9.Инвестиционна програма'!M$131*SUMIF('11.1.Амортиз.нови активи'!$B$12:$B$59,$B127,'11.1.Амортиз.нови активи'!AT$12:AT$59))</f>
        <v>60</v>
      </c>
      <c r="S127" s="4387">
        <f>+'11.3. ДА Базова година'!P107</f>
        <v>120</v>
      </c>
      <c r="T127" s="2617">
        <f>S127+SUMIF('11.1.Амортиз.нови активи'!$B$12:$B$59,$B127,'11.1.Амортиз.нови активи'!T$12:T$59)+('9.Инвестиционна програма'!H$132*SUMIF('11.1.Амортиз.нови активи'!$B$12:$B$59,$B127,'11.1.Амортиз.нови активи'!AO$12:AO$59))</f>
        <v>125</v>
      </c>
      <c r="U127" s="1110">
        <f>T127+SUMIF('11.1.Амортиз.нови активи'!$B$12:$B$59,$B127,'11.1.Амортиз.нови активи'!U$12:U$59)+('9.Инвестиционна програма'!I$132*SUMIF('11.1.Амортиз.нови активи'!$B$12:$B$59,$B127,'11.1.Амортиз.нови активи'!AP$12:AP$59))</f>
        <v>1176.8895439999999</v>
      </c>
      <c r="V127" s="1110">
        <f>U127+SUMIF('11.1.Амортиз.нови активи'!$B$12:$B$59,$B127,'11.1.Амортиз.нови активи'!V$12:V$59)+('9.Инвестиционна програма'!J$132*SUMIF('11.1.Амортиз.нови активи'!$B$12:$B$59,$B127,'11.1.Амортиз.нови активи'!AQ$12:AQ$59))</f>
        <v>3276.6686319999999</v>
      </c>
      <c r="W127" s="1110">
        <f>V127+SUMIF('11.1.Амортиз.нови активи'!$B$12:$B$59,$B127,'11.1.Амортиз.нови активи'!W$12:W$59)+('9.Инвестиционна програма'!K$132*SUMIF('11.1.Амортиз.нови активи'!$B$12:$B$59,$B127,'11.1.Амортиз.нови активи'!AR$12:AR$59))</f>
        <v>5393.4477200000001</v>
      </c>
      <c r="X127" s="1110">
        <f>W127+SUMIF('11.1.Амортиз.нови активи'!$B$12:$B$59,$B127,'11.1.Амортиз.нови активи'!X$12:X$59)+('9.Инвестиционна програма'!L$132*SUMIF('11.1.Амортиз.нови активи'!$B$12:$B$59,$B127,'11.1.Амортиз.нови активи'!AS$12:AS$59))</f>
        <v>5395.4477200000001</v>
      </c>
      <c r="Y127" s="2618">
        <f>X127+SUMIF('11.1.Амортиз.нови активи'!$B$12:$B$59,$B127,'11.1.Амортиз.нови активи'!Y$12:Y$59)+('9.Инвестиционна програма'!M$132*SUMIF('11.1.Амортиз.нови активи'!$B$12:$B$59,$B127,'11.1.Амортиз.нови активи'!AT$12:AT$59))</f>
        <v>5395.4477200000001</v>
      </c>
      <c r="Z127" s="4387">
        <f>+'11.3. ДА Базова година'!T107</f>
        <v>0</v>
      </c>
      <c r="AA127" s="2617">
        <f>Z127+SUMIF('11.1.Амортиз.нови активи'!$B$12:$B$59,$B127,'11.1.Амортиз.нови активи'!AA$12:AA$59)</f>
        <v>0</v>
      </c>
      <c r="AB127" s="1110">
        <f>AA127+SUMIF('11.1.Амортиз.нови активи'!$B$12:$B$59,$B127,'11.1.Амортиз.нови активи'!AB$12:AB$59)</f>
        <v>0</v>
      </c>
      <c r="AC127" s="1110">
        <f>AB127+SUMIF('11.1.Амортиз.нови активи'!$B$12:$B$59,$B127,'11.1.Амортиз.нови активи'!AC$12:AC$59)</f>
        <v>0</v>
      </c>
      <c r="AD127" s="1110">
        <f>AC127+SUMIF('11.1.Амортиз.нови активи'!$B$12:$B$59,$B127,'11.1.Амортиз.нови активи'!AD$12:AD$59)</f>
        <v>0</v>
      </c>
      <c r="AE127" s="1110">
        <f>AD127+SUMIF('11.1.Амортиз.нови активи'!$B$12:$B$59,$B127,'11.1.Амортиз.нови активи'!AE$12:AE$59)</f>
        <v>0</v>
      </c>
      <c r="AF127" s="2618">
        <f>AE127+SUMIF('11.1.Амортиз.нови активи'!$B$12:$B$59,$B127,'11.1.Амортиз.нови активи'!AF$12:AF$59)</f>
        <v>0</v>
      </c>
      <c r="AG127" s="4387">
        <f>+'11.3. ДА Базова година'!X107</f>
        <v>0</v>
      </c>
      <c r="AH127" s="2617">
        <f>AG127+SUMIF('11.1.Амортиз.нови активи'!$B$12:$B$59,$B127,'11.1.Амортиз.нови активи'!AH$12:AH$59)</f>
        <v>0</v>
      </c>
      <c r="AI127" s="1110">
        <f>AH127+SUMIF('11.1.Амортиз.нови активи'!$B$12:$B$59,$B127,'11.1.Амортиз.нови активи'!AI$12:AI$59)</f>
        <v>0</v>
      </c>
      <c r="AJ127" s="1110">
        <f>AI127+SUMIF('11.1.Амортиз.нови активи'!$B$12:$B$59,$B127,'11.1.Амортиз.нови активи'!AJ$12:AJ$59)</f>
        <v>0</v>
      </c>
      <c r="AK127" s="1110">
        <f>AJ127+SUMIF('11.1.Амортиз.нови активи'!$B$12:$B$59,$B127,'11.1.Амортиз.нови активи'!AK$12:AK$59)</f>
        <v>0</v>
      </c>
      <c r="AL127" s="1110">
        <f>AK127+SUMIF('11.1.Амортиз.нови активи'!$B$12:$B$59,$B127,'11.1.Амортиз.нови активи'!AL$12:AL$59)</f>
        <v>0</v>
      </c>
      <c r="AM127" s="2618">
        <f>AL127+SUMIF('11.1.Амортиз.нови активи'!$B$12:$B$59,$B127,'11.1.Амортиз.нови активи'!AM$12:AM$59)</f>
        <v>0</v>
      </c>
      <c r="AN127" s="2513"/>
      <c r="AO127" s="2551"/>
      <c r="AP127" s="4422"/>
      <c r="AQ127" s="4438">
        <f t="shared" si="174"/>
        <v>31.700096634165547</v>
      </c>
      <c r="AR127" s="4438">
        <f t="shared" si="175"/>
        <v>87.94220356574958</v>
      </c>
      <c r="AS127" s="4438">
        <f t="shared" si="176"/>
        <v>977.88096000163614</v>
      </c>
      <c r="AT127" s="4438">
        <f t="shared" si="177"/>
        <v>2733.7277544571871</v>
      </c>
      <c r="AU127" s="4438">
        <f t="shared" si="178"/>
        <v>4392.9403833666529</v>
      </c>
      <c r="AV127" s="4438">
        <f t="shared" si="179"/>
        <v>4407.7678479213437</v>
      </c>
      <c r="AW127" s="4438">
        <f t="shared" si="180"/>
        <v>4419.01626930766</v>
      </c>
      <c r="AX127" s="4438">
        <f t="shared" si="181"/>
        <v>0</v>
      </c>
      <c r="AY127" s="4438">
        <f t="shared" si="182"/>
        <v>2.5564594059810926</v>
      </c>
      <c r="AZ127" s="4438">
        <f t="shared" si="183"/>
        <v>30.677512871773111</v>
      </c>
      <c r="BA127" s="4438">
        <f t="shared" si="184"/>
        <v>30.677512871773111</v>
      </c>
      <c r="BB127" s="4438">
        <f t="shared" si="185"/>
        <v>30.677512871773111</v>
      </c>
      <c r="BC127" s="4438">
        <f t="shared" si="186"/>
        <v>30.677512871773111</v>
      </c>
      <c r="BD127" s="4438">
        <f t="shared" si="187"/>
        <v>30.677512871773111</v>
      </c>
      <c r="BE127" s="4438">
        <f t="shared" si="188"/>
        <v>61.355025743546221</v>
      </c>
      <c r="BF127" s="4438">
        <f t="shared" si="189"/>
        <v>63.911485149527309</v>
      </c>
      <c r="BG127" s="4438">
        <f t="shared" si="190"/>
        <v>601.73406891191974</v>
      </c>
      <c r="BH127" s="4438">
        <f t="shared" si="191"/>
        <v>1675.3340689119198</v>
      </c>
      <c r="BI127" s="4438">
        <f t="shared" si="192"/>
        <v>2757.6260308922556</v>
      </c>
      <c r="BJ127" s="4438">
        <f t="shared" si="193"/>
        <v>2758.6486146546481</v>
      </c>
      <c r="BK127" s="4438">
        <f t="shared" si="194"/>
        <v>2758.6486146546481</v>
      </c>
      <c r="BL127" s="4438">
        <f t="shared" si="195"/>
        <v>0</v>
      </c>
      <c r="BM127" s="4438">
        <f t="shared" si="196"/>
        <v>0</v>
      </c>
      <c r="BN127" s="4438">
        <f t="shared" si="197"/>
        <v>0</v>
      </c>
      <c r="BO127" s="4438">
        <f t="shared" si="198"/>
        <v>0</v>
      </c>
      <c r="BP127" s="4438">
        <f t="shared" si="199"/>
        <v>0</v>
      </c>
      <c r="BQ127" s="4438">
        <f t="shared" si="200"/>
        <v>0</v>
      </c>
      <c r="BR127" s="4438">
        <f t="shared" si="201"/>
        <v>0</v>
      </c>
      <c r="BS127" s="4438">
        <f t="shared" si="202"/>
        <v>0</v>
      </c>
      <c r="BT127" s="4438">
        <f t="shared" si="203"/>
        <v>0</v>
      </c>
      <c r="BU127" s="4438">
        <f t="shared" si="204"/>
        <v>0</v>
      </c>
      <c r="BV127" s="4438">
        <f t="shared" si="205"/>
        <v>0</v>
      </c>
      <c r="BW127" s="4438">
        <f t="shared" si="206"/>
        <v>0</v>
      </c>
      <c r="BX127" s="4438">
        <f t="shared" si="207"/>
        <v>0</v>
      </c>
      <c r="BY127" s="4438">
        <f t="shared" si="208"/>
        <v>0</v>
      </c>
    </row>
    <row r="128" spans="1:77" s="1292" customFormat="1">
      <c r="A128" s="2573">
        <v>17</v>
      </c>
      <c r="B128" s="2516">
        <v>2040208</v>
      </c>
      <c r="C128" s="2517">
        <v>0.04</v>
      </c>
      <c r="D128" s="2552" t="s">
        <v>423</v>
      </c>
      <c r="E128" s="4387">
        <f>+'11.3. ДА Базова година'!H108</f>
        <v>14</v>
      </c>
      <c r="F128" s="2617">
        <f>E128+SUMIF('11.1.Амортиз.нови активи'!$B$12:$B$59,$B128,'11.1.Амортиз.нови активи'!F$12:F$59)+('9.Инвестиционна програма'!H$130*SUMIF('11.1.Амортиз.нови активи'!$B$12:$B$59,$B128,'11.1.Амортиз.нови активи'!AO$12:AO$59))</f>
        <v>14</v>
      </c>
      <c r="G128" s="1110">
        <f>F128+SUMIF('11.1.Амортиз.нови активи'!$B$12:$B$59,$B128,'11.1.Амортиз.нови активи'!G$12:G$59)+('9.Инвестиционна програма'!I$130*SUMIF('11.1.Амортиз.нови активи'!$B$12:$B$59,$B128,'11.1.Амортиз.нови активи'!AP$12:AP$59))</f>
        <v>14</v>
      </c>
      <c r="H128" s="1110">
        <f>G128+SUMIF('11.1.Амортиз.нови активи'!$B$12:$B$59,$B128,'11.1.Амортиз.нови активи'!H$12:H$59)+('9.Инвестиционна програма'!J$130*SUMIF('11.1.Амортиз.нови активи'!$B$12:$B$59,$B128,'11.1.Амортиз.нови активи'!AQ$12:AQ$59))</f>
        <v>14</v>
      </c>
      <c r="I128" s="1110">
        <f>H128+SUMIF('11.1.Амортиз.нови активи'!$B$12:$B$59,$B128,'11.1.Амортиз.нови активи'!I$12:I$59)+('9.Инвестиционна програма'!K$130*SUMIF('11.1.Амортиз.нови активи'!$B$12:$B$59,$B128,'11.1.Амортиз.нови активи'!AR$12:AR$59))</f>
        <v>14</v>
      </c>
      <c r="J128" s="1110">
        <f>I128+SUMIF('11.1.Амортиз.нови активи'!$B$12:$B$59,$B128,'11.1.Амортиз.нови активи'!J$12:J$59)+('9.Инвестиционна програма'!L$130*SUMIF('11.1.Амортиз.нови активи'!$B$12:$B$59,$B128,'11.1.Амортиз.нови активи'!AS$12:AS$59))</f>
        <v>14</v>
      </c>
      <c r="K128" s="2618">
        <f>J128+SUMIF('11.1.Амортиз.нови активи'!$B$12:$B$59,$B128,'11.1.Амортиз.нови активи'!K$12:K$59)+('9.Инвестиционна програма'!M$130*SUMIF('11.1.Амортиз.нови активи'!$B$12:$B$59,$B128,'11.1.Амортиз.нови активи'!AT$12:AT$59))</f>
        <v>14</v>
      </c>
      <c r="L128" s="4387">
        <f>+'11.3. ДА Базова година'!L108</f>
        <v>0</v>
      </c>
      <c r="M128" s="2617">
        <f>L128+SUMIF('11.1.Амортиз.нови активи'!$B$12:$B$59,$B128,'11.1.Амортиз.нови активи'!M$12:M$59)+('9.Инвестиционна програма'!H$131*SUMIF('11.1.Амортиз.нови активи'!$B$12:$B$59,$B128,'11.1.Амортиз.нови активи'!AO$12:AO$59))</f>
        <v>0</v>
      </c>
      <c r="N128" s="1110">
        <f>M128+SUMIF('11.1.Амортиз.нови активи'!$B$12:$B$59,$B128,'11.1.Амортиз.нови активи'!N$12:N$59)+('9.Инвестиционна програма'!I$131*SUMIF('11.1.Амортиз.нови активи'!$B$12:$B$59,$B128,'11.1.Амортиз.нови активи'!AP$12:AP$59))</f>
        <v>0</v>
      </c>
      <c r="O128" s="1110">
        <f>N128+SUMIF('11.1.Амортиз.нови активи'!$B$12:$B$59,$B128,'11.1.Амортиз.нови активи'!O$12:O$59)+('9.Инвестиционна програма'!J$131*SUMIF('11.1.Амортиз.нови активи'!$B$12:$B$59,$B128,'11.1.Амортиз.нови активи'!AQ$12:AQ$59))</f>
        <v>0</v>
      </c>
      <c r="P128" s="1110">
        <f>O128+SUMIF('11.1.Амортиз.нови активи'!$B$12:$B$59,$B128,'11.1.Амортиз.нови активи'!P$12:P$59)+('9.Инвестиционна програма'!K$131*SUMIF('11.1.Амортиз.нови активи'!$B$12:$B$59,$B128,'11.1.Амортиз.нови активи'!AR$12:AR$59))</f>
        <v>0</v>
      </c>
      <c r="Q128" s="1110">
        <f>P128+SUMIF('11.1.Амортиз.нови активи'!$B$12:$B$59,$B128,'11.1.Амортиз.нови активи'!Q$12:Q$59)+('9.Инвестиционна програма'!L$131*SUMIF('11.1.Амортиз.нови активи'!$B$12:$B$59,$B128,'11.1.Амортиз.нови активи'!AS$12:AS$59))</f>
        <v>0</v>
      </c>
      <c r="R128" s="2618">
        <f>Q128+SUMIF('11.1.Амортиз.нови активи'!$B$12:$B$59,$B128,'11.1.Амортиз.нови активи'!R$12:R$59)+('9.Инвестиционна програма'!M$131*SUMIF('11.1.Амортиз.нови активи'!$B$12:$B$59,$B128,'11.1.Амортиз.нови активи'!AT$12:AT$59))</f>
        <v>0</v>
      </c>
      <c r="S128" s="4387">
        <f>+'11.3. ДА Базова година'!P108</f>
        <v>0</v>
      </c>
      <c r="T128" s="2617">
        <f>S128+SUMIF('11.1.Амортиз.нови активи'!$B$12:$B$59,$B128,'11.1.Амортиз.нови активи'!T$12:T$59)+('9.Инвестиционна програма'!H$132*SUMIF('11.1.Амортиз.нови активи'!$B$12:$B$59,$B128,'11.1.Амортиз.нови активи'!AO$12:AO$59))</f>
        <v>0</v>
      </c>
      <c r="U128" s="1110">
        <f>T128+SUMIF('11.1.Амортиз.нови активи'!$B$12:$B$59,$B128,'11.1.Амортиз.нови активи'!U$12:U$59)+('9.Инвестиционна програма'!I$132*SUMIF('11.1.Амортиз.нови активи'!$B$12:$B$59,$B128,'11.1.Амортиз.нови активи'!AP$12:AP$59))</f>
        <v>0</v>
      </c>
      <c r="V128" s="1110">
        <f>U128+SUMIF('11.1.Амортиз.нови активи'!$B$12:$B$59,$B128,'11.1.Амортиз.нови активи'!V$12:V$59)+('9.Инвестиционна програма'!J$132*SUMIF('11.1.Амортиз.нови активи'!$B$12:$B$59,$B128,'11.1.Амортиз.нови активи'!AQ$12:AQ$59))</f>
        <v>0</v>
      </c>
      <c r="W128" s="1110">
        <f>V128+SUMIF('11.1.Амортиз.нови активи'!$B$12:$B$59,$B128,'11.1.Амортиз.нови активи'!W$12:W$59)+('9.Инвестиционна програма'!K$132*SUMIF('11.1.Амортиз.нови активи'!$B$12:$B$59,$B128,'11.1.Амортиз.нови активи'!AR$12:AR$59))</f>
        <v>0</v>
      </c>
      <c r="X128" s="1110">
        <f>W128+SUMIF('11.1.Амортиз.нови активи'!$B$12:$B$59,$B128,'11.1.Амортиз.нови активи'!X$12:X$59)+('9.Инвестиционна програма'!L$132*SUMIF('11.1.Амортиз.нови активи'!$B$12:$B$59,$B128,'11.1.Амортиз.нови активи'!AS$12:AS$59))</f>
        <v>0</v>
      </c>
      <c r="Y128" s="2618">
        <f>X128+SUMIF('11.1.Амортиз.нови активи'!$B$12:$B$59,$B128,'11.1.Амортиз.нови активи'!Y$12:Y$59)+('9.Инвестиционна програма'!M$132*SUMIF('11.1.Амортиз.нови активи'!$B$12:$B$59,$B128,'11.1.Амортиз.нови активи'!AT$12:AT$59))</f>
        <v>0</v>
      </c>
      <c r="Z128" s="4387">
        <f>+'11.3. ДА Базова година'!T108</f>
        <v>0</v>
      </c>
      <c r="AA128" s="2617">
        <f>Z128+SUMIF('11.1.Амортиз.нови активи'!$B$12:$B$59,$B128,'11.1.Амортиз.нови активи'!AA$12:AA$59)</f>
        <v>0</v>
      </c>
      <c r="AB128" s="1110">
        <f>AA128+SUMIF('11.1.Амортиз.нови активи'!$B$12:$B$59,$B128,'11.1.Амортиз.нови активи'!AB$12:AB$59)</f>
        <v>0</v>
      </c>
      <c r="AC128" s="1110">
        <f>AB128+SUMIF('11.1.Амортиз.нови активи'!$B$12:$B$59,$B128,'11.1.Амортиз.нови активи'!AC$12:AC$59)</f>
        <v>0</v>
      </c>
      <c r="AD128" s="1110">
        <f>AC128+SUMIF('11.1.Амортиз.нови активи'!$B$12:$B$59,$B128,'11.1.Амортиз.нови активи'!AD$12:AD$59)</f>
        <v>0</v>
      </c>
      <c r="AE128" s="1110">
        <f>AD128+SUMIF('11.1.Амортиз.нови активи'!$B$12:$B$59,$B128,'11.1.Амортиз.нови активи'!AE$12:AE$59)</f>
        <v>0</v>
      </c>
      <c r="AF128" s="2618">
        <f>AE128+SUMIF('11.1.Амортиз.нови активи'!$B$12:$B$59,$B128,'11.1.Амортиз.нови активи'!AF$12:AF$59)</f>
        <v>0</v>
      </c>
      <c r="AG128" s="4387">
        <f>+'11.3. ДА Базова година'!X108</f>
        <v>0</v>
      </c>
      <c r="AH128" s="2617">
        <f>AG128+SUMIF('11.1.Амортиз.нови активи'!$B$12:$B$59,$B128,'11.1.Амортиз.нови активи'!AH$12:AH$59)</f>
        <v>0</v>
      </c>
      <c r="AI128" s="1110">
        <f>AH128+SUMIF('11.1.Амортиз.нови активи'!$B$12:$B$59,$B128,'11.1.Амортиз.нови активи'!AI$12:AI$59)</f>
        <v>0</v>
      </c>
      <c r="AJ128" s="1110">
        <f>AI128+SUMIF('11.1.Амортиз.нови активи'!$B$12:$B$59,$B128,'11.1.Амортиз.нови активи'!AJ$12:AJ$59)</f>
        <v>0</v>
      </c>
      <c r="AK128" s="1110">
        <f>AJ128+SUMIF('11.1.Амортиз.нови активи'!$B$12:$B$59,$B128,'11.1.Амортиз.нови активи'!AK$12:AK$59)</f>
        <v>0</v>
      </c>
      <c r="AL128" s="1110">
        <f>AK128+SUMIF('11.1.Амортиз.нови активи'!$B$12:$B$59,$B128,'11.1.Амортиз.нови активи'!AL$12:AL$59)</f>
        <v>0</v>
      </c>
      <c r="AM128" s="2618">
        <f>AL128+SUMIF('11.1.Амортиз.нови активи'!$B$12:$B$59,$B128,'11.1.Амортиз.нови активи'!AM$12:AM$59)</f>
        <v>0</v>
      </c>
      <c r="AN128" s="2513"/>
      <c r="AO128" s="2551"/>
      <c r="AP128" s="4422"/>
      <c r="AQ128" s="4438">
        <f t="shared" si="174"/>
        <v>7.1580863367470586</v>
      </c>
      <c r="AR128" s="4438">
        <f t="shared" si="175"/>
        <v>7.1580863367470586</v>
      </c>
      <c r="AS128" s="4438">
        <f t="shared" si="176"/>
        <v>7.1580863367470586</v>
      </c>
      <c r="AT128" s="4438">
        <f t="shared" si="177"/>
        <v>7.1580863367470586</v>
      </c>
      <c r="AU128" s="4438">
        <f t="shared" si="178"/>
        <v>7.1580863367470586</v>
      </c>
      <c r="AV128" s="4438">
        <f t="shared" si="179"/>
        <v>7.1580863367470586</v>
      </c>
      <c r="AW128" s="4438">
        <f t="shared" si="180"/>
        <v>7.1580863367470586</v>
      </c>
      <c r="AX128" s="4438">
        <f t="shared" si="181"/>
        <v>0</v>
      </c>
      <c r="AY128" s="4438">
        <f t="shared" si="182"/>
        <v>0</v>
      </c>
      <c r="AZ128" s="4438">
        <f t="shared" si="183"/>
        <v>0</v>
      </c>
      <c r="BA128" s="4438">
        <f t="shared" si="184"/>
        <v>0</v>
      </c>
      <c r="BB128" s="4438">
        <f t="shared" si="185"/>
        <v>0</v>
      </c>
      <c r="BC128" s="4438">
        <f t="shared" si="186"/>
        <v>0</v>
      </c>
      <c r="BD128" s="4438">
        <f t="shared" si="187"/>
        <v>0</v>
      </c>
      <c r="BE128" s="4438">
        <f t="shared" si="188"/>
        <v>0</v>
      </c>
      <c r="BF128" s="4438">
        <f t="shared" si="189"/>
        <v>0</v>
      </c>
      <c r="BG128" s="4438">
        <f t="shared" si="190"/>
        <v>0</v>
      </c>
      <c r="BH128" s="4438">
        <f t="shared" si="191"/>
        <v>0</v>
      </c>
      <c r="BI128" s="4438">
        <f t="shared" si="192"/>
        <v>0</v>
      </c>
      <c r="BJ128" s="4438">
        <f t="shared" si="193"/>
        <v>0</v>
      </c>
      <c r="BK128" s="4438">
        <f t="shared" si="194"/>
        <v>0</v>
      </c>
      <c r="BL128" s="4438">
        <f t="shared" si="195"/>
        <v>0</v>
      </c>
      <c r="BM128" s="4438">
        <f t="shared" si="196"/>
        <v>0</v>
      </c>
      <c r="BN128" s="4438">
        <f t="shared" si="197"/>
        <v>0</v>
      </c>
      <c r="BO128" s="4438">
        <f t="shared" si="198"/>
        <v>0</v>
      </c>
      <c r="BP128" s="4438">
        <f t="shared" si="199"/>
        <v>0</v>
      </c>
      <c r="BQ128" s="4438">
        <f t="shared" si="200"/>
        <v>0</v>
      </c>
      <c r="BR128" s="4438">
        <f t="shared" si="201"/>
        <v>0</v>
      </c>
      <c r="BS128" s="4438">
        <f t="shared" si="202"/>
        <v>0</v>
      </c>
      <c r="BT128" s="4438">
        <f t="shared" si="203"/>
        <v>0</v>
      </c>
      <c r="BU128" s="4438">
        <f t="shared" si="204"/>
        <v>0</v>
      </c>
      <c r="BV128" s="4438">
        <f t="shared" si="205"/>
        <v>0</v>
      </c>
      <c r="BW128" s="4438">
        <f t="shared" si="206"/>
        <v>0</v>
      </c>
      <c r="BX128" s="4438">
        <f t="shared" si="207"/>
        <v>0</v>
      </c>
      <c r="BY128" s="4438">
        <f t="shared" si="208"/>
        <v>0</v>
      </c>
    </row>
    <row r="129" spans="1:77" s="1292" customFormat="1">
      <c r="A129" s="2573">
        <v>18</v>
      </c>
      <c r="B129" s="2574" t="s">
        <v>1051</v>
      </c>
      <c r="C129" s="2517">
        <v>0.04</v>
      </c>
      <c r="D129" s="2571" t="s">
        <v>434</v>
      </c>
      <c r="E129" s="4387">
        <f>+'11.3. ДА Базова година'!H109</f>
        <v>21</v>
      </c>
      <c r="F129" s="2617">
        <f>E129+SUMIF('11.1.Амортиз.нови активи'!$B$12:$B$59,$B129,'11.1.Амортиз.нови активи'!F$12:F$59)+('9.Инвестиционна програма'!H$130*SUMIF('11.1.Амортиз.нови активи'!$B$12:$B$59,$B129,'11.1.Амортиз.нови активи'!AO$12:AO$59))</f>
        <v>21</v>
      </c>
      <c r="G129" s="1110">
        <f>F129+SUMIF('11.1.Амортиз.нови активи'!$B$12:$B$59,$B129,'11.1.Амортиз.нови активи'!G$12:G$59)+('9.Инвестиционна програма'!I$130*SUMIF('11.1.Амортиз.нови активи'!$B$12:$B$59,$B129,'11.1.Амортиз.нови активи'!AP$12:AP$59))</f>
        <v>21</v>
      </c>
      <c r="H129" s="1110">
        <f>G129+SUMIF('11.1.Амортиз.нови активи'!$B$12:$B$59,$B129,'11.1.Амортиз.нови активи'!H$12:H$59)+('9.Инвестиционна програма'!J$130*SUMIF('11.1.Амортиз.нови активи'!$B$12:$B$59,$B129,'11.1.Амортиз.нови активи'!AQ$12:AQ$59))</f>
        <v>21</v>
      </c>
      <c r="I129" s="1110">
        <f>H129+SUMIF('11.1.Амортиз.нови активи'!$B$12:$B$59,$B129,'11.1.Амортиз.нови активи'!I$12:I$59)+('9.Инвестиционна програма'!K$130*SUMIF('11.1.Амортиз.нови активи'!$B$12:$B$59,$B129,'11.1.Амортиз.нови активи'!AR$12:AR$59))</f>
        <v>21</v>
      </c>
      <c r="J129" s="1110">
        <f>I129+SUMIF('11.1.Амортиз.нови активи'!$B$12:$B$59,$B129,'11.1.Амортиз.нови активи'!J$12:J$59)+('9.Инвестиционна програма'!L$130*SUMIF('11.1.Амортиз.нови активи'!$B$12:$B$59,$B129,'11.1.Амортиз.нови активи'!AS$12:AS$59))</f>
        <v>21</v>
      </c>
      <c r="K129" s="2618">
        <f>J129+SUMIF('11.1.Амортиз.нови активи'!$B$12:$B$59,$B129,'11.1.Амортиз.нови активи'!K$12:K$59)+('9.Инвестиционна програма'!M$130*SUMIF('11.1.Амортиз.нови активи'!$B$12:$B$59,$B129,'11.1.Амортиз.нови активи'!AT$12:AT$59))</f>
        <v>21</v>
      </c>
      <c r="L129" s="4387">
        <f>+'11.3. ДА Базова година'!L109</f>
        <v>0</v>
      </c>
      <c r="M129" s="2617">
        <f>L129+SUMIF('11.1.Амортиз.нови активи'!$B$12:$B$59,$B129,'11.1.Амортиз.нови активи'!M$12:M$59)+('9.Инвестиционна програма'!H$131*SUMIF('11.1.Амортиз.нови активи'!$B$12:$B$59,$B129,'11.1.Амортиз.нови активи'!AO$12:AO$59))</f>
        <v>0</v>
      </c>
      <c r="N129" s="1110">
        <f>M129+SUMIF('11.1.Амортиз.нови активи'!$B$12:$B$59,$B129,'11.1.Амортиз.нови активи'!N$12:N$59)+('9.Инвестиционна програма'!I$131*SUMIF('11.1.Амортиз.нови активи'!$B$12:$B$59,$B129,'11.1.Амортиз.нови активи'!AP$12:AP$59))</f>
        <v>0</v>
      </c>
      <c r="O129" s="1110">
        <f>N129+SUMIF('11.1.Амортиз.нови активи'!$B$12:$B$59,$B129,'11.1.Амортиз.нови активи'!O$12:O$59)+('9.Инвестиционна програма'!J$131*SUMIF('11.1.Амортиз.нови активи'!$B$12:$B$59,$B129,'11.1.Амортиз.нови активи'!AQ$12:AQ$59))</f>
        <v>0</v>
      </c>
      <c r="P129" s="1110">
        <f>O129+SUMIF('11.1.Амортиз.нови активи'!$B$12:$B$59,$B129,'11.1.Амортиз.нови активи'!P$12:P$59)+('9.Инвестиционна програма'!K$131*SUMIF('11.1.Амортиз.нови активи'!$B$12:$B$59,$B129,'11.1.Амортиз.нови активи'!AR$12:AR$59))</f>
        <v>0</v>
      </c>
      <c r="Q129" s="1110">
        <f>P129+SUMIF('11.1.Амортиз.нови активи'!$B$12:$B$59,$B129,'11.1.Амортиз.нови активи'!Q$12:Q$59)+('9.Инвестиционна програма'!L$131*SUMIF('11.1.Амортиз.нови активи'!$B$12:$B$59,$B129,'11.1.Амортиз.нови активи'!AS$12:AS$59))</f>
        <v>0</v>
      </c>
      <c r="R129" s="2618">
        <f>Q129+SUMIF('11.1.Амортиз.нови активи'!$B$12:$B$59,$B129,'11.1.Амортиз.нови активи'!R$12:R$59)+('9.Инвестиционна програма'!M$131*SUMIF('11.1.Амортиз.нови активи'!$B$12:$B$59,$B129,'11.1.Амортиз.нови активи'!AT$12:AT$59))</f>
        <v>0</v>
      </c>
      <c r="S129" s="4387">
        <f>+'11.3. ДА Базова година'!P109</f>
        <v>12</v>
      </c>
      <c r="T129" s="2617">
        <f>S129+SUMIF('11.1.Амортиз.нови активи'!$B$12:$B$59,$B129,'11.1.Амортиз.нови активи'!T$12:T$59)+('9.Инвестиционна програма'!H$132*SUMIF('11.1.Амортиз.нови активи'!$B$12:$B$59,$B129,'11.1.Амортиз.нови активи'!AO$12:AO$59))</f>
        <v>12</v>
      </c>
      <c r="U129" s="1110">
        <f>T129+SUMIF('11.1.Амортиз.нови активи'!$B$12:$B$59,$B129,'11.1.Амортиз.нови активи'!U$12:U$59)+('9.Инвестиционна програма'!I$132*SUMIF('11.1.Амортиз.нови активи'!$B$12:$B$59,$B129,'11.1.Амортиз.нови активи'!AP$12:AP$59))</f>
        <v>12</v>
      </c>
      <c r="V129" s="1110">
        <f>U129+SUMIF('11.1.Амортиз.нови активи'!$B$12:$B$59,$B129,'11.1.Амортиз.нови активи'!V$12:V$59)+('9.Инвестиционна програма'!J$132*SUMIF('11.1.Амортиз.нови активи'!$B$12:$B$59,$B129,'11.1.Амортиз.нови активи'!AQ$12:AQ$59))</f>
        <v>12</v>
      </c>
      <c r="W129" s="1110">
        <f>V129+SUMIF('11.1.Амортиз.нови активи'!$B$12:$B$59,$B129,'11.1.Амортиз.нови активи'!W$12:W$59)+('9.Инвестиционна програма'!K$132*SUMIF('11.1.Амортиз.нови активи'!$B$12:$B$59,$B129,'11.1.Амортиз.нови активи'!AR$12:AR$59))</f>
        <v>12</v>
      </c>
      <c r="X129" s="1110">
        <f>W129+SUMIF('11.1.Амортиз.нови активи'!$B$12:$B$59,$B129,'11.1.Амортиз.нови активи'!X$12:X$59)+('9.Инвестиционна програма'!L$132*SUMIF('11.1.Амортиз.нови активи'!$B$12:$B$59,$B129,'11.1.Амортиз.нови активи'!AS$12:AS$59))</f>
        <v>12</v>
      </c>
      <c r="Y129" s="2618">
        <f>X129+SUMIF('11.1.Амортиз.нови активи'!$B$12:$B$59,$B129,'11.1.Амортиз.нови активи'!Y$12:Y$59)+('9.Инвестиционна програма'!M$132*SUMIF('11.1.Амортиз.нови активи'!$B$12:$B$59,$B129,'11.1.Амортиз.нови активи'!AT$12:AT$59))</f>
        <v>12</v>
      </c>
      <c r="Z129" s="4387">
        <f>+'11.3. ДА Базова година'!T109</f>
        <v>0</v>
      </c>
      <c r="AA129" s="2617">
        <f>Z129+SUMIF('11.1.Амортиз.нови активи'!$B$12:$B$59,$B129,'11.1.Амортиз.нови активи'!AA$12:AA$59)</f>
        <v>0</v>
      </c>
      <c r="AB129" s="1110">
        <f>AA129+SUMIF('11.1.Амортиз.нови активи'!$B$12:$B$59,$B129,'11.1.Амортиз.нови активи'!AB$12:AB$59)</f>
        <v>0</v>
      </c>
      <c r="AC129" s="1110">
        <f>AB129+SUMIF('11.1.Амортиз.нови активи'!$B$12:$B$59,$B129,'11.1.Амортиз.нови активи'!AC$12:AC$59)</f>
        <v>0</v>
      </c>
      <c r="AD129" s="1110">
        <f>AC129+SUMIF('11.1.Амортиз.нови активи'!$B$12:$B$59,$B129,'11.1.Амортиз.нови активи'!AD$12:AD$59)</f>
        <v>0</v>
      </c>
      <c r="AE129" s="1110">
        <f>AD129+SUMIF('11.1.Амортиз.нови активи'!$B$12:$B$59,$B129,'11.1.Амортиз.нови активи'!AE$12:AE$59)</f>
        <v>0</v>
      </c>
      <c r="AF129" s="2618">
        <f>AE129+SUMIF('11.1.Амортиз.нови активи'!$B$12:$B$59,$B129,'11.1.Амортиз.нови активи'!AF$12:AF$59)</f>
        <v>0</v>
      </c>
      <c r="AG129" s="4387">
        <f>+'11.3. ДА Базова година'!X109</f>
        <v>0</v>
      </c>
      <c r="AH129" s="2617">
        <f>AG129+SUMIF('11.1.Амортиз.нови активи'!$B$12:$B$59,$B129,'11.1.Амортиз.нови активи'!AH$12:AH$59)</f>
        <v>0</v>
      </c>
      <c r="AI129" s="1110">
        <f>AH129+SUMIF('11.1.Амортиз.нови активи'!$B$12:$B$59,$B129,'11.1.Амортиз.нови активи'!AI$12:AI$59)</f>
        <v>0</v>
      </c>
      <c r="AJ129" s="1110">
        <f>AI129+SUMIF('11.1.Амортиз.нови активи'!$B$12:$B$59,$B129,'11.1.Амортиз.нови активи'!AJ$12:AJ$59)</f>
        <v>0</v>
      </c>
      <c r="AK129" s="1110">
        <f>AJ129+SUMIF('11.1.Амортиз.нови активи'!$B$12:$B$59,$B129,'11.1.Амортиз.нови активи'!AK$12:AK$59)</f>
        <v>0</v>
      </c>
      <c r="AL129" s="1110">
        <f>AK129+SUMIF('11.1.Амортиз.нови активи'!$B$12:$B$59,$B129,'11.1.Амортиз.нови активи'!AL$12:AL$59)</f>
        <v>0</v>
      </c>
      <c r="AM129" s="2618">
        <f>AL129+SUMIF('11.1.Амортиз.нови активи'!$B$12:$B$59,$B129,'11.1.Амортиз.нови активи'!AM$12:AM$59)</f>
        <v>0</v>
      </c>
      <c r="AN129" s="2513"/>
      <c r="AO129" s="2551"/>
      <c r="AP129" s="4422"/>
      <c r="AQ129" s="4438">
        <f t="shared" si="174"/>
        <v>10.737129505120588</v>
      </c>
      <c r="AR129" s="4438">
        <f t="shared" si="175"/>
        <v>10.737129505120588</v>
      </c>
      <c r="AS129" s="4438">
        <f t="shared" si="176"/>
        <v>10.737129505120588</v>
      </c>
      <c r="AT129" s="4438">
        <f t="shared" si="177"/>
        <v>10.737129505120588</v>
      </c>
      <c r="AU129" s="4438">
        <f t="shared" si="178"/>
        <v>10.737129505120588</v>
      </c>
      <c r="AV129" s="4438">
        <f t="shared" si="179"/>
        <v>10.737129505120588</v>
      </c>
      <c r="AW129" s="4438">
        <f t="shared" si="180"/>
        <v>10.737129505120588</v>
      </c>
      <c r="AX129" s="4438">
        <f t="shared" si="181"/>
        <v>0</v>
      </c>
      <c r="AY129" s="4438">
        <f t="shared" si="182"/>
        <v>0</v>
      </c>
      <c r="AZ129" s="4438">
        <f t="shared" si="183"/>
        <v>0</v>
      </c>
      <c r="BA129" s="4438">
        <f t="shared" si="184"/>
        <v>0</v>
      </c>
      <c r="BB129" s="4438">
        <f t="shared" si="185"/>
        <v>0</v>
      </c>
      <c r="BC129" s="4438">
        <f t="shared" si="186"/>
        <v>0</v>
      </c>
      <c r="BD129" s="4438">
        <f t="shared" si="187"/>
        <v>0</v>
      </c>
      <c r="BE129" s="4438">
        <f t="shared" si="188"/>
        <v>6.1355025743546223</v>
      </c>
      <c r="BF129" s="4438">
        <f t="shared" si="189"/>
        <v>6.1355025743546223</v>
      </c>
      <c r="BG129" s="4438">
        <f t="shared" si="190"/>
        <v>6.1355025743546223</v>
      </c>
      <c r="BH129" s="4438">
        <f t="shared" si="191"/>
        <v>6.1355025743546223</v>
      </c>
      <c r="BI129" s="4438">
        <f t="shared" si="192"/>
        <v>6.1355025743546223</v>
      </c>
      <c r="BJ129" s="4438">
        <f t="shared" si="193"/>
        <v>6.1355025743546223</v>
      </c>
      <c r="BK129" s="4438">
        <f t="shared" si="194"/>
        <v>6.1355025743546223</v>
      </c>
      <c r="BL129" s="4438">
        <f t="shared" si="195"/>
        <v>0</v>
      </c>
      <c r="BM129" s="4438">
        <f t="shared" si="196"/>
        <v>0</v>
      </c>
      <c r="BN129" s="4438">
        <f t="shared" si="197"/>
        <v>0</v>
      </c>
      <c r="BO129" s="4438">
        <f t="shared" si="198"/>
        <v>0</v>
      </c>
      <c r="BP129" s="4438">
        <f t="shared" si="199"/>
        <v>0</v>
      </c>
      <c r="BQ129" s="4438">
        <f t="shared" si="200"/>
        <v>0</v>
      </c>
      <c r="BR129" s="4438">
        <f t="shared" si="201"/>
        <v>0</v>
      </c>
      <c r="BS129" s="4438">
        <f t="shared" si="202"/>
        <v>0</v>
      </c>
      <c r="BT129" s="4438">
        <f t="shared" si="203"/>
        <v>0</v>
      </c>
      <c r="BU129" s="4438">
        <f t="shared" si="204"/>
        <v>0</v>
      </c>
      <c r="BV129" s="4438">
        <f t="shared" si="205"/>
        <v>0</v>
      </c>
      <c r="BW129" s="4438">
        <f t="shared" si="206"/>
        <v>0</v>
      </c>
      <c r="BX129" s="4438">
        <f t="shared" si="207"/>
        <v>0</v>
      </c>
      <c r="BY129" s="4438">
        <f t="shared" si="208"/>
        <v>0</v>
      </c>
    </row>
    <row r="130" spans="1:77" s="1292" customFormat="1" ht="24.75" thickBot="1">
      <c r="A130" s="2573">
        <v>19</v>
      </c>
      <c r="B130" s="2516">
        <v>215</v>
      </c>
      <c r="C130" s="2522">
        <v>0.2</v>
      </c>
      <c r="D130" s="2552" t="s">
        <v>679</v>
      </c>
      <c r="E130" s="4387">
        <f>+'11.3. ДА Базова година'!H110</f>
        <v>0</v>
      </c>
      <c r="F130" s="2634">
        <f>E130+SUMIF('11.1.Амортиз.нови активи'!$B$12:$B$59,$B130,'11.1.Амортиз.нови активи'!F$12:F$59)+('9.Инвестиционна програма'!H$130*SUMIF('11.1.Амортиз.нови активи'!$B$12:$B$59,$B130,'11.1.Амортиз.нови активи'!AO$12:AO$59))</f>
        <v>15</v>
      </c>
      <c r="G130" s="1112">
        <f>F130+SUMIF('11.1.Амортиз.нови активи'!$B$12:$B$59,$B130,'11.1.Амортиз.нови активи'!G$12:G$59)+('9.Инвестиционна програма'!I$130*SUMIF('11.1.Амортиз.нови активи'!$B$12:$B$59,$B130,'11.1.Амортиз.нови активи'!AP$12:AP$59))</f>
        <v>15</v>
      </c>
      <c r="H130" s="1112">
        <f>G130+SUMIF('11.1.Амортиз.нови активи'!$B$12:$B$59,$B130,'11.1.Амортиз.нови активи'!H$12:H$59)+('9.Инвестиционна програма'!J$130*SUMIF('11.1.Амортиз.нови активи'!$B$12:$B$59,$B130,'11.1.Амортиз.нови активи'!AQ$12:AQ$59))</f>
        <v>15</v>
      </c>
      <c r="I130" s="1112">
        <f>H130+SUMIF('11.1.Амортиз.нови активи'!$B$12:$B$59,$B130,'11.1.Амортиз.нови активи'!I$12:I$59)+('9.Инвестиционна програма'!K$130*SUMIF('11.1.Амортиз.нови активи'!$B$12:$B$59,$B130,'11.1.Амортиз.нови активи'!AR$12:AR$59))</f>
        <v>15</v>
      </c>
      <c r="J130" s="1112">
        <f>I130+SUMIF('11.1.Амортиз.нови активи'!$B$12:$B$59,$B130,'11.1.Амортиз.нови активи'!J$12:J$59)+('9.Инвестиционна програма'!L$130*SUMIF('11.1.Амортиз.нови активи'!$B$12:$B$59,$B130,'11.1.Амортиз.нови активи'!AS$12:AS$59))</f>
        <v>15</v>
      </c>
      <c r="K130" s="2635">
        <f>J130+SUMIF('11.1.Амортиз.нови активи'!$B$12:$B$59,$B130,'11.1.Амортиз.нови активи'!K$12:K$59)+('9.Инвестиционна програма'!M$130*SUMIF('11.1.Амортиз.нови активи'!$B$12:$B$59,$B130,'11.1.Амортиз.нови активи'!AT$12:AT$59))</f>
        <v>15</v>
      </c>
      <c r="L130" s="4387">
        <f>+'11.3. ДА Базова година'!L110</f>
        <v>0</v>
      </c>
      <c r="M130" s="2634">
        <f>L130+SUMIF('11.1.Амортиз.нови активи'!$B$12:$B$59,$B130,'11.1.Амортиз.нови активи'!M$12:M$59)+('9.Инвестиционна програма'!H$131*SUMIF('11.1.Амортиз.нови активи'!$B$12:$B$59,$B130,'11.1.Амортиз.нови активи'!AO$12:AO$59))</f>
        <v>25</v>
      </c>
      <c r="N130" s="1112">
        <f>M130+SUMIF('11.1.Амортиз.нови активи'!$B$12:$B$59,$B130,'11.1.Амортиз.нови активи'!N$12:N$59)+('9.Инвестиционна програма'!I$131*SUMIF('11.1.Амортиз.нови активи'!$B$12:$B$59,$B130,'11.1.Амортиз.нови активи'!AP$12:AP$59))</f>
        <v>25</v>
      </c>
      <c r="O130" s="1112">
        <f>N130+SUMIF('11.1.Амортиз.нови активи'!$B$12:$B$59,$B130,'11.1.Амортиз.нови активи'!O$12:O$59)+('9.Инвестиционна програма'!J$131*SUMIF('11.1.Амортиз.нови активи'!$B$12:$B$59,$B130,'11.1.Амортиз.нови активи'!AQ$12:AQ$59))</f>
        <v>25</v>
      </c>
      <c r="P130" s="1112">
        <f>O130+SUMIF('11.1.Амортиз.нови активи'!$B$12:$B$59,$B130,'11.1.Амортиз.нови активи'!P$12:P$59)+('9.Инвестиционна програма'!K$131*SUMIF('11.1.Амортиз.нови активи'!$B$12:$B$59,$B130,'11.1.Амортиз.нови активи'!AR$12:AR$59))</f>
        <v>25</v>
      </c>
      <c r="Q130" s="1112">
        <f>P130+SUMIF('11.1.Амортиз.нови активи'!$B$12:$B$59,$B130,'11.1.Амортиз.нови активи'!Q$12:Q$59)+('9.Инвестиционна програма'!L$131*SUMIF('11.1.Амортиз.нови активи'!$B$12:$B$59,$B130,'11.1.Амортиз.нови активи'!AS$12:AS$59))</f>
        <v>25</v>
      </c>
      <c r="R130" s="2635">
        <f>Q130+SUMIF('11.1.Амортиз.нови активи'!$B$12:$B$59,$B130,'11.1.Амортиз.нови активи'!R$12:R$59)+('9.Инвестиционна програма'!M$131*SUMIF('11.1.Амортиз.нови активи'!$B$12:$B$59,$B130,'11.1.Амортиз.нови активи'!AT$12:AT$59))</f>
        <v>25</v>
      </c>
      <c r="S130" s="4387">
        <f>+'11.3. ДА Базова година'!P110</f>
        <v>0</v>
      </c>
      <c r="T130" s="2634">
        <f>S130+SUMIF('11.1.Амортиз.нови активи'!$B$12:$B$59,$B130,'11.1.Амортиз.нови активи'!T$12:T$59)+('9.Инвестиционна програма'!H$132*SUMIF('11.1.Амортиз.нови активи'!$B$12:$B$59,$B130,'11.1.Амортиз.нови активи'!AO$12:AO$59))</f>
        <v>5</v>
      </c>
      <c r="U130" s="1112">
        <f>T130+SUMIF('11.1.Амортиз.нови активи'!$B$12:$B$59,$B130,'11.1.Амортиз.нови активи'!U$12:U$59)+('9.Инвестиционна програма'!I$132*SUMIF('11.1.Амортиз.нови активи'!$B$12:$B$59,$B130,'11.1.Амортиз.нови активи'!AP$12:AP$59))</f>
        <v>5</v>
      </c>
      <c r="V130" s="1112">
        <f>U130+SUMIF('11.1.Амортиз.нови активи'!$B$12:$B$59,$B130,'11.1.Амортиз.нови активи'!V$12:V$59)+('9.Инвестиционна програма'!J$132*SUMIF('11.1.Амортиз.нови активи'!$B$12:$B$59,$B130,'11.1.Амортиз.нови активи'!AQ$12:AQ$59))</f>
        <v>5</v>
      </c>
      <c r="W130" s="1112">
        <f>V130+SUMIF('11.1.Амортиз.нови активи'!$B$12:$B$59,$B130,'11.1.Амортиз.нови активи'!W$12:W$59)+('9.Инвестиционна програма'!K$132*SUMIF('11.1.Амортиз.нови активи'!$B$12:$B$59,$B130,'11.1.Амортиз.нови активи'!AR$12:AR$59))</f>
        <v>5</v>
      </c>
      <c r="X130" s="1112">
        <f>W130+SUMIF('11.1.Амортиз.нови активи'!$B$12:$B$59,$B130,'11.1.Амортиз.нови активи'!X$12:X$59)+('9.Инвестиционна програма'!L$132*SUMIF('11.1.Амортиз.нови активи'!$B$12:$B$59,$B130,'11.1.Амортиз.нови активи'!AS$12:AS$59))</f>
        <v>5</v>
      </c>
      <c r="Y130" s="2635">
        <f>X130+SUMIF('11.1.Амортиз.нови активи'!$B$12:$B$59,$B130,'11.1.Амортиз.нови активи'!Y$12:Y$59)+('9.Инвестиционна програма'!M$132*SUMIF('11.1.Амортиз.нови активи'!$B$12:$B$59,$B130,'11.1.Амортиз.нови активи'!AT$12:AT$59))</f>
        <v>5</v>
      </c>
      <c r="Z130" s="4387">
        <f>+'11.3. ДА Базова година'!T110</f>
        <v>0</v>
      </c>
      <c r="AA130" s="2634">
        <f>Z130+SUMIF('11.1.Амортиз.нови активи'!$B$12:$B$59,$B130,'11.1.Амортиз.нови активи'!AA$12:AA$59)</f>
        <v>0</v>
      </c>
      <c r="AB130" s="1112">
        <f>AA130+SUMIF('11.1.Амортиз.нови активи'!$B$12:$B$59,$B130,'11.1.Амортиз.нови активи'!AB$12:AB$59)</f>
        <v>0</v>
      </c>
      <c r="AC130" s="1112">
        <f>AB130+SUMIF('11.1.Амортиз.нови активи'!$B$12:$B$59,$B130,'11.1.Амортиз.нови активи'!AC$12:AC$59)</f>
        <v>0</v>
      </c>
      <c r="AD130" s="1112">
        <f>AC130+SUMIF('11.1.Амортиз.нови активи'!$B$12:$B$59,$B130,'11.1.Амортиз.нови активи'!AD$12:AD$59)</f>
        <v>0</v>
      </c>
      <c r="AE130" s="1112">
        <f>AD130+SUMIF('11.1.Амортиз.нови активи'!$B$12:$B$59,$B130,'11.1.Амортиз.нови активи'!AE$12:AE$59)</f>
        <v>0</v>
      </c>
      <c r="AF130" s="2635">
        <f>AE130+SUMIF('11.1.Амортиз.нови активи'!$B$12:$B$59,$B130,'11.1.Амортиз.нови активи'!AF$12:AF$59)</f>
        <v>0</v>
      </c>
      <c r="AG130" s="4387">
        <f>+'11.3. ДА Базова година'!X110</f>
        <v>0</v>
      </c>
      <c r="AH130" s="2634">
        <f>AG130+SUMIF('11.1.Амортиз.нови активи'!$B$12:$B$59,$B130,'11.1.Амортиз.нови активи'!AH$12:AH$59)</f>
        <v>0</v>
      </c>
      <c r="AI130" s="1112">
        <f>AH130+SUMIF('11.1.Амортиз.нови активи'!$B$12:$B$59,$B130,'11.1.Амортиз.нови активи'!AI$12:AI$59)</f>
        <v>0</v>
      </c>
      <c r="AJ130" s="1112">
        <f>AI130+SUMIF('11.1.Амортиз.нови активи'!$B$12:$B$59,$B130,'11.1.Амортиз.нови активи'!AJ$12:AJ$59)</f>
        <v>0</v>
      </c>
      <c r="AK130" s="1112">
        <f>AJ130+SUMIF('11.1.Амортиз.нови активи'!$B$12:$B$59,$B130,'11.1.Амортиз.нови активи'!AK$12:AK$59)</f>
        <v>0</v>
      </c>
      <c r="AL130" s="1112">
        <f>AK130+SUMIF('11.1.Амортиз.нови активи'!$B$12:$B$59,$B130,'11.1.Амортиз.нови активи'!AL$12:AL$59)</f>
        <v>0</v>
      </c>
      <c r="AM130" s="2635">
        <f>AL130+SUMIF('11.1.Амортиз.нови активи'!$B$12:$B$59,$B130,'11.1.Амортиз.нови активи'!AM$12:AM$59)</f>
        <v>0</v>
      </c>
      <c r="AN130" s="2513"/>
      <c r="AO130" s="2551"/>
      <c r="AP130" s="4422"/>
      <c r="AQ130" s="4438">
        <f t="shared" si="174"/>
        <v>0</v>
      </c>
      <c r="AR130" s="4438">
        <f t="shared" si="175"/>
        <v>7.6693782179432777</v>
      </c>
      <c r="AS130" s="4438">
        <f t="shared" si="176"/>
        <v>7.6693782179432777</v>
      </c>
      <c r="AT130" s="4438">
        <f t="shared" si="177"/>
        <v>7.6693782179432777</v>
      </c>
      <c r="AU130" s="4438">
        <f t="shared" si="178"/>
        <v>7.6693782179432777</v>
      </c>
      <c r="AV130" s="4438">
        <f t="shared" si="179"/>
        <v>7.6693782179432777</v>
      </c>
      <c r="AW130" s="4438">
        <f t="shared" si="180"/>
        <v>7.6693782179432777</v>
      </c>
      <c r="AX130" s="4438">
        <f t="shared" si="181"/>
        <v>0</v>
      </c>
      <c r="AY130" s="4438">
        <f t="shared" si="182"/>
        <v>12.782297029905463</v>
      </c>
      <c r="AZ130" s="4438">
        <f t="shared" si="183"/>
        <v>12.782297029905463</v>
      </c>
      <c r="BA130" s="4438">
        <f t="shared" si="184"/>
        <v>12.782297029905463</v>
      </c>
      <c r="BB130" s="4438">
        <f t="shared" si="185"/>
        <v>12.782297029905463</v>
      </c>
      <c r="BC130" s="4438">
        <f t="shared" si="186"/>
        <v>12.782297029905463</v>
      </c>
      <c r="BD130" s="4438">
        <f t="shared" si="187"/>
        <v>12.782297029905463</v>
      </c>
      <c r="BE130" s="4438">
        <f t="shared" si="188"/>
        <v>0</v>
      </c>
      <c r="BF130" s="4438">
        <f t="shared" si="189"/>
        <v>2.5564594059810926</v>
      </c>
      <c r="BG130" s="4438">
        <f t="shared" si="190"/>
        <v>2.5564594059810926</v>
      </c>
      <c r="BH130" s="4438">
        <f t="shared" si="191"/>
        <v>2.5564594059810926</v>
      </c>
      <c r="BI130" s="4438">
        <f t="shared" si="192"/>
        <v>2.5564594059810926</v>
      </c>
      <c r="BJ130" s="4438">
        <f t="shared" si="193"/>
        <v>2.5564594059810926</v>
      </c>
      <c r="BK130" s="4438">
        <f t="shared" si="194"/>
        <v>2.5564594059810926</v>
      </c>
      <c r="BL130" s="4438">
        <f t="shared" si="195"/>
        <v>0</v>
      </c>
      <c r="BM130" s="4438">
        <f t="shared" si="196"/>
        <v>0</v>
      </c>
      <c r="BN130" s="4438">
        <f t="shared" si="197"/>
        <v>0</v>
      </c>
      <c r="BO130" s="4438">
        <f t="shared" si="198"/>
        <v>0</v>
      </c>
      <c r="BP130" s="4438">
        <f t="shared" si="199"/>
        <v>0</v>
      </c>
      <c r="BQ130" s="4438">
        <f t="shared" si="200"/>
        <v>0</v>
      </c>
      <c r="BR130" s="4438">
        <f t="shared" si="201"/>
        <v>0</v>
      </c>
      <c r="BS130" s="4438">
        <f t="shared" si="202"/>
        <v>0</v>
      </c>
      <c r="BT130" s="4438">
        <f t="shared" si="203"/>
        <v>0</v>
      </c>
      <c r="BU130" s="4438">
        <f t="shared" si="204"/>
        <v>0</v>
      </c>
      <c r="BV130" s="4438">
        <f t="shared" si="205"/>
        <v>0</v>
      </c>
      <c r="BW130" s="4438">
        <f t="shared" si="206"/>
        <v>0</v>
      </c>
      <c r="BX130" s="4438">
        <f t="shared" si="207"/>
        <v>0</v>
      </c>
      <c r="BY130" s="4438">
        <f t="shared" si="208"/>
        <v>0</v>
      </c>
    </row>
    <row r="131" spans="1:77" s="1292" customFormat="1" ht="13.5" thickBot="1">
      <c r="A131" s="3685" t="s">
        <v>206</v>
      </c>
      <c r="B131" s="2539"/>
      <c r="C131" s="2539"/>
      <c r="D131" s="2502" t="s">
        <v>218</v>
      </c>
      <c r="E131" s="1220">
        <f t="shared" ref="E131" si="209">SUM(E132:E150)</f>
        <v>306</v>
      </c>
      <c r="F131" s="2632">
        <f t="shared" ref="F131:AM131" si="210">SUM(F132:F150)</f>
        <v>395.95945312500004</v>
      </c>
      <c r="G131" s="1121">
        <f t="shared" si="210"/>
        <v>557.78384516617064</v>
      </c>
      <c r="H131" s="1121">
        <f t="shared" si="210"/>
        <v>827.83516164315643</v>
      </c>
      <c r="I131" s="1122">
        <f t="shared" si="210"/>
        <v>1149.4192322207678</v>
      </c>
      <c r="J131" s="1121">
        <f t="shared" si="210"/>
        <v>1356.0780045234512</v>
      </c>
      <c r="K131" s="1121">
        <f t="shared" si="210"/>
        <v>1461.0951794967566</v>
      </c>
      <c r="L131" s="1220">
        <f t="shared" si="210"/>
        <v>26</v>
      </c>
      <c r="M131" s="2632">
        <f t="shared" si="210"/>
        <v>35.372031250000006</v>
      </c>
      <c r="N131" s="1121">
        <f t="shared" si="210"/>
        <v>57.917716880257544</v>
      </c>
      <c r="O131" s="1121">
        <f t="shared" si="210"/>
        <v>100.00904484736972</v>
      </c>
      <c r="P131" s="1122">
        <f t="shared" si="210"/>
        <v>149.43960943732924</v>
      </c>
      <c r="Q131" s="1121">
        <f t="shared" si="210"/>
        <v>176.12603401038271</v>
      </c>
      <c r="R131" s="1121">
        <f t="shared" si="210"/>
        <v>180.12337770303222</v>
      </c>
      <c r="S131" s="1220">
        <f t="shared" si="210"/>
        <v>44</v>
      </c>
      <c r="T131" s="2632">
        <f t="shared" si="210"/>
        <v>53.613515625000005</v>
      </c>
      <c r="U131" s="1121">
        <f t="shared" si="210"/>
        <v>82.981060313571732</v>
      </c>
      <c r="V131" s="1121">
        <f t="shared" si="210"/>
        <v>169.71128294947394</v>
      </c>
      <c r="W131" s="1122">
        <f t="shared" si="210"/>
        <v>280.70713722190305</v>
      </c>
      <c r="X131" s="1121">
        <f t="shared" si="210"/>
        <v>339.43718506616591</v>
      </c>
      <c r="Y131" s="2633">
        <f t="shared" si="210"/>
        <v>349.97266640021132</v>
      </c>
      <c r="Z131" s="1220">
        <f t="shared" si="210"/>
        <v>0</v>
      </c>
      <c r="AA131" s="2632">
        <f t="shared" si="210"/>
        <v>0</v>
      </c>
      <c r="AB131" s="1121">
        <f t="shared" si="210"/>
        <v>0</v>
      </c>
      <c r="AC131" s="1121">
        <f t="shared" si="210"/>
        <v>0</v>
      </c>
      <c r="AD131" s="1122">
        <f t="shared" si="210"/>
        <v>0</v>
      </c>
      <c r="AE131" s="1121">
        <f t="shared" si="210"/>
        <v>0</v>
      </c>
      <c r="AF131" s="2633">
        <f t="shared" si="210"/>
        <v>0</v>
      </c>
      <c r="AG131" s="1220">
        <f t="shared" si="210"/>
        <v>0</v>
      </c>
      <c r="AH131" s="2632">
        <f t="shared" si="210"/>
        <v>0</v>
      </c>
      <c r="AI131" s="1121">
        <f t="shared" si="210"/>
        <v>0</v>
      </c>
      <c r="AJ131" s="1121">
        <f t="shared" si="210"/>
        <v>0</v>
      </c>
      <c r="AK131" s="1122">
        <f t="shared" si="210"/>
        <v>0</v>
      </c>
      <c r="AL131" s="1121">
        <f t="shared" si="210"/>
        <v>0</v>
      </c>
      <c r="AM131" s="2633">
        <f t="shared" si="210"/>
        <v>0</v>
      </c>
      <c r="AN131" s="2508"/>
      <c r="AO131" s="2551"/>
      <c r="AP131" s="4422"/>
      <c r="AQ131" s="4438">
        <f t="shared" si="174"/>
        <v>156.45531564604286</v>
      </c>
      <c r="AR131" s="4438">
        <f t="shared" si="175"/>
        <v>202.45085366570717</v>
      </c>
      <c r="AS131" s="4438">
        <f t="shared" si="176"/>
        <v>285.19035149587165</v>
      </c>
      <c r="AT131" s="4438">
        <f t="shared" si="177"/>
        <v>423.26539711690509</v>
      </c>
      <c r="AU131" s="4438">
        <f t="shared" si="178"/>
        <v>587.68872152526944</v>
      </c>
      <c r="AV131" s="4438">
        <f t="shared" si="179"/>
        <v>693.35167398160945</v>
      </c>
      <c r="AW131" s="4438">
        <f t="shared" si="180"/>
        <v>747.04610293162318</v>
      </c>
      <c r="AX131" s="4438">
        <f t="shared" si="181"/>
        <v>13.293588911101681</v>
      </c>
      <c r="AY131" s="4438">
        <f t="shared" si="182"/>
        <v>18.085432399543933</v>
      </c>
      <c r="AZ131" s="4438">
        <f t="shared" si="183"/>
        <v>29.612858418296859</v>
      </c>
      <c r="BA131" s="4438">
        <f t="shared" si="184"/>
        <v>51.133812676648645</v>
      </c>
      <c r="BB131" s="4438">
        <f t="shared" si="185"/>
        <v>76.40725903444023</v>
      </c>
      <c r="BC131" s="4438">
        <f t="shared" si="186"/>
        <v>90.051811256797734</v>
      </c>
      <c r="BD131" s="4438">
        <f t="shared" si="187"/>
        <v>92.09562063320034</v>
      </c>
      <c r="BE131" s="4438">
        <f t="shared" si="188"/>
        <v>22.496842772633613</v>
      </c>
      <c r="BF131" s="4438">
        <f t="shared" si="189"/>
        <v>27.412155261449108</v>
      </c>
      <c r="BG131" s="4438">
        <f t="shared" si="190"/>
        <v>42.42754243138296</v>
      </c>
      <c r="BH131" s="4438">
        <f t="shared" si="191"/>
        <v>86.772001119460256</v>
      </c>
      <c r="BI131" s="4438">
        <f t="shared" si="192"/>
        <v>143.52328025539185</v>
      </c>
      <c r="BJ131" s="4438">
        <f t="shared" si="193"/>
        <v>173.55147690042892</v>
      </c>
      <c r="BK131" s="4438">
        <f t="shared" si="194"/>
        <v>178.93818297102067</v>
      </c>
      <c r="BL131" s="4438">
        <f t="shared" si="195"/>
        <v>0</v>
      </c>
      <c r="BM131" s="4438">
        <f t="shared" si="196"/>
        <v>0</v>
      </c>
      <c r="BN131" s="4438">
        <f t="shared" si="197"/>
        <v>0</v>
      </c>
      <c r="BO131" s="4438">
        <f t="shared" si="198"/>
        <v>0</v>
      </c>
      <c r="BP131" s="4438">
        <f t="shared" si="199"/>
        <v>0</v>
      </c>
      <c r="BQ131" s="4438">
        <f t="shared" si="200"/>
        <v>0</v>
      </c>
      <c r="BR131" s="4438">
        <f t="shared" si="201"/>
        <v>0</v>
      </c>
      <c r="BS131" s="4438">
        <f t="shared" si="202"/>
        <v>0</v>
      </c>
      <c r="BT131" s="4438">
        <f t="shared" si="203"/>
        <v>0</v>
      </c>
      <c r="BU131" s="4438">
        <f t="shared" si="204"/>
        <v>0</v>
      </c>
      <c r="BV131" s="4438">
        <f t="shared" si="205"/>
        <v>0</v>
      </c>
      <c r="BW131" s="4438">
        <f t="shared" si="206"/>
        <v>0</v>
      </c>
      <c r="BX131" s="4438">
        <f t="shared" si="207"/>
        <v>0</v>
      </c>
      <c r="BY131" s="4438">
        <f t="shared" si="208"/>
        <v>0</v>
      </c>
    </row>
    <row r="132" spans="1:77" s="1292" customFormat="1">
      <c r="A132" s="2515">
        <v>1</v>
      </c>
      <c r="B132" s="2509">
        <v>20102</v>
      </c>
      <c r="C132" s="2533">
        <v>0</v>
      </c>
      <c r="D132" s="2563" t="s">
        <v>558</v>
      </c>
      <c r="E132" s="4387">
        <f>+'11.3. ДА Базова година'!F112</f>
        <v>0</v>
      </c>
      <c r="F132" s="2617">
        <f>$E132-SUMIF('11.2. ДА за периода'!$B$61:$B$108,$B132,'11.2. ДА за периода'!$E$61:$E$108)+SUMIF('11.2. ДА за периода'!$B$61:$B$108,$B132,'11.2. ДА за периода'!F$61:F$108)+SUMIF('11.1.Амортиз.нови активи'!$B$61:$B$108,$B132,'11.1.Амортиз.нови активи'!F$61:F$108)+('11.1.Амортиз.нови активи'!F$110*SUMIF('11.1.Амортиз.нови активи'!$B$61:$B$108,$B132,'11.1.Амортиз.нови активи'!AO$61:AO$108))</f>
        <v>0</v>
      </c>
      <c r="G132" s="1110">
        <f>$E132-SUMIF('11.2. ДА за периода'!$B$61:$B$108,$B132,'11.2. ДА за периода'!$E$61:$E$108)+SUMIF('11.2. ДА за периода'!$B$61:$B$108,$B132,'11.2. ДА за периода'!G$61:G$108)+SUMIF('11.1.Амортиз.нови активи'!$B$61:$B$108,$B132,'11.1.Амортиз.нови активи'!G$61:G$108)+('11.1.Амортиз.нови активи'!G$110*SUMIF('11.1.Амортиз.нови активи'!$B$61:$B$108,$B132,'11.1.Амортиз.нови активи'!AP$61:AP$108))</f>
        <v>0</v>
      </c>
      <c r="H132" s="1110">
        <f>$E132-SUMIF('11.2. ДА за периода'!$B$61:$B$108,$B132,'11.2. ДА за периода'!$E$61:$E$108)+SUMIF('11.2. ДА за периода'!$B$61:$B$108,$B132,'11.2. ДА за периода'!H$61:H$108)+SUMIF('11.1.Амортиз.нови активи'!$B$61:$B$108,$B132,'11.1.Амортиз.нови активи'!H$61:H$108)+('11.1.Амортиз.нови активи'!H$110*SUMIF('11.1.Амортиз.нови активи'!$B$61:$B$108,$B132,'11.1.Амортиз.нови активи'!AQ$61:AQ$108))</f>
        <v>0</v>
      </c>
      <c r="I132" s="1110">
        <f>$E132-SUMIF('11.2. ДА за периода'!$B$61:$B$108,$B132,'11.2. ДА за периода'!$E$61:$E$108)+SUMIF('11.2. ДА за периода'!$B$61:$B$108,$B132,'11.2. ДА за периода'!I$61:I$108)+SUMIF('11.1.Амортиз.нови активи'!$B$61:$B$108,$B132,'11.1.Амортиз.нови активи'!I$61:I$108)+('11.1.Амортиз.нови активи'!I$110*SUMIF('11.1.Амортиз.нови активи'!$B$61:$B$108,$B132,'11.1.Амортиз.нови активи'!AR$61:AR$108))</f>
        <v>0</v>
      </c>
      <c r="J132" s="1110">
        <f>$E132-SUMIF('11.2. ДА за периода'!$B$61:$B$108,$B132,'11.2. ДА за периода'!$E$61:$E$108)+SUMIF('11.2. ДА за периода'!$B$61:$B$108,$B132,'11.2. ДА за периода'!J$61:J$108)+SUMIF('11.1.Амортиз.нови активи'!$B$61:$B$108,$B132,'11.1.Амортиз.нови активи'!J$61:J$108)+('11.1.Амортиз.нови активи'!J$110*SUMIF('11.1.Амортиз.нови активи'!$B$61:$B$108,$B132,'11.1.Амортиз.нови активи'!AS$61:AS$108))</f>
        <v>0</v>
      </c>
      <c r="K132" s="1110">
        <f>$E132-SUMIF('11.2. ДА за периода'!$B$61:$B$108,$B132,'11.2. ДА за периода'!$E$61:$E$108)+SUMIF('11.2. ДА за периода'!$B$61:$B$108,$B132,'11.2. ДА за периода'!K$61:K$108)+SUMIF('11.1.Амортиз.нови активи'!$B$61:$B$108,$B132,'11.1.Амортиз.нови активи'!K$61:K$108)+('11.1.Амортиз.нови активи'!K$110*SUMIF('11.1.Амортиз.нови активи'!$B$61:$B$108,$B132,'11.1.Амортиз.нови активи'!AT$61:AT$108))</f>
        <v>0</v>
      </c>
      <c r="L132" s="4387">
        <f>+'11.3. ДА Базова година'!J112</f>
        <v>0</v>
      </c>
      <c r="M132" s="2614">
        <f>$L132-SUMIF('11.2. ДА за периода'!$B$61:$B$108,$B132,'11.2. ДА за периода'!$L$61:$L$108)+SUMIF('11.2. ДА за периода'!$B$61:$B$108,$B132,'11.2. ДА за периода'!M$61:M$108)+SUMIF('11.1.Амортиз.нови активи'!$B$61:$B$108,$B132,'11.1.Амортиз.нови активи'!M$61:M$108)+('11.1.Амортиз.нови активи'!F$111*SUMIF('11.1.Амортиз.нови активи'!$B$61:$B$108,$B132,'11.1.Амортиз.нови активи'!AO$61:AO$108))</f>
        <v>0</v>
      </c>
      <c r="N132" s="1119">
        <f>$L132-SUMIF('11.2. ДА за периода'!$B$61:$B$108,$B132,'11.2. ДА за периода'!$L$61:$L$108)+SUMIF('11.2. ДА за периода'!$B$61:$B$108,$B132,'11.2. ДА за периода'!N$61:N$108)+SUMIF('11.1.Амортиз.нови активи'!$B$61:$B$108,$B132,'11.1.Амортиз.нови активи'!N$61:N$108)+('11.1.Амортиз.нови активи'!G$111*SUMIF('11.1.Амортиз.нови активи'!$B$61:$B$108,$B132,'11.1.Амортиз.нови активи'!AP$61:AP$108))</f>
        <v>0</v>
      </c>
      <c r="O132" s="1119">
        <f>$L132-SUMIF('11.2. ДА за периода'!$B$61:$B$108,$B132,'11.2. ДА за периода'!$L$61:$L$108)+SUMIF('11.2. ДА за периода'!$B$61:$B$108,$B132,'11.2. ДА за периода'!O$61:O$108)+SUMIF('11.1.Амортиз.нови активи'!$B$61:$B$108,$B132,'11.1.Амортиз.нови активи'!O$61:O$108)+('11.1.Амортиз.нови активи'!H$111*SUMIF('11.1.Амортиз.нови активи'!$B$61:$B$108,$B132,'11.1.Амортиз.нови активи'!AQ$61:AQ$108))</f>
        <v>0</v>
      </c>
      <c r="P132" s="1119">
        <f>$L132-SUMIF('11.2. ДА за периода'!$B$61:$B$108,$B132,'11.2. ДА за периода'!$L$61:$L$108)+SUMIF('11.2. ДА за периода'!$B$61:$B$108,$B132,'11.2. ДА за периода'!P$61:P$108)+SUMIF('11.1.Амортиз.нови активи'!$B$61:$B$108,$B132,'11.1.Амортиз.нови активи'!P$61:P$108)+('11.1.Амортиз.нови активи'!I$111*SUMIF('11.1.Амортиз.нови активи'!$B$61:$B$108,$B132,'11.1.Амортиз.нови активи'!AR$61:AR$108))</f>
        <v>0</v>
      </c>
      <c r="Q132" s="1119">
        <f>$L132-SUMIF('11.2. ДА за периода'!$B$61:$B$108,$B132,'11.2. ДА за периода'!$L$61:$L$108)+SUMIF('11.2. ДА за периода'!$B$61:$B$108,$B132,'11.2. ДА за периода'!Q$61:Q$108)+SUMIF('11.1.Амортиз.нови активи'!$B$61:$B$108,$B132,'11.1.Амортиз.нови активи'!Q$61:Q$108)+('11.1.Амортиз.нови активи'!J$111*SUMIF('11.1.Амортиз.нови активи'!$B$61:$B$108,$B132,'11.1.Амортиз.нови активи'!AS$61:AS$108))</f>
        <v>0</v>
      </c>
      <c r="R132" s="2615">
        <f>$L132-SUMIF('11.2. ДА за периода'!$B$61:$B$108,$B132,'11.2. ДА за периода'!$L$61:$L$108)+SUMIF('11.2. ДА за периода'!$B$61:$B$108,$B132,'11.2. ДА за периода'!R$61:R$108)+SUMIF('11.1.Амортиз.нови активи'!$B$61:$B$108,$B132,'11.1.Амортиз.нови активи'!R$61:R$108)+('11.1.Амортиз.нови активи'!K$111*SUMIF('11.1.Амортиз.нови активи'!$B$61:$B$108,$B132,'11.1.Амортиз.нови активи'!AT$61:AT$108))</f>
        <v>0</v>
      </c>
      <c r="S132" s="4387">
        <f>+'11.3. ДА Базова година'!N112</f>
        <v>0</v>
      </c>
      <c r="T132" s="2617">
        <f>$S132-SUMIF('11.2. ДА за периода'!$B$61:$B$108,$B132,'11.2. ДА за периода'!$S$61:$S$108)+SUMIF('11.2. ДА за периода'!$B$61:$B$108,$B132,'11.2. ДА за периода'!T$61:T$108)+SUMIF('11.1.Амортиз.нови активи'!$B$61:$B$108,$B132,'11.1.Амортиз.нови активи'!T$61:T$108)+('11.1.Амортиз.нови активи'!F$112*SUMIF('11.1.Амортиз.нови активи'!$B$61:$B$108,$B132,'11.1.Амортиз.нови активи'!AO$61:AO$108))</f>
        <v>0</v>
      </c>
      <c r="U132" s="1110">
        <f>$S132-SUMIF('11.2. ДА за периода'!$B$61:$B$108,$B132,'11.2. ДА за периода'!$S$61:$S$108)+SUMIF('11.2. ДА за периода'!$B$61:$B$108,$B132,'11.2. ДА за периода'!U$61:U$108)+SUMIF('11.1.Амортиз.нови активи'!$B$61:$B$108,$B132,'11.1.Амортиз.нови активи'!U$61:U$108)+('11.1.Амортиз.нови активи'!G$112*SUMIF('11.1.Амортиз.нови активи'!$B$61:$B$108,$B132,'11.1.Амортиз.нови активи'!AP$61:AP$108))</f>
        <v>0</v>
      </c>
      <c r="V132" s="1110">
        <f>$S132-SUMIF('11.2. ДА за периода'!$B$61:$B$108,$B132,'11.2. ДА за периода'!$S$61:$S$108)+SUMIF('11.2. ДА за периода'!$B$61:$B$108,$B132,'11.2. ДА за периода'!V$61:V$108)+SUMIF('11.1.Амортиз.нови активи'!$B$61:$B$108,$B132,'11.1.Амортиз.нови активи'!V$61:V$108)+('11.1.Амортиз.нови активи'!H$112*SUMIF('11.1.Амортиз.нови активи'!$B$61:$B$108,$B132,'11.1.Амортиз.нови активи'!AQ$61:AQ$108))</f>
        <v>0</v>
      </c>
      <c r="W132" s="1110">
        <f>$S132-SUMIF('11.2. ДА за периода'!$B$61:$B$108,$B132,'11.2. ДА за периода'!$S$61:$S$108)+SUMIF('11.2. ДА за периода'!$B$61:$B$108,$B132,'11.2. ДА за периода'!W$61:W$108)+SUMIF('11.1.Амортиз.нови активи'!$B$61:$B$108,$B132,'11.1.Амортиз.нови активи'!W$61:W$108)+('11.1.Амортиз.нови активи'!I$112*SUMIF('11.1.Амортиз.нови активи'!$B$61:$B$108,$B132,'11.1.Амортиз.нови активи'!AR$61:AR$108))</f>
        <v>0</v>
      </c>
      <c r="X132" s="1110">
        <f>$S132-SUMIF('11.2. ДА за периода'!$B$61:$B$108,$B132,'11.2. ДА за периода'!$S$61:$S$108)+SUMIF('11.2. ДА за периода'!$B$61:$B$108,$B132,'11.2. ДА за периода'!X$61:X$108)+SUMIF('11.1.Амортиз.нови активи'!$B$61:$B$108,$B132,'11.1.Амортиз.нови активи'!X$61:X$108)+('11.1.Амортиз.нови активи'!J$112*SUMIF('11.1.Амортиз.нови активи'!$B$61:$B$108,$B132,'11.1.Амортиз.нови активи'!AS$61:AS$108))</f>
        <v>0</v>
      </c>
      <c r="Y132" s="2618">
        <f>$S132-SUMIF('11.2. ДА за периода'!$B$61:$B$108,$B132,'11.2. ДА за периода'!$S$61:$S$108)+SUMIF('11.2. ДА за периода'!$B$61:$B$108,$B132,'11.2. ДА за периода'!Y$61:Y$108)+SUMIF('11.1.Амортиз.нови активи'!$B$61:$B$108,$B132,'11.1.Амортиз.нови активи'!Y$61:Y$108)+('11.1.Амортиз.нови активи'!K$112*SUMIF('11.1.Амортиз.нови активи'!$B$61:$B$108,$B132,'11.1.Амортиз.нови активи'!AT$61:AT$108))</f>
        <v>0</v>
      </c>
      <c r="Z132" s="4387">
        <f>+'11.3. ДА Базова година'!R112</f>
        <v>0</v>
      </c>
      <c r="AA132" s="2617">
        <f>$Z132-SUMIF('11.2. ДА за периода'!$B$61:$B$108,$B132,'11.2. ДА за периода'!$Z$61:$Z$108)+SUMIF('11.2. ДА за периода'!$B$61:$B$108,$B132,'11.2. ДА за периода'!AA$61:AA$108)+SUMIF('11.1.Амортиз.нови активи'!$B$61:$B$108,$B132,'11.1.Амортиз.нови активи'!AA$61:AA$108)</f>
        <v>0</v>
      </c>
      <c r="AB132" s="1110">
        <f>$Z132-SUMIF('11.2. ДА за периода'!$B$61:$B$108,$B132,'11.2. ДА за периода'!$Z$61:$Z$108)+SUMIF('11.2. ДА за периода'!$B$61:$B$108,$B132,'11.2. ДА за периода'!AB$61:AB$108)+SUMIF('11.1.Амортиз.нови активи'!$B$61:$B$108,$B132,'11.1.Амортиз.нови активи'!AB$61:AB$108)</f>
        <v>0</v>
      </c>
      <c r="AC132" s="1110">
        <f>$Z132-SUMIF('11.2. ДА за периода'!$B$61:$B$108,$B132,'11.2. ДА за периода'!$Z$61:$Z$108)+SUMIF('11.2. ДА за периода'!$B$61:$B$108,$B132,'11.2. ДА за периода'!AC$61:AC$108)+SUMIF('11.1.Амортиз.нови активи'!$B$61:$B$108,$B132,'11.1.Амортиз.нови активи'!AC$61:AC$108)</f>
        <v>0</v>
      </c>
      <c r="AD132" s="1110">
        <f>$Z132-SUMIF('11.2. ДА за периода'!$B$61:$B$108,$B132,'11.2. ДА за периода'!$Z$61:$Z$108)+SUMIF('11.2. ДА за периода'!$B$61:$B$108,$B132,'11.2. ДА за периода'!AD$61:AD$108)+SUMIF('11.1.Амортиз.нови активи'!$B$61:$B$108,$B132,'11.1.Амортиз.нови активи'!AD$61:AD$108)</f>
        <v>0</v>
      </c>
      <c r="AE132" s="1110">
        <f>$Z132-SUMIF('11.2. ДА за периода'!$B$61:$B$108,$B132,'11.2. ДА за периода'!$Z$61:$Z$108)+SUMIF('11.2. ДА за периода'!$B$61:$B$108,$B132,'11.2. ДА за периода'!AE$61:AE$108)+SUMIF('11.1.Амортиз.нови активи'!$B$61:$B$108,$B132,'11.1.Амортиз.нови активи'!AE$61:AE$108)</f>
        <v>0</v>
      </c>
      <c r="AF132" s="2618">
        <f>$Z132-SUMIF('11.2. ДА за периода'!$B$61:$B$108,$B132,'11.2. ДА за периода'!$Z$61:$Z$108)+SUMIF('11.2. ДА за периода'!$B$61:$B$108,$B132,'11.2. ДА за периода'!AF$61:AF$108)+SUMIF('11.1.Амортиз.нови активи'!$B$61:$B$108,$B132,'11.1.Амортиз.нови активи'!AF$61:AF$108)</f>
        <v>0</v>
      </c>
      <c r="AG132" s="4387">
        <f>+'11.3. ДА Базова година'!V112</f>
        <v>0</v>
      </c>
      <c r="AH132" s="2617">
        <f>$AG132-SUMIF('11.2. ДА за периода'!$B$61:$B$108,$B132,'11.2. ДА за периода'!$AG$61:$AG$108)+SUMIF('11.2. ДА за периода'!$B$61:$B$108,$B132,'11.2. ДА за периода'!AH$61:AH$108)+SUMIF('11.1.Амортиз.нови активи'!$B$61:$B$108,$B132,'11.1.Амортиз.нови активи'!AH$61:AH$108)</f>
        <v>0</v>
      </c>
      <c r="AI132" s="1110">
        <f>$AG132-SUMIF('11.2. ДА за периода'!$B$61:$B$108,$B132,'11.2. ДА за периода'!$AG$61:$AG$108)+SUMIF('11.2. ДА за периода'!$B$61:$B$108,$B132,'11.2. ДА за периода'!AI$61:AI$108)+SUMIF('11.1.Амортиз.нови активи'!$B$61:$B$108,$B132,'11.1.Амортиз.нови активи'!AI$61:AI$108)</f>
        <v>0</v>
      </c>
      <c r="AJ132" s="1110">
        <f>$AG132-SUMIF('11.2. ДА за периода'!$B$61:$B$108,$B132,'11.2. ДА за периода'!$AG$61:$AG$108)+SUMIF('11.2. ДА за периода'!$B$61:$B$108,$B132,'11.2. ДА за периода'!AJ$61:AJ$108)+SUMIF('11.1.Амортиз.нови активи'!$B$61:$B$108,$B132,'11.1.Амортиз.нови активи'!AJ$61:AJ$108)</f>
        <v>0</v>
      </c>
      <c r="AK132" s="1110">
        <f>$AG132-SUMIF('11.2. ДА за периода'!$B$61:$B$108,$B132,'11.2. ДА за периода'!$AG$61:$AG$108)+SUMIF('11.2. ДА за периода'!$B$61:$B$108,$B132,'11.2. ДА за периода'!AK$61:AK$108)+SUMIF('11.1.Амортиз.нови активи'!$B$61:$B$108,$B132,'11.1.Амортиз.нови активи'!AK$61:AK$108)</f>
        <v>0</v>
      </c>
      <c r="AL132" s="1110">
        <f>$AG132-SUMIF('11.2. ДА за периода'!$B$61:$B$108,$B132,'11.2. ДА за периода'!$AG$61:$AG$108)+SUMIF('11.2. ДА за периода'!$B$61:$B$108,$B132,'11.2. ДА за периода'!AL$61:AL$108)+SUMIF('11.1.Амортиз.нови активи'!$B$61:$B$108,$B132,'11.1.Амортиз.нови активи'!AL$61:AL$108)</f>
        <v>0</v>
      </c>
      <c r="AM132" s="2618">
        <f>$AG132-SUMIF('11.2. ДА за периода'!$B$61:$B$108,$B132,'11.2. ДА за периода'!$AG$61:$AG$108)+SUMIF('11.2. ДА за периода'!$B$61:$B$108,$B132,'11.2. ДА за периода'!AM$61:AM$108)+SUMIF('11.1.Амортиз.нови активи'!$B$61:$B$108,$B132,'11.1.Амортиз.нови активи'!AM$61:AM$108)</f>
        <v>0</v>
      </c>
      <c r="AN132" s="2543"/>
      <c r="AO132" s="2551"/>
      <c r="AP132" s="4422"/>
      <c r="AQ132" s="4438">
        <f t="shared" si="174"/>
        <v>0</v>
      </c>
      <c r="AR132" s="4438">
        <f t="shared" si="175"/>
        <v>0</v>
      </c>
      <c r="AS132" s="4438">
        <f t="shared" si="176"/>
        <v>0</v>
      </c>
      <c r="AT132" s="4438">
        <f t="shared" si="177"/>
        <v>0</v>
      </c>
      <c r="AU132" s="4438">
        <f t="shared" si="178"/>
        <v>0</v>
      </c>
      <c r="AV132" s="4438">
        <f t="shared" si="179"/>
        <v>0</v>
      </c>
      <c r="AW132" s="4438">
        <f t="shared" si="180"/>
        <v>0</v>
      </c>
      <c r="AX132" s="4438">
        <f t="shared" si="181"/>
        <v>0</v>
      </c>
      <c r="AY132" s="4438">
        <f t="shared" si="182"/>
        <v>0</v>
      </c>
      <c r="AZ132" s="4438">
        <f t="shared" si="183"/>
        <v>0</v>
      </c>
      <c r="BA132" s="4438">
        <f t="shared" si="184"/>
        <v>0</v>
      </c>
      <c r="BB132" s="4438">
        <f t="shared" si="185"/>
        <v>0</v>
      </c>
      <c r="BC132" s="4438">
        <f t="shared" si="186"/>
        <v>0</v>
      </c>
      <c r="BD132" s="4438">
        <f t="shared" si="187"/>
        <v>0</v>
      </c>
      <c r="BE132" s="4438">
        <f t="shared" si="188"/>
        <v>0</v>
      </c>
      <c r="BF132" s="4438">
        <f t="shared" si="189"/>
        <v>0</v>
      </c>
      <c r="BG132" s="4438">
        <f t="shared" si="190"/>
        <v>0</v>
      </c>
      <c r="BH132" s="4438">
        <f t="shared" si="191"/>
        <v>0</v>
      </c>
      <c r="BI132" s="4438">
        <f t="shared" si="192"/>
        <v>0</v>
      </c>
      <c r="BJ132" s="4438">
        <f t="shared" si="193"/>
        <v>0</v>
      </c>
      <c r="BK132" s="4438">
        <f t="shared" si="194"/>
        <v>0</v>
      </c>
      <c r="BL132" s="4438">
        <f t="shared" si="195"/>
        <v>0</v>
      </c>
      <c r="BM132" s="4438">
        <f t="shared" si="196"/>
        <v>0</v>
      </c>
      <c r="BN132" s="4438">
        <f t="shared" si="197"/>
        <v>0</v>
      </c>
      <c r="BO132" s="4438">
        <f t="shared" si="198"/>
        <v>0</v>
      </c>
      <c r="BP132" s="4438">
        <f t="shared" si="199"/>
        <v>0</v>
      </c>
      <c r="BQ132" s="4438">
        <f t="shared" si="200"/>
        <v>0</v>
      </c>
      <c r="BR132" s="4438">
        <f t="shared" si="201"/>
        <v>0</v>
      </c>
      <c r="BS132" s="4438">
        <f t="shared" si="202"/>
        <v>0</v>
      </c>
      <c r="BT132" s="4438">
        <f t="shared" si="203"/>
        <v>0</v>
      </c>
      <c r="BU132" s="4438">
        <f t="shared" si="204"/>
        <v>0</v>
      </c>
      <c r="BV132" s="4438">
        <f t="shared" si="205"/>
        <v>0</v>
      </c>
      <c r="BW132" s="4438">
        <f t="shared" si="206"/>
        <v>0</v>
      </c>
      <c r="BX132" s="4438">
        <f t="shared" si="207"/>
        <v>0</v>
      </c>
      <c r="BY132" s="4438">
        <f t="shared" si="208"/>
        <v>0</v>
      </c>
    </row>
    <row r="133" spans="1:77" s="1292" customFormat="1">
      <c r="A133" s="2515">
        <v>2</v>
      </c>
      <c r="B133" s="2516">
        <v>20202</v>
      </c>
      <c r="C133" s="2517">
        <v>0.03</v>
      </c>
      <c r="D133" s="2571" t="s">
        <v>426</v>
      </c>
      <c r="E133" s="4387">
        <f>+'11.3. ДА Базова година'!F113</f>
        <v>0</v>
      </c>
      <c r="F133" s="2617">
        <f>$E133-SUMIF('11.2. ДА за периода'!$B$61:$B$108,$B133,'11.2. ДА за периода'!$E$61:$E$108)+SUMIF('11.2. ДА за периода'!$B$61:$B$108,$B133,'11.2. ДА за периода'!F$61:F$108)+SUMIF('11.1.Амортиз.нови активи'!$B$61:$B$108,$B133,'11.1.Амортиз.нови активи'!F$61:F$108)+('11.1.Амортиз.нови активи'!F$110*SUMIF('11.1.Амортиз.нови активи'!$B$61:$B$108,$B133,'11.1.Амортиз.нови активи'!AO$61:AO$108))</f>
        <v>0.40499999999999997</v>
      </c>
      <c r="G133" s="1110">
        <f>$E133-SUMIF('11.2. ДА за периода'!$B$61:$B$108,$B133,'11.2. ДА за периода'!$E$61:$E$108)+SUMIF('11.2. ДА за периода'!$B$61:$B$108,$B133,'11.2. ДА за периода'!G$61:G$108)+SUMIF('11.1.Амортиз.нови активи'!$B$61:$B$108,$B133,'11.1.Амортиз.нови активи'!G$61:G$108)+('11.1.Амортиз.нови активи'!G$110*SUMIF('11.1.Амортиз.нови активи'!$B$61:$B$108,$B133,'11.1.Амортиз.нови активи'!AP$61:AP$108))</f>
        <v>0.70499999999999996</v>
      </c>
      <c r="H133" s="1110">
        <f>$E133-SUMIF('11.2. ДА за периода'!$B$61:$B$108,$B133,'11.2. ДА за периода'!$E$61:$E$108)+SUMIF('11.2. ДА за периода'!$B$61:$B$108,$B133,'11.2. ДА за периода'!H$61:H$108)+SUMIF('11.1.Амортиз.нови активи'!$B$61:$B$108,$B133,'11.1.Амортиз.нови активи'!H$61:H$108)+('11.1.Амортиз.нови активи'!H$110*SUMIF('11.1.Амортиз.нови активи'!$B$61:$B$108,$B133,'11.1.Амортиз.нови активи'!AQ$61:AQ$108))</f>
        <v>0.70499999999999996</v>
      </c>
      <c r="I133" s="1110">
        <f>$E133-SUMIF('11.2. ДА за периода'!$B$61:$B$108,$B133,'11.2. ДА за периода'!$E$61:$E$108)+SUMIF('11.2. ДА за периода'!$B$61:$B$108,$B133,'11.2. ДА за периода'!I$61:I$108)+SUMIF('11.1.Амортиз.нови активи'!$B$61:$B$108,$B133,'11.1.Амортиз.нови активи'!I$61:I$108)+('11.1.Амортиз.нови активи'!I$110*SUMIF('11.1.Амортиз.нови активи'!$B$61:$B$108,$B133,'11.1.Амортиз.нови активи'!AR$61:AR$108))</f>
        <v>0.70499999999999996</v>
      </c>
      <c r="J133" s="1110">
        <f>$E133-SUMIF('11.2. ДА за периода'!$B$61:$B$108,$B133,'11.2. ДА за периода'!$E$61:$E$108)+SUMIF('11.2. ДА за периода'!$B$61:$B$108,$B133,'11.2. ДА за периода'!J$61:J$108)+SUMIF('11.1.Амортиз.нови активи'!$B$61:$B$108,$B133,'11.1.Амортиз.нови активи'!J$61:J$108)+('11.1.Амортиз.нови активи'!J$110*SUMIF('11.1.Амортиз.нови активи'!$B$61:$B$108,$B133,'11.1.Амортиз.нови активи'!AS$61:AS$108))</f>
        <v>0.70499999999999996</v>
      </c>
      <c r="K133" s="1110">
        <f>$E133-SUMIF('11.2. ДА за периода'!$B$61:$B$108,$B133,'11.2. ДА за периода'!$E$61:$E$108)+SUMIF('11.2. ДА за периода'!$B$61:$B$108,$B133,'11.2. ДА за периода'!K$61:K$108)+SUMIF('11.1.Амортиз.нови активи'!$B$61:$B$108,$B133,'11.1.Амортиз.нови активи'!K$61:K$108)+('11.1.Амортиз.нови активи'!K$110*SUMIF('11.1.Амортиз.нови активи'!$B$61:$B$108,$B133,'11.1.Амортиз.нови активи'!AT$61:AT$108))</f>
        <v>0.70499999999999996</v>
      </c>
      <c r="L133" s="4387">
        <f>+'11.3. ДА Базова година'!J113</f>
        <v>0</v>
      </c>
      <c r="M133" s="2617">
        <f>$L133-SUMIF('11.2. ДА за периода'!$B$61:$B$108,$B133,'11.2. ДА за периода'!$L$61:$L$108)+SUMIF('11.2. ДА за периода'!$B$61:$B$108,$B133,'11.2. ДА за периода'!M$61:M$108)+SUMIF('11.1.Амортиз.нови активи'!$B$61:$B$108,$B133,'11.1.Амортиз.нови активи'!M$61:M$108)+('11.1.Амортиз.нови активи'!F$111*SUMIF('11.1.Амортиз.нови активи'!$B$61:$B$108,$B133,'11.1.Амортиз.нови активи'!AO$61:AO$108))</f>
        <v>0</v>
      </c>
      <c r="N133" s="1110">
        <f>$L133-SUMIF('11.2. ДА за периода'!$B$61:$B$108,$B133,'11.2. ДА за периода'!$L$61:$L$108)+SUMIF('11.2. ДА за периода'!$B$61:$B$108,$B133,'11.2. ДА за периода'!N$61:N$108)+SUMIF('11.1.Амортиз.нови активи'!$B$61:$B$108,$B133,'11.1.Амортиз.нови активи'!N$61:N$108)+('11.1.Амортиз.нови активи'!G$111*SUMIF('11.1.Амортиз.нови активи'!$B$61:$B$108,$B133,'11.1.Амортиз.нови активи'!AP$61:AP$108))</f>
        <v>0</v>
      </c>
      <c r="O133" s="1110">
        <f>$L133-SUMIF('11.2. ДА за периода'!$B$61:$B$108,$B133,'11.2. ДА за периода'!$L$61:$L$108)+SUMIF('11.2. ДА за периода'!$B$61:$B$108,$B133,'11.2. ДА за периода'!O$61:O$108)+SUMIF('11.1.Амортиз.нови активи'!$B$61:$B$108,$B133,'11.1.Амортиз.нови активи'!O$61:O$108)+('11.1.Амортиз.нови активи'!H$111*SUMIF('11.1.Амортиз.нови активи'!$B$61:$B$108,$B133,'11.1.Амортиз.нови активи'!AQ$61:AQ$108))</f>
        <v>0</v>
      </c>
      <c r="P133" s="1110">
        <f>$L133-SUMIF('11.2. ДА за периода'!$B$61:$B$108,$B133,'11.2. ДА за периода'!$L$61:$L$108)+SUMIF('11.2. ДА за периода'!$B$61:$B$108,$B133,'11.2. ДА за периода'!P$61:P$108)+SUMIF('11.1.Амортиз.нови активи'!$B$61:$B$108,$B133,'11.1.Амортиз.нови активи'!P$61:P$108)+('11.1.Амортиз.нови активи'!I$111*SUMIF('11.1.Амортиз.нови активи'!$B$61:$B$108,$B133,'11.1.Амортиз.нови активи'!AR$61:AR$108))</f>
        <v>0</v>
      </c>
      <c r="Q133" s="1110">
        <f>$L133-SUMIF('11.2. ДА за периода'!$B$61:$B$108,$B133,'11.2. ДА за периода'!$L$61:$L$108)+SUMIF('11.2. ДА за периода'!$B$61:$B$108,$B133,'11.2. ДА за периода'!Q$61:Q$108)+SUMIF('11.1.Амортиз.нови активи'!$B$61:$B$108,$B133,'11.1.Амортиз.нови активи'!Q$61:Q$108)+('11.1.Амортиз.нови активи'!J$111*SUMIF('11.1.Амортиз.нови активи'!$B$61:$B$108,$B133,'11.1.Амортиз.нови активи'!AS$61:AS$108))</f>
        <v>0</v>
      </c>
      <c r="R133" s="2618">
        <f>$L133-SUMIF('11.2. ДА за периода'!$B$61:$B$108,$B133,'11.2. ДА за периода'!$L$61:$L$108)+SUMIF('11.2. ДА за периода'!$B$61:$B$108,$B133,'11.2. ДА за периода'!R$61:R$108)+SUMIF('11.1.Амортиз.нови активи'!$B$61:$B$108,$B133,'11.1.Амортиз.нови активи'!R$61:R$108)+('11.1.Амортиз.нови активи'!K$111*SUMIF('11.1.Амортиз.нови активи'!$B$61:$B$108,$B133,'11.1.Амортиз.нови активи'!AT$61:AT$108))</f>
        <v>0</v>
      </c>
      <c r="S133" s="4387">
        <f>+'11.3. ДА Базова година'!N113</f>
        <v>0</v>
      </c>
      <c r="T133" s="2617">
        <f>$S133-SUMIF('11.2. ДА за периода'!$B$61:$B$108,$B133,'11.2. ДА за периода'!$S$61:$S$108)+SUMIF('11.2. ДА за периода'!$B$61:$B$108,$B133,'11.2. ДА за периода'!T$61:T$108)+SUMIF('11.1.Амортиз.нови активи'!$B$61:$B$108,$B133,'11.1.Амортиз.нови активи'!T$61:T$108)+('11.1.Амортиз.нови активи'!F$112*SUMIF('11.1.Амортиз.нови активи'!$B$61:$B$108,$B133,'11.1.Амортиз.нови активи'!AO$61:AO$108))</f>
        <v>0</v>
      </c>
      <c r="U133" s="1110">
        <f>$S133-SUMIF('11.2. ДА за периода'!$B$61:$B$108,$B133,'11.2. ДА за периода'!$S$61:$S$108)+SUMIF('11.2. ДА за периода'!$B$61:$B$108,$B133,'11.2. ДА за периода'!U$61:U$108)+SUMIF('11.1.Амортиз.нови активи'!$B$61:$B$108,$B133,'11.1.Амортиз.нови активи'!U$61:U$108)+('11.1.Амортиз.нови активи'!G$112*SUMIF('11.1.Амортиз.нови активи'!$B$61:$B$108,$B133,'11.1.Амортиз.нови активи'!AP$61:AP$108))</f>
        <v>0</v>
      </c>
      <c r="V133" s="1110">
        <f>$S133-SUMIF('11.2. ДА за периода'!$B$61:$B$108,$B133,'11.2. ДА за периода'!$S$61:$S$108)+SUMIF('11.2. ДА за периода'!$B$61:$B$108,$B133,'11.2. ДА за периода'!V$61:V$108)+SUMIF('11.1.Амортиз.нови активи'!$B$61:$B$108,$B133,'11.1.Амортиз.нови активи'!V$61:V$108)+('11.1.Амортиз.нови активи'!H$112*SUMIF('11.1.Амортиз.нови активи'!$B$61:$B$108,$B133,'11.1.Амортиз.нови активи'!AQ$61:AQ$108))</f>
        <v>0</v>
      </c>
      <c r="W133" s="1110">
        <f>$S133-SUMIF('11.2. ДА за периода'!$B$61:$B$108,$B133,'11.2. ДА за периода'!$S$61:$S$108)+SUMIF('11.2. ДА за периода'!$B$61:$B$108,$B133,'11.2. ДА за периода'!W$61:W$108)+SUMIF('11.1.Амортиз.нови активи'!$B$61:$B$108,$B133,'11.1.Амортиз.нови активи'!W$61:W$108)+('11.1.Амортиз.нови активи'!I$112*SUMIF('11.1.Амортиз.нови активи'!$B$61:$B$108,$B133,'11.1.Амортиз.нови активи'!AR$61:AR$108))</f>
        <v>0</v>
      </c>
      <c r="X133" s="1110">
        <f>$S133-SUMIF('11.2. ДА за периода'!$B$61:$B$108,$B133,'11.2. ДА за периода'!$S$61:$S$108)+SUMIF('11.2. ДА за периода'!$B$61:$B$108,$B133,'11.2. ДА за периода'!X$61:X$108)+SUMIF('11.1.Амортиз.нови активи'!$B$61:$B$108,$B133,'11.1.Амортиз.нови активи'!X$61:X$108)+('11.1.Амортиз.нови активи'!J$112*SUMIF('11.1.Амортиз.нови активи'!$B$61:$B$108,$B133,'11.1.Амортиз.нови активи'!AS$61:AS$108))</f>
        <v>0</v>
      </c>
      <c r="Y133" s="2618">
        <f>$S133-SUMIF('11.2. ДА за периода'!$B$61:$B$108,$B133,'11.2. ДА за периода'!$S$61:$S$108)+SUMIF('11.2. ДА за периода'!$B$61:$B$108,$B133,'11.2. ДА за периода'!Y$61:Y$108)+SUMIF('11.1.Амортиз.нови активи'!$B$61:$B$108,$B133,'11.1.Амортиз.нови активи'!Y$61:Y$108)+('11.1.Амортиз.нови активи'!K$112*SUMIF('11.1.Амортиз.нови активи'!$B$61:$B$108,$B133,'11.1.Амортиз.нови активи'!AT$61:AT$108))</f>
        <v>0</v>
      </c>
      <c r="Z133" s="4387">
        <f>+'11.3. ДА Базова година'!R113</f>
        <v>0</v>
      </c>
      <c r="AA133" s="2617">
        <f>$Z133-SUMIF('11.2. ДА за периода'!$B$61:$B$108,$B133,'11.2. ДА за периода'!$Z$61:$Z$108)+SUMIF('11.2. ДА за периода'!$B$61:$B$108,$B133,'11.2. ДА за периода'!AA$61:AA$108)+SUMIF('11.1.Амортиз.нови активи'!$B$61:$B$108,$B133,'11.1.Амортиз.нови активи'!AA$61:AA$108)</f>
        <v>0</v>
      </c>
      <c r="AB133" s="1110">
        <f>$Z133-SUMIF('11.2. ДА за периода'!$B$61:$B$108,$B133,'11.2. ДА за периода'!$Z$61:$Z$108)+SUMIF('11.2. ДА за периода'!$B$61:$B$108,$B133,'11.2. ДА за периода'!AB$61:AB$108)+SUMIF('11.1.Амортиз.нови активи'!$B$61:$B$108,$B133,'11.1.Амортиз.нови активи'!AB$61:AB$108)</f>
        <v>0</v>
      </c>
      <c r="AC133" s="1110">
        <f>$Z133-SUMIF('11.2. ДА за периода'!$B$61:$B$108,$B133,'11.2. ДА за периода'!$Z$61:$Z$108)+SUMIF('11.2. ДА за периода'!$B$61:$B$108,$B133,'11.2. ДА за периода'!AC$61:AC$108)+SUMIF('11.1.Амортиз.нови активи'!$B$61:$B$108,$B133,'11.1.Амортиз.нови активи'!AC$61:AC$108)</f>
        <v>0</v>
      </c>
      <c r="AD133" s="1110">
        <f>$Z133-SUMIF('11.2. ДА за периода'!$B$61:$B$108,$B133,'11.2. ДА за периода'!$Z$61:$Z$108)+SUMIF('11.2. ДА за периода'!$B$61:$B$108,$B133,'11.2. ДА за периода'!AD$61:AD$108)+SUMIF('11.1.Амортиз.нови активи'!$B$61:$B$108,$B133,'11.1.Амортиз.нови активи'!AD$61:AD$108)</f>
        <v>0</v>
      </c>
      <c r="AE133" s="1110">
        <f>$Z133-SUMIF('11.2. ДА за периода'!$B$61:$B$108,$B133,'11.2. ДА за периода'!$Z$61:$Z$108)+SUMIF('11.2. ДА за периода'!$B$61:$B$108,$B133,'11.2. ДА за периода'!AE$61:AE$108)+SUMIF('11.1.Амортиз.нови активи'!$B$61:$B$108,$B133,'11.1.Амортиз.нови активи'!AE$61:AE$108)</f>
        <v>0</v>
      </c>
      <c r="AF133" s="2618">
        <f>$Z133-SUMIF('11.2. ДА за периода'!$B$61:$B$108,$B133,'11.2. ДА за периода'!$Z$61:$Z$108)+SUMIF('11.2. ДА за периода'!$B$61:$B$108,$B133,'11.2. ДА за периода'!AF$61:AF$108)+SUMIF('11.1.Амортиз.нови активи'!$B$61:$B$108,$B133,'11.1.Амортиз.нови активи'!AF$61:AF$108)</f>
        <v>0</v>
      </c>
      <c r="AG133" s="4387">
        <f>+'11.3. ДА Базова година'!V113</f>
        <v>0</v>
      </c>
      <c r="AH133" s="2617">
        <f>$AG133-SUMIF('11.2. ДА за периода'!$B$61:$B$108,$B133,'11.2. ДА за периода'!$AG$61:$AG$108)+SUMIF('11.2. ДА за периода'!$B$61:$B$108,$B133,'11.2. ДА за периода'!AH$61:AH$108)+SUMIF('11.1.Амортиз.нови активи'!$B$61:$B$108,$B133,'11.1.Амортиз.нови активи'!AH$61:AH$108)</f>
        <v>0</v>
      </c>
      <c r="AI133" s="1110">
        <f>$AG133-SUMIF('11.2. ДА за периода'!$B$61:$B$108,$B133,'11.2. ДА за периода'!$AG$61:$AG$108)+SUMIF('11.2. ДА за периода'!$B$61:$B$108,$B133,'11.2. ДА за периода'!AI$61:AI$108)+SUMIF('11.1.Амортиз.нови активи'!$B$61:$B$108,$B133,'11.1.Амортиз.нови активи'!AI$61:AI$108)</f>
        <v>0</v>
      </c>
      <c r="AJ133" s="1110">
        <f>$AG133-SUMIF('11.2. ДА за периода'!$B$61:$B$108,$B133,'11.2. ДА за периода'!$AG$61:$AG$108)+SUMIF('11.2. ДА за периода'!$B$61:$B$108,$B133,'11.2. ДА за периода'!AJ$61:AJ$108)+SUMIF('11.1.Амортиз.нови активи'!$B$61:$B$108,$B133,'11.1.Амортиз.нови активи'!AJ$61:AJ$108)</f>
        <v>0</v>
      </c>
      <c r="AK133" s="1110">
        <f>$AG133-SUMIF('11.2. ДА за периода'!$B$61:$B$108,$B133,'11.2. ДА за периода'!$AG$61:$AG$108)+SUMIF('11.2. ДА за периода'!$B$61:$B$108,$B133,'11.2. ДА за периода'!AK$61:AK$108)+SUMIF('11.1.Амортиз.нови активи'!$B$61:$B$108,$B133,'11.1.Амортиз.нови активи'!AK$61:AK$108)</f>
        <v>0</v>
      </c>
      <c r="AL133" s="1110">
        <f>$AG133-SUMIF('11.2. ДА за периода'!$B$61:$B$108,$B133,'11.2. ДА за периода'!$AG$61:$AG$108)+SUMIF('11.2. ДА за периода'!$B$61:$B$108,$B133,'11.2. ДА за периода'!AL$61:AL$108)+SUMIF('11.1.Амортиз.нови активи'!$B$61:$B$108,$B133,'11.1.Амортиз.нови активи'!AL$61:AL$108)</f>
        <v>0</v>
      </c>
      <c r="AM133" s="2618">
        <f>$AG133-SUMIF('11.2. ДА за периода'!$B$61:$B$108,$B133,'11.2. ДА за периода'!$AG$61:$AG$108)+SUMIF('11.2. ДА за периода'!$B$61:$B$108,$B133,'11.2. ДА за периода'!AM$61:AM$108)+SUMIF('11.1.Амортиз.нови активи'!$B$61:$B$108,$B133,'11.1.Амортиз.нови активи'!AM$61:AM$108)</f>
        <v>0</v>
      </c>
      <c r="AN133" s="2513"/>
      <c r="AO133" s="2551"/>
      <c r="AP133" s="4422"/>
      <c r="AQ133" s="4438">
        <f t="shared" si="174"/>
        <v>0</v>
      </c>
      <c r="AR133" s="4438">
        <f t="shared" si="175"/>
        <v>0.20707321188446848</v>
      </c>
      <c r="AS133" s="4438">
        <f t="shared" si="176"/>
        <v>0.360460776243334</v>
      </c>
      <c r="AT133" s="4438">
        <f t="shared" si="177"/>
        <v>0.360460776243334</v>
      </c>
      <c r="AU133" s="4438">
        <f t="shared" si="178"/>
        <v>0.360460776243334</v>
      </c>
      <c r="AV133" s="4438">
        <f t="shared" si="179"/>
        <v>0.360460776243334</v>
      </c>
      <c r="AW133" s="4438">
        <f t="shared" si="180"/>
        <v>0.360460776243334</v>
      </c>
      <c r="AX133" s="4438">
        <f t="shared" si="181"/>
        <v>0</v>
      </c>
      <c r="AY133" s="4438">
        <f t="shared" si="182"/>
        <v>0</v>
      </c>
      <c r="AZ133" s="4438">
        <f t="shared" si="183"/>
        <v>0</v>
      </c>
      <c r="BA133" s="4438">
        <f t="shared" si="184"/>
        <v>0</v>
      </c>
      <c r="BB133" s="4438">
        <f t="shared" si="185"/>
        <v>0</v>
      </c>
      <c r="BC133" s="4438">
        <f t="shared" si="186"/>
        <v>0</v>
      </c>
      <c r="BD133" s="4438">
        <f t="shared" si="187"/>
        <v>0</v>
      </c>
      <c r="BE133" s="4438">
        <f t="shared" si="188"/>
        <v>0</v>
      </c>
      <c r="BF133" s="4438">
        <f t="shared" si="189"/>
        <v>0</v>
      </c>
      <c r="BG133" s="4438">
        <f t="shared" si="190"/>
        <v>0</v>
      </c>
      <c r="BH133" s="4438">
        <f t="shared" si="191"/>
        <v>0</v>
      </c>
      <c r="BI133" s="4438">
        <f t="shared" si="192"/>
        <v>0</v>
      </c>
      <c r="BJ133" s="4438">
        <f t="shared" si="193"/>
        <v>0</v>
      </c>
      <c r="BK133" s="4438">
        <f t="shared" si="194"/>
        <v>0</v>
      </c>
      <c r="BL133" s="4438">
        <f t="shared" si="195"/>
        <v>0</v>
      </c>
      <c r="BM133" s="4438">
        <f t="shared" si="196"/>
        <v>0</v>
      </c>
      <c r="BN133" s="4438">
        <f t="shared" si="197"/>
        <v>0</v>
      </c>
      <c r="BO133" s="4438">
        <f t="shared" si="198"/>
        <v>0</v>
      </c>
      <c r="BP133" s="4438">
        <f t="shared" si="199"/>
        <v>0</v>
      </c>
      <c r="BQ133" s="4438">
        <f t="shared" si="200"/>
        <v>0</v>
      </c>
      <c r="BR133" s="4438">
        <f t="shared" si="201"/>
        <v>0</v>
      </c>
      <c r="BS133" s="4438">
        <f t="shared" si="202"/>
        <v>0</v>
      </c>
      <c r="BT133" s="4438">
        <f t="shared" si="203"/>
        <v>0</v>
      </c>
      <c r="BU133" s="4438">
        <f t="shared" si="204"/>
        <v>0</v>
      </c>
      <c r="BV133" s="4438">
        <f t="shared" si="205"/>
        <v>0</v>
      </c>
      <c r="BW133" s="4438">
        <f t="shared" si="206"/>
        <v>0</v>
      </c>
      <c r="BX133" s="4438">
        <f t="shared" si="207"/>
        <v>0</v>
      </c>
      <c r="BY133" s="4438">
        <f t="shared" si="208"/>
        <v>0</v>
      </c>
    </row>
    <row r="134" spans="1:77" s="1292" customFormat="1">
      <c r="A134" s="2515">
        <v>3</v>
      </c>
      <c r="B134" s="2516">
        <v>2030401</v>
      </c>
      <c r="C134" s="2522">
        <v>0.1</v>
      </c>
      <c r="D134" s="2552" t="s">
        <v>1031</v>
      </c>
      <c r="E134" s="4387">
        <f>+'11.3. ДА Базова година'!F114</f>
        <v>90</v>
      </c>
      <c r="F134" s="2617">
        <f>$E134-SUMIF('11.2. ДА за периода'!$B$61:$B$108,$B134,'11.2. ДА за периода'!$E$61:$E$108)+SUMIF('11.2. ДА за периода'!$B$61:$B$108,$B134,'11.2. ДА за периода'!F$61:F$108)+SUMIF('11.1.Амортиз.нови активи'!$B$61:$B$108,$B134,'11.1.Амортиз.нови активи'!F$61:F$108)+('11.1.Амортиз.нови активи'!F$110*SUMIF('11.1.Амортиз.нови активи'!$B$61:$B$108,$B134,'11.1.Амортиз.нови активи'!AO$61:AO$108))</f>
        <v>111.75</v>
      </c>
      <c r="G134" s="1110">
        <f>$E134-SUMIF('11.2. ДА за периода'!$B$61:$B$108,$B134,'11.2. ДА за периода'!$E$61:$E$108)+SUMIF('11.2. ДА за периода'!$B$61:$B$108,$B134,'11.2. ДА за периода'!G$61:G$108)+SUMIF('11.1.Амортиз.нови активи'!$B$61:$B$108,$B134,'11.1.Амортиз.нови активи'!G$61:G$108)+('11.1.Амортиз.нови активи'!G$110*SUMIF('11.1.Амортиз.нови активи'!$B$61:$B$108,$B134,'11.1.Амортиз.нови активи'!AP$61:AP$108))</f>
        <v>126.8</v>
      </c>
      <c r="H134" s="1110">
        <f>$E134-SUMIF('11.2. ДА за периода'!$B$61:$B$108,$B134,'11.2. ДА за периода'!$E$61:$E$108)+SUMIF('11.2. ДА за периода'!$B$61:$B$108,$B134,'11.2. ДА за периода'!H$61:H$108)+SUMIF('11.1.Амортиз.нови активи'!$B$61:$B$108,$B134,'11.1.Амортиз.нови активи'!H$61:H$108)+('11.1.Амортиз.нови активи'!H$110*SUMIF('11.1.Амортиз.нови активи'!$B$61:$B$108,$B134,'11.1.Амортиз.нови активи'!AQ$61:AQ$108))</f>
        <v>128.75</v>
      </c>
      <c r="I134" s="1110">
        <f>$E134-SUMIF('11.2. ДА за периода'!$B$61:$B$108,$B134,'11.2. ДА за периода'!$E$61:$E$108)+SUMIF('11.2. ДА за периода'!$B$61:$B$108,$B134,'11.2. ДА за периода'!I$61:I$108)+SUMIF('11.1.Амортиз.нови активи'!$B$61:$B$108,$B134,'11.1.Амортиз.нови активи'!I$61:I$108)+('11.1.Амортиз.нови активи'!I$110*SUMIF('11.1.Амортиз.нови активи'!$B$61:$B$108,$B134,'11.1.Амортиз.нови активи'!AR$61:AR$108))</f>
        <v>134</v>
      </c>
      <c r="J134" s="1110">
        <f>$E134-SUMIF('11.2. ДА за периода'!$B$61:$B$108,$B134,'11.2. ДА за периода'!$E$61:$E$108)+SUMIF('11.2. ДА за периода'!$B$61:$B$108,$B134,'11.2. ДА за периода'!J$61:J$108)+SUMIF('11.1.Амортиз.нови активи'!$B$61:$B$108,$B134,'11.1.Амортиз.нови активи'!J$61:J$108)+('11.1.Амортиз.нови активи'!J$110*SUMIF('11.1.Амортиз.нови активи'!$B$61:$B$108,$B134,'11.1.Амортиз.нови активи'!AS$61:AS$108))</f>
        <v>144.75</v>
      </c>
      <c r="K134" s="1110">
        <f>$E134-SUMIF('11.2. ДА за периода'!$B$61:$B$108,$B134,'11.2. ДА за периода'!$E$61:$E$108)+SUMIF('11.2. ДА за периода'!$B$61:$B$108,$B134,'11.2. ДА за периода'!K$61:K$108)+SUMIF('11.1.Амортиз.нови активи'!$B$61:$B$108,$B134,'11.1.Амортиз.нови активи'!K$61:K$108)+('11.1.Амортиз.нови активи'!K$110*SUMIF('11.1.Амортиз.нови активи'!$B$61:$B$108,$B134,'11.1.Амортиз.нови активи'!AT$61:AT$108))</f>
        <v>152.75</v>
      </c>
      <c r="L134" s="4387">
        <f>+'11.3. ДА Базова година'!J114</f>
        <v>3</v>
      </c>
      <c r="M134" s="2617">
        <f>$L134-SUMIF('11.2. ДА за периода'!$B$61:$B$108,$B134,'11.2. ДА за периода'!$L$61:$L$108)+SUMIF('11.2. ДА за периода'!$B$61:$B$108,$B134,'11.2. ДА за периода'!M$61:M$108)+SUMIF('11.1.Амортиз.нови активи'!$B$61:$B$108,$B134,'11.1.Амортиз.нови активи'!M$61:M$108)+('11.1.Амортиз.нови активи'!F$111*SUMIF('11.1.Амортиз.нови активи'!$B$61:$B$108,$B134,'11.1.Амортиз.нови активи'!AO$61:AO$108))</f>
        <v>3</v>
      </c>
      <c r="N134" s="1110">
        <f>$L134-SUMIF('11.2. ДА за периода'!$B$61:$B$108,$B134,'11.2. ДА за периода'!$L$61:$L$108)+SUMIF('11.2. ДА за периода'!$B$61:$B$108,$B134,'11.2. ДА за периода'!N$61:N$108)+SUMIF('11.1.Амортиз.нови активи'!$B$61:$B$108,$B134,'11.1.Амортиз.нови активи'!N$61:N$108)+('11.1.Амортиз.нови активи'!G$111*SUMIF('11.1.Амортиз.нови активи'!$B$61:$B$108,$B134,'11.1.Амортиз.нови активи'!AP$61:AP$108))</f>
        <v>3</v>
      </c>
      <c r="O134" s="1110">
        <f>$L134-SUMIF('11.2. ДА за периода'!$B$61:$B$108,$B134,'11.2. ДА за периода'!$L$61:$L$108)+SUMIF('11.2. ДА за периода'!$B$61:$B$108,$B134,'11.2. ДА за периода'!O$61:O$108)+SUMIF('11.1.Амортиз.нови активи'!$B$61:$B$108,$B134,'11.1.Амортиз.нови активи'!O$61:O$108)+('11.1.Амортиз.нови активи'!H$111*SUMIF('11.1.Амортиз.нови активи'!$B$61:$B$108,$B134,'11.1.Амортиз.нови активи'!AQ$61:AQ$108))</f>
        <v>3</v>
      </c>
      <c r="P134" s="1110">
        <f>$L134-SUMIF('11.2. ДА за периода'!$B$61:$B$108,$B134,'11.2. ДА за периода'!$L$61:$L$108)+SUMIF('11.2. ДА за периода'!$B$61:$B$108,$B134,'11.2. ДА за периода'!P$61:P$108)+SUMIF('11.1.Амортиз.нови активи'!$B$61:$B$108,$B134,'11.1.Амортиз.нови активи'!P$61:P$108)+('11.1.Амортиз.нови активи'!I$111*SUMIF('11.1.Амортиз.нови активи'!$B$61:$B$108,$B134,'11.1.Амортиз.нови активи'!AR$61:AR$108))</f>
        <v>3</v>
      </c>
      <c r="Q134" s="1110">
        <f>$L134-SUMIF('11.2. ДА за периода'!$B$61:$B$108,$B134,'11.2. ДА за периода'!$L$61:$L$108)+SUMIF('11.2. ДА за периода'!$B$61:$B$108,$B134,'11.2. ДА за периода'!Q$61:Q$108)+SUMIF('11.1.Амортиз.нови активи'!$B$61:$B$108,$B134,'11.1.Амортиз.нови активи'!Q$61:Q$108)+('11.1.Амортиз.нови активи'!J$111*SUMIF('11.1.Амортиз.нови активи'!$B$61:$B$108,$B134,'11.1.Амортиз.нови активи'!AS$61:AS$108))</f>
        <v>3</v>
      </c>
      <c r="R134" s="2618">
        <f>$L134-SUMIF('11.2. ДА за периода'!$B$61:$B$108,$B134,'11.2. ДА за периода'!$L$61:$L$108)+SUMIF('11.2. ДА за периода'!$B$61:$B$108,$B134,'11.2. ДА за периода'!R$61:R$108)+SUMIF('11.1.Амортиз.нови активи'!$B$61:$B$108,$B134,'11.1.Амортиз.нови активи'!R$61:R$108)+('11.1.Амортиз.нови активи'!K$111*SUMIF('11.1.Амортиз.нови активи'!$B$61:$B$108,$B134,'11.1.Амортиз.нови активи'!AT$61:AT$108))</f>
        <v>0.79999999999999982</v>
      </c>
      <c r="S134" s="4387">
        <f>+'11.3. ДА Базова година'!N114</f>
        <v>0</v>
      </c>
      <c r="T134" s="2617">
        <f>$S134-SUMIF('11.2. ДА за периода'!$B$61:$B$108,$B134,'11.2. ДА за периода'!$S$61:$S$108)+SUMIF('11.2. ДА за периода'!$B$61:$B$108,$B134,'11.2. ДА за периода'!T$61:T$108)+SUMIF('11.1.Амортиз.нови активи'!$B$61:$B$108,$B134,'11.1.Амортиз.нови активи'!T$61:T$108)+('11.1.Амортиз.нови активи'!F$112*SUMIF('11.1.Амортиз.нови активи'!$B$61:$B$108,$B134,'11.1.Амортиз.нови активи'!AO$61:AO$108))</f>
        <v>0</v>
      </c>
      <c r="U134" s="1110">
        <f>$S134-SUMIF('11.2. ДА за периода'!$B$61:$B$108,$B134,'11.2. ДА за периода'!$S$61:$S$108)+SUMIF('11.2. ДА за периода'!$B$61:$B$108,$B134,'11.2. ДА за периода'!U$61:U$108)+SUMIF('11.1.Амортиз.нови активи'!$B$61:$B$108,$B134,'11.1.Амортиз.нови активи'!U$61:U$108)+('11.1.Амортиз.нови активи'!G$112*SUMIF('11.1.Амортиз.нови активи'!$B$61:$B$108,$B134,'11.1.Амортиз.нови активи'!AP$61:AP$108))</f>
        <v>0</v>
      </c>
      <c r="V134" s="1110">
        <f>$S134-SUMIF('11.2. ДА за периода'!$B$61:$B$108,$B134,'11.2. ДА за периода'!$S$61:$S$108)+SUMIF('11.2. ДА за периода'!$B$61:$B$108,$B134,'11.2. ДА за периода'!V$61:V$108)+SUMIF('11.1.Амортиз.нови активи'!$B$61:$B$108,$B134,'11.1.Амортиз.нови активи'!V$61:V$108)+('11.1.Амортиз.нови активи'!H$112*SUMIF('11.1.Амортиз.нови активи'!$B$61:$B$108,$B134,'11.1.Амортиз.нови активи'!AQ$61:AQ$108))</f>
        <v>0</v>
      </c>
      <c r="W134" s="1110">
        <f>$S134-SUMIF('11.2. ДА за периода'!$B$61:$B$108,$B134,'11.2. ДА за периода'!$S$61:$S$108)+SUMIF('11.2. ДА за периода'!$B$61:$B$108,$B134,'11.2. ДА за периода'!W$61:W$108)+SUMIF('11.1.Амортиз.нови активи'!$B$61:$B$108,$B134,'11.1.Амортиз.нови активи'!W$61:W$108)+('11.1.Амортиз.нови активи'!I$112*SUMIF('11.1.Амортиз.нови активи'!$B$61:$B$108,$B134,'11.1.Амортиз.нови активи'!AR$61:AR$108))</f>
        <v>0</v>
      </c>
      <c r="X134" s="1110">
        <f>$S134-SUMIF('11.2. ДА за периода'!$B$61:$B$108,$B134,'11.2. ДА за периода'!$S$61:$S$108)+SUMIF('11.2. ДА за периода'!$B$61:$B$108,$B134,'11.2. ДА за периода'!X$61:X$108)+SUMIF('11.1.Амортиз.нови активи'!$B$61:$B$108,$B134,'11.1.Амортиз.нови активи'!X$61:X$108)+('11.1.Амортиз.нови активи'!J$112*SUMIF('11.1.Амортиз.нови активи'!$B$61:$B$108,$B134,'11.1.Амортиз.нови активи'!AS$61:AS$108))</f>
        <v>0</v>
      </c>
      <c r="Y134" s="2618">
        <f>$S134-SUMIF('11.2. ДА за периода'!$B$61:$B$108,$B134,'11.2. ДА за периода'!$S$61:$S$108)+SUMIF('11.2. ДА за периода'!$B$61:$B$108,$B134,'11.2. ДА за периода'!Y$61:Y$108)+SUMIF('11.1.Амортиз.нови активи'!$B$61:$B$108,$B134,'11.1.Амортиз.нови активи'!Y$61:Y$108)+('11.1.Амортиз.нови активи'!K$112*SUMIF('11.1.Амортиз.нови активи'!$B$61:$B$108,$B134,'11.1.Амортиз.нови активи'!AT$61:AT$108))</f>
        <v>0</v>
      </c>
      <c r="Z134" s="4387">
        <f>+'11.3. ДА Базова година'!R114</f>
        <v>0</v>
      </c>
      <c r="AA134" s="2617">
        <f>$Z134-SUMIF('11.2. ДА за периода'!$B$61:$B$108,$B134,'11.2. ДА за периода'!$Z$61:$Z$108)+SUMIF('11.2. ДА за периода'!$B$61:$B$108,$B134,'11.2. ДА за периода'!AA$61:AA$108)+SUMIF('11.1.Амортиз.нови активи'!$B$61:$B$108,$B134,'11.1.Амортиз.нови активи'!AA$61:AA$108)</f>
        <v>0</v>
      </c>
      <c r="AB134" s="1110">
        <f>$Z134-SUMIF('11.2. ДА за периода'!$B$61:$B$108,$B134,'11.2. ДА за периода'!$Z$61:$Z$108)+SUMIF('11.2. ДА за периода'!$B$61:$B$108,$B134,'11.2. ДА за периода'!AB$61:AB$108)+SUMIF('11.1.Амортиз.нови активи'!$B$61:$B$108,$B134,'11.1.Амортиз.нови активи'!AB$61:AB$108)</f>
        <v>0</v>
      </c>
      <c r="AC134" s="1110">
        <f>$Z134-SUMIF('11.2. ДА за периода'!$B$61:$B$108,$B134,'11.2. ДА за периода'!$Z$61:$Z$108)+SUMIF('11.2. ДА за периода'!$B$61:$B$108,$B134,'11.2. ДА за периода'!AC$61:AC$108)+SUMIF('11.1.Амортиз.нови активи'!$B$61:$B$108,$B134,'11.1.Амортиз.нови активи'!AC$61:AC$108)</f>
        <v>0</v>
      </c>
      <c r="AD134" s="1110">
        <f>$Z134-SUMIF('11.2. ДА за периода'!$B$61:$B$108,$B134,'11.2. ДА за периода'!$Z$61:$Z$108)+SUMIF('11.2. ДА за периода'!$B$61:$B$108,$B134,'11.2. ДА за периода'!AD$61:AD$108)+SUMIF('11.1.Амортиз.нови активи'!$B$61:$B$108,$B134,'11.1.Амортиз.нови активи'!AD$61:AD$108)</f>
        <v>0</v>
      </c>
      <c r="AE134" s="1110">
        <f>$Z134-SUMIF('11.2. ДА за периода'!$B$61:$B$108,$B134,'11.2. ДА за периода'!$Z$61:$Z$108)+SUMIF('11.2. ДА за периода'!$B$61:$B$108,$B134,'11.2. ДА за периода'!AE$61:AE$108)+SUMIF('11.1.Амортиз.нови активи'!$B$61:$B$108,$B134,'11.1.Амортиз.нови активи'!AE$61:AE$108)</f>
        <v>0</v>
      </c>
      <c r="AF134" s="2618">
        <f>$Z134-SUMIF('11.2. ДА за периода'!$B$61:$B$108,$B134,'11.2. ДА за периода'!$Z$61:$Z$108)+SUMIF('11.2. ДА за периода'!$B$61:$B$108,$B134,'11.2. ДА за периода'!AF$61:AF$108)+SUMIF('11.1.Амортиз.нови активи'!$B$61:$B$108,$B134,'11.1.Амортиз.нови активи'!AF$61:AF$108)</f>
        <v>0</v>
      </c>
      <c r="AG134" s="4387">
        <f>+'11.3. ДА Базова година'!V114</f>
        <v>0</v>
      </c>
      <c r="AH134" s="2617">
        <f>$AG134-SUMIF('11.2. ДА за периода'!$B$61:$B$108,$B134,'11.2. ДА за периода'!$AG$61:$AG$108)+SUMIF('11.2. ДА за периода'!$B$61:$B$108,$B134,'11.2. ДА за периода'!AH$61:AH$108)+SUMIF('11.1.Амортиз.нови активи'!$B$61:$B$108,$B134,'11.1.Амортиз.нови активи'!AH$61:AH$108)</f>
        <v>0</v>
      </c>
      <c r="AI134" s="1110">
        <f>$AG134-SUMIF('11.2. ДА за периода'!$B$61:$B$108,$B134,'11.2. ДА за периода'!$AG$61:$AG$108)+SUMIF('11.2. ДА за периода'!$B$61:$B$108,$B134,'11.2. ДА за периода'!AI$61:AI$108)+SUMIF('11.1.Амортиз.нови активи'!$B$61:$B$108,$B134,'11.1.Амортиз.нови активи'!AI$61:AI$108)</f>
        <v>0</v>
      </c>
      <c r="AJ134" s="1110">
        <f>$AG134-SUMIF('11.2. ДА за периода'!$B$61:$B$108,$B134,'11.2. ДА за периода'!$AG$61:$AG$108)+SUMIF('11.2. ДА за периода'!$B$61:$B$108,$B134,'11.2. ДА за периода'!AJ$61:AJ$108)+SUMIF('11.1.Амортиз.нови активи'!$B$61:$B$108,$B134,'11.1.Амортиз.нови активи'!AJ$61:AJ$108)</f>
        <v>0</v>
      </c>
      <c r="AK134" s="1110">
        <f>$AG134-SUMIF('11.2. ДА за периода'!$B$61:$B$108,$B134,'11.2. ДА за периода'!$AG$61:$AG$108)+SUMIF('11.2. ДА за периода'!$B$61:$B$108,$B134,'11.2. ДА за периода'!AK$61:AK$108)+SUMIF('11.1.Амортиз.нови активи'!$B$61:$B$108,$B134,'11.1.Амортиз.нови активи'!AK$61:AK$108)</f>
        <v>0</v>
      </c>
      <c r="AL134" s="1110">
        <f>$AG134-SUMIF('11.2. ДА за периода'!$B$61:$B$108,$B134,'11.2. ДА за периода'!$AG$61:$AG$108)+SUMIF('11.2. ДА за периода'!$B$61:$B$108,$B134,'11.2. ДА за периода'!AL$61:AL$108)+SUMIF('11.1.Амортиз.нови активи'!$B$61:$B$108,$B134,'11.1.Амортиз.нови активи'!AL$61:AL$108)</f>
        <v>0</v>
      </c>
      <c r="AM134" s="2618">
        <f>$AG134-SUMIF('11.2. ДА за периода'!$B$61:$B$108,$B134,'11.2. ДА за периода'!$AG$61:$AG$108)+SUMIF('11.2. ДА за периода'!$B$61:$B$108,$B134,'11.2. ДА за периода'!AM$61:AM$108)+SUMIF('11.1.Амортиз.нови активи'!$B$61:$B$108,$B134,'11.1.Амортиз.нови активи'!AM$61:AM$108)</f>
        <v>0</v>
      </c>
      <c r="AN134" s="2513"/>
      <c r="AO134" s="2551"/>
      <c r="AP134" s="4422"/>
      <c r="AQ134" s="4438">
        <f t="shared" si="174"/>
        <v>46.016269307659663</v>
      </c>
      <c r="AR134" s="4438">
        <f t="shared" si="175"/>
        <v>57.136867723677419</v>
      </c>
      <c r="AS134" s="4438">
        <f t="shared" si="176"/>
        <v>64.831810535680503</v>
      </c>
      <c r="AT134" s="4438">
        <f t="shared" si="177"/>
        <v>65.828829704013131</v>
      </c>
      <c r="AU134" s="4438">
        <f t="shared" si="178"/>
        <v>68.513112080293283</v>
      </c>
      <c r="AV134" s="4438">
        <f t="shared" si="179"/>
        <v>74.009499803152622</v>
      </c>
      <c r="AW134" s="4438">
        <f t="shared" si="180"/>
        <v>78.099834852722381</v>
      </c>
      <c r="AX134" s="4438">
        <f t="shared" si="181"/>
        <v>1.5338756435886556</v>
      </c>
      <c r="AY134" s="4438">
        <f t="shared" si="182"/>
        <v>1.5338756435886556</v>
      </c>
      <c r="AZ134" s="4438">
        <f t="shared" si="183"/>
        <v>1.5338756435886556</v>
      </c>
      <c r="BA134" s="4438">
        <f t="shared" si="184"/>
        <v>1.5338756435886556</v>
      </c>
      <c r="BB134" s="4438">
        <f t="shared" si="185"/>
        <v>1.5338756435886556</v>
      </c>
      <c r="BC134" s="4438">
        <f t="shared" si="186"/>
        <v>1.5338756435886556</v>
      </c>
      <c r="BD134" s="4438">
        <f t="shared" si="187"/>
        <v>0.40903350495697471</v>
      </c>
      <c r="BE134" s="4438">
        <f t="shared" si="188"/>
        <v>0</v>
      </c>
      <c r="BF134" s="4438">
        <f t="shared" si="189"/>
        <v>0</v>
      </c>
      <c r="BG134" s="4438">
        <f t="shared" si="190"/>
        <v>0</v>
      </c>
      <c r="BH134" s="4438">
        <f t="shared" si="191"/>
        <v>0</v>
      </c>
      <c r="BI134" s="4438">
        <f t="shared" si="192"/>
        <v>0</v>
      </c>
      <c r="BJ134" s="4438">
        <f t="shared" si="193"/>
        <v>0</v>
      </c>
      <c r="BK134" s="4438">
        <f t="shared" si="194"/>
        <v>0</v>
      </c>
      <c r="BL134" s="4438">
        <f t="shared" si="195"/>
        <v>0</v>
      </c>
      <c r="BM134" s="4438">
        <f t="shared" si="196"/>
        <v>0</v>
      </c>
      <c r="BN134" s="4438">
        <f t="shared" si="197"/>
        <v>0</v>
      </c>
      <c r="BO134" s="4438">
        <f t="shared" si="198"/>
        <v>0</v>
      </c>
      <c r="BP134" s="4438">
        <f t="shared" si="199"/>
        <v>0</v>
      </c>
      <c r="BQ134" s="4438">
        <f t="shared" si="200"/>
        <v>0</v>
      </c>
      <c r="BR134" s="4438">
        <f t="shared" si="201"/>
        <v>0</v>
      </c>
      <c r="BS134" s="4438">
        <f t="shared" si="202"/>
        <v>0</v>
      </c>
      <c r="BT134" s="4438">
        <f t="shared" si="203"/>
        <v>0</v>
      </c>
      <c r="BU134" s="4438">
        <f t="shared" si="204"/>
        <v>0</v>
      </c>
      <c r="BV134" s="4438">
        <f t="shared" si="205"/>
        <v>0</v>
      </c>
      <c r="BW134" s="4438">
        <f t="shared" si="206"/>
        <v>0</v>
      </c>
      <c r="BX134" s="4438">
        <f t="shared" si="207"/>
        <v>0</v>
      </c>
      <c r="BY134" s="4438">
        <f t="shared" si="208"/>
        <v>0</v>
      </c>
    </row>
    <row r="135" spans="1:77" s="1292" customFormat="1">
      <c r="A135" s="2515">
        <v>4</v>
      </c>
      <c r="B135" s="2516">
        <v>2030402</v>
      </c>
      <c r="C135" s="2522">
        <v>0.1</v>
      </c>
      <c r="D135" s="2552" t="s">
        <v>429</v>
      </c>
      <c r="E135" s="4387">
        <f>+'11.3. ДА Базова година'!F115</f>
        <v>24</v>
      </c>
      <c r="F135" s="2617">
        <f>$E135-SUMIF('11.2. ДА за периода'!$B$61:$B$108,$B135,'11.2. ДА за периода'!$E$61:$E$108)+SUMIF('11.2. ДА за периода'!$B$61:$B$108,$B135,'11.2. ДА за периода'!F$61:F$108)+SUMIF('11.1.Амортиз.нови активи'!$B$61:$B$108,$B135,'11.1.Амортиз.нови активи'!F$61:F$108)+('11.1.Амортиз.нови активи'!F$110*SUMIF('11.1.Амортиз.нови активи'!$B$61:$B$108,$B135,'11.1.Амортиз.нови активи'!AO$61:AO$108))</f>
        <v>26.700000000000003</v>
      </c>
      <c r="G135" s="1110">
        <f>$E135-SUMIF('11.2. ДА за периода'!$B$61:$B$108,$B135,'11.2. ДА за периода'!$E$61:$E$108)+SUMIF('11.2. ДА за периода'!$B$61:$B$108,$B135,'11.2. ДА за периода'!G$61:G$108)+SUMIF('11.1.Амортиз.нови активи'!$B$61:$B$108,$B135,'11.1.Амортиз.нови активи'!G$61:G$108)+('11.1.Амортиз.нови активи'!G$110*SUMIF('11.1.Амортиз.нови активи'!$B$61:$B$108,$B135,'11.1.Амортиз.нови активи'!AP$61:AP$108))</f>
        <v>26.700000000000003</v>
      </c>
      <c r="H135" s="1110">
        <f>$E135-SUMIF('11.2. ДА за периода'!$B$61:$B$108,$B135,'11.2. ДА за периода'!$E$61:$E$108)+SUMIF('11.2. ДА за периода'!$B$61:$B$108,$B135,'11.2. ДА за периода'!H$61:H$108)+SUMIF('11.1.Амортиз.нови активи'!$B$61:$B$108,$B135,'11.1.Амортиз.нови активи'!H$61:H$108)+('11.1.Амортиз.нови активи'!H$110*SUMIF('11.1.Амортиз.нови активи'!$B$61:$B$108,$B135,'11.1.Амортиз.нови активи'!AQ$61:AQ$108))</f>
        <v>25.6</v>
      </c>
      <c r="I135" s="1110">
        <f>$E135-SUMIF('11.2. ДА за периода'!$B$61:$B$108,$B135,'11.2. ДА за периода'!$E$61:$E$108)+SUMIF('11.2. ДА за периода'!$B$61:$B$108,$B135,'11.2. ДА за периода'!I$61:I$108)+SUMIF('11.1.Амортиз.нови активи'!$B$61:$B$108,$B135,'11.1.Амортиз.нови активи'!I$61:I$108)+('11.1.Амортиз.нови активи'!I$110*SUMIF('11.1.Амортиз.нови активи'!$B$61:$B$108,$B135,'11.1.Амортиз.нови активи'!AR$61:AR$108))</f>
        <v>25</v>
      </c>
      <c r="J135" s="1110">
        <f>$E135-SUMIF('11.2. ДА за периода'!$B$61:$B$108,$B135,'11.2. ДА за периода'!$E$61:$E$108)+SUMIF('11.2. ДА за периода'!$B$61:$B$108,$B135,'11.2. ДА за периода'!J$61:J$108)+SUMIF('11.1.Амортиз.нови активи'!$B$61:$B$108,$B135,'11.1.Амортиз.нови активи'!J$61:J$108)+('11.1.Амортиз.нови активи'!J$110*SUMIF('11.1.Амортиз.нови активи'!$B$61:$B$108,$B135,'11.1.Амортиз.нови активи'!AS$61:AS$108))</f>
        <v>23.200000000000003</v>
      </c>
      <c r="K135" s="1110">
        <f>$E135-SUMIF('11.2. ДА за периода'!$B$61:$B$108,$B135,'11.2. ДА за периода'!$E$61:$E$108)+SUMIF('11.2. ДА за периода'!$B$61:$B$108,$B135,'11.2. ДА за периода'!K$61:K$108)+SUMIF('11.1.Амортиз.нови активи'!$B$61:$B$108,$B135,'11.1.Амортиз.нови активи'!K$61:K$108)+('11.1.Амортиз.нови активи'!K$110*SUMIF('11.1.Амортиз.нови активи'!$B$61:$B$108,$B135,'11.1.Амортиз.нови активи'!AT$61:AT$108))</f>
        <v>23.200000000000003</v>
      </c>
      <c r="L135" s="4387">
        <f>+'11.3. ДА Базова година'!J115</f>
        <v>0</v>
      </c>
      <c r="M135" s="2617">
        <f>$L135-SUMIF('11.2. ДА за периода'!$B$61:$B$108,$B135,'11.2. ДА за периода'!$L$61:$L$108)+SUMIF('11.2. ДА за периода'!$B$61:$B$108,$B135,'11.2. ДА за периода'!M$61:M$108)+SUMIF('11.1.Амортиз.нови активи'!$B$61:$B$108,$B135,'11.1.Амортиз.нови активи'!M$61:M$108)+('11.1.Амортиз.нови активи'!F$111*SUMIF('11.1.Амортиз.нови активи'!$B$61:$B$108,$B135,'11.1.Амортиз.нови активи'!AO$61:AO$108))</f>
        <v>0</v>
      </c>
      <c r="N135" s="1110">
        <f>$L135-SUMIF('11.2. ДА за периода'!$B$61:$B$108,$B135,'11.2. ДА за периода'!$L$61:$L$108)+SUMIF('11.2. ДА за периода'!$B$61:$B$108,$B135,'11.2. ДА за периода'!N$61:N$108)+SUMIF('11.1.Амортиз.нови активи'!$B$61:$B$108,$B135,'11.1.Амортиз.нови активи'!N$61:N$108)+('11.1.Амортиз.нови активи'!G$111*SUMIF('11.1.Амортиз.нови активи'!$B$61:$B$108,$B135,'11.1.Амортиз.нови активи'!AP$61:AP$108))</f>
        <v>0</v>
      </c>
      <c r="O135" s="1110">
        <f>$L135-SUMIF('11.2. ДА за периода'!$B$61:$B$108,$B135,'11.2. ДА за периода'!$L$61:$L$108)+SUMIF('11.2. ДА за периода'!$B$61:$B$108,$B135,'11.2. ДА за периода'!O$61:O$108)+SUMIF('11.1.Амортиз.нови активи'!$B$61:$B$108,$B135,'11.1.Амортиз.нови активи'!O$61:O$108)+('11.1.Амортиз.нови активи'!H$111*SUMIF('11.1.Амортиз.нови активи'!$B$61:$B$108,$B135,'11.1.Амортиз.нови активи'!AQ$61:AQ$108))</f>
        <v>-0.1</v>
      </c>
      <c r="P135" s="1110">
        <f>$L135-SUMIF('11.2. ДА за периода'!$B$61:$B$108,$B135,'11.2. ДА за периода'!$L$61:$L$108)+SUMIF('11.2. ДА за периода'!$B$61:$B$108,$B135,'11.2. ДА за периода'!P$61:P$108)+SUMIF('11.1.Амортиз.нови активи'!$B$61:$B$108,$B135,'11.1.Амортиз.нови активи'!P$61:P$108)+('11.1.Амортиз.нови активи'!I$111*SUMIF('11.1.Амортиз.нови активи'!$B$61:$B$108,$B135,'11.1.Амортиз.нови активи'!AR$61:AR$108))</f>
        <v>-0.1</v>
      </c>
      <c r="Q135" s="1110">
        <f>$L135-SUMIF('11.2. ДА за периода'!$B$61:$B$108,$B135,'11.2. ДА за периода'!$L$61:$L$108)+SUMIF('11.2. ДА за периода'!$B$61:$B$108,$B135,'11.2. ДА за периода'!Q$61:Q$108)+SUMIF('11.1.Амортиз.нови активи'!$B$61:$B$108,$B135,'11.1.Амортиз.нови активи'!Q$61:Q$108)+('11.1.Амортиз.нови активи'!J$111*SUMIF('11.1.Амортиз.нови активи'!$B$61:$B$108,$B135,'11.1.Амортиз.нови активи'!AS$61:AS$108))</f>
        <v>-0.1</v>
      </c>
      <c r="R135" s="2618">
        <f>$L135-SUMIF('11.2. ДА за периода'!$B$61:$B$108,$B135,'11.2. ДА за периода'!$L$61:$L$108)+SUMIF('11.2. ДА за периода'!$B$61:$B$108,$B135,'11.2. ДА за периода'!R$61:R$108)+SUMIF('11.1.Амортиз.нови активи'!$B$61:$B$108,$B135,'11.1.Амортиз.нови активи'!R$61:R$108)+('11.1.Амортиз.нови активи'!K$111*SUMIF('11.1.Амортиз.нови активи'!$B$61:$B$108,$B135,'11.1.Амортиз.нови активи'!AT$61:AT$108))</f>
        <v>-0.1</v>
      </c>
      <c r="S135" s="4387">
        <f>+'11.3. ДА Базова година'!N115</f>
        <v>3</v>
      </c>
      <c r="T135" s="2617">
        <f>$S135-SUMIF('11.2. ДА за периода'!$B$61:$B$108,$B135,'11.2. ДА за периода'!$S$61:$S$108)+SUMIF('11.2. ДА за периода'!$B$61:$B$108,$B135,'11.2. ДА за периода'!T$61:T$108)+SUMIF('11.1.Амортиз.нови активи'!$B$61:$B$108,$B135,'11.1.Амортиз.нови активи'!T$61:T$108)+('11.1.Амортиз.нови активи'!F$112*SUMIF('11.1.Амортиз.нови активи'!$B$61:$B$108,$B135,'11.1.Амортиз.нови активи'!AO$61:AO$108))</f>
        <v>3</v>
      </c>
      <c r="U135" s="1110">
        <f>$S135-SUMIF('11.2. ДА за периода'!$B$61:$B$108,$B135,'11.2. ДА за периода'!$S$61:$S$108)+SUMIF('11.2. ДА за периода'!$B$61:$B$108,$B135,'11.2. ДА за периода'!U$61:U$108)+SUMIF('11.1.Амортиз.нови активи'!$B$61:$B$108,$B135,'11.1.Амортиз.нови активи'!U$61:U$108)+('11.1.Амортиз.нови активи'!G$112*SUMIF('11.1.Амортиз.нови активи'!$B$61:$B$108,$B135,'11.1.Амортиз.нови активи'!AP$61:AP$108))</f>
        <v>3</v>
      </c>
      <c r="V135" s="1110">
        <f>$S135-SUMIF('11.2. ДА за периода'!$B$61:$B$108,$B135,'11.2. ДА за периода'!$S$61:$S$108)+SUMIF('11.2. ДА за периода'!$B$61:$B$108,$B135,'11.2. ДА за периода'!V$61:V$108)+SUMIF('11.1.Амортиз.нови активи'!$B$61:$B$108,$B135,'11.1.Амортиз.нови активи'!V$61:V$108)+('11.1.Амортиз.нови активи'!H$112*SUMIF('11.1.Амортиз.нови активи'!$B$61:$B$108,$B135,'11.1.Амортиз.нови активи'!AQ$61:AQ$108))</f>
        <v>3</v>
      </c>
      <c r="W135" s="1110">
        <f>$S135-SUMIF('11.2. ДА за периода'!$B$61:$B$108,$B135,'11.2. ДА за периода'!$S$61:$S$108)+SUMIF('11.2. ДА за периода'!$B$61:$B$108,$B135,'11.2. ДА за периода'!W$61:W$108)+SUMIF('11.1.Амортиз.нови активи'!$B$61:$B$108,$B135,'11.1.Амортиз.нови активи'!W$61:W$108)+('11.1.Амортиз.нови активи'!I$112*SUMIF('11.1.Амортиз.нови активи'!$B$61:$B$108,$B135,'11.1.Амортиз.нови активи'!AR$61:AR$108))</f>
        <v>3</v>
      </c>
      <c r="X135" s="1110">
        <f>$S135-SUMIF('11.2. ДА за периода'!$B$61:$B$108,$B135,'11.2. ДА за периода'!$S$61:$S$108)+SUMIF('11.2. ДА за периода'!$B$61:$B$108,$B135,'11.2. ДА за периода'!X$61:X$108)+SUMIF('11.1.Амортиз.нови активи'!$B$61:$B$108,$B135,'11.1.Амортиз.нови активи'!X$61:X$108)+('11.1.Амортиз.нови активи'!J$112*SUMIF('11.1.Амортиз.нови активи'!$B$61:$B$108,$B135,'11.1.Амортиз.нови активи'!AS$61:AS$108))</f>
        <v>2.9</v>
      </c>
      <c r="Y135" s="2618">
        <f>$S135-SUMIF('11.2. ДА за периода'!$B$61:$B$108,$B135,'11.2. ДА за периода'!$S$61:$S$108)+SUMIF('11.2. ДА за периода'!$B$61:$B$108,$B135,'11.2. ДА за периода'!Y$61:Y$108)+SUMIF('11.1.Амортиз.нови активи'!$B$61:$B$108,$B135,'11.1.Амортиз.нови активи'!Y$61:Y$108)+('11.1.Амортиз.нови активи'!K$112*SUMIF('11.1.Амортиз.нови активи'!$B$61:$B$108,$B135,'11.1.Амортиз.нови активи'!AT$61:AT$108))</f>
        <v>2.9</v>
      </c>
      <c r="Z135" s="4387">
        <f>+'11.3. ДА Базова година'!R115</f>
        <v>0</v>
      </c>
      <c r="AA135" s="2617">
        <f>$Z135-SUMIF('11.2. ДА за периода'!$B$61:$B$108,$B135,'11.2. ДА за периода'!$Z$61:$Z$108)+SUMIF('11.2. ДА за периода'!$B$61:$B$108,$B135,'11.2. ДА за периода'!AA$61:AA$108)+SUMIF('11.1.Амортиз.нови активи'!$B$61:$B$108,$B135,'11.1.Амортиз.нови активи'!AA$61:AA$108)</f>
        <v>0</v>
      </c>
      <c r="AB135" s="1110">
        <f>$Z135-SUMIF('11.2. ДА за периода'!$B$61:$B$108,$B135,'11.2. ДА за периода'!$Z$61:$Z$108)+SUMIF('11.2. ДА за периода'!$B$61:$B$108,$B135,'11.2. ДА за периода'!AB$61:AB$108)+SUMIF('11.1.Амортиз.нови активи'!$B$61:$B$108,$B135,'11.1.Амортиз.нови активи'!AB$61:AB$108)</f>
        <v>0</v>
      </c>
      <c r="AC135" s="1110">
        <f>$Z135-SUMIF('11.2. ДА за периода'!$B$61:$B$108,$B135,'11.2. ДА за периода'!$Z$61:$Z$108)+SUMIF('11.2. ДА за периода'!$B$61:$B$108,$B135,'11.2. ДА за периода'!AC$61:AC$108)+SUMIF('11.1.Амортиз.нови активи'!$B$61:$B$108,$B135,'11.1.Амортиз.нови активи'!AC$61:AC$108)</f>
        <v>0</v>
      </c>
      <c r="AD135" s="1110">
        <f>$Z135-SUMIF('11.2. ДА за периода'!$B$61:$B$108,$B135,'11.2. ДА за периода'!$Z$61:$Z$108)+SUMIF('11.2. ДА за периода'!$B$61:$B$108,$B135,'11.2. ДА за периода'!AD$61:AD$108)+SUMIF('11.1.Амортиз.нови активи'!$B$61:$B$108,$B135,'11.1.Амортиз.нови активи'!AD$61:AD$108)</f>
        <v>0</v>
      </c>
      <c r="AE135" s="1110">
        <f>$Z135-SUMIF('11.2. ДА за периода'!$B$61:$B$108,$B135,'11.2. ДА за периода'!$Z$61:$Z$108)+SUMIF('11.2. ДА за периода'!$B$61:$B$108,$B135,'11.2. ДА за периода'!AE$61:AE$108)+SUMIF('11.1.Амортиз.нови активи'!$B$61:$B$108,$B135,'11.1.Амортиз.нови активи'!AE$61:AE$108)</f>
        <v>0</v>
      </c>
      <c r="AF135" s="2618">
        <f>$Z135-SUMIF('11.2. ДА за периода'!$B$61:$B$108,$B135,'11.2. ДА за периода'!$Z$61:$Z$108)+SUMIF('11.2. ДА за периода'!$B$61:$B$108,$B135,'11.2. ДА за периода'!AF$61:AF$108)+SUMIF('11.1.Амортиз.нови активи'!$B$61:$B$108,$B135,'11.1.Амортиз.нови активи'!AF$61:AF$108)</f>
        <v>0</v>
      </c>
      <c r="AG135" s="4387">
        <f>+'11.3. ДА Базова година'!V115</f>
        <v>0</v>
      </c>
      <c r="AH135" s="2617">
        <f>$AG135-SUMIF('11.2. ДА за периода'!$B$61:$B$108,$B135,'11.2. ДА за периода'!$AG$61:$AG$108)+SUMIF('11.2. ДА за периода'!$B$61:$B$108,$B135,'11.2. ДА за периода'!AH$61:AH$108)+SUMIF('11.1.Амортиз.нови активи'!$B$61:$B$108,$B135,'11.1.Амортиз.нови активи'!AH$61:AH$108)</f>
        <v>0</v>
      </c>
      <c r="AI135" s="1110">
        <f>$AG135-SUMIF('11.2. ДА за периода'!$B$61:$B$108,$B135,'11.2. ДА за периода'!$AG$61:$AG$108)+SUMIF('11.2. ДА за периода'!$B$61:$B$108,$B135,'11.2. ДА за периода'!AI$61:AI$108)+SUMIF('11.1.Амортиз.нови активи'!$B$61:$B$108,$B135,'11.1.Амортиз.нови активи'!AI$61:AI$108)</f>
        <v>0</v>
      </c>
      <c r="AJ135" s="1110">
        <f>$AG135-SUMIF('11.2. ДА за периода'!$B$61:$B$108,$B135,'11.2. ДА за периода'!$AG$61:$AG$108)+SUMIF('11.2. ДА за периода'!$B$61:$B$108,$B135,'11.2. ДА за периода'!AJ$61:AJ$108)+SUMIF('11.1.Амортиз.нови активи'!$B$61:$B$108,$B135,'11.1.Амортиз.нови активи'!AJ$61:AJ$108)</f>
        <v>0</v>
      </c>
      <c r="AK135" s="1110">
        <f>$AG135-SUMIF('11.2. ДА за периода'!$B$61:$B$108,$B135,'11.2. ДА за периода'!$AG$61:$AG$108)+SUMIF('11.2. ДА за периода'!$B$61:$B$108,$B135,'11.2. ДА за периода'!AK$61:AK$108)+SUMIF('11.1.Амортиз.нови активи'!$B$61:$B$108,$B135,'11.1.Амортиз.нови активи'!AK$61:AK$108)</f>
        <v>0</v>
      </c>
      <c r="AL135" s="1110">
        <f>$AG135-SUMIF('11.2. ДА за периода'!$B$61:$B$108,$B135,'11.2. ДА за периода'!$AG$61:$AG$108)+SUMIF('11.2. ДА за периода'!$B$61:$B$108,$B135,'11.2. ДА за периода'!AL$61:AL$108)+SUMIF('11.1.Амортиз.нови активи'!$B$61:$B$108,$B135,'11.1.Амортиз.нови активи'!AL$61:AL$108)</f>
        <v>0</v>
      </c>
      <c r="AM135" s="2618">
        <f>$AG135-SUMIF('11.2. ДА за периода'!$B$61:$B$108,$B135,'11.2. ДА за периода'!$AG$61:$AG$108)+SUMIF('11.2. ДА за периода'!$B$61:$B$108,$B135,'11.2. ДА за периода'!AM$61:AM$108)+SUMIF('11.1.Амортиз.нови активи'!$B$61:$B$108,$B135,'11.1.Амортиз.нови активи'!AM$61:AM$108)</f>
        <v>0</v>
      </c>
      <c r="AN135" s="2513"/>
      <c r="AO135" s="2551"/>
      <c r="AP135" s="4422"/>
      <c r="AQ135" s="4438">
        <f t="shared" si="174"/>
        <v>12.271005148709245</v>
      </c>
      <c r="AR135" s="4438">
        <f t="shared" si="175"/>
        <v>13.651493227939035</v>
      </c>
      <c r="AS135" s="4438">
        <f t="shared" si="176"/>
        <v>13.651493227939035</v>
      </c>
      <c r="AT135" s="4438">
        <f t="shared" si="177"/>
        <v>13.089072158623194</v>
      </c>
      <c r="AU135" s="4438">
        <f t="shared" si="178"/>
        <v>12.782297029905463</v>
      </c>
      <c r="AV135" s="4438">
        <f t="shared" si="179"/>
        <v>11.86197164375227</v>
      </c>
      <c r="AW135" s="4438">
        <f t="shared" si="180"/>
        <v>11.86197164375227</v>
      </c>
      <c r="AX135" s="4438">
        <f t="shared" si="181"/>
        <v>0</v>
      </c>
      <c r="AY135" s="4438">
        <f t="shared" si="182"/>
        <v>0</v>
      </c>
      <c r="AZ135" s="4438">
        <f t="shared" si="183"/>
        <v>0</v>
      </c>
      <c r="BA135" s="4438">
        <f t="shared" si="184"/>
        <v>-5.1129188119621853E-2</v>
      </c>
      <c r="BB135" s="4438">
        <f t="shared" si="185"/>
        <v>-5.1129188119621853E-2</v>
      </c>
      <c r="BC135" s="4438">
        <f t="shared" si="186"/>
        <v>-5.1129188119621853E-2</v>
      </c>
      <c r="BD135" s="4438">
        <f t="shared" si="187"/>
        <v>-5.1129188119621853E-2</v>
      </c>
      <c r="BE135" s="4438">
        <f t="shared" si="188"/>
        <v>1.5338756435886556</v>
      </c>
      <c r="BF135" s="4438">
        <f t="shared" si="189"/>
        <v>1.5338756435886556</v>
      </c>
      <c r="BG135" s="4438">
        <f t="shared" si="190"/>
        <v>1.5338756435886556</v>
      </c>
      <c r="BH135" s="4438">
        <f t="shared" si="191"/>
        <v>1.5338756435886556</v>
      </c>
      <c r="BI135" s="4438">
        <f t="shared" si="192"/>
        <v>1.5338756435886556</v>
      </c>
      <c r="BJ135" s="4438">
        <f t="shared" si="193"/>
        <v>1.4827464554690335</v>
      </c>
      <c r="BK135" s="4438">
        <f t="shared" si="194"/>
        <v>1.4827464554690335</v>
      </c>
      <c r="BL135" s="4438">
        <f t="shared" si="195"/>
        <v>0</v>
      </c>
      <c r="BM135" s="4438">
        <f t="shared" si="196"/>
        <v>0</v>
      </c>
      <c r="BN135" s="4438">
        <f t="shared" si="197"/>
        <v>0</v>
      </c>
      <c r="BO135" s="4438">
        <f t="shared" si="198"/>
        <v>0</v>
      </c>
      <c r="BP135" s="4438">
        <f t="shared" si="199"/>
        <v>0</v>
      </c>
      <c r="BQ135" s="4438">
        <f t="shared" si="200"/>
        <v>0</v>
      </c>
      <c r="BR135" s="4438">
        <f t="shared" si="201"/>
        <v>0</v>
      </c>
      <c r="BS135" s="4438">
        <f t="shared" si="202"/>
        <v>0</v>
      </c>
      <c r="BT135" s="4438">
        <f t="shared" si="203"/>
        <v>0</v>
      </c>
      <c r="BU135" s="4438">
        <f t="shared" si="204"/>
        <v>0</v>
      </c>
      <c r="BV135" s="4438">
        <f t="shared" si="205"/>
        <v>0</v>
      </c>
      <c r="BW135" s="4438">
        <f t="shared" si="206"/>
        <v>0</v>
      </c>
      <c r="BX135" s="4438">
        <f t="shared" si="207"/>
        <v>0</v>
      </c>
      <c r="BY135" s="4438">
        <f t="shared" si="208"/>
        <v>0</v>
      </c>
    </row>
    <row r="136" spans="1:77" s="1292" customFormat="1">
      <c r="A136" s="2515">
        <v>5</v>
      </c>
      <c r="B136" s="2516">
        <v>2030501</v>
      </c>
      <c r="C136" s="2522">
        <v>0.1</v>
      </c>
      <c r="D136" s="2552" t="s">
        <v>408</v>
      </c>
      <c r="E136" s="4387">
        <f>+'11.3. ДА Базова година'!F116</f>
        <v>42</v>
      </c>
      <c r="F136" s="2617">
        <f>$E136-SUMIF('11.2. ДА за периода'!$B$61:$B$108,$B136,'11.2. ДА за периода'!$E$61:$E$108)+SUMIF('11.2. ДА за периода'!$B$61:$B$108,$B136,'11.2. ДА за периода'!F$61:F$108)+SUMIF('11.1.Амортиз.нови активи'!$B$61:$B$108,$B136,'11.1.Амортиз.нови активи'!F$61:F$108)+('11.1.Амортиз.нови активи'!F$110*SUMIF('11.1.Амортиз.нови активи'!$B$61:$B$108,$B136,'11.1.Амортиз.нови активи'!AO$61:AO$108))</f>
        <v>70.285468749999993</v>
      </c>
      <c r="G136" s="1110">
        <f>$E136-SUMIF('11.2. ДА за периода'!$B$61:$B$108,$B136,'11.2. ДА за периода'!$E$61:$E$108)+SUMIF('11.2. ДА за периода'!$B$61:$B$108,$B136,'11.2. ДА за периода'!G$61:G$108)+SUMIF('11.1.Амортиз.нови активи'!$B$61:$B$108,$B136,'11.1.Амортиз.нови активи'!G$61:G$108)+('11.1.Амортиз.нови активи'!G$110*SUMIF('11.1.Амортиз.нови активи'!$B$61:$B$108,$B136,'11.1.Амортиз.нови активи'!AP$61:AP$108))</f>
        <v>131.11658389450204</v>
      </c>
      <c r="H136" s="1110">
        <f>$E136-SUMIF('11.2. ДА за периода'!$B$61:$B$108,$B136,'11.2. ДА за периода'!$E$61:$E$108)+SUMIF('11.2. ДА за периода'!$B$61:$B$108,$B136,'11.2. ДА за периода'!H$61:H$108)+SUMIF('11.1.Амортиз.нови активи'!$B$61:$B$108,$B136,'11.1.Амортиз.нови активи'!H$61:H$108)+('11.1.Амортиз.нови активи'!H$110*SUMIF('11.1.Амортиз.нови активи'!$B$61:$B$108,$B136,'11.1.Амортиз.нови активи'!AQ$61:AQ$108))</f>
        <v>226.0380472932149</v>
      </c>
      <c r="I136" s="1110">
        <f>$E136-SUMIF('11.2. ДА за периода'!$B$61:$B$108,$B136,'11.2. ДА за периода'!$E$61:$E$108)+SUMIF('11.2. ДА за периода'!$B$61:$B$108,$B136,'11.2. ДА за периода'!I$61:I$108)+SUMIF('11.1.Амортиз.нови активи'!$B$61:$B$108,$B136,'11.1.Амортиз.нови активи'!I$61:I$108)+('11.1.Амортиз.нови активи'!I$110*SUMIF('11.1.Амортиз.нови активи'!$B$61:$B$108,$B136,'11.1.Амортиз.нови активи'!AR$61:AR$108))</f>
        <v>311.84668410843165</v>
      </c>
      <c r="J136" s="1110">
        <f>$E136-SUMIF('11.2. ДА за периода'!$B$61:$B$108,$B136,'11.2. ДА за периода'!$E$61:$E$108)+SUMIF('11.2. ДА за периода'!$B$61:$B$108,$B136,'11.2. ДА за периода'!J$61:J$108)+SUMIF('11.1.Амортиз.нови активи'!$B$61:$B$108,$B136,'11.1.Амортиз.нови активи'!J$61:J$108)+('11.1.Амортиз.нови активи'!J$110*SUMIF('11.1.Амортиз.нови активи'!$B$61:$B$108,$B136,'11.1.Амортиз.нови активи'!AS$61:AS$108))</f>
        <v>386.47674604237324</v>
      </c>
      <c r="K136" s="1110">
        <f>$E136-SUMIF('11.2. ДА за периода'!$B$61:$B$108,$B136,'11.2. ДА за периода'!$E$61:$E$108)+SUMIF('11.2. ДА за периода'!$B$61:$B$108,$B136,'11.2. ДА за периода'!K$61:K$108)+SUMIF('11.1.Амортиз.нови активи'!$B$61:$B$108,$B136,'11.1.Амортиз.нови активи'!K$61:K$108)+('11.1.Амортиз.нови активи'!K$110*SUMIF('11.1.Амортиз.нови активи'!$B$61:$B$108,$B136,'11.1.Амортиз.нови активи'!AT$61:AT$108))</f>
        <v>465.99768990828522</v>
      </c>
      <c r="L136" s="4387">
        <f>+'11.3. ДА Базова година'!J116</f>
        <v>21</v>
      </c>
      <c r="M136" s="2617">
        <f>$L136-SUMIF('11.2. ДА за периода'!$B$61:$B$108,$B136,'11.2. ДА за периода'!$L$61:$L$108)+SUMIF('11.2. ДА за периода'!$B$61:$B$108,$B136,'11.2. ДА за периода'!M$61:M$108)+SUMIF('11.1.Амортиз.нови активи'!$B$61:$B$108,$B136,'11.1.Амортиз.нови активи'!M$61:M$108)+('11.1.Амортиз.нови активи'!F$111*SUMIF('11.1.Амортиз.нови активи'!$B$61:$B$108,$B136,'11.1.Амортиз.нови активи'!AO$61:AO$108))</f>
        <v>27.439687500000005</v>
      </c>
      <c r="N136" s="1110">
        <f>$L136-SUMIF('11.2. ДА за периода'!$B$61:$B$108,$B136,'11.2. ДА за периода'!$L$61:$L$108)+SUMIF('11.2. ДА за периода'!$B$61:$B$108,$B136,'11.2. ДА за периода'!N$61:N$108)+SUMIF('11.1.Амортиз.нови активи'!$B$61:$B$108,$B136,'11.1.Амортиз.нови активи'!N$61:N$108)+('11.1.Амортиз.нови активи'!G$111*SUMIF('11.1.Амортиз.нови активи'!$B$61:$B$108,$B136,'11.1.Амортиз.нови активи'!AP$61:AP$108))</f>
        <v>36.712953506765714</v>
      </c>
      <c r="O136" s="1110">
        <f>$L136-SUMIF('11.2. ДА за периода'!$B$61:$B$108,$B136,'11.2. ДА за периода'!$L$61:$L$108)+SUMIF('11.2. ДА за периода'!$B$61:$B$108,$B136,'11.2. ДА за периода'!O$61:O$108)+SUMIF('11.1.Амортиз.нови активи'!$B$61:$B$108,$B136,'11.1.Амортиз.нови активи'!O$61:O$108)+('11.1.Амортиз.нови активи'!H$111*SUMIF('11.1.Амортиз.нови активи'!$B$61:$B$108,$B136,'11.1.Амортиз.нови активи'!AQ$61:AQ$108))</f>
        <v>48.949983033937123</v>
      </c>
      <c r="P136" s="1110">
        <f>$L136-SUMIF('11.2. ДА за периода'!$B$61:$B$108,$B136,'11.2. ДА за периода'!$L$61:$L$108)+SUMIF('11.2. ДА за периода'!$B$61:$B$108,$B136,'11.2. ДА за периода'!P$61:P$108)+SUMIF('11.1.Амортиз.нови активи'!$B$61:$B$108,$B136,'11.1.Амортиз.нови активи'!P$61:P$108)+('11.1.Амортиз.нови активи'!I$111*SUMIF('11.1.Амортиз.нови активи'!$B$61:$B$108,$B136,'11.1.Амортиз.нови активи'!AR$61:AR$108))</f>
        <v>60.400906483426795</v>
      </c>
      <c r="Q136" s="1110">
        <f>$L136-SUMIF('11.2. ДА за периода'!$B$61:$B$108,$B136,'11.2. ДА за периода'!$L$61:$L$108)+SUMIF('11.2. ДА за периода'!$B$61:$B$108,$B136,'11.2. ДА за периода'!Q$61:Q$108)+SUMIF('11.1.Амортиз.нови активи'!$B$61:$B$108,$B136,'11.1.Амортиз.нови активи'!Q$61:Q$108)+('11.1.Амортиз.нови активи'!J$111*SUMIF('11.1.Амортиз.нови активи'!$B$61:$B$108,$B136,'11.1.Амортиз.нови активи'!AS$61:AS$108))</f>
        <v>68.177636606103562</v>
      </c>
      <c r="R136" s="2618">
        <f>$L136-SUMIF('11.2. ДА за периода'!$B$61:$B$108,$B136,'11.2. ДА за периода'!$L$61:$L$108)+SUMIF('11.2. ДА за периода'!$B$61:$B$108,$B136,'11.2. ДА за периода'!R$61:R$108)+SUMIF('11.1.Амортиз.нови активи'!$B$61:$B$108,$B136,'11.1.Амортиз.нови активи'!R$61:R$108)+('11.1.Амортиз.нови активи'!K$111*SUMIF('11.1.Амортиз.нови активи'!$B$61:$B$108,$B136,'11.1.Амортиз.нови активи'!AT$61:AT$108))</f>
        <v>73.941332383658192</v>
      </c>
      <c r="S136" s="4387">
        <f>+'11.3. ДА Базова година'!N116</f>
        <v>35</v>
      </c>
      <c r="T136" s="2617">
        <f>$S136-SUMIF('11.2. ДА за периода'!$B$61:$B$108,$B136,'11.2. ДА за периода'!$S$61:$S$108)+SUMIF('11.2. ДА за периода'!$B$61:$B$108,$B136,'11.2. ДА за периода'!T$61:T$108)+SUMIF('11.1.Амортиз.нови активи'!$B$61:$B$108,$B136,'11.1.Амортиз.нови активи'!T$61:T$108)+('11.1.Амортиз.нови активи'!F$112*SUMIF('11.1.Амортиз.нови активи'!$B$61:$B$108,$B136,'11.1.Амортиз.нови активи'!AO$61:AO$108))</f>
        <v>42.974843750000005</v>
      </c>
      <c r="U136" s="1110">
        <f>$S136-SUMIF('11.2. ДА за периода'!$B$61:$B$108,$B136,'11.2. ДА за периода'!$S$61:$S$108)+SUMIF('11.2. ДА за периода'!$B$61:$B$108,$B136,'11.2. ДА за периода'!U$61:U$108)+SUMIF('11.1.Амортиз.нови активи'!$B$61:$B$108,$B136,'11.1.Амортиз.нови активи'!U$61:U$108)+('11.1.Амортиз.нови активи'!G$112*SUMIF('11.1.Амортиз.нови активи'!$B$61:$B$108,$B136,'11.1.Амортиз.нови активи'!AP$61:AP$108))</f>
        <v>50.470462598732233</v>
      </c>
      <c r="V136" s="1110">
        <f>$S136-SUMIF('11.2. ДА за периода'!$B$61:$B$108,$B136,'11.2. ДА за периода'!$S$61:$S$108)+SUMIF('11.2. ДА за периода'!$B$61:$B$108,$B136,'11.2. ДА за периода'!V$61:V$108)+SUMIF('11.1.Амортиз.нови активи'!$B$61:$B$108,$B136,'11.1.Амортиз.нови активи'!V$61:V$108)+('11.1.Амортиз.нови активи'!H$112*SUMIF('11.1.Амортиз.нови активи'!$B$61:$B$108,$B136,'11.1.Амортиз.нови активи'!AQ$61:AQ$108))</f>
        <v>74.011969672848025</v>
      </c>
      <c r="W136" s="1110">
        <f>$S136-SUMIF('11.2. ДА за периода'!$B$61:$B$108,$B136,'11.2. ДА за периода'!$S$61:$S$108)+SUMIF('11.2. ДА за периода'!$B$61:$B$108,$B136,'11.2. ДА за периода'!W$61:W$108)+SUMIF('11.1.Амортиз.нови активи'!$B$61:$B$108,$B136,'11.1.Амортиз.нови активи'!W$61:W$108)+('11.1.Амортиз.нови активи'!I$112*SUMIF('11.1.Амортиз.нови активи'!$B$61:$B$108,$B136,'11.1.Амортиз.нови активи'!AR$61:AR$108))</f>
        <v>100.70240940814158</v>
      </c>
      <c r="X136" s="1110">
        <f>$S136-SUMIF('11.2. ДА за периода'!$B$61:$B$108,$B136,'11.2. ДА за периода'!$S$61:$S$108)+SUMIF('11.2. ДА за периода'!$B$61:$B$108,$B136,'11.2. ДА за периода'!X$61:X$108)+SUMIF('11.1.Амортиз.нови активи'!$B$61:$B$108,$B136,'11.1.Амортиз.нови активи'!X$61:X$108)+('11.1.Амортиз.нови активи'!J$112*SUMIF('11.1.Амортиз.нови активи'!$B$61:$B$108,$B136,'11.1.Амортиз.нови активи'!AS$61:AS$108))</f>
        <v>117.75561735152324</v>
      </c>
      <c r="Y136" s="2618">
        <f>$S136-SUMIF('11.2. ДА за периода'!$B$61:$B$108,$B136,'11.2. ДА за периода'!$S$61:$S$108)+SUMIF('11.2. ДА за периода'!$B$61:$B$108,$B136,'11.2. ДА за периода'!Y$61:Y$108)+SUMIF('11.1.Амортиз.нови активи'!$B$61:$B$108,$B136,'11.1.Амортиз.нови активи'!Y$61:Y$108)+('11.1.Амортиз.нови активи'!K$112*SUMIF('11.1.Амортиз.нови активи'!$B$61:$B$108,$B136,'11.1.Амортиз.нови активи'!AT$61:AT$108))</f>
        <v>128.28097770805658</v>
      </c>
      <c r="Z136" s="4387">
        <f>+'11.3. ДА Базова година'!R116</f>
        <v>0</v>
      </c>
      <c r="AA136" s="2617">
        <f>$Z136-SUMIF('11.2. ДА за периода'!$B$61:$B$108,$B136,'11.2. ДА за периода'!$Z$61:$Z$108)+SUMIF('11.2. ДА за периода'!$B$61:$B$108,$B136,'11.2. ДА за периода'!AA$61:AA$108)+SUMIF('11.1.Амортиз.нови активи'!$B$61:$B$108,$B136,'11.1.Амортиз.нови активи'!AA$61:AA$108)</f>
        <v>0</v>
      </c>
      <c r="AB136" s="1110">
        <f>$Z136-SUMIF('11.2. ДА за периода'!$B$61:$B$108,$B136,'11.2. ДА за периода'!$Z$61:$Z$108)+SUMIF('11.2. ДА за периода'!$B$61:$B$108,$B136,'11.2. ДА за периода'!AB$61:AB$108)+SUMIF('11.1.Амортиз.нови активи'!$B$61:$B$108,$B136,'11.1.Амортиз.нови активи'!AB$61:AB$108)</f>
        <v>0</v>
      </c>
      <c r="AC136" s="1110">
        <f>$Z136-SUMIF('11.2. ДА за периода'!$B$61:$B$108,$B136,'11.2. ДА за периода'!$Z$61:$Z$108)+SUMIF('11.2. ДА за периода'!$B$61:$B$108,$B136,'11.2. ДА за периода'!AC$61:AC$108)+SUMIF('11.1.Амортиз.нови активи'!$B$61:$B$108,$B136,'11.1.Амортиз.нови активи'!AC$61:AC$108)</f>
        <v>0</v>
      </c>
      <c r="AD136" s="1110">
        <f>$Z136-SUMIF('11.2. ДА за периода'!$B$61:$B$108,$B136,'11.2. ДА за периода'!$Z$61:$Z$108)+SUMIF('11.2. ДА за периода'!$B$61:$B$108,$B136,'11.2. ДА за периода'!AD$61:AD$108)+SUMIF('11.1.Амортиз.нови активи'!$B$61:$B$108,$B136,'11.1.Амортиз.нови активи'!AD$61:AD$108)</f>
        <v>0</v>
      </c>
      <c r="AE136" s="1110">
        <f>$Z136-SUMIF('11.2. ДА за периода'!$B$61:$B$108,$B136,'11.2. ДА за периода'!$Z$61:$Z$108)+SUMIF('11.2. ДА за периода'!$B$61:$B$108,$B136,'11.2. ДА за периода'!AE$61:AE$108)+SUMIF('11.1.Амортиз.нови активи'!$B$61:$B$108,$B136,'11.1.Амортиз.нови активи'!AE$61:AE$108)</f>
        <v>0</v>
      </c>
      <c r="AF136" s="2618">
        <f>$Z136-SUMIF('11.2. ДА за периода'!$B$61:$B$108,$B136,'11.2. ДА за периода'!$Z$61:$Z$108)+SUMIF('11.2. ДА за периода'!$B$61:$B$108,$B136,'11.2. ДА за периода'!AF$61:AF$108)+SUMIF('11.1.Амортиз.нови активи'!$B$61:$B$108,$B136,'11.1.Амортиз.нови активи'!AF$61:AF$108)</f>
        <v>0</v>
      </c>
      <c r="AG136" s="4387">
        <f>+'11.3. ДА Базова година'!V116</f>
        <v>0</v>
      </c>
      <c r="AH136" s="2617">
        <f>$AG136-SUMIF('11.2. ДА за периода'!$B$61:$B$108,$B136,'11.2. ДА за периода'!$AG$61:$AG$108)+SUMIF('11.2. ДА за периода'!$B$61:$B$108,$B136,'11.2. ДА за периода'!AH$61:AH$108)+SUMIF('11.1.Амортиз.нови активи'!$B$61:$B$108,$B136,'11.1.Амортиз.нови активи'!AH$61:AH$108)</f>
        <v>0</v>
      </c>
      <c r="AI136" s="1110">
        <f>$AG136-SUMIF('11.2. ДА за периода'!$B$61:$B$108,$B136,'11.2. ДА за периода'!$AG$61:$AG$108)+SUMIF('11.2. ДА за периода'!$B$61:$B$108,$B136,'11.2. ДА за периода'!AI$61:AI$108)+SUMIF('11.1.Амортиз.нови активи'!$B$61:$B$108,$B136,'11.1.Амортиз.нови активи'!AI$61:AI$108)</f>
        <v>0</v>
      </c>
      <c r="AJ136" s="1110">
        <f>$AG136-SUMIF('11.2. ДА за периода'!$B$61:$B$108,$B136,'11.2. ДА за периода'!$AG$61:$AG$108)+SUMIF('11.2. ДА за периода'!$B$61:$B$108,$B136,'11.2. ДА за периода'!AJ$61:AJ$108)+SUMIF('11.1.Амортиз.нови активи'!$B$61:$B$108,$B136,'11.1.Амортиз.нови активи'!AJ$61:AJ$108)</f>
        <v>0</v>
      </c>
      <c r="AK136" s="1110">
        <f>$AG136-SUMIF('11.2. ДА за периода'!$B$61:$B$108,$B136,'11.2. ДА за периода'!$AG$61:$AG$108)+SUMIF('11.2. ДА за периода'!$B$61:$B$108,$B136,'11.2. ДА за периода'!AK$61:AK$108)+SUMIF('11.1.Амортиз.нови активи'!$B$61:$B$108,$B136,'11.1.Амортиз.нови активи'!AK$61:AK$108)</f>
        <v>0</v>
      </c>
      <c r="AL136" s="1110">
        <f>$AG136-SUMIF('11.2. ДА за периода'!$B$61:$B$108,$B136,'11.2. ДА за периода'!$AG$61:$AG$108)+SUMIF('11.2. ДА за периода'!$B$61:$B$108,$B136,'11.2. ДА за периода'!AL$61:AL$108)+SUMIF('11.1.Амортиз.нови активи'!$B$61:$B$108,$B136,'11.1.Амортиз.нови активи'!AL$61:AL$108)</f>
        <v>0</v>
      </c>
      <c r="AM136" s="2618">
        <f>$AG136-SUMIF('11.2. ДА за периода'!$B$61:$B$108,$B136,'11.2. ДА за периода'!$AG$61:$AG$108)+SUMIF('11.2. ДА за периода'!$B$61:$B$108,$B136,'11.2. ДА за периода'!AM$61:AM$108)+SUMIF('11.1.Амортиз.нови активи'!$B$61:$B$108,$B136,'11.1.Амортиз.нови активи'!AM$61:AM$108)</f>
        <v>0</v>
      </c>
      <c r="AN136" s="2524"/>
      <c r="AO136" s="2551"/>
      <c r="AP136" s="4422"/>
      <c r="AQ136" s="4438">
        <f t="shared" si="174"/>
        <v>21.474259010241177</v>
      </c>
      <c r="AR136" s="4438">
        <f t="shared" si="175"/>
        <v>35.936389537945523</v>
      </c>
      <c r="AS136" s="4438">
        <f t="shared" si="176"/>
        <v>67.038844835441751</v>
      </c>
      <c r="AT136" s="4438">
        <f t="shared" si="177"/>
        <v>115.57141842246764</v>
      </c>
      <c r="AU136" s="4438">
        <f t="shared" si="178"/>
        <v>159.44467776260291</v>
      </c>
      <c r="AV136" s="4438">
        <f t="shared" si="179"/>
        <v>197.6024225225982</v>
      </c>
      <c r="AW136" s="4438">
        <f t="shared" si="180"/>
        <v>238.26083550629923</v>
      </c>
      <c r="AX136" s="4438">
        <f t="shared" si="181"/>
        <v>10.737129505120588</v>
      </c>
      <c r="AY136" s="4438">
        <f t="shared" si="182"/>
        <v>14.029689441311364</v>
      </c>
      <c r="AZ136" s="4438">
        <f t="shared" si="183"/>
        <v>18.77103506274355</v>
      </c>
      <c r="BA136" s="4438">
        <f t="shared" si="184"/>
        <v>25.027728909944692</v>
      </c>
      <c r="BB136" s="4438">
        <f t="shared" si="185"/>
        <v>30.882493101868157</v>
      </c>
      <c r="BC136" s="4438">
        <f t="shared" si="186"/>
        <v>34.858672075846862</v>
      </c>
      <c r="BD136" s="4438">
        <f t="shared" si="187"/>
        <v>37.80560293259547</v>
      </c>
      <c r="BE136" s="4438">
        <f t="shared" si="188"/>
        <v>17.895215841867646</v>
      </c>
      <c r="BF136" s="4438">
        <f t="shared" si="189"/>
        <v>21.972688705051056</v>
      </c>
      <c r="BG136" s="4438">
        <f t="shared" si="190"/>
        <v>25.805137766949191</v>
      </c>
      <c r="BH136" s="4438">
        <f t="shared" si="191"/>
        <v>37.841719205067939</v>
      </c>
      <c r="BI136" s="4438">
        <f t="shared" si="192"/>
        <v>51.488324347280482</v>
      </c>
      <c r="BJ136" s="4438">
        <f t="shared" si="193"/>
        <v>60.207491117082384</v>
      </c>
      <c r="BK136" s="4438">
        <f t="shared" si="194"/>
        <v>65.589022414042418</v>
      </c>
      <c r="BL136" s="4438">
        <f t="shared" si="195"/>
        <v>0</v>
      </c>
      <c r="BM136" s="4438">
        <f t="shared" si="196"/>
        <v>0</v>
      </c>
      <c r="BN136" s="4438">
        <f t="shared" si="197"/>
        <v>0</v>
      </c>
      <c r="BO136" s="4438">
        <f t="shared" si="198"/>
        <v>0</v>
      </c>
      <c r="BP136" s="4438">
        <f t="shared" si="199"/>
        <v>0</v>
      </c>
      <c r="BQ136" s="4438">
        <f t="shared" si="200"/>
        <v>0</v>
      </c>
      <c r="BR136" s="4438">
        <f t="shared" si="201"/>
        <v>0</v>
      </c>
      <c r="BS136" s="4438">
        <f t="shared" si="202"/>
        <v>0</v>
      </c>
      <c r="BT136" s="4438">
        <f t="shared" si="203"/>
        <v>0</v>
      </c>
      <c r="BU136" s="4438">
        <f t="shared" si="204"/>
        <v>0</v>
      </c>
      <c r="BV136" s="4438">
        <f t="shared" si="205"/>
        <v>0</v>
      </c>
      <c r="BW136" s="4438">
        <f t="shared" si="206"/>
        <v>0</v>
      </c>
      <c r="BX136" s="4438">
        <f t="shared" si="207"/>
        <v>0</v>
      </c>
      <c r="BY136" s="4438">
        <f t="shared" si="208"/>
        <v>0</v>
      </c>
    </row>
    <row r="137" spans="1:77" s="1292" customFormat="1" ht="24">
      <c r="A137" s="2515">
        <v>6</v>
      </c>
      <c r="B137" s="2516">
        <v>2030502</v>
      </c>
      <c r="C137" s="2522">
        <v>0.1</v>
      </c>
      <c r="D137" s="2552" t="s">
        <v>695</v>
      </c>
      <c r="E137" s="4387">
        <f>+'11.3. ДА Базова година'!F117</f>
        <v>77</v>
      </c>
      <c r="F137" s="2617">
        <f>$E137-SUMIF('11.2. ДА за периода'!$B$61:$B$108,$B137,'11.2. ДА за периода'!$E$61:$E$108)+SUMIF('11.2. ДА за периода'!$B$61:$B$108,$B137,'11.2. ДА за периода'!F$61:F$108)+SUMIF('11.1.Амортиз.нови активи'!$B$61:$B$108,$B137,'11.1.Амортиз.нови активи'!F$61:F$108)+('11.1.Амортиз.нови активи'!F$110*SUMIF('11.1.Амортиз.нови активи'!$B$61:$B$108,$B137,'11.1.Амортиз.нови активи'!AO$61:AO$108))</f>
        <v>91.5</v>
      </c>
      <c r="G137" s="1110">
        <f>$E137-SUMIF('11.2. ДА за периода'!$B$61:$B$108,$B137,'11.2. ДА за периода'!$E$61:$E$108)+SUMIF('11.2. ДА за периода'!$B$61:$B$108,$B137,'11.2. ДА за периода'!G$61:G$108)+SUMIF('11.1.Амортиз.нови активи'!$B$61:$B$108,$B137,'11.1.Амортиз.нови активи'!G$61:G$108)+('11.1.Амортиз.нови активи'!G$110*SUMIF('11.1.Амортиз.нови активи'!$B$61:$B$108,$B137,'11.1.Амортиз.нови активи'!AP$61:AP$108))</f>
        <v>99.9</v>
      </c>
      <c r="H137" s="1110">
        <f>$E137-SUMIF('11.2. ДА за периода'!$B$61:$B$108,$B137,'11.2. ДА за периода'!$E$61:$E$108)+SUMIF('11.2. ДА за периода'!$B$61:$B$108,$B137,'11.2. ДА за периода'!H$61:H$108)+SUMIF('11.1.Амортиз.нови активи'!$B$61:$B$108,$B137,'11.1.Амортиз.нови активи'!H$61:H$108)+('11.1.Амортиз.нови активи'!H$110*SUMIF('11.1.Амортиз.нови активи'!$B$61:$B$108,$B137,'11.1.Амортиз.нови активи'!AQ$61:AQ$108))</f>
        <v>94.7</v>
      </c>
      <c r="I137" s="1110">
        <f>$E137-SUMIF('11.2. ДА за периода'!$B$61:$B$108,$B137,'11.2. ДА за периода'!$E$61:$E$108)+SUMIF('11.2. ДА за периода'!$B$61:$B$108,$B137,'11.2. ДА за периода'!I$61:I$108)+SUMIF('11.1.Амортиз.нови активи'!$B$61:$B$108,$B137,'11.1.Амортиз.нови активи'!I$61:I$108)+('11.1.Амортиз.нови активи'!I$110*SUMIF('11.1.Амортиз.нови активи'!$B$61:$B$108,$B137,'11.1.Амортиз.нови активи'!AR$61:AR$108))</f>
        <v>91</v>
      </c>
      <c r="J137" s="1110">
        <f>$E137-SUMIF('11.2. ДА за периода'!$B$61:$B$108,$B137,'11.2. ДА за периода'!$E$61:$E$108)+SUMIF('11.2. ДА за периода'!$B$61:$B$108,$B137,'11.2. ДА за периода'!J$61:J$108)+SUMIF('11.1.Амортиз.нови активи'!$B$61:$B$108,$B137,'11.1.Амортиз.нови активи'!J$61:J$108)+('11.1.Амортиз.нови активи'!J$110*SUMIF('11.1.Амортиз.нови активи'!$B$61:$B$108,$B137,'11.1.Амортиз.нови активи'!AS$61:AS$108))</f>
        <v>89.55</v>
      </c>
      <c r="K137" s="1110">
        <f>$E137-SUMIF('11.2. ДА за периода'!$B$61:$B$108,$B137,'11.2. ДА за периода'!$E$61:$E$108)+SUMIF('11.2. ДА за периода'!$B$61:$B$108,$B137,'11.2. ДА за периода'!K$61:K$108)+SUMIF('11.1.Амортиз.нови активи'!$B$61:$B$108,$B137,'11.1.Амортиз.нови активи'!K$61:K$108)+('11.1.Амортиз.нови активи'!K$110*SUMIF('11.1.Амортиз.нови активи'!$B$61:$B$108,$B137,'11.1.Амортиз.нови активи'!AT$61:AT$108))</f>
        <v>91.6</v>
      </c>
      <c r="L137" s="4387">
        <f>+'11.3. ДА Базова година'!J117</f>
        <v>0</v>
      </c>
      <c r="M137" s="2617">
        <f>$L137-SUMIF('11.2. ДА за периода'!$B$61:$B$108,$B137,'11.2. ДА за периода'!$L$61:$L$108)+SUMIF('11.2. ДА за периода'!$B$61:$B$108,$B137,'11.2. ДА за периода'!M$61:M$108)+SUMIF('11.1.Амортиз.нови активи'!$B$61:$B$108,$B137,'11.1.Амортиз.нови активи'!M$61:M$108)+('11.1.Амортиз.нови активи'!F$111*SUMIF('11.1.Амортиз.нови активи'!$B$61:$B$108,$B137,'11.1.Амортиз.нови активи'!AO$61:AO$108))</f>
        <v>0</v>
      </c>
      <c r="N137" s="1110">
        <f>$L137-SUMIF('11.2. ДА за периода'!$B$61:$B$108,$B137,'11.2. ДА за периода'!$L$61:$L$108)+SUMIF('11.2. ДА за периода'!$B$61:$B$108,$B137,'11.2. ДА за периода'!N$61:N$108)+SUMIF('11.1.Амортиз.нови активи'!$B$61:$B$108,$B137,'11.1.Амортиз.нови активи'!N$61:N$108)+('11.1.Амортиз.нови активи'!G$111*SUMIF('11.1.Амортиз.нови активи'!$B$61:$B$108,$B137,'11.1.Амортиз.нови активи'!AP$61:AP$108))</f>
        <v>0</v>
      </c>
      <c r="O137" s="1110">
        <f>$L137-SUMIF('11.2. ДА за периода'!$B$61:$B$108,$B137,'11.2. ДА за периода'!$L$61:$L$108)+SUMIF('11.2. ДА за периода'!$B$61:$B$108,$B137,'11.2. ДА за периода'!O$61:O$108)+SUMIF('11.1.Амортиз.нови активи'!$B$61:$B$108,$B137,'11.1.Амортиз.нови активи'!O$61:O$108)+('11.1.Амортиз.нови активи'!H$111*SUMIF('11.1.Амортиз.нови активи'!$B$61:$B$108,$B137,'11.1.Амортиз.нови активи'!AQ$61:AQ$108))</f>
        <v>0</v>
      </c>
      <c r="P137" s="1110">
        <f>$L137-SUMIF('11.2. ДА за периода'!$B$61:$B$108,$B137,'11.2. ДА за периода'!$L$61:$L$108)+SUMIF('11.2. ДА за периода'!$B$61:$B$108,$B137,'11.2. ДА за периода'!P$61:P$108)+SUMIF('11.1.Амортиз.нови активи'!$B$61:$B$108,$B137,'11.1.Амортиз.нови активи'!P$61:P$108)+('11.1.Амортиз.нови активи'!I$111*SUMIF('11.1.Амортиз.нови активи'!$B$61:$B$108,$B137,'11.1.Амортиз.нови активи'!AR$61:AR$108))</f>
        <v>0</v>
      </c>
      <c r="Q137" s="1110">
        <f>$L137-SUMIF('11.2. ДА за периода'!$B$61:$B$108,$B137,'11.2. ДА за периода'!$L$61:$L$108)+SUMIF('11.2. ДА за периода'!$B$61:$B$108,$B137,'11.2. ДА за периода'!Q$61:Q$108)+SUMIF('11.1.Амортиз.нови активи'!$B$61:$B$108,$B137,'11.1.Амортиз.нови активи'!Q$61:Q$108)+('11.1.Амортиз.нови активи'!J$111*SUMIF('11.1.Амортиз.нови активи'!$B$61:$B$108,$B137,'11.1.Амортиз.нови активи'!AS$61:AS$108))</f>
        <v>0</v>
      </c>
      <c r="R137" s="2618">
        <f>$L137-SUMIF('11.2. ДА за периода'!$B$61:$B$108,$B137,'11.2. ДА за периода'!$L$61:$L$108)+SUMIF('11.2. ДА за периода'!$B$61:$B$108,$B137,'11.2. ДА за периода'!R$61:R$108)+SUMIF('11.1.Амортиз.нови активи'!$B$61:$B$108,$B137,'11.1.Амортиз.нови активи'!R$61:R$108)+('11.1.Амортиз.нови активи'!K$111*SUMIF('11.1.Амортиз.нови активи'!$B$61:$B$108,$B137,'11.1.Амортиз.нови активи'!AT$61:AT$108))</f>
        <v>0</v>
      </c>
      <c r="S137" s="4387">
        <f>+'11.3. ДА Базова година'!N117</f>
        <v>0</v>
      </c>
      <c r="T137" s="2617">
        <f>$S137-SUMIF('11.2. ДА за периода'!$B$61:$B$108,$B137,'11.2. ДА за периода'!$S$61:$S$108)+SUMIF('11.2. ДА за периода'!$B$61:$B$108,$B137,'11.2. ДА за периода'!T$61:T$108)+SUMIF('11.1.Амортиз.нови активи'!$B$61:$B$108,$B137,'11.1.Амортиз.нови активи'!T$61:T$108)+('11.1.Амортиз.нови активи'!F$112*SUMIF('11.1.Амортиз.нови активи'!$B$61:$B$108,$B137,'11.1.Амортиз.нови активи'!AO$61:AO$108))</f>
        <v>0</v>
      </c>
      <c r="U137" s="1110">
        <f>$S137-SUMIF('11.2. ДА за периода'!$B$61:$B$108,$B137,'11.2. ДА за периода'!$S$61:$S$108)+SUMIF('11.2. ДА за периода'!$B$61:$B$108,$B137,'11.2. ДА за периода'!U$61:U$108)+SUMIF('11.1.Амортиз.нови активи'!$B$61:$B$108,$B137,'11.1.Амортиз.нови активи'!U$61:U$108)+('11.1.Амортиз.нови активи'!G$112*SUMIF('11.1.Амортиз.нови активи'!$B$61:$B$108,$B137,'11.1.Амортиз.нови активи'!AP$61:AP$108))</f>
        <v>0</v>
      </c>
      <c r="V137" s="1110">
        <f>$S137-SUMIF('11.2. ДА за периода'!$B$61:$B$108,$B137,'11.2. ДА за периода'!$S$61:$S$108)+SUMIF('11.2. ДА за периода'!$B$61:$B$108,$B137,'11.2. ДА за периода'!V$61:V$108)+SUMIF('11.1.Амортиз.нови активи'!$B$61:$B$108,$B137,'11.1.Амортиз.нови активи'!V$61:V$108)+('11.1.Амортиз.нови активи'!H$112*SUMIF('11.1.Амортиз.нови активи'!$B$61:$B$108,$B137,'11.1.Амортиз.нови активи'!AQ$61:AQ$108))</f>
        <v>0</v>
      </c>
      <c r="W137" s="1110">
        <f>$S137-SUMIF('11.2. ДА за периода'!$B$61:$B$108,$B137,'11.2. ДА за периода'!$S$61:$S$108)+SUMIF('11.2. ДА за периода'!$B$61:$B$108,$B137,'11.2. ДА за периода'!W$61:W$108)+SUMIF('11.1.Амортиз.нови активи'!$B$61:$B$108,$B137,'11.1.Амортиз.нови активи'!W$61:W$108)+('11.1.Амортиз.нови активи'!I$112*SUMIF('11.1.Амортиз.нови активи'!$B$61:$B$108,$B137,'11.1.Амортиз.нови активи'!AR$61:AR$108))</f>
        <v>0</v>
      </c>
      <c r="X137" s="1110">
        <f>$S137-SUMIF('11.2. ДА за периода'!$B$61:$B$108,$B137,'11.2. ДА за периода'!$S$61:$S$108)+SUMIF('11.2. ДА за периода'!$B$61:$B$108,$B137,'11.2. ДА за периода'!X$61:X$108)+SUMIF('11.1.Амортиз.нови активи'!$B$61:$B$108,$B137,'11.1.Амортиз.нови активи'!X$61:X$108)+('11.1.Амортиз.нови активи'!J$112*SUMIF('11.1.Амортиз.нови активи'!$B$61:$B$108,$B137,'11.1.Амортиз.нови активи'!AS$61:AS$108))</f>
        <v>0</v>
      </c>
      <c r="Y137" s="2618">
        <f>$S137-SUMIF('11.2. ДА за периода'!$B$61:$B$108,$B137,'11.2. ДА за периода'!$S$61:$S$108)+SUMIF('11.2. ДА за периода'!$B$61:$B$108,$B137,'11.2. ДА за периода'!Y$61:Y$108)+SUMIF('11.1.Амортиз.нови активи'!$B$61:$B$108,$B137,'11.1.Амортиз.нови активи'!Y$61:Y$108)+('11.1.Амортиз.нови активи'!K$112*SUMIF('11.1.Амортиз.нови активи'!$B$61:$B$108,$B137,'11.1.Амортиз.нови активи'!AT$61:AT$108))</f>
        <v>0</v>
      </c>
      <c r="Z137" s="4387">
        <f>+'11.3. ДА Базова година'!R117</f>
        <v>0</v>
      </c>
      <c r="AA137" s="2617">
        <f>$Z137-SUMIF('11.2. ДА за периода'!$B$61:$B$108,$B137,'11.2. ДА за периода'!$Z$61:$Z$108)+SUMIF('11.2. ДА за периода'!$B$61:$B$108,$B137,'11.2. ДА за периода'!AA$61:AA$108)+SUMIF('11.1.Амортиз.нови активи'!$B$61:$B$108,$B137,'11.1.Амортиз.нови активи'!AA$61:AA$108)</f>
        <v>0</v>
      </c>
      <c r="AB137" s="1110">
        <f>$Z137-SUMIF('11.2. ДА за периода'!$B$61:$B$108,$B137,'11.2. ДА за периода'!$Z$61:$Z$108)+SUMIF('11.2. ДА за периода'!$B$61:$B$108,$B137,'11.2. ДА за периода'!AB$61:AB$108)+SUMIF('11.1.Амортиз.нови активи'!$B$61:$B$108,$B137,'11.1.Амортиз.нови активи'!AB$61:AB$108)</f>
        <v>0</v>
      </c>
      <c r="AC137" s="1110">
        <f>$Z137-SUMIF('11.2. ДА за периода'!$B$61:$B$108,$B137,'11.2. ДА за периода'!$Z$61:$Z$108)+SUMIF('11.2. ДА за периода'!$B$61:$B$108,$B137,'11.2. ДА за периода'!AC$61:AC$108)+SUMIF('11.1.Амортиз.нови активи'!$B$61:$B$108,$B137,'11.1.Амортиз.нови активи'!AC$61:AC$108)</f>
        <v>0</v>
      </c>
      <c r="AD137" s="1110">
        <f>$Z137-SUMIF('11.2. ДА за периода'!$B$61:$B$108,$B137,'11.2. ДА за периода'!$Z$61:$Z$108)+SUMIF('11.2. ДА за периода'!$B$61:$B$108,$B137,'11.2. ДА за периода'!AD$61:AD$108)+SUMIF('11.1.Амортиз.нови активи'!$B$61:$B$108,$B137,'11.1.Амортиз.нови активи'!AD$61:AD$108)</f>
        <v>0</v>
      </c>
      <c r="AE137" s="1110">
        <f>$Z137-SUMIF('11.2. ДА за периода'!$B$61:$B$108,$B137,'11.2. ДА за периода'!$Z$61:$Z$108)+SUMIF('11.2. ДА за периода'!$B$61:$B$108,$B137,'11.2. ДА за периода'!AE$61:AE$108)+SUMIF('11.1.Амортиз.нови активи'!$B$61:$B$108,$B137,'11.1.Амортиз.нови активи'!AE$61:AE$108)</f>
        <v>0</v>
      </c>
      <c r="AF137" s="2618">
        <f>$Z137-SUMIF('11.2. ДА за периода'!$B$61:$B$108,$B137,'11.2. ДА за периода'!$Z$61:$Z$108)+SUMIF('11.2. ДА за периода'!$B$61:$B$108,$B137,'11.2. ДА за периода'!AF$61:AF$108)+SUMIF('11.1.Амортиз.нови активи'!$B$61:$B$108,$B137,'11.1.Амортиз.нови активи'!AF$61:AF$108)</f>
        <v>0</v>
      </c>
      <c r="AG137" s="4387">
        <f>+'11.3. ДА Базова година'!V117</f>
        <v>0</v>
      </c>
      <c r="AH137" s="2617">
        <f>$AG137-SUMIF('11.2. ДА за периода'!$B$61:$B$108,$B137,'11.2. ДА за периода'!$AG$61:$AG$108)+SUMIF('11.2. ДА за периода'!$B$61:$B$108,$B137,'11.2. ДА за периода'!AH$61:AH$108)+SUMIF('11.1.Амортиз.нови активи'!$B$61:$B$108,$B137,'11.1.Амортиз.нови активи'!AH$61:AH$108)</f>
        <v>0</v>
      </c>
      <c r="AI137" s="1110">
        <f>$AG137-SUMIF('11.2. ДА за периода'!$B$61:$B$108,$B137,'11.2. ДА за периода'!$AG$61:$AG$108)+SUMIF('11.2. ДА за периода'!$B$61:$B$108,$B137,'11.2. ДА за периода'!AI$61:AI$108)+SUMIF('11.1.Амортиз.нови активи'!$B$61:$B$108,$B137,'11.1.Амортиз.нови активи'!AI$61:AI$108)</f>
        <v>0</v>
      </c>
      <c r="AJ137" s="1110">
        <f>$AG137-SUMIF('11.2. ДА за периода'!$B$61:$B$108,$B137,'11.2. ДА за периода'!$AG$61:$AG$108)+SUMIF('11.2. ДА за периода'!$B$61:$B$108,$B137,'11.2. ДА за периода'!AJ$61:AJ$108)+SUMIF('11.1.Амортиз.нови активи'!$B$61:$B$108,$B137,'11.1.Амортиз.нови активи'!AJ$61:AJ$108)</f>
        <v>0</v>
      </c>
      <c r="AK137" s="1110">
        <f>$AG137-SUMIF('11.2. ДА за периода'!$B$61:$B$108,$B137,'11.2. ДА за периода'!$AG$61:$AG$108)+SUMIF('11.2. ДА за периода'!$B$61:$B$108,$B137,'11.2. ДА за периода'!AK$61:AK$108)+SUMIF('11.1.Амортиз.нови активи'!$B$61:$B$108,$B137,'11.1.Амортиз.нови активи'!AK$61:AK$108)</f>
        <v>0</v>
      </c>
      <c r="AL137" s="1110">
        <f>$AG137-SUMIF('11.2. ДА за периода'!$B$61:$B$108,$B137,'11.2. ДА за периода'!$AG$61:$AG$108)+SUMIF('11.2. ДА за периода'!$B$61:$B$108,$B137,'11.2. ДА за периода'!AL$61:AL$108)+SUMIF('11.1.Амортиз.нови активи'!$B$61:$B$108,$B137,'11.1.Амортиз.нови активи'!AL$61:AL$108)</f>
        <v>0</v>
      </c>
      <c r="AM137" s="2618">
        <f>$AG137-SUMIF('11.2. ДА за периода'!$B$61:$B$108,$B137,'11.2. ДА за периода'!$AG$61:$AG$108)+SUMIF('11.2. ДА за периода'!$B$61:$B$108,$B137,'11.2. ДА за периода'!AM$61:AM$108)+SUMIF('11.1.Амортиз.нови активи'!$B$61:$B$108,$B137,'11.1.Амортиз.нови активи'!AM$61:AM$108)</f>
        <v>0</v>
      </c>
      <c r="AN137" s="2513"/>
      <c r="AO137" s="2551"/>
      <c r="AP137" s="4422"/>
      <c r="AQ137" s="4438">
        <f t="shared" si="174"/>
        <v>39.369474852108823</v>
      </c>
      <c r="AR137" s="4438">
        <f t="shared" si="175"/>
        <v>46.783207129453992</v>
      </c>
      <c r="AS137" s="4438">
        <f t="shared" si="176"/>
        <v>51.078058931502234</v>
      </c>
      <c r="AT137" s="4438">
        <f t="shared" si="177"/>
        <v>48.419341149281891</v>
      </c>
      <c r="AU137" s="4438">
        <f t="shared" si="178"/>
        <v>46.527561188855884</v>
      </c>
      <c r="AV137" s="4438">
        <f t="shared" si="179"/>
        <v>45.786187961121364</v>
      </c>
      <c r="AW137" s="4438">
        <f t="shared" si="180"/>
        <v>46.834336317573609</v>
      </c>
      <c r="AX137" s="4438">
        <f t="shared" si="181"/>
        <v>0</v>
      </c>
      <c r="AY137" s="4438">
        <f t="shared" si="182"/>
        <v>0</v>
      </c>
      <c r="AZ137" s="4438">
        <f t="shared" si="183"/>
        <v>0</v>
      </c>
      <c r="BA137" s="4438">
        <f t="shared" si="184"/>
        <v>0</v>
      </c>
      <c r="BB137" s="4438">
        <f t="shared" si="185"/>
        <v>0</v>
      </c>
      <c r="BC137" s="4438">
        <f t="shared" si="186"/>
        <v>0</v>
      </c>
      <c r="BD137" s="4438">
        <f t="shared" si="187"/>
        <v>0</v>
      </c>
      <c r="BE137" s="4438">
        <f t="shared" si="188"/>
        <v>0</v>
      </c>
      <c r="BF137" s="4438">
        <f t="shared" si="189"/>
        <v>0</v>
      </c>
      <c r="BG137" s="4438">
        <f t="shared" si="190"/>
        <v>0</v>
      </c>
      <c r="BH137" s="4438">
        <f t="shared" si="191"/>
        <v>0</v>
      </c>
      <c r="BI137" s="4438">
        <f t="shared" si="192"/>
        <v>0</v>
      </c>
      <c r="BJ137" s="4438">
        <f t="shared" si="193"/>
        <v>0</v>
      </c>
      <c r="BK137" s="4438">
        <f t="shared" si="194"/>
        <v>0</v>
      </c>
      <c r="BL137" s="4438">
        <f t="shared" si="195"/>
        <v>0</v>
      </c>
      <c r="BM137" s="4438">
        <f t="shared" si="196"/>
        <v>0</v>
      </c>
      <c r="BN137" s="4438">
        <f t="shared" si="197"/>
        <v>0</v>
      </c>
      <c r="BO137" s="4438">
        <f t="shared" si="198"/>
        <v>0</v>
      </c>
      <c r="BP137" s="4438">
        <f t="shared" si="199"/>
        <v>0</v>
      </c>
      <c r="BQ137" s="4438">
        <f t="shared" si="200"/>
        <v>0</v>
      </c>
      <c r="BR137" s="4438">
        <f t="shared" si="201"/>
        <v>0</v>
      </c>
      <c r="BS137" s="4438">
        <f t="shared" si="202"/>
        <v>0</v>
      </c>
      <c r="BT137" s="4438">
        <f t="shared" si="203"/>
        <v>0</v>
      </c>
      <c r="BU137" s="4438">
        <f t="shared" si="204"/>
        <v>0</v>
      </c>
      <c r="BV137" s="4438">
        <f t="shared" si="205"/>
        <v>0</v>
      </c>
      <c r="BW137" s="4438">
        <f t="shared" si="206"/>
        <v>0</v>
      </c>
      <c r="BX137" s="4438">
        <f t="shared" si="207"/>
        <v>0</v>
      </c>
      <c r="BY137" s="4438">
        <f t="shared" si="208"/>
        <v>0</v>
      </c>
    </row>
    <row r="138" spans="1:77" s="1292" customFormat="1">
      <c r="A138" s="2515">
        <v>7</v>
      </c>
      <c r="B138" s="2516">
        <v>2030503</v>
      </c>
      <c r="C138" s="2522">
        <v>0.1</v>
      </c>
      <c r="D138" s="2552" t="s">
        <v>713</v>
      </c>
      <c r="E138" s="4387">
        <f>+'11.3. ДА Базова година'!F118</f>
        <v>21</v>
      </c>
      <c r="F138" s="2617">
        <f>$E138-SUMIF('11.2. ДА за периода'!$B$61:$B$108,$B138,'11.2. ДА за периода'!$E$61:$E$108)+SUMIF('11.2. ДА за периода'!$B$61:$B$108,$B138,'11.2. ДА за периода'!F$61:F$108)+SUMIF('11.1.Амортиз.нови активи'!$B$61:$B$108,$B138,'11.1.Амортиз.нови активи'!F$61:F$108)+('11.1.Амортиз.нови активи'!F$110*SUMIF('11.1.Амортиз.нови активи'!$B$61:$B$108,$B138,'11.1.Амортиз.нови активи'!AO$61:AO$108))</f>
        <v>26.099999999999998</v>
      </c>
      <c r="G138" s="1110">
        <f>$E138-SUMIF('11.2. ДА за периода'!$B$61:$B$108,$B138,'11.2. ДА за периода'!$E$61:$E$108)+SUMIF('11.2. ДА за периода'!$B$61:$B$108,$B138,'11.2. ДА за периода'!G$61:G$108)+SUMIF('11.1.Амортиз.нови активи'!$B$61:$B$108,$B138,'11.1.Амортиз.нови активи'!G$61:G$108)+('11.1.Амортиз.нови активи'!G$110*SUMIF('11.1.Амортиз.нови активи'!$B$61:$B$108,$B138,'11.1.Амортиз.нови активи'!AP$61:AP$108))</f>
        <v>31.199999999999996</v>
      </c>
      <c r="H138" s="1110">
        <f>$E138-SUMIF('11.2. ДА за периода'!$B$61:$B$108,$B138,'11.2. ДА за периода'!$E$61:$E$108)+SUMIF('11.2. ДА за периода'!$B$61:$B$108,$B138,'11.2. ДА за периода'!H$61:H$108)+SUMIF('11.1.Амортиз.нови активи'!$B$61:$B$108,$B138,'11.1.Амортиз.нови активи'!H$61:H$108)+('11.1.Амортиз.нови активи'!H$110*SUMIF('11.1.Амортиз.нови активи'!$B$61:$B$108,$B138,'11.1.Амортиз.нови активи'!AQ$61:AQ$108))</f>
        <v>31.099999999999998</v>
      </c>
      <c r="I138" s="1110">
        <f>$E138-SUMIF('11.2. ДА за периода'!$B$61:$B$108,$B138,'11.2. ДА за периода'!$E$61:$E$108)+SUMIF('11.2. ДА за периода'!$B$61:$B$108,$B138,'11.2. ДА за периода'!I$61:I$108)+SUMIF('11.1.Амортиз.нови активи'!$B$61:$B$108,$B138,'11.1.Амортиз.нови активи'!I$61:I$108)+('11.1.Амортиз.нови активи'!I$110*SUMIF('11.1.Амортиз.нови активи'!$B$61:$B$108,$B138,'11.1.Амортиз.нови активи'!AR$61:AR$108))</f>
        <v>32.5</v>
      </c>
      <c r="J138" s="1110">
        <f>$E138-SUMIF('11.2. ДА за периода'!$B$61:$B$108,$B138,'11.2. ДА за периода'!$E$61:$E$108)+SUMIF('11.2. ДА за периода'!$B$61:$B$108,$B138,'11.2. ДА за периода'!J$61:J$108)+SUMIF('11.1.Амортиз.нови активи'!$B$61:$B$108,$B138,'11.1.Амортиз.нови активи'!J$61:J$108)+('11.1.Амортиз.нови активи'!J$110*SUMIF('11.1.Амортиз.нови активи'!$B$61:$B$108,$B138,'11.1.Амортиз.нови активи'!AS$61:AS$108))</f>
        <v>35.299999999999997</v>
      </c>
      <c r="K138" s="1110">
        <f>$E138-SUMIF('11.2. ДА за периода'!$B$61:$B$108,$B138,'11.2. ДА за периода'!$E$61:$E$108)+SUMIF('11.2. ДА за периода'!$B$61:$B$108,$B138,'11.2. ДА за периода'!K$61:K$108)+SUMIF('11.1.Амортиз.нови активи'!$B$61:$B$108,$B138,'11.1.Амортиз.нови активи'!K$61:K$108)+('11.1.Амортиз.нови активи'!K$110*SUMIF('11.1.Амортиз.нови активи'!$B$61:$B$108,$B138,'11.1.Амортиз.нови активи'!AT$61:AT$108))</f>
        <v>39.599999999999994</v>
      </c>
      <c r="L138" s="4387">
        <f>+'11.3. ДА Базова година'!J118</f>
        <v>1</v>
      </c>
      <c r="M138" s="2617">
        <f>$L138-SUMIF('11.2. ДА за периода'!$B$61:$B$108,$B138,'11.2. ДА за периода'!$L$61:$L$108)+SUMIF('11.2. ДА за периода'!$B$61:$B$108,$B138,'11.2. ДА за периода'!M$61:M$108)+SUMIF('11.1.Амортиз.нови активи'!$B$61:$B$108,$B138,'11.1.Амортиз.нови активи'!M$61:M$108)+('11.1.Амортиз.нови активи'!F$111*SUMIF('11.1.Амортиз.нови активи'!$B$61:$B$108,$B138,'11.1.Амортиз.нови активи'!AO$61:AO$108))</f>
        <v>1.1000000000000001</v>
      </c>
      <c r="N138" s="1110">
        <f>$L138-SUMIF('11.2. ДА за периода'!$B$61:$B$108,$B138,'11.2. ДА за периода'!$L$61:$L$108)+SUMIF('11.2. ДА за периода'!$B$61:$B$108,$B138,'11.2. ДА за периода'!N$61:N$108)+SUMIF('11.1.Амортиз.нови активи'!$B$61:$B$108,$B138,'11.1.Амортиз.нови активи'!N$61:N$108)+('11.1.Амортиз.нови активи'!G$111*SUMIF('11.1.Амортиз.нови активи'!$B$61:$B$108,$B138,'11.1.Амортиз.нови активи'!AP$61:AP$108))</f>
        <v>1.2</v>
      </c>
      <c r="O138" s="1110">
        <f>$L138-SUMIF('11.2. ДА за периода'!$B$61:$B$108,$B138,'11.2. ДА за периода'!$L$61:$L$108)+SUMIF('11.2. ДА за периода'!$B$61:$B$108,$B138,'11.2. ДА за периода'!O$61:O$108)+SUMIF('11.1.Амортиз.нови активи'!$B$61:$B$108,$B138,'11.1.Амортиз.нови активи'!O$61:O$108)+('11.1.Амортиз.нови активи'!H$111*SUMIF('11.1.Амортиз.нови активи'!$B$61:$B$108,$B138,'11.1.Амортиз.нови активи'!AQ$61:AQ$108))</f>
        <v>1.2</v>
      </c>
      <c r="P138" s="1110">
        <f>$L138-SUMIF('11.2. ДА за периода'!$B$61:$B$108,$B138,'11.2. ДА за периода'!$L$61:$L$108)+SUMIF('11.2. ДА за периода'!$B$61:$B$108,$B138,'11.2. ДА за периода'!P$61:P$108)+SUMIF('11.1.Амортиз.нови активи'!$B$61:$B$108,$B138,'11.1.Амортиз.нови активи'!P$61:P$108)+('11.1.Амортиз.нови активи'!I$111*SUMIF('11.1.Амортиз.нови активи'!$B$61:$B$108,$B138,'11.1.Амортиз.нови активи'!AR$61:AR$108))</f>
        <v>1.2</v>
      </c>
      <c r="Q138" s="1110">
        <f>$L138-SUMIF('11.2. ДА за периода'!$B$61:$B$108,$B138,'11.2. ДА за периода'!$L$61:$L$108)+SUMIF('11.2. ДА за периода'!$B$61:$B$108,$B138,'11.2. ДА за периода'!Q$61:Q$108)+SUMIF('11.1.Амортиз.нови активи'!$B$61:$B$108,$B138,'11.1.Амортиз.нови активи'!Q$61:Q$108)+('11.1.Амортиз.нови активи'!J$111*SUMIF('11.1.Амортиз.нови активи'!$B$61:$B$108,$B138,'11.1.Амортиз.нови активи'!AS$61:AS$108))</f>
        <v>1.2</v>
      </c>
      <c r="R138" s="2618">
        <f>$L138-SUMIF('11.2. ДА за периода'!$B$61:$B$108,$B138,'11.2. ДА за периода'!$L$61:$L$108)+SUMIF('11.2. ДА за периода'!$B$61:$B$108,$B138,'11.2. ДА за периода'!R$61:R$108)+SUMIF('11.1.Амортиз.нови активи'!$B$61:$B$108,$B138,'11.1.Амортиз.нови активи'!R$61:R$108)+('11.1.Амортиз.нови активи'!K$111*SUMIF('11.1.Амортиз.нови активи'!$B$61:$B$108,$B138,'11.1.Амортиз.нови активи'!AT$61:AT$108))</f>
        <v>1.2</v>
      </c>
      <c r="S138" s="4387">
        <f>+'11.3. ДА Базова година'!N118</f>
        <v>1</v>
      </c>
      <c r="T138" s="2617">
        <f>$S138-SUMIF('11.2. ДА за периода'!$B$61:$B$108,$B138,'11.2. ДА за периода'!$S$61:$S$108)+SUMIF('11.2. ДА за периода'!$B$61:$B$108,$B138,'11.2. ДА за периода'!T$61:T$108)+SUMIF('11.1.Амортиз.нови активи'!$B$61:$B$108,$B138,'11.1.Амортиз.нови активи'!T$61:T$108)+('11.1.Амортиз.нови активи'!F$112*SUMIF('11.1.Амортиз.нови активи'!$B$61:$B$108,$B138,'11.1.Амортиз.нови активи'!AO$61:AO$108))</f>
        <v>1.5</v>
      </c>
      <c r="U138" s="1110">
        <f>$S138-SUMIF('11.2. ДА за периода'!$B$61:$B$108,$B138,'11.2. ДА за периода'!$S$61:$S$108)+SUMIF('11.2. ДА за периода'!$B$61:$B$108,$B138,'11.2. ДА за периода'!U$61:U$108)+SUMIF('11.1.Амортиз.нови активи'!$B$61:$B$108,$B138,'11.1.Амортиз.нови активи'!U$61:U$108)+('11.1.Амортиз.нови активи'!G$112*SUMIF('11.1.Амортиз.нови активи'!$B$61:$B$108,$B138,'11.1.Амортиз.нови активи'!AP$61:AP$108))</f>
        <v>2</v>
      </c>
      <c r="V138" s="1110">
        <f>$S138-SUMIF('11.2. ДА за периода'!$B$61:$B$108,$B138,'11.2. ДА за периода'!$S$61:$S$108)+SUMIF('11.2. ДА за периода'!$B$61:$B$108,$B138,'11.2. ДА за периода'!V$61:V$108)+SUMIF('11.1.Амортиз.нови активи'!$B$61:$B$108,$B138,'11.1.Амортиз.нови активи'!V$61:V$108)+('11.1.Амортиз.нови активи'!H$112*SUMIF('11.1.Амортиз.нови активи'!$B$61:$B$108,$B138,'11.1.Амортиз.нови активи'!AQ$61:AQ$108))</f>
        <v>2</v>
      </c>
      <c r="W138" s="1110">
        <f>$S138-SUMIF('11.2. ДА за периода'!$B$61:$B$108,$B138,'11.2. ДА за периода'!$S$61:$S$108)+SUMIF('11.2. ДА за периода'!$B$61:$B$108,$B138,'11.2. ДА за периода'!W$61:W$108)+SUMIF('11.1.Амортиз.нови активи'!$B$61:$B$108,$B138,'11.1.Амортиз.нови активи'!W$61:W$108)+('11.1.Амортиз.нови активи'!I$112*SUMIF('11.1.Амортиз.нови активи'!$B$61:$B$108,$B138,'11.1.Амортиз.нови активи'!AR$61:AR$108))</f>
        <v>2</v>
      </c>
      <c r="X138" s="1110">
        <f>$S138-SUMIF('11.2. ДА за периода'!$B$61:$B$108,$B138,'11.2. ДА за периода'!$S$61:$S$108)+SUMIF('11.2. ДА за периода'!$B$61:$B$108,$B138,'11.2. ДА за периода'!X$61:X$108)+SUMIF('11.1.Амортиз.нови активи'!$B$61:$B$108,$B138,'11.1.Амортиз.нови активи'!X$61:X$108)+('11.1.Амортиз.нови активи'!J$112*SUMIF('11.1.Амортиз.нови активи'!$B$61:$B$108,$B138,'11.1.Амортиз.нови активи'!AS$61:AS$108))</f>
        <v>1.4</v>
      </c>
      <c r="Y138" s="2618">
        <f>$S138-SUMIF('11.2. ДА за периода'!$B$61:$B$108,$B138,'11.2. ДА за периода'!$S$61:$S$108)+SUMIF('11.2. ДА за периода'!$B$61:$B$108,$B138,'11.2. ДА за периода'!Y$61:Y$108)+SUMIF('11.1.Амортиз.нови активи'!$B$61:$B$108,$B138,'11.1.Амортиз.нови активи'!Y$61:Y$108)+('11.1.Амортиз.нови активи'!K$112*SUMIF('11.1.Амортиз.нови активи'!$B$61:$B$108,$B138,'11.1.Амортиз.нови активи'!AT$61:AT$108))</f>
        <v>1.4</v>
      </c>
      <c r="Z138" s="4387">
        <f>+'11.3. ДА Базова година'!R118</f>
        <v>0</v>
      </c>
      <c r="AA138" s="2617">
        <f>$Z138-SUMIF('11.2. ДА за периода'!$B$61:$B$108,$B138,'11.2. ДА за периода'!$Z$61:$Z$108)+SUMIF('11.2. ДА за периода'!$B$61:$B$108,$B138,'11.2. ДА за периода'!AA$61:AA$108)+SUMIF('11.1.Амортиз.нови активи'!$B$61:$B$108,$B138,'11.1.Амортиз.нови активи'!AA$61:AA$108)</f>
        <v>0</v>
      </c>
      <c r="AB138" s="1110">
        <f>$Z138-SUMIF('11.2. ДА за периода'!$B$61:$B$108,$B138,'11.2. ДА за периода'!$Z$61:$Z$108)+SUMIF('11.2. ДА за периода'!$B$61:$B$108,$B138,'11.2. ДА за периода'!AB$61:AB$108)+SUMIF('11.1.Амортиз.нови активи'!$B$61:$B$108,$B138,'11.1.Амортиз.нови активи'!AB$61:AB$108)</f>
        <v>0</v>
      </c>
      <c r="AC138" s="1110">
        <f>$Z138-SUMIF('11.2. ДА за периода'!$B$61:$B$108,$B138,'11.2. ДА за периода'!$Z$61:$Z$108)+SUMIF('11.2. ДА за периода'!$B$61:$B$108,$B138,'11.2. ДА за периода'!AC$61:AC$108)+SUMIF('11.1.Амортиз.нови активи'!$B$61:$B$108,$B138,'11.1.Амортиз.нови активи'!AC$61:AC$108)</f>
        <v>0</v>
      </c>
      <c r="AD138" s="1110">
        <f>$Z138-SUMIF('11.2. ДА за периода'!$B$61:$B$108,$B138,'11.2. ДА за периода'!$Z$61:$Z$108)+SUMIF('11.2. ДА за периода'!$B$61:$B$108,$B138,'11.2. ДА за периода'!AD$61:AD$108)+SUMIF('11.1.Амортиз.нови активи'!$B$61:$B$108,$B138,'11.1.Амортиз.нови активи'!AD$61:AD$108)</f>
        <v>0</v>
      </c>
      <c r="AE138" s="1110">
        <f>$Z138-SUMIF('11.2. ДА за периода'!$B$61:$B$108,$B138,'11.2. ДА за периода'!$Z$61:$Z$108)+SUMIF('11.2. ДА за периода'!$B$61:$B$108,$B138,'11.2. ДА за периода'!AE$61:AE$108)+SUMIF('11.1.Амортиз.нови активи'!$B$61:$B$108,$B138,'11.1.Амортиз.нови активи'!AE$61:AE$108)</f>
        <v>0</v>
      </c>
      <c r="AF138" s="2618">
        <f>$Z138-SUMIF('11.2. ДА за периода'!$B$61:$B$108,$B138,'11.2. ДА за периода'!$Z$61:$Z$108)+SUMIF('11.2. ДА за периода'!$B$61:$B$108,$B138,'11.2. ДА за периода'!AF$61:AF$108)+SUMIF('11.1.Амортиз.нови активи'!$B$61:$B$108,$B138,'11.1.Амортиз.нови активи'!AF$61:AF$108)</f>
        <v>0</v>
      </c>
      <c r="AG138" s="4387">
        <f>+'11.3. ДА Базова година'!V118</f>
        <v>0</v>
      </c>
      <c r="AH138" s="2617">
        <f>$AG138-SUMIF('11.2. ДА за периода'!$B$61:$B$108,$B138,'11.2. ДА за периода'!$AG$61:$AG$108)+SUMIF('11.2. ДА за периода'!$B$61:$B$108,$B138,'11.2. ДА за периода'!AH$61:AH$108)+SUMIF('11.1.Амортиз.нови активи'!$B$61:$B$108,$B138,'11.1.Амортиз.нови активи'!AH$61:AH$108)</f>
        <v>0</v>
      </c>
      <c r="AI138" s="1110">
        <f>$AG138-SUMIF('11.2. ДА за периода'!$B$61:$B$108,$B138,'11.2. ДА за периода'!$AG$61:$AG$108)+SUMIF('11.2. ДА за периода'!$B$61:$B$108,$B138,'11.2. ДА за периода'!AI$61:AI$108)+SUMIF('11.1.Амортиз.нови активи'!$B$61:$B$108,$B138,'11.1.Амортиз.нови активи'!AI$61:AI$108)</f>
        <v>0</v>
      </c>
      <c r="AJ138" s="1110">
        <f>$AG138-SUMIF('11.2. ДА за периода'!$B$61:$B$108,$B138,'11.2. ДА за периода'!$AG$61:$AG$108)+SUMIF('11.2. ДА за периода'!$B$61:$B$108,$B138,'11.2. ДА за периода'!AJ$61:AJ$108)+SUMIF('11.1.Амортиз.нови активи'!$B$61:$B$108,$B138,'11.1.Амортиз.нови активи'!AJ$61:AJ$108)</f>
        <v>0</v>
      </c>
      <c r="AK138" s="1110">
        <f>$AG138-SUMIF('11.2. ДА за периода'!$B$61:$B$108,$B138,'11.2. ДА за периода'!$AG$61:$AG$108)+SUMIF('11.2. ДА за периода'!$B$61:$B$108,$B138,'11.2. ДА за периода'!AK$61:AK$108)+SUMIF('11.1.Амортиз.нови активи'!$B$61:$B$108,$B138,'11.1.Амортиз.нови активи'!AK$61:AK$108)</f>
        <v>0</v>
      </c>
      <c r="AL138" s="1110">
        <f>$AG138-SUMIF('11.2. ДА за периода'!$B$61:$B$108,$B138,'11.2. ДА за периода'!$AG$61:$AG$108)+SUMIF('11.2. ДА за периода'!$B$61:$B$108,$B138,'11.2. ДА за периода'!AL$61:AL$108)+SUMIF('11.1.Амортиз.нови активи'!$B$61:$B$108,$B138,'11.1.Амортиз.нови активи'!AL$61:AL$108)</f>
        <v>0</v>
      </c>
      <c r="AM138" s="2618">
        <f>$AG138-SUMIF('11.2. ДА за периода'!$B$61:$B$108,$B138,'11.2. ДА за периода'!$AG$61:$AG$108)+SUMIF('11.2. ДА за периода'!$B$61:$B$108,$B138,'11.2. ДА за периода'!AM$61:AM$108)+SUMIF('11.1.Амортиз.нови активи'!$B$61:$B$108,$B138,'11.1.Амортиз.нови активи'!AM$61:AM$108)</f>
        <v>0</v>
      </c>
      <c r="AN138" s="2513"/>
      <c r="AO138" s="2551"/>
      <c r="AP138" s="4422"/>
      <c r="AQ138" s="4438">
        <f t="shared" si="174"/>
        <v>10.737129505120588</v>
      </c>
      <c r="AR138" s="4438">
        <f t="shared" si="175"/>
        <v>13.344718099221302</v>
      </c>
      <c r="AS138" s="4438">
        <f t="shared" si="176"/>
        <v>15.952306693322015</v>
      </c>
      <c r="AT138" s="4438">
        <f t="shared" si="177"/>
        <v>15.901177505202394</v>
      </c>
      <c r="AU138" s="4438">
        <f t="shared" si="178"/>
        <v>16.616986138877103</v>
      </c>
      <c r="AV138" s="4438">
        <f t="shared" si="179"/>
        <v>18.048603406226512</v>
      </c>
      <c r="AW138" s="4438">
        <f t="shared" si="180"/>
        <v>20.24715849537025</v>
      </c>
      <c r="AX138" s="4438">
        <f t="shared" si="181"/>
        <v>0.51129188119621849</v>
      </c>
      <c r="AY138" s="4438">
        <f t="shared" si="182"/>
        <v>0.56242106931584035</v>
      </c>
      <c r="AZ138" s="4438">
        <f t="shared" si="183"/>
        <v>0.61355025743546221</v>
      </c>
      <c r="BA138" s="4438">
        <f t="shared" si="184"/>
        <v>0.61355025743546221</v>
      </c>
      <c r="BB138" s="4438">
        <f t="shared" si="185"/>
        <v>0.61355025743546221</v>
      </c>
      <c r="BC138" s="4438">
        <f t="shared" si="186"/>
        <v>0.61355025743546221</v>
      </c>
      <c r="BD138" s="4438">
        <f t="shared" si="187"/>
        <v>0.61355025743546221</v>
      </c>
      <c r="BE138" s="4438">
        <f t="shared" si="188"/>
        <v>0.51129188119621849</v>
      </c>
      <c r="BF138" s="4438">
        <f t="shared" si="189"/>
        <v>0.76693782179432779</v>
      </c>
      <c r="BG138" s="4438">
        <f t="shared" si="190"/>
        <v>1.022583762392437</v>
      </c>
      <c r="BH138" s="4438">
        <f t="shared" si="191"/>
        <v>1.022583762392437</v>
      </c>
      <c r="BI138" s="4438">
        <f t="shared" si="192"/>
        <v>1.022583762392437</v>
      </c>
      <c r="BJ138" s="4438">
        <f t="shared" si="193"/>
        <v>0.71580863367470582</v>
      </c>
      <c r="BK138" s="4438">
        <f t="shared" si="194"/>
        <v>0.71580863367470582</v>
      </c>
      <c r="BL138" s="4438">
        <f t="shared" si="195"/>
        <v>0</v>
      </c>
      <c r="BM138" s="4438">
        <f t="shared" si="196"/>
        <v>0</v>
      </c>
      <c r="BN138" s="4438">
        <f t="shared" si="197"/>
        <v>0</v>
      </c>
      <c r="BO138" s="4438">
        <f t="shared" si="198"/>
        <v>0</v>
      </c>
      <c r="BP138" s="4438">
        <f t="shared" si="199"/>
        <v>0</v>
      </c>
      <c r="BQ138" s="4438">
        <f t="shared" si="200"/>
        <v>0</v>
      </c>
      <c r="BR138" s="4438">
        <f t="shared" si="201"/>
        <v>0</v>
      </c>
      <c r="BS138" s="4438">
        <f t="shared" si="202"/>
        <v>0</v>
      </c>
      <c r="BT138" s="4438">
        <f t="shared" si="203"/>
        <v>0</v>
      </c>
      <c r="BU138" s="4438">
        <f t="shared" si="204"/>
        <v>0</v>
      </c>
      <c r="BV138" s="4438">
        <f t="shared" si="205"/>
        <v>0</v>
      </c>
      <c r="BW138" s="4438">
        <f t="shared" si="206"/>
        <v>0</v>
      </c>
      <c r="BX138" s="4438">
        <f t="shared" si="207"/>
        <v>0</v>
      </c>
      <c r="BY138" s="4438">
        <f t="shared" si="208"/>
        <v>0</v>
      </c>
    </row>
    <row r="139" spans="1:77" s="1292" customFormat="1">
      <c r="A139" s="2515">
        <v>8</v>
      </c>
      <c r="B139" s="2516">
        <v>2040101</v>
      </c>
      <c r="C139" s="2572">
        <v>0.1</v>
      </c>
      <c r="D139" s="2546" t="s">
        <v>1016</v>
      </c>
      <c r="E139" s="4387">
        <f>+'11.3. ДА Базова година'!F119</f>
        <v>2</v>
      </c>
      <c r="F139" s="2617">
        <f>$E139-SUMIF('11.2. ДА за периода'!$B$61:$B$108,$B139,'11.2. ДА за периода'!$E$61:$E$108)+SUMIF('11.2. ДА за периода'!$B$61:$B$108,$B139,'11.2. ДА за периода'!F$61:F$108)+SUMIF('11.1.Амортиз.нови активи'!$B$61:$B$108,$B139,'11.1.Амортиз.нови активи'!F$61:F$108)+('11.1.Амортиз.нови активи'!F$110*SUMIF('11.1.Амортиз.нови активи'!$B$61:$B$108,$B139,'11.1.Амортиз.нови активи'!AO$61:AO$108))</f>
        <v>2</v>
      </c>
      <c r="G139" s="1110">
        <f>$E139-SUMIF('11.2. ДА за периода'!$B$61:$B$108,$B139,'11.2. ДА за периода'!$E$61:$E$108)+SUMIF('11.2. ДА за периода'!$B$61:$B$108,$B139,'11.2. ДА за периода'!G$61:G$108)+SUMIF('11.1.Амортиз.нови активи'!$B$61:$B$108,$B139,'11.1.Амортиз.нови активи'!G$61:G$108)+('11.1.Амортиз.нови активи'!G$110*SUMIF('11.1.Амортиз.нови активи'!$B$61:$B$108,$B139,'11.1.Амортиз.нови активи'!AP$61:AP$108))</f>
        <v>2</v>
      </c>
      <c r="H139" s="1110">
        <f>$E139-SUMIF('11.2. ДА за периода'!$B$61:$B$108,$B139,'11.2. ДА за периода'!$E$61:$E$108)+SUMIF('11.2. ДА за периода'!$B$61:$B$108,$B139,'11.2. ДА за периода'!H$61:H$108)+SUMIF('11.1.Амортиз.нови активи'!$B$61:$B$108,$B139,'11.1.Амортиз.нови активи'!H$61:H$108)+('11.1.Амортиз.нови активи'!H$110*SUMIF('11.1.Амортиз.нови активи'!$B$61:$B$108,$B139,'11.1.Амортиз.нови активи'!AQ$61:AQ$108))</f>
        <v>2</v>
      </c>
      <c r="I139" s="1110">
        <f>$E139-SUMIF('11.2. ДА за периода'!$B$61:$B$108,$B139,'11.2. ДА за периода'!$E$61:$E$108)+SUMIF('11.2. ДА за периода'!$B$61:$B$108,$B139,'11.2. ДА за периода'!I$61:I$108)+SUMIF('11.1.Амортиз.нови активи'!$B$61:$B$108,$B139,'11.1.Амортиз.нови активи'!I$61:I$108)+('11.1.Амортиз.нови активи'!I$110*SUMIF('11.1.Амортиз.нови активи'!$B$61:$B$108,$B139,'11.1.Амортиз.нови активи'!AR$61:AR$108))</f>
        <v>1.4</v>
      </c>
      <c r="J139" s="1110">
        <f>$E139-SUMIF('11.2. ДА за периода'!$B$61:$B$108,$B139,'11.2. ДА за периода'!$E$61:$E$108)+SUMIF('11.2. ДА за периода'!$B$61:$B$108,$B139,'11.2. ДА за периода'!J$61:J$108)+SUMIF('11.1.Амортиз.нови активи'!$B$61:$B$108,$B139,'11.1.Амортиз.нови активи'!J$61:J$108)+('11.1.Амортиз.нови активи'!J$110*SUMIF('11.1.Амортиз.нови активи'!$B$61:$B$108,$B139,'11.1.Амортиз.нови активи'!AS$61:AS$108))</f>
        <v>1.4</v>
      </c>
      <c r="K139" s="1110">
        <f>$E139-SUMIF('11.2. ДА за периода'!$B$61:$B$108,$B139,'11.2. ДА за периода'!$E$61:$E$108)+SUMIF('11.2. ДА за периода'!$B$61:$B$108,$B139,'11.2. ДА за периода'!K$61:K$108)+SUMIF('11.1.Амортиз.нови активи'!$B$61:$B$108,$B139,'11.1.Амортиз.нови активи'!K$61:K$108)+('11.1.Амортиз.нови активи'!K$110*SUMIF('11.1.Амортиз.нови активи'!$B$61:$B$108,$B139,'11.1.Амортиз.нови активи'!AT$61:AT$108))</f>
        <v>0.59999999999999987</v>
      </c>
      <c r="L139" s="4387">
        <f>+'11.3. ДА Базова година'!J119</f>
        <v>0</v>
      </c>
      <c r="M139" s="2617">
        <f>$L139-SUMIF('11.2. ДА за периода'!$B$61:$B$108,$B139,'11.2. ДА за периода'!$L$61:$L$108)+SUMIF('11.2. ДА за периода'!$B$61:$B$108,$B139,'11.2. ДА за периода'!M$61:M$108)+SUMIF('11.1.Амортиз.нови активи'!$B$61:$B$108,$B139,'11.1.Амортиз.нови активи'!M$61:M$108)+('11.1.Амортиз.нови активи'!F$111*SUMIF('11.1.Амортиз.нови активи'!$B$61:$B$108,$B139,'11.1.Амортиз.нови активи'!AO$61:AO$108))</f>
        <v>0</v>
      </c>
      <c r="N139" s="1110">
        <f>$L139-SUMIF('11.2. ДА за периода'!$B$61:$B$108,$B139,'11.2. ДА за периода'!$L$61:$L$108)+SUMIF('11.2. ДА за периода'!$B$61:$B$108,$B139,'11.2. ДА за периода'!N$61:N$108)+SUMIF('11.1.Амортиз.нови активи'!$B$61:$B$108,$B139,'11.1.Амортиз.нови активи'!N$61:N$108)+('11.1.Амортиз.нови активи'!G$111*SUMIF('11.1.Амортиз.нови активи'!$B$61:$B$108,$B139,'11.1.Амортиз.нови активи'!AP$61:AP$108))</f>
        <v>0</v>
      </c>
      <c r="O139" s="1110">
        <f>$L139-SUMIF('11.2. ДА за периода'!$B$61:$B$108,$B139,'11.2. ДА за периода'!$L$61:$L$108)+SUMIF('11.2. ДА за периода'!$B$61:$B$108,$B139,'11.2. ДА за периода'!O$61:O$108)+SUMIF('11.1.Амортиз.нови активи'!$B$61:$B$108,$B139,'11.1.Амортиз.нови активи'!O$61:O$108)+('11.1.Амортиз.нови активи'!H$111*SUMIF('11.1.Амортиз.нови активи'!$B$61:$B$108,$B139,'11.1.Амортиз.нови активи'!AQ$61:AQ$108))</f>
        <v>0</v>
      </c>
      <c r="P139" s="1110">
        <f>$L139-SUMIF('11.2. ДА за периода'!$B$61:$B$108,$B139,'11.2. ДА за периода'!$L$61:$L$108)+SUMIF('11.2. ДА за периода'!$B$61:$B$108,$B139,'11.2. ДА за периода'!P$61:P$108)+SUMIF('11.1.Амортиз.нови активи'!$B$61:$B$108,$B139,'11.1.Амортиз.нови активи'!P$61:P$108)+('11.1.Амортиз.нови активи'!I$111*SUMIF('11.1.Амортиз.нови активи'!$B$61:$B$108,$B139,'11.1.Амортиз.нови активи'!AR$61:AR$108))</f>
        <v>0</v>
      </c>
      <c r="Q139" s="1110">
        <f>$L139-SUMIF('11.2. ДА за периода'!$B$61:$B$108,$B139,'11.2. ДА за периода'!$L$61:$L$108)+SUMIF('11.2. ДА за периода'!$B$61:$B$108,$B139,'11.2. ДА за периода'!Q$61:Q$108)+SUMIF('11.1.Амортиз.нови активи'!$B$61:$B$108,$B139,'11.1.Амортиз.нови активи'!Q$61:Q$108)+('11.1.Амортиз.нови активи'!J$111*SUMIF('11.1.Амортиз.нови активи'!$B$61:$B$108,$B139,'11.1.Амортиз.нови активи'!AS$61:AS$108))</f>
        <v>0</v>
      </c>
      <c r="R139" s="2618">
        <f>$L139-SUMIF('11.2. ДА за периода'!$B$61:$B$108,$B139,'11.2. ДА за периода'!$L$61:$L$108)+SUMIF('11.2. ДА за периода'!$B$61:$B$108,$B139,'11.2. ДА за периода'!R$61:R$108)+SUMIF('11.1.Амортиз.нови активи'!$B$61:$B$108,$B139,'11.1.Амортиз.нови активи'!R$61:R$108)+('11.1.Амортиз.нови активи'!K$111*SUMIF('11.1.Амортиз.нови активи'!$B$61:$B$108,$B139,'11.1.Амортиз.нови активи'!AT$61:AT$108))</f>
        <v>0</v>
      </c>
      <c r="S139" s="4387">
        <f>+'11.3. ДА Базова година'!N119</f>
        <v>0</v>
      </c>
      <c r="T139" s="2617">
        <f>$S139-SUMIF('11.2. ДА за периода'!$B$61:$B$108,$B139,'11.2. ДА за периода'!$S$61:$S$108)+SUMIF('11.2. ДА за периода'!$B$61:$B$108,$B139,'11.2. ДА за периода'!T$61:T$108)+SUMIF('11.1.Амортиз.нови активи'!$B$61:$B$108,$B139,'11.1.Амортиз.нови активи'!T$61:T$108)+('11.1.Амортиз.нови активи'!F$112*SUMIF('11.1.Амортиз.нови активи'!$B$61:$B$108,$B139,'11.1.Амортиз.нови активи'!AO$61:AO$108))</f>
        <v>0</v>
      </c>
      <c r="U139" s="1110">
        <f>$S139-SUMIF('11.2. ДА за периода'!$B$61:$B$108,$B139,'11.2. ДА за периода'!$S$61:$S$108)+SUMIF('11.2. ДА за периода'!$B$61:$B$108,$B139,'11.2. ДА за периода'!U$61:U$108)+SUMIF('11.1.Амортиз.нови активи'!$B$61:$B$108,$B139,'11.1.Амортиз.нови активи'!U$61:U$108)+('11.1.Амортиз.нови активи'!G$112*SUMIF('11.1.Амортиз.нови активи'!$B$61:$B$108,$B139,'11.1.Амортиз.нови активи'!AP$61:AP$108))</f>
        <v>0</v>
      </c>
      <c r="V139" s="1110">
        <f>$S139-SUMIF('11.2. ДА за периода'!$B$61:$B$108,$B139,'11.2. ДА за периода'!$S$61:$S$108)+SUMIF('11.2. ДА за периода'!$B$61:$B$108,$B139,'11.2. ДА за периода'!V$61:V$108)+SUMIF('11.1.Амортиз.нови активи'!$B$61:$B$108,$B139,'11.1.Амортиз.нови активи'!V$61:V$108)+('11.1.Амортиз.нови активи'!H$112*SUMIF('11.1.Амортиз.нови активи'!$B$61:$B$108,$B139,'11.1.Амортиз.нови активи'!AQ$61:AQ$108))</f>
        <v>0</v>
      </c>
      <c r="W139" s="1110">
        <f>$S139-SUMIF('11.2. ДА за периода'!$B$61:$B$108,$B139,'11.2. ДА за периода'!$S$61:$S$108)+SUMIF('11.2. ДА за периода'!$B$61:$B$108,$B139,'11.2. ДА за периода'!W$61:W$108)+SUMIF('11.1.Амортиз.нови активи'!$B$61:$B$108,$B139,'11.1.Амортиз.нови активи'!W$61:W$108)+('11.1.Амортиз.нови активи'!I$112*SUMIF('11.1.Амортиз.нови активи'!$B$61:$B$108,$B139,'11.1.Амортиз.нови активи'!AR$61:AR$108))</f>
        <v>-0.1</v>
      </c>
      <c r="X139" s="1110">
        <f>$S139-SUMIF('11.2. ДА за периода'!$B$61:$B$108,$B139,'11.2. ДА за периода'!$S$61:$S$108)+SUMIF('11.2. ДА за периода'!$B$61:$B$108,$B139,'11.2. ДА за периода'!X$61:X$108)+SUMIF('11.1.Амортиз.нови активи'!$B$61:$B$108,$B139,'11.1.Амортиз.нови активи'!X$61:X$108)+('11.1.Амортиз.нови активи'!J$112*SUMIF('11.1.Амортиз.нови активи'!$B$61:$B$108,$B139,'11.1.Амортиз.нови активи'!AS$61:AS$108))</f>
        <v>-0.1</v>
      </c>
      <c r="Y139" s="2618">
        <f>$S139-SUMIF('11.2. ДА за периода'!$B$61:$B$108,$B139,'11.2. ДА за периода'!$S$61:$S$108)+SUMIF('11.2. ДА за периода'!$B$61:$B$108,$B139,'11.2. ДА за периода'!Y$61:Y$108)+SUMIF('11.1.Амортиз.нови активи'!$B$61:$B$108,$B139,'11.1.Амортиз.нови активи'!Y$61:Y$108)+('11.1.Амортиз.нови активи'!K$112*SUMIF('11.1.Амортиз.нови активи'!$B$61:$B$108,$B139,'11.1.Амортиз.нови активи'!AT$61:AT$108))</f>
        <v>-0.1</v>
      </c>
      <c r="Z139" s="4387">
        <f>+'11.3. ДА Базова година'!R119</f>
        <v>0</v>
      </c>
      <c r="AA139" s="2617">
        <f>$Z139-SUMIF('11.2. ДА за периода'!$B$61:$B$108,$B139,'11.2. ДА за периода'!$Z$61:$Z$108)+SUMIF('11.2. ДА за периода'!$B$61:$B$108,$B139,'11.2. ДА за периода'!AA$61:AA$108)+SUMIF('11.1.Амортиз.нови активи'!$B$61:$B$108,$B139,'11.1.Амортиз.нови активи'!AA$61:AA$108)</f>
        <v>0</v>
      </c>
      <c r="AB139" s="1110">
        <f>$Z139-SUMIF('11.2. ДА за периода'!$B$61:$B$108,$B139,'11.2. ДА за периода'!$Z$61:$Z$108)+SUMIF('11.2. ДА за периода'!$B$61:$B$108,$B139,'11.2. ДА за периода'!AB$61:AB$108)+SUMIF('11.1.Амортиз.нови активи'!$B$61:$B$108,$B139,'11.1.Амортиз.нови активи'!AB$61:AB$108)</f>
        <v>0</v>
      </c>
      <c r="AC139" s="1110">
        <f>$Z139-SUMIF('11.2. ДА за периода'!$B$61:$B$108,$B139,'11.2. ДА за периода'!$Z$61:$Z$108)+SUMIF('11.2. ДА за периода'!$B$61:$B$108,$B139,'11.2. ДА за периода'!AC$61:AC$108)+SUMIF('11.1.Амортиз.нови активи'!$B$61:$B$108,$B139,'11.1.Амортиз.нови активи'!AC$61:AC$108)</f>
        <v>0</v>
      </c>
      <c r="AD139" s="1110">
        <f>$Z139-SUMIF('11.2. ДА за периода'!$B$61:$B$108,$B139,'11.2. ДА за периода'!$Z$61:$Z$108)+SUMIF('11.2. ДА за периода'!$B$61:$B$108,$B139,'11.2. ДА за периода'!AD$61:AD$108)+SUMIF('11.1.Амортиз.нови активи'!$B$61:$B$108,$B139,'11.1.Амортиз.нови активи'!AD$61:AD$108)</f>
        <v>0</v>
      </c>
      <c r="AE139" s="1110">
        <f>$Z139-SUMIF('11.2. ДА за периода'!$B$61:$B$108,$B139,'11.2. ДА за периода'!$Z$61:$Z$108)+SUMIF('11.2. ДА за периода'!$B$61:$B$108,$B139,'11.2. ДА за периода'!AE$61:AE$108)+SUMIF('11.1.Амортиз.нови активи'!$B$61:$B$108,$B139,'11.1.Амортиз.нови активи'!AE$61:AE$108)</f>
        <v>0</v>
      </c>
      <c r="AF139" s="2618">
        <f>$Z139-SUMIF('11.2. ДА за периода'!$B$61:$B$108,$B139,'11.2. ДА за периода'!$Z$61:$Z$108)+SUMIF('11.2. ДА за периода'!$B$61:$B$108,$B139,'11.2. ДА за периода'!AF$61:AF$108)+SUMIF('11.1.Амортиз.нови активи'!$B$61:$B$108,$B139,'11.1.Амортиз.нови активи'!AF$61:AF$108)</f>
        <v>0</v>
      </c>
      <c r="AG139" s="4387">
        <f>+'11.3. ДА Базова година'!V119</f>
        <v>0</v>
      </c>
      <c r="AH139" s="2617">
        <f>$AG139-SUMIF('11.2. ДА за периода'!$B$61:$B$108,$B139,'11.2. ДА за периода'!$AG$61:$AG$108)+SUMIF('11.2. ДА за периода'!$B$61:$B$108,$B139,'11.2. ДА за периода'!AH$61:AH$108)+SUMIF('11.1.Амортиз.нови активи'!$B$61:$B$108,$B139,'11.1.Амортиз.нови активи'!AH$61:AH$108)</f>
        <v>0</v>
      </c>
      <c r="AI139" s="1110">
        <f>$AG139-SUMIF('11.2. ДА за периода'!$B$61:$B$108,$B139,'11.2. ДА за периода'!$AG$61:$AG$108)+SUMIF('11.2. ДА за периода'!$B$61:$B$108,$B139,'11.2. ДА за периода'!AI$61:AI$108)+SUMIF('11.1.Амортиз.нови активи'!$B$61:$B$108,$B139,'11.1.Амортиз.нови активи'!AI$61:AI$108)</f>
        <v>0</v>
      </c>
      <c r="AJ139" s="1110">
        <f>$AG139-SUMIF('11.2. ДА за периода'!$B$61:$B$108,$B139,'11.2. ДА за периода'!$AG$61:$AG$108)+SUMIF('11.2. ДА за периода'!$B$61:$B$108,$B139,'11.2. ДА за периода'!AJ$61:AJ$108)+SUMIF('11.1.Амортиз.нови активи'!$B$61:$B$108,$B139,'11.1.Амортиз.нови активи'!AJ$61:AJ$108)</f>
        <v>0</v>
      </c>
      <c r="AK139" s="1110">
        <f>$AG139-SUMIF('11.2. ДА за периода'!$B$61:$B$108,$B139,'11.2. ДА за периода'!$AG$61:$AG$108)+SUMIF('11.2. ДА за периода'!$B$61:$B$108,$B139,'11.2. ДА за периода'!AK$61:AK$108)+SUMIF('11.1.Амортиз.нови активи'!$B$61:$B$108,$B139,'11.1.Амортиз.нови активи'!AK$61:AK$108)</f>
        <v>0</v>
      </c>
      <c r="AL139" s="1110">
        <f>$AG139-SUMIF('11.2. ДА за периода'!$B$61:$B$108,$B139,'11.2. ДА за периода'!$AG$61:$AG$108)+SUMIF('11.2. ДА за периода'!$B$61:$B$108,$B139,'11.2. ДА за периода'!AL$61:AL$108)+SUMIF('11.1.Амортиз.нови активи'!$B$61:$B$108,$B139,'11.1.Амортиз.нови активи'!AL$61:AL$108)</f>
        <v>0</v>
      </c>
      <c r="AM139" s="2618">
        <f>$AG139-SUMIF('11.2. ДА за периода'!$B$61:$B$108,$B139,'11.2. ДА за периода'!$AG$61:$AG$108)+SUMIF('11.2. ДА за периода'!$B$61:$B$108,$B139,'11.2. ДА за периода'!AM$61:AM$108)+SUMIF('11.1.Амортиз.нови активи'!$B$61:$B$108,$B139,'11.1.Амортиз.нови активи'!AM$61:AM$108)</f>
        <v>0</v>
      </c>
      <c r="AN139" s="2513"/>
      <c r="AO139" s="2551"/>
      <c r="AP139" s="4422"/>
      <c r="AQ139" s="4438">
        <f t="shared" si="174"/>
        <v>1.022583762392437</v>
      </c>
      <c r="AR139" s="4438">
        <f t="shared" si="175"/>
        <v>1.022583762392437</v>
      </c>
      <c r="AS139" s="4438">
        <f t="shared" si="176"/>
        <v>1.022583762392437</v>
      </c>
      <c r="AT139" s="4438">
        <f t="shared" si="177"/>
        <v>1.022583762392437</v>
      </c>
      <c r="AU139" s="4438">
        <f t="shared" si="178"/>
        <v>0.71580863367470582</v>
      </c>
      <c r="AV139" s="4438">
        <f t="shared" si="179"/>
        <v>0.71580863367470582</v>
      </c>
      <c r="AW139" s="4438">
        <f t="shared" si="180"/>
        <v>0.30677512871773105</v>
      </c>
      <c r="AX139" s="4438">
        <f t="shared" si="181"/>
        <v>0</v>
      </c>
      <c r="AY139" s="4438">
        <f t="shared" si="182"/>
        <v>0</v>
      </c>
      <c r="AZ139" s="4438">
        <f t="shared" si="183"/>
        <v>0</v>
      </c>
      <c r="BA139" s="4438">
        <f t="shared" si="184"/>
        <v>0</v>
      </c>
      <c r="BB139" s="4438">
        <f t="shared" si="185"/>
        <v>0</v>
      </c>
      <c r="BC139" s="4438">
        <f t="shared" si="186"/>
        <v>0</v>
      </c>
      <c r="BD139" s="4438">
        <f t="shared" si="187"/>
        <v>0</v>
      </c>
      <c r="BE139" s="4438">
        <f t="shared" si="188"/>
        <v>0</v>
      </c>
      <c r="BF139" s="4438">
        <f t="shared" si="189"/>
        <v>0</v>
      </c>
      <c r="BG139" s="4438">
        <f t="shared" si="190"/>
        <v>0</v>
      </c>
      <c r="BH139" s="4438">
        <f t="shared" si="191"/>
        <v>0</v>
      </c>
      <c r="BI139" s="4438">
        <f t="shared" si="192"/>
        <v>-5.1129188119621853E-2</v>
      </c>
      <c r="BJ139" s="4438">
        <f t="shared" si="193"/>
        <v>-5.1129188119621853E-2</v>
      </c>
      <c r="BK139" s="4438">
        <f t="shared" si="194"/>
        <v>-5.1129188119621853E-2</v>
      </c>
      <c r="BL139" s="4438">
        <f t="shared" si="195"/>
        <v>0</v>
      </c>
      <c r="BM139" s="4438">
        <f t="shared" si="196"/>
        <v>0</v>
      </c>
      <c r="BN139" s="4438">
        <f t="shared" si="197"/>
        <v>0</v>
      </c>
      <c r="BO139" s="4438">
        <f t="shared" si="198"/>
        <v>0</v>
      </c>
      <c r="BP139" s="4438">
        <f t="shared" si="199"/>
        <v>0</v>
      </c>
      <c r="BQ139" s="4438">
        <f t="shared" si="200"/>
        <v>0</v>
      </c>
      <c r="BR139" s="4438">
        <f t="shared" si="201"/>
        <v>0</v>
      </c>
      <c r="BS139" s="4438">
        <f t="shared" si="202"/>
        <v>0</v>
      </c>
      <c r="BT139" s="4438">
        <f t="shared" si="203"/>
        <v>0</v>
      </c>
      <c r="BU139" s="4438">
        <f t="shared" si="204"/>
        <v>0</v>
      </c>
      <c r="BV139" s="4438">
        <f t="shared" si="205"/>
        <v>0</v>
      </c>
      <c r="BW139" s="4438">
        <f t="shared" si="206"/>
        <v>0</v>
      </c>
      <c r="BX139" s="4438">
        <f t="shared" si="207"/>
        <v>0</v>
      </c>
      <c r="BY139" s="4438">
        <f t="shared" si="208"/>
        <v>0</v>
      </c>
    </row>
    <row r="140" spans="1:77" s="1292" customFormat="1">
      <c r="A140" s="2573">
        <v>9</v>
      </c>
      <c r="B140" s="2516">
        <v>2040102</v>
      </c>
      <c r="C140" s="2572">
        <v>0.04</v>
      </c>
      <c r="D140" s="2546" t="s">
        <v>432</v>
      </c>
      <c r="E140" s="4387">
        <f>+'11.3. ДА Базова година'!F120</f>
        <v>1</v>
      </c>
      <c r="F140" s="2617">
        <f>$E140-SUMIF('11.2. ДА за периода'!$B$61:$B$108,$B140,'11.2. ДА за периода'!$E$61:$E$108)+SUMIF('11.2. ДА за периода'!$B$61:$B$108,$B140,'11.2. ДА за периода'!F$61:F$108)+SUMIF('11.1.Амортиз.нови активи'!$B$61:$B$108,$B140,'11.1.Амортиз.нови активи'!F$61:F$108)+('11.1.Амортиз.нови активи'!F$110*SUMIF('11.1.Амортиз.нови активи'!$B$61:$B$108,$B140,'11.1.Амортиз.нови активи'!AO$61:AO$108))</f>
        <v>1</v>
      </c>
      <c r="G140" s="1110">
        <f>$E140-SUMIF('11.2. ДА за периода'!$B$61:$B$108,$B140,'11.2. ДА за периода'!$E$61:$E$108)+SUMIF('11.2. ДА за периода'!$B$61:$B$108,$B140,'11.2. ДА за периода'!G$61:G$108)+SUMIF('11.1.Амортиз.нови активи'!$B$61:$B$108,$B140,'11.1.Амортиз.нови активи'!G$61:G$108)+('11.1.Амортиз.нови активи'!G$110*SUMIF('11.1.Амортиз.нови активи'!$B$61:$B$108,$B140,'11.1.Амортиз.нови активи'!AP$61:AP$108))</f>
        <v>1</v>
      </c>
      <c r="H140" s="1110">
        <f>$E140-SUMIF('11.2. ДА за периода'!$B$61:$B$108,$B140,'11.2. ДА за периода'!$E$61:$E$108)+SUMIF('11.2. ДА за периода'!$B$61:$B$108,$B140,'11.2. ДА за периода'!H$61:H$108)+SUMIF('11.1.Амортиз.нови активи'!$B$61:$B$108,$B140,'11.1.Амортиз.нови активи'!H$61:H$108)+('11.1.Амортиз.нови активи'!H$110*SUMIF('11.1.Амортиз.нови активи'!$B$61:$B$108,$B140,'11.1.Амортиз.нови активи'!AQ$61:AQ$108))</f>
        <v>1</v>
      </c>
      <c r="I140" s="1110">
        <f>$E140-SUMIF('11.2. ДА за периода'!$B$61:$B$108,$B140,'11.2. ДА за периода'!$E$61:$E$108)+SUMIF('11.2. ДА за периода'!$B$61:$B$108,$B140,'11.2. ДА за периода'!I$61:I$108)+SUMIF('11.1.Амортиз.нови активи'!$B$61:$B$108,$B140,'11.1.Амортиз.нови активи'!I$61:I$108)+('11.1.Амортиз.нови активи'!I$110*SUMIF('11.1.Амортиз.нови активи'!$B$61:$B$108,$B140,'11.1.Амортиз.нови активи'!AR$61:AR$108))</f>
        <v>1</v>
      </c>
      <c r="J140" s="1110">
        <f>$E140-SUMIF('11.2. ДА за периода'!$B$61:$B$108,$B140,'11.2. ДА за периода'!$E$61:$E$108)+SUMIF('11.2. ДА за периода'!$B$61:$B$108,$B140,'11.2. ДА за периода'!J$61:J$108)+SUMIF('11.1.Амортиз.нови активи'!$B$61:$B$108,$B140,'11.1.Амортиз.нови активи'!J$61:J$108)+('11.1.Амортиз.нови активи'!J$110*SUMIF('11.1.Амортиз.нови активи'!$B$61:$B$108,$B140,'11.1.Амортиз.нови активи'!AS$61:AS$108))</f>
        <v>1</v>
      </c>
      <c r="K140" s="1110">
        <f>$E140-SUMIF('11.2. ДА за периода'!$B$61:$B$108,$B140,'11.2. ДА за периода'!$E$61:$E$108)+SUMIF('11.2. ДА за периода'!$B$61:$B$108,$B140,'11.2. ДА за периода'!K$61:K$108)+SUMIF('11.1.Амортиз.нови активи'!$B$61:$B$108,$B140,'11.1.Амортиз.нови активи'!K$61:K$108)+('11.1.Амортиз.нови активи'!K$110*SUMIF('11.1.Амортиз.нови активи'!$B$61:$B$108,$B140,'11.1.Амортиз.нови активи'!AT$61:AT$108))</f>
        <v>1</v>
      </c>
      <c r="L140" s="4387">
        <f>+'11.3. ДА Базова година'!J120</f>
        <v>0</v>
      </c>
      <c r="M140" s="2617">
        <f>$L140-SUMIF('11.2. ДА за периода'!$B$61:$B$108,$B140,'11.2. ДА за периода'!$L$61:$L$108)+SUMIF('11.2. ДА за периода'!$B$61:$B$108,$B140,'11.2. ДА за периода'!M$61:M$108)+SUMIF('11.1.Амортиз.нови активи'!$B$61:$B$108,$B140,'11.1.Амортиз.нови активи'!M$61:M$108)+('11.1.Амортиз.нови активи'!F$111*SUMIF('11.1.Амортиз.нови активи'!$B$61:$B$108,$B140,'11.1.Амортиз.нови активи'!AO$61:AO$108))</f>
        <v>0</v>
      </c>
      <c r="N140" s="1110">
        <f>$L140-SUMIF('11.2. ДА за периода'!$B$61:$B$108,$B140,'11.2. ДА за периода'!$L$61:$L$108)+SUMIF('11.2. ДА за периода'!$B$61:$B$108,$B140,'11.2. ДА за периода'!N$61:N$108)+SUMIF('11.1.Амортиз.нови активи'!$B$61:$B$108,$B140,'11.1.Амортиз.нови активи'!N$61:N$108)+('11.1.Амортиз.нови активи'!G$111*SUMIF('11.1.Амортиз.нови активи'!$B$61:$B$108,$B140,'11.1.Амортиз.нови активи'!AP$61:AP$108))</f>
        <v>0</v>
      </c>
      <c r="O140" s="1110">
        <f>$L140-SUMIF('11.2. ДА за периода'!$B$61:$B$108,$B140,'11.2. ДА за периода'!$L$61:$L$108)+SUMIF('11.2. ДА за периода'!$B$61:$B$108,$B140,'11.2. ДА за периода'!O$61:O$108)+SUMIF('11.1.Амортиз.нови активи'!$B$61:$B$108,$B140,'11.1.Амортиз.нови активи'!O$61:O$108)+('11.1.Амортиз.нови активи'!H$111*SUMIF('11.1.Амортиз.нови активи'!$B$61:$B$108,$B140,'11.1.Амортиз.нови активи'!AQ$61:AQ$108))</f>
        <v>0</v>
      </c>
      <c r="P140" s="1110">
        <f>$L140-SUMIF('11.2. ДА за периода'!$B$61:$B$108,$B140,'11.2. ДА за периода'!$L$61:$L$108)+SUMIF('11.2. ДА за периода'!$B$61:$B$108,$B140,'11.2. ДА за периода'!P$61:P$108)+SUMIF('11.1.Амортиз.нови активи'!$B$61:$B$108,$B140,'11.1.Амортиз.нови активи'!P$61:P$108)+('11.1.Амортиз.нови активи'!I$111*SUMIF('11.1.Амортиз.нови активи'!$B$61:$B$108,$B140,'11.1.Амортиз.нови активи'!AR$61:AR$108))</f>
        <v>0</v>
      </c>
      <c r="Q140" s="1110">
        <f>$L140-SUMIF('11.2. ДА за периода'!$B$61:$B$108,$B140,'11.2. ДА за периода'!$L$61:$L$108)+SUMIF('11.2. ДА за периода'!$B$61:$B$108,$B140,'11.2. ДА за периода'!Q$61:Q$108)+SUMIF('11.1.Амортиз.нови активи'!$B$61:$B$108,$B140,'11.1.Амортиз.нови активи'!Q$61:Q$108)+('11.1.Амортиз.нови активи'!J$111*SUMIF('11.1.Амортиз.нови активи'!$B$61:$B$108,$B140,'11.1.Амортиз.нови активи'!AS$61:AS$108))</f>
        <v>0</v>
      </c>
      <c r="R140" s="2618">
        <f>$L140-SUMIF('11.2. ДА за периода'!$B$61:$B$108,$B140,'11.2. ДА за периода'!$L$61:$L$108)+SUMIF('11.2. ДА за периода'!$B$61:$B$108,$B140,'11.2. ДА за периода'!R$61:R$108)+SUMIF('11.1.Амортиз.нови активи'!$B$61:$B$108,$B140,'11.1.Амортиз.нови активи'!R$61:R$108)+('11.1.Амортиз.нови активи'!K$111*SUMIF('11.1.Амортиз.нови активи'!$B$61:$B$108,$B140,'11.1.Амортиз.нови активи'!AT$61:AT$108))</f>
        <v>0</v>
      </c>
      <c r="S140" s="4387">
        <f>+'11.3. ДА Базова година'!N120</f>
        <v>0</v>
      </c>
      <c r="T140" s="2617">
        <f>$S140-SUMIF('11.2. ДА за периода'!$B$61:$B$108,$B140,'11.2. ДА за периода'!$S$61:$S$108)+SUMIF('11.2. ДА за периода'!$B$61:$B$108,$B140,'11.2. ДА за периода'!T$61:T$108)+SUMIF('11.1.Амортиз.нови активи'!$B$61:$B$108,$B140,'11.1.Амортиз.нови активи'!T$61:T$108)+('11.1.Амортиз.нови активи'!F$112*SUMIF('11.1.Амортиз.нови активи'!$B$61:$B$108,$B140,'11.1.Амортиз.нови активи'!AO$61:AO$108))</f>
        <v>0</v>
      </c>
      <c r="U140" s="1110">
        <f>$S140-SUMIF('11.2. ДА за периода'!$B$61:$B$108,$B140,'11.2. ДА за периода'!$S$61:$S$108)+SUMIF('11.2. ДА за периода'!$B$61:$B$108,$B140,'11.2. ДА за периода'!U$61:U$108)+SUMIF('11.1.Амортиз.нови активи'!$B$61:$B$108,$B140,'11.1.Амортиз.нови активи'!U$61:U$108)+('11.1.Амортиз.нови активи'!G$112*SUMIF('11.1.Амортиз.нови активи'!$B$61:$B$108,$B140,'11.1.Амортиз.нови активи'!AP$61:AP$108))</f>
        <v>0</v>
      </c>
      <c r="V140" s="1110">
        <f>$S140-SUMIF('11.2. ДА за периода'!$B$61:$B$108,$B140,'11.2. ДА за периода'!$S$61:$S$108)+SUMIF('11.2. ДА за периода'!$B$61:$B$108,$B140,'11.2. ДА за периода'!V$61:V$108)+SUMIF('11.1.Амортиз.нови активи'!$B$61:$B$108,$B140,'11.1.Амортиз.нови активи'!V$61:V$108)+('11.1.Амортиз.нови активи'!H$112*SUMIF('11.1.Амортиз.нови активи'!$B$61:$B$108,$B140,'11.1.Амортиз.нови активи'!AQ$61:AQ$108))</f>
        <v>0</v>
      </c>
      <c r="W140" s="1110">
        <f>$S140-SUMIF('11.2. ДА за периода'!$B$61:$B$108,$B140,'11.2. ДА за периода'!$S$61:$S$108)+SUMIF('11.2. ДА за периода'!$B$61:$B$108,$B140,'11.2. ДА за периода'!W$61:W$108)+SUMIF('11.1.Амортиз.нови активи'!$B$61:$B$108,$B140,'11.1.Амортиз.нови активи'!W$61:W$108)+('11.1.Амортиз.нови активи'!I$112*SUMIF('11.1.Амортиз.нови активи'!$B$61:$B$108,$B140,'11.1.Амортиз.нови активи'!AR$61:AR$108))</f>
        <v>0</v>
      </c>
      <c r="X140" s="1110">
        <f>$S140-SUMIF('11.2. ДА за периода'!$B$61:$B$108,$B140,'11.2. ДА за периода'!$S$61:$S$108)+SUMIF('11.2. ДА за периода'!$B$61:$B$108,$B140,'11.2. ДА за периода'!X$61:X$108)+SUMIF('11.1.Амортиз.нови активи'!$B$61:$B$108,$B140,'11.1.Амортиз.нови активи'!X$61:X$108)+('11.1.Амортиз.нови активи'!J$112*SUMIF('11.1.Амортиз.нови активи'!$B$61:$B$108,$B140,'11.1.Амортиз.нови активи'!AS$61:AS$108))</f>
        <v>0</v>
      </c>
      <c r="Y140" s="2618">
        <f>$S140-SUMIF('11.2. ДА за периода'!$B$61:$B$108,$B140,'11.2. ДА за периода'!$S$61:$S$108)+SUMIF('11.2. ДА за периода'!$B$61:$B$108,$B140,'11.2. ДА за периода'!Y$61:Y$108)+SUMIF('11.1.Амортиз.нови активи'!$B$61:$B$108,$B140,'11.1.Амортиз.нови активи'!Y$61:Y$108)+('11.1.Амортиз.нови активи'!K$112*SUMIF('11.1.Амортиз.нови активи'!$B$61:$B$108,$B140,'11.1.Амортиз.нови активи'!AT$61:AT$108))</f>
        <v>0</v>
      </c>
      <c r="Z140" s="4387">
        <f>+'11.3. ДА Базова година'!R120</f>
        <v>0</v>
      </c>
      <c r="AA140" s="2617">
        <f>$Z140-SUMIF('11.2. ДА за периода'!$B$61:$B$108,$B140,'11.2. ДА за периода'!$Z$61:$Z$108)+SUMIF('11.2. ДА за периода'!$B$61:$B$108,$B140,'11.2. ДА за периода'!AA$61:AA$108)+SUMIF('11.1.Амортиз.нови активи'!$B$61:$B$108,$B140,'11.1.Амортиз.нови активи'!AA$61:AA$108)</f>
        <v>0</v>
      </c>
      <c r="AB140" s="1110">
        <f>$Z140-SUMIF('11.2. ДА за периода'!$B$61:$B$108,$B140,'11.2. ДА за периода'!$Z$61:$Z$108)+SUMIF('11.2. ДА за периода'!$B$61:$B$108,$B140,'11.2. ДА за периода'!AB$61:AB$108)+SUMIF('11.1.Амортиз.нови активи'!$B$61:$B$108,$B140,'11.1.Амортиз.нови активи'!AB$61:AB$108)</f>
        <v>0</v>
      </c>
      <c r="AC140" s="1110">
        <f>$Z140-SUMIF('11.2. ДА за периода'!$B$61:$B$108,$B140,'11.2. ДА за периода'!$Z$61:$Z$108)+SUMIF('11.2. ДА за периода'!$B$61:$B$108,$B140,'11.2. ДА за периода'!AC$61:AC$108)+SUMIF('11.1.Амортиз.нови активи'!$B$61:$B$108,$B140,'11.1.Амортиз.нови активи'!AC$61:AC$108)</f>
        <v>0</v>
      </c>
      <c r="AD140" s="1110">
        <f>$Z140-SUMIF('11.2. ДА за периода'!$B$61:$B$108,$B140,'11.2. ДА за периода'!$Z$61:$Z$108)+SUMIF('11.2. ДА за периода'!$B$61:$B$108,$B140,'11.2. ДА за периода'!AD$61:AD$108)+SUMIF('11.1.Амортиз.нови активи'!$B$61:$B$108,$B140,'11.1.Амортиз.нови активи'!AD$61:AD$108)</f>
        <v>0</v>
      </c>
      <c r="AE140" s="1110">
        <f>$Z140-SUMIF('11.2. ДА за периода'!$B$61:$B$108,$B140,'11.2. ДА за периода'!$Z$61:$Z$108)+SUMIF('11.2. ДА за периода'!$B$61:$B$108,$B140,'11.2. ДА за периода'!AE$61:AE$108)+SUMIF('11.1.Амортиз.нови активи'!$B$61:$B$108,$B140,'11.1.Амортиз.нови активи'!AE$61:AE$108)</f>
        <v>0</v>
      </c>
      <c r="AF140" s="2618">
        <f>$Z140-SUMIF('11.2. ДА за периода'!$B$61:$B$108,$B140,'11.2. ДА за периода'!$Z$61:$Z$108)+SUMIF('11.2. ДА за периода'!$B$61:$B$108,$B140,'11.2. ДА за периода'!AF$61:AF$108)+SUMIF('11.1.Амортиз.нови активи'!$B$61:$B$108,$B140,'11.1.Амортиз.нови активи'!AF$61:AF$108)</f>
        <v>0</v>
      </c>
      <c r="AG140" s="4387">
        <f>+'11.3. ДА Базова година'!V120</f>
        <v>0</v>
      </c>
      <c r="AH140" s="2617">
        <f>$AG140-SUMIF('11.2. ДА за периода'!$B$61:$B$108,$B140,'11.2. ДА за периода'!$AG$61:$AG$108)+SUMIF('11.2. ДА за периода'!$B$61:$B$108,$B140,'11.2. ДА за периода'!AH$61:AH$108)+SUMIF('11.1.Амортиз.нови активи'!$B$61:$B$108,$B140,'11.1.Амортиз.нови активи'!AH$61:AH$108)</f>
        <v>0</v>
      </c>
      <c r="AI140" s="1110">
        <f>$AG140-SUMIF('11.2. ДА за периода'!$B$61:$B$108,$B140,'11.2. ДА за периода'!$AG$61:$AG$108)+SUMIF('11.2. ДА за периода'!$B$61:$B$108,$B140,'11.2. ДА за периода'!AI$61:AI$108)+SUMIF('11.1.Амортиз.нови активи'!$B$61:$B$108,$B140,'11.1.Амортиз.нови активи'!AI$61:AI$108)</f>
        <v>0</v>
      </c>
      <c r="AJ140" s="1110">
        <f>$AG140-SUMIF('11.2. ДА за периода'!$B$61:$B$108,$B140,'11.2. ДА за периода'!$AG$61:$AG$108)+SUMIF('11.2. ДА за периода'!$B$61:$B$108,$B140,'11.2. ДА за периода'!AJ$61:AJ$108)+SUMIF('11.1.Амортиз.нови активи'!$B$61:$B$108,$B140,'11.1.Амортиз.нови активи'!AJ$61:AJ$108)</f>
        <v>0</v>
      </c>
      <c r="AK140" s="1110">
        <f>$AG140-SUMIF('11.2. ДА за периода'!$B$61:$B$108,$B140,'11.2. ДА за периода'!$AG$61:$AG$108)+SUMIF('11.2. ДА за периода'!$B$61:$B$108,$B140,'11.2. ДА за периода'!AK$61:AK$108)+SUMIF('11.1.Амортиз.нови активи'!$B$61:$B$108,$B140,'11.1.Амортиз.нови активи'!AK$61:AK$108)</f>
        <v>0</v>
      </c>
      <c r="AL140" s="1110">
        <f>$AG140-SUMIF('11.2. ДА за периода'!$B$61:$B$108,$B140,'11.2. ДА за периода'!$AG$61:$AG$108)+SUMIF('11.2. ДА за периода'!$B$61:$B$108,$B140,'11.2. ДА за периода'!AL$61:AL$108)+SUMIF('11.1.Амортиз.нови активи'!$B$61:$B$108,$B140,'11.1.Амортиз.нови активи'!AL$61:AL$108)</f>
        <v>0</v>
      </c>
      <c r="AM140" s="2618">
        <f>$AG140-SUMIF('11.2. ДА за периода'!$B$61:$B$108,$B140,'11.2. ДА за периода'!$AG$61:$AG$108)+SUMIF('11.2. ДА за периода'!$B$61:$B$108,$B140,'11.2. ДА за периода'!AM$61:AM$108)+SUMIF('11.1.Амортиз.нови активи'!$B$61:$B$108,$B140,'11.1.Амортиз.нови активи'!AM$61:AM$108)</f>
        <v>0</v>
      </c>
      <c r="AN140" s="2513"/>
      <c r="AO140" s="2551"/>
      <c r="AP140" s="4422"/>
      <c r="AQ140" s="4438">
        <f t="shared" si="174"/>
        <v>0.51129188119621849</v>
      </c>
      <c r="AR140" s="4438">
        <f t="shared" si="175"/>
        <v>0.51129188119621849</v>
      </c>
      <c r="AS140" s="4438">
        <f t="shared" si="176"/>
        <v>0.51129188119621849</v>
      </c>
      <c r="AT140" s="4438">
        <f t="shared" si="177"/>
        <v>0.51129188119621849</v>
      </c>
      <c r="AU140" s="4438">
        <f t="shared" si="178"/>
        <v>0.51129188119621849</v>
      </c>
      <c r="AV140" s="4438">
        <f t="shared" si="179"/>
        <v>0.51129188119621849</v>
      </c>
      <c r="AW140" s="4438">
        <f t="shared" si="180"/>
        <v>0.51129188119621849</v>
      </c>
      <c r="AX140" s="4438">
        <f t="shared" si="181"/>
        <v>0</v>
      </c>
      <c r="AY140" s="4438">
        <f t="shared" si="182"/>
        <v>0</v>
      </c>
      <c r="AZ140" s="4438">
        <f t="shared" si="183"/>
        <v>0</v>
      </c>
      <c r="BA140" s="4438">
        <f t="shared" si="184"/>
        <v>0</v>
      </c>
      <c r="BB140" s="4438">
        <f t="shared" si="185"/>
        <v>0</v>
      </c>
      <c r="BC140" s="4438">
        <f t="shared" si="186"/>
        <v>0</v>
      </c>
      <c r="BD140" s="4438">
        <f t="shared" si="187"/>
        <v>0</v>
      </c>
      <c r="BE140" s="4438">
        <f t="shared" si="188"/>
        <v>0</v>
      </c>
      <c r="BF140" s="4438">
        <f t="shared" si="189"/>
        <v>0</v>
      </c>
      <c r="BG140" s="4438">
        <f t="shared" si="190"/>
        <v>0</v>
      </c>
      <c r="BH140" s="4438">
        <f t="shared" si="191"/>
        <v>0</v>
      </c>
      <c r="BI140" s="4438">
        <f t="shared" si="192"/>
        <v>0</v>
      </c>
      <c r="BJ140" s="4438">
        <f t="shared" si="193"/>
        <v>0</v>
      </c>
      <c r="BK140" s="4438">
        <f t="shared" si="194"/>
        <v>0</v>
      </c>
      <c r="BL140" s="4438">
        <f t="shared" si="195"/>
        <v>0</v>
      </c>
      <c r="BM140" s="4438">
        <f t="shared" si="196"/>
        <v>0</v>
      </c>
      <c r="BN140" s="4438">
        <f t="shared" si="197"/>
        <v>0</v>
      </c>
      <c r="BO140" s="4438">
        <f t="shared" si="198"/>
        <v>0</v>
      </c>
      <c r="BP140" s="4438">
        <f t="shared" si="199"/>
        <v>0</v>
      </c>
      <c r="BQ140" s="4438">
        <f t="shared" si="200"/>
        <v>0</v>
      </c>
      <c r="BR140" s="4438">
        <f t="shared" si="201"/>
        <v>0</v>
      </c>
      <c r="BS140" s="4438">
        <f t="shared" si="202"/>
        <v>0</v>
      </c>
      <c r="BT140" s="4438">
        <f t="shared" si="203"/>
        <v>0</v>
      </c>
      <c r="BU140" s="4438">
        <f t="shared" si="204"/>
        <v>0</v>
      </c>
      <c r="BV140" s="4438">
        <f t="shared" si="205"/>
        <v>0</v>
      </c>
      <c r="BW140" s="4438">
        <f t="shared" si="206"/>
        <v>0</v>
      </c>
      <c r="BX140" s="4438">
        <f t="shared" si="207"/>
        <v>0</v>
      </c>
      <c r="BY140" s="4438">
        <f t="shared" si="208"/>
        <v>0</v>
      </c>
    </row>
    <row r="141" spans="1:77" s="1292" customFormat="1">
      <c r="A141" s="2573">
        <v>10</v>
      </c>
      <c r="B141" s="2516">
        <v>2040201</v>
      </c>
      <c r="C141" s="2517">
        <v>0.02</v>
      </c>
      <c r="D141" s="2547" t="s">
        <v>738</v>
      </c>
      <c r="E141" s="4387">
        <f>+'11.3. ДА Базова година'!F121</f>
        <v>0</v>
      </c>
      <c r="F141" s="2617">
        <f>$E141-SUMIF('11.2. ДА за периода'!$B$61:$B$108,$B141,'11.2. ДА за периода'!$E$61:$E$108)+SUMIF('11.2. ДА за периода'!$B$61:$B$108,$B141,'11.2. ДА за периода'!F$61:F$108)+SUMIF('11.1.Амортиз.нови активи'!$B$61:$B$108,$B141,'11.1.Амортиз.нови активи'!F$61:F$108)+('11.1.Амортиз.нови активи'!F$110*SUMIF('11.1.Амортиз.нови активи'!$B$61:$B$108,$B141,'11.1.Амортиз.нови активи'!AO$61:AO$108))</f>
        <v>0</v>
      </c>
      <c r="G141" s="1110">
        <f>$E141-SUMIF('11.2. ДА за периода'!$B$61:$B$108,$B141,'11.2. ДА за периода'!$E$61:$E$108)+SUMIF('11.2. ДА за периода'!$B$61:$B$108,$B141,'11.2. ДА за периода'!G$61:G$108)+SUMIF('11.1.Амортиз.нови активи'!$B$61:$B$108,$B141,'11.1.Амортиз.нови активи'!G$61:G$108)+('11.1.Амортиз.нови активи'!G$110*SUMIF('11.1.Амортиз.нови активи'!$B$61:$B$108,$B141,'11.1.Амортиз.нови активи'!AP$61:AP$108))</f>
        <v>0</v>
      </c>
      <c r="H141" s="1110">
        <f>$E141-SUMIF('11.2. ДА за периода'!$B$61:$B$108,$B141,'11.2. ДА за периода'!$E$61:$E$108)+SUMIF('11.2. ДА за периода'!$B$61:$B$108,$B141,'11.2. ДА за периода'!H$61:H$108)+SUMIF('11.1.Амортиз.нови активи'!$B$61:$B$108,$B141,'11.1.Амортиз.нови активи'!H$61:H$108)+('11.1.Амортиз.нови активи'!H$110*SUMIF('11.1.Амортиз.нови активи'!$B$61:$B$108,$B141,'11.1.Амортиз.нови активи'!AQ$61:AQ$108))</f>
        <v>0</v>
      </c>
      <c r="I141" s="1110">
        <f>$E141-SUMIF('11.2. ДА за периода'!$B$61:$B$108,$B141,'11.2. ДА за периода'!$E$61:$E$108)+SUMIF('11.2. ДА за периода'!$B$61:$B$108,$B141,'11.2. ДА за периода'!I$61:I$108)+SUMIF('11.1.Амортиз.нови активи'!$B$61:$B$108,$B141,'11.1.Амортиз.нови активи'!I$61:I$108)+('11.1.Амортиз.нови активи'!I$110*SUMIF('11.1.Амортиз.нови активи'!$B$61:$B$108,$B141,'11.1.Амортиз.нови активи'!AR$61:AR$108))</f>
        <v>0</v>
      </c>
      <c r="J141" s="1110">
        <f>$E141-SUMIF('11.2. ДА за периода'!$B$61:$B$108,$B141,'11.2. ДА за периода'!$E$61:$E$108)+SUMIF('11.2. ДА за периода'!$B$61:$B$108,$B141,'11.2. ДА за периода'!J$61:J$108)+SUMIF('11.1.Амортиз.нови активи'!$B$61:$B$108,$B141,'11.1.Амортиз.нови активи'!J$61:J$108)+('11.1.Амортиз.нови активи'!J$110*SUMIF('11.1.Амортиз.нови активи'!$B$61:$B$108,$B141,'11.1.Амортиз.нови активи'!AS$61:AS$108))</f>
        <v>0</v>
      </c>
      <c r="K141" s="1110">
        <f>$E141-SUMIF('11.2. ДА за периода'!$B$61:$B$108,$B141,'11.2. ДА за периода'!$E$61:$E$108)+SUMIF('11.2. ДА за периода'!$B$61:$B$108,$B141,'11.2. ДА за периода'!K$61:K$108)+SUMIF('11.1.Амортиз.нови активи'!$B$61:$B$108,$B141,'11.1.Амортиз.нови активи'!K$61:K$108)+('11.1.Амортиз.нови активи'!K$110*SUMIF('11.1.Амортиз.нови активи'!$B$61:$B$108,$B141,'11.1.Амортиз.нови активи'!AT$61:AT$108))</f>
        <v>0</v>
      </c>
      <c r="L141" s="4387">
        <f>+'11.3. ДА Базова година'!J121</f>
        <v>0</v>
      </c>
      <c r="M141" s="2617">
        <f>$L141-SUMIF('11.2. ДА за периода'!$B$61:$B$108,$B141,'11.2. ДА за периода'!$L$61:$L$108)+SUMIF('11.2. ДА за периода'!$B$61:$B$108,$B141,'11.2. ДА за периода'!M$61:M$108)+SUMIF('11.1.Амортиз.нови активи'!$B$61:$B$108,$B141,'11.1.Амортиз.нови активи'!M$61:M$108)+('11.1.Амортиз.нови активи'!F$111*SUMIF('11.1.Амортиз.нови активи'!$B$61:$B$108,$B141,'11.1.Амортиз.нови активи'!AO$61:AO$108))</f>
        <v>0</v>
      </c>
      <c r="N141" s="1110">
        <f>$L141-SUMIF('11.2. ДА за периода'!$B$61:$B$108,$B141,'11.2. ДА за периода'!$L$61:$L$108)+SUMIF('11.2. ДА за периода'!$B$61:$B$108,$B141,'11.2. ДА за периода'!N$61:N$108)+SUMIF('11.1.Амортиз.нови активи'!$B$61:$B$108,$B141,'11.1.Амортиз.нови активи'!N$61:N$108)+('11.1.Амортиз.нови активи'!G$111*SUMIF('11.1.Амортиз.нови активи'!$B$61:$B$108,$B141,'11.1.Амортиз.нови активи'!AP$61:AP$108))</f>
        <v>0</v>
      </c>
      <c r="O141" s="1110">
        <f>$L141-SUMIF('11.2. ДА за периода'!$B$61:$B$108,$B141,'11.2. ДА за периода'!$L$61:$L$108)+SUMIF('11.2. ДА за периода'!$B$61:$B$108,$B141,'11.2. ДА за периода'!O$61:O$108)+SUMIF('11.1.Амортиз.нови активи'!$B$61:$B$108,$B141,'11.1.Амортиз.нови активи'!O$61:O$108)+('11.1.Амортиз.нови активи'!H$111*SUMIF('11.1.Амортиз.нови активи'!$B$61:$B$108,$B141,'11.1.Амортиз.нови активи'!AQ$61:AQ$108))</f>
        <v>0</v>
      </c>
      <c r="P141" s="1110">
        <f>$L141-SUMIF('11.2. ДА за периода'!$B$61:$B$108,$B141,'11.2. ДА за периода'!$L$61:$L$108)+SUMIF('11.2. ДА за периода'!$B$61:$B$108,$B141,'11.2. ДА за периода'!P$61:P$108)+SUMIF('11.1.Амортиз.нови активи'!$B$61:$B$108,$B141,'11.1.Амортиз.нови активи'!P$61:P$108)+('11.1.Амортиз.нови активи'!I$111*SUMIF('11.1.Амортиз.нови активи'!$B$61:$B$108,$B141,'11.1.Амортиз.нови активи'!AR$61:AR$108))</f>
        <v>0</v>
      </c>
      <c r="Q141" s="1110">
        <f>$L141-SUMIF('11.2. ДА за периода'!$B$61:$B$108,$B141,'11.2. ДА за периода'!$L$61:$L$108)+SUMIF('11.2. ДА за периода'!$B$61:$B$108,$B141,'11.2. ДА за периода'!Q$61:Q$108)+SUMIF('11.1.Амортиз.нови активи'!$B$61:$B$108,$B141,'11.1.Амортиз.нови активи'!Q$61:Q$108)+('11.1.Амортиз.нови активи'!J$111*SUMIF('11.1.Амортиз.нови активи'!$B$61:$B$108,$B141,'11.1.Амортиз.нови активи'!AS$61:AS$108))</f>
        <v>0</v>
      </c>
      <c r="R141" s="2618">
        <f>$L141-SUMIF('11.2. ДА за периода'!$B$61:$B$108,$B141,'11.2. ДА за периода'!$L$61:$L$108)+SUMIF('11.2. ДА за периода'!$B$61:$B$108,$B141,'11.2. ДА за периода'!R$61:R$108)+SUMIF('11.1.Амортиз.нови активи'!$B$61:$B$108,$B141,'11.1.Амортиз.нови активи'!R$61:R$108)+('11.1.Амортиз.нови активи'!K$111*SUMIF('11.1.Амортиз.нови активи'!$B$61:$B$108,$B141,'11.1.Амортиз.нови активи'!AT$61:AT$108))</f>
        <v>0</v>
      </c>
      <c r="S141" s="4387">
        <f>+'11.3. ДА Базова година'!N121</f>
        <v>0</v>
      </c>
      <c r="T141" s="2617">
        <f>$S141-SUMIF('11.2. ДА за периода'!$B$61:$B$108,$B141,'11.2. ДА за периода'!$S$61:$S$108)+SUMIF('11.2. ДА за периода'!$B$61:$B$108,$B141,'11.2. ДА за периода'!T$61:T$108)+SUMIF('11.1.Амортиз.нови активи'!$B$61:$B$108,$B141,'11.1.Амортиз.нови активи'!T$61:T$108)+('11.1.Амортиз.нови активи'!F$112*SUMIF('11.1.Амортиз.нови активи'!$B$61:$B$108,$B141,'11.1.Амортиз.нови активи'!AO$61:AO$108))</f>
        <v>0</v>
      </c>
      <c r="U141" s="1110">
        <f>$S141-SUMIF('11.2. ДА за периода'!$B$61:$B$108,$B141,'11.2. ДА за периода'!$S$61:$S$108)+SUMIF('11.2. ДА за периода'!$B$61:$B$108,$B141,'11.2. ДА за периода'!U$61:U$108)+SUMIF('11.1.Амортиз.нови активи'!$B$61:$B$108,$B141,'11.1.Амортиз.нови активи'!U$61:U$108)+('11.1.Амортиз.нови активи'!G$112*SUMIF('11.1.Амортиз.нови активи'!$B$61:$B$108,$B141,'11.1.Амортиз.нови активи'!AP$61:AP$108))</f>
        <v>0</v>
      </c>
      <c r="V141" s="1110">
        <f>$S141-SUMIF('11.2. ДА за периода'!$B$61:$B$108,$B141,'11.2. ДА за периода'!$S$61:$S$108)+SUMIF('11.2. ДА за периода'!$B$61:$B$108,$B141,'11.2. ДА за периода'!V$61:V$108)+SUMIF('11.1.Амортиз.нови активи'!$B$61:$B$108,$B141,'11.1.Амортиз.нови активи'!V$61:V$108)+('11.1.Амортиз.нови активи'!H$112*SUMIF('11.1.Амортиз.нови активи'!$B$61:$B$108,$B141,'11.1.Амортиз.нови активи'!AQ$61:AQ$108))</f>
        <v>0</v>
      </c>
      <c r="W141" s="1110">
        <f>$S141-SUMIF('11.2. ДА за периода'!$B$61:$B$108,$B141,'11.2. ДА за периода'!$S$61:$S$108)+SUMIF('11.2. ДА за периода'!$B$61:$B$108,$B141,'11.2. ДА за периода'!W$61:W$108)+SUMIF('11.1.Амортиз.нови активи'!$B$61:$B$108,$B141,'11.1.Амортиз.нови активи'!W$61:W$108)+('11.1.Амортиз.нови активи'!I$112*SUMIF('11.1.Амортиз.нови активи'!$B$61:$B$108,$B141,'11.1.Амортиз.нови активи'!AR$61:AR$108))</f>
        <v>0</v>
      </c>
      <c r="X141" s="1110">
        <f>$S141-SUMIF('11.2. ДА за периода'!$B$61:$B$108,$B141,'11.2. ДА за периода'!$S$61:$S$108)+SUMIF('11.2. ДА за периода'!$B$61:$B$108,$B141,'11.2. ДА за периода'!X$61:X$108)+SUMIF('11.1.Амортиз.нови активи'!$B$61:$B$108,$B141,'11.1.Амортиз.нови активи'!X$61:X$108)+('11.1.Амортиз.нови активи'!J$112*SUMIF('11.1.Амортиз.нови активи'!$B$61:$B$108,$B141,'11.1.Амортиз.нови активи'!AS$61:AS$108))</f>
        <v>0</v>
      </c>
      <c r="Y141" s="2618">
        <f>$S141-SUMIF('11.2. ДА за периода'!$B$61:$B$108,$B141,'11.2. ДА за периода'!$S$61:$S$108)+SUMIF('11.2. ДА за периода'!$B$61:$B$108,$B141,'11.2. ДА за периода'!Y$61:Y$108)+SUMIF('11.1.Амортиз.нови активи'!$B$61:$B$108,$B141,'11.1.Амортиз.нови активи'!Y$61:Y$108)+('11.1.Амортиз.нови активи'!K$112*SUMIF('11.1.Амортиз.нови активи'!$B$61:$B$108,$B141,'11.1.Амортиз.нови активи'!AT$61:AT$108))</f>
        <v>0</v>
      </c>
      <c r="Z141" s="4387">
        <f>+'11.3. ДА Базова година'!R121</f>
        <v>0</v>
      </c>
      <c r="AA141" s="2617">
        <f>$Z141-SUMIF('11.2. ДА за периода'!$B$61:$B$108,$B141,'11.2. ДА за периода'!$Z$61:$Z$108)+SUMIF('11.2. ДА за периода'!$B$61:$B$108,$B141,'11.2. ДА за периода'!AA$61:AA$108)+SUMIF('11.1.Амортиз.нови активи'!$B$61:$B$108,$B141,'11.1.Амортиз.нови активи'!AA$61:AA$108)</f>
        <v>0</v>
      </c>
      <c r="AB141" s="1110">
        <f>$Z141-SUMIF('11.2. ДА за периода'!$B$61:$B$108,$B141,'11.2. ДА за периода'!$Z$61:$Z$108)+SUMIF('11.2. ДА за периода'!$B$61:$B$108,$B141,'11.2. ДА за периода'!AB$61:AB$108)+SUMIF('11.1.Амортиз.нови активи'!$B$61:$B$108,$B141,'11.1.Амортиз.нови активи'!AB$61:AB$108)</f>
        <v>0</v>
      </c>
      <c r="AC141" s="1110">
        <f>$Z141-SUMIF('11.2. ДА за периода'!$B$61:$B$108,$B141,'11.2. ДА за периода'!$Z$61:$Z$108)+SUMIF('11.2. ДА за периода'!$B$61:$B$108,$B141,'11.2. ДА за периода'!AC$61:AC$108)+SUMIF('11.1.Амортиз.нови активи'!$B$61:$B$108,$B141,'11.1.Амортиз.нови активи'!AC$61:AC$108)</f>
        <v>0</v>
      </c>
      <c r="AD141" s="1110">
        <f>$Z141-SUMIF('11.2. ДА за периода'!$B$61:$B$108,$B141,'11.2. ДА за периода'!$Z$61:$Z$108)+SUMIF('11.2. ДА за периода'!$B$61:$B$108,$B141,'11.2. ДА за периода'!AD$61:AD$108)+SUMIF('11.1.Амортиз.нови активи'!$B$61:$B$108,$B141,'11.1.Амортиз.нови активи'!AD$61:AD$108)</f>
        <v>0</v>
      </c>
      <c r="AE141" s="1110">
        <f>$Z141-SUMIF('11.2. ДА за периода'!$B$61:$B$108,$B141,'11.2. ДА за периода'!$Z$61:$Z$108)+SUMIF('11.2. ДА за периода'!$B$61:$B$108,$B141,'11.2. ДА за периода'!AE$61:AE$108)+SUMIF('11.1.Амортиз.нови активи'!$B$61:$B$108,$B141,'11.1.Амортиз.нови активи'!AE$61:AE$108)</f>
        <v>0</v>
      </c>
      <c r="AF141" s="2618">
        <f>$Z141-SUMIF('11.2. ДА за периода'!$B$61:$B$108,$B141,'11.2. ДА за периода'!$Z$61:$Z$108)+SUMIF('11.2. ДА за периода'!$B$61:$B$108,$B141,'11.2. ДА за периода'!AF$61:AF$108)+SUMIF('11.1.Амортиз.нови активи'!$B$61:$B$108,$B141,'11.1.Амортиз.нови активи'!AF$61:AF$108)</f>
        <v>0</v>
      </c>
      <c r="AG141" s="4387">
        <f>+'11.3. ДА Базова година'!V121</f>
        <v>0</v>
      </c>
      <c r="AH141" s="2617">
        <f>$AG141-SUMIF('11.2. ДА за периода'!$B$61:$B$108,$B141,'11.2. ДА за периода'!$AG$61:$AG$108)+SUMIF('11.2. ДА за периода'!$B$61:$B$108,$B141,'11.2. ДА за периода'!AH$61:AH$108)+SUMIF('11.1.Амортиз.нови активи'!$B$61:$B$108,$B141,'11.1.Амортиз.нови активи'!AH$61:AH$108)</f>
        <v>0</v>
      </c>
      <c r="AI141" s="1110">
        <f>$AG141-SUMIF('11.2. ДА за периода'!$B$61:$B$108,$B141,'11.2. ДА за периода'!$AG$61:$AG$108)+SUMIF('11.2. ДА за периода'!$B$61:$B$108,$B141,'11.2. ДА за периода'!AI$61:AI$108)+SUMIF('11.1.Амортиз.нови активи'!$B$61:$B$108,$B141,'11.1.Амортиз.нови активи'!AI$61:AI$108)</f>
        <v>0</v>
      </c>
      <c r="AJ141" s="1110">
        <f>$AG141-SUMIF('11.2. ДА за периода'!$B$61:$B$108,$B141,'11.2. ДА за периода'!$AG$61:$AG$108)+SUMIF('11.2. ДА за периода'!$B$61:$B$108,$B141,'11.2. ДА за периода'!AJ$61:AJ$108)+SUMIF('11.1.Амортиз.нови активи'!$B$61:$B$108,$B141,'11.1.Амортиз.нови активи'!AJ$61:AJ$108)</f>
        <v>0</v>
      </c>
      <c r="AK141" s="1110">
        <f>$AG141-SUMIF('11.2. ДА за периода'!$B$61:$B$108,$B141,'11.2. ДА за периода'!$AG$61:$AG$108)+SUMIF('11.2. ДА за периода'!$B$61:$B$108,$B141,'11.2. ДА за периода'!AK$61:AK$108)+SUMIF('11.1.Амортиз.нови активи'!$B$61:$B$108,$B141,'11.1.Амортиз.нови активи'!AK$61:AK$108)</f>
        <v>0</v>
      </c>
      <c r="AL141" s="1110">
        <f>$AG141-SUMIF('11.2. ДА за периода'!$B$61:$B$108,$B141,'11.2. ДА за периода'!$AG$61:$AG$108)+SUMIF('11.2. ДА за периода'!$B$61:$B$108,$B141,'11.2. ДА за периода'!AL$61:AL$108)+SUMIF('11.1.Амортиз.нови активи'!$B$61:$B$108,$B141,'11.1.Амортиз.нови активи'!AL$61:AL$108)</f>
        <v>0</v>
      </c>
      <c r="AM141" s="2618">
        <f>$AG141-SUMIF('11.2. ДА за периода'!$B$61:$B$108,$B141,'11.2. ДА за периода'!$AG$61:$AG$108)+SUMIF('11.2. ДА за периода'!$B$61:$B$108,$B141,'11.2. ДА за периода'!AM$61:AM$108)+SUMIF('11.1.Амортиз.нови активи'!$B$61:$B$108,$B141,'11.1.Амортиз.нови активи'!AM$61:AM$108)</f>
        <v>0</v>
      </c>
      <c r="AN141" s="2513"/>
      <c r="AO141" s="2551"/>
      <c r="AP141" s="4422"/>
      <c r="AQ141" s="4438">
        <f t="shared" si="174"/>
        <v>0</v>
      </c>
      <c r="AR141" s="4438">
        <f t="shared" si="175"/>
        <v>0</v>
      </c>
      <c r="AS141" s="4438">
        <f t="shared" si="176"/>
        <v>0</v>
      </c>
      <c r="AT141" s="4438">
        <f t="shared" si="177"/>
        <v>0</v>
      </c>
      <c r="AU141" s="4438">
        <f t="shared" si="178"/>
        <v>0</v>
      </c>
      <c r="AV141" s="4438">
        <f t="shared" si="179"/>
        <v>0</v>
      </c>
      <c r="AW141" s="4438">
        <f t="shared" si="180"/>
        <v>0</v>
      </c>
      <c r="AX141" s="4438">
        <f t="shared" si="181"/>
        <v>0</v>
      </c>
      <c r="AY141" s="4438">
        <f t="shared" si="182"/>
        <v>0</v>
      </c>
      <c r="AZ141" s="4438">
        <f t="shared" si="183"/>
        <v>0</v>
      </c>
      <c r="BA141" s="4438">
        <f t="shared" si="184"/>
        <v>0</v>
      </c>
      <c r="BB141" s="4438">
        <f t="shared" si="185"/>
        <v>0</v>
      </c>
      <c r="BC141" s="4438">
        <f t="shared" si="186"/>
        <v>0</v>
      </c>
      <c r="BD141" s="4438">
        <f t="shared" si="187"/>
        <v>0</v>
      </c>
      <c r="BE141" s="4438">
        <f t="shared" si="188"/>
        <v>0</v>
      </c>
      <c r="BF141" s="4438">
        <f t="shared" si="189"/>
        <v>0</v>
      </c>
      <c r="BG141" s="4438">
        <f t="shared" si="190"/>
        <v>0</v>
      </c>
      <c r="BH141" s="4438">
        <f t="shared" si="191"/>
        <v>0</v>
      </c>
      <c r="BI141" s="4438">
        <f t="shared" si="192"/>
        <v>0</v>
      </c>
      <c r="BJ141" s="4438">
        <f t="shared" si="193"/>
        <v>0</v>
      </c>
      <c r="BK141" s="4438">
        <f t="shared" si="194"/>
        <v>0</v>
      </c>
      <c r="BL141" s="4438">
        <f t="shared" si="195"/>
        <v>0</v>
      </c>
      <c r="BM141" s="4438">
        <f t="shared" si="196"/>
        <v>0</v>
      </c>
      <c r="BN141" s="4438">
        <f t="shared" si="197"/>
        <v>0</v>
      </c>
      <c r="BO141" s="4438">
        <f t="shared" si="198"/>
        <v>0</v>
      </c>
      <c r="BP141" s="4438">
        <f t="shared" si="199"/>
        <v>0</v>
      </c>
      <c r="BQ141" s="4438">
        <f t="shared" si="200"/>
        <v>0</v>
      </c>
      <c r="BR141" s="4438">
        <f t="shared" si="201"/>
        <v>0</v>
      </c>
      <c r="BS141" s="4438">
        <f t="shared" si="202"/>
        <v>0</v>
      </c>
      <c r="BT141" s="4438">
        <f t="shared" si="203"/>
        <v>0</v>
      </c>
      <c r="BU141" s="4438">
        <f t="shared" si="204"/>
        <v>0</v>
      </c>
      <c r="BV141" s="4438">
        <f t="shared" si="205"/>
        <v>0</v>
      </c>
      <c r="BW141" s="4438">
        <f t="shared" si="206"/>
        <v>0</v>
      </c>
      <c r="BX141" s="4438">
        <f t="shared" si="207"/>
        <v>0</v>
      </c>
      <c r="BY141" s="4438">
        <f t="shared" si="208"/>
        <v>0</v>
      </c>
    </row>
    <row r="142" spans="1:77" s="1292" customFormat="1">
      <c r="A142" s="2573">
        <v>11</v>
      </c>
      <c r="B142" s="2516">
        <v>2040202</v>
      </c>
      <c r="C142" s="2517">
        <v>0.02</v>
      </c>
      <c r="D142" s="2547" t="s">
        <v>739</v>
      </c>
      <c r="E142" s="4387">
        <f>+'11.3. ДА Базова година'!F122</f>
        <v>1</v>
      </c>
      <c r="F142" s="2617">
        <f>$E142-SUMIF('11.2. ДА за периода'!$B$61:$B$108,$B142,'11.2. ДА за периода'!$E$61:$E$108)+SUMIF('11.2. ДА за периода'!$B$61:$B$108,$B142,'11.2. ДА за периода'!F$61:F$108)+SUMIF('11.1.Амортиз.нови активи'!$B$61:$B$108,$B142,'11.1.Амортиз.нови активи'!F$61:F$108)+('11.1.Амортиз.нови активи'!F$110*SUMIF('11.1.Амортиз.нови активи'!$B$61:$B$108,$B142,'11.1.Амортиз.нови активи'!AO$61:AO$108))</f>
        <v>1.4</v>
      </c>
      <c r="G142" s="1110">
        <f>$E142-SUMIF('11.2. ДА за периода'!$B$61:$B$108,$B142,'11.2. ДА за периода'!$E$61:$E$108)+SUMIF('11.2. ДА за периода'!$B$61:$B$108,$B142,'11.2. ДА за периода'!G$61:G$108)+SUMIF('11.1.Амортиз.нови активи'!$B$61:$B$108,$B142,'11.1.Амортиз.нови активи'!G$61:G$108)+('11.1.Амортиз.нови активи'!G$110*SUMIF('11.1.Амортиз.нови активи'!$B$61:$B$108,$B142,'11.1.Амортиз.нови активи'!AP$61:AP$108))</f>
        <v>1.4</v>
      </c>
      <c r="H142" s="1110">
        <f>$E142-SUMIF('11.2. ДА за периода'!$B$61:$B$108,$B142,'11.2. ДА за периода'!$E$61:$E$108)+SUMIF('11.2. ДА за периода'!$B$61:$B$108,$B142,'11.2. ДА за периода'!H$61:H$108)+SUMIF('11.1.Амортиз.нови активи'!$B$61:$B$108,$B142,'11.1.Амортиз.нови активи'!H$61:H$108)+('11.1.Амортиз.нови активи'!H$110*SUMIF('11.1.Амортиз.нови активи'!$B$61:$B$108,$B142,'11.1.Амортиз.нови активи'!AQ$61:AQ$108))</f>
        <v>1.4</v>
      </c>
      <c r="I142" s="1110">
        <f>$E142-SUMIF('11.2. ДА за периода'!$B$61:$B$108,$B142,'11.2. ДА за периода'!$E$61:$E$108)+SUMIF('11.2. ДА за периода'!$B$61:$B$108,$B142,'11.2. ДА за периода'!I$61:I$108)+SUMIF('11.1.Амортиз.нови активи'!$B$61:$B$108,$B142,'11.1.Амортиз.нови активи'!I$61:I$108)+('11.1.Амортиз.нови активи'!I$110*SUMIF('11.1.Амортиз.нови активи'!$B$61:$B$108,$B142,'11.1.Амортиз.нови активи'!AR$61:AR$108))</f>
        <v>1.4</v>
      </c>
      <c r="J142" s="1110">
        <f>$E142-SUMIF('11.2. ДА за периода'!$B$61:$B$108,$B142,'11.2. ДА за периода'!$E$61:$E$108)+SUMIF('11.2. ДА за периода'!$B$61:$B$108,$B142,'11.2. ДА за периода'!J$61:J$108)+SUMIF('11.1.Амортиз.нови активи'!$B$61:$B$108,$B142,'11.1.Амортиз.нови активи'!J$61:J$108)+('11.1.Амортиз.нови активи'!J$110*SUMIF('11.1.Амортиз.нови активи'!$B$61:$B$108,$B142,'11.1.Амортиз.нови активи'!AS$61:AS$108))</f>
        <v>1.4</v>
      </c>
      <c r="K142" s="1110">
        <f>$E142-SUMIF('11.2. ДА за периода'!$B$61:$B$108,$B142,'11.2. ДА за периода'!$E$61:$E$108)+SUMIF('11.2. ДА за периода'!$B$61:$B$108,$B142,'11.2. ДА за периода'!K$61:K$108)+SUMIF('11.1.Амортиз.нови активи'!$B$61:$B$108,$B142,'11.1.Амортиз.нови активи'!K$61:K$108)+('11.1.Амортиз.нови активи'!K$110*SUMIF('11.1.Амортиз.нови активи'!$B$61:$B$108,$B142,'11.1.Амортиз.нови активи'!AT$61:AT$108))</f>
        <v>1.4</v>
      </c>
      <c r="L142" s="4387">
        <f>+'11.3. ДА Базова година'!J122</f>
        <v>0</v>
      </c>
      <c r="M142" s="2617">
        <f>$L142-SUMIF('11.2. ДА за периода'!$B$61:$B$108,$B142,'11.2. ДА за периода'!$L$61:$L$108)+SUMIF('11.2. ДА за периода'!$B$61:$B$108,$B142,'11.2. ДА за периода'!M$61:M$108)+SUMIF('11.1.Амортиз.нови активи'!$B$61:$B$108,$B142,'11.1.Амортиз.нови активи'!M$61:M$108)+('11.1.Амортиз.нови активи'!F$111*SUMIF('11.1.Амортиз.нови активи'!$B$61:$B$108,$B142,'11.1.Амортиз.нови активи'!AO$61:AO$108))</f>
        <v>0</v>
      </c>
      <c r="N142" s="1110">
        <f>$L142-SUMIF('11.2. ДА за периода'!$B$61:$B$108,$B142,'11.2. ДА за периода'!$L$61:$L$108)+SUMIF('11.2. ДА за периода'!$B$61:$B$108,$B142,'11.2. ДА за периода'!N$61:N$108)+SUMIF('11.1.Амортиз.нови активи'!$B$61:$B$108,$B142,'11.1.Амортиз.нови активи'!N$61:N$108)+('11.1.Амортиз.нови активи'!G$111*SUMIF('11.1.Амортиз.нови активи'!$B$61:$B$108,$B142,'11.1.Амортиз.нови активи'!AP$61:AP$108))</f>
        <v>0</v>
      </c>
      <c r="O142" s="1110">
        <f>$L142-SUMIF('11.2. ДА за периода'!$B$61:$B$108,$B142,'11.2. ДА за периода'!$L$61:$L$108)+SUMIF('11.2. ДА за периода'!$B$61:$B$108,$B142,'11.2. ДА за периода'!O$61:O$108)+SUMIF('11.1.Амортиз.нови активи'!$B$61:$B$108,$B142,'11.1.Амортиз.нови активи'!O$61:O$108)+('11.1.Амортиз.нови активи'!H$111*SUMIF('11.1.Амортиз.нови активи'!$B$61:$B$108,$B142,'11.1.Амортиз.нови активи'!AQ$61:AQ$108))</f>
        <v>0</v>
      </c>
      <c r="P142" s="1110">
        <f>$L142-SUMIF('11.2. ДА за периода'!$B$61:$B$108,$B142,'11.2. ДА за периода'!$L$61:$L$108)+SUMIF('11.2. ДА за периода'!$B$61:$B$108,$B142,'11.2. ДА за периода'!P$61:P$108)+SUMIF('11.1.Амортиз.нови активи'!$B$61:$B$108,$B142,'11.1.Амортиз.нови активи'!P$61:P$108)+('11.1.Амортиз.нови активи'!I$111*SUMIF('11.1.Амортиз.нови активи'!$B$61:$B$108,$B142,'11.1.Амортиз.нови активи'!AR$61:AR$108))</f>
        <v>0</v>
      </c>
      <c r="Q142" s="1110">
        <f>$L142-SUMIF('11.2. ДА за периода'!$B$61:$B$108,$B142,'11.2. ДА за периода'!$L$61:$L$108)+SUMIF('11.2. ДА за периода'!$B$61:$B$108,$B142,'11.2. ДА за периода'!Q$61:Q$108)+SUMIF('11.1.Амортиз.нови активи'!$B$61:$B$108,$B142,'11.1.Амортиз.нови активи'!Q$61:Q$108)+('11.1.Амортиз.нови активи'!J$111*SUMIF('11.1.Амортиз.нови активи'!$B$61:$B$108,$B142,'11.1.Амортиз.нови активи'!AS$61:AS$108))</f>
        <v>0</v>
      </c>
      <c r="R142" s="2618">
        <f>$L142-SUMIF('11.2. ДА за периода'!$B$61:$B$108,$B142,'11.2. ДА за периода'!$L$61:$L$108)+SUMIF('11.2. ДА за периода'!$B$61:$B$108,$B142,'11.2. ДА за периода'!R$61:R$108)+SUMIF('11.1.Амортиз.нови активи'!$B$61:$B$108,$B142,'11.1.Амортиз.нови активи'!R$61:R$108)+('11.1.Амортиз.нови активи'!K$111*SUMIF('11.1.Амортиз.нови активи'!$B$61:$B$108,$B142,'11.1.Амортиз.нови активи'!AT$61:AT$108))</f>
        <v>0</v>
      </c>
      <c r="S142" s="4387">
        <f>+'11.3. ДА Базова година'!N122</f>
        <v>0</v>
      </c>
      <c r="T142" s="2617">
        <f>$S142-SUMIF('11.2. ДА за периода'!$B$61:$B$108,$B142,'11.2. ДА за периода'!$S$61:$S$108)+SUMIF('11.2. ДА за периода'!$B$61:$B$108,$B142,'11.2. ДА за периода'!T$61:T$108)+SUMIF('11.1.Амортиз.нови активи'!$B$61:$B$108,$B142,'11.1.Амортиз.нови активи'!T$61:T$108)+('11.1.Амортиз.нови активи'!F$112*SUMIF('11.1.Амортиз.нови активи'!$B$61:$B$108,$B142,'11.1.Амортиз.нови активи'!AO$61:AO$108))</f>
        <v>0</v>
      </c>
      <c r="U142" s="1110">
        <f>$S142-SUMIF('11.2. ДА за периода'!$B$61:$B$108,$B142,'11.2. ДА за периода'!$S$61:$S$108)+SUMIF('11.2. ДА за периода'!$B$61:$B$108,$B142,'11.2. ДА за периода'!U$61:U$108)+SUMIF('11.1.Амортиз.нови активи'!$B$61:$B$108,$B142,'11.1.Амортиз.нови активи'!U$61:U$108)+('11.1.Амортиз.нови активи'!G$112*SUMIF('11.1.Амортиз.нови активи'!$B$61:$B$108,$B142,'11.1.Амортиз.нови активи'!AP$61:AP$108))</f>
        <v>0</v>
      </c>
      <c r="V142" s="1110">
        <f>$S142-SUMIF('11.2. ДА за периода'!$B$61:$B$108,$B142,'11.2. ДА за периода'!$S$61:$S$108)+SUMIF('11.2. ДА за периода'!$B$61:$B$108,$B142,'11.2. ДА за периода'!V$61:V$108)+SUMIF('11.1.Амортиз.нови активи'!$B$61:$B$108,$B142,'11.1.Амортиз.нови активи'!V$61:V$108)+('11.1.Амортиз.нови активи'!H$112*SUMIF('11.1.Амортиз.нови активи'!$B$61:$B$108,$B142,'11.1.Амортиз.нови активи'!AQ$61:AQ$108))</f>
        <v>0</v>
      </c>
      <c r="W142" s="1110">
        <f>$S142-SUMIF('11.2. ДА за периода'!$B$61:$B$108,$B142,'11.2. ДА за периода'!$S$61:$S$108)+SUMIF('11.2. ДА за периода'!$B$61:$B$108,$B142,'11.2. ДА за периода'!W$61:W$108)+SUMIF('11.1.Амортиз.нови активи'!$B$61:$B$108,$B142,'11.1.Амортиз.нови активи'!W$61:W$108)+('11.1.Амортиз.нови активи'!I$112*SUMIF('11.1.Амортиз.нови активи'!$B$61:$B$108,$B142,'11.1.Амортиз.нови активи'!AR$61:AR$108))</f>
        <v>0</v>
      </c>
      <c r="X142" s="1110">
        <f>$S142-SUMIF('11.2. ДА за периода'!$B$61:$B$108,$B142,'11.2. ДА за периода'!$S$61:$S$108)+SUMIF('11.2. ДА за периода'!$B$61:$B$108,$B142,'11.2. ДА за периода'!X$61:X$108)+SUMIF('11.1.Амортиз.нови активи'!$B$61:$B$108,$B142,'11.1.Амортиз.нови активи'!X$61:X$108)+('11.1.Амортиз.нови активи'!J$112*SUMIF('11.1.Амортиз.нови активи'!$B$61:$B$108,$B142,'11.1.Амортиз.нови активи'!AS$61:AS$108))</f>
        <v>0</v>
      </c>
      <c r="Y142" s="2618">
        <f>$S142-SUMIF('11.2. ДА за периода'!$B$61:$B$108,$B142,'11.2. ДА за периода'!$S$61:$S$108)+SUMIF('11.2. ДА за периода'!$B$61:$B$108,$B142,'11.2. ДА за периода'!Y$61:Y$108)+SUMIF('11.1.Амортиз.нови активи'!$B$61:$B$108,$B142,'11.1.Амортиз.нови активи'!Y$61:Y$108)+('11.1.Амортиз.нови активи'!K$112*SUMIF('11.1.Амортиз.нови активи'!$B$61:$B$108,$B142,'11.1.Амортиз.нови активи'!AT$61:AT$108))</f>
        <v>0</v>
      </c>
      <c r="Z142" s="4387">
        <f>+'11.3. ДА Базова година'!R122</f>
        <v>0</v>
      </c>
      <c r="AA142" s="2617">
        <f>$Z142-SUMIF('11.2. ДА за периода'!$B$61:$B$108,$B142,'11.2. ДА за периода'!$Z$61:$Z$108)+SUMIF('11.2. ДА за периода'!$B$61:$B$108,$B142,'11.2. ДА за периода'!AA$61:AA$108)+SUMIF('11.1.Амортиз.нови активи'!$B$61:$B$108,$B142,'11.1.Амортиз.нови активи'!AA$61:AA$108)</f>
        <v>0</v>
      </c>
      <c r="AB142" s="1110">
        <f>$Z142-SUMIF('11.2. ДА за периода'!$B$61:$B$108,$B142,'11.2. ДА за периода'!$Z$61:$Z$108)+SUMIF('11.2. ДА за периода'!$B$61:$B$108,$B142,'11.2. ДА за периода'!AB$61:AB$108)+SUMIF('11.1.Амортиз.нови активи'!$B$61:$B$108,$B142,'11.1.Амортиз.нови активи'!AB$61:AB$108)</f>
        <v>0</v>
      </c>
      <c r="AC142" s="1110">
        <f>$Z142-SUMIF('11.2. ДА за периода'!$B$61:$B$108,$B142,'11.2. ДА за периода'!$Z$61:$Z$108)+SUMIF('11.2. ДА за периода'!$B$61:$B$108,$B142,'11.2. ДА за периода'!AC$61:AC$108)+SUMIF('11.1.Амортиз.нови активи'!$B$61:$B$108,$B142,'11.1.Амортиз.нови активи'!AC$61:AC$108)</f>
        <v>0</v>
      </c>
      <c r="AD142" s="1110">
        <f>$Z142-SUMIF('11.2. ДА за периода'!$B$61:$B$108,$B142,'11.2. ДА за периода'!$Z$61:$Z$108)+SUMIF('11.2. ДА за периода'!$B$61:$B$108,$B142,'11.2. ДА за периода'!AD$61:AD$108)+SUMIF('11.1.Амортиз.нови активи'!$B$61:$B$108,$B142,'11.1.Амортиз.нови активи'!AD$61:AD$108)</f>
        <v>0</v>
      </c>
      <c r="AE142" s="1110">
        <f>$Z142-SUMIF('11.2. ДА за периода'!$B$61:$B$108,$B142,'11.2. ДА за периода'!$Z$61:$Z$108)+SUMIF('11.2. ДА за периода'!$B$61:$B$108,$B142,'11.2. ДА за периода'!AE$61:AE$108)+SUMIF('11.1.Амортиз.нови активи'!$B$61:$B$108,$B142,'11.1.Амортиз.нови активи'!AE$61:AE$108)</f>
        <v>0</v>
      </c>
      <c r="AF142" s="2618">
        <f>$Z142-SUMIF('11.2. ДА за периода'!$B$61:$B$108,$B142,'11.2. ДА за периода'!$Z$61:$Z$108)+SUMIF('11.2. ДА за периода'!$B$61:$B$108,$B142,'11.2. ДА за периода'!AF$61:AF$108)+SUMIF('11.1.Амортиз.нови активи'!$B$61:$B$108,$B142,'11.1.Амортиз.нови активи'!AF$61:AF$108)</f>
        <v>0</v>
      </c>
      <c r="AG142" s="4387">
        <f>+'11.3. ДА Базова година'!V122</f>
        <v>0</v>
      </c>
      <c r="AH142" s="2617">
        <f>$AG142-SUMIF('11.2. ДА за периода'!$B$61:$B$108,$B142,'11.2. ДА за периода'!$AG$61:$AG$108)+SUMIF('11.2. ДА за периода'!$B$61:$B$108,$B142,'11.2. ДА за периода'!AH$61:AH$108)+SUMIF('11.1.Амортиз.нови активи'!$B$61:$B$108,$B142,'11.1.Амортиз.нови активи'!AH$61:AH$108)</f>
        <v>0</v>
      </c>
      <c r="AI142" s="1110">
        <f>$AG142-SUMIF('11.2. ДА за периода'!$B$61:$B$108,$B142,'11.2. ДА за периода'!$AG$61:$AG$108)+SUMIF('11.2. ДА за периода'!$B$61:$B$108,$B142,'11.2. ДА за периода'!AI$61:AI$108)+SUMIF('11.1.Амортиз.нови активи'!$B$61:$B$108,$B142,'11.1.Амортиз.нови активи'!AI$61:AI$108)</f>
        <v>0</v>
      </c>
      <c r="AJ142" s="1110">
        <f>$AG142-SUMIF('11.2. ДА за периода'!$B$61:$B$108,$B142,'11.2. ДА за периода'!$AG$61:$AG$108)+SUMIF('11.2. ДА за периода'!$B$61:$B$108,$B142,'11.2. ДА за периода'!AJ$61:AJ$108)+SUMIF('11.1.Амортиз.нови активи'!$B$61:$B$108,$B142,'11.1.Амортиз.нови активи'!AJ$61:AJ$108)</f>
        <v>0</v>
      </c>
      <c r="AK142" s="1110">
        <f>$AG142-SUMIF('11.2. ДА за периода'!$B$61:$B$108,$B142,'11.2. ДА за периода'!$AG$61:$AG$108)+SUMIF('11.2. ДА за периода'!$B$61:$B$108,$B142,'11.2. ДА за периода'!AK$61:AK$108)+SUMIF('11.1.Амортиз.нови активи'!$B$61:$B$108,$B142,'11.1.Амортиз.нови активи'!AK$61:AK$108)</f>
        <v>0</v>
      </c>
      <c r="AL142" s="1110">
        <f>$AG142-SUMIF('11.2. ДА за периода'!$B$61:$B$108,$B142,'11.2. ДА за периода'!$AG$61:$AG$108)+SUMIF('11.2. ДА за периода'!$B$61:$B$108,$B142,'11.2. ДА за периода'!AL$61:AL$108)+SUMIF('11.1.Амортиз.нови активи'!$B$61:$B$108,$B142,'11.1.Амортиз.нови активи'!AL$61:AL$108)</f>
        <v>0</v>
      </c>
      <c r="AM142" s="2618">
        <f>$AG142-SUMIF('11.2. ДА за периода'!$B$61:$B$108,$B142,'11.2. ДА за периода'!$AG$61:$AG$108)+SUMIF('11.2. ДА за периода'!$B$61:$B$108,$B142,'11.2. ДА за периода'!AM$61:AM$108)+SUMIF('11.1.Амортиз.нови активи'!$B$61:$B$108,$B142,'11.1.Амортиз.нови активи'!AM$61:AM$108)</f>
        <v>0</v>
      </c>
      <c r="AN142" s="2513"/>
      <c r="AO142" s="2551"/>
      <c r="AP142" s="4422"/>
      <c r="AQ142" s="4438">
        <f t="shared" si="174"/>
        <v>0.51129188119621849</v>
      </c>
      <c r="AR142" s="4438">
        <f t="shared" si="175"/>
        <v>0.71580863367470582</v>
      </c>
      <c r="AS142" s="4438">
        <f t="shared" si="176"/>
        <v>0.71580863367470582</v>
      </c>
      <c r="AT142" s="4438">
        <f t="shared" si="177"/>
        <v>0.71580863367470582</v>
      </c>
      <c r="AU142" s="4438">
        <f t="shared" si="178"/>
        <v>0.71580863367470582</v>
      </c>
      <c r="AV142" s="4438">
        <f t="shared" si="179"/>
        <v>0.71580863367470582</v>
      </c>
      <c r="AW142" s="4438">
        <f t="shared" si="180"/>
        <v>0.71580863367470582</v>
      </c>
      <c r="AX142" s="4438">
        <f t="shared" si="181"/>
        <v>0</v>
      </c>
      <c r="AY142" s="4438">
        <f t="shared" si="182"/>
        <v>0</v>
      </c>
      <c r="AZ142" s="4438">
        <f t="shared" si="183"/>
        <v>0</v>
      </c>
      <c r="BA142" s="4438">
        <f t="shared" si="184"/>
        <v>0</v>
      </c>
      <c r="BB142" s="4438">
        <f t="shared" si="185"/>
        <v>0</v>
      </c>
      <c r="BC142" s="4438">
        <f t="shared" si="186"/>
        <v>0</v>
      </c>
      <c r="BD142" s="4438">
        <f t="shared" si="187"/>
        <v>0</v>
      </c>
      <c r="BE142" s="4438">
        <f t="shared" si="188"/>
        <v>0</v>
      </c>
      <c r="BF142" s="4438">
        <f t="shared" si="189"/>
        <v>0</v>
      </c>
      <c r="BG142" s="4438">
        <f t="shared" si="190"/>
        <v>0</v>
      </c>
      <c r="BH142" s="4438">
        <f t="shared" si="191"/>
        <v>0</v>
      </c>
      <c r="BI142" s="4438">
        <f t="shared" si="192"/>
        <v>0</v>
      </c>
      <c r="BJ142" s="4438">
        <f t="shared" si="193"/>
        <v>0</v>
      </c>
      <c r="BK142" s="4438">
        <f t="shared" si="194"/>
        <v>0</v>
      </c>
      <c r="BL142" s="4438">
        <f t="shared" si="195"/>
        <v>0</v>
      </c>
      <c r="BM142" s="4438">
        <f t="shared" si="196"/>
        <v>0</v>
      </c>
      <c r="BN142" s="4438">
        <f t="shared" si="197"/>
        <v>0</v>
      </c>
      <c r="BO142" s="4438">
        <f t="shared" si="198"/>
        <v>0</v>
      </c>
      <c r="BP142" s="4438">
        <f t="shared" si="199"/>
        <v>0</v>
      </c>
      <c r="BQ142" s="4438">
        <f t="shared" si="200"/>
        <v>0</v>
      </c>
      <c r="BR142" s="4438">
        <f t="shared" si="201"/>
        <v>0</v>
      </c>
      <c r="BS142" s="4438">
        <f t="shared" si="202"/>
        <v>0</v>
      </c>
      <c r="BT142" s="4438">
        <f t="shared" si="203"/>
        <v>0</v>
      </c>
      <c r="BU142" s="4438">
        <f t="shared" si="204"/>
        <v>0</v>
      </c>
      <c r="BV142" s="4438">
        <f t="shared" si="205"/>
        <v>0</v>
      </c>
      <c r="BW142" s="4438">
        <f t="shared" si="206"/>
        <v>0</v>
      </c>
      <c r="BX142" s="4438">
        <f t="shared" si="207"/>
        <v>0</v>
      </c>
      <c r="BY142" s="4438">
        <f t="shared" si="208"/>
        <v>0</v>
      </c>
    </row>
    <row r="143" spans="1:77" s="1292" customFormat="1">
      <c r="A143" s="2573">
        <v>12</v>
      </c>
      <c r="B143" s="2516">
        <v>2040203</v>
      </c>
      <c r="C143" s="2517">
        <v>0.02</v>
      </c>
      <c r="D143" s="2547" t="s">
        <v>418</v>
      </c>
      <c r="E143" s="4387">
        <f>+'11.3. ДА Базова година'!F123</f>
        <v>0</v>
      </c>
      <c r="F143" s="2617">
        <f>$E143-SUMIF('11.2. ДА за периода'!$B$61:$B$108,$B143,'11.2. ДА за периода'!$E$61:$E$108)+SUMIF('11.2. ДА за периода'!$B$61:$B$108,$B143,'11.2. ДА за периода'!F$61:F$108)+SUMIF('11.1.Амортиз.нови активи'!$B$61:$B$108,$B143,'11.1.Амортиз.нови активи'!F$61:F$108)+('11.1.Амортиз.нови активи'!F$110*SUMIF('11.1.Амортиз.нови активи'!$B$61:$B$108,$B143,'11.1.Амортиз.нови активи'!AO$61:AO$108))</f>
        <v>0</v>
      </c>
      <c r="G143" s="1110">
        <f>$E143-SUMIF('11.2. ДА за периода'!$B$61:$B$108,$B143,'11.2. ДА за периода'!$E$61:$E$108)+SUMIF('11.2. ДА за периода'!$B$61:$B$108,$B143,'11.2. ДА за периода'!G$61:G$108)+SUMIF('11.1.Амортиз.нови активи'!$B$61:$B$108,$B143,'11.1.Амортиз.нови активи'!G$61:G$108)+('11.1.Амортиз.нови активи'!G$110*SUMIF('11.1.Амортиз.нови активи'!$B$61:$B$108,$B143,'11.1.Амортиз.нови активи'!AP$61:AP$108))</f>
        <v>0</v>
      </c>
      <c r="H143" s="1110">
        <f>$E143-SUMIF('11.2. ДА за периода'!$B$61:$B$108,$B143,'11.2. ДА за периода'!$E$61:$E$108)+SUMIF('11.2. ДА за периода'!$B$61:$B$108,$B143,'11.2. ДА за периода'!H$61:H$108)+SUMIF('11.1.Амортиз.нови активи'!$B$61:$B$108,$B143,'11.1.Амортиз.нови активи'!H$61:H$108)+('11.1.Амортиз.нови активи'!H$110*SUMIF('11.1.Амортиз.нови активи'!$B$61:$B$108,$B143,'11.1.Амортиз.нови активи'!AQ$61:AQ$108))</f>
        <v>0</v>
      </c>
      <c r="I143" s="1110">
        <f>$E143-SUMIF('11.2. ДА за периода'!$B$61:$B$108,$B143,'11.2. ДА за периода'!$E$61:$E$108)+SUMIF('11.2. ДА за периода'!$B$61:$B$108,$B143,'11.2. ДА за периода'!I$61:I$108)+SUMIF('11.1.Амортиз.нови активи'!$B$61:$B$108,$B143,'11.1.Амортиз.нови активи'!I$61:I$108)+('11.1.Амортиз.нови активи'!I$110*SUMIF('11.1.Амортиз.нови активи'!$B$61:$B$108,$B143,'11.1.Амортиз.нови активи'!AR$61:AR$108))</f>
        <v>0</v>
      </c>
      <c r="J143" s="1110">
        <f>$E143-SUMIF('11.2. ДА за периода'!$B$61:$B$108,$B143,'11.2. ДА за периода'!$E$61:$E$108)+SUMIF('11.2. ДА за периода'!$B$61:$B$108,$B143,'11.2. ДА за периода'!J$61:J$108)+SUMIF('11.1.Амортиз.нови активи'!$B$61:$B$108,$B143,'11.1.Амортиз.нови активи'!J$61:J$108)+('11.1.Амортиз.нови активи'!J$110*SUMIF('11.1.Амортиз.нови активи'!$B$61:$B$108,$B143,'11.1.Амортиз.нови активи'!AS$61:AS$108))</f>
        <v>0</v>
      </c>
      <c r="K143" s="1110">
        <f>$E143-SUMIF('11.2. ДА за периода'!$B$61:$B$108,$B143,'11.2. ДА за периода'!$E$61:$E$108)+SUMIF('11.2. ДА за периода'!$B$61:$B$108,$B143,'11.2. ДА за периода'!K$61:K$108)+SUMIF('11.1.Амортиз.нови активи'!$B$61:$B$108,$B143,'11.1.Амортиз.нови активи'!K$61:K$108)+('11.1.Амортиз.нови активи'!K$110*SUMIF('11.1.Амортиз.нови активи'!$B$61:$B$108,$B143,'11.1.Амортиз.нови активи'!AT$61:AT$108))</f>
        <v>0</v>
      </c>
      <c r="L143" s="4387">
        <f>+'11.3. ДА Базова година'!J123</f>
        <v>0</v>
      </c>
      <c r="M143" s="2617">
        <f>$L143-SUMIF('11.2. ДА за периода'!$B$61:$B$108,$B143,'11.2. ДА за периода'!$L$61:$L$108)+SUMIF('11.2. ДА за периода'!$B$61:$B$108,$B143,'11.2. ДА за периода'!M$61:M$108)+SUMIF('11.1.Амортиз.нови активи'!$B$61:$B$108,$B143,'11.1.Амортиз.нови активи'!M$61:M$108)+('11.1.Амортиз.нови активи'!F$111*SUMIF('11.1.Амортиз.нови активи'!$B$61:$B$108,$B143,'11.1.Амортиз.нови активи'!AO$61:AO$108))</f>
        <v>0</v>
      </c>
      <c r="N143" s="1110">
        <f>$L143-SUMIF('11.2. ДА за периода'!$B$61:$B$108,$B143,'11.2. ДА за периода'!$L$61:$L$108)+SUMIF('11.2. ДА за периода'!$B$61:$B$108,$B143,'11.2. ДА за периода'!N$61:N$108)+SUMIF('11.1.Амортиз.нови активи'!$B$61:$B$108,$B143,'11.1.Амортиз.нови активи'!N$61:N$108)+('11.1.Амортиз.нови активи'!G$111*SUMIF('11.1.Амортиз.нови активи'!$B$61:$B$108,$B143,'11.1.Амортиз.нови активи'!AP$61:AP$108))</f>
        <v>0</v>
      </c>
      <c r="O143" s="1110">
        <f>$L143-SUMIF('11.2. ДА за периода'!$B$61:$B$108,$B143,'11.2. ДА за периода'!$L$61:$L$108)+SUMIF('11.2. ДА за периода'!$B$61:$B$108,$B143,'11.2. ДА за периода'!O$61:O$108)+SUMIF('11.1.Амортиз.нови активи'!$B$61:$B$108,$B143,'11.1.Амортиз.нови активи'!O$61:O$108)+('11.1.Амортиз.нови активи'!H$111*SUMIF('11.1.Амортиз.нови активи'!$B$61:$B$108,$B143,'11.1.Амортиз.нови активи'!AQ$61:AQ$108))</f>
        <v>0</v>
      </c>
      <c r="P143" s="1110">
        <f>$L143-SUMIF('11.2. ДА за периода'!$B$61:$B$108,$B143,'11.2. ДА за периода'!$L$61:$L$108)+SUMIF('11.2. ДА за периода'!$B$61:$B$108,$B143,'11.2. ДА за периода'!P$61:P$108)+SUMIF('11.1.Амортиз.нови активи'!$B$61:$B$108,$B143,'11.1.Амортиз.нови активи'!P$61:P$108)+('11.1.Амортиз.нови активи'!I$111*SUMIF('11.1.Амортиз.нови активи'!$B$61:$B$108,$B143,'11.1.Амортиз.нови активи'!AR$61:AR$108))</f>
        <v>0</v>
      </c>
      <c r="Q143" s="1110">
        <f>$L143-SUMIF('11.2. ДА за периода'!$B$61:$B$108,$B143,'11.2. ДА за периода'!$L$61:$L$108)+SUMIF('11.2. ДА за периода'!$B$61:$B$108,$B143,'11.2. ДА за периода'!Q$61:Q$108)+SUMIF('11.1.Амортиз.нови активи'!$B$61:$B$108,$B143,'11.1.Амортиз.нови активи'!Q$61:Q$108)+('11.1.Амортиз.нови активи'!J$111*SUMIF('11.1.Амортиз.нови активи'!$B$61:$B$108,$B143,'11.1.Амортиз.нови активи'!AS$61:AS$108))</f>
        <v>0</v>
      </c>
      <c r="R143" s="2618">
        <f>$L143-SUMIF('11.2. ДА за периода'!$B$61:$B$108,$B143,'11.2. ДА за периода'!$L$61:$L$108)+SUMIF('11.2. ДА за периода'!$B$61:$B$108,$B143,'11.2. ДА за периода'!R$61:R$108)+SUMIF('11.1.Амортиз.нови активи'!$B$61:$B$108,$B143,'11.1.Амортиз.нови активи'!R$61:R$108)+('11.1.Амортиз.нови активи'!K$111*SUMIF('11.1.Амортиз.нови активи'!$B$61:$B$108,$B143,'11.1.Амортиз.нови активи'!AT$61:AT$108))</f>
        <v>0</v>
      </c>
      <c r="S143" s="4387">
        <f>+'11.3. ДА Базова година'!N123</f>
        <v>0</v>
      </c>
      <c r="T143" s="2617">
        <f>$S143-SUMIF('11.2. ДА за периода'!$B$61:$B$108,$B143,'11.2. ДА за периода'!$S$61:$S$108)+SUMIF('11.2. ДА за периода'!$B$61:$B$108,$B143,'11.2. ДА за периода'!T$61:T$108)+SUMIF('11.1.Амортиз.нови активи'!$B$61:$B$108,$B143,'11.1.Амортиз.нови активи'!T$61:T$108)+('11.1.Амортиз.нови активи'!F$112*SUMIF('11.1.Амортиз.нови активи'!$B$61:$B$108,$B143,'11.1.Амортиз.нови активи'!AO$61:AO$108))</f>
        <v>0</v>
      </c>
      <c r="U143" s="1110">
        <f>$S143-SUMIF('11.2. ДА за периода'!$B$61:$B$108,$B143,'11.2. ДА за периода'!$S$61:$S$108)+SUMIF('11.2. ДА за периода'!$B$61:$B$108,$B143,'11.2. ДА за периода'!U$61:U$108)+SUMIF('11.1.Амортиз.нови активи'!$B$61:$B$108,$B143,'11.1.Амортиз.нови активи'!U$61:U$108)+('11.1.Амортиз.нови активи'!G$112*SUMIF('11.1.Амортиз.нови активи'!$B$61:$B$108,$B143,'11.1.Амортиз.нови активи'!AP$61:AP$108))</f>
        <v>0</v>
      </c>
      <c r="V143" s="1110">
        <f>$S143-SUMIF('11.2. ДА за периода'!$B$61:$B$108,$B143,'11.2. ДА за периода'!$S$61:$S$108)+SUMIF('11.2. ДА за периода'!$B$61:$B$108,$B143,'11.2. ДА за периода'!V$61:V$108)+SUMIF('11.1.Амортиз.нови активи'!$B$61:$B$108,$B143,'11.1.Амортиз.нови активи'!V$61:V$108)+('11.1.Амортиз.нови активи'!H$112*SUMIF('11.1.Амортиз.нови активи'!$B$61:$B$108,$B143,'11.1.Амортиз.нови активи'!AQ$61:AQ$108))</f>
        <v>0</v>
      </c>
      <c r="W143" s="1110">
        <f>$S143-SUMIF('11.2. ДА за периода'!$B$61:$B$108,$B143,'11.2. ДА за периода'!$S$61:$S$108)+SUMIF('11.2. ДА за периода'!$B$61:$B$108,$B143,'11.2. ДА за периода'!W$61:W$108)+SUMIF('11.1.Амортиз.нови активи'!$B$61:$B$108,$B143,'11.1.Амортиз.нови активи'!W$61:W$108)+('11.1.Амортиз.нови активи'!I$112*SUMIF('11.1.Амортиз.нови активи'!$B$61:$B$108,$B143,'11.1.Амортиз.нови активи'!AR$61:AR$108))</f>
        <v>0</v>
      </c>
      <c r="X143" s="1110">
        <f>$S143-SUMIF('11.2. ДА за периода'!$B$61:$B$108,$B143,'11.2. ДА за периода'!$S$61:$S$108)+SUMIF('11.2. ДА за периода'!$B$61:$B$108,$B143,'11.2. ДА за периода'!X$61:X$108)+SUMIF('11.1.Амортиз.нови активи'!$B$61:$B$108,$B143,'11.1.Амортиз.нови активи'!X$61:X$108)+('11.1.Амортиз.нови активи'!J$112*SUMIF('11.1.Амортиз.нови активи'!$B$61:$B$108,$B143,'11.1.Амортиз.нови активи'!AS$61:AS$108))</f>
        <v>0</v>
      </c>
      <c r="Y143" s="2618">
        <f>$S143-SUMIF('11.2. ДА за периода'!$B$61:$B$108,$B143,'11.2. ДА за периода'!$S$61:$S$108)+SUMIF('11.2. ДА за периода'!$B$61:$B$108,$B143,'11.2. ДА за периода'!Y$61:Y$108)+SUMIF('11.1.Амортиз.нови активи'!$B$61:$B$108,$B143,'11.1.Амортиз.нови активи'!Y$61:Y$108)+('11.1.Амортиз.нови активи'!K$112*SUMIF('11.1.Амортиз.нови активи'!$B$61:$B$108,$B143,'11.1.Амортиз.нови активи'!AT$61:AT$108))</f>
        <v>0</v>
      </c>
      <c r="Z143" s="4387">
        <f>+'11.3. ДА Базова година'!R123</f>
        <v>0</v>
      </c>
      <c r="AA143" s="2617">
        <f>$Z143-SUMIF('11.2. ДА за периода'!$B$61:$B$108,$B143,'11.2. ДА за периода'!$Z$61:$Z$108)+SUMIF('11.2. ДА за периода'!$B$61:$B$108,$B143,'11.2. ДА за периода'!AA$61:AA$108)+SUMIF('11.1.Амортиз.нови активи'!$B$61:$B$108,$B143,'11.1.Амортиз.нови активи'!AA$61:AA$108)</f>
        <v>0</v>
      </c>
      <c r="AB143" s="1110">
        <f>$Z143-SUMIF('11.2. ДА за периода'!$B$61:$B$108,$B143,'11.2. ДА за периода'!$Z$61:$Z$108)+SUMIF('11.2. ДА за периода'!$B$61:$B$108,$B143,'11.2. ДА за периода'!AB$61:AB$108)+SUMIF('11.1.Амортиз.нови активи'!$B$61:$B$108,$B143,'11.1.Амортиз.нови активи'!AB$61:AB$108)</f>
        <v>0</v>
      </c>
      <c r="AC143" s="1110">
        <f>$Z143-SUMIF('11.2. ДА за периода'!$B$61:$B$108,$B143,'11.2. ДА за периода'!$Z$61:$Z$108)+SUMIF('11.2. ДА за периода'!$B$61:$B$108,$B143,'11.2. ДА за периода'!AC$61:AC$108)+SUMIF('11.1.Амортиз.нови активи'!$B$61:$B$108,$B143,'11.1.Амортиз.нови активи'!AC$61:AC$108)</f>
        <v>0</v>
      </c>
      <c r="AD143" s="1110">
        <f>$Z143-SUMIF('11.2. ДА за периода'!$B$61:$B$108,$B143,'11.2. ДА за периода'!$Z$61:$Z$108)+SUMIF('11.2. ДА за периода'!$B$61:$B$108,$B143,'11.2. ДА за периода'!AD$61:AD$108)+SUMIF('11.1.Амортиз.нови активи'!$B$61:$B$108,$B143,'11.1.Амортиз.нови активи'!AD$61:AD$108)</f>
        <v>0</v>
      </c>
      <c r="AE143" s="1110">
        <f>$Z143-SUMIF('11.2. ДА за периода'!$B$61:$B$108,$B143,'11.2. ДА за периода'!$Z$61:$Z$108)+SUMIF('11.2. ДА за периода'!$B$61:$B$108,$B143,'11.2. ДА за периода'!AE$61:AE$108)+SUMIF('11.1.Амортиз.нови активи'!$B$61:$B$108,$B143,'11.1.Амортиз.нови активи'!AE$61:AE$108)</f>
        <v>0</v>
      </c>
      <c r="AF143" s="2618">
        <f>$Z143-SUMIF('11.2. ДА за периода'!$B$61:$B$108,$B143,'11.2. ДА за периода'!$Z$61:$Z$108)+SUMIF('11.2. ДА за периода'!$B$61:$B$108,$B143,'11.2. ДА за периода'!AF$61:AF$108)+SUMIF('11.1.Амортиз.нови активи'!$B$61:$B$108,$B143,'11.1.Амортиз.нови активи'!AF$61:AF$108)</f>
        <v>0</v>
      </c>
      <c r="AG143" s="4387">
        <f>+'11.3. ДА Базова година'!V123</f>
        <v>0</v>
      </c>
      <c r="AH143" s="2617">
        <f>$AG143-SUMIF('11.2. ДА за периода'!$B$61:$B$108,$B143,'11.2. ДА за периода'!$AG$61:$AG$108)+SUMIF('11.2. ДА за периода'!$B$61:$B$108,$B143,'11.2. ДА за периода'!AH$61:AH$108)+SUMIF('11.1.Амортиз.нови активи'!$B$61:$B$108,$B143,'11.1.Амортиз.нови активи'!AH$61:AH$108)</f>
        <v>0</v>
      </c>
      <c r="AI143" s="1110">
        <f>$AG143-SUMIF('11.2. ДА за периода'!$B$61:$B$108,$B143,'11.2. ДА за периода'!$AG$61:$AG$108)+SUMIF('11.2. ДА за периода'!$B$61:$B$108,$B143,'11.2. ДА за периода'!AI$61:AI$108)+SUMIF('11.1.Амортиз.нови активи'!$B$61:$B$108,$B143,'11.1.Амортиз.нови активи'!AI$61:AI$108)</f>
        <v>0</v>
      </c>
      <c r="AJ143" s="1110">
        <f>$AG143-SUMIF('11.2. ДА за периода'!$B$61:$B$108,$B143,'11.2. ДА за периода'!$AG$61:$AG$108)+SUMIF('11.2. ДА за периода'!$B$61:$B$108,$B143,'11.2. ДА за периода'!AJ$61:AJ$108)+SUMIF('11.1.Амортиз.нови активи'!$B$61:$B$108,$B143,'11.1.Амортиз.нови активи'!AJ$61:AJ$108)</f>
        <v>0</v>
      </c>
      <c r="AK143" s="1110">
        <f>$AG143-SUMIF('11.2. ДА за периода'!$B$61:$B$108,$B143,'11.2. ДА за периода'!$AG$61:$AG$108)+SUMIF('11.2. ДА за периода'!$B$61:$B$108,$B143,'11.2. ДА за периода'!AK$61:AK$108)+SUMIF('11.1.Амортиз.нови активи'!$B$61:$B$108,$B143,'11.1.Амортиз.нови активи'!AK$61:AK$108)</f>
        <v>0</v>
      </c>
      <c r="AL143" s="1110">
        <f>$AG143-SUMIF('11.2. ДА за периода'!$B$61:$B$108,$B143,'11.2. ДА за периода'!$AG$61:$AG$108)+SUMIF('11.2. ДА за периода'!$B$61:$B$108,$B143,'11.2. ДА за периода'!AL$61:AL$108)+SUMIF('11.1.Амортиз.нови активи'!$B$61:$B$108,$B143,'11.1.Амортиз.нови активи'!AL$61:AL$108)</f>
        <v>0</v>
      </c>
      <c r="AM143" s="2618">
        <f>$AG143-SUMIF('11.2. ДА за периода'!$B$61:$B$108,$B143,'11.2. ДА за периода'!$AG$61:$AG$108)+SUMIF('11.2. ДА за периода'!$B$61:$B$108,$B143,'11.2. ДА за периода'!AM$61:AM$108)+SUMIF('11.1.Амортиз.нови активи'!$B$61:$B$108,$B143,'11.1.Амортиз.нови активи'!AM$61:AM$108)</f>
        <v>0</v>
      </c>
      <c r="AN143" s="2513"/>
      <c r="AO143" s="2551"/>
      <c r="AP143" s="4422"/>
      <c r="AQ143" s="4438">
        <f t="shared" si="174"/>
        <v>0</v>
      </c>
      <c r="AR143" s="4438">
        <f t="shared" si="175"/>
        <v>0</v>
      </c>
      <c r="AS143" s="4438">
        <f t="shared" si="176"/>
        <v>0</v>
      </c>
      <c r="AT143" s="4438">
        <f t="shared" si="177"/>
        <v>0</v>
      </c>
      <c r="AU143" s="4438">
        <f t="shared" si="178"/>
        <v>0</v>
      </c>
      <c r="AV143" s="4438">
        <f t="shared" si="179"/>
        <v>0</v>
      </c>
      <c r="AW143" s="4438">
        <f t="shared" si="180"/>
        <v>0</v>
      </c>
      <c r="AX143" s="4438">
        <f t="shared" si="181"/>
        <v>0</v>
      </c>
      <c r="AY143" s="4438">
        <f t="shared" si="182"/>
        <v>0</v>
      </c>
      <c r="AZ143" s="4438">
        <f t="shared" si="183"/>
        <v>0</v>
      </c>
      <c r="BA143" s="4438">
        <f t="shared" si="184"/>
        <v>0</v>
      </c>
      <c r="BB143" s="4438">
        <f t="shared" si="185"/>
        <v>0</v>
      </c>
      <c r="BC143" s="4438">
        <f t="shared" si="186"/>
        <v>0</v>
      </c>
      <c r="BD143" s="4438">
        <f t="shared" si="187"/>
        <v>0</v>
      </c>
      <c r="BE143" s="4438">
        <f t="shared" si="188"/>
        <v>0</v>
      </c>
      <c r="BF143" s="4438">
        <f t="shared" si="189"/>
        <v>0</v>
      </c>
      <c r="BG143" s="4438">
        <f t="shared" si="190"/>
        <v>0</v>
      </c>
      <c r="BH143" s="4438">
        <f t="shared" si="191"/>
        <v>0</v>
      </c>
      <c r="BI143" s="4438">
        <f t="shared" si="192"/>
        <v>0</v>
      </c>
      <c r="BJ143" s="4438">
        <f t="shared" si="193"/>
        <v>0</v>
      </c>
      <c r="BK143" s="4438">
        <f t="shared" si="194"/>
        <v>0</v>
      </c>
      <c r="BL143" s="4438">
        <f t="shared" si="195"/>
        <v>0</v>
      </c>
      <c r="BM143" s="4438">
        <f t="shared" si="196"/>
        <v>0</v>
      </c>
      <c r="BN143" s="4438">
        <f t="shared" si="197"/>
        <v>0</v>
      </c>
      <c r="BO143" s="4438">
        <f t="shared" si="198"/>
        <v>0</v>
      </c>
      <c r="BP143" s="4438">
        <f t="shared" si="199"/>
        <v>0</v>
      </c>
      <c r="BQ143" s="4438">
        <f t="shared" si="200"/>
        <v>0</v>
      </c>
      <c r="BR143" s="4438">
        <f t="shared" si="201"/>
        <v>0</v>
      </c>
      <c r="BS143" s="4438">
        <f t="shared" si="202"/>
        <v>0</v>
      </c>
      <c r="BT143" s="4438">
        <f t="shared" si="203"/>
        <v>0</v>
      </c>
      <c r="BU143" s="4438">
        <f t="shared" si="204"/>
        <v>0</v>
      </c>
      <c r="BV143" s="4438">
        <f t="shared" si="205"/>
        <v>0</v>
      </c>
      <c r="BW143" s="4438">
        <f t="shared" si="206"/>
        <v>0</v>
      </c>
      <c r="BX143" s="4438">
        <f t="shared" si="207"/>
        <v>0</v>
      </c>
      <c r="BY143" s="4438">
        <f t="shared" si="208"/>
        <v>0</v>
      </c>
    </row>
    <row r="144" spans="1:77" s="1292" customFormat="1">
      <c r="A144" s="2573">
        <v>13</v>
      </c>
      <c r="B144" s="2516">
        <v>2040204</v>
      </c>
      <c r="C144" s="2517">
        <v>0.02</v>
      </c>
      <c r="D144" s="2546" t="s">
        <v>419</v>
      </c>
      <c r="E144" s="4387">
        <f>+'11.3. ДА Базова година'!F124</f>
        <v>1</v>
      </c>
      <c r="F144" s="2617">
        <f>$E144-SUMIF('11.2. ДА за периода'!$B$61:$B$108,$B144,'11.2. ДА за периода'!$E$61:$E$108)+SUMIF('11.2. ДА за периода'!$B$61:$B$108,$B144,'11.2. ДА за периода'!F$61:F$108)+SUMIF('11.1.Амортиз.нови активи'!$B$61:$B$108,$B144,'11.1.Амортиз.нови активи'!F$61:F$108)+('11.1.Амортиз.нови активи'!F$110*SUMIF('11.1.Амортиз.нови активи'!$B$61:$B$108,$B144,'11.1.Амортиз.нови активи'!AO$61:AO$108))</f>
        <v>1.4700000000000002</v>
      </c>
      <c r="G144" s="1110">
        <f>$E144-SUMIF('11.2. ДА за периода'!$B$61:$B$108,$B144,'11.2. ДА за периода'!$E$61:$E$108)+SUMIF('11.2. ДА за периода'!$B$61:$B$108,$B144,'11.2. ДА за периода'!G$61:G$108)+SUMIF('11.1.Амортиз.нови активи'!$B$61:$B$108,$B144,'11.1.Амортиз.нови активи'!G$61:G$108)+('11.1.Амортиз.нови активи'!G$110*SUMIF('11.1.Амортиз.нови активи'!$B$61:$B$108,$B144,'11.1.Амортиз.нови активи'!AP$61:AP$108))</f>
        <v>1.62</v>
      </c>
      <c r="H144" s="1110">
        <f>$E144-SUMIF('11.2. ДА за периода'!$B$61:$B$108,$B144,'11.2. ДА за периода'!$E$61:$E$108)+SUMIF('11.2. ДА за периода'!$B$61:$B$108,$B144,'11.2. ДА за периода'!H$61:H$108)+SUMIF('11.1.Амортиз.нови активи'!$B$61:$B$108,$B144,'11.1.Амортиз.нови активи'!H$61:H$108)+('11.1.Амортиз.нови активи'!H$110*SUMIF('11.1.Амортиз.нови активи'!$B$61:$B$108,$B144,'11.1.Амортиз.нови активи'!AQ$61:AQ$108))</f>
        <v>1.7700000000000002</v>
      </c>
      <c r="I144" s="1110">
        <f>$E144-SUMIF('11.2. ДА за периода'!$B$61:$B$108,$B144,'11.2. ДА за периода'!$E$61:$E$108)+SUMIF('11.2. ДА за периода'!$B$61:$B$108,$B144,'11.2. ДА за периода'!I$61:I$108)+SUMIF('11.1.Амортиз.нови активи'!$B$61:$B$108,$B144,'11.1.Амортиз.нови активи'!I$61:I$108)+('11.1.Амортиз.нови активи'!I$110*SUMIF('11.1.Амортиз.нови активи'!$B$61:$B$108,$B144,'11.1.Амортиз.нови активи'!AR$61:AR$108))</f>
        <v>1.7700000000000002</v>
      </c>
      <c r="J144" s="1110">
        <f>$E144-SUMIF('11.2. ДА за периода'!$B$61:$B$108,$B144,'11.2. ДА за периода'!$E$61:$E$108)+SUMIF('11.2. ДА за периода'!$B$61:$B$108,$B144,'11.2. ДА за периода'!J$61:J$108)+SUMIF('11.1.Амортиз.нови активи'!$B$61:$B$108,$B144,'11.1.Амортиз.нови активи'!J$61:J$108)+('11.1.Амортиз.нови активи'!J$110*SUMIF('11.1.Амортиз.нови активи'!$B$61:$B$108,$B144,'11.1.Амортиз.нови активи'!AS$61:AS$108))</f>
        <v>1.7900000000000003</v>
      </c>
      <c r="K144" s="1110">
        <f>$E144-SUMIF('11.2. ДА за периода'!$B$61:$B$108,$B144,'11.2. ДА за периода'!$E$61:$E$108)+SUMIF('11.2. ДА за периода'!$B$61:$B$108,$B144,'11.2. ДА за периода'!K$61:K$108)+SUMIF('11.1.Амортиз.нови активи'!$B$61:$B$108,$B144,'11.1.Амортиз.нови активи'!K$61:K$108)+('11.1.Амортиз.нови активи'!K$110*SUMIF('11.1.Амортиз.нови активи'!$B$61:$B$108,$B144,'11.1.Амортиз.нови активи'!AT$61:AT$108))</f>
        <v>2.0700000000000003</v>
      </c>
      <c r="L144" s="4387">
        <f>+'11.3. ДА Базова година'!J124</f>
        <v>0</v>
      </c>
      <c r="M144" s="2617">
        <f>$L144-SUMIF('11.2. ДА за периода'!$B$61:$B$108,$B144,'11.2. ДА за периода'!$L$61:$L$108)+SUMIF('11.2. ДА за периода'!$B$61:$B$108,$B144,'11.2. ДА за периода'!M$61:M$108)+SUMIF('11.1.Амортиз.нови активи'!$B$61:$B$108,$B144,'11.1.Амортиз.нови активи'!M$61:M$108)+('11.1.Амортиз.нови активи'!F$111*SUMIF('11.1.Амортиз.нови активи'!$B$61:$B$108,$B144,'11.1.Амортиз.нови активи'!AO$61:AO$108))</f>
        <v>0</v>
      </c>
      <c r="N144" s="1110">
        <f>$L144-SUMIF('11.2. ДА за периода'!$B$61:$B$108,$B144,'11.2. ДА за периода'!$L$61:$L$108)+SUMIF('11.2. ДА за периода'!$B$61:$B$108,$B144,'11.2. ДА за периода'!N$61:N$108)+SUMIF('11.1.Амортиз.нови активи'!$B$61:$B$108,$B144,'11.1.Амортиз.нови активи'!N$61:N$108)+('11.1.Амортиз.нови активи'!G$111*SUMIF('11.1.Амортиз.нови активи'!$B$61:$B$108,$B144,'11.1.Амортиз.нови активи'!AP$61:AP$108))</f>
        <v>0</v>
      </c>
      <c r="O144" s="1110">
        <f>$L144-SUMIF('11.2. ДА за периода'!$B$61:$B$108,$B144,'11.2. ДА за периода'!$L$61:$L$108)+SUMIF('11.2. ДА за периода'!$B$61:$B$108,$B144,'11.2. ДА за периода'!O$61:O$108)+SUMIF('11.1.Амортиз.нови активи'!$B$61:$B$108,$B144,'11.1.Амортиз.нови активи'!O$61:O$108)+('11.1.Амортиз.нови активи'!H$111*SUMIF('11.1.Амортиз.нови активи'!$B$61:$B$108,$B144,'11.1.Амортиз.нови активи'!AQ$61:AQ$108))</f>
        <v>0</v>
      </c>
      <c r="P144" s="1110">
        <f>$L144-SUMIF('11.2. ДА за периода'!$B$61:$B$108,$B144,'11.2. ДА за периода'!$L$61:$L$108)+SUMIF('11.2. ДА за периода'!$B$61:$B$108,$B144,'11.2. ДА за периода'!P$61:P$108)+SUMIF('11.1.Амортиз.нови активи'!$B$61:$B$108,$B144,'11.1.Амортиз.нови активи'!P$61:P$108)+('11.1.Амортиз.нови активи'!I$111*SUMIF('11.1.Амортиз.нови активи'!$B$61:$B$108,$B144,'11.1.Амортиз.нови активи'!AR$61:AR$108))</f>
        <v>0</v>
      </c>
      <c r="Q144" s="1110">
        <f>$L144-SUMIF('11.2. ДА за периода'!$B$61:$B$108,$B144,'11.2. ДА за периода'!$L$61:$L$108)+SUMIF('11.2. ДА за периода'!$B$61:$B$108,$B144,'11.2. ДА за периода'!Q$61:Q$108)+SUMIF('11.1.Амортиз.нови активи'!$B$61:$B$108,$B144,'11.1.Амортиз.нови активи'!Q$61:Q$108)+('11.1.Амортиз.нови активи'!J$111*SUMIF('11.1.Амортиз.нови активи'!$B$61:$B$108,$B144,'11.1.Амортиз.нови активи'!AS$61:AS$108))</f>
        <v>0</v>
      </c>
      <c r="R144" s="2618">
        <f>$L144-SUMIF('11.2. ДА за периода'!$B$61:$B$108,$B144,'11.2. ДА за периода'!$L$61:$L$108)+SUMIF('11.2. ДА за периода'!$B$61:$B$108,$B144,'11.2. ДА за периода'!R$61:R$108)+SUMIF('11.1.Амортиз.нови активи'!$B$61:$B$108,$B144,'11.1.Амортиз.нови активи'!R$61:R$108)+('11.1.Амортиз.нови активи'!K$111*SUMIF('11.1.Амортиз.нови активи'!$B$61:$B$108,$B144,'11.1.Амортиз.нови активи'!AT$61:AT$108))</f>
        <v>0</v>
      </c>
      <c r="S144" s="4387">
        <f>+'11.3. ДА Базова година'!N124</f>
        <v>0</v>
      </c>
      <c r="T144" s="2617">
        <f>$S144-SUMIF('11.2. ДА за периода'!$B$61:$B$108,$B144,'11.2. ДА за периода'!$S$61:$S$108)+SUMIF('11.2. ДА за периода'!$B$61:$B$108,$B144,'11.2. ДА за периода'!T$61:T$108)+SUMIF('11.1.Амортиз.нови активи'!$B$61:$B$108,$B144,'11.1.Амортиз.нови активи'!T$61:T$108)+('11.1.Амортиз.нови активи'!F$112*SUMIF('11.1.Амортиз.нови активи'!$B$61:$B$108,$B144,'11.1.Амортиз.нови активи'!AO$61:AO$108))</f>
        <v>0</v>
      </c>
      <c r="U144" s="1110">
        <f>$S144-SUMIF('11.2. ДА за периода'!$B$61:$B$108,$B144,'11.2. ДА за периода'!$S$61:$S$108)+SUMIF('11.2. ДА за периода'!$B$61:$B$108,$B144,'11.2. ДА за периода'!U$61:U$108)+SUMIF('11.1.Амортиз.нови активи'!$B$61:$B$108,$B144,'11.1.Амортиз.нови активи'!U$61:U$108)+('11.1.Амортиз.нови активи'!G$112*SUMIF('11.1.Амортиз.нови активи'!$B$61:$B$108,$B144,'11.1.Амортиз.нови активи'!AP$61:AP$108))</f>
        <v>0</v>
      </c>
      <c r="V144" s="1110">
        <f>$S144-SUMIF('11.2. ДА за периода'!$B$61:$B$108,$B144,'11.2. ДА за периода'!$S$61:$S$108)+SUMIF('11.2. ДА за периода'!$B$61:$B$108,$B144,'11.2. ДА за периода'!V$61:V$108)+SUMIF('11.1.Амортиз.нови активи'!$B$61:$B$108,$B144,'11.1.Амортиз.нови активи'!V$61:V$108)+('11.1.Амортиз.нови активи'!H$112*SUMIF('11.1.Амортиз.нови активи'!$B$61:$B$108,$B144,'11.1.Амортиз.нови активи'!AQ$61:AQ$108))</f>
        <v>0</v>
      </c>
      <c r="W144" s="1110">
        <f>$S144-SUMIF('11.2. ДА за периода'!$B$61:$B$108,$B144,'11.2. ДА за периода'!$S$61:$S$108)+SUMIF('11.2. ДА за периода'!$B$61:$B$108,$B144,'11.2. ДА за периода'!W$61:W$108)+SUMIF('11.1.Амортиз.нови активи'!$B$61:$B$108,$B144,'11.1.Амортиз.нови активи'!W$61:W$108)+('11.1.Амортиз.нови активи'!I$112*SUMIF('11.1.Амортиз.нови активи'!$B$61:$B$108,$B144,'11.1.Амортиз.нови активи'!AR$61:AR$108))</f>
        <v>0</v>
      </c>
      <c r="X144" s="1110">
        <f>$S144-SUMIF('11.2. ДА за периода'!$B$61:$B$108,$B144,'11.2. ДА за периода'!$S$61:$S$108)+SUMIF('11.2. ДА за периода'!$B$61:$B$108,$B144,'11.2. ДА за периода'!X$61:X$108)+SUMIF('11.1.Амортиз.нови активи'!$B$61:$B$108,$B144,'11.1.Амортиз.нови активи'!X$61:X$108)+('11.1.Амортиз.нови активи'!J$112*SUMIF('11.1.Амортиз.нови активи'!$B$61:$B$108,$B144,'11.1.Амортиз.нови активи'!AS$61:AS$108))</f>
        <v>0</v>
      </c>
      <c r="Y144" s="2618">
        <f>$S144-SUMIF('11.2. ДА за периода'!$B$61:$B$108,$B144,'11.2. ДА за периода'!$S$61:$S$108)+SUMIF('11.2. ДА за периода'!$B$61:$B$108,$B144,'11.2. ДА за периода'!Y$61:Y$108)+SUMIF('11.1.Амортиз.нови активи'!$B$61:$B$108,$B144,'11.1.Амортиз.нови активи'!Y$61:Y$108)+('11.1.Амортиз.нови активи'!K$112*SUMIF('11.1.Амортиз.нови активи'!$B$61:$B$108,$B144,'11.1.Амортиз.нови активи'!AT$61:AT$108))</f>
        <v>0</v>
      </c>
      <c r="Z144" s="4387">
        <f>+'11.3. ДА Базова година'!R124</f>
        <v>0</v>
      </c>
      <c r="AA144" s="2617">
        <f>$Z144-SUMIF('11.2. ДА за периода'!$B$61:$B$108,$B144,'11.2. ДА за периода'!$Z$61:$Z$108)+SUMIF('11.2. ДА за периода'!$B$61:$B$108,$B144,'11.2. ДА за периода'!AA$61:AA$108)+SUMIF('11.1.Амортиз.нови активи'!$B$61:$B$108,$B144,'11.1.Амортиз.нови активи'!AA$61:AA$108)</f>
        <v>0</v>
      </c>
      <c r="AB144" s="1110">
        <f>$Z144-SUMIF('11.2. ДА за периода'!$B$61:$B$108,$B144,'11.2. ДА за периода'!$Z$61:$Z$108)+SUMIF('11.2. ДА за периода'!$B$61:$B$108,$B144,'11.2. ДА за периода'!AB$61:AB$108)+SUMIF('11.1.Амортиз.нови активи'!$B$61:$B$108,$B144,'11.1.Амортиз.нови активи'!AB$61:AB$108)</f>
        <v>0</v>
      </c>
      <c r="AC144" s="1110">
        <f>$Z144-SUMIF('11.2. ДА за периода'!$B$61:$B$108,$B144,'11.2. ДА за периода'!$Z$61:$Z$108)+SUMIF('11.2. ДА за периода'!$B$61:$B$108,$B144,'11.2. ДА за периода'!AC$61:AC$108)+SUMIF('11.1.Амортиз.нови активи'!$B$61:$B$108,$B144,'11.1.Амортиз.нови активи'!AC$61:AC$108)</f>
        <v>0</v>
      </c>
      <c r="AD144" s="1110">
        <f>$Z144-SUMIF('11.2. ДА за периода'!$B$61:$B$108,$B144,'11.2. ДА за периода'!$Z$61:$Z$108)+SUMIF('11.2. ДА за периода'!$B$61:$B$108,$B144,'11.2. ДА за периода'!AD$61:AD$108)+SUMIF('11.1.Амортиз.нови активи'!$B$61:$B$108,$B144,'11.1.Амортиз.нови активи'!AD$61:AD$108)</f>
        <v>0</v>
      </c>
      <c r="AE144" s="1110">
        <f>$Z144-SUMIF('11.2. ДА за периода'!$B$61:$B$108,$B144,'11.2. ДА за периода'!$Z$61:$Z$108)+SUMIF('11.2. ДА за периода'!$B$61:$B$108,$B144,'11.2. ДА за периода'!AE$61:AE$108)+SUMIF('11.1.Амортиз.нови активи'!$B$61:$B$108,$B144,'11.1.Амортиз.нови активи'!AE$61:AE$108)</f>
        <v>0</v>
      </c>
      <c r="AF144" s="2618">
        <f>$Z144-SUMIF('11.2. ДА за периода'!$B$61:$B$108,$B144,'11.2. ДА за периода'!$Z$61:$Z$108)+SUMIF('11.2. ДА за периода'!$B$61:$B$108,$B144,'11.2. ДА за периода'!AF$61:AF$108)+SUMIF('11.1.Амортиз.нови активи'!$B$61:$B$108,$B144,'11.1.Амортиз.нови активи'!AF$61:AF$108)</f>
        <v>0</v>
      </c>
      <c r="AG144" s="4387">
        <f>+'11.3. ДА Базова година'!V124</f>
        <v>0</v>
      </c>
      <c r="AH144" s="2617">
        <f>$AG144-SUMIF('11.2. ДА за периода'!$B$61:$B$108,$B144,'11.2. ДА за периода'!$AG$61:$AG$108)+SUMIF('11.2. ДА за периода'!$B$61:$B$108,$B144,'11.2. ДА за периода'!AH$61:AH$108)+SUMIF('11.1.Амортиз.нови активи'!$B$61:$B$108,$B144,'11.1.Амортиз.нови активи'!AH$61:AH$108)</f>
        <v>0</v>
      </c>
      <c r="AI144" s="1110">
        <f>$AG144-SUMIF('11.2. ДА за периода'!$B$61:$B$108,$B144,'11.2. ДА за периода'!$AG$61:$AG$108)+SUMIF('11.2. ДА за периода'!$B$61:$B$108,$B144,'11.2. ДА за периода'!AI$61:AI$108)+SUMIF('11.1.Амортиз.нови активи'!$B$61:$B$108,$B144,'11.1.Амортиз.нови активи'!AI$61:AI$108)</f>
        <v>0</v>
      </c>
      <c r="AJ144" s="1110">
        <f>$AG144-SUMIF('11.2. ДА за периода'!$B$61:$B$108,$B144,'11.2. ДА за периода'!$AG$61:$AG$108)+SUMIF('11.2. ДА за периода'!$B$61:$B$108,$B144,'11.2. ДА за периода'!AJ$61:AJ$108)+SUMIF('11.1.Амортиз.нови активи'!$B$61:$B$108,$B144,'11.1.Амортиз.нови активи'!AJ$61:AJ$108)</f>
        <v>0</v>
      </c>
      <c r="AK144" s="1110">
        <f>$AG144-SUMIF('11.2. ДА за периода'!$B$61:$B$108,$B144,'11.2. ДА за периода'!$AG$61:$AG$108)+SUMIF('11.2. ДА за периода'!$B$61:$B$108,$B144,'11.2. ДА за периода'!AK$61:AK$108)+SUMIF('11.1.Амортиз.нови активи'!$B$61:$B$108,$B144,'11.1.Амортиз.нови активи'!AK$61:AK$108)</f>
        <v>0</v>
      </c>
      <c r="AL144" s="1110">
        <f>$AG144-SUMIF('11.2. ДА за периода'!$B$61:$B$108,$B144,'11.2. ДА за периода'!$AG$61:$AG$108)+SUMIF('11.2. ДА за периода'!$B$61:$B$108,$B144,'11.2. ДА за периода'!AL$61:AL$108)+SUMIF('11.1.Амортиз.нови активи'!$B$61:$B$108,$B144,'11.1.Амортиз.нови активи'!AL$61:AL$108)</f>
        <v>0</v>
      </c>
      <c r="AM144" s="2618">
        <f>$AG144-SUMIF('11.2. ДА за периода'!$B$61:$B$108,$B144,'11.2. ДА за периода'!$AG$61:$AG$108)+SUMIF('11.2. ДА за периода'!$B$61:$B$108,$B144,'11.2. ДА за периода'!AM$61:AM$108)+SUMIF('11.1.Амортиз.нови активи'!$B$61:$B$108,$B144,'11.1.Амортиз.нови активи'!AM$61:AM$108)</f>
        <v>0</v>
      </c>
      <c r="AN144" s="2513"/>
      <c r="AO144" s="2551"/>
      <c r="AP144" s="4422"/>
      <c r="AQ144" s="4438">
        <f t="shared" si="174"/>
        <v>0.51129188119621849</v>
      </c>
      <c r="AR144" s="4438">
        <f t="shared" si="175"/>
        <v>0.75159906535844134</v>
      </c>
      <c r="AS144" s="4438">
        <f t="shared" si="176"/>
        <v>0.82829284753787402</v>
      </c>
      <c r="AT144" s="4438">
        <f t="shared" si="177"/>
        <v>0.90498662971730681</v>
      </c>
      <c r="AU144" s="4438">
        <f t="shared" si="178"/>
        <v>0.90498662971730681</v>
      </c>
      <c r="AV144" s="4438">
        <f t="shared" si="179"/>
        <v>0.91521246734123129</v>
      </c>
      <c r="AW144" s="4438">
        <f t="shared" si="180"/>
        <v>1.0583741940761724</v>
      </c>
      <c r="AX144" s="4438">
        <f t="shared" si="181"/>
        <v>0</v>
      </c>
      <c r="AY144" s="4438">
        <f t="shared" si="182"/>
        <v>0</v>
      </c>
      <c r="AZ144" s="4438">
        <f t="shared" si="183"/>
        <v>0</v>
      </c>
      <c r="BA144" s="4438">
        <f t="shared" si="184"/>
        <v>0</v>
      </c>
      <c r="BB144" s="4438">
        <f t="shared" si="185"/>
        <v>0</v>
      </c>
      <c r="BC144" s="4438">
        <f t="shared" si="186"/>
        <v>0</v>
      </c>
      <c r="BD144" s="4438">
        <f t="shared" si="187"/>
        <v>0</v>
      </c>
      <c r="BE144" s="4438">
        <f t="shared" si="188"/>
        <v>0</v>
      </c>
      <c r="BF144" s="4438">
        <f t="shared" si="189"/>
        <v>0</v>
      </c>
      <c r="BG144" s="4438">
        <f t="shared" si="190"/>
        <v>0</v>
      </c>
      <c r="BH144" s="4438">
        <f t="shared" si="191"/>
        <v>0</v>
      </c>
      <c r="BI144" s="4438">
        <f t="shared" si="192"/>
        <v>0</v>
      </c>
      <c r="BJ144" s="4438">
        <f t="shared" si="193"/>
        <v>0</v>
      </c>
      <c r="BK144" s="4438">
        <f t="shared" si="194"/>
        <v>0</v>
      </c>
      <c r="BL144" s="4438">
        <f t="shared" si="195"/>
        <v>0</v>
      </c>
      <c r="BM144" s="4438">
        <f t="shared" si="196"/>
        <v>0</v>
      </c>
      <c r="BN144" s="4438">
        <f t="shared" si="197"/>
        <v>0</v>
      </c>
      <c r="BO144" s="4438">
        <f t="shared" si="198"/>
        <v>0</v>
      </c>
      <c r="BP144" s="4438">
        <f t="shared" si="199"/>
        <v>0</v>
      </c>
      <c r="BQ144" s="4438">
        <f t="shared" si="200"/>
        <v>0</v>
      </c>
      <c r="BR144" s="4438">
        <f t="shared" si="201"/>
        <v>0</v>
      </c>
      <c r="BS144" s="4438">
        <f t="shared" si="202"/>
        <v>0</v>
      </c>
      <c r="BT144" s="4438">
        <f t="shared" si="203"/>
        <v>0</v>
      </c>
      <c r="BU144" s="4438">
        <f t="shared" si="204"/>
        <v>0</v>
      </c>
      <c r="BV144" s="4438">
        <f t="shared" si="205"/>
        <v>0</v>
      </c>
      <c r="BW144" s="4438">
        <f t="shared" si="206"/>
        <v>0</v>
      </c>
      <c r="BX144" s="4438">
        <f t="shared" si="207"/>
        <v>0</v>
      </c>
      <c r="BY144" s="4438">
        <f t="shared" si="208"/>
        <v>0</v>
      </c>
    </row>
    <row r="145" spans="1:77" s="1292" customFormat="1">
      <c r="A145" s="2573">
        <v>14</v>
      </c>
      <c r="B145" s="2516">
        <v>2040205</v>
      </c>
      <c r="C145" s="2517">
        <v>0.02</v>
      </c>
      <c r="D145" s="2547" t="s">
        <v>420</v>
      </c>
      <c r="E145" s="4387">
        <f>+'11.3. ДА Базова година'!F125</f>
        <v>44</v>
      </c>
      <c r="F145" s="2617">
        <f>$E145-SUMIF('11.2. ДА за периода'!$B$61:$B$108,$B145,'11.2. ДА за периода'!$E$61:$E$108)+SUMIF('11.2. ДА за периода'!$B$61:$B$108,$B145,'11.2. ДА за периода'!F$61:F$108)+SUMIF('11.1.Амортиз.нови активи'!$B$61:$B$108,$B145,'11.1.Амортиз.нови активи'!F$61:F$108)+('11.1.Амортиз.нови активи'!F$110*SUMIF('11.1.Амортиз.нови активи'!$B$61:$B$108,$B145,'11.1.Амортиз.нови активи'!AO$61:AO$108))</f>
        <v>55.83</v>
      </c>
      <c r="G145" s="1110">
        <f>$E145-SUMIF('11.2. ДА за периода'!$B$61:$B$108,$B145,'11.2. ДА за периода'!$E$61:$E$108)+SUMIF('11.2. ДА за периода'!$B$61:$B$108,$B145,'11.2. ДА за периода'!G$61:G$108)+SUMIF('11.1.Амортиз.нови активи'!$B$61:$B$108,$B145,'11.1.Амортиз.нови активи'!G$61:G$108)+('11.1.Амортиз.нови активи'!G$110*SUMIF('11.1.Амортиз.нови активи'!$B$61:$B$108,$B145,'11.1.Амортиз.нови активи'!AP$61:AP$108))</f>
        <v>88.655769520000007</v>
      </c>
      <c r="H145" s="1110">
        <f>$E145-SUMIF('11.2. ДА за периода'!$B$61:$B$108,$B145,'11.2. ДА за периода'!$E$61:$E$108)+SUMIF('11.2. ДА за периода'!$B$61:$B$108,$B145,'11.2. ДА за периода'!H$61:H$108)+SUMIF('11.1.Амортиз.нови активи'!$B$61:$B$108,$B145,'11.1.Амортиз.нови активи'!H$61:H$108)+('11.1.Амортиз.нови активи'!H$110*SUMIF('11.1.Амортиз.нови активи'!$B$61:$B$108,$B145,'11.1.Амортиз.нови активи'!AQ$61:AQ$108))</f>
        <v>164.66307808000005</v>
      </c>
      <c r="I145" s="1110">
        <f>$E145-SUMIF('11.2. ДА за периода'!$B$61:$B$108,$B145,'11.2. ДА за периода'!$E$61:$E$108)+SUMIF('11.2. ДА за периода'!$B$61:$B$108,$B145,'11.2. ДА за периода'!I$61:I$108)+SUMIF('11.1.Амортиз.нови активи'!$B$61:$B$108,$B145,'11.1.Амортиз.нови активи'!I$61:I$108)+('11.1.Амортиз.нови активи'!I$110*SUMIF('11.1.Амортиз.нови активи'!$B$61:$B$108,$B145,'11.1.Амортиз.нови активи'!AR$61:AR$108))</f>
        <v>265.15615616000002</v>
      </c>
      <c r="J145" s="1110">
        <f>$E145-SUMIF('11.2. ДА за периода'!$B$61:$B$108,$B145,'11.2. ДА за периода'!$E$61:$E$108)+SUMIF('11.2. ДА за периода'!$B$61:$B$108,$B145,'11.2. ДА за периода'!J$61:J$108)+SUMIF('11.1.Амортиз.нови активи'!$B$61:$B$108,$B145,'11.1.Амортиз.нови активи'!J$61:J$108)+('11.1.Амортиз.нови активи'!J$110*SUMIF('11.1.Амортиз.нови активи'!$B$61:$B$108,$B145,'11.1.Амортиз.нови активи'!AS$61:AS$108))</f>
        <v>321.76769520000005</v>
      </c>
      <c r="K145" s="1110">
        <f>$E145-SUMIF('11.2. ДА за периода'!$B$61:$B$108,$B145,'11.2. ДА за периода'!$E$61:$E$108)+SUMIF('11.2. ДА за периода'!$B$61:$B$108,$B145,'11.2. ДА за периода'!K$61:K$108)+SUMIF('11.1.Амортиз.нови активи'!$B$61:$B$108,$B145,'11.1.Амортиз.нови активи'!K$61:K$108)+('11.1.Амортиз.нови активи'!K$110*SUMIF('11.1.Амортиз.нови активи'!$B$61:$B$108,$B145,'11.1.Амортиз.нови активи'!AT$61:AT$108))</f>
        <v>332.36769520000007</v>
      </c>
      <c r="L145" s="4387">
        <f>+'11.3. ДА Базова година'!J125</f>
        <v>0</v>
      </c>
      <c r="M145" s="2617">
        <f>$L145-SUMIF('11.2. ДА за периода'!$B$61:$B$108,$B145,'11.2. ДА за периода'!$L$61:$L$108)+SUMIF('11.2. ДА за периода'!$B$61:$B$108,$B145,'11.2. ДА за периода'!M$61:M$108)+SUMIF('11.1.Амортиз.нови активи'!$B$61:$B$108,$B145,'11.1.Амортиз.нови активи'!M$61:M$108)+('11.1.Амортиз.нови активи'!F$111*SUMIF('11.1.Амортиз.нови активи'!$B$61:$B$108,$B145,'11.1.Амортиз.нови активи'!AO$61:AO$108))</f>
        <v>0</v>
      </c>
      <c r="N145" s="1110">
        <f>$L145-SUMIF('11.2. ДА за периода'!$B$61:$B$108,$B145,'11.2. ДА за периода'!$L$61:$L$108)+SUMIF('11.2. ДА за периода'!$B$61:$B$108,$B145,'11.2. ДА за периода'!N$61:N$108)+SUMIF('11.1.Амортиз.нови активи'!$B$61:$B$108,$B145,'11.1.Амортиз.нови активи'!N$61:N$108)+('11.1.Амортиз.нови активи'!G$111*SUMIF('11.1.Амортиз.нови активи'!$B$61:$B$108,$B145,'11.1.Амортиз.нови активи'!AP$61:AP$108))</f>
        <v>0</v>
      </c>
      <c r="O145" s="1110">
        <f>$L145-SUMIF('11.2. ДА за периода'!$B$61:$B$108,$B145,'11.2. ДА за периода'!$L$61:$L$108)+SUMIF('11.2. ДА за периода'!$B$61:$B$108,$B145,'11.2. ДА за периода'!O$61:O$108)+SUMIF('11.1.Амортиз.нови активи'!$B$61:$B$108,$B145,'11.1.Амортиз.нови активи'!O$61:O$108)+('11.1.Амортиз.нови активи'!H$111*SUMIF('11.1.Амортиз.нови активи'!$B$61:$B$108,$B145,'11.1.Амортиз.нови активи'!AQ$61:AQ$108))</f>
        <v>0</v>
      </c>
      <c r="P145" s="1110">
        <f>$L145-SUMIF('11.2. ДА за периода'!$B$61:$B$108,$B145,'11.2. ДА за периода'!$L$61:$L$108)+SUMIF('11.2. ДА за периода'!$B$61:$B$108,$B145,'11.2. ДА за периода'!P$61:P$108)+SUMIF('11.1.Амортиз.нови активи'!$B$61:$B$108,$B145,'11.1.Амортиз.нови активи'!P$61:P$108)+('11.1.Амортиз.нови активи'!I$111*SUMIF('11.1.Амортиз.нови активи'!$B$61:$B$108,$B145,'11.1.Амортиз.нови активи'!AR$61:AR$108))</f>
        <v>0</v>
      </c>
      <c r="Q145" s="1110">
        <f>$L145-SUMIF('11.2. ДА за периода'!$B$61:$B$108,$B145,'11.2. ДА за периода'!$L$61:$L$108)+SUMIF('11.2. ДА за периода'!$B$61:$B$108,$B145,'11.2. ДА за периода'!Q$61:Q$108)+SUMIF('11.1.Амортиз.нови активи'!$B$61:$B$108,$B145,'11.1.Амортиз.нови активи'!Q$61:Q$108)+('11.1.Амортиз.нови активи'!J$111*SUMIF('11.1.Амортиз.нови активи'!$B$61:$B$108,$B145,'11.1.Амортиз.нови активи'!AS$61:AS$108))</f>
        <v>0</v>
      </c>
      <c r="R145" s="2618">
        <f>$L145-SUMIF('11.2. ДА за периода'!$B$61:$B$108,$B145,'11.2. ДА за периода'!$L$61:$L$108)+SUMIF('11.2. ДА за периода'!$B$61:$B$108,$B145,'11.2. ДА за периода'!R$61:R$108)+SUMIF('11.1.Амортиз.нови активи'!$B$61:$B$108,$B145,'11.1.Амортиз.нови активи'!R$61:R$108)+('11.1.Амортиз.нови активи'!K$111*SUMIF('11.1.Амортиз.нови активи'!$B$61:$B$108,$B145,'11.1.Амортиз.нови активи'!AT$61:AT$108))</f>
        <v>0</v>
      </c>
      <c r="S145" s="4387">
        <f>+'11.3. ДА Базова година'!N125</f>
        <v>0</v>
      </c>
      <c r="T145" s="2617">
        <f>$S145-SUMIF('11.2. ДА за периода'!$B$61:$B$108,$B145,'11.2. ДА за периода'!$S$61:$S$108)+SUMIF('11.2. ДА за периода'!$B$61:$B$108,$B145,'11.2. ДА за периода'!T$61:T$108)+SUMIF('11.1.Амортиз.нови активи'!$B$61:$B$108,$B145,'11.1.Амортиз.нови активи'!T$61:T$108)+('11.1.Амортиз.нови активи'!F$112*SUMIF('11.1.Амортиз.нови активи'!$B$61:$B$108,$B145,'11.1.Амортиз.нови активи'!AO$61:AO$108))</f>
        <v>0</v>
      </c>
      <c r="U145" s="1110">
        <f>$S145-SUMIF('11.2. ДА за периода'!$B$61:$B$108,$B145,'11.2. ДА за периода'!$S$61:$S$108)+SUMIF('11.2. ДА за периода'!$B$61:$B$108,$B145,'11.2. ДА за периода'!U$61:U$108)+SUMIF('11.1.Амортиз.нови активи'!$B$61:$B$108,$B145,'11.1.Амортиз.нови активи'!U$61:U$108)+('11.1.Амортиз.нови активи'!G$112*SUMIF('11.1.Амортиз.нови активи'!$B$61:$B$108,$B145,'11.1.Амортиз.нови активи'!AP$61:AP$108))</f>
        <v>0</v>
      </c>
      <c r="V145" s="1110">
        <f>$S145-SUMIF('11.2. ДА за периода'!$B$61:$B$108,$B145,'11.2. ДА за периода'!$S$61:$S$108)+SUMIF('11.2. ДА за периода'!$B$61:$B$108,$B145,'11.2. ДА за периода'!V$61:V$108)+SUMIF('11.1.Амортиз.нови активи'!$B$61:$B$108,$B145,'11.1.Амортиз.нови активи'!V$61:V$108)+('11.1.Амортиз.нови активи'!H$112*SUMIF('11.1.Амортиз.нови активи'!$B$61:$B$108,$B145,'11.1.Амортиз.нови активи'!AQ$61:AQ$108))</f>
        <v>0</v>
      </c>
      <c r="W145" s="1110">
        <f>$S145-SUMIF('11.2. ДА за периода'!$B$61:$B$108,$B145,'11.2. ДА за периода'!$S$61:$S$108)+SUMIF('11.2. ДА за периода'!$B$61:$B$108,$B145,'11.2. ДА за периода'!W$61:W$108)+SUMIF('11.1.Амортиз.нови активи'!$B$61:$B$108,$B145,'11.1.Амортиз.нови активи'!W$61:W$108)+('11.1.Амортиз.нови активи'!I$112*SUMIF('11.1.Амортиз.нови активи'!$B$61:$B$108,$B145,'11.1.Амортиз.нови активи'!AR$61:AR$108))</f>
        <v>0</v>
      </c>
      <c r="X145" s="1110">
        <f>$S145-SUMIF('11.2. ДА за периода'!$B$61:$B$108,$B145,'11.2. ДА за периода'!$S$61:$S$108)+SUMIF('11.2. ДА за периода'!$B$61:$B$108,$B145,'11.2. ДА за периода'!X$61:X$108)+SUMIF('11.1.Амортиз.нови активи'!$B$61:$B$108,$B145,'11.1.Амортиз.нови активи'!X$61:X$108)+('11.1.Амортиз.нови активи'!J$112*SUMIF('11.1.Амортиз.нови активи'!$B$61:$B$108,$B145,'11.1.Амортиз.нови активи'!AS$61:AS$108))</f>
        <v>0</v>
      </c>
      <c r="Y145" s="2618">
        <f>$S145-SUMIF('11.2. ДА за периода'!$B$61:$B$108,$B145,'11.2. ДА за периода'!$S$61:$S$108)+SUMIF('11.2. ДА за периода'!$B$61:$B$108,$B145,'11.2. ДА за периода'!Y$61:Y$108)+SUMIF('11.1.Амортиз.нови активи'!$B$61:$B$108,$B145,'11.1.Амортиз.нови активи'!Y$61:Y$108)+('11.1.Амортиз.нови активи'!K$112*SUMIF('11.1.Амортиз.нови активи'!$B$61:$B$108,$B145,'11.1.Амортиз.нови активи'!AT$61:AT$108))</f>
        <v>0</v>
      </c>
      <c r="Z145" s="4387">
        <f>+'11.3. ДА Базова година'!R125</f>
        <v>0</v>
      </c>
      <c r="AA145" s="2617">
        <f>$Z145-SUMIF('11.2. ДА за периода'!$B$61:$B$108,$B145,'11.2. ДА за периода'!$Z$61:$Z$108)+SUMIF('11.2. ДА за периода'!$B$61:$B$108,$B145,'11.2. ДА за периода'!AA$61:AA$108)+SUMIF('11.1.Амортиз.нови активи'!$B$61:$B$108,$B145,'11.1.Амортиз.нови активи'!AA$61:AA$108)</f>
        <v>0</v>
      </c>
      <c r="AB145" s="1110">
        <f>$Z145-SUMIF('11.2. ДА за периода'!$B$61:$B$108,$B145,'11.2. ДА за периода'!$Z$61:$Z$108)+SUMIF('11.2. ДА за периода'!$B$61:$B$108,$B145,'11.2. ДА за периода'!AB$61:AB$108)+SUMIF('11.1.Амортиз.нови активи'!$B$61:$B$108,$B145,'11.1.Амортиз.нови активи'!AB$61:AB$108)</f>
        <v>0</v>
      </c>
      <c r="AC145" s="1110">
        <f>$Z145-SUMIF('11.2. ДА за периода'!$B$61:$B$108,$B145,'11.2. ДА за периода'!$Z$61:$Z$108)+SUMIF('11.2. ДА за периода'!$B$61:$B$108,$B145,'11.2. ДА за периода'!AC$61:AC$108)+SUMIF('11.1.Амортиз.нови активи'!$B$61:$B$108,$B145,'11.1.Амортиз.нови активи'!AC$61:AC$108)</f>
        <v>0</v>
      </c>
      <c r="AD145" s="1110">
        <f>$Z145-SUMIF('11.2. ДА за периода'!$B$61:$B$108,$B145,'11.2. ДА за периода'!$Z$61:$Z$108)+SUMIF('11.2. ДА за периода'!$B$61:$B$108,$B145,'11.2. ДА за периода'!AD$61:AD$108)+SUMIF('11.1.Амортиз.нови активи'!$B$61:$B$108,$B145,'11.1.Амортиз.нови активи'!AD$61:AD$108)</f>
        <v>0</v>
      </c>
      <c r="AE145" s="1110">
        <f>$Z145-SUMIF('11.2. ДА за периода'!$B$61:$B$108,$B145,'11.2. ДА за периода'!$Z$61:$Z$108)+SUMIF('11.2. ДА за периода'!$B$61:$B$108,$B145,'11.2. ДА за периода'!AE$61:AE$108)+SUMIF('11.1.Амортиз.нови активи'!$B$61:$B$108,$B145,'11.1.Амортиз.нови активи'!AE$61:AE$108)</f>
        <v>0</v>
      </c>
      <c r="AF145" s="2618">
        <f>$Z145-SUMIF('11.2. ДА за периода'!$B$61:$B$108,$B145,'11.2. ДА за периода'!$Z$61:$Z$108)+SUMIF('11.2. ДА за периода'!$B$61:$B$108,$B145,'11.2. ДА за периода'!AF$61:AF$108)+SUMIF('11.1.Амортиз.нови активи'!$B$61:$B$108,$B145,'11.1.Амортиз.нови активи'!AF$61:AF$108)</f>
        <v>0</v>
      </c>
      <c r="AG145" s="4387">
        <f>+'11.3. ДА Базова година'!V125</f>
        <v>0</v>
      </c>
      <c r="AH145" s="2617">
        <f>$AG145-SUMIF('11.2. ДА за периода'!$B$61:$B$108,$B145,'11.2. ДА за периода'!$AG$61:$AG$108)+SUMIF('11.2. ДА за периода'!$B$61:$B$108,$B145,'11.2. ДА за периода'!AH$61:AH$108)+SUMIF('11.1.Амортиз.нови активи'!$B$61:$B$108,$B145,'11.1.Амортиз.нови активи'!AH$61:AH$108)</f>
        <v>0</v>
      </c>
      <c r="AI145" s="1110">
        <f>$AG145-SUMIF('11.2. ДА за периода'!$B$61:$B$108,$B145,'11.2. ДА за периода'!$AG$61:$AG$108)+SUMIF('11.2. ДА за периода'!$B$61:$B$108,$B145,'11.2. ДА за периода'!AI$61:AI$108)+SUMIF('11.1.Амортиз.нови активи'!$B$61:$B$108,$B145,'11.1.Амортиз.нови активи'!AI$61:AI$108)</f>
        <v>0</v>
      </c>
      <c r="AJ145" s="1110">
        <f>$AG145-SUMIF('11.2. ДА за периода'!$B$61:$B$108,$B145,'11.2. ДА за периода'!$AG$61:$AG$108)+SUMIF('11.2. ДА за периода'!$B$61:$B$108,$B145,'11.2. ДА за периода'!AJ$61:AJ$108)+SUMIF('11.1.Амортиз.нови активи'!$B$61:$B$108,$B145,'11.1.Амортиз.нови активи'!AJ$61:AJ$108)</f>
        <v>0</v>
      </c>
      <c r="AK145" s="1110">
        <f>$AG145-SUMIF('11.2. ДА за периода'!$B$61:$B$108,$B145,'11.2. ДА за периода'!$AG$61:$AG$108)+SUMIF('11.2. ДА за периода'!$B$61:$B$108,$B145,'11.2. ДА за периода'!AK$61:AK$108)+SUMIF('11.1.Амортиз.нови активи'!$B$61:$B$108,$B145,'11.1.Амортиз.нови активи'!AK$61:AK$108)</f>
        <v>0</v>
      </c>
      <c r="AL145" s="1110">
        <f>$AG145-SUMIF('11.2. ДА за периода'!$B$61:$B$108,$B145,'11.2. ДА за периода'!$AG$61:$AG$108)+SUMIF('11.2. ДА за периода'!$B$61:$B$108,$B145,'11.2. ДА за периода'!AL$61:AL$108)+SUMIF('11.1.Амортиз.нови активи'!$B$61:$B$108,$B145,'11.1.Амортиз.нови активи'!AL$61:AL$108)</f>
        <v>0</v>
      </c>
      <c r="AM145" s="2618">
        <f>$AG145-SUMIF('11.2. ДА за периода'!$B$61:$B$108,$B145,'11.2. ДА за периода'!$AG$61:$AG$108)+SUMIF('11.2. ДА за периода'!$B$61:$B$108,$B145,'11.2. ДА за периода'!AM$61:AM$108)+SUMIF('11.1.Амортиз.нови активи'!$B$61:$B$108,$B145,'11.1.Амортиз.нови активи'!AM$61:AM$108)</f>
        <v>0</v>
      </c>
      <c r="AN145" s="2513"/>
      <c r="AO145" s="2551"/>
      <c r="AP145" s="4422"/>
      <c r="AQ145" s="4438">
        <f t="shared" si="174"/>
        <v>22.496842772633613</v>
      </c>
      <c r="AR145" s="4438">
        <f t="shared" si="175"/>
        <v>28.545425727184877</v>
      </c>
      <c r="AS145" s="4438">
        <f t="shared" si="176"/>
        <v>45.328975176779174</v>
      </c>
      <c r="AT145" s="4438">
        <f t="shared" si="177"/>
        <v>84.190894955083039</v>
      </c>
      <c r="AU145" s="4438">
        <f t="shared" si="178"/>
        <v>135.5721898938047</v>
      </c>
      <c r="AV145" s="4438">
        <f t="shared" si="179"/>
        <v>164.51721018697947</v>
      </c>
      <c r="AW145" s="4438">
        <f t="shared" si="180"/>
        <v>169.9369041276594</v>
      </c>
      <c r="AX145" s="4438">
        <f t="shared" si="181"/>
        <v>0</v>
      </c>
      <c r="AY145" s="4438">
        <f t="shared" si="182"/>
        <v>0</v>
      </c>
      <c r="AZ145" s="4438">
        <f t="shared" si="183"/>
        <v>0</v>
      </c>
      <c r="BA145" s="4438">
        <f t="shared" si="184"/>
        <v>0</v>
      </c>
      <c r="BB145" s="4438">
        <f t="shared" si="185"/>
        <v>0</v>
      </c>
      <c r="BC145" s="4438">
        <f t="shared" si="186"/>
        <v>0</v>
      </c>
      <c r="BD145" s="4438">
        <f t="shared" si="187"/>
        <v>0</v>
      </c>
      <c r="BE145" s="4438">
        <f t="shared" si="188"/>
        <v>0</v>
      </c>
      <c r="BF145" s="4438">
        <f t="shared" si="189"/>
        <v>0</v>
      </c>
      <c r="BG145" s="4438">
        <f t="shared" si="190"/>
        <v>0</v>
      </c>
      <c r="BH145" s="4438">
        <f t="shared" si="191"/>
        <v>0</v>
      </c>
      <c r="BI145" s="4438">
        <f t="shared" si="192"/>
        <v>0</v>
      </c>
      <c r="BJ145" s="4438">
        <f t="shared" si="193"/>
        <v>0</v>
      </c>
      <c r="BK145" s="4438">
        <f t="shared" si="194"/>
        <v>0</v>
      </c>
      <c r="BL145" s="4438">
        <f t="shared" si="195"/>
        <v>0</v>
      </c>
      <c r="BM145" s="4438">
        <f t="shared" si="196"/>
        <v>0</v>
      </c>
      <c r="BN145" s="4438">
        <f t="shared" si="197"/>
        <v>0</v>
      </c>
      <c r="BO145" s="4438">
        <f t="shared" si="198"/>
        <v>0</v>
      </c>
      <c r="BP145" s="4438">
        <f t="shared" si="199"/>
        <v>0</v>
      </c>
      <c r="BQ145" s="4438">
        <f t="shared" si="200"/>
        <v>0</v>
      </c>
      <c r="BR145" s="4438">
        <f t="shared" si="201"/>
        <v>0</v>
      </c>
      <c r="BS145" s="4438">
        <f t="shared" si="202"/>
        <v>0</v>
      </c>
      <c r="BT145" s="4438">
        <f t="shared" si="203"/>
        <v>0</v>
      </c>
      <c r="BU145" s="4438">
        <f t="shared" si="204"/>
        <v>0</v>
      </c>
      <c r="BV145" s="4438">
        <f t="shared" si="205"/>
        <v>0</v>
      </c>
      <c r="BW145" s="4438">
        <f t="shared" si="206"/>
        <v>0</v>
      </c>
      <c r="BX145" s="4438">
        <f t="shared" si="207"/>
        <v>0</v>
      </c>
      <c r="BY145" s="4438">
        <f t="shared" si="208"/>
        <v>0</v>
      </c>
    </row>
    <row r="146" spans="1:77" s="1292" customFormat="1">
      <c r="A146" s="2573">
        <v>15</v>
      </c>
      <c r="B146" s="2516">
        <v>2040206</v>
      </c>
      <c r="C146" s="2517">
        <v>0.02</v>
      </c>
      <c r="D146" s="2552" t="s">
        <v>421</v>
      </c>
      <c r="E146" s="4387">
        <f>+'11.3. ДА Базова година'!F126</f>
        <v>0</v>
      </c>
      <c r="F146" s="2617">
        <f>$E146-SUMIF('11.2. ДА за периода'!$B$61:$B$108,$B146,'11.2. ДА за периода'!$E$61:$E$108)+SUMIF('11.2. ДА за периода'!$B$61:$B$108,$B146,'11.2. ДА за периода'!F$61:F$108)+SUMIF('11.1.Амортиз.нови активи'!$B$61:$B$108,$B146,'11.1.Амортиз.нови активи'!F$61:F$108)+('11.1.Амортиз.нови активи'!F$110*SUMIF('11.1.Амортиз.нови активи'!$B$61:$B$108,$B146,'11.1.Амортиз.нови активи'!AO$61:AO$108))</f>
        <v>0</v>
      </c>
      <c r="G146" s="1110">
        <f>$E146-SUMIF('11.2. ДА за периода'!$B$61:$B$108,$B146,'11.2. ДА за периода'!$E$61:$E$108)+SUMIF('11.2. ДА за периода'!$B$61:$B$108,$B146,'11.2. ДА за периода'!G$61:G$108)+SUMIF('11.1.Амортиз.нови активи'!$B$61:$B$108,$B146,'11.1.Амортиз.нови активи'!G$61:G$108)+('11.1.Амортиз.нови активи'!G$110*SUMIF('11.1.Амортиз.нови активи'!$B$61:$B$108,$B146,'11.1.Амортиз.нови активи'!AP$61:AP$108))</f>
        <v>0</v>
      </c>
      <c r="H146" s="1110">
        <f>$E146-SUMIF('11.2. ДА за периода'!$B$61:$B$108,$B146,'11.2. ДА за периода'!$E$61:$E$108)+SUMIF('11.2. ДА за периода'!$B$61:$B$108,$B146,'11.2. ДА за периода'!H$61:H$108)+SUMIF('11.1.Амортиз.нови активи'!$B$61:$B$108,$B146,'11.1.Амортиз.нови активи'!H$61:H$108)+('11.1.Амортиз.нови активи'!H$110*SUMIF('11.1.Амортиз.нови активи'!$B$61:$B$108,$B146,'11.1.Амортиз.нови активи'!AQ$61:AQ$108))</f>
        <v>0</v>
      </c>
      <c r="I146" s="1110">
        <f>$E146-SUMIF('11.2. ДА за периода'!$B$61:$B$108,$B146,'11.2. ДА за периода'!$E$61:$E$108)+SUMIF('11.2. ДА за периода'!$B$61:$B$108,$B146,'11.2. ДА за периода'!I$61:I$108)+SUMIF('11.1.Амортиз.нови активи'!$B$61:$B$108,$B146,'11.1.Амортиз.нови активи'!I$61:I$108)+('11.1.Амортиз.нови активи'!I$110*SUMIF('11.1.Амортиз.нови активи'!$B$61:$B$108,$B146,'11.1.Амортиз.нови активи'!AR$61:AR$108))</f>
        <v>0</v>
      </c>
      <c r="J146" s="1110">
        <f>$E146-SUMIF('11.2. ДА за периода'!$B$61:$B$108,$B146,'11.2. ДА за периода'!$E$61:$E$108)+SUMIF('11.2. ДА за периода'!$B$61:$B$108,$B146,'11.2. ДА за периода'!J$61:J$108)+SUMIF('11.1.Амортиз.нови активи'!$B$61:$B$108,$B146,'11.1.Амортиз.нови активи'!J$61:J$108)+('11.1.Амортиз.нови активи'!J$110*SUMIF('11.1.Амортиз.нови активи'!$B$61:$B$108,$B146,'11.1.Амортиз.нови активи'!AS$61:AS$108))</f>
        <v>0</v>
      </c>
      <c r="K146" s="1110">
        <f>$E146-SUMIF('11.2. ДА за периода'!$B$61:$B$108,$B146,'11.2. ДА за периода'!$E$61:$E$108)+SUMIF('11.2. ДА за периода'!$B$61:$B$108,$B146,'11.2. ДА за периода'!K$61:K$108)+SUMIF('11.1.Амортиз.нови активи'!$B$61:$B$108,$B146,'11.1.Амортиз.нови активи'!K$61:K$108)+('11.1.Амортиз.нови активи'!K$110*SUMIF('11.1.Амортиз.нови активи'!$B$61:$B$108,$B146,'11.1.Амортиз.нови активи'!AT$61:AT$108))</f>
        <v>0</v>
      </c>
      <c r="L146" s="4387">
        <f>+'11.3. ДА Базова година'!J126</f>
        <v>1</v>
      </c>
      <c r="M146" s="2617">
        <f>$L146-SUMIF('11.2. ДА за периода'!$B$61:$B$108,$B146,'11.2. ДА за периода'!$L$61:$L$108)+SUMIF('11.2. ДА за периода'!$B$61:$B$108,$B146,'11.2. ДА за периода'!M$61:M$108)+SUMIF('11.1.Амортиз.нови активи'!$B$61:$B$108,$B146,'11.1.Амортиз.нови активи'!M$61:M$108)+('11.1.Амортиз.нови активи'!F$111*SUMIF('11.1.Амортиз.нови активи'!$B$61:$B$108,$B146,'11.1.Амортиз.нови активи'!AO$61:AO$108))</f>
        <v>1.43</v>
      </c>
      <c r="N146" s="1110">
        <f>$L146-SUMIF('11.2. ДА за периода'!$B$61:$B$108,$B146,'11.2. ДА за периода'!$L$61:$L$108)+SUMIF('11.2. ДА за периода'!$B$61:$B$108,$B146,'11.2. ДА за периода'!N$61:N$108)+SUMIF('11.1.Амортиз.нови активи'!$B$61:$B$108,$B146,'11.1.Амортиз.нови активи'!N$61:N$108)+('11.1.Амортиз.нови активи'!G$111*SUMIF('11.1.Амортиз.нови активи'!$B$61:$B$108,$B146,'11.1.Амортиз.нови активи'!AP$61:AP$108))</f>
        <v>11.292683600000002</v>
      </c>
      <c r="O146" s="1110">
        <f>$L146-SUMIF('11.2. ДА за периода'!$B$61:$B$108,$B146,'11.2. ДА за периода'!$L$61:$L$108)+SUMIF('11.2. ДА за периода'!$B$61:$B$108,$B146,'11.2. ДА за периода'!O$61:O$108)+SUMIF('11.1.Амортиз.нови активи'!$B$61:$B$108,$B146,'11.1.Амортиз.нови активи'!O$61:O$108)+('11.1.Амортиз.нови активи'!H$111*SUMIF('11.1.Амортиз.нови активи'!$B$61:$B$108,$B146,'11.1.Амортиз.нови активи'!AQ$61:AQ$108))</f>
        <v>40.230734399999996</v>
      </c>
      <c r="P146" s="1110">
        <f>$L146-SUMIF('11.2. ДА за периода'!$B$61:$B$108,$B146,'11.2. ДА за периода'!$L$61:$L$108)+SUMIF('11.2. ДА за периода'!$B$61:$B$108,$B146,'11.2. ДА за периода'!P$61:P$108)+SUMIF('11.1.Амортиз.нови активи'!$B$61:$B$108,$B146,'11.1.Амортиз.нови активи'!P$61:P$108)+('11.1.Амортиз.нови активи'!I$111*SUMIF('11.1.Амортиз.нови активи'!$B$61:$B$108,$B146,'11.1.Амортиз.нови активи'!AR$61:AR$108))</f>
        <v>78.231468800000002</v>
      </c>
      <c r="Q146" s="1110">
        <f>$L146-SUMIF('11.2. ДА за периода'!$B$61:$B$108,$B146,'11.2. ДА за периода'!$L$61:$L$108)+SUMIF('11.2. ДА за периода'!$B$61:$B$108,$B146,'11.2. ДА за периода'!Q$61:Q$108)+SUMIF('11.1.Амортиз.нови активи'!$B$61:$B$108,$B146,'11.1.Амортиз.нови активи'!Q$61:Q$108)+('11.1.Амортиз.нови активи'!J$111*SUMIF('11.1.Амортиз.нови активи'!$B$61:$B$108,$B146,'11.1.Амортиз.нови активи'!AS$61:AS$108))</f>
        <v>97.156836000000013</v>
      </c>
      <c r="R146" s="2618">
        <f>$L146-SUMIF('11.2. ДА за периода'!$B$61:$B$108,$B146,'11.2. ДА за периода'!$L$61:$L$108)+SUMIF('11.2. ДА за периода'!$B$61:$B$108,$B146,'11.2. ДА за периода'!R$61:R$108)+SUMIF('11.1.Амортиз.нови активи'!$B$61:$B$108,$B146,'11.1.Амортиз.нови активи'!R$61:R$108)+('11.1.Амортиз.нови активи'!K$111*SUMIF('11.1.Амортиз.нови активи'!$B$61:$B$108,$B146,'11.1.Амортиз.нови активи'!AT$61:AT$108))</f>
        <v>97.606836000000015</v>
      </c>
      <c r="S146" s="4387">
        <f>+'11.3. ДА Базова година'!N126</f>
        <v>0</v>
      </c>
      <c r="T146" s="2617">
        <f>$S146-SUMIF('11.2. ДА за периода'!$B$61:$B$108,$B146,'11.2. ДА за периода'!$S$61:$S$108)+SUMIF('11.2. ДА за периода'!$B$61:$B$108,$B146,'11.2. ДА за периода'!T$61:T$108)+SUMIF('11.1.Амортиз.нови активи'!$B$61:$B$108,$B146,'11.1.Амортиз.нови активи'!T$61:T$108)+('11.1.Амортиз.нови активи'!F$112*SUMIF('11.1.Амортиз.нови активи'!$B$61:$B$108,$B146,'11.1.Амортиз.нови активи'!AO$61:AO$108))</f>
        <v>0</v>
      </c>
      <c r="U146" s="1110">
        <f>$S146-SUMIF('11.2. ДА за периода'!$B$61:$B$108,$B146,'11.2. ДА за периода'!$S$61:$S$108)+SUMIF('11.2. ДА за периода'!$B$61:$B$108,$B146,'11.2. ДА за периода'!U$61:U$108)+SUMIF('11.1.Амортиз.нови активи'!$B$61:$B$108,$B146,'11.1.Амортиз.нови активи'!U$61:U$108)+('11.1.Амортиз.нови активи'!G$112*SUMIF('11.1.Амортиз.нови активи'!$B$61:$B$108,$B146,'11.1.Амортиз.нови активи'!AP$61:AP$108))</f>
        <v>0</v>
      </c>
      <c r="V146" s="1110">
        <f>$S146-SUMIF('11.2. ДА за периода'!$B$61:$B$108,$B146,'11.2. ДА за периода'!$S$61:$S$108)+SUMIF('11.2. ДА за периода'!$B$61:$B$108,$B146,'11.2. ДА за периода'!V$61:V$108)+SUMIF('11.1.Амортиз.нови активи'!$B$61:$B$108,$B146,'11.1.Амортиз.нови активи'!V$61:V$108)+('11.1.Амортиз.нови активи'!H$112*SUMIF('11.1.Амортиз.нови активи'!$B$61:$B$108,$B146,'11.1.Амортиз.нови активи'!AQ$61:AQ$108))</f>
        <v>0</v>
      </c>
      <c r="W146" s="1110">
        <f>$S146-SUMIF('11.2. ДА за периода'!$B$61:$B$108,$B146,'11.2. ДА за периода'!$S$61:$S$108)+SUMIF('11.2. ДА за периода'!$B$61:$B$108,$B146,'11.2. ДА за периода'!W$61:W$108)+SUMIF('11.1.Амортиз.нови активи'!$B$61:$B$108,$B146,'11.1.Амортиз.нови активи'!W$61:W$108)+('11.1.Амортиз.нови активи'!I$112*SUMIF('11.1.Амортиз.нови активи'!$B$61:$B$108,$B146,'11.1.Амортиз.нови активи'!AR$61:AR$108))</f>
        <v>0</v>
      </c>
      <c r="X146" s="1110">
        <f>$S146-SUMIF('11.2. ДА за периода'!$B$61:$B$108,$B146,'11.2. ДА за периода'!$S$61:$S$108)+SUMIF('11.2. ДА за периода'!$B$61:$B$108,$B146,'11.2. ДА за периода'!X$61:X$108)+SUMIF('11.1.Амортиз.нови активи'!$B$61:$B$108,$B146,'11.1.Амортиз.нови активи'!X$61:X$108)+('11.1.Амортиз.нови активи'!J$112*SUMIF('11.1.Амортиз.нови активи'!$B$61:$B$108,$B146,'11.1.Амортиз.нови активи'!AS$61:AS$108))</f>
        <v>0</v>
      </c>
      <c r="Y146" s="2618">
        <f>$S146-SUMIF('11.2. ДА за периода'!$B$61:$B$108,$B146,'11.2. ДА за периода'!$S$61:$S$108)+SUMIF('11.2. ДА за периода'!$B$61:$B$108,$B146,'11.2. ДА за периода'!Y$61:Y$108)+SUMIF('11.1.Амортиз.нови активи'!$B$61:$B$108,$B146,'11.1.Амортиз.нови активи'!Y$61:Y$108)+('11.1.Амортиз.нови активи'!K$112*SUMIF('11.1.Амортиз.нови активи'!$B$61:$B$108,$B146,'11.1.Амортиз.нови активи'!AT$61:AT$108))</f>
        <v>0</v>
      </c>
      <c r="Z146" s="4387">
        <f>+'11.3. ДА Базова година'!R126</f>
        <v>0</v>
      </c>
      <c r="AA146" s="2617">
        <f>$Z146-SUMIF('11.2. ДА за периода'!$B$61:$B$108,$B146,'11.2. ДА за периода'!$Z$61:$Z$108)+SUMIF('11.2. ДА за периода'!$B$61:$B$108,$B146,'11.2. ДА за периода'!AA$61:AA$108)+SUMIF('11.1.Амортиз.нови активи'!$B$61:$B$108,$B146,'11.1.Амортиз.нови активи'!AA$61:AA$108)</f>
        <v>0</v>
      </c>
      <c r="AB146" s="1110">
        <f>$Z146-SUMIF('11.2. ДА за периода'!$B$61:$B$108,$B146,'11.2. ДА за периода'!$Z$61:$Z$108)+SUMIF('11.2. ДА за периода'!$B$61:$B$108,$B146,'11.2. ДА за периода'!AB$61:AB$108)+SUMIF('11.1.Амортиз.нови активи'!$B$61:$B$108,$B146,'11.1.Амортиз.нови активи'!AB$61:AB$108)</f>
        <v>0</v>
      </c>
      <c r="AC146" s="1110">
        <f>$Z146-SUMIF('11.2. ДА за периода'!$B$61:$B$108,$B146,'11.2. ДА за периода'!$Z$61:$Z$108)+SUMIF('11.2. ДА за периода'!$B$61:$B$108,$B146,'11.2. ДА за периода'!AC$61:AC$108)+SUMIF('11.1.Амортиз.нови активи'!$B$61:$B$108,$B146,'11.1.Амортиз.нови активи'!AC$61:AC$108)</f>
        <v>0</v>
      </c>
      <c r="AD146" s="1110">
        <f>$Z146-SUMIF('11.2. ДА за периода'!$B$61:$B$108,$B146,'11.2. ДА за периода'!$Z$61:$Z$108)+SUMIF('11.2. ДА за периода'!$B$61:$B$108,$B146,'11.2. ДА за периода'!AD$61:AD$108)+SUMIF('11.1.Амортиз.нови активи'!$B$61:$B$108,$B146,'11.1.Амортиз.нови активи'!AD$61:AD$108)</f>
        <v>0</v>
      </c>
      <c r="AE146" s="1110">
        <f>$Z146-SUMIF('11.2. ДА за периода'!$B$61:$B$108,$B146,'11.2. ДА за периода'!$Z$61:$Z$108)+SUMIF('11.2. ДА за периода'!$B$61:$B$108,$B146,'11.2. ДА за периода'!AE$61:AE$108)+SUMIF('11.1.Амортиз.нови активи'!$B$61:$B$108,$B146,'11.1.Амортиз.нови активи'!AE$61:AE$108)</f>
        <v>0</v>
      </c>
      <c r="AF146" s="2618">
        <f>$Z146-SUMIF('11.2. ДА за периода'!$B$61:$B$108,$B146,'11.2. ДА за периода'!$Z$61:$Z$108)+SUMIF('11.2. ДА за периода'!$B$61:$B$108,$B146,'11.2. ДА за периода'!AF$61:AF$108)+SUMIF('11.1.Амортиз.нови активи'!$B$61:$B$108,$B146,'11.1.Амортиз.нови активи'!AF$61:AF$108)</f>
        <v>0</v>
      </c>
      <c r="AG146" s="4387">
        <f>+'11.3. ДА Базова година'!V126</f>
        <v>0</v>
      </c>
      <c r="AH146" s="2617">
        <f>$AG146-SUMIF('11.2. ДА за периода'!$B$61:$B$108,$B146,'11.2. ДА за периода'!$AG$61:$AG$108)+SUMIF('11.2. ДА за периода'!$B$61:$B$108,$B146,'11.2. ДА за периода'!AH$61:AH$108)+SUMIF('11.1.Амортиз.нови активи'!$B$61:$B$108,$B146,'11.1.Амортиз.нови активи'!AH$61:AH$108)</f>
        <v>0</v>
      </c>
      <c r="AI146" s="1110">
        <f>$AG146-SUMIF('11.2. ДА за периода'!$B$61:$B$108,$B146,'11.2. ДА за периода'!$AG$61:$AG$108)+SUMIF('11.2. ДА за периода'!$B$61:$B$108,$B146,'11.2. ДА за периода'!AI$61:AI$108)+SUMIF('11.1.Амортиз.нови активи'!$B$61:$B$108,$B146,'11.1.Амортиз.нови активи'!AI$61:AI$108)</f>
        <v>0</v>
      </c>
      <c r="AJ146" s="1110">
        <f>$AG146-SUMIF('11.2. ДА за периода'!$B$61:$B$108,$B146,'11.2. ДА за периода'!$AG$61:$AG$108)+SUMIF('11.2. ДА за периода'!$B$61:$B$108,$B146,'11.2. ДА за периода'!AJ$61:AJ$108)+SUMIF('11.1.Амортиз.нови активи'!$B$61:$B$108,$B146,'11.1.Амортиз.нови активи'!AJ$61:AJ$108)</f>
        <v>0</v>
      </c>
      <c r="AK146" s="1110">
        <f>$AG146-SUMIF('11.2. ДА за периода'!$B$61:$B$108,$B146,'11.2. ДА за периода'!$AG$61:$AG$108)+SUMIF('11.2. ДА за периода'!$B$61:$B$108,$B146,'11.2. ДА за периода'!AK$61:AK$108)+SUMIF('11.1.Амортиз.нови активи'!$B$61:$B$108,$B146,'11.1.Амортиз.нови активи'!AK$61:AK$108)</f>
        <v>0</v>
      </c>
      <c r="AL146" s="1110">
        <f>$AG146-SUMIF('11.2. ДА за периода'!$B$61:$B$108,$B146,'11.2. ДА за периода'!$AG$61:$AG$108)+SUMIF('11.2. ДА за периода'!$B$61:$B$108,$B146,'11.2. ДА за периода'!AL$61:AL$108)+SUMIF('11.1.Амортиз.нови активи'!$B$61:$B$108,$B146,'11.1.Амортиз.нови активи'!AL$61:AL$108)</f>
        <v>0</v>
      </c>
      <c r="AM146" s="2618">
        <f>$AG146-SUMIF('11.2. ДА за периода'!$B$61:$B$108,$B146,'11.2. ДА за периода'!$AG$61:$AG$108)+SUMIF('11.2. ДА за периода'!$B$61:$B$108,$B146,'11.2. ДА за периода'!AM$61:AM$108)+SUMIF('11.1.Амортиз.нови активи'!$B$61:$B$108,$B146,'11.1.Амортиз.нови активи'!AM$61:AM$108)</f>
        <v>0</v>
      </c>
      <c r="AN146" s="2513"/>
      <c r="AO146" s="2551"/>
      <c r="AP146" s="4422"/>
      <c r="AQ146" s="4438">
        <f t="shared" si="174"/>
        <v>0</v>
      </c>
      <c r="AR146" s="4438">
        <f t="shared" si="175"/>
        <v>0</v>
      </c>
      <c r="AS146" s="4438">
        <f t="shared" si="176"/>
        <v>0</v>
      </c>
      <c r="AT146" s="4438">
        <f t="shared" si="177"/>
        <v>0</v>
      </c>
      <c r="AU146" s="4438">
        <f t="shared" si="178"/>
        <v>0</v>
      </c>
      <c r="AV146" s="4438">
        <f t="shared" si="179"/>
        <v>0</v>
      </c>
      <c r="AW146" s="4438">
        <f t="shared" si="180"/>
        <v>0</v>
      </c>
      <c r="AX146" s="4438">
        <f t="shared" si="181"/>
        <v>0.51129188119621849</v>
      </c>
      <c r="AY146" s="4438">
        <f t="shared" si="182"/>
        <v>0.73114739011059238</v>
      </c>
      <c r="AZ146" s="4438">
        <f t="shared" si="183"/>
        <v>5.773857441597686</v>
      </c>
      <c r="BA146" s="4438">
        <f t="shared" si="184"/>
        <v>20.569647873281419</v>
      </c>
      <c r="BB146" s="4438">
        <f t="shared" si="185"/>
        <v>39.999114851495278</v>
      </c>
      <c r="BC146" s="4438">
        <f t="shared" si="186"/>
        <v>49.675501449512488</v>
      </c>
      <c r="BD146" s="4438">
        <f t="shared" si="187"/>
        <v>49.905582796050794</v>
      </c>
      <c r="BE146" s="4438">
        <f t="shared" si="188"/>
        <v>0</v>
      </c>
      <c r="BF146" s="4438">
        <f t="shared" si="189"/>
        <v>0</v>
      </c>
      <c r="BG146" s="4438">
        <f t="shared" si="190"/>
        <v>0</v>
      </c>
      <c r="BH146" s="4438">
        <f t="shared" si="191"/>
        <v>0</v>
      </c>
      <c r="BI146" s="4438">
        <f t="shared" si="192"/>
        <v>0</v>
      </c>
      <c r="BJ146" s="4438">
        <f t="shared" si="193"/>
        <v>0</v>
      </c>
      <c r="BK146" s="4438">
        <f t="shared" si="194"/>
        <v>0</v>
      </c>
      <c r="BL146" s="4438">
        <f t="shared" si="195"/>
        <v>0</v>
      </c>
      <c r="BM146" s="4438">
        <f t="shared" si="196"/>
        <v>0</v>
      </c>
      <c r="BN146" s="4438">
        <f t="shared" si="197"/>
        <v>0</v>
      </c>
      <c r="BO146" s="4438">
        <f t="shared" si="198"/>
        <v>0</v>
      </c>
      <c r="BP146" s="4438">
        <f t="shared" si="199"/>
        <v>0</v>
      </c>
      <c r="BQ146" s="4438">
        <f t="shared" si="200"/>
        <v>0</v>
      </c>
      <c r="BR146" s="4438">
        <f t="shared" si="201"/>
        <v>0</v>
      </c>
      <c r="BS146" s="4438">
        <f t="shared" si="202"/>
        <v>0</v>
      </c>
      <c r="BT146" s="4438">
        <f t="shared" si="203"/>
        <v>0</v>
      </c>
      <c r="BU146" s="4438">
        <f t="shared" si="204"/>
        <v>0</v>
      </c>
      <c r="BV146" s="4438">
        <f t="shared" si="205"/>
        <v>0</v>
      </c>
      <c r="BW146" s="4438">
        <f t="shared" si="206"/>
        <v>0</v>
      </c>
      <c r="BX146" s="4438">
        <f t="shared" si="207"/>
        <v>0</v>
      </c>
      <c r="BY146" s="4438">
        <f t="shared" si="208"/>
        <v>0</v>
      </c>
    </row>
    <row r="147" spans="1:77" s="1292" customFormat="1" ht="24">
      <c r="A147" s="2573">
        <v>16</v>
      </c>
      <c r="B147" s="2516">
        <v>2040207</v>
      </c>
      <c r="C147" s="2517">
        <v>0.04</v>
      </c>
      <c r="D147" s="2552" t="s">
        <v>422</v>
      </c>
      <c r="E147" s="4387">
        <f>+'11.3. ДА Базова година'!F127</f>
        <v>2</v>
      </c>
      <c r="F147" s="2617">
        <f>$E147-SUMIF('11.2. ДА за периода'!$B$61:$B$108,$B147,'11.2. ДА за периода'!$E$61:$E$108)+SUMIF('11.2. ДА за периода'!$B$61:$B$108,$B147,'11.2. ДА за периода'!F$61:F$108)+SUMIF('11.1.Амортиз.нови активи'!$B$61:$B$108,$B147,'11.1.Амортиз.нови активи'!F$61:F$108)+('11.1.Амортиз.нови активи'!F$110*SUMIF('11.1.Амортиз.нови активи'!$B$61:$B$108,$B147,'11.1.Амортиз.нови активи'!AO$61:AO$108))</f>
        <v>4.3600000000000003</v>
      </c>
      <c r="G147" s="1110">
        <f>$E147-SUMIF('11.2. ДА за периода'!$B$61:$B$108,$B147,'11.2. ДА за периода'!$E$61:$E$108)+SUMIF('11.2. ДА за периода'!$B$61:$B$108,$B147,'11.2. ДА за периода'!G$61:G$108)+SUMIF('11.1.Амортиз.нови активи'!$B$61:$B$108,$B147,'11.1.Амортиз.нови активи'!G$61:G$108)+('11.1.Амортиз.нови активи'!G$110*SUMIF('11.1.Амортиз.нови активи'!$B$61:$B$108,$B147,'11.1.Амортиз.нови активи'!AP$61:AP$108))</f>
        <v>41.371378359999994</v>
      </c>
      <c r="H147" s="1110">
        <f>$E147-SUMIF('11.2. ДА за периода'!$B$61:$B$108,$B147,'11.2. ДА за периода'!$E$61:$E$108)+SUMIF('11.2. ДА за периода'!$B$61:$B$108,$B147,'11.2. ДА за периода'!H$61:H$108)+SUMIF('11.1.Амортиз.нови активи'!$B$61:$B$108,$B147,'11.1.Амортиз.нови активи'!H$61:H$108)+('11.1.Амортиз.нови активи'!H$110*SUMIF('11.1.Амортиз.нови активи'!$B$61:$B$108,$B147,'11.1.Амортиз.нови активи'!AQ$61:AQ$108))</f>
        <v>144.86551344</v>
      </c>
      <c r="I147" s="1110">
        <f>$E147-SUMIF('11.2. ДА за периода'!$B$61:$B$108,$B147,'11.2. ДА за периода'!$E$61:$E$108)+SUMIF('11.2. ДА за периода'!$B$61:$B$108,$B147,'11.2. ДА за периода'!I$61:I$108)+SUMIF('11.1.Амортиз.нови активи'!$B$61:$B$108,$B147,'11.1.Амортиз.нови активи'!I$61:I$108)+('11.1.Амортиз.нови активи'!I$110*SUMIF('11.1.Амортиз.нови активи'!$B$61:$B$108,$B147,'11.1.Амортиз.нови активи'!AR$61:AR$108))</f>
        <v>278.45102688000003</v>
      </c>
      <c r="J147" s="1110">
        <f>$E147-SUMIF('11.2. ДА за периода'!$B$61:$B$108,$B147,'11.2. ДА за периода'!$E$61:$E$108)+SUMIF('11.2. ДА за периода'!$B$61:$B$108,$B147,'11.2. ДА за периода'!J$61:J$108)+SUMIF('11.1.Амортиз.нови активи'!$B$61:$B$108,$B147,'11.1.Амортиз.нови активи'!J$61:J$108)+('11.1.Амортиз.нови активи'!J$110*SUMIF('11.1.Амортиз.нови активи'!$B$61:$B$108,$B147,'11.1.Амортиз.нови активи'!AS$61:AS$108))</f>
        <v>343.93378359999997</v>
      </c>
      <c r="K147" s="1110">
        <f>$E147-SUMIF('11.2. ДА за периода'!$B$61:$B$108,$B147,'11.2. ДА за периода'!$E$61:$E$108)+SUMIF('11.2. ДА за периода'!$B$61:$B$108,$B147,'11.2. ДА за периода'!K$61:K$108)+SUMIF('11.1.Амортиз.нови активи'!$B$61:$B$108,$B147,'11.1.Амортиз.нови активи'!K$61:K$108)+('11.1.Амортиз.нови активи'!K$110*SUMIF('11.1.Амортиз.нови активи'!$B$61:$B$108,$B147,'11.1.Амортиз.нови активи'!AT$61:AT$108))</f>
        <v>344.95378360000001</v>
      </c>
      <c r="L147" s="4387">
        <f>+'11.3. ДА Базова година'!J127</f>
        <v>0</v>
      </c>
      <c r="M147" s="2617">
        <f>$L147-SUMIF('11.2. ДА за периода'!$B$61:$B$108,$B147,'11.2. ДА за периода'!$L$61:$L$108)+SUMIF('11.2. ДА за периода'!$B$61:$B$108,$B147,'11.2. ДА за периода'!M$61:M$108)+SUMIF('11.1.Амортиз.нови активи'!$B$61:$B$108,$B147,'11.1.Амортиз.нови активи'!M$61:M$108)+('11.1.Амортиз.нови активи'!F$111*SUMIF('11.1.Амортиз.нови активи'!$B$61:$B$108,$B147,'11.1.Амортиз.нови активи'!AO$61:AO$108))</f>
        <v>0.1</v>
      </c>
      <c r="N147" s="1110">
        <f>$L147-SUMIF('11.2. ДА за периода'!$B$61:$B$108,$B147,'11.2. ДА за периода'!$L$61:$L$108)+SUMIF('11.2. ДА за периода'!$B$61:$B$108,$B147,'11.2. ДА за периода'!N$61:N$108)+SUMIF('11.1.Амортиз.нови активи'!$B$61:$B$108,$B147,'11.1.Амортиз.нови активи'!N$61:N$108)+('11.1.Амортиз.нови активи'!G$111*SUMIF('11.1.Амортиз.нови активи'!$B$61:$B$108,$B147,'11.1.Амортиз.нови активи'!AP$61:AP$108))</f>
        <v>1.3</v>
      </c>
      <c r="O147" s="1110">
        <f>$L147-SUMIF('11.2. ДА за периода'!$B$61:$B$108,$B147,'11.2. ДА за периода'!$L$61:$L$108)+SUMIF('11.2. ДА за периода'!$B$61:$B$108,$B147,'11.2. ДА за периода'!O$61:O$108)+SUMIF('11.1.Амортиз.нови активи'!$B$61:$B$108,$B147,'11.1.Амортиз.нови активи'!O$61:O$108)+('11.1.Амортиз.нови активи'!H$111*SUMIF('11.1.Амортиз.нови активи'!$B$61:$B$108,$B147,'11.1.Амортиз.нови активи'!AQ$61:AQ$108))</f>
        <v>2.4000000000000004</v>
      </c>
      <c r="P147" s="1110">
        <f>$L147-SUMIF('11.2. ДА за периода'!$B$61:$B$108,$B147,'11.2. ДА за периода'!$L$61:$L$108)+SUMIF('11.2. ДА за периода'!$B$61:$B$108,$B147,'11.2. ДА за периода'!P$61:P$108)+SUMIF('11.1.Амортиз.нови активи'!$B$61:$B$108,$B147,'11.1.Амортиз.нови активи'!P$61:P$108)+('11.1.Амортиз.нови активи'!I$111*SUMIF('11.1.Амортиз.нови активи'!$B$61:$B$108,$B147,'11.1.Амортиз.нови активи'!AR$61:AR$108))</f>
        <v>2.4000000000000004</v>
      </c>
      <c r="Q147" s="1110">
        <f>$L147-SUMIF('11.2. ДА за периода'!$B$61:$B$108,$B147,'11.2. ДА за периода'!$L$61:$L$108)+SUMIF('11.2. ДА за периода'!$B$61:$B$108,$B147,'11.2. ДА за периода'!Q$61:Q$108)+SUMIF('11.1.Амортиз.нови активи'!$B$61:$B$108,$B147,'11.1.Амортиз.нови активи'!Q$61:Q$108)+('11.1.Амортиз.нови активи'!J$111*SUMIF('11.1.Амортиз.нови активи'!$B$61:$B$108,$B147,'11.1.Амортиз.нови активи'!AS$61:AS$108))</f>
        <v>2.4000000000000004</v>
      </c>
      <c r="R147" s="2618">
        <f>$L147-SUMIF('11.2. ДА за периода'!$B$61:$B$108,$B147,'11.2. ДА за периода'!$L$61:$L$108)+SUMIF('11.2. ДА за периода'!$B$61:$B$108,$B147,'11.2. ДА за периода'!R$61:R$108)+SUMIF('11.1.Амортиз.нови активи'!$B$61:$B$108,$B147,'11.1.Амортиз.нови активи'!R$61:R$108)+('11.1.Амортиз.нови активи'!K$111*SUMIF('11.1.Амортиз.нови активи'!$B$61:$B$108,$B147,'11.1.Амортиз.нови активи'!AT$61:AT$108))</f>
        <v>2.4000000000000004</v>
      </c>
      <c r="S147" s="4387">
        <f>+'11.3. ДА Базова година'!N127</f>
        <v>5</v>
      </c>
      <c r="T147" s="2617">
        <f>$S147-SUMIF('11.2. ДА за периода'!$B$61:$B$108,$B147,'11.2. ДА за периода'!$S$61:$S$108)+SUMIF('11.2. ДА за периода'!$B$61:$B$108,$B147,'11.2. ДА за периода'!T$61:T$108)+SUMIF('11.1.Амортиз.нови активи'!$B$61:$B$108,$B147,'11.1.Амортиз.нови активи'!T$61:T$108)+('11.1.Амортиз.нови активи'!F$112*SUMIF('11.1.Амортиз.нови активи'!$B$61:$B$108,$B147,'11.1.Амортиз.нови активи'!AO$61:AO$108))</f>
        <v>5.8599999999999994</v>
      </c>
      <c r="U147" s="1110">
        <f>$S147-SUMIF('11.2. ДА за периода'!$B$61:$B$108,$B147,'11.2. ДА за периода'!$S$61:$S$108)+SUMIF('11.2. ДА за периода'!$B$61:$B$108,$B147,'11.2. ДА за периода'!U$61:U$108)+SUMIF('11.1.Амортиз.нови активи'!$B$61:$B$108,$B147,'11.1.Амортиз.нови активи'!U$61:U$108)+('11.1.Амортиз.нови активи'!G$112*SUMIF('11.1.Амортиз.нови активи'!$B$61:$B$108,$B147,'11.1.Амортиз.нови активи'!AP$61:AP$108))</f>
        <v>26.997790879999997</v>
      </c>
      <c r="V147" s="1110">
        <f>$S147-SUMIF('11.2. ДА за периода'!$B$61:$B$108,$B147,'11.2. ДА за периода'!$S$61:$S$108)+SUMIF('11.2. ДА за периода'!$B$61:$B$108,$B147,'11.2. ДА за периода'!V$61:V$108)+SUMIF('11.1.Амортиз.нови активи'!$B$61:$B$108,$B147,'11.1.Амортиз.нови активи'!V$61:V$108)+('11.1.Амортиз.нови активи'!H$112*SUMIF('11.1.Амортиз.нови активи'!$B$61:$B$108,$B147,'11.1.Амортиз.нови активи'!AQ$61:AQ$108))</f>
        <v>90.031163519999993</v>
      </c>
      <c r="W147" s="1110">
        <f>$S147-SUMIF('11.2. ДА за периода'!$B$61:$B$108,$B147,'11.2. ДА за периода'!$S$61:$S$108)+SUMIF('11.2. ДА за периода'!$B$61:$B$108,$B147,'11.2. ДА за периода'!W$61:W$108)+SUMIF('11.1.Амортиз.нови активи'!$B$61:$B$108,$B147,'11.1.Амортиз.нови активи'!W$61:W$108)+('11.1.Амортиз.нови активи'!I$112*SUMIF('11.1.Амортиз.нови активи'!$B$61:$B$108,$B147,'11.1.Амортиз.нови активи'!AR$61:AR$108))</f>
        <v>174.36232703999997</v>
      </c>
      <c r="X147" s="1110">
        <f>$S147-SUMIF('11.2. ДА за периода'!$B$61:$B$108,$B147,'11.2. ДА за периода'!$S$61:$S$108)+SUMIF('11.2. ДА за периода'!$B$61:$B$108,$B147,'11.2. ДА за периода'!X$61:X$108)+SUMIF('11.1.Амортиз.нови активи'!$B$61:$B$108,$B147,'11.1.Амортиз.нови активи'!X$61:X$108)+('11.1.Амортиз.нови активи'!J$112*SUMIF('11.1.Амортиз.нови активи'!$B$61:$B$108,$B147,'11.1.Амортиз.нови активи'!AS$61:AS$108))</f>
        <v>216.73790879999996</v>
      </c>
      <c r="Y147" s="2618">
        <f>$S147-SUMIF('11.2. ДА за периода'!$B$61:$B$108,$B147,'11.2. ДА за периода'!$S$61:$S$108)+SUMIF('11.2. ДА за периода'!$B$61:$B$108,$B147,'11.2. ДА за периода'!Y$61:Y$108)+SUMIF('11.1.Амортиз.нови активи'!$B$61:$B$108,$B147,'11.1.Амортиз.нови активи'!Y$61:Y$108)+('11.1.Амортиз.нови активи'!K$112*SUMIF('11.1.Амортиз.нови активи'!$B$61:$B$108,$B147,'11.1.Амортиз.нови активи'!AT$61:AT$108))</f>
        <v>216.77790879999998</v>
      </c>
      <c r="Z147" s="4387">
        <f>+'11.3. ДА Базова година'!R127</f>
        <v>0</v>
      </c>
      <c r="AA147" s="2617">
        <f>$Z147-SUMIF('11.2. ДА за периода'!$B$61:$B$108,$B147,'11.2. ДА за периода'!$Z$61:$Z$108)+SUMIF('11.2. ДА за периода'!$B$61:$B$108,$B147,'11.2. ДА за периода'!AA$61:AA$108)+SUMIF('11.1.Амортиз.нови активи'!$B$61:$B$108,$B147,'11.1.Амортиз.нови активи'!AA$61:AA$108)</f>
        <v>0</v>
      </c>
      <c r="AB147" s="1110">
        <f>$Z147-SUMIF('11.2. ДА за периода'!$B$61:$B$108,$B147,'11.2. ДА за периода'!$Z$61:$Z$108)+SUMIF('11.2. ДА за периода'!$B$61:$B$108,$B147,'11.2. ДА за периода'!AB$61:AB$108)+SUMIF('11.1.Амортиз.нови активи'!$B$61:$B$108,$B147,'11.1.Амортиз.нови активи'!AB$61:AB$108)</f>
        <v>0</v>
      </c>
      <c r="AC147" s="1110">
        <f>$Z147-SUMIF('11.2. ДА за периода'!$B$61:$B$108,$B147,'11.2. ДА за периода'!$Z$61:$Z$108)+SUMIF('11.2. ДА за периода'!$B$61:$B$108,$B147,'11.2. ДА за периода'!AC$61:AC$108)+SUMIF('11.1.Амортиз.нови активи'!$B$61:$B$108,$B147,'11.1.Амортиз.нови активи'!AC$61:AC$108)</f>
        <v>0</v>
      </c>
      <c r="AD147" s="1110">
        <f>$Z147-SUMIF('11.2. ДА за периода'!$B$61:$B$108,$B147,'11.2. ДА за периода'!$Z$61:$Z$108)+SUMIF('11.2. ДА за периода'!$B$61:$B$108,$B147,'11.2. ДА за периода'!AD$61:AD$108)+SUMIF('11.1.Амортиз.нови активи'!$B$61:$B$108,$B147,'11.1.Амортиз.нови активи'!AD$61:AD$108)</f>
        <v>0</v>
      </c>
      <c r="AE147" s="1110">
        <f>$Z147-SUMIF('11.2. ДА за периода'!$B$61:$B$108,$B147,'11.2. ДА за периода'!$Z$61:$Z$108)+SUMIF('11.2. ДА за периода'!$B$61:$B$108,$B147,'11.2. ДА за периода'!AE$61:AE$108)+SUMIF('11.1.Амортиз.нови активи'!$B$61:$B$108,$B147,'11.1.Амортиз.нови активи'!AE$61:AE$108)</f>
        <v>0</v>
      </c>
      <c r="AF147" s="2618">
        <f>$Z147-SUMIF('11.2. ДА за периода'!$B$61:$B$108,$B147,'11.2. ДА за периода'!$Z$61:$Z$108)+SUMIF('11.2. ДА за периода'!$B$61:$B$108,$B147,'11.2. ДА за периода'!AF$61:AF$108)+SUMIF('11.1.Амортиз.нови активи'!$B$61:$B$108,$B147,'11.1.Амортиз.нови активи'!AF$61:AF$108)</f>
        <v>0</v>
      </c>
      <c r="AG147" s="4387">
        <f>+'11.3. ДА Базова година'!V127</f>
        <v>0</v>
      </c>
      <c r="AH147" s="2617">
        <f>$AG147-SUMIF('11.2. ДА за периода'!$B$61:$B$108,$B147,'11.2. ДА за периода'!$AG$61:$AG$108)+SUMIF('11.2. ДА за периода'!$B$61:$B$108,$B147,'11.2. ДА за периода'!AH$61:AH$108)+SUMIF('11.1.Амортиз.нови активи'!$B$61:$B$108,$B147,'11.1.Амортиз.нови активи'!AH$61:AH$108)</f>
        <v>0</v>
      </c>
      <c r="AI147" s="1110">
        <f>$AG147-SUMIF('11.2. ДА за периода'!$B$61:$B$108,$B147,'11.2. ДА за периода'!$AG$61:$AG$108)+SUMIF('11.2. ДА за периода'!$B$61:$B$108,$B147,'11.2. ДА за периода'!AI$61:AI$108)+SUMIF('11.1.Амортиз.нови активи'!$B$61:$B$108,$B147,'11.1.Амортиз.нови активи'!AI$61:AI$108)</f>
        <v>0</v>
      </c>
      <c r="AJ147" s="1110">
        <f>$AG147-SUMIF('11.2. ДА за периода'!$B$61:$B$108,$B147,'11.2. ДА за периода'!$AG$61:$AG$108)+SUMIF('11.2. ДА за периода'!$B$61:$B$108,$B147,'11.2. ДА за периода'!AJ$61:AJ$108)+SUMIF('11.1.Амортиз.нови активи'!$B$61:$B$108,$B147,'11.1.Амортиз.нови активи'!AJ$61:AJ$108)</f>
        <v>0</v>
      </c>
      <c r="AK147" s="1110">
        <f>$AG147-SUMIF('11.2. ДА за периода'!$B$61:$B$108,$B147,'11.2. ДА за периода'!$AG$61:$AG$108)+SUMIF('11.2. ДА за периода'!$B$61:$B$108,$B147,'11.2. ДА за периода'!AK$61:AK$108)+SUMIF('11.1.Амортиз.нови активи'!$B$61:$B$108,$B147,'11.1.Амортиз.нови активи'!AK$61:AK$108)</f>
        <v>0</v>
      </c>
      <c r="AL147" s="1110">
        <f>$AG147-SUMIF('11.2. ДА за периода'!$B$61:$B$108,$B147,'11.2. ДА за периода'!$AG$61:$AG$108)+SUMIF('11.2. ДА за периода'!$B$61:$B$108,$B147,'11.2. ДА за периода'!AL$61:AL$108)+SUMIF('11.1.Амортиз.нови активи'!$B$61:$B$108,$B147,'11.1.Амортиз.нови активи'!AL$61:AL$108)</f>
        <v>0</v>
      </c>
      <c r="AM147" s="2618">
        <f>$AG147-SUMIF('11.2. ДА за периода'!$B$61:$B$108,$B147,'11.2. ДА за периода'!$AG$61:$AG$108)+SUMIF('11.2. ДА за периода'!$B$61:$B$108,$B147,'11.2. ДА за периода'!AM$61:AM$108)+SUMIF('11.1.Амортиз.нови активи'!$B$61:$B$108,$B147,'11.1.Амортиз.нови активи'!AM$61:AM$108)</f>
        <v>0</v>
      </c>
      <c r="AN147" s="2513"/>
      <c r="AO147" s="2551"/>
      <c r="AP147" s="4422"/>
      <c r="AQ147" s="4438">
        <f t="shared" si="174"/>
        <v>1.022583762392437</v>
      </c>
      <c r="AR147" s="4438">
        <f t="shared" si="175"/>
        <v>2.2292326020155127</v>
      </c>
      <c r="AS147" s="4438">
        <f t="shared" si="176"/>
        <v>21.152849869364921</v>
      </c>
      <c r="AT147" s="4438">
        <f t="shared" si="177"/>
        <v>74.068560887193669</v>
      </c>
      <c r="AU147" s="4438">
        <f t="shared" si="178"/>
        <v>142.36974935449402</v>
      </c>
      <c r="AV147" s="4438">
        <f t="shared" si="179"/>
        <v>175.8505512237771</v>
      </c>
      <c r="AW147" s="4438">
        <f t="shared" si="180"/>
        <v>176.37206894259728</v>
      </c>
      <c r="AX147" s="4438">
        <f t="shared" si="181"/>
        <v>0</v>
      </c>
      <c r="AY147" s="4438">
        <f t="shared" si="182"/>
        <v>5.1129188119621853E-2</v>
      </c>
      <c r="AZ147" s="4438">
        <f t="shared" si="183"/>
        <v>0.66467944555508407</v>
      </c>
      <c r="BA147" s="4438">
        <f t="shared" si="184"/>
        <v>1.2271005148709246</v>
      </c>
      <c r="BB147" s="4438">
        <f t="shared" si="185"/>
        <v>1.2271005148709246</v>
      </c>
      <c r="BC147" s="4438">
        <f t="shared" si="186"/>
        <v>1.2271005148709246</v>
      </c>
      <c r="BD147" s="4438">
        <f t="shared" si="187"/>
        <v>1.2271005148709246</v>
      </c>
      <c r="BE147" s="4438">
        <f t="shared" si="188"/>
        <v>2.5564594059810926</v>
      </c>
      <c r="BF147" s="4438">
        <f t="shared" si="189"/>
        <v>2.9961704238098399</v>
      </c>
      <c r="BG147" s="4438">
        <f t="shared" si="190"/>
        <v>13.80375128717731</v>
      </c>
      <c r="BH147" s="4438">
        <f t="shared" si="191"/>
        <v>46.03220296242516</v>
      </c>
      <c r="BI147" s="4438">
        <f t="shared" si="192"/>
        <v>89.150042202031855</v>
      </c>
      <c r="BJ147" s="4438">
        <f t="shared" si="193"/>
        <v>110.81633311688641</v>
      </c>
      <c r="BK147" s="4438">
        <f t="shared" si="194"/>
        <v>110.83678479213428</v>
      </c>
      <c r="BL147" s="4438">
        <f t="shared" si="195"/>
        <v>0</v>
      </c>
      <c r="BM147" s="4438">
        <f t="shared" si="196"/>
        <v>0</v>
      </c>
      <c r="BN147" s="4438">
        <f t="shared" si="197"/>
        <v>0</v>
      </c>
      <c r="BO147" s="4438">
        <f t="shared" si="198"/>
        <v>0</v>
      </c>
      <c r="BP147" s="4438">
        <f t="shared" si="199"/>
        <v>0</v>
      </c>
      <c r="BQ147" s="4438">
        <f t="shared" si="200"/>
        <v>0</v>
      </c>
      <c r="BR147" s="4438">
        <f t="shared" si="201"/>
        <v>0</v>
      </c>
      <c r="BS147" s="4438">
        <f t="shared" si="202"/>
        <v>0</v>
      </c>
      <c r="BT147" s="4438">
        <f t="shared" si="203"/>
        <v>0</v>
      </c>
      <c r="BU147" s="4438">
        <f t="shared" si="204"/>
        <v>0</v>
      </c>
      <c r="BV147" s="4438">
        <f t="shared" si="205"/>
        <v>0</v>
      </c>
      <c r="BW147" s="4438">
        <f t="shared" si="206"/>
        <v>0</v>
      </c>
      <c r="BX147" s="4438">
        <f t="shared" si="207"/>
        <v>0</v>
      </c>
      <c r="BY147" s="4438">
        <f t="shared" si="208"/>
        <v>0</v>
      </c>
    </row>
    <row r="148" spans="1:77" s="1292" customFormat="1">
      <c r="A148" s="2573">
        <v>17</v>
      </c>
      <c r="B148" s="2516">
        <v>2040208</v>
      </c>
      <c r="C148" s="2517">
        <v>0.04</v>
      </c>
      <c r="D148" s="2552" t="s">
        <v>423</v>
      </c>
      <c r="E148" s="4387">
        <f>+'11.3. ДА Базова година'!F128</f>
        <v>0</v>
      </c>
      <c r="F148" s="2617">
        <f>$E148-SUMIF('11.2. ДА за периода'!$B$61:$B$108,$B148,'11.2. ДА за периода'!$E$61:$E$108)+SUMIF('11.2. ДА за периода'!$B$61:$B$108,$B148,'11.2. ДА за периода'!F$61:F$108)+SUMIF('11.1.Амортиз.нови активи'!$B$61:$B$108,$B148,'11.1.Амортиз.нови активи'!F$61:F$108)+('11.1.Амортиз.нови активи'!F$110*SUMIF('11.1.Амортиз.нови активи'!$B$61:$B$108,$B148,'11.1.Амортиз.нови активи'!AO$61:AO$108))</f>
        <v>0</v>
      </c>
      <c r="G148" s="1110">
        <f>$E148-SUMIF('11.2. ДА за периода'!$B$61:$B$108,$B148,'11.2. ДА за периода'!$E$61:$E$108)+SUMIF('11.2. ДА за периода'!$B$61:$B$108,$B148,'11.2. ДА за периода'!G$61:G$108)+SUMIF('11.1.Амортиз.нови активи'!$B$61:$B$108,$B148,'11.1.Амортиз.нови активи'!G$61:G$108)+('11.1.Амортиз.нови активи'!G$110*SUMIF('11.1.Амортиз.нови активи'!$B$61:$B$108,$B148,'11.1.Амортиз.нови активи'!AP$61:AP$108))</f>
        <v>0</v>
      </c>
      <c r="H148" s="1110">
        <f>$E148-SUMIF('11.2. ДА за периода'!$B$61:$B$108,$B148,'11.2. ДА за периода'!$E$61:$E$108)+SUMIF('11.2. ДА за периода'!$B$61:$B$108,$B148,'11.2. ДА за периода'!H$61:H$108)+SUMIF('11.1.Амортиз.нови активи'!$B$61:$B$108,$B148,'11.1.Амортиз.нови активи'!H$61:H$108)+('11.1.Амортиз.нови активи'!H$110*SUMIF('11.1.Амортиз.нови активи'!$B$61:$B$108,$B148,'11.1.Амортиз.нови активи'!AQ$61:AQ$108))</f>
        <v>0</v>
      </c>
      <c r="I148" s="1110">
        <f>$E148-SUMIF('11.2. ДА за периода'!$B$61:$B$108,$B148,'11.2. ДА за периода'!$E$61:$E$108)+SUMIF('11.2. ДА за периода'!$B$61:$B$108,$B148,'11.2. ДА за периода'!I$61:I$108)+SUMIF('11.1.Амортиз.нови активи'!$B$61:$B$108,$B148,'11.1.Амортиз.нови активи'!I$61:I$108)+('11.1.Амортиз.нови активи'!I$110*SUMIF('11.1.Амортиз.нови активи'!$B$61:$B$108,$B148,'11.1.Амортиз.нови активи'!AR$61:AR$108))</f>
        <v>0</v>
      </c>
      <c r="J148" s="1110">
        <f>$E148-SUMIF('11.2. ДА за периода'!$B$61:$B$108,$B148,'11.2. ДА за периода'!$E$61:$E$108)+SUMIF('11.2. ДА за периода'!$B$61:$B$108,$B148,'11.2. ДА за периода'!J$61:J$108)+SUMIF('11.1.Амортиз.нови активи'!$B$61:$B$108,$B148,'11.1.Амортиз.нови активи'!J$61:J$108)+('11.1.Амортиз.нови активи'!J$110*SUMIF('11.1.Амортиз.нови активи'!$B$61:$B$108,$B148,'11.1.Амортиз.нови активи'!AS$61:AS$108))</f>
        <v>-0.4</v>
      </c>
      <c r="K148" s="1110">
        <f>$E148-SUMIF('11.2. ДА за периода'!$B$61:$B$108,$B148,'11.2. ДА за периода'!$E$61:$E$108)+SUMIF('11.2. ДА за периода'!$B$61:$B$108,$B148,'11.2. ДА за периода'!K$61:K$108)+SUMIF('11.1.Амортиз.нови активи'!$B$61:$B$108,$B148,'11.1.Амортиз.нови активи'!K$61:K$108)+('11.1.Амортиз.нови активи'!K$110*SUMIF('11.1.Амортиз.нови активи'!$B$61:$B$108,$B148,'11.1.Амортиз.нови активи'!AT$61:AT$108))</f>
        <v>-0.4</v>
      </c>
      <c r="L148" s="4387">
        <f>+'11.3. ДА Базова година'!J128</f>
        <v>0</v>
      </c>
      <c r="M148" s="2617">
        <f>$L148-SUMIF('11.2. ДА за периода'!$B$61:$B$108,$B148,'11.2. ДА за периода'!$L$61:$L$108)+SUMIF('11.2. ДА за периода'!$B$61:$B$108,$B148,'11.2. ДА за периода'!M$61:M$108)+SUMIF('11.1.Амортиз.нови активи'!$B$61:$B$108,$B148,'11.1.Амортиз.нови активи'!M$61:M$108)+('11.1.Амортиз.нови активи'!F$111*SUMIF('11.1.Амортиз.нови активи'!$B$61:$B$108,$B148,'11.1.Амортиз.нови активи'!AO$61:AO$108))</f>
        <v>0</v>
      </c>
      <c r="N148" s="1110">
        <f>$L148-SUMIF('11.2. ДА за периода'!$B$61:$B$108,$B148,'11.2. ДА за периода'!$L$61:$L$108)+SUMIF('11.2. ДА за периода'!$B$61:$B$108,$B148,'11.2. ДА за периода'!N$61:N$108)+SUMIF('11.1.Амортиз.нови активи'!$B$61:$B$108,$B148,'11.1.Амортиз.нови активи'!N$61:N$108)+('11.1.Амортиз.нови активи'!G$111*SUMIF('11.1.Амортиз.нови активи'!$B$61:$B$108,$B148,'11.1.Амортиз.нови активи'!AP$61:AP$108))</f>
        <v>0</v>
      </c>
      <c r="O148" s="1110">
        <f>$L148-SUMIF('11.2. ДА за периода'!$B$61:$B$108,$B148,'11.2. ДА за периода'!$L$61:$L$108)+SUMIF('11.2. ДА за периода'!$B$61:$B$108,$B148,'11.2. ДА за периода'!O$61:O$108)+SUMIF('11.1.Амортиз.нови активи'!$B$61:$B$108,$B148,'11.1.Амортиз.нови активи'!O$61:O$108)+('11.1.Амортиз.нови активи'!H$111*SUMIF('11.1.Амортиз.нови активи'!$B$61:$B$108,$B148,'11.1.Амортиз.нови активи'!AQ$61:AQ$108))</f>
        <v>0</v>
      </c>
      <c r="P148" s="1110">
        <f>$L148-SUMIF('11.2. ДА за периода'!$B$61:$B$108,$B148,'11.2. ДА за периода'!$L$61:$L$108)+SUMIF('11.2. ДА за периода'!$B$61:$B$108,$B148,'11.2. ДА за периода'!P$61:P$108)+SUMIF('11.1.Амортиз.нови активи'!$B$61:$B$108,$B148,'11.1.Амортиз.нови активи'!P$61:P$108)+('11.1.Амортиз.нови активи'!I$111*SUMIF('11.1.Амортиз.нови активи'!$B$61:$B$108,$B148,'11.1.Амортиз.нови активи'!AR$61:AR$108))</f>
        <v>0</v>
      </c>
      <c r="Q148" s="1110">
        <f>$L148-SUMIF('11.2. ДА за периода'!$B$61:$B$108,$B148,'11.2. ДА за периода'!$L$61:$L$108)+SUMIF('11.2. ДА за периода'!$B$61:$B$108,$B148,'11.2. ДА за периода'!Q$61:Q$108)+SUMIF('11.1.Амортиз.нови активи'!$B$61:$B$108,$B148,'11.1.Амортиз.нови активи'!Q$61:Q$108)+('11.1.Амортиз.нови активи'!J$111*SUMIF('11.1.Амортиз.нови активи'!$B$61:$B$108,$B148,'11.1.Амортиз.нови активи'!AS$61:AS$108))</f>
        <v>0</v>
      </c>
      <c r="R148" s="2618">
        <f>$L148-SUMIF('11.2. ДА за периода'!$B$61:$B$108,$B148,'11.2. ДА за периода'!$L$61:$L$108)+SUMIF('11.2. ДА за периода'!$B$61:$B$108,$B148,'11.2. ДА за периода'!R$61:R$108)+SUMIF('11.1.Амортиз.нови активи'!$B$61:$B$108,$B148,'11.1.Амортиз.нови активи'!R$61:R$108)+('11.1.Амортиз.нови активи'!K$111*SUMIF('11.1.Амортиз.нови активи'!$B$61:$B$108,$B148,'11.1.Амортиз.нови активи'!AT$61:AT$108))</f>
        <v>0</v>
      </c>
      <c r="S148" s="4387">
        <f>+'11.3. ДА Базова година'!N128</f>
        <v>0</v>
      </c>
      <c r="T148" s="2617">
        <f>$S148-SUMIF('11.2. ДА за периода'!$B$61:$B$108,$B148,'11.2. ДА за периода'!$S$61:$S$108)+SUMIF('11.2. ДА за периода'!$B$61:$B$108,$B148,'11.2. ДА за периода'!T$61:T$108)+SUMIF('11.1.Амортиз.нови активи'!$B$61:$B$108,$B148,'11.1.Амортиз.нови активи'!T$61:T$108)+('11.1.Амортиз.нови активи'!F$112*SUMIF('11.1.Амортиз.нови активи'!$B$61:$B$108,$B148,'11.1.Амортиз.нови активи'!AO$61:AO$108))</f>
        <v>0</v>
      </c>
      <c r="U148" s="1110">
        <f>$S148-SUMIF('11.2. ДА за периода'!$B$61:$B$108,$B148,'11.2. ДА за периода'!$S$61:$S$108)+SUMIF('11.2. ДА за периода'!$B$61:$B$108,$B148,'11.2. ДА за периода'!U$61:U$108)+SUMIF('11.1.Амортиз.нови активи'!$B$61:$B$108,$B148,'11.1.Амортиз.нови активи'!U$61:U$108)+('11.1.Амортиз.нови активи'!G$112*SUMIF('11.1.Амортиз.нови активи'!$B$61:$B$108,$B148,'11.1.Амортиз.нови активи'!AP$61:AP$108))</f>
        <v>0</v>
      </c>
      <c r="V148" s="1110">
        <f>$S148-SUMIF('11.2. ДА за периода'!$B$61:$B$108,$B148,'11.2. ДА за периода'!$S$61:$S$108)+SUMIF('11.2. ДА за периода'!$B$61:$B$108,$B148,'11.2. ДА за периода'!V$61:V$108)+SUMIF('11.1.Амортиз.нови активи'!$B$61:$B$108,$B148,'11.1.Амортиз.нови активи'!V$61:V$108)+('11.1.Амортиз.нови активи'!H$112*SUMIF('11.1.Амортиз.нови активи'!$B$61:$B$108,$B148,'11.1.Амортиз.нови активи'!AQ$61:AQ$108))</f>
        <v>0</v>
      </c>
      <c r="W148" s="1110">
        <f>$S148-SUMIF('11.2. ДА за периода'!$B$61:$B$108,$B148,'11.2. ДА за периода'!$S$61:$S$108)+SUMIF('11.2. ДА за периода'!$B$61:$B$108,$B148,'11.2. ДА за периода'!W$61:W$108)+SUMIF('11.1.Амортиз.нови активи'!$B$61:$B$108,$B148,'11.1.Амортиз.нови активи'!W$61:W$108)+('11.1.Амортиз.нови активи'!I$112*SUMIF('11.1.Амортиз.нови активи'!$B$61:$B$108,$B148,'11.1.Амортиз.нови активи'!AR$61:AR$108))</f>
        <v>0</v>
      </c>
      <c r="X148" s="1110">
        <f>$S148-SUMIF('11.2. ДА за периода'!$B$61:$B$108,$B148,'11.2. ДА за периода'!$S$61:$S$108)+SUMIF('11.2. ДА за периода'!$B$61:$B$108,$B148,'11.2. ДА за периода'!X$61:X$108)+SUMIF('11.1.Амортиз.нови активи'!$B$61:$B$108,$B148,'11.1.Амортиз.нови активи'!X$61:X$108)+('11.1.Амортиз.нови активи'!J$112*SUMIF('11.1.Амортиз.нови активи'!$B$61:$B$108,$B148,'11.1.Амортиз.нови активи'!AS$61:AS$108))</f>
        <v>0</v>
      </c>
      <c r="Y148" s="2618">
        <f>$S148-SUMIF('11.2. ДА за периода'!$B$61:$B$108,$B148,'11.2. ДА за периода'!$S$61:$S$108)+SUMIF('11.2. ДА за периода'!$B$61:$B$108,$B148,'11.2. ДА за периода'!Y$61:Y$108)+SUMIF('11.1.Амортиз.нови активи'!$B$61:$B$108,$B148,'11.1.Амортиз.нови активи'!Y$61:Y$108)+('11.1.Амортиз.нови активи'!K$112*SUMIF('11.1.Амортиз.нови активи'!$B$61:$B$108,$B148,'11.1.Амортиз.нови активи'!AT$61:AT$108))</f>
        <v>0</v>
      </c>
      <c r="Z148" s="4387">
        <f>+'11.3. ДА Базова година'!R128</f>
        <v>0</v>
      </c>
      <c r="AA148" s="2617">
        <f>$Z148-SUMIF('11.2. ДА за периода'!$B$61:$B$108,$B148,'11.2. ДА за периода'!$Z$61:$Z$108)+SUMIF('11.2. ДА за периода'!$B$61:$B$108,$B148,'11.2. ДА за периода'!AA$61:AA$108)+SUMIF('11.1.Амортиз.нови активи'!$B$61:$B$108,$B148,'11.1.Амортиз.нови активи'!AA$61:AA$108)</f>
        <v>0</v>
      </c>
      <c r="AB148" s="1110">
        <f>$Z148-SUMIF('11.2. ДА за периода'!$B$61:$B$108,$B148,'11.2. ДА за периода'!$Z$61:$Z$108)+SUMIF('11.2. ДА за периода'!$B$61:$B$108,$B148,'11.2. ДА за периода'!AB$61:AB$108)+SUMIF('11.1.Амортиз.нови активи'!$B$61:$B$108,$B148,'11.1.Амортиз.нови активи'!AB$61:AB$108)</f>
        <v>0</v>
      </c>
      <c r="AC148" s="1110">
        <f>$Z148-SUMIF('11.2. ДА за периода'!$B$61:$B$108,$B148,'11.2. ДА за периода'!$Z$61:$Z$108)+SUMIF('11.2. ДА за периода'!$B$61:$B$108,$B148,'11.2. ДА за периода'!AC$61:AC$108)+SUMIF('11.1.Амортиз.нови активи'!$B$61:$B$108,$B148,'11.1.Амортиз.нови активи'!AC$61:AC$108)</f>
        <v>0</v>
      </c>
      <c r="AD148" s="1110">
        <f>$Z148-SUMIF('11.2. ДА за периода'!$B$61:$B$108,$B148,'11.2. ДА за периода'!$Z$61:$Z$108)+SUMIF('11.2. ДА за периода'!$B$61:$B$108,$B148,'11.2. ДА за периода'!AD$61:AD$108)+SUMIF('11.1.Амортиз.нови активи'!$B$61:$B$108,$B148,'11.1.Амортиз.нови активи'!AD$61:AD$108)</f>
        <v>0</v>
      </c>
      <c r="AE148" s="1110">
        <f>$Z148-SUMIF('11.2. ДА за периода'!$B$61:$B$108,$B148,'11.2. ДА за периода'!$Z$61:$Z$108)+SUMIF('11.2. ДА за периода'!$B$61:$B$108,$B148,'11.2. ДА за периода'!AE$61:AE$108)+SUMIF('11.1.Амортиз.нови активи'!$B$61:$B$108,$B148,'11.1.Амортиз.нови активи'!AE$61:AE$108)</f>
        <v>0</v>
      </c>
      <c r="AF148" s="2618">
        <f>$Z148-SUMIF('11.2. ДА за периода'!$B$61:$B$108,$B148,'11.2. ДА за периода'!$Z$61:$Z$108)+SUMIF('11.2. ДА за периода'!$B$61:$B$108,$B148,'11.2. ДА за периода'!AF$61:AF$108)+SUMIF('11.1.Амортиз.нови активи'!$B$61:$B$108,$B148,'11.1.Амортиз.нови активи'!AF$61:AF$108)</f>
        <v>0</v>
      </c>
      <c r="AG148" s="4387">
        <f>+'11.3. ДА Базова година'!V128</f>
        <v>0</v>
      </c>
      <c r="AH148" s="2617">
        <f>$AG148-SUMIF('11.2. ДА за периода'!$B$61:$B$108,$B148,'11.2. ДА за периода'!$AG$61:$AG$108)+SUMIF('11.2. ДА за периода'!$B$61:$B$108,$B148,'11.2. ДА за периода'!AH$61:AH$108)+SUMIF('11.1.Амортиз.нови активи'!$B$61:$B$108,$B148,'11.1.Амортиз.нови активи'!AH$61:AH$108)</f>
        <v>0</v>
      </c>
      <c r="AI148" s="1110">
        <f>$AG148-SUMIF('11.2. ДА за периода'!$B$61:$B$108,$B148,'11.2. ДА за периода'!$AG$61:$AG$108)+SUMIF('11.2. ДА за периода'!$B$61:$B$108,$B148,'11.2. ДА за периода'!AI$61:AI$108)+SUMIF('11.1.Амортиз.нови активи'!$B$61:$B$108,$B148,'11.1.Амортиз.нови активи'!AI$61:AI$108)</f>
        <v>0</v>
      </c>
      <c r="AJ148" s="1110">
        <f>$AG148-SUMIF('11.2. ДА за периода'!$B$61:$B$108,$B148,'11.2. ДА за периода'!$AG$61:$AG$108)+SUMIF('11.2. ДА за периода'!$B$61:$B$108,$B148,'11.2. ДА за периода'!AJ$61:AJ$108)+SUMIF('11.1.Амортиз.нови активи'!$B$61:$B$108,$B148,'11.1.Амортиз.нови активи'!AJ$61:AJ$108)</f>
        <v>0</v>
      </c>
      <c r="AK148" s="1110">
        <f>$AG148-SUMIF('11.2. ДА за периода'!$B$61:$B$108,$B148,'11.2. ДА за периода'!$AG$61:$AG$108)+SUMIF('11.2. ДА за периода'!$B$61:$B$108,$B148,'11.2. ДА за периода'!AK$61:AK$108)+SUMIF('11.1.Амортиз.нови активи'!$B$61:$B$108,$B148,'11.1.Амортиз.нови активи'!AK$61:AK$108)</f>
        <v>0</v>
      </c>
      <c r="AL148" s="1110">
        <f>$AG148-SUMIF('11.2. ДА за периода'!$B$61:$B$108,$B148,'11.2. ДА за периода'!$AG$61:$AG$108)+SUMIF('11.2. ДА за периода'!$B$61:$B$108,$B148,'11.2. ДА за периода'!AL$61:AL$108)+SUMIF('11.1.Амортиз.нови активи'!$B$61:$B$108,$B148,'11.1.Амортиз.нови активи'!AL$61:AL$108)</f>
        <v>0</v>
      </c>
      <c r="AM148" s="2618">
        <f>$AG148-SUMIF('11.2. ДА за периода'!$B$61:$B$108,$B148,'11.2. ДА за периода'!$AG$61:$AG$108)+SUMIF('11.2. ДА за периода'!$B$61:$B$108,$B148,'11.2. ДА за периода'!AM$61:AM$108)+SUMIF('11.1.Амортиз.нови активи'!$B$61:$B$108,$B148,'11.1.Амортиз.нови активи'!AM$61:AM$108)</f>
        <v>0</v>
      </c>
      <c r="AN148" s="2513"/>
      <c r="AO148" s="2551"/>
      <c r="AP148" s="4422"/>
      <c r="AQ148" s="4438">
        <f t="shared" si="174"/>
        <v>0</v>
      </c>
      <c r="AR148" s="4438">
        <f t="shared" si="175"/>
        <v>0</v>
      </c>
      <c r="AS148" s="4438">
        <f t="shared" si="176"/>
        <v>0</v>
      </c>
      <c r="AT148" s="4438">
        <f t="shared" si="177"/>
        <v>0</v>
      </c>
      <c r="AU148" s="4438">
        <f t="shared" si="178"/>
        <v>0</v>
      </c>
      <c r="AV148" s="4438">
        <f t="shared" si="179"/>
        <v>-0.20451675247848741</v>
      </c>
      <c r="AW148" s="4438">
        <f t="shared" si="180"/>
        <v>-0.20451675247848741</v>
      </c>
      <c r="AX148" s="4438">
        <f t="shared" si="181"/>
        <v>0</v>
      </c>
      <c r="AY148" s="4438">
        <f t="shared" si="182"/>
        <v>0</v>
      </c>
      <c r="AZ148" s="4438">
        <f t="shared" si="183"/>
        <v>0</v>
      </c>
      <c r="BA148" s="4438">
        <f t="shared" si="184"/>
        <v>0</v>
      </c>
      <c r="BB148" s="4438">
        <f t="shared" si="185"/>
        <v>0</v>
      </c>
      <c r="BC148" s="4438">
        <f t="shared" si="186"/>
        <v>0</v>
      </c>
      <c r="BD148" s="4438">
        <f t="shared" si="187"/>
        <v>0</v>
      </c>
      <c r="BE148" s="4438">
        <f t="shared" si="188"/>
        <v>0</v>
      </c>
      <c r="BF148" s="4438">
        <f t="shared" si="189"/>
        <v>0</v>
      </c>
      <c r="BG148" s="4438">
        <f t="shared" si="190"/>
        <v>0</v>
      </c>
      <c r="BH148" s="4438">
        <f t="shared" si="191"/>
        <v>0</v>
      </c>
      <c r="BI148" s="4438">
        <f t="shared" si="192"/>
        <v>0</v>
      </c>
      <c r="BJ148" s="4438">
        <f t="shared" si="193"/>
        <v>0</v>
      </c>
      <c r="BK148" s="4438">
        <f t="shared" si="194"/>
        <v>0</v>
      </c>
      <c r="BL148" s="4438">
        <f t="shared" si="195"/>
        <v>0</v>
      </c>
      <c r="BM148" s="4438">
        <f t="shared" si="196"/>
        <v>0</v>
      </c>
      <c r="BN148" s="4438">
        <f t="shared" si="197"/>
        <v>0</v>
      </c>
      <c r="BO148" s="4438">
        <f t="shared" si="198"/>
        <v>0</v>
      </c>
      <c r="BP148" s="4438">
        <f t="shared" si="199"/>
        <v>0</v>
      </c>
      <c r="BQ148" s="4438">
        <f t="shared" si="200"/>
        <v>0</v>
      </c>
      <c r="BR148" s="4438">
        <f t="shared" si="201"/>
        <v>0</v>
      </c>
      <c r="BS148" s="4438">
        <f t="shared" si="202"/>
        <v>0</v>
      </c>
      <c r="BT148" s="4438">
        <f t="shared" si="203"/>
        <v>0</v>
      </c>
      <c r="BU148" s="4438">
        <f t="shared" si="204"/>
        <v>0</v>
      </c>
      <c r="BV148" s="4438">
        <f t="shared" si="205"/>
        <v>0</v>
      </c>
      <c r="BW148" s="4438">
        <f t="shared" si="206"/>
        <v>0</v>
      </c>
      <c r="BX148" s="4438">
        <f t="shared" si="207"/>
        <v>0</v>
      </c>
      <c r="BY148" s="4438">
        <f t="shared" si="208"/>
        <v>0</v>
      </c>
    </row>
    <row r="149" spans="1:77" s="1292" customFormat="1">
      <c r="A149" s="2573">
        <v>18</v>
      </c>
      <c r="B149" s="2574" t="s">
        <v>1051</v>
      </c>
      <c r="C149" s="2517">
        <v>0.04</v>
      </c>
      <c r="D149" s="2571" t="s">
        <v>434</v>
      </c>
      <c r="E149" s="4387">
        <f>+'11.3. ДА Базова година'!F129</f>
        <v>1</v>
      </c>
      <c r="F149" s="2617">
        <f>$E149-SUMIF('11.2. ДА за периода'!$B$61:$B$108,$B149,'11.2. ДА за периода'!$E$61:$E$108)+SUMIF('11.2. ДА за периода'!$B$61:$B$108,$B149,'11.2. ДА за периода'!F$61:F$108)+SUMIF('11.1.Амортиз.нови активи'!$B$61:$B$108,$B149,'11.1.Амортиз.нови активи'!F$61:F$108)+('11.1.Амортиз.нови активи'!F$110*SUMIF('11.1.Амортиз.нови активи'!$B$61:$B$108,$B149,'11.1.Амортиз.нови активи'!AO$61:AO$108))</f>
        <v>1</v>
      </c>
      <c r="G149" s="1110">
        <f>$E149-SUMIF('11.2. ДА за периода'!$B$61:$B$108,$B149,'11.2. ДА за периода'!$E$61:$E$108)+SUMIF('11.2. ДА за периода'!$B$61:$B$108,$B149,'11.2. ДА за периода'!G$61:G$108)+SUMIF('11.1.Амортиз.нови активи'!$B$61:$B$108,$B149,'11.1.Амортиз.нови активи'!G$61:G$108)+('11.1.Амортиз.нови активи'!G$110*SUMIF('11.1.Амортиз.нови активи'!$B$61:$B$108,$B149,'11.1.Амортиз.нови активи'!AP$61:AP$108))</f>
        <v>1</v>
      </c>
      <c r="H149" s="1110">
        <f>$E149-SUMIF('11.2. ДА за периода'!$B$61:$B$108,$B149,'11.2. ДА за периода'!$E$61:$E$108)+SUMIF('11.2. ДА за периода'!$B$61:$B$108,$B149,'11.2. ДА за периода'!H$61:H$108)+SUMIF('11.1.Амортиз.нови активи'!$B$61:$B$108,$B149,'11.1.Амортиз.нови активи'!H$61:H$108)+('11.1.Амортиз.нови активи'!H$110*SUMIF('11.1.Амортиз.нови активи'!$B$61:$B$108,$B149,'11.1.Амортиз.нови активи'!AQ$61:AQ$108))</f>
        <v>1</v>
      </c>
      <c r="I149" s="1110">
        <f>$E149-SUMIF('11.2. ДА за периода'!$B$61:$B$108,$B149,'11.2. ДА за периода'!$E$61:$E$108)+SUMIF('11.2. ДА за периода'!$B$61:$B$108,$B149,'11.2. ДА за периода'!I$61:I$108)+SUMIF('11.1.Амортиз.нови активи'!$B$61:$B$108,$B149,'11.1.Амортиз.нови активи'!I$61:I$108)+('11.1.Амортиз.нови активи'!I$110*SUMIF('11.1.Амортиз.нови активи'!$B$61:$B$108,$B149,'11.1.Амортиз.нови активи'!AR$61:AR$108))</f>
        <v>1</v>
      </c>
      <c r="J149" s="1110">
        <f>$E149-SUMIF('11.2. ДА за периода'!$B$61:$B$108,$B149,'11.2. ДА за периода'!$E$61:$E$108)+SUMIF('11.2. ДА за периода'!$B$61:$B$108,$B149,'11.2. ДА за периода'!J$61:J$108)+SUMIF('11.1.Амортиз.нови активи'!$B$61:$B$108,$B149,'11.1.Амортиз.нови активи'!J$61:J$108)+('11.1.Амортиз.нови активи'!J$110*SUMIF('11.1.Амортиз.нови активи'!$B$61:$B$108,$B149,'11.1.Амортиз.нови активи'!AS$61:AS$108))</f>
        <v>1</v>
      </c>
      <c r="K149" s="1110">
        <f>$E149-SUMIF('11.2. ДА за периода'!$B$61:$B$108,$B149,'11.2. ДА за периода'!$E$61:$E$108)+SUMIF('11.2. ДА за периода'!$B$61:$B$108,$B149,'11.2. ДА за периода'!K$61:K$108)+SUMIF('11.1.Амортиз.нови активи'!$B$61:$B$108,$B149,'11.1.Амортиз.нови активи'!K$61:K$108)+('11.1.Амортиз.нови активи'!K$110*SUMIF('11.1.Амортиз.нови активи'!$B$61:$B$108,$B149,'11.1.Амортиз.нови активи'!AT$61:AT$108))</f>
        <v>1</v>
      </c>
      <c r="L149" s="4387">
        <f>+'11.3. ДА Базова година'!J129</f>
        <v>0</v>
      </c>
      <c r="M149" s="2617">
        <f>$L149-SUMIF('11.2. ДА за периода'!$B$61:$B$108,$B149,'11.2. ДА за периода'!$L$61:$L$108)+SUMIF('11.2. ДА за периода'!$B$61:$B$108,$B149,'11.2. ДА за периода'!M$61:M$108)+SUMIF('11.1.Амортиз.нови активи'!$B$61:$B$108,$B149,'11.1.Амортиз.нови активи'!M$61:M$108)+('11.1.Амортиз.нови активи'!F$111*SUMIF('11.1.Амортиз.нови активи'!$B$61:$B$108,$B149,'11.1.Амортиз.нови активи'!AO$61:AO$108))</f>
        <v>0</v>
      </c>
      <c r="N149" s="1110">
        <f>$L149-SUMIF('11.2. ДА за периода'!$B$61:$B$108,$B149,'11.2. ДА за периода'!$L$61:$L$108)+SUMIF('11.2. ДА за периода'!$B$61:$B$108,$B149,'11.2. ДА за периода'!N$61:N$108)+SUMIF('11.1.Амортиз.нови активи'!$B$61:$B$108,$B149,'11.1.Амортиз.нови активи'!N$61:N$108)+('11.1.Амортиз.нови активи'!G$111*SUMIF('11.1.Амортиз.нови активи'!$B$61:$B$108,$B149,'11.1.Амортиз.нови активи'!AP$61:AP$108))</f>
        <v>0</v>
      </c>
      <c r="O149" s="1110">
        <f>$L149-SUMIF('11.2. ДА за периода'!$B$61:$B$108,$B149,'11.2. ДА за периода'!$L$61:$L$108)+SUMIF('11.2. ДА за периода'!$B$61:$B$108,$B149,'11.2. ДА за периода'!O$61:O$108)+SUMIF('11.1.Амортиз.нови активи'!$B$61:$B$108,$B149,'11.1.Амортиз.нови активи'!O$61:O$108)+('11.1.Амортиз.нови активи'!H$111*SUMIF('11.1.Амортиз.нови активи'!$B$61:$B$108,$B149,'11.1.Амортиз.нови активи'!AQ$61:AQ$108))</f>
        <v>0</v>
      </c>
      <c r="P149" s="1110">
        <f>$L149-SUMIF('11.2. ДА за периода'!$B$61:$B$108,$B149,'11.2. ДА за периода'!$L$61:$L$108)+SUMIF('11.2. ДА за периода'!$B$61:$B$108,$B149,'11.2. ДА за периода'!P$61:P$108)+SUMIF('11.1.Амортиз.нови активи'!$B$61:$B$108,$B149,'11.1.Амортиз.нови активи'!P$61:P$108)+('11.1.Амортиз.нови активи'!I$111*SUMIF('11.1.Амортиз.нови активи'!$B$61:$B$108,$B149,'11.1.Амортиз.нови активи'!AR$61:AR$108))</f>
        <v>0</v>
      </c>
      <c r="Q149" s="1110">
        <f>$L149-SUMIF('11.2. ДА за периода'!$B$61:$B$108,$B149,'11.2. ДА за периода'!$L$61:$L$108)+SUMIF('11.2. ДА за периода'!$B$61:$B$108,$B149,'11.2. ДА за периода'!Q$61:Q$108)+SUMIF('11.1.Амортиз.нови активи'!$B$61:$B$108,$B149,'11.1.Амортиз.нови активи'!Q$61:Q$108)+('11.1.Амортиз.нови активи'!J$111*SUMIF('11.1.Амортиз.нови активи'!$B$61:$B$108,$B149,'11.1.Амортиз.нови активи'!AS$61:AS$108))</f>
        <v>0</v>
      </c>
      <c r="R149" s="2618">
        <f>$L149-SUMIF('11.2. ДА за периода'!$B$61:$B$108,$B149,'11.2. ДА за периода'!$L$61:$L$108)+SUMIF('11.2. ДА за периода'!$B$61:$B$108,$B149,'11.2. ДА за периода'!R$61:R$108)+SUMIF('11.1.Амортиз.нови активи'!$B$61:$B$108,$B149,'11.1.Амортиз.нови активи'!R$61:R$108)+('11.1.Амортиз.нови активи'!K$111*SUMIF('11.1.Амортиз.нови активи'!$B$61:$B$108,$B149,'11.1.Амортиз.нови активи'!AT$61:AT$108))</f>
        <v>0</v>
      </c>
      <c r="S149" s="4387">
        <f>+'11.3. ДА Базова година'!N129</f>
        <v>0</v>
      </c>
      <c r="T149" s="2617">
        <f>$S149-SUMIF('11.2. ДА за периода'!$B$61:$B$108,$B149,'11.2. ДА за периода'!$S$61:$S$108)+SUMIF('11.2. ДА за периода'!$B$61:$B$108,$B149,'11.2. ДА за периода'!T$61:T$108)+SUMIF('11.1.Амортиз.нови активи'!$B$61:$B$108,$B149,'11.1.Амортиз.нови активи'!T$61:T$108)+('11.1.Амортиз.нови активи'!F$112*SUMIF('11.1.Амортиз.нови активи'!$B$61:$B$108,$B149,'11.1.Амортиз.нови активи'!AO$61:AO$108))</f>
        <v>0.24</v>
      </c>
      <c r="U149" s="1110">
        <f>$S149-SUMIF('11.2. ДА за периода'!$B$61:$B$108,$B149,'11.2. ДА за периода'!$S$61:$S$108)+SUMIF('11.2. ДА за периода'!$B$61:$B$108,$B149,'11.2. ДА за периода'!U$61:U$108)+SUMIF('11.1.Амортиз.нови активи'!$B$61:$B$108,$B149,'11.1.Амортиз.нови активи'!U$61:U$108)+('11.1.Амортиз.нови активи'!G$112*SUMIF('11.1.Амортиз.нови активи'!$B$61:$B$108,$B149,'11.1.Амортиз.нови активи'!AP$61:AP$108))</f>
        <v>0.24</v>
      </c>
      <c r="V149" s="1110">
        <f>$S149-SUMIF('11.2. ДА за периода'!$B$61:$B$108,$B149,'11.2. ДА за периода'!$S$61:$S$108)+SUMIF('11.2. ДА за периода'!$B$61:$B$108,$B149,'11.2. ДА за периода'!V$61:V$108)+SUMIF('11.1.Амортиз.нови активи'!$B$61:$B$108,$B149,'11.1.Амортиз.нови активи'!V$61:V$108)+('11.1.Амортиз.нови активи'!H$112*SUMIF('11.1.Амортиз.нови активи'!$B$61:$B$108,$B149,'11.1.Амортиз.нови активи'!AQ$61:AQ$108))</f>
        <v>0.24</v>
      </c>
      <c r="W149" s="1110">
        <f>$S149-SUMIF('11.2. ДА за периода'!$B$61:$B$108,$B149,'11.2. ДА за периода'!$S$61:$S$108)+SUMIF('11.2. ДА за периода'!$B$61:$B$108,$B149,'11.2. ДА за периода'!W$61:W$108)+SUMIF('11.1.Амортиз.нови активи'!$B$61:$B$108,$B149,'11.1.Амортиз.нови активи'!W$61:W$108)+('11.1.Амортиз.нови активи'!I$112*SUMIF('11.1.Амортиз.нови активи'!$B$61:$B$108,$B149,'11.1.Амортиз.нови активи'!AR$61:AR$108))</f>
        <v>0.24</v>
      </c>
      <c r="X149" s="1110">
        <f>$S149-SUMIF('11.2. ДА за периода'!$B$61:$B$108,$B149,'11.2. ДА за периода'!$S$61:$S$108)+SUMIF('11.2. ДА за периода'!$B$61:$B$108,$B149,'11.2. ДА за периода'!X$61:X$108)+SUMIF('11.1.Амортиз.нови активи'!$B$61:$B$108,$B149,'11.1.Амортиз.нови активи'!X$61:X$108)+('11.1.Амортиз.нови активи'!J$112*SUMIF('11.1.Амортиз.нови активи'!$B$61:$B$108,$B149,'11.1.Амортиз.нови активи'!AS$61:AS$108))</f>
        <v>0.24</v>
      </c>
      <c r="Y149" s="2618">
        <f>$S149-SUMIF('11.2. ДА за периода'!$B$61:$B$108,$B149,'11.2. ДА за периода'!$S$61:$S$108)+SUMIF('11.2. ДА за периода'!$B$61:$B$108,$B149,'11.2. ДА за периода'!Y$61:Y$108)+SUMIF('11.1.Амортиз.нови активи'!$B$61:$B$108,$B149,'11.1.Амортиз.нови активи'!Y$61:Y$108)+('11.1.Амортиз.нови активи'!K$112*SUMIF('11.1.Амортиз.нови активи'!$B$61:$B$108,$B149,'11.1.Амортиз.нови активи'!AT$61:AT$108))</f>
        <v>0.24</v>
      </c>
      <c r="Z149" s="4387">
        <f>+'11.3. ДА Базова година'!R129</f>
        <v>0</v>
      </c>
      <c r="AA149" s="2617">
        <f>$Z149-SUMIF('11.2. ДА за периода'!$B$61:$B$108,$B149,'11.2. ДА за периода'!$Z$61:$Z$108)+SUMIF('11.2. ДА за периода'!$B$61:$B$108,$B149,'11.2. ДА за периода'!AA$61:AA$108)+SUMIF('11.1.Амортиз.нови активи'!$B$61:$B$108,$B149,'11.1.Амортиз.нови активи'!AA$61:AA$108)</f>
        <v>0</v>
      </c>
      <c r="AB149" s="1110">
        <f>$Z149-SUMIF('11.2. ДА за периода'!$B$61:$B$108,$B149,'11.2. ДА за периода'!$Z$61:$Z$108)+SUMIF('11.2. ДА за периода'!$B$61:$B$108,$B149,'11.2. ДА за периода'!AB$61:AB$108)+SUMIF('11.1.Амортиз.нови активи'!$B$61:$B$108,$B149,'11.1.Амортиз.нови активи'!AB$61:AB$108)</f>
        <v>0</v>
      </c>
      <c r="AC149" s="1110">
        <f>$Z149-SUMIF('11.2. ДА за периода'!$B$61:$B$108,$B149,'11.2. ДА за периода'!$Z$61:$Z$108)+SUMIF('11.2. ДА за периода'!$B$61:$B$108,$B149,'11.2. ДА за периода'!AC$61:AC$108)+SUMIF('11.1.Амортиз.нови активи'!$B$61:$B$108,$B149,'11.1.Амортиз.нови активи'!AC$61:AC$108)</f>
        <v>0</v>
      </c>
      <c r="AD149" s="1110">
        <f>$Z149-SUMIF('11.2. ДА за периода'!$B$61:$B$108,$B149,'11.2. ДА за периода'!$Z$61:$Z$108)+SUMIF('11.2. ДА за периода'!$B$61:$B$108,$B149,'11.2. ДА за периода'!AD$61:AD$108)+SUMIF('11.1.Амортиз.нови активи'!$B$61:$B$108,$B149,'11.1.Амортиз.нови активи'!AD$61:AD$108)</f>
        <v>0</v>
      </c>
      <c r="AE149" s="1110">
        <f>$Z149-SUMIF('11.2. ДА за периода'!$B$61:$B$108,$B149,'11.2. ДА за периода'!$Z$61:$Z$108)+SUMIF('11.2. ДА за периода'!$B$61:$B$108,$B149,'11.2. ДА за периода'!AE$61:AE$108)+SUMIF('11.1.Амортиз.нови активи'!$B$61:$B$108,$B149,'11.1.Амортиз.нови активи'!AE$61:AE$108)</f>
        <v>0</v>
      </c>
      <c r="AF149" s="2618">
        <f>$Z149-SUMIF('11.2. ДА за периода'!$B$61:$B$108,$B149,'11.2. ДА за периода'!$Z$61:$Z$108)+SUMIF('11.2. ДА за периода'!$B$61:$B$108,$B149,'11.2. ДА за периода'!AF$61:AF$108)+SUMIF('11.1.Амортиз.нови активи'!$B$61:$B$108,$B149,'11.1.Амортиз.нови активи'!AF$61:AF$108)</f>
        <v>0</v>
      </c>
      <c r="AG149" s="4387">
        <f>+'11.3. ДА Базова година'!V129</f>
        <v>0</v>
      </c>
      <c r="AH149" s="2617">
        <f>$AG149-SUMIF('11.2. ДА за периода'!$B$61:$B$108,$B149,'11.2. ДА за периода'!$AG$61:$AG$108)+SUMIF('11.2. ДА за периода'!$B$61:$B$108,$B149,'11.2. ДА за периода'!AH$61:AH$108)+SUMIF('11.1.Амортиз.нови активи'!$B$61:$B$108,$B149,'11.1.Амортиз.нови активи'!AH$61:AH$108)</f>
        <v>0</v>
      </c>
      <c r="AI149" s="1110">
        <f>$AG149-SUMIF('11.2. ДА за периода'!$B$61:$B$108,$B149,'11.2. ДА за периода'!$AG$61:$AG$108)+SUMIF('11.2. ДА за периода'!$B$61:$B$108,$B149,'11.2. ДА за периода'!AI$61:AI$108)+SUMIF('11.1.Амортиз.нови активи'!$B$61:$B$108,$B149,'11.1.Амортиз.нови активи'!AI$61:AI$108)</f>
        <v>0</v>
      </c>
      <c r="AJ149" s="1110">
        <f>$AG149-SUMIF('11.2. ДА за периода'!$B$61:$B$108,$B149,'11.2. ДА за периода'!$AG$61:$AG$108)+SUMIF('11.2. ДА за периода'!$B$61:$B$108,$B149,'11.2. ДА за периода'!AJ$61:AJ$108)+SUMIF('11.1.Амортиз.нови активи'!$B$61:$B$108,$B149,'11.1.Амортиз.нови активи'!AJ$61:AJ$108)</f>
        <v>0</v>
      </c>
      <c r="AK149" s="1110">
        <f>$AG149-SUMIF('11.2. ДА за периода'!$B$61:$B$108,$B149,'11.2. ДА за периода'!$AG$61:$AG$108)+SUMIF('11.2. ДА за периода'!$B$61:$B$108,$B149,'11.2. ДА за периода'!AK$61:AK$108)+SUMIF('11.1.Амортиз.нови активи'!$B$61:$B$108,$B149,'11.1.Амортиз.нови активи'!AK$61:AK$108)</f>
        <v>0</v>
      </c>
      <c r="AL149" s="1110">
        <f>$AG149-SUMIF('11.2. ДА за периода'!$B$61:$B$108,$B149,'11.2. ДА за периода'!$AG$61:$AG$108)+SUMIF('11.2. ДА за периода'!$B$61:$B$108,$B149,'11.2. ДА за периода'!AL$61:AL$108)+SUMIF('11.1.Амортиз.нови активи'!$B$61:$B$108,$B149,'11.1.Амортиз.нови активи'!AL$61:AL$108)</f>
        <v>0</v>
      </c>
      <c r="AM149" s="2618">
        <f>$AG149-SUMIF('11.2. ДА за периода'!$B$61:$B$108,$B149,'11.2. ДА за периода'!$AG$61:$AG$108)+SUMIF('11.2. ДА за периода'!$B$61:$B$108,$B149,'11.2. ДА за периода'!AM$61:AM$108)+SUMIF('11.1.Амортиз.нови активи'!$B$61:$B$108,$B149,'11.1.Амортиз.нови активи'!AM$61:AM$108)</f>
        <v>0</v>
      </c>
      <c r="AN149" s="2513"/>
      <c r="AO149" s="2551"/>
      <c r="AP149" s="4422"/>
      <c r="AQ149" s="4438">
        <f t="shared" si="174"/>
        <v>0.51129188119621849</v>
      </c>
      <c r="AR149" s="4438">
        <f t="shared" si="175"/>
        <v>0.51129188119621849</v>
      </c>
      <c r="AS149" s="4438">
        <f t="shared" si="176"/>
        <v>0.51129188119621849</v>
      </c>
      <c r="AT149" s="4438">
        <f t="shared" si="177"/>
        <v>0.51129188119621849</v>
      </c>
      <c r="AU149" s="4438">
        <f t="shared" si="178"/>
        <v>0.51129188119621849</v>
      </c>
      <c r="AV149" s="4438">
        <f t="shared" si="179"/>
        <v>0.51129188119621849</v>
      </c>
      <c r="AW149" s="4438">
        <f t="shared" si="180"/>
        <v>0.51129188119621849</v>
      </c>
      <c r="AX149" s="4438">
        <f t="shared" si="181"/>
        <v>0</v>
      </c>
      <c r="AY149" s="4438">
        <f t="shared" si="182"/>
        <v>0</v>
      </c>
      <c r="AZ149" s="4438">
        <f t="shared" si="183"/>
        <v>0</v>
      </c>
      <c r="BA149" s="4438">
        <f t="shared" si="184"/>
        <v>0</v>
      </c>
      <c r="BB149" s="4438">
        <f t="shared" si="185"/>
        <v>0</v>
      </c>
      <c r="BC149" s="4438">
        <f t="shared" si="186"/>
        <v>0</v>
      </c>
      <c r="BD149" s="4438">
        <f t="shared" si="187"/>
        <v>0</v>
      </c>
      <c r="BE149" s="4438">
        <f t="shared" si="188"/>
        <v>0</v>
      </c>
      <c r="BF149" s="4438">
        <f t="shared" si="189"/>
        <v>0.12271005148709244</v>
      </c>
      <c r="BG149" s="4438">
        <f t="shared" si="190"/>
        <v>0.12271005148709244</v>
      </c>
      <c r="BH149" s="4438">
        <f t="shared" si="191"/>
        <v>0.12271005148709244</v>
      </c>
      <c r="BI149" s="4438">
        <f t="shared" si="192"/>
        <v>0.12271005148709244</v>
      </c>
      <c r="BJ149" s="4438">
        <f t="shared" si="193"/>
        <v>0.12271005148709244</v>
      </c>
      <c r="BK149" s="4438">
        <f t="shared" si="194"/>
        <v>0.12271005148709244</v>
      </c>
      <c r="BL149" s="4438">
        <f t="shared" si="195"/>
        <v>0</v>
      </c>
      <c r="BM149" s="4438">
        <f t="shared" si="196"/>
        <v>0</v>
      </c>
      <c r="BN149" s="4438">
        <f t="shared" si="197"/>
        <v>0</v>
      </c>
      <c r="BO149" s="4438">
        <f t="shared" si="198"/>
        <v>0</v>
      </c>
      <c r="BP149" s="4438">
        <f t="shared" si="199"/>
        <v>0</v>
      </c>
      <c r="BQ149" s="4438">
        <f t="shared" si="200"/>
        <v>0</v>
      </c>
      <c r="BR149" s="4438">
        <f t="shared" si="201"/>
        <v>0</v>
      </c>
      <c r="BS149" s="4438">
        <f t="shared" si="202"/>
        <v>0</v>
      </c>
      <c r="BT149" s="4438">
        <f t="shared" si="203"/>
        <v>0</v>
      </c>
      <c r="BU149" s="4438">
        <f t="shared" si="204"/>
        <v>0</v>
      </c>
      <c r="BV149" s="4438">
        <f t="shared" si="205"/>
        <v>0</v>
      </c>
      <c r="BW149" s="4438">
        <f t="shared" si="206"/>
        <v>0</v>
      </c>
      <c r="BX149" s="4438">
        <f t="shared" si="207"/>
        <v>0</v>
      </c>
      <c r="BY149" s="4438">
        <f t="shared" si="208"/>
        <v>0</v>
      </c>
    </row>
    <row r="150" spans="1:77" s="1292" customFormat="1" ht="24.75" thickBot="1">
      <c r="A150" s="2573">
        <v>19</v>
      </c>
      <c r="B150" s="2516">
        <v>215</v>
      </c>
      <c r="C150" s="2522">
        <v>0.2</v>
      </c>
      <c r="D150" s="2552" t="s">
        <v>679</v>
      </c>
      <c r="E150" s="4387">
        <f>+'11.3. ДА Базова година'!F130</f>
        <v>0</v>
      </c>
      <c r="F150" s="2617">
        <f>$E150-SUMIF('11.2. ДА за периода'!$B$61:$B$108,$B150,'11.2. ДА за периода'!$E$61:$E$108)+SUMIF('11.2. ДА за периода'!$B$61:$B$108,$B150,'11.2. ДА за периода'!F$61:F$108)+SUMIF('11.1.Амортиз.нови активи'!$B$61:$B$108,$B150,'11.1.Амортиз.нови активи'!F$61:F$108)+('11.1.Амортиз.нови активи'!F$110*SUMIF('11.1.Амортиз.нови активи'!$B$61:$B$108,$B150,'11.1.Амортиз.нови активи'!AO$61:AO$108))</f>
        <v>2.1589843750000002</v>
      </c>
      <c r="G150" s="1110">
        <f>$E150-SUMIF('11.2. ДА за периода'!$B$61:$B$108,$B150,'11.2. ДА за периода'!$E$61:$E$108)+SUMIF('11.2. ДА за периода'!$B$61:$B$108,$B150,'11.2. ДА за периода'!G$61:G$108)+SUMIF('11.1.Амортиз.нови активи'!$B$61:$B$108,$B150,'11.1.Амортиз.нови активи'!G$61:G$108)+('11.1.Амортиз.нови активи'!G$110*SUMIF('11.1.Амортиз.нови активи'!$B$61:$B$108,$B150,'11.1.Амортиз.нови активи'!AP$61:AP$108))</f>
        <v>4.3151133916686764</v>
      </c>
      <c r="H150" s="1110">
        <f>$E150-SUMIF('11.2. ДА за периода'!$B$61:$B$108,$B150,'11.2. ДА за периода'!$E$61:$E$108)+SUMIF('11.2. ДА за периода'!$B$61:$B$108,$B150,'11.2. ДА за периода'!H$61:H$108)+SUMIF('11.1.Амортиз.нови активи'!$B$61:$B$108,$B150,'11.1.Амортиз.нови активи'!H$61:H$108)+('11.1.Амортиз.нови активи'!H$110*SUMIF('11.1.Амортиз.нови активи'!$B$61:$B$108,$B150,'11.1.Амортиз.нови активи'!AQ$61:AQ$108))</f>
        <v>4.2435228299415</v>
      </c>
      <c r="I150" s="1110">
        <f>$E150-SUMIF('11.2. ДА за периода'!$B$61:$B$108,$B150,'11.2. ДА за периода'!$E$61:$E$108)+SUMIF('11.2. ДА за периода'!$B$61:$B$108,$B150,'11.2. ДА за периода'!I$61:I$108)+SUMIF('11.1.Амортиз.нови активи'!$B$61:$B$108,$B150,'11.1.Амортиз.нови активи'!I$61:I$108)+('11.1.Амортиз.нови активи'!I$110*SUMIF('11.1.Амортиз.нови активи'!$B$61:$B$108,$B150,'11.1.Амортиз.нови активи'!AR$61:AR$108))</f>
        <v>4.1903650723360588</v>
      </c>
      <c r="J150" s="1110">
        <f>$E150-SUMIF('11.2. ДА за периода'!$B$61:$B$108,$B150,'11.2. ДА за периода'!$E$61:$E$108)+SUMIF('11.2. ДА за периода'!$B$61:$B$108,$B150,'11.2. ДА за периода'!J$61:J$108)+SUMIF('11.1.Амортиз.нови активи'!$B$61:$B$108,$B150,'11.1.Амортиз.нови активи'!J$61:J$108)+('11.1.Амортиз.нови активи'!J$110*SUMIF('11.1.Амортиз.нови активи'!$B$61:$B$108,$B150,'11.1.Амортиз.нови активи'!AS$61:AS$108))</f>
        <v>4.204779681078147</v>
      </c>
      <c r="K150" s="1110">
        <f>$E150-SUMIF('11.2. ДА за периода'!$B$61:$B$108,$B150,'11.2. ДА за периода'!$E$61:$E$108)+SUMIF('11.2. ДА за периода'!$B$61:$B$108,$B150,'11.2. ДА за периода'!K$61:K$108)+SUMIF('11.1.Амортиз.нови активи'!$B$61:$B$108,$B150,'11.1.Амортиз.нови активи'!K$61:K$108)+('11.1.Амортиз.нови активи'!K$110*SUMIF('11.1.Амортиз.нови активи'!$B$61:$B$108,$B150,'11.1.Амортиз.нови активи'!AT$61:AT$108))</f>
        <v>4.251010788471203</v>
      </c>
      <c r="L150" s="4387">
        <f>+'11.3. ДА Базова година'!J130</f>
        <v>0</v>
      </c>
      <c r="M150" s="2634">
        <f>$L150-SUMIF('11.2. ДА за периода'!$B$61:$B$108,$B150,'11.2. ДА за периода'!$L$61:$L$108)+SUMIF('11.2. ДА за периода'!$B$61:$B$108,$B150,'11.2. ДА за периода'!M$61:M$108)+SUMIF('11.1.Амортиз.нови активи'!$B$61:$B$108,$B150,'11.1.Амортиз.нови активи'!M$61:M$108)+('11.1.Амортиз.нови активи'!F$111*SUMIF('11.1.Амортиз.нови активи'!$B$61:$B$108,$B150,'11.1.Амортиз.нови активи'!AO$61:AO$108))</f>
        <v>2.3023437499999999</v>
      </c>
      <c r="N150" s="1112">
        <f>$L150-SUMIF('11.2. ДА за периода'!$B$61:$B$108,$B150,'11.2. ДА за периода'!$L$61:$L$108)+SUMIF('11.2. ДА за периода'!$B$61:$B$108,$B150,'11.2. ДА за периода'!N$61:N$108)+SUMIF('11.1.Амортиз.нови активи'!$B$61:$B$108,$B150,'11.1.Амортиз.нови активи'!N$61:N$108)+('11.1.Амортиз.нови активи'!G$111*SUMIF('11.1.Амортиз.нови активи'!$B$61:$B$108,$B150,'11.1.Амортиз.нови активи'!AP$61:AP$108))</f>
        <v>4.4120797734918273</v>
      </c>
      <c r="O150" s="1112">
        <f>$L150-SUMIF('11.2. ДА за периода'!$B$61:$B$108,$B150,'11.2. ДА за периода'!$L$61:$L$108)+SUMIF('11.2. ДА за периода'!$B$61:$B$108,$B150,'11.2. ДА за периода'!O$61:O$108)+SUMIF('11.1.Амортиз.нови активи'!$B$61:$B$108,$B150,'11.1.Амортиз.нови активи'!O$61:O$108)+('11.1.Амортиз.нови активи'!H$111*SUMIF('11.1.Амортиз.нови активи'!$B$61:$B$108,$B150,'11.1.Амортиз.нови активи'!AQ$61:AQ$108))</f>
        <v>4.3283274134325884</v>
      </c>
      <c r="P150" s="1112">
        <f>$L150-SUMIF('11.2. ДА за периода'!$B$61:$B$108,$B150,'11.2. ДА за периода'!$L$61:$L$108)+SUMIF('11.2. ДА за периода'!$B$61:$B$108,$B150,'11.2. ДА за периода'!P$61:P$108)+SUMIF('11.1.Амортиз.нови активи'!$B$61:$B$108,$B150,'11.1.Амортиз.нови активи'!P$61:P$108)+('11.1.Амортиз.нови активи'!I$111*SUMIF('11.1.Амортиз.нови активи'!$B$61:$B$108,$B150,'11.1.Амортиз.нови активи'!AR$61:AR$108))</f>
        <v>4.3072341539024386</v>
      </c>
      <c r="Q150" s="1112">
        <f>$L150-SUMIF('11.2. ДА за периода'!$B$61:$B$108,$B150,'11.2. ДА за периода'!$L$61:$L$108)+SUMIF('11.2. ДА за периода'!$B$61:$B$108,$B150,'11.2. ДА за периода'!Q$61:Q$108)+SUMIF('11.1.Амортиз.нови активи'!$B$61:$B$108,$B150,'11.1.Амортиз.нови активи'!Q$61:Q$108)+('11.1.Амортиз.нови активи'!J$111*SUMIF('11.1.Амортиз.нови активи'!$B$61:$B$108,$B150,'11.1.Амортиз.нови активи'!AS$61:AS$108))</f>
        <v>4.2915614042791281</v>
      </c>
      <c r="R150" s="2635">
        <f>$L150-SUMIF('11.2. ДА за периода'!$B$61:$B$108,$B150,'11.2. ДА за периода'!$L$61:$L$108)+SUMIF('11.2. ДА за периода'!$B$61:$B$108,$B150,'11.2. ДА за периода'!R$61:R$108)+SUMIF('11.1.Амортиз.нови активи'!$B$61:$B$108,$B150,'11.1.Амортиз.нови активи'!R$61:R$108)+('11.1.Амортиз.нови активи'!K$111*SUMIF('11.1.Амортиз.нови активи'!$B$61:$B$108,$B150,'11.1.Амортиз.нови активи'!AT$61:AT$108))</f>
        <v>4.2752093193740084</v>
      </c>
      <c r="S150" s="4387">
        <f>+'11.3. ДА Базова година'!N130</f>
        <v>0</v>
      </c>
      <c r="T150" s="2617">
        <f>$S150-SUMIF('11.2. ДА за периода'!$B$61:$B$108,$B150,'11.2. ДА за периода'!$S$61:$S$108)+SUMIF('11.2. ДА за периода'!$B$61:$B$108,$B150,'11.2. ДА за периода'!T$61:T$108)+SUMIF('11.1.Амортиз.нови активи'!$B$61:$B$108,$B150,'11.1.Амортиз.нови активи'!T$61:T$108)+('11.1.Амортиз.нови активи'!F$112*SUMIF('11.1.Амортиз.нови активи'!$B$61:$B$108,$B150,'11.1.Амортиз.нови активи'!AO$61:AO$108))</f>
        <v>3.8671875000000008E-2</v>
      </c>
      <c r="U150" s="1110">
        <f>$S150-SUMIF('11.2. ДА за периода'!$B$61:$B$108,$B150,'11.2. ДА за периода'!$S$61:$S$108)+SUMIF('11.2. ДА за периода'!$B$61:$B$108,$B150,'11.2. ДА за периода'!U$61:U$108)+SUMIF('11.1.Амортиз.нови активи'!$B$61:$B$108,$B150,'11.1.Амортиз.нови активи'!U$61:U$108)+('11.1.Амортиз.нови активи'!G$112*SUMIF('11.1.Амортиз.нови активи'!$B$61:$B$108,$B150,'11.1.Амортиз.нови активи'!AP$61:AP$108))</f>
        <v>0.27280683483949625</v>
      </c>
      <c r="V150" s="1110">
        <f>$S150-SUMIF('11.2. ДА за периода'!$B$61:$B$108,$B150,'11.2. ДА за периода'!$S$61:$S$108)+SUMIF('11.2. ДА за периода'!$B$61:$B$108,$B150,'11.2. ДА за периода'!V$61:V$108)+SUMIF('11.1.Амортиз.нови активи'!$B$61:$B$108,$B150,'11.1.Амортиз.нови активи'!V$61:V$108)+('11.1.Амортиз.нови активи'!H$112*SUMIF('11.1.Амортиз.нови активи'!$B$61:$B$108,$B150,'11.1.Амортиз.нови активи'!AQ$61:AQ$108))</f>
        <v>0.42814975662591159</v>
      </c>
      <c r="W150" s="1110">
        <f>$S150-SUMIF('11.2. ДА за периода'!$B$61:$B$108,$B150,'11.2. ДА за периода'!$S$61:$S$108)+SUMIF('11.2. ДА за периода'!$B$61:$B$108,$B150,'11.2. ДА за периода'!W$61:W$108)+SUMIF('11.1.Амортиз.нови активи'!$B$61:$B$108,$B150,'11.1.Амортиз.нови активи'!W$61:W$108)+('11.1.Амортиз.нови активи'!I$112*SUMIF('11.1.Амортиз.нови активи'!$B$61:$B$108,$B150,'11.1.Амортиз.нови активи'!AR$61:AR$108))</f>
        <v>0.50240077376150205</v>
      </c>
      <c r="X150" s="1110">
        <f>$S150-SUMIF('11.2. ДА за периода'!$B$61:$B$108,$B150,'11.2. ДА за периода'!$S$61:$S$108)+SUMIF('11.2. ДА за периода'!$B$61:$B$108,$B150,'11.2. ДА за периода'!X$61:X$108)+SUMIF('11.1.Амортиз.нови активи'!$B$61:$B$108,$B150,'11.1.Амортиз.нови активи'!X$61:X$108)+('11.1.Амортиз.нови активи'!J$112*SUMIF('11.1.Амортиз.нови активи'!$B$61:$B$108,$B150,'11.1.Амортиз.нови активи'!AS$61:AS$108))</f>
        <v>0.50365891464272561</v>
      </c>
      <c r="Y150" s="2618">
        <f>$S150-SUMIF('11.2. ДА за периода'!$B$61:$B$108,$B150,'11.2. ДА за периода'!$S$61:$S$108)+SUMIF('11.2. ДА за периода'!$B$61:$B$108,$B150,'11.2. ДА за периода'!Y$61:Y$108)+SUMIF('11.1.Амортиз.нови активи'!$B$61:$B$108,$B150,'11.1.Амортиз.нови активи'!Y$61:Y$108)+('11.1.Амортиз.нови активи'!K$112*SUMIF('11.1.Амортиз.нови активи'!$B$61:$B$108,$B150,'11.1.Амортиз.нови активи'!AT$61:AT$108))</f>
        <v>0.47377989215478911</v>
      </c>
      <c r="Z150" s="4387">
        <f>+'11.3. ДА Базова година'!R130</f>
        <v>0</v>
      </c>
      <c r="AA150" s="2617">
        <f>$Z150-SUMIF('11.2. ДА за периода'!$B$61:$B$108,$B150,'11.2. ДА за периода'!$Z$61:$Z$108)+SUMIF('11.2. ДА за периода'!$B$61:$B$108,$B150,'11.2. ДА за периода'!AA$61:AA$108)+SUMIF('11.1.Амортиз.нови активи'!$B$61:$B$108,$B150,'11.1.Амортиз.нови активи'!AA$61:AA$108)</f>
        <v>0</v>
      </c>
      <c r="AB150" s="1110">
        <f>$Z150-SUMIF('11.2. ДА за периода'!$B$61:$B$108,$B150,'11.2. ДА за периода'!$Z$61:$Z$108)+SUMIF('11.2. ДА за периода'!$B$61:$B$108,$B150,'11.2. ДА за периода'!AB$61:AB$108)+SUMIF('11.1.Амортиз.нови активи'!$B$61:$B$108,$B150,'11.1.Амортиз.нови активи'!AB$61:AB$108)</f>
        <v>0</v>
      </c>
      <c r="AC150" s="1110">
        <f>$Z150-SUMIF('11.2. ДА за периода'!$B$61:$B$108,$B150,'11.2. ДА за периода'!$Z$61:$Z$108)+SUMIF('11.2. ДА за периода'!$B$61:$B$108,$B150,'11.2. ДА за периода'!AC$61:AC$108)+SUMIF('11.1.Амортиз.нови активи'!$B$61:$B$108,$B150,'11.1.Амортиз.нови активи'!AC$61:AC$108)</f>
        <v>0</v>
      </c>
      <c r="AD150" s="1110">
        <f>$Z150-SUMIF('11.2. ДА за периода'!$B$61:$B$108,$B150,'11.2. ДА за периода'!$Z$61:$Z$108)+SUMIF('11.2. ДА за периода'!$B$61:$B$108,$B150,'11.2. ДА за периода'!AD$61:AD$108)+SUMIF('11.1.Амортиз.нови активи'!$B$61:$B$108,$B150,'11.1.Амортиз.нови активи'!AD$61:AD$108)</f>
        <v>0</v>
      </c>
      <c r="AE150" s="1110">
        <f>$Z150-SUMIF('11.2. ДА за периода'!$B$61:$B$108,$B150,'11.2. ДА за периода'!$Z$61:$Z$108)+SUMIF('11.2. ДА за периода'!$B$61:$B$108,$B150,'11.2. ДА за периода'!AE$61:AE$108)+SUMIF('11.1.Амортиз.нови активи'!$B$61:$B$108,$B150,'11.1.Амортиз.нови активи'!AE$61:AE$108)</f>
        <v>0</v>
      </c>
      <c r="AF150" s="2618">
        <f>$Z150-SUMIF('11.2. ДА за периода'!$B$61:$B$108,$B150,'11.2. ДА за периода'!$Z$61:$Z$108)+SUMIF('11.2. ДА за периода'!$B$61:$B$108,$B150,'11.2. ДА за периода'!AF$61:AF$108)+SUMIF('11.1.Амортиз.нови активи'!$B$61:$B$108,$B150,'11.1.Амортиз.нови активи'!AF$61:AF$108)</f>
        <v>0</v>
      </c>
      <c r="AG150" s="4387">
        <f>+'11.3. ДА Базова година'!V130</f>
        <v>0</v>
      </c>
      <c r="AH150" s="2617">
        <f>$AG150-SUMIF('11.2. ДА за периода'!$B$61:$B$108,$B150,'11.2. ДА за периода'!$AG$61:$AG$108)+SUMIF('11.2. ДА за периода'!$B$61:$B$108,$B150,'11.2. ДА за периода'!AH$61:AH$108)+SUMIF('11.1.Амортиз.нови активи'!$B$61:$B$108,$B150,'11.1.Амортиз.нови активи'!AH$61:AH$108)</f>
        <v>0</v>
      </c>
      <c r="AI150" s="1110">
        <f>$AG150-SUMIF('11.2. ДА за периода'!$B$61:$B$108,$B150,'11.2. ДА за периода'!$AG$61:$AG$108)+SUMIF('11.2. ДА за периода'!$B$61:$B$108,$B150,'11.2. ДА за периода'!AI$61:AI$108)+SUMIF('11.1.Амортиз.нови активи'!$B$61:$B$108,$B150,'11.1.Амортиз.нови активи'!AI$61:AI$108)</f>
        <v>0</v>
      </c>
      <c r="AJ150" s="1110">
        <f>$AG150-SUMIF('11.2. ДА за периода'!$B$61:$B$108,$B150,'11.2. ДА за периода'!$AG$61:$AG$108)+SUMIF('11.2. ДА за периода'!$B$61:$B$108,$B150,'11.2. ДА за периода'!AJ$61:AJ$108)+SUMIF('11.1.Амортиз.нови активи'!$B$61:$B$108,$B150,'11.1.Амортиз.нови активи'!AJ$61:AJ$108)</f>
        <v>0</v>
      </c>
      <c r="AK150" s="1110">
        <f>$AG150-SUMIF('11.2. ДА за периода'!$B$61:$B$108,$B150,'11.2. ДА за периода'!$AG$61:$AG$108)+SUMIF('11.2. ДА за периода'!$B$61:$B$108,$B150,'11.2. ДА за периода'!AK$61:AK$108)+SUMIF('11.1.Амортиз.нови активи'!$B$61:$B$108,$B150,'11.1.Амортиз.нови активи'!AK$61:AK$108)</f>
        <v>0</v>
      </c>
      <c r="AL150" s="1110">
        <f>$AG150-SUMIF('11.2. ДА за периода'!$B$61:$B$108,$B150,'11.2. ДА за периода'!$AG$61:$AG$108)+SUMIF('11.2. ДА за периода'!$B$61:$B$108,$B150,'11.2. ДА за периода'!AL$61:AL$108)+SUMIF('11.1.Амортиз.нови активи'!$B$61:$B$108,$B150,'11.1.Амортиз.нови активи'!AL$61:AL$108)</f>
        <v>0</v>
      </c>
      <c r="AM150" s="2618">
        <f>$AG150-SUMIF('11.2. ДА за периода'!$B$61:$B$108,$B150,'11.2. ДА за периода'!$AG$61:$AG$108)+SUMIF('11.2. ДА за периода'!$B$61:$B$108,$B150,'11.2. ДА за периода'!AM$61:AM$108)+SUMIF('11.1.Амортиз.нови активи'!$B$61:$B$108,$B150,'11.1.Амортиз.нови активи'!AM$61:AM$108)</f>
        <v>0</v>
      </c>
      <c r="AN150" s="2513"/>
      <c r="AO150" s="2551"/>
      <c r="AP150" s="4422"/>
      <c r="AQ150" s="4438">
        <f t="shared" si="174"/>
        <v>0</v>
      </c>
      <c r="AR150" s="4438">
        <f t="shared" si="175"/>
        <v>1.1038711825669922</v>
      </c>
      <c r="AS150" s="4438">
        <f t="shared" si="176"/>
        <v>2.2062824436012725</v>
      </c>
      <c r="AT150" s="4438">
        <f t="shared" si="177"/>
        <v>2.1696787706198903</v>
      </c>
      <c r="AU150" s="4438">
        <f t="shared" si="178"/>
        <v>2.1424996407336319</v>
      </c>
      <c r="AV150" s="4438">
        <f t="shared" si="179"/>
        <v>2.1498697131540814</v>
      </c>
      <c r="AW150" s="4438">
        <f t="shared" si="180"/>
        <v>2.1735073030228613</v>
      </c>
      <c r="AX150" s="4438">
        <f t="shared" si="181"/>
        <v>0</v>
      </c>
      <c r="AY150" s="4438">
        <f t="shared" si="182"/>
        <v>1.1771696670978562</v>
      </c>
      <c r="AZ150" s="4438">
        <f t="shared" si="183"/>
        <v>2.255860567376422</v>
      </c>
      <c r="BA150" s="4438">
        <f t="shared" si="184"/>
        <v>2.2130386656471108</v>
      </c>
      <c r="BB150" s="4438">
        <f t="shared" si="185"/>
        <v>2.2022538533013805</v>
      </c>
      <c r="BC150" s="4438">
        <f t="shared" si="186"/>
        <v>2.1942405036629604</v>
      </c>
      <c r="BD150" s="4438">
        <f t="shared" si="187"/>
        <v>2.1858798154103418</v>
      </c>
      <c r="BE150" s="4438">
        <f t="shared" si="188"/>
        <v>0</v>
      </c>
      <c r="BF150" s="4438">
        <f t="shared" si="189"/>
        <v>1.9772615718135017E-2</v>
      </c>
      <c r="BG150" s="4438">
        <f t="shared" si="190"/>
        <v>0.13948391978827213</v>
      </c>
      <c r="BH150" s="4438">
        <f t="shared" si="191"/>
        <v>0.21890949449896546</v>
      </c>
      <c r="BI150" s="4438">
        <f t="shared" si="192"/>
        <v>0.25687343673095414</v>
      </c>
      <c r="BJ150" s="4438">
        <f t="shared" si="193"/>
        <v>0.25751671394892484</v>
      </c>
      <c r="BK150" s="4438">
        <f t="shared" si="194"/>
        <v>0.24223981233276365</v>
      </c>
      <c r="BL150" s="4438">
        <f t="shared" si="195"/>
        <v>0</v>
      </c>
      <c r="BM150" s="4438">
        <f t="shared" si="196"/>
        <v>0</v>
      </c>
      <c r="BN150" s="4438">
        <f t="shared" si="197"/>
        <v>0</v>
      </c>
      <c r="BO150" s="4438">
        <f t="shared" si="198"/>
        <v>0</v>
      </c>
      <c r="BP150" s="4438">
        <f t="shared" si="199"/>
        <v>0</v>
      </c>
      <c r="BQ150" s="4438">
        <f t="shared" si="200"/>
        <v>0</v>
      </c>
      <c r="BR150" s="4438">
        <f t="shared" si="201"/>
        <v>0</v>
      </c>
      <c r="BS150" s="4438">
        <f t="shared" si="202"/>
        <v>0</v>
      </c>
      <c r="BT150" s="4438">
        <f t="shared" si="203"/>
        <v>0</v>
      </c>
      <c r="BU150" s="4438">
        <f t="shared" si="204"/>
        <v>0</v>
      </c>
      <c r="BV150" s="4438">
        <f t="shared" si="205"/>
        <v>0</v>
      </c>
      <c r="BW150" s="4438">
        <f t="shared" si="206"/>
        <v>0</v>
      </c>
      <c r="BX150" s="4438">
        <f t="shared" si="207"/>
        <v>0</v>
      </c>
      <c r="BY150" s="4438">
        <f t="shared" si="208"/>
        <v>0</v>
      </c>
    </row>
    <row r="151" spans="1:77" s="1292" customFormat="1" ht="13.5" thickBot="1">
      <c r="A151" s="3685" t="s">
        <v>219</v>
      </c>
      <c r="B151" s="2539"/>
      <c r="C151" s="2539"/>
      <c r="D151" s="2502" t="s">
        <v>220</v>
      </c>
      <c r="E151" s="1220">
        <f t="shared" ref="E151" si="211">SUM(E152:E170)</f>
        <v>1088</v>
      </c>
      <c r="F151" s="2632">
        <f t="shared" ref="F151:AM151" si="212">SUM(F152:F170)</f>
        <v>1483.959453125</v>
      </c>
      <c r="G151" s="1121">
        <f t="shared" si="212"/>
        <v>2041.7432982911705</v>
      </c>
      <c r="H151" s="1121">
        <f t="shared" si="212"/>
        <v>2869.5784599343269</v>
      </c>
      <c r="I151" s="1122">
        <f t="shared" si="212"/>
        <v>4018.9976921550951</v>
      </c>
      <c r="J151" s="1121">
        <f t="shared" si="212"/>
        <v>5375.0756966785466</v>
      </c>
      <c r="K151" s="1121">
        <f t="shared" si="212"/>
        <v>6836.1708761753016</v>
      </c>
      <c r="L151" s="1220">
        <f t="shared" si="212"/>
        <v>80</v>
      </c>
      <c r="M151" s="2632">
        <f t="shared" si="212"/>
        <v>115.37203124999999</v>
      </c>
      <c r="N151" s="1121">
        <f t="shared" si="212"/>
        <v>173.28974813025758</v>
      </c>
      <c r="O151" s="1121">
        <f t="shared" si="212"/>
        <v>273.29879297762727</v>
      </c>
      <c r="P151" s="1122">
        <f t="shared" si="212"/>
        <v>422.73840241495651</v>
      </c>
      <c r="Q151" s="1121">
        <f t="shared" si="212"/>
        <v>598.86443642533925</v>
      </c>
      <c r="R151" s="1121">
        <f t="shared" si="212"/>
        <v>778.98781412837138</v>
      </c>
      <c r="S151" s="1220">
        <f t="shared" si="212"/>
        <v>126</v>
      </c>
      <c r="T151" s="2632">
        <f t="shared" si="212"/>
        <v>179.61351562500002</v>
      </c>
      <c r="U151" s="1121">
        <f t="shared" si="212"/>
        <v>262.59457593857172</v>
      </c>
      <c r="V151" s="1121">
        <f t="shared" si="212"/>
        <v>432.30585888804569</v>
      </c>
      <c r="W151" s="1122">
        <f t="shared" si="212"/>
        <v>713.01299610994874</v>
      </c>
      <c r="X151" s="1121">
        <f t="shared" si="212"/>
        <v>1052.4501811761147</v>
      </c>
      <c r="Y151" s="2633">
        <f t="shared" si="212"/>
        <v>1402.4228475763261</v>
      </c>
      <c r="Z151" s="1220">
        <f t="shared" si="212"/>
        <v>0</v>
      </c>
      <c r="AA151" s="2632">
        <f t="shared" si="212"/>
        <v>0</v>
      </c>
      <c r="AB151" s="1121">
        <f t="shared" si="212"/>
        <v>0</v>
      </c>
      <c r="AC151" s="1121">
        <f t="shared" si="212"/>
        <v>0</v>
      </c>
      <c r="AD151" s="1122">
        <f t="shared" si="212"/>
        <v>0</v>
      </c>
      <c r="AE151" s="1121">
        <f t="shared" si="212"/>
        <v>0</v>
      </c>
      <c r="AF151" s="2633">
        <f t="shared" si="212"/>
        <v>0</v>
      </c>
      <c r="AG151" s="1220">
        <f t="shared" si="212"/>
        <v>0</v>
      </c>
      <c r="AH151" s="2632">
        <f t="shared" si="212"/>
        <v>0</v>
      </c>
      <c r="AI151" s="1121">
        <f t="shared" si="212"/>
        <v>0</v>
      </c>
      <c r="AJ151" s="1121">
        <f t="shared" si="212"/>
        <v>0</v>
      </c>
      <c r="AK151" s="1122">
        <f t="shared" si="212"/>
        <v>0</v>
      </c>
      <c r="AL151" s="1121">
        <f t="shared" si="212"/>
        <v>0</v>
      </c>
      <c r="AM151" s="2633">
        <f t="shared" si="212"/>
        <v>0</v>
      </c>
      <c r="AN151" s="2508"/>
      <c r="AO151" s="2551"/>
      <c r="AP151" s="4422"/>
      <c r="AQ151" s="4438">
        <f t="shared" si="174"/>
        <v>556.2855667414857</v>
      </c>
      <c r="AR151" s="4438">
        <f t="shared" si="175"/>
        <v>758.7364204071929</v>
      </c>
      <c r="AS151" s="4438">
        <f t="shared" si="176"/>
        <v>1043.9267719030645</v>
      </c>
      <c r="AT151" s="4438">
        <f t="shared" si="177"/>
        <v>1467.1921690199695</v>
      </c>
      <c r="AU151" s="4438">
        <f t="shared" si="178"/>
        <v>2054.8808905452393</v>
      </c>
      <c r="AV151" s="4438">
        <f t="shared" si="179"/>
        <v>2748.2325645268488</v>
      </c>
      <c r="AW151" s="4438">
        <f t="shared" si="180"/>
        <v>3495.2786674584713</v>
      </c>
      <c r="AX151" s="4438">
        <f t="shared" si="181"/>
        <v>40.903350495697481</v>
      </c>
      <c r="AY151" s="4438">
        <f t="shared" si="182"/>
        <v>58.988782895241407</v>
      </c>
      <c r="AZ151" s="4438">
        <f t="shared" si="183"/>
        <v>88.601641313538281</v>
      </c>
      <c r="BA151" s="4438">
        <f t="shared" si="184"/>
        <v>139.73545399018693</v>
      </c>
      <c r="BB151" s="4438">
        <f t="shared" si="185"/>
        <v>216.14271302462714</v>
      </c>
      <c r="BC151" s="4438">
        <f t="shared" si="186"/>
        <v>306.19452428142489</v>
      </c>
      <c r="BD151" s="4438">
        <f t="shared" si="187"/>
        <v>398.29014491462522</v>
      </c>
      <c r="BE151" s="4438">
        <f t="shared" si="188"/>
        <v>64.422777030723537</v>
      </c>
      <c r="BF151" s="4438">
        <f t="shared" si="189"/>
        <v>91.834932292172638</v>
      </c>
      <c r="BG151" s="4438">
        <f t="shared" si="190"/>
        <v>134.26247472355558</v>
      </c>
      <c r="BH151" s="4438">
        <f t="shared" si="191"/>
        <v>221.03447584301585</v>
      </c>
      <c r="BI151" s="4438">
        <f t="shared" si="192"/>
        <v>364.55775609840771</v>
      </c>
      <c r="BJ151" s="4438">
        <f t="shared" si="193"/>
        <v>538.10923299883666</v>
      </c>
      <c r="BK151" s="4438">
        <f t="shared" si="194"/>
        <v>717.04741596985741</v>
      </c>
      <c r="BL151" s="4438">
        <f t="shared" si="195"/>
        <v>0</v>
      </c>
      <c r="BM151" s="4438">
        <f t="shared" si="196"/>
        <v>0</v>
      </c>
      <c r="BN151" s="4438">
        <f t="shared" si="197"/>
        <v>0</v>
      </c>
      <c r="BO151" s="4438">
        <f t="shared" si="198"/>
        <v>0</v>
      </c>
      <c r="BP151" s="4438">
        <f t="shared" si="199"/>
        <v>0</v>
      </c>
      <c r="BQ151" s="4438">
        <f t="shared" si="200"/>
        <v>0</v>
      </c>
      <c r="BR151" s="4438">
        <f t="shared" si="201"/>
        <v>0</v>
      </c>
      <c r="BS151" s="4438">
        <f t="shared" si="202"/>
        <v>0</v>
      </c>
      <c r="BT151" s="4438">
        <f t="shared" si="203"/>
        <v>0</v>
      </c>
      <c r="BU151" s="4438">
        <f t="shared" si="204"/>
        <v>0</v>
      </c>
      <c r="BV151" s="4438">
        <f t="shared" si="205"/>
        <v>0</v>
      </c>
      <c r="BW151" s="4438">
        <f t="shared" si="206"/>
        <v>0</v>
      </c>
      <c r="BX151" s="4438">
        <f t="shared" si="207"/>
        <v>0</v>
      </c>
      <c r="BY151" s="4438">
        <f t="shared" si="208"/>
        <v>0</v>
      </c>
    </row>
    <row r="152" spans="1:77" s="1292" customFormat="1">
      <c r="A152" s="2515">
        <v>1</v>
      </c>
      <c r="B152" s="2509">
        <v>20102</v>
      </c>
      <c r="C152" s="2533">
        <v>0</v>
      </c>
      <c r="D152" s="2563" t="s">
        <v>558</v>
      </c>
      <c r="E152" s="4387">
        <f>+'11.3. ДА Базова година'!H112</f>
        <v>0</v>
      </c>
      <c r="F152" s="2605">
        <f t="shared" ref="F152:K155" si="213">E152+F132</f>
        <v>0</v>
      </c>
      <c r="G152" s="2603">
        <f t="shared" si="213"/>
        <v>0</v>
      </c>
      <c r="H152" s="2603">
        <f t="shared" si="213"/>
        <v>0</v>
      </c>
      <c r="I152" s="2603">
        <f t="shared" si="213"/>
        <v>0</v>
      </c>
      <c r="J152" s="2603">
        <f t="shared" si="213"/>
        <v>0</v>
      </c>
      <c r="K152" s="2604">
        <f t="shared" si="213"/>
        <v>0</v>
      </c>
      <c r="L152" s="4387">
        <f>+'11.3. ДА Базова година'!L112</f>
        <v>0</v>
      </c>
      <c r="M152" s="2605">
        <f t="shared" ref="M152:R167" si="214">L152+M132</f>
        <v>0</v>
      </c>
      <c r="N152" s="2603">
        <f t="shared" si="214"/>
        <v>0</v>
      </c>
      <c r="O152" s="2603">
        <f t="shared" si="214"/>
        <v>0</v>
      </c>
      <c r="P152" s="2603">
        <f t="shared" si="214"/>
        <v>0</v>
      </c>
      <c r="Q152" s="2603">
        <f t="shared" si="214"/>
        <v>0</v>
      </c>
      <c r="R152" s="2604">
        <f t="shared" si="214"/>
        <v>0</v>
      </c>
      <c r="S152" s="4387">
        <f>+'11.3. ДА Базова година'!P112</f>
        <v>0</v>
      </c>
      <c r="T152" s="2605">
        <f t="shared" ref="T152:Y167" si="215">S152+T132</f>
        <v>0</v>
      </c>
      <c r="U152" s="2603">
        <f t="shared" si="215"/>
        <v>0</v>
      </c>
      <c r="V152" s="2603">
        <f t="shared" si="215"/>
        <v>0</v>
      </c>
      <c r="W152" s="2603">
        <f t="shared" si="215"/>
        <v>0</v>
      </c>
      <c r="X152" s="2603">
        <f t="shared" si="215"/>
        <v>0</v>
      </c>
      <c r="Y152" s="2604">
        <f t="shared" si="215"/>
        <v>0</v>
      </c>
      <c r="Z152" s="4387">
        <f>+'11.3. ДА Базова година'!T112</f>
        <v>0</v>
      </c>
      <c r="AA152" s="2605">
        <f t="shared" ref="AA152:AF167" si="216">Z152+AA132</f>
        <v>0</v>
      </c>
      <c r="AB152" s="2603">
        <f t="shared" si="216"/>
        <v>0</v>
      </c>
      <c r="AC152" s="2603">
        <f t="shared" si="216"/>
        <v>0</v>
      </c>
      <c r="AD152" s="2603">
        <f t="shared" si="216"/>
        <v>0</v>
      </c>
      <c r="AE152" s="2603">
        <f t="shared" si="216"/>
        <v>0</v>
      </c>
      <c r="AF152" s="2604">
        <f t="shared" si="216"/>
        <v>0</v>
      </c>
      <c r="AG152" s="4387">
        <f>+'11.3. ДА Базова година'!X112</f>
        <v>0</v>
      </c>
      <c r="AH152" s="2605">
        <f t="shared" ref="AH152:AM167" si="217">AG152+AH132</f>
        <v>0</v>
      </c>
      <c r="AI152" s="2603">
        <f t="shared" si="217"/>
        <v>0</v>
      </c>
      <c r="AJ152" s="2603">
        <f t="shared" si="217"/>
        <v>0</v>
      </c>
      <c r="AK152" s="2603">
        <f t="shared" si="217"/>
        <v>0</v>
      </c>
      <c r="AL152" s="2603">
        <f t="shared" si="217"/>
        <v>0</v>
      </c>
      <c r="AM152" s="2604">
        <f t="shared" si="217"/>
        <v>0</v>
      </c>
      <c r="AN152" s="2513"/>
      <c r="AO152" s="2551"/>
      <c r="AP152" s="4422"/>
      <c r="AQ152" s="4438">
        <f t="shared" si="174"/>
        <v>0</v>
      </c>
      <c r="AR152" s="4438">
        <f t="shared" si="175"/>
        <v>0</v>
      </c>
      <c r="AS152" s="4438">
        <f t="shared" si="176"/>
        <v>0</v>
      </c>
      <c r="AT152" s="4438">
        <f t="shared" si="177"/>
        <v>0</v>
      </c>
      <c r="AU152" s="4438">
        <f t="shared" si="178"/>
        <v>0</v>
      </c>
      <c r="AV152" s="4438">
        <f t="shared" si="179"/>
        <v>0</v>
      </c>
      <c r="AW152" s="4438">
        <f t="shared" si="180"/>
        <v>0</v>
      </c>
      <c r="AX152" s="4438">
        <f t="shared" si="181"/>
        <v>0</v>
      </c>
      <c r="AY152" s="4438">
        <f t="shared" si="182"/>
        <v>0</v>
      </c>
      <c r="AZ152" s="4438">
        <f t="shared" si="183"/>
        <v>0</v>
      </c>
      <c r="BA152" s="4438">
        <f t="shared" si="184"/>
        <v>0</v>
      </c>
      <c r="BB152" s="4438">
        <f t="shared" si="185"/>
        <v>0</v>
      </c>
      <c r="BC152" s="4438">
        <f t="shared" si="186"/>
        <v>0</v>
      </c>
      <c r="BD152" s="4438">
        <f t="shared" si="187"/>
        <v>0</v>
      </c>
      <c r="BE152" s="4438">
        <f t="shared" si="188"/>
        <v>0</v>
      </c>
      <c r="BF152" s="4438">
        <f t="shared" si="189"/>
        <v>0</v>
      </c>
      <c r="BG152" s="4438">
        <f t="shared" si="190"/>
        <v>0</v>
      </c>
      <c r="BH152" s="4438">
        <f t="shared" si="191"/>
        <v>0</v>
      </c>
      <c r="BI152" s="4438">
        <f t="shared" si="192"/>
        <v>0</v>
      </c>
      <c r="BJ152" s="4438">
        <f t="shared" si="193"/>
        <v>0</v>
      </c>
      <c r="BK152" s="4438">
        <f t="shared" si="194"/>
        <v>0</v>
      </c>
      <c r="BL152" s="4438">
        <f t="shared" si="195"/>
        <v>0</v>
      </c>
      <c r="BM152" s="4438">
        <f t="shared" si="196"/>
        <v>0</v>
      </c>
      <c r="BN152" s="4438">
        <f t="shared" si="197"/>
        <v>0</v>
      </c>
      <c r="BO152" s="4438">
        <f t="shared" si="198"/>
        <v>0</v>
      </c>
      <c r="BP152" s="4438">
        <f t="shared" si="199"/>
        <v>0</v>
      </c>
      <c r="BQ152" s="4438">
        <f t="shared" si="200"/>
        <v>0</v>
      </c>
      <c r="BR152" s="4438">
        <f t="shared" si="201"/>
        <v>0</v>
      </c>
      <c r="BS152" s="4438">
        <f t="shared" si="202"/>
        <v>0</v>
      </c>
      <c r="BT152" s="4438">
        <f t="shared" si="203"/>
        <v>0</v>
      </c>
      <c r="BU152" s="4438">
        <f t="shared" si="204"/>
        <v>0</v>
      </c>
      <c r="BV152" s="4438">
        <f t="shared" si="205"/>
        <v>0</v>
      </c>
      <c r="BW152" s="4438">
        <f t="shared" si="206"/>
        <v>0</v>
      </c>
      <c r="BX152" s="4438">
        <f t="shared" si="207"/>
        <v>0</v>
      </c>
      <c r="BY152" s="4438">
        <f t="shared" si="208"/>
        <v>0</v>
      </c>
    </row>
    <row r="153" spans="1:77" s="1292" customFormat="1">
      <c r="A153" s="2515">
        <v>2</v>
      </c>
      <c r="B153" s="2516">
        <v>20202</v>
      </c>
      <c r="C153" s="2517">
        <v>0.03</v>
      </c>
      <c r="D153" s="2571" t="s">
        <v>426</v>
      </c>
      <c r="E153" s="4387">
        <f>+'11.3. ДА Базова година'!H113</f>
        <v>1</v>
      </c>
      <c r="F153" s="1202">
        <f t="shared" si="213"/>
        <v>1.405</v>
      </c>
      <c r="G153" s="1198">
        <f t="shared" si="213"/>
        <v>2.11</v>
      </c>
      <c r="H153" s="1198">
        <f t="shared" si="213"/>
        <v>2.8149999999999999</v>
      </c>
      <c r="I153" s="1198">
        <f t="shared" si="213"/>
        <v>3.52</v>
      </c>
      <c r="J153" s="1198">
        <f t="shared" si="213"/>
        <v>4.2249999999999996</v>
      </c>
      <c r="K153" s="1203">
        <f t="shared" si="213"/>
        <v>4.93</v>
      </c>
      <c r="L153" s="4387">
        <f>+'11.3. ДА Базова година'!L113</f>
        <v>0</v>
      </c>
      <c r="M153" s="1202">
        <f t="shared" si="214"/>
        <v>0</v>
      </c>
      <c r="N153" s="1198">
        <f t="shared" si="214"/>
        <v>0</v>
      </c>
      <c r="O153" s="1198">
        <f t="shared" si="214"/>
        <v>0</v>
      </c>
      <c r="P153" s="1198">
        <f t="shared" si="214"/>
        <v>0</v>
      </c>
      <c r="Q153" s="1198">
        <f t="shared" si="214"/>
        <v>0</v>
      </c>
      <c r="R153" s="1203">
        <f t="shared" si="214"/>
        <v>0</v>
      </c>
      <c r="S153" s="4387">
        <f>+'11.3. ДА Базова година'!P113</f>
        <v>0</v>
      </c>
      <c r="T153" s="1202">
        <f t="shared" si="215"/>
        <v>0</v>
      </c>
      <c r="U153" s="1198">
        <f t="shared" si="215"/>
        <v>0</v>
      </c>
      <c r="V153" s="1198">
        <f t="shared" si="215"/>
        <v>0</v>
      </c>
      <c r="W153" s="1198">
        <f t="shared" si="215"/>
        <v>0</v>
      </c>
      <c r="X153" s="1198">
        <f t="shared" si="215"/>
        <v>0</v>
      </c>
      <c r="Y153" s="1203">
        <f t="shared" si="215"/>
        <v>0</v>
      </c>
      <c r="Z153" s="4387">
        <f>+'11.3. ДА Базова година'!T113</f>
        <v>0</v>
      </c>
      <c r="AA153" s="1202">
        <f t="shared" si="216"/>
        <v>0</v>
      </c>
      <c r="AB153" s="1198">
        <f t="shared" si="216"/>
        <v>0</v>
      </c>
      <c r="AC153" s="1198">
        <f t="shared" si="216"/>
        <v>0</v>
      </c>
      <c r="AD153" s="1198">
        <f t="shared" si="216"/>
        <v>0</v>
      </c>
      <c r="AE153" s="1198">
        <f t="shared" si="216"/>
        <v>0</v>
      </c>
      <c r="AF153" s="1203">
        <f t="shared" si="216"/>
        <v>0</v>
      </c>
      <c r="AG153" s="4387">
        <f>+'11.3. ДА Базова година'!X113</f>
        <v>0</v>
      </c>
      <c r="AH153" s="1202">
        <f t="shared" si="217"/>
        <v>0</v>
      </c>
      <c r="AI153" s="1198">
        <f t="shared" si="217"/>
        <v>0</v>
      </c>
      <c r="AJ153" s="1198">
        <f t="shared" si="217"/>
        <v>0</v>
      </c>
      <c r="AK153" s="1198">
        <f t="shared" si="217"/>
        <v>0</v>
      </c>
      <c r="AL153" s="1198">
        <f t="shared" si="217"/>
        <v>0</v>
      </c>
      <c r="AM153" s="1203">
        <f t="shared" si="217"/>
        <v>0</v>
      </c>
      <c r="AN153" s="2513"/>
      <c r="AO153" s="2551"/>
      <c r="AP153" s="4422"/>
      <c r="AQ153" s="4438">
        <f t="shared" si="174"/>
        <v>0.51129188119621849</v>
      </c>
      <c r="AR153" s="4438">
        <f t="shared" si="175"/>
        <v>0.71836509308068697</v>
      </c>
      <c r="AS153" s="4438">
        <f t="shared" si="176"/>
        <v>1.0788258693240209</v>
      </c>
      <c r="AT153" s="4438">
        <f t="shared" si="177"/>
        <v>1.439286645567355</v>
      </c>
      <c r="AU153" s="4438">
        <f t="shared" si="178"/>
        <v>1.799747421810689</v>
      </c>
      <c r="AV153" s="4438">
        <f t="shared" si="179"/>
        <v>2.1602081980540229</v>
      </c>
      <c r="AW153" s="4438">
        <f t="shared" si="180"/>
        <v>2.5206689742973571</v>
      </c>
      <c r="AX153" s="4438">
        <f t="shared" si="181"/>
        <v>0</v>
      </c>
      <c r="AY153" s="4438">
        <f t="shared" si="182"/>
        <v>0</v>
      </c>
      <c r="AZ153" s="4438">
        <f t="shared" si="183"/>
        <v>0</v>
      </c>
      <c r="BA153" s="4438">
        <f t="shared" si="184"/>
        <v>0</v>
      </c>
      <c r="BB153" s="4438">
        <f t="shared" si="185"/>
        <v>0</v>
      </c>
      <c r="BC153" s="4438">
        <f t="shared" si="186"/>
        <v>0</v>
      </c>
      <c r="BD153" s="4438">
        <f t="shared" si="187"/>
        <v>0</v>
      </c>
      <c r="BE153" s="4438">
        <f t="shared" si="188"/>
        <v>0</v>
      </c>
      <c r="BF153" s="4438">
        <f t="shared" si="189"/>
        <v>0</v>
      </c>
      <c r="BG153" s="4438">
        <f t="shared" si="190"/>
        <v>0</v>
      </c>
      <c r="BH153" s="4438">
        <f t="shared" si="191"/>
        <v>0</v>
      </c>
      <c r="BI153" s="4438">
        <f t="shared" si="192"/>
        <v>0</v>
      </c>
      <c r="BJ153" s="4438">
        <f t="shared" si="193"/>
        <v>0</v>
      </c>
      <c r="BK153" s="4438">
        <f t="shared" si="194"/>
        <v>0</v>
      </c>
      <c r="BL153" s="4438">
        <f t="shared" si="195"/>
        <v>0</v>
      </c>
      <c r="BM153" s="4438">
        <f t="shared" si="196"/>
        <v>0</v>
      </c>
      <c r="BN153" s="4438">
        <f t="shared" si="197"/>
        <v>0</v>
      </c>
      <c r="BO153" s="4438">
        <f t="shared" si="198"/>
        <v>0</v>
      </c>
      <c r="BP153" s="4438">
        <f t="shared" si="199"/>
        <v>0</v>
      </c>
      <c r="BQ153" s="4438">
        <f t="shared" si="200"/>
        <v>0</v>
      </c>
      <c r="BR153" s="4438">
        <f t="shared" si="201"/>
        <v>0</v>
      </c>
      <c r="BS153" s="4438">
        <f t="shared" si="202"/>
        <v>0</v>
      </c>
      <c r="BT153" s="4438">
        <f t="shared" si="203"/>
        <v>0</v>
      </c>
      <c r="BU153" s="4438">
        <f t="shared" si="204"/>
        <v>0</v>
      </c>
      <c r="BV153" s="4438">
        <f t="shared" si="205"/>
        <v>0</v>
      </c>
      <c r="BW153" s="4438">
        <f t="shared" si="206"/>
        <v>0</v>
      </c>
      <c r="BX153" s="4438">
        <f t="shared" si="207"/>
        <v>0</v>
      </c>
      <c r="BY153" s="4438">
        <f t="shared" si="208"/>
        <v>0</v>
      </c>
    </row>
    <row r="154" spans="1:77" s="1292" customFormat="1">
      <c r="A154" s="2515">
        <v>3</v>
      </c>
      <c r="B154" s="2516">
        <v>2030401</v>
      </c>
      <c r="C154" s="2522">
        <v>0.1</v>
      </c>
      <c r="D154" s="2552" t="s">
        <v>1031</v>
      </c>
      <c r="E154" s="4387">
        <f>+'11.3. ДА Базова година'!H114</f>
        <v>294</v>
      </c>
      <c r="F154" s="1202">
        <f t="shared" si="213"/>
        <v>405.75</v>
      </c>
      <c r="G154" s="1198">
        <f t="shared" si="213"/>
        <v>532.54999999999995</v>
      </c>
      <c r="H154" s="1198">
        <f t="shared" si="213"/>
        <v>661.3</v>
      </c>
      <c r="I154" s="1198">
        <f t="shared" si="213"/>
        <v>795.3</v>
      </c>
      <c r="J154" s="1198">
        <f t="shared" si="213"/>
        <v>940.05</v>
      </c>
      <c r="K154" s="1203">
        <f t="shared" si="213"/>
        <v>1092.8</v>
      </c>
      <c r="L154" s="4387">
        <f>+'11.3. ДА Базова година'!L114</f>
        <v>20</v>
      </c>
      <c r="M154" s="1202">
        <f t="shared" si="214"/>
        <v>23</v>
      </c>
      <c r="N154" s="1198">
        <f t="shared" si="214"/>
        <v>26</v>
      </c>
      <c r="O154" s="1198">
        <f t="shared" si="214"/>
        <v>29</v>
      </c>
      <c r="P154" s="1198">
        <f t="shared" si="214"/>
        <v>32</v>
      </c>
      <c r="Q154" s="1198">
        <f t="shared" si="214"/>
        <v>35</v>
      </c>
      <c r="R154" s="1203">
        <f t="shared" si="214"/>
        <v>35.799999999999997</v>
      </c>
      <c r="S154" s="4387">
        <f>+'11.3. ДА Базова година'!P114</f>
        <v>1</v>
      </c>
      <c r="T154" s="1202">
        <f t="shared" si="215"/>
        <v>1</v>
      </c>
      <c r="U154" s="1198">
        <f t="shared" si="215"/>
        <v>1</v>
      </c>
      <c r="V154" s="1198">
        <f t="shared" si="215"/>
        <v>1</v>
      </c>
      <c r="W154" s="1198">
        <f t="shared" si="215"/>
        <v>1</v>
      </c>
      <c r="X154" s="1198">
        <f t="shared" si="215"/>
        <v>1</v>
      </c>
      <c r="Y154" s="1203">
        <f t="shared" si="215"/>
        <v>1</v>
      </c>
      <c r="Z154" s="4387">
        <f>+'11.3. ДА Базова година'!T114</f>
        <v>0</v>
      </c>
      <c r="AA154" s="1202">
        <f t="shared" si="216"/>
        <v>0</v>
      </c>
      <c r="AB154" s="1198">
        <f t="shared" si="216"/>
        <v>0</v>
      </c>
      <c r="AC154" s="1198">
        <f t="shared" si="216"/>
        <v>0</v>
      </c>
      <c r="AD154" s="1198">
        <f t="shared" si="216"/>
        <v>0</v>
      </c>
      <c r="AE154" s="1198">
        <f t="shared" si="216"/>
        <v>0</v>
      </c>
      <c r="AF154" s="1203">
        <f t="shared" si="216"/>
        <v>0</v>
      </c>
      <c r="AG154" s="4387">
        <f>+'11.3. ДА Базова година'!X114</f>
        <v>0</v>
      </c>
      <c r="AH154" s="1202">
        <f t="shared" si="217"/>
        <v>0</v>
      </c>
      <c r="AI154" s="1198">
        <f t="shared" si="217"/>
        <v>0</v>
      </c>
      <c r="AJ154" s="1198">
        <f t="shared" si="217"/>
        <v>0</v>
      </c>
      <c r="AK154" s="1198">
        <f t="shared" si="217"/>
        <v>0</v>
      </c>
      <c r="AL154" s="1198">
        <f t="shared" si="217"/>
        <v>0</v>
      </c>
      <c r="AM154" s="1203">
        <f t="shared" si="217"/>
        <v>0</v>
      </c>
      <c r="AN154" s="2513"/>
      <c r="AO154" s="2551"/>
      <c r="AP154" s="4422"/>
      <c r="AQ154" s="4438">
        <f t="shared" si="174"/>
        <v>150.31981307168823</v>
      </c>
      <c r="AR154" s="4438">
        <f t="shared" si="175"/>
        <v>207.45668079536566</v>
      </c>
      <c r="AS154" s="4438">
        <f t="shared" si="176"/>
        <v>272.28849133104615</v>
      </c>
      <c r="AT154" s="4438">
        <f t="shared" si="177"/>
        <v>338.11732103505926</v>
      </c>
      <c r="AU154" s="4438">
        <f t="shared" si="178"/>
        <v>406.63043311535256</v>
      </c>
      <c r="AV154" s="4438">
        <f t="shared" si="179"/>
        <v>480.63993291850517</v>
      </c>
      <c r="AW154" s="4438">
        <f t="shared" si="180"/>
        <v>558.73976777122755</v>
      </c>
      <c r="AX154" s="4438">
        <f t="shared" si="181"/>
        <v>10.22583762392437</v>
      </c>
      <c r="AY154" s="4438">
        <f t="shared" si="182"/>
        <v>11.759713267513025</v>
      </c>
      <c r="AZ154" s="4438">
        <f t="shared" si="183"/>
        <v>13.293588911101681</v>
      </c>
      <c r="BA154" s="4438">
        <f t="shared" si="184"/>
        <v>14.827464554690337</v>
      </c>
      <c r="BB154" s="4438">
        <f t="shared" si="185"/>
        <v>16.361340198278992</v>
      </c>
      <c r="BC154" s="4438">
        <f t="shared" si="186"/>
        <v>17.895215841867646</v>
      </c>
      <c r="BD154" s="4438">
        <f t="shared" si="187"/>
        <v>18.304249346824619</v>
      </c>
      <c r="BE154" s="4438">
        <f t="shared" si="188"/>
        <v>0.51129188119621849</v>
      </c>
      <c r="BF154" s="4438">
        <f t="shared" si="189"/>
        <v>0.51129188119621849</v>
      </c>
      <c r="BG154" s="4438">
        <f t="shared" si="190"/>
        <v>0.51129188119621849</v>
      </c>
      <c r="BH154" s="4438">
        <f t="shared" si="191"/>
        <v>0.51129188119621849</v>
      </c>
      <c r="BI154" s="4438">
        <f t="shared" si="192"/>
        <v>0.51129188119621849</v>
      </c>
      <c r="BJ154" s="4438">
        <f t="shared" si="193"/>
        <v>0.51129188119621849</v>
      </c>
      <c r="BK154" s="4438">
        <f t="shared" si="194"/>
        <v>0.51129188119621849</v>
      </c>
      <c r="BL154" s="4438">
        <f t="shared" si="195"/>
        <v>0</v>
      </c>
      <c r="BM154" s="4438">
        <f t="shared" si="196"/>
        <v>0</v>
      </c>
      <c r="BN154" s="4438">
        <f t="shared" si="197"/>
        <v>0</v>
      </c>
      <c r="BO154" s="4438">
        <f t="shared" si="198"/>
        <v>0</v>
      </c>
      <c r="BP154" s="4438">
        <f t="shared" si="199"/>
        <v>0</v>
      </c>
      <c r="BQ154" s="4438">
        <f t="shared" si="200"/>
        <v>0</v>
      </c>
      <c r="BR154" s="4438">
        <f t="shared" si="201"/>
        <v>0</v>
      </c>
      <c r="BS154" s="4438">
        <f t="shared" si="202"/>
        <v>0</v>
      </c>
      <c r="BT154" s="4438">
        <f t="shared" si="203"/>
        <v>0</v>
      </c>
      <c r="BU154" s="4438">
        <f t="shared" si="204"/>
        <v>0</v>
      </c>
      <c r="BV154" s="4438">
        <f t="shared" si="205"/>
        <v>0</v>
      </c>
      <c r="BW154" s="4438">
        <f t="shared" si="206"/>
        <v>0</v>
      </c>
      <c r="BX154" s="4438">
        <f t="shared" si="207"/>
        <v>0</v>
      </c>
      <c r="BY154" s="4438">
        <f t="shared" si="208"/>
        <v>0</v>
      </c>
    </row>
    <row r="155" spans="1:77" s="1292" customFormat="1">
      <c r="A155" s="2515">
        <v>4</v>
      </c>
      <c r="B155" s="2516">
        <v>2030402</v>
      </c>
      <c r="C155" s="2522">
        <v>0.1</v>
      </c>
      <c r="D155" s="2552" t="s">
        <v>429</v>
      </c>
      <c r="E155" s="4387">
        <f>+'11.3. ДА Базова година'!H115</f>
        <v>85</v>
      </c>
      <c r="F155" s="1202">
        <f>E155+F135</f>
        <v>111.7</v>
      </c>
      <c r="G155" s="1198">
        <f t="shared" si="213"/>
        <v>138.4</v>
      </c>
      <c r="H155" s="1198">
        <f t="shared" si="213"/>
        <v>164</v>
      </c>
      <c r="I155" s="1198">
        <f t="shared" si="213"/>
        <v>189</v>
      </c>
      <c r="J155" s="1198">
        <f t="shared" si="213"/>
        <v>212.2</v>
      </c>
      <c r="K155" s="1203">
        <f t="shared" si="213"/>
        <v>235.39999999999998</v>
      </c>
      <c r="L155" s="4387">
        <f>+'11.3. ДА Базова година'!L115</f>
        <v>1</v>
      </c>
      <c r="M155" s="1202">
        <f t="shared" si="214"/>
        <v>1</v>
      </c>
      <c r="N155" s="1198">
        <f t="shared" si="214"/>
        <v>1</v>
      </c>
      <c r="O155" s="1198">
        <f t="shared" si="214"/>
        <v>0.9</v>
      </c>
      <c r="P155" s="1198">
        <f t="shared" si="214"/>
        <v>0.8</v>
      </c>
      <c r="Q155" s="1198">
        <f t="shared" si="214"/>
        <v>0.70000000000000007</v>
      </c>
      <c r="R155" s="1203">
        <f t="shared" si="214"/>
        <v>0.60000000000000009</v>
      </c>
      <c r="S155" s="4387">
        <f>+'11.3. ДА Базова година'!P115</f>
        <v>7</v>
      </c>
      <c r="T155" s="1202">
        <f t="shared" si="215"/>
        <v>10</v>
      </c>
      <c r="U155" s="1198">
        <f t="shared" si="215"/>
        <v>13</v>
      </c>
      <c r="V155" s="1198">
        <f t="shared" si="215"/>
        <v>16</v>
      </c>
      <c r="W155" s="1198">
        <f t="shared" si="215"/>
        <v>19</v>
      </c>
      <c r="X155" s="1198">
        <f t="shared" si="215"/>
        <v>21.9</v>
      </c>
      <c r="Y155" s="1203">
        <f t="shared" si="215"/>
        <v>24.799999999999997</v>
      </c>
      <c r="Z155" s="4387">
        <f>+'11.3. ДА Базова година'!T115</f>
        <v>0</v>
      </c>
      <c r="AA155" s="1202">
        <f t="shared" si="216"/>
        <v>0</v>
      </c>
      <c r="AB155" s="1198">
        <f t="shared" si="216"/>
        <v>0</v>
      </c>
      <c r="AC155" s="1198">
        <f t="shared" si="216"/>
        <v>0</v>
      </c>
      <c r="AD155" s="1198">
        <f t="shared" si="216"/>
        <v>0</v>
      </c>
      <c r="AE155" s="1198">
        <f t="shared" si="216"/>
        <v>0</v>
      </c>
      <c r="AF155" s="1203">
        <f t="shared" si="216"/>
        <v>0</v>
      </c>
      <c r="AG155" s="4387">
        <f>+'11.3. ДА Базова година'!X115</f>
        <v>0</v>
      </c>
      <c r="AH155" s="1202">
        <f t="shared" si="217"/>
        <v>0</v>
      </c>
      <c r="AI155" s="1198">
        <f t="shared" si="217"/>
        <v>0</v>
      </c>
      <c r="AJ155" s="1198">
        <f t="shared" si="217"/>
        <v>0</v>
      </c>
      <c r="AK155" s="1198">
        <f t="shared" si="217"/>
        <v>0</v>
      </c>
      <c r="AL155" s="1198">
        <f t="shared" si="217"/>
        <v>0</v>
      </c>
      <c r="AM155" s="1203">
        <f t="shared" si="217"/>
        <v>0</v>
      </c>
      <c r="AN155" s="2513"/>
      <c r="AO155" s="2551"/>
      <c r="AP155" s="4422"/>
      <c r="AQ155" s="4438">
        <f t="shared" si="174"/>
        <v>43.459809901678575</v>
      </c>
      <c r="AR155" s="4438">
        <f t="shared" si="175"/>
        <v>57.11130312961761</v>
      </c>
      <c r="AS155" s="4438">
        <f t="shared" si="176"/>
        <v>70.762796357556638</v>
      </c>
      <c r="AT155" s="4438">
        <f t="shared" si="177"/>
        <v>83.851868516179835</v>
      </c>
      <c r="AU155" s="4438">
        <f t="shared" si="178"/>
        <v>96.634165546085299</v>
      </c>
      <c r="AV155" s="4438">
        <f t="shared" si="179"/>
        <v>108.49613718983755</v>
      </c>
      <c r="AW155" s="4438">
        <f t="shared" si="180"/>
        <v>120.35810883358982</v>
      </c>
      <c r="AX155" s="4438">
        <f t="shared" si="181"/>
        <v>0.51129188119621849</v>
      </c>
      <c r="AY155" s="4438">
        <f t="shared" si="182"/>
        <v>0.51129188119621849</v>
      </c>
      <c r="AZ155" s="4438">
        <f t="shared" si="183"/>
        <v>0.51129188119621849</v>
      </c>
      <c r="BA155" s="4438">
        <f t="shared" si="184"/>
        <v>0.46016269307659668</v>
      </c>
      <c r="BB155" s="4438">
        <f t="shared" si="185"/>
        <v>0.40903350495697482</v>
      </c>
      <c r="BC155" s="4438">
        <f t="shared" si="186"/>
        <v>0.35790431683735296</v>
      </c>
      <c r="BD155" s="4438">
        <f t="shared" si="187"/>
        <v>0.30677512871773116</v>
      </c>
      <c r="BE155" s="4438">
        <f t="shared" si="188"/>
        <v>3.5790431683735293</v>
      </c>
      <c r="BF155" s="4438">
        <f t="shared" si="189"/>
        <v>5.1129188119621851</v>
      </c>
      <c r="BG155" s="4438">
        <f t="shared" si="190"/>
        <v>6.6467944555508405</v>
      </c>
      <c r="BH155" s="4438">
        <f t="shared" si="191"/>
        <v>8.1806700991394958</v>
      </c>
      <c r="BI155" s="4438">
        <f t="shared" si="192"/>
        <v>9.7145457427281521</v>
      </c>
      <c r="BJ155" s="4438">
        <f t="shared" si="193"/>
        <v>11.197292198197184</v>
      </c>
      <c r="BK155" s="4438">
        <f t="shared" si="194"/>
        <v>12.680038653666218</v>
      </c>
      <c r="BL155" s="4438">
        <f t="shared" si="195"/>
        <v>0</v>
      </c>
      <c r="BM155" s="4438">
        <f t="shared" si="196"/>
        <v>0</v>
      </c>
      <c r="BN155" s="4438">
        <f t="shared" si="197"/>
        <v>0</v>
      </c>
      <c r="BO155" s="4438">
        <f t="shared" si="198"/>
        <v>0</v>
      </c>
      <c r="BP155" s="4438">
        <f t="shared" si="199"/>
        <v>0</v>
      </c>
      <c r="BQ155" s="4438">
        <f t="shared" si="200"/>
        <v>0</v>
      </c>
      <c r="BR155" s="4438">
        <f t="shared" si="201"/>
        <v>0</v>
      </c>
      <c r="BS155" s="4438">
        <f t="shared" si="202"/>
        <v>0</v>
      </c>
      <c r="BT155" s="4438">
        <f t="shared" si="203"/>
        <v>0</v>
      </c>
      <c r="BU155" s="4438">
        <f t="shared" si="204"/>
        <v>0</v>
      </c>
      <c r="BV155" s="4438">
        <f t="shared" si="205"/>
        <v>0</v>
      </c>
      <c r="BW155" s="4438">
        <f t="shared" si="206"/>
        <v>0</v>
      </c>
      <c r="BX155" s="4438">
        <f t="shared" si="207"/>
        <v>0</v>
      </c>
      <c r="BY155" s="4438">
        <f t="shared" si="208"/>
        <v>0</v>
      </c>
    </row>
    <row r="156" spans="1:77" s="1292" customFormat="1">
      <c r="A156" s="2515">
        <v>5</v>
      </c>
      <c r="B156" s="2516">
        <v>2030501</v>
      </c>
      <c r="C156" s="2522">
        <v>0.1</v>
      </c>
      <c r="D156" s="2552" t="s">
        <v>408</v>
      </c>
      <c r="E156" s="4387">
        <f>+'11.3. ДА Базова година'!H116</f>
        <v>135</v>
      </c>
      <c r="F156" s="1202">
        <f t="shared" ref="F156:K170" si="218">E156+F136</f>
        <v>205.28546875000001</v>
      </c>
      <c r="G156" s="1198">
        <f t="shared" si="218"/>
        <v>336.40205264450208</v>
      </c>
      <c r="H156" s="1198">
        <f t="shared" si="218"/>
        <v>562.44009993771692</v>
      </c>
      <c r="I156" s="1198">
        <f t="shared" si="218"/>
        <v>874.28678404614857</v>
      </c>
      <c r="J156" s="1198">
        <f t="shared" si="218"/>
        <v>1260.7635300885217</v>
      </c>
      <c r="K156" s="1203">
        <f t="shared" si="218"/>
        <v>1726.7612199968071</v>
      </c>
      <c r="L156" s="4387">
        <f>+'11.3. ДА Базова година'!L116</f>
        <v>54</v>
      </c>
      <c r="M156" s="1202">
        <f t="shared" si="214"/>
        <v>81.439687500000005</v>
      </c>
      <c r="N156" s="1198">
        <f t="shared" si="214"/>
        <v>118.15264100676572</v>
      </c>
      <c r="O156" s="1198">
        <f t="shared" si="214"/>
        <v>167.10262404070284</v>
      </c>
      <c r="P156" s="1198">
        <f t="shared" si="214"/>
        <v>227.50353052412964</v>
      </c>
      <c r="Q156" s="1198">
        <f t="shared" si="214"/>
        <v>295.68116713023323</v>
      </c>
      <c r="R156" s="1203">
        <f t="shared" si="214"/>
        <v>369.6224995138914</v>
      </c>
      <c r="S156" s="4387">
        <f>+'11.3. ДА Базова година'!P116</f>
        <v>84</v>
      </c>
      <c r="T156" s="1202">
        <f t="shared" si="215"/>
        <v>126.97484375000001</v>
      </c>
      <c r="U156" s="1198">
        <f t="shared" si="215"/>
        <v>177.44530634873223</v>
      </c>
      <c r="V156" s="1198">
        <f t="shared" si="215"/>
        <v>251.45727602158024</v>
      </c>
      <c r="W156" s="1198">
        <f t="shared" si="215"/>
        <v>352.15968542972183</v>
      </c>
      <c r="X156" s="1198">
        <f t="shared" si="215"/>
        <v>469.91530278124509</v>
      </c>
      <c r="Y156" s="1203">
        <f t="shared" si="215"/>
        <v>598.19628048930167</v>
      </c>
      <c r="Z156" s="4387">
        <f>+'11.3. ДА Базова година'!T116</f>
        <v>0</v>
      </c>
      <c r="AA156" s="1202">
        <f t="shared" si="216"/>
        <v>0</v>
      </c>
      <c r="AB156" s="1198">
        <f t="shared" si="216"/>
        <v>0</v>
      </c>
      <c r="AC156" s="1198">
        <f t="shared" si="216"/>
        <v>0</v>
      </c>
      <c r="AD156" s="1198">
        <f t="shared" si="216"/>
        <v>0</v>
      </c>
      <c r="AE156" s="1198">
        <f t="shared" si="216"/>
        <v>0</v>
      </c>
      <c r="AF156" s="1203">
        <f t="shared" si="216"/>
        <v>0</v>
      </c>
      <c r="AG156" s="4387">
        <f>+'11.3. ДА Базова година'!X116</f>
        <v>0</v>
      </c>
      <c r="AH156" s="1202">
        <f t="shared" si="217"/>
        <v>0</v>
      </c>
      <c r="AI156" s="1198">
        <f t="shared" si="217"/>
        <v>0</v>
      </c>
      <c r="AJ156" s="1198">
        <f t="shared" si="217"/>
        <v>0</v>
      </c>
      <c r="AK156" s="1198">
        <f t="shared" si="217"/>
        <v>0</v>
      </c>
      <c r="AL156" s="1198">
        <f t="shared" si="217"/>
        <v>0</v>
      </c>
      <c r="AM156" s="1203">
        <f t="shared" si="217"/>
        <v>0</v>
      </c>
      <c r="AN156" s="2513"/>
      <c r="AO156" s="2551"/>
      <c r="AP156" s="4422"/>
      <c r="AQ156" s="4438">
        <f t="shared" si="174"/>
        <v>69.024403961489497</v>
      </c>
      <c r="AR156" s="4438">
        <f t="shared" si="175"/>
        <v>104.96079349943503</v>
      </c>
      <c r="AS156" s="4438">
        <f t="shared" si="176"/>
        <v>171.99963833487681</v>
      </c>
      <c r="AT156" s="4438">
        <f t="shared" si="177"/>
        <v>287.57105675734442</v>
      </c>
      <c r="AU156" s="4438">
        <f t="shared" si="178"/>
        <v>447.01573451994733</v>
      </c>
      <c r="AV156" s="4438">
        <f t="shared" si="179"/>
        <v>644.61815704254548</v>
      </c>
      <c r="AW156" s="4438">
        <f t="shared" si="180"/>
        <v>882.87899254884485</v>
      </c>
      <c r="AX156" s="4438">
        <f t="shared" si="181"/>
        <v>27.609761584595798</v>
      </c>
      <c r="AY156" s="4438">
        <f t="shared" si="182"/>
        <v>41.639451025907164</v>
      </c>
      <c r="AZ156" s="4438">
        <f t="shared" si="183"/>
        <v>60.410486088650714</v>
      </c>
      <c r="BA156" s="4438">
        <f t="shared" si="184"/>
        <v>85.438214998595399</v>
      </c>
      <c r="BB156" s="4438">
        <f t="shared" si="185"/>
        <v>116.32070810046356</v>
      </c>
      <c r="BC156" s="4438">
        <f t="shared" si="186"/>
        <v>151.17938017631045</v>
      </c>
      <c r="BD156" s="4438">
        <f t="shared" si="187"/>
        <v>188.98498310890588</v>
      </c>
      <c r="BE156" s="4438">
        <f t="shared" si="188"/>
        <v>42.948518020482354</v>
      </c>
      <c r="BF156" s="4438">
        <f t="shared" si="189"/>
        <v>64.921206725533409</v>
      </c>
      <c r="BG156" s="4438">
        <f t="shared" si="190"/>
        <v>90.726344492482596</v>
      </c>
      <c r="BH156" s="4438">
        <f t="shared" si="191"/>
        <v>128.56806369755051</v>
      </c>
      <c r="BI156" s="4438">
        <f t="shared" si="192"/>
        <v>180.05638804483101</v>
      </c>
      <c r="BJ156" s="4438">
        <f t="shared" si="193"/>
        <v>240.26387916191339</v>
      </c>
      <c r="BK156" s="4438">
        <f t="shared" si="194"/>
        <v>305.85290157595585</v>
      </c>
      <c r="BL156" s="4438">
        <f t="shared" si="195"/>
        <v>0</v>
      </c>
      <c r="BM156" s="4438">
        <f t="shared" si="196"/>
        <v>0</v>
      </c>
      <c r="BN156" s="4438">
        <f t="shared" si="197"/>
        <v>0</v>
      </c>
      <c r="BO156" s="4438">
        <f t="shared" si="198"/>
        <v>0</v>
      </c>
      <c r="BP156" s="4438">
        <f t="shared" si="199"/>
        <v>0</v>
      </c>
      <c r="BQ156" s="4438">
        <f t="shared" si="200"/>
        <v>0</v>
      </c>
      <c r="BR156" s="4438">
        <f t="shared" si="201"/>
        <v>0</v>
      </c>
      <c r="BS156" s="4438">
        <f t="shared" si="202"/>
        <v>0</v>
      </c>
      <c r="BT156" s="4438">
        <f t="shared" si="203"/>
        <v>0</v>
      </c>
      <c r="BU156" s="4438">
        <f t="shared" si="204"/>
        <v>0</v>
      </c>
      <c r="BV156" s="4438">
        <f t="shared" si="205"/>
        <v>0</v>
      </c>
      <c r="BW156" s="4438">
        <f t="shared" si="206"/>
        <v>0</v>
      </c>
      <c r="BX156" s="4438">
        <f t="shared" si="207"/>
        <v>0</v>
      </c>
      <c r="BY156" s="4438">
        <f t="shared" si="208"/>
        <v>0</v>
      </c>
    </row>
    <row r="157" spans="1:77" s="1292" customFormat="1" ht="24">
      <c r="A157" s="2515">
        <v>6</v>
      </c>
      <c r="B157" s="2516">
        <v>2030502</v>
      </c>
      <c r="C157" s="2522">
        <v>0.1</v>
      </c>
      <c r="D157" s="2552" t="s">
        <v>695</v>
      </c>
      <c r="E157" s="4387">
        <f>+'11.3. ДА Базова година'!H117</f>
        <v>299</v>
      </c>
      <c r="F157" s="1202">
        <f t="shared" si="218"/>
        <v>390.5</v>
      </c>
      <c r="G157" s="1198">
        <f t="shared" si="218"/>
        <v>490.4</v>
      </c>
      <c r="H157" s="1198">
        <f t="shared" si="218"/>
        <v>585.1</v>
      </c>
      <c r="I157" s="1198">
        <f t="shared" si="218"/>
        <v>676.1</v>
      </c>
      <c r="J157" s="1198">
        <f t="shared" si="218"/>
        <v>765.65</v>
      </c>
      <c r="K157" s="1203">
        <f t="shared" si="218"/>
        <v>857.25</v>
      </c>
      <c r="L157" s="4387">
        <f>+'11.3. ДА Базова година'!L117</f>
        <v>0</v>
      </c>
      <c r="M157" s="1202">
        <f t="shared" si="214"/>
        <v>0</v>
      </c>
      <c r="N157" s="1198">
        <f t="shared" si="214"/>
        <v>0</v>
      </c>
      <c r="O157" s="1198">
        <f t="shared" si="214"/>
        <v>0</v>
      </c>
      <c r="P157" s="1198">
        <f t="shared" si="214"/>
        <v>0</v>
      </c>
      <c r="Q157" s="1198">
        <f t="shared" si="214"/>
        <v>0</v>
      </c>
      <c r="R157" s="1203">
        <f t="shared" si="214"/>
        <v>0</v>
      </c>
      <c r="S157" s="4387">
        <f>+'11.3. ДА Базова година'!P117</f>
        <v>0</v>
      </c>
      <c r="T157" s="1202">
        <f t="shared" si="215"/>
        <v>0</v>
      </c>
      <c r="U157" s="1198">
        <f t="shared" si="215"/>
        <v>0</v>
      </c>
      <c r="V157" s="1198">
        <f t="shared" si="215"/>
        <v>0</v>
      </c>
      <c r="W157" s="1198">
        <f t="shared" si="215"/>
        <v>0</v>
      </c>
      <c r="X157" s="1198">
        <f t="shared" si="215"/>
        <v>0</v>
      </c>
      <c r="Y157" s="1203">
        <f t="shared" si="215"/>
        <v>0</v>
      </c>
      <c r="Z157" s="4387">
        <f>+'11.3. ДА Базова година'!T117</f>
        <v>0</v>
      </c>
      <c r="AA157" s="1202">
        <f t="shared" si="216"/>
        <v>0</v>
      </c>
      <c r="AB157" s="1198">
        <f t="shared" si="216"/>
        <v>0</v>
      </c>
      <c r="AC157" s="1198">
        <f t="shared" si="216"/>
        <v>0</v>
      </c>
      <c r="AD157" s="1198">
        <f t="shared" si="216"/>
        <v>0</v>
      </c>
      <c r="AE157" s="1198">
        <f t="shared" si="216"/>
        <v>0</v>
      </c>
      <c r="AF157" s="1203">
        <f t="shared" si="216"/>
        <v>0</v>
      </c>
      <c r="AG157" s="4387">
        <f>+'11.3. ДА Базова година'!X117</f>
        <v>0</v>
      </c>
      <c r="AH157" s="1202">
        <f t="shared" si="217"/>
        <v>0</v>
      </c>
      <c r="AI157" s="1198">
        <f t="shared" si="217"/>
        <v>0</v>
      </c>
      <c r="AJ157" s="1198">
        <f t="shared" si="217"/>
        <v>0</v>
      </c>
      <c r="AK157" s="1198">
        <f t="shared" si="217"/>
        <v>0</v>
      </c>
      <c r="AL157" s="1198">
        <f t="shared" si="217"/>
        <v>0</v>
      </c>
      <c r="AM157" s="1203">
        <f t="shared" si="217"/>
        <v>0</v>
      </c>
      <c r="AN157" s="2513"/>
      <c r="AO157" s="2551"/>
      <c r="AP157" s="4422"/>
      <c r="AQ157" s="4438">
        <f t="shared" si="174"/>
        <v>152.87627247766932</v>
      </c>
      <c r="AR157" s="4438">
        <f t="shared" si="175"/>
        <v>199.65947960712333</v>
      </c>
      <c r="AS157" s="4438">
        <f t="shared" si="176"/>
        <v>250.73753853862553</v>
      </c>
      <c r="AT157" s="4438">
        <f t="shared" si="177"/>
        <v>299.15687968790746</v>
      </c>
      <c r="AU157" s="4438">
        <f t="shared" si="178"/>
        <v>345.68444087676335</v>
      </c>
      <c r="AV157" s="4438">
        <f t="shared" si="179"/>
        <v>391.4706288378847</v>
      </c>
      <c r="AW157" s="4438">
        <f t="shared" si="180"/>
        <v>438.30496515545832</v>
      </c>
      <c r="AX157" s="4438">
        <f t="shared" si="181"/>
        <v>0</v>
      </c>
      <c r="AY157" s="4438">
        <f t="shared" si="182"/>
        <v>0</v>
      </c>
      <c r="AZ157" s="4438">
        <f t="shared" si="183"/>
        <v>0</v>
      </c>
      <c r="BA157" s="4438">
        <f t="shared" si="184"/>
        <v>0</v>
      </c>
      <c r="BB157" s="4438">
        <f t="shared" si="185"/>
        <v>0</v>
      </c>
      <c r="BC157" s="4438">
        <f t="shared" si="186"/>
        <v>0</v>
      </c>
      <c r="BD157" s="4438">
        <f t="shared" si="187"/>
        <v>0</v>
      </c>
      <c r="BE157" s="4438">
        <f t="shared" si="188"/>
        <v>0</v>
      </c>
      <c r="BF157" s="4438">
        <f t="shared" si="189"/>
        <v>0</v>
      </c>
      <c r="BG157" s="4438">
        <f t="shared" si="190"/>
        <v>0</v>
      </c>
      <c r="BH157" s="4438">
        <f t="shared" si="191"/>
        <v>0</v>
      </c>
      <c r="BI157" s="4438">
        <f t="shared" si="192"/>
        <v>0</v>
      </c>
      <c r="BJ157" s="4438">
        <f t="shared" si="193"/>
        <v>0</v>
      </c>
      <c r="BK157" s="4438">
        <f t="shared" si="194"/>
        <v>0</v>
      </c>
      <c r="BL157" s="4438">
        <f t="shared" si="195"/>
        <v>0</v>
      </c>
      <c r="BM157" s="4438">
        <f t="shared" si="196"/>
        <v>0</v>
      </c>
      <c r="BN157" s="4438">
        <f t="shared" si="197"/>
        <v>0</v>
      </c>
      <c r="BO157" s="4438">
        <f t="shared" si="198"/>
        <v>0</v>
      </c>
      <c r="BP157" s="4438">
        <f t="shared" si="199"/>
        <v>0</v>
      </c>
      <c r="BQ157" s="4438">
        <f t="shared" si="200"/>
        <v>0</v>
      </c>
      <c r="BR157" s="4438">
        <f t="shared" si="201"/>
        <v>0</v>
      </c>
      <c r="BS157" s="4438">
        <f t="shared" si="202"/>
        <v>0</v>
      </c>
      <c r="BT157" s="4438">
        <f t="shared" si="203"/>
        <v>0</v>
      </c>
      <c r="BU157" s="4438">
        <f t="shared" si="204"/>
        <v>0</v>
      </c>
      <c r="BV157" s="4438">
        <f t="shared" si="205"/>
        <v>0</v>
      </c>
      <c r="BW157" s="4438">
        <f t="shared" si="206"/>
        <v>0</v>
      </c>
      <c r="BX157" s="4438">
        <f t="shared" si="207"/>
        <v>0</v>
      </c>
      <c r="BY157" s="4438">
        <f t="shared" si="208"/>
        <v>0</v>
      </c>
    </row>
    <row r="158" spans="1:77" s="1292" customFormat="1">
      <c r="A158" s="2515">
        <v>7</v>
      </c>
      <c r="B158" s="2516">
        <v>2030503</v>
      </c>
      <c r="C158" s="2522">
        <v>0.1</v>
      </c>
      <c r="D158" s="2552" t="s">
        <v>713</v>
      </c>
      <c r="E158" s="4387">
        <f>+'11.3. ДА Базова година'!H118</f>
        <v>85</v>
      </c>
      <c r="F158" s="1202">
        <f t="shared" si="218"/>
        <v>111.1</v>
      </c>
      <c r="G158" s="1198">
        <f t="shared" si="218"/>
        <v>142.29999999999998</v>
      </c>
      <c r="H158" s="1198">
        <f t="shared" si="218"/>
        <v>173.39999999999998</v>
      </c>
      <c r="I158" s="1198">
        <f t="shared" si="218"/>
        <v>205.89999999999998</v>
      </c>
      <c r="J158" s="1198">
        <f t="shared" si="218"/>
        <v>241.2</v>
      </c>
      <c r="K158" s="1203">
        <f t="shared" si="218"/>
        <v>280.79999999999995</v>
      </c>
      <c r="L158" s="4387">
        <f>+'11.3. ДА Базова година'!L118</f>
        <v>2</v>
      </c>
      <c r="M158" s="1202">
        <f t="shared" si="214"/>
        <v>3.1</v>
      </c>
      <c r="N158" s="1198">
        <f t="shared" si="214"/>
        <v>4.3</v>
      </c>
      <c r="O158" s="1198">
        <f t="shared" si="214"/>
        <v>5.5</v>
      </c>
      <c r="P158" s="1198">
        <f t="shared" si="214"/>
        <v>6.7</v>
      </c>
      <c r="Q158" s="1198">
        <f t="shared" si="214"/>
        <v>7.9</v>
      </c>
      <c r="R158" s="1203">
        <f t="shared" si="214"/>
        <v>9.1</v>
      </c>
      <c r="S158" s="4387">
        <f>+'11.3. ДА Базова година'!P118</f>
        <v>5</v>
      </c>
      <c r="T158" s="1202">
        <f t="shared" si="215"/>
        <v>6.5</v>
      </c>
      <c r="U158" s="1198">
        <f t="shared" si="215"/>
        <v>8.5</v>
      </c>
      <c r="V158" s="1198">
        <f t="shared" si="215"/>
        <v>10.5</v>
      </c>
      <c r="W158" s="1198">
        <f t="shared" si="215"/>
        <v>12.5</v>
      </c>
      <c r="X158" s="1198">
        <f t="shared" si="215"/>
        <v>13.9</v>
      </c>
      <c r="Y158" s="1203">
        <f t="shared" si="215"/>
        <v>15.3</v>
      </c>
      <c r="Z158" s="4387">
        <f>+'11.3. ДА Базова година'!T118</f>
        <v>0</v>
      </c>
      <c r="AA158" s="1202">
        <f t="shared" si="216"/>
        <v>0</v>
      </c>
      <c r="AB158" s="1198">
        <f t="shared" si="216"/>
        <v>0</v>
      </c>
      <c r="AC158" s="1198">
        <f t="shared" si="216"/>
        <v>0</v>
      </c>
      <c r="AD158" s="1198">
        <f t="shared" si="216"/>
        <v>0</v>
      </c>
      <c r="AE158" s="1198">
        <f t="shared" si="216"/>
        <v>0</v>
      </c>
      <c r="AF158" s="1203">
        <f t="shared" si="216"/>
        <v>0</v>
      </c>
      <c r="AG158" s="4387">
        <f>+'11.3. ДА Базова година'!X118</f>
        <v>0</v>
      </c>
      <c r="AH158" s="1202">
        <f t="shared" si="217"/>
        <v>0</v>
      </c>
      <c r="AI158" s="1198">
        <f t="shared" si="217"/>
        <v>0</v>
      </c>
      <c r="AJ158" s="1198">
        <f t="shared" si="217"/>
        <v>0</v>
      </c>
      <c r="AK158" s="1198">
        <f t="shared" si="217"/>
        <v>0</v>
      </c>
      <c r="AL158" s="1198">
        <f t="shared" si="217"/>
        <v>0</v>
      </c>
      <c r="AM158" s="1203">
        <f t="shared" si="217"/>
        <v>0</v>
      </c>
      <c r="AN158" s="2513"/>
      <c r="AO158" s="2551"/>
      <c r="AP158" s="4422"/>
      <c r="AQ158" s="4438">
        <f t="shared" si="174"/>
        <v>43.459809901678575</v>
      </c>
      <c r="AR158" s="4438">
        <f t="shared" si="175"/>
        <v>56.804528000899872</v>
      </c>
      <c r="AS158" s="4438">
        <f t="shared" si="176"/>
        <v>72.75683469422188</v>
      </c>
      <c r="AT158" s="4438">
        <f t="shared" si="177"/>
        <v>88.658012199424277</v>
      </c>
      <c r="AU158" s="4438">
        <f t="shared" si="178"/>
        <v>105.27499833830137</v>
      </c>
      <c r="AV158" s="4438">
        <f t="shared" si="179"/>
        <v>123.32360174452789</v>
      </c>
      <c r="AW158" s="4438">
        <f t="shared" si="180"/>
        <v>143.57076023989814</v>
      </c>
      <c r="AX158" s="4438">
        <f t="shared" si="181"/>
        <v>1.022583762392437</v>
      </c>
      <c r="AY158" s="4438">
        <f t="shared" si="182"/>
        <v>1.5850048317082774</v>
      </c>
      <c r="AZ158" s="4438">
        <f t="shared" si="183"/>
        <v>2.1985550891437393</v>
      </c>
      <c r="BA158" s="4438">
        <f t="shared" si="184"/>
        <v>2.8121053465792016</v>
      </c>
      <c r="BB158" s="4438">
        <f t="shared" si="185"/>
        <v>3.425655604014664</v>
      </c>
      <c r="BC158" s="4438">
        <f t="shared" si="186"/>
        <v>4.0392058614501263</v>
      </c>
      <c r="BD158" s="4438">
        <f t="shared" si="187"/>
        <v>4.6527561188855877</v>
      </c>
      <c r="BE158" s="4438">
        <f t="shared" si="188"/>
        <v>2.5564594059810926</v>
      </c>
      <c r="BF158" s="4438">
        <f t="shared" si="189"/>
        <v>3.3233972277754202</v>
      </c>
      <c r="BG158" s="4438">
        <f t="shared" si="190"/>
        <v>4.345980990167857</v>
      </c>
      <c r="BH158" s="4438">
        <f t="shared" si="191"/>
        <v>5.3685647525602942</v>
      </c>
      <c r="BI158" s="4438">
        <f t="shared" si="192"/>
        <v>6.3911485149527314</v>
      </c>
      <c r="BJ158" s="4438">
        <f t="shared" si="193"/>
        <v>7.106957148627437</v>
      </c>
      <c r="BK158" s="4438">
        <f t="shared" si="194"/>
        <v>7.8227657823021435</v>
      </c>
      <c r="BL158" s="4438">
        <f t="shared" si="195"/>
        <v>0</v>
      </c>
      <c r="BM158" s="4438">
        <f t="shared" si="196"/>
        <v>0</v>
      </c>
      <c r="BN158" s="4438">
        <f t="shared" si="197"/>
        <v>0</v>
      </c>
      <c r="BO158" s="4438">
        <f t="shared" si="198"/>
        <v>0</v>
      </c>
      <c r="BP158" s="4438">
        <f t="shared" si="199"/>
        <v>0</v>
      </c>
      <c r="BQ158" s="4438">
        <f t="shared" si="200"/>
        <v>0</v>
      </c>
      <c r="BR158" s="4438">
        <f t="shared" si="201"/>
        <v>0</v>
      </c>
      <c r="BS158" s="4438">
        <f t="shared" si="202"/>
        <v>0</v>
      </c>
      <c r="BT158" s="4438">
        <f t="shared" si="203"/>
        <v>0</v>
      </c>
      <c r="BU158" s="4438">
        <f t="shared" si="204"/>
        <v>0</v>
      </c>
      <c r="BV158" s="4438">
        <f t="shared" si="205"/>
        <v>0</v>
      </c>
      <c r="BW158" s="4438">
        <f t="shared" si="206"/>
        <v>0</v>
      </c>
      <c r="BX158" s="4438">
        <f t="shared" si="207"/>
        <v>0</v>
      </c>
      <c r="BY158" s="4438">
        <f t="shared" si="208"/>
        <v>0</v>
      </c>
    </row>
    <row r="159" spans="1:77" s="1292" customFormat="1">
      <c r="A159" s="2515">
        <v>8</v>
      </c>
      <c r="B159" s="2516">
        <v>2040101</v>
      </c>
      <c r="C159" s="2572">
        <v>0.1</v>
      </c>
      <c r="D159" s="2546" t="s">
        <v>1016</v>
      </c>
      <c r="E159" s="4387">
        <f>+'11.3. ДА Базова година'!H119</f>
        <v>27</v>
      </c>
      <c r="F159" s="1202">
        <f t="shared" si="218"/>
        <v>29</v>
      </c>
      <c r="G159" s="1198">
        <f t="shared" si="218"/>
        <v>31</v>
      </c>
      <c r="H159" s="1198">
        <f t="shared" si="218"/>
        <v>33</v>
      </c>
      <c r="I159" s="1198">
        <f t="shared" si="218"/>
        <v>34.4</v>
      </c>
      <c r="J159" s="1198">
        <f t="shared" si="218"/>
        <v>35.799999999999997</v>
      </c>
      <c r="K159" s="1203">
        <f t="shared" si="218"/>
        <v>36.4</v>
      </c>
      <c r="L159" s="4387">
        <f>+'11.3. ДА Базова година'!L119</f>
        <v>0</v>
      </c>
      <c r="M159" s="1202">
        <f t="shared" si="214"/>
        <v>0</v>
      </c>
      <c r="N159" s="1198">
        <f t="shared" si="214"/>
        <v>0</v>
      </c>
      <c r="O159" s="1198">
        <f t="shared" si="214"/>
        <v>0</v>
      </c>
      <c r="P159" s="1198">
        <f t="shared" si="214"/>
        <v>0</v>
      </c>
      <c r="Q159" s="1198">
        <f t="shared" si="214"/>
        <v>0</v>
      </c>
      <c r="R159" s="1203">
        <f t="shared" si="214"/>
        <v>0</v>
      </c>
      <c r="S159" s="4387">
        <f>+'11.3. ДА Базова година'!P119</f>
        <v>1</v>
      </c>
      <c r="T159" s="1202">
        <f t="shared" si="215"/>
        <v>1</v>
      </c>
      <c r="U159" s="1198">
        <f t="shared" si="215"/>
        <v>1</v>
      </c>
      <c r="V159" s="1198">
        <f t="shared" si="215"/>
        <v>1</v>
      </c>
      <c r="W159" s="1198">
        <f t="shared" si="215"/>
        <v>0.9</v>
      </c>
      <c r="X159" s="1198">
        <f t="shared" si="215"/>
        <v>0.8</v>
      </c>
      <c r="Y159" s="1203">
        <f t="shared" si="215"/>
        <v>0.70000000000000007</v>
      </c>
      <c r="Z159" s="4387">
        <f>+'11.3. ДА Базова година'!T119</f>
        <v>0</v>
      </c>
      <c r="AA159" s="1202">
        <f t="shared" si="216"/>
        <v>0</v>
      </c>
      <c r="AB159" s="1198">
        <f t="shared" si="216"/>
        <v>0</v>
      </c>
      <c r="AC159" s="1198">
        <f t="shared" si="216"/>
        <v>0</v>
      </c>
      <c r="AD159" s="1198">
        <f t="shared" si="216"/>
        <v>0</v>
      </c>
      <c r="AE159" s="1198">
        <f t="shared" si="216"/>
        <v>0</v>
      </c>
      <c r="AF159" s="1203">
        <f t="shared" si="216"/>
        <v>0</v>
      </c>
      <c r="AG159" s="4387">
        <f>+'11.3. ДА Базова година'!X119</f>
        <v>0</v>
      </c>
      <c r="AH159" s="1202">
        <f t="shared" si="217"/>
        <v>0</v>
      </c>
      <c r="AI159" s="1198">
        <f t="shared" si="217"/>
        <v>0</v>
      </c>
      <c r="AJ159" s="1198">
        <f t="shared" si="217"/>
        <v>0</v>
      </c>
      <c r="AK159" s="1198">
        <f t="shared" si="217"/>
        <v>0</v>
      </c>
      <c r="AL159" s="1198">
        <f t="shared" si="217"/>
        <v>0</v>
      </c>
      <c r="AM159" s="1203">
        <f t="shared" si="217"/>
        <v>0</v>
      </c>
      <c r="AN159" s="2513"/>
      <c r="AO159" s="2551"/>
      <c r="AP159" s="4422"/>
      <c r="AQ159" s="4438">
        <f t="shared" si="174"/>
        <v>13.804880792297899</v>
      </c>
      <c r="AR159" s="4438">
        <f t="shared" si="175"/>
        <v>14.827464554690337</v>
      </c>
      <c r="AS159" s="4438">
        <f t="shared" si="176"/>
        <v>15.850048317082774</v>
      </c>
      <c r="AT159" s="4438">
        <f t="shared" si="177"/>
        <v>16.87263207947521</v>
      </c>
      <c r="AU159" s="4438">
        <f t="shared" si="178"/>
        <v>17.588440713149915</v>
      </c>
      <c r="AV159" s="4438">
        <f t="shared" si="179"/>
        <v>18.304249346824619</v>
      </c>
      <c r="AW159" s="4438">
        <f t="shared" si="180"/>
        <v>18.611024475542351</v>
      </c>
      <c r="AX159" s="4438">
        <f t="shared" si="181"/>
        <v>0</v>
      </c>
      <c r="AY159" s="4438">
        <f t="shared" si="182"/>
        <v>0</v>
      </c>
      <c r="AZ159" s="4438">
        <f t="shared" si="183"/>
        <v>0</v>
      </c>
      <c r="BA159" s="4438">
        <f t="shared" si="184"/>
        <v>0</v>
      </c>
      <c r="BB159" s="4438">
        <f t="shared" si="185"/>
        <v>0</v>
      </c>
      <c r="BC159" s="4438">
        <f t="shared" si="186"/>
        <v>0</v>
      </c>
      <c r="BD159" s="4438">
        <f t="shared" si="187"/>
        <v>0</v>
      </c>
      <c r="BE159" s="4438">
        <f t="shared" si="188"/>
        <v>0.51129188119621849</v>
      </c>
      <c r="BF159" s="4438">
        <f t="shared" si="189"/>
        <v>0.51129188119621849</v>
      </c>
      <c r="BG159" s="4438">
        <f t="shared" si="190"/>
        <v>0.51129188119621849</v>
      </c>
      <c r="BH159" s="4438">
        <f t="shared" si="191"/>
        <v>0.51129188119621849</v>
      </c>
      <c r="BI159" s="4438">
        <f t="shared" si="192"/>
        <v>0.46016269307659668</v>
      </c>
      <c r="BJ159" s="4438">
        <f t="shared" si="193"/>
        <v>0.40903350495697482</v>
      </c>
      <c r="BK159" s="4438">
        <f t="shared" si="194"/>
        <v>0.35790431683735296</v>
      </c>
      <c r="BL159" s="4438">
        <f t="shared" si="195"/>
        <v>0</v>
      </c>
      <c r="BM159" s="4438">
        <f t="shared" si="196"/>
        <v>0</v>
      </c>
      <c r="BN159" s="4438">
        <f t="shared" si="197"/>
        <v>0</v>
      </c>
      <c r="BO159" s="4438">
        <f t="shared" si="198"/>
        <v>0</v>
      </c>
      <c r="BP159" s="4438">
        <f t="shared" si="199"/>
        <v>0</v>
      </c>
      <c r="BQ159" s="4438">
        <f t="shared" si="200"/>
        <v>0</v>
      </c>
      <c r="BR159" s="4438">
        <f t="shared" si="201"/>
        <v>0</v>
      </c>
      <c r="BS159" s="4438">
        <f t="shared" si="202"/>
        <v>0</v>
      </c>
      <c r="BT159" s="4438">
        <f t="shared" si="203"/>
        <v>0</v>
      </c>
      <c r="BU159" s="4438">
        <f t="shared" si="204"/>
        <v>0</v>
      </c>
      <c r="BV159" s="4438">
        <f t="shared" si="205"/>
        <v>0</v>
      </c>
      <c r="BW159" s="4438">
        <f t="shared" si="206"/>
        <v>0</v>
      </c>
      <c r="BX159" s="4438">
        <f t="shared" si="207"/>
        <v>0</v>
      </c>
      <c r="BY159" s="4438">
        <f t="shared" si="208"/>
        <v>0</v>
      </c>
    </row>
    <row r="160" spans="1:77" s="1292" customFormat="1">
      <c r="A160" s="2573">
        <v>9</v>
      </c>
      <c r="B160" s="2516">
        <v>2040102</v>
      </c>
      <c r="C160" s="2572">
        <v>0.04</v>
      </c>
      <c r="D160" s="2546" t="s">
        <v>432</v>
      </c>
      <c r="E160" s="4387">
        <f>+'11.3. ДА Базова година'!H120</f>
        <v>3</v>
      </c>
      <c r="F160" s="1202">
        <f t="shared" si="218"/>
        <v>4</v>
      </c>
      <c r="G160" s="1198">
        <f t="shared" si="218"/>
        <v>5</v>
      </c>
      <c r="H160" s="1198">
        <f t="shared" si="218"/>
        <v>6</v>
      </c>
      <c r="I160" s="1198">
        <f t="shared" si="218"/>
        <v>7</v>
      </c>
      <c r="J160" s="1198">
        <f t="shared" si="218"/>
        <v>8</v>
      </c>
      <c r="K160" s="1203">
        <f t="shared" si="218"/>
        <v>9</v>
      </c>
      <c r="L160" s="4387">
        <f>+'11.3. ДА Базова година'!L120</f>
        <v>0</v>
      </c>
      <c r="M160" s="1202">
        <f t="shared" si="214"/>
        <v>0</v>
      </c>
      <c r="N160" s="1198">
        <f t="shared" si="214"/>
        <v>0</v>
      </c>
      <c r="O160" s="1198">
        <f t="shared" si="214"/>
        <v>0</v>
      </c>
      <c r="P160" s="1198">
        <f t="shared" si="214"/>
        <v>0</v>
      </c>
      <c r="Q160" s="1198">
        <f t="shared" si="214"/>
        <v>0</v>
      </c>
      <c r="R160" s="1203">
        <f t="shared" si="214"/>
        <v>0</v>
      </c>
      <c r="S160" s="4387">
        <f>+'11.3. ДА Базова година'!P120</f>
        <v>0</v>
      </c>
      <c r="T160" s="1202">
        <f t="shared" si="215"/>
        <v>0</v>
      </c>
      <c r="U160" s="1198">
        <f t="shared" si="215"/>
        <v>0</v>
      </c>
      <c r="V160" s="1198">
        <f t="shared" si="215"/>
        <v>0</v>
      </c>
      <c r="W160" s="1198">
        <f t="shared" si="215"/>
        <v>0</v>
      </c>
      <c r="X160" s="1198">
        <f t="shared" si="215"/>
        <v>0</v>
      </c>
      <c r="Y160" s="1203">
        <f t="shared" si="215"/>
        <v>0</v>
      </c>
      <c r="Z160" s="4387">
        <f>+'11.3. ДА Базова година'!T120</f>
        <v>0</v>
      </c>
      <c r="AA160" s="1202">
        <f t="shared" si="216"/>
        <v>0</v>
      </c>
      <c r="AB160" s="1198">
        <f t="shared" si="216"/>
        <v>0</v>
      </c>
      <c r="AC160" s="1198">
        <f t="shared" si="216"/>
        <v>0</v>
      </c>
      <c r="AD160" s="1198">
        <f t="shared" si="216"/>
        <v>0</v>
      </c>
      <c r="AE160" s="1198">
        <f t="shared" si="216"/>
        <v>0</v>
      </c>
      <c r="AF160" s="1203">
        <f t="shared" si="216"/>
        <v>0</v>
      </c>
      <c r="AG160" s="4387">
        <f>+'11.3. ДА Базова година'!X120</f>
        <v>0</v>
      </c>
      <c r="AH160" s="1202">
        <f t="shared" si="217"/>
        <v>0</v>
      </c>
      <c r="AI160" s="1198">
        <f t="shared" si="217"/>
        <v>0</v>
      </c>
      <c r="AJ160" s="1198">
        <f t="shared" si="217"/>
        <v>0</v>
      </c>
      <c r="AK160" s="1198">
        <f t="shared" si="217"/>
        <v>0</v>
      </c>
      <c r="AL160" s="1198">
        <f t="shared" si="217"/>
        <v>0</v>
      </c>
      <c r="AM160" s="1203">
        <f t="shared" si="217"/>
        <v>0</v>
      </c>
      <c r="AN160" s="2513"/>
      <c r="AO160" s="2551"/>
      <c r="AP160" s="4422"/>
      <c r="AQ160" s="4438">
        <f t="shared" si="174"/>
        <v>1.5338756435886556</v>
      </c>
      <c r="AR160" s="4438">
        <f t="shared" si="175"/>
        <v>2.045167524784874</v>
      </c>
      <c r="AS160" s="4438">
        <f t="shared" si="176"/>
        <v>2.5564594059810926</v>
      </c>
      <c r="AT160" s="4438">
        <f t="shared" si="177"/>
        <v>3.0677512871773112</v>
      </c>
      <c r="AU160" s="4438">
        <f t="shared" si="178"/>
        <v>3.5790431683735293</v>
      </c>
      <c r="AV160" s="4438">
        <f t="shared" si="179"/>
        <v>4.0903350495697479</v>
      </c>
      <c r="AW160" s="4438">
        <f t="shared" si="180"/>
        <v>4.6016269307659661</v>
      </c>
      <c r="AX160" s="4438">
        <f t="shared" si="181"/>
        <v>0</v>
      </c>
      <c r="AY160" s="4438">
        <f t="shared" si="182"/>
        <v>0</v>
      </c>
      <c r="AZ160" s="4438">
        <f t="shared" si="183"/>
        <v>0</v>
      </c>
      <c r="BA160" s="4438">
        <f t="shared" si="184"/>
        <v>0</v>
      </c>
      <c r="BB160" s="4438">
        <f t="shared" si="185"/>
        <v>0</v>
      </c>
      <c r="BC160" s="4438">
        <f t="shared" si="186"/>
        <v>0</v>
      </c>
      <c r="BD160" s="4438">
        <f t="shared" si="187"/>
        <v>0</v>
      </c>
      <c r="BE160" s="4438">
        <f t="shared" si="188"/>
        <v>0</v>
      </c>
      <c r="BF160" s="4438">
        <f t="shared" si="189"/>
        <v>0</v>
      </c>
      <c r="BG160" s="4438">
        <f t="shared" si="190"/>
        <v>0</v>
      </c>
      <c r="BH160" s="4438">
        <f t="shared" si="191"/>
        <v>0</v>
      </c>
      <c r="BI160" s="4438">
        <f t="shared" si="192"/>
        <v>0</v>
      </c>
      <c r="BJ160" s="4438">
        <f t="shared" si="193"/>
        <v>0</v>
      </c>
      <c r="BK160" s="4438">
        <f t="shared" si="194"/>
        <v>0</v>
      </c>
      <c r="BL160" s="4438">
        <f t="shared" si="195"/>
        <v>0</v>
      </c>
      <c r="BM160" s="4438">
        <f t="shared" si="196"/>
        <v>0</v>
      </c>
      <c r="BN160" s="4438">
        <f t="shared" si="197"/>
        <v>0</v>
      </c>
      <c r="BO160" s="4438">
        <f t="shared" si="198"/>
        <v>0</v>
      </c>
      <c r="BP160" s="4438">
        <f t="shared" si="199"/>
        <v>0</v>
      </c>
      <c r="BQ160" s="4438">
        <f t="shared" si="200"/>
        <v>0</v>
      </c>
      <c r="BR160" s="4438">
        <f t="shared" si="201"/>
        <v>0</v>
      </c>
      <c r="BS160" s="4438">
        <f t="shared" si="202"/>
        <v>0</v>
      </c>
      <c r="BT160" s="4438">
        <f t="shared" si="203"/>
        <v>0</v>
      </c>
      <c r="BU160" s="4438">
        <f t="shared" si="204"/>
        <v>0</v>
      </c>
      <c r="BV160" s="4438">
        <f t="shared" si="205"/>
        <v>0</v>
      </c>
      <c r="BW160" s="4438">
        <f t="shared" si="206"/>
        <v>0</v>
      </c>
      <c r="BX160" s="4438">
        <f t="shared" si="207"/>
        <v>0</v>
      </c>
      <c r="BY160" s="4438">
        <f t="shared" si="208"/>
        <v>0</v>
      </c>
    </row>
    <row r="161" spans="1:77" s="1292" customFormat="1">
      <c r="A161" s="2573">
        <v>10</v>
      </c>
      <c r="B161" s="2516">
        <v>2040201</v>
      </c>
      <c r="C161" s="2517">
        <v>0.02</v>
      </c>
      <c r="D161" s="2547" t="s">
        <v>738</v>
      </c>
      <c r="E161" s="4387">
        <f>+'11.3. ДА Базова година'!H121</f>
        <v>0</v>
      </c>
      <c r="F161" s="1202">
        <f t="shared" si="218"/>
        <v>0</v>
      </c>
      <c r="G161" s="1198">
        <f t="shared" si="218"/>
        <v>0</v>
      </c>
      <c r="H161" s="1198">
        <f t="shared" si="218"/>
        <v>0</v>
      </c>
      <c r="I161" s="1198">
        <f t="shared" si="218"/>
        <v>0</v>
      </c>
      <c r="J161" s="1198">
        <f t="shared" si="218"/>
        <v>0</v>
      </c>
      <c r="K161" s="1203">
        <f t="shared" si="218"/>
        <v>0</v>
      </c>
      <c r="L161" s="4387">
        <f>+'11.3. ДА Базова година'!L121</f>
        <v>0</v>
      </c>
      <c r="M161" s="1202">
        <f t="shared" si="214"/>
        <v>0</v>
      </c>
      <c r="N161" s="1198">
        <f t="shared" si="214"/>
        <v>0</v>
      </c>
      <c r="O161" s="1198">
        <f t="shared" si="214"/>
        <v>0</v>
      </c>
      <c r="P161" s="1198">
        <f t="shared" si="214"/>
        <v>0</v>
      </c>
      <c r="Q161" s="1198">
        <f t="shared" si="214"/>
        <v>0</v>
      </c>
      <c r="R161" s="1203">
        <f t="shared" si="214"/>
        <v>0</v>
      </c>
      <c r="S161" s="4387">
        <f>+'11.3. ДА Базова година'!P121</f>
        <v>0</v>
      </c>
      <c r="T161" s="1202">
        <f t="shared" si="215"/>
        <v>0</v>
      </c>
      <c r="U161" s="1198">
        <f t="shared" si="215"/>
        <v>0</v>
      </c>
      <c r="V161" s="1198">
        <f t="shared" si="215"/>
        <v>0</v>
      </c>
      <c r="W161" s="1198">
        <f t="shared" si="215"/>
        <v>0</v>
      </c>
      <c r="X161" s="1198">
        <f t="shared" si="215"/>
        <v>0</v>
      </c>
      <c r="Y161" s="1203">
        <f t="shared" si="215"/>
        <v>0</v>
      </c>
      <c r="Z161" s="4387">
        <f>+'11.3. ДА Базова година'!T121</f>
        <v>0</v>
      </c>
      <c r="AA161" s="1202">
        <f t="shared" si="216"/>
        <v>0</v>
      </c>
      <c r="AB161" s="1198">
        <f t="shared" si="216"/>
        <v>0</v>
      </c>
      <c r="AC161" s="1198">
        <f t="shared" si="216"/>
        <v>0</v>
      </c>
      <c r="AD161" s="1198">
        <f t="shared" si="216"/>
        <v>0</v>
      </c>
      <c r="AE161" s="1198">
        <f t="shared" si="216"/>
        <v>0</v>
      </c>
      <c r="AF161" s="1203">
        <f t="shared" si="216"/>
        <v>0</v>
      </c>
      <c r="AG161" s="4387">
        <f>+'11.3. ДА Базова година'!X121</f>
        <v>0</v>
      </c>
      <c r="AH161" s="1202">
        <f t="shared" si="217"/>
        <v>0</v>
      </c>
      <c r="AI161" s="1198">
        <f t="shared" si="217"/>
        <v>0</v>
      </c>
      <c r="AJ161" s="1198">
        <f t="shared" si="217"/>
        <v>0</v>
      </c>
      <c r="AK161" s="1198">
        <f t="shared" si="217"/>
        <v>0</v>
      </c>
      <c r="AL161" s="1198">
        <f t="shared" si="217"/>
        <v>0</v>
      </c>
      <c r="AM161" s="1203">
        <f t="shared" si="217"/>
        <v>0</v>
      </c>
      <c r="AN161" s="2513"/>
      <c r="AO161" s="2551"/>
      <c r="AP161" s="4422"/>
      <c r="AQ161" s="4438">
        <f t="shared" si="174"/>
        <v>0</v>
      </c>
      <c r="AR161" s="4438">
        <f t="shared" si="175"/>
        <v>0</v>
      </c>
      <c r="AS161" s="4438">
        <f t="shared" si="176"/>
        <v>0</v>
      </c>
      <c r="AT161" s="4438">
        <f t="shared" si="177"/>
        <v>0</v>
      </c>
      <c r="AU161" s="4438">
        <f t="shared" si="178"/>
        <v>0</v>
      </c>
      <c r="AV161" s="4438">
        <f t="shared" si="179"/>
        <v>0</v>
      </c>
      <c r="AW161" s="4438">
        <f t="shared" si="180"/>
        <v>0</v>
      </c>
      <c r="AX161" s="4438">
        <f t="shared" si="181"/>
        <v>0</v>
      </c>
      <c r="AY161" s="4438">
        <f t="shared" si="182"/>
        <v>0</v>
      </c>
      <c r="AZ161" s="4438">
        <f t="shared" si="183"/>
        <v>0</v>
      </c>
      <c r="BA161" s="4438">
        <f t="shared" si="184"/>
        <v>0</v>
      </c>
      <c r="BB161" s="4438">
        <f t="shared" si="185"/>
        <v>0</v>
      </c>
      <c r="BC161" s="4438">
        <f t="shared" si="186"/>
        <v>0</v>
      </c>
      <c r="BD161" s="4438">
        <f t="shared" si="187"/>
        <v>0</v>
      </c>
      <c r="BE161" s="4438">
        <f t="shared" si="188"/>
        <v>0</v>
      </c>
      <c r="BF161" s="4438">
        <f t="shared" si="189"/>
        <v>0</v>
      </c>
      <c r="BG161" s="4438">
        <f t="shared" si="190"/>
        <v>0</v>
      </c>
      <c r="BH161" s="4438">
        <f t="shared" si="191"/>
        <v>0</v>
      </c>
      <c r="BI161" s="4438">
        <f t="shared" si="192"/>
        <v>0</v>
      </c>
      <c r="BJ161" s="4438">
        <f t="shared" si="193"/>
        <v>0</v>
      </c>
      <c r="BK161" s="4438">
        <f t="shared" si="194"/>
        <v>0</v>
      </c>
      <c r="BL161" s="4438">
        <f t="shared" si="195"/>
        <v>0</v>
      </c>
      <c r="BM161" s="4438">
        <f t="shared" si="196"/>
        <v>0</v>
      </c>
      <c r="BN161" s="4438">
        <f t="shared" si="197"/>
        <v>0</v>
      </c>
      <c r="BO161" s="4438">
        <f t="shared" si="198"/>
        <v>0</v>
      </c>
      <c r="BP161" s="4438">
        <f t="shared" si="199"/>
        <v>0</v>
      </c>
      <c r="BQ161" s="4438">
        <f t="shared" si="200"/>
        <v>0</v>
      </c>
      <c r="BR161" s="4438">
        <f t="shared" si="201"/>
        <v>0</v>
      </c>
      <c r="BS161" s="4438">
        <f t="shared" si="202"/>
        <v>0</v>
      </c>
      <c r="BT161" s="4438">
        <f t="shared" si="203"/>
        <v>0</v>
      </c>
      <c r="BU161" s="4438">
        <f t="shared" si="204"/>
        <v>0</v>
      </c>
      <c r="BV161" s="4438">
        <f t="shared" si="205"/>
        <v>0</v>
      </c>
      <c r="BW161" s="4438">
        <f t="shared" si="206"/>
        <v>0</v>
      </c>
      <c r="BX161" s="4438">
        <f t="shared" si="207"/>
        <v>0</v>
      </c>
      <c r="BY161" s="4438">
        <f t="shared" si="208"/>
        <v>0</v>
      </c>
    </row>
    <row r="162" spans="1:77" s="1292" customFormat="1">
      <c r="A162" s="2573">
        <v>11</v>
      </c>
      <c r="B162" s="2516">
        <v>2040202</v>
      </c>
      <c r="C162" s="2517">
        <v>0.02</v>
      </c>
      <c r="D162" s="2547" t="s">
        <v>739</v>
      </c>
      <c r="E162" s="4387">
        <f>+'11.3. ДА Базова година'!H122</f>
        <v>2</v>
      </c>
      <c r="F162" s="1202">
        <f t="shared" si="218"/>
        <v>3.4</v>
      </c>
      <c r="G162" s="1198">
        <f t="shared" si="218"/>
        <v>4.8</v>
      </c>
      <c r="H162" s="1198">
        <f t="shared" si="218"/>
        <v>6.1999999999999993</v>
      </c>
      <c r="I162" s="1198">
        <f t="shared" si="218"/>
        <v>7.6</v>
      </c>
      <c r="J162" s="1198">
        <f t="shared" si="218"/>
        <v>9</v>
      </c>
      <c r="K162" s="1203">
        <f t="shared" si="218"/>
        <v>10.4</v>
      </c>
      <c r="L162" s="4387">
        <f>+'11.3. ДА Базова година'!L122</f>
        <v>0</v>
      </c>
      <c r="M162" s="1202">
        <f t="shared" si="214"/>
        <v>0</v>
      </c>
      <c r="N162" s="1198">
        <f t="shared" si="214"/>
        <v>0</v>
      </c>
      <c r="O162" s="1198">
        <f t="shared" si="214"/>
        <v>0</v>
      </c>
      <c r="P162" s="1198">
        <f t="shared" si="214"/>
        <v>0</v>
      </c>
      <c r="Q162" s="1198">
        <f t="shared" si="214"/>
        <v>0</v>
      </c>
      <c r="R162" s="1203">
        <f t="shared" si="214"/>
        <v>0</v>
      </c>
      <c r="S162" s="4387">
        <f>+'11.3. ДА Базова година'!P122</f>
        <v>0</v>
      </c>
      <c r="T162" s="1202">
        <f t="shared" si="215"/>
        <v>0</v>
      </c>
      <c r="U162" s="1198">
        <f t="shared" si="215"/>
        <v>0</v>
      </c>
      <c r="V162" s="1198">
        <f t="shared" si="215"/>
        <v>0</v>
      </c>
      <c r="W162" s="1198">
        <f t="shared" si="215"/>
        <v>0</v>
      </c>
      <c r="X162" s="1198">
        <f t="shared" si="215"/>
        <v>0</v>
      </c>
      <c r="Y162" s="1203">
        <f t="shared" si="215"/>
        <v>0</v>
      </c>
      <c r="Z162" s="4387">
        <f>+'11.3. ДА Базова година'!T122</f>
        <v>0</v>
      </c>
      <c r="AA162" s="1202">
        <f t="shared" si="216"/>
        <v>0</v>
      </c>
      <c r="AB162" s="1198">
        <f t="shared" si="216"/>
        <v>0</v>
      </c>
      <c r="AC162" s="1198">
        <f t="shared" si="216"/>
        <v>0</v>
      </c>
      <c r="AD162" s="1198">
        <f t="shared" si="216"/>
        <v>0</v>
      </c>
      <c r="AE162" s="1198">
        <f t="shared" si="216"/>
        <v>0</v>
      </c>
      <c r="AF162" s="1203">
        <f t="shared" si="216"/>
        <v>0</v>
      </c>
      <c r="AG162" s="4387">
        <f>+'11.3. ДА Базова година'!X122</f>
        <v>0</v>
      </c>
      <c r="AH162" s="1202">
        <f t="shared" si="217"/>
        <v>0</v>
      </c>
      <c r="AI162" s="1198">
        <f t="shared" si="217"/>
        <v>0</v>
      </c>
      <c r="AJ162" s="1198">
        <f t="shared" si="217"/>
        <v>0</v>
      </c>
      <c r="AK162" s="1198">
        <f t="shared" si="217"/>
        <v>0</v>
      </c>
      <c r="AL162" s="1198">
        <f t="shared" si="217"/>
        <v>0</v>
      </c>
      <c r="AM162" s="1203">
        <f t="shared" si="217"/>
        <v>0</v>
      </c>
      <c r="AN162" s="2513"/>
      <c r="AO162" s="2551"/>
      <c r="AP162" s="4422"/>
      <c r="AQ162" s="4438">
        <f t="shared" si="174"/>
        <v>1.022583762392437</v>
      </c>
      <c r="AR162" s="4438">
        <f t="shared" si="175"/>
        <v>1.7383923960671428</v>
      </c>
      <c r="AS162" s="4438">
        <f t="shared" si="176"/>
        <v>2.4542010297418488</v>
      </c>
      <c r="AT162" s="4438">
        <f t="shared" si="177"/>
        <v>3.1700096634165544</v>
      </c>
      <c r="AU162" s="4438">
        <f t="shared" si="178"/>
        <v>3.8858182970912605</v>
      </c>
      <c r="AV162" s="4438">
        <f t="shared" si="179"/>
        <v>4.6016269307659661</v>
      </c>
      <c r="AW162" s="4438">
        <f t="shared" si="180"/>
        <v>5.3174355644406726</v>
      </c>
      <c r="AX162" s="4438">
        <f t="shared" si="181"/>
        <v>0</v>
      </c>
      <c r="AY162" s="4438">
        <f t="shared" si="182"/>
        <v>0</v>
      </c>
      <c r="AZ162" s="4438">
        <f t="shared" si="183"/>
        <v>0</v>
      </c>
      <c r="BA162" s="4438">
        <f t="shared" si="184"/>
        <v>0</v>
      </c>
      <c r="BB162" s="4438">
        <f t="shared" si="185"/>
        <v>0</v>
      </c>
      <c r="BC162" s="4438">
        <f t="shared" si="186"/>
        <v>0</v>
      </c>
      <c r="BD162" s="4438">
        <f t="shared" si="187"/>
        <v>0</v>
      </c>
      <c r="BE162" s="4438">
        <f t="shared" si="188"/>
        <v>0</v>
      </c>
      <c r="BF162" s="4438">
        <f t="shared" si="189"/>
        <v>0</v>
      </c>
      <c r="BG162" s="4438">
        <f t="shared" si="190"/>
        <v>0</v>
      </c>
      <c r="BH162" s="4438">
        <f t="shared" si="191"/>
        <v>0</v>
      </c>
      <c r="BI162" s="4438">
        <f t="shared" si="192"/>
        <v>0</v>
      </c>
      <c r="BJ162" s="4438">
        <f t="shared" si="193"/>
        <v>0</v>
      </c>
      <c r="BK162" s="4438">
        <f t="shared" si="194"/>
        <v>0</v>
      </c>
      <c r="BL162" s="4438">
        <f t="shared" si="195"/>
        <v>0</v>
      </c>
      <c r="BM162" s="4438">
        <f t="shared" si="196"/>
        <v>0</v>
      </c>
      <c r="BN162" s="4438">
        <f t="shared" si="197"/>
        <v>0</v>
      </c>
      <c r="BO162" s="4438">
        <f t="shared" si="198"/>
        <v>0</v>
      </c>
      <c r="BP162" s="4438">
        <f t="shared" si="199"/>
        <v>0</v>
      </c>
      <c r="BQ162" s="4438">
        <f t="shared" si="200"/>
        <v>0</v>
      </c>
      <c r="BR162" s="4438">
        <f t="shared" si="201"/>
        <v>0</v>
      </c>
      <c r="BS162" s="4438">
        <f t="shared" si="202"/>
        <v>0</v>
      </c>
      <c r="BT162" s="4438">
        <f t="shared" si="203"/>
        <v>0</v>
      </c>
      <c r="BU162" s="4438">
        <f t="shared" si="204"/>
        <v>0</v>
      </c>
      <c r="BV162" s="4438">
        <f t="shared" si="205"/>
        <v>0</v>
      </c>
      <c r="BW162" s="4438">
        <f t="shared" si="206"/>
        <v>0</v>
      </c>
      <c r="BX162" s="4438">
        <f t="shared" si="207"/>
        <v>0</v>
      </c>
      <c r="BY162" s="4438">
        <f t="shared" si="208"/>
        <v>0</v>
      </c>
    </row>
    <row r="163" spans="1:77" s="1292" customFormat="1">
      <c r="A163" s="2573">
        <v>12</v>
      </c>
      <c r="B163" s="2516">
        <v>2040203</v>
      </c>
      <c r="C163" s="2517">
        <v>0.02</v>
      </c>
      <c r="D163" s="2547" t="s">
        <v>418</v>
      </c>
      <c r="E163" s="4387">
        <f>+'11.3. ДА Базова година'!H123</f>
        <v>0</v>
      </c>
      <c r="F163" s="1202">
        <f t="shared" si="218"/>
        <v>0</v>
      </c>
      <c r="G163" s="1198">
        <f t="shared" si="218"/>
        <v>0</v>
      </c>
      <c r="H163" s="1198">
        <f t="shared" si="218"/>
        <v>0</v>
      </c>
      <c r="I163" s="1198">
        <f t="shared" si="218"/>
        <v>0</v>
      </c>
      <c r="J163" s="1198">
        <f t="shared" si="218"/>
        <v>0</v>
      </c>
      <c r="K163" s="1203">
        <f t="shared" si="218"/>
        <v>0</v>
      </c>
      <c r="L163" s="4387">
        <f>+'11.3. ДА Базова година'!L123</f>
        <v>0</v>
      </c>
      <c r="M163" s="1202">
        <f t="shared" si="214"/>
        <v>0</v>
      </c>
      <c r="N163" s="1198">
        <f t="shared" si="214"/>
        <v>0</v>
      </c>
      <c r="O163" s="1198">
        <f t="shared" si="214"/>
        <v>0</v>
      </c>
      <c r="P163" s="1198">
        <f t="shared" si="214"/>
        <v>0</v>
      </c>
      <c r="Q163" s="1198">
        <f t="shared" si="214"/>
        <v>0</v>
      </c>
      <c r="R163" s="1203">
        <f t="shared" si="214"/>
        <v>0</v>
      </c>
      <c r="S163" s="4387">
        <f>+'11.3. ДА Базова година'!P123</f>
        <v>0</v>
      </c>
      <c r="T163" s="1202">
        <f t="shared" si="215"/>
        <v>0</v>
      </c>
      <c r="U163" s="1198">
        <f t="shared" si="215"/>
        <v>0</v>
      </c>
      <c r="V163" s="1198">
        <f t="shared" si="215"/>
        <v>0</v>
      </c>
      <c r="W163" s="1198">
        <f t="shared" si="215"/>
        <v>0</v>
      </c>
      <c r="X163" s="1198">
        <f t="shared" si="215"/>
        <v>0</v>
      </c>
      <c r="Y163" s="1203">
        <f t="shared" si="215"/>
        <v>0</v>
      </c>
      <c r="Z163" s="4387">
        <f>+'11.3. ДА Базова година'!T123</f>
        <v>0</v>
      </c>
      <c r="AA163" s="1202">
        <f t="shared" si="216"/>
        <v>0</v>
      </c>
      <c r="AB163" s="1198">
        <f t="shared" si="216"/>
        <v>0</v>
      </c>
      <c r="AC163" s="1198">
        <f t="shared" si="216"/>
        <v>0</v>
      </c>
      <c r="AD163" s="1198">
        <f t="shared" si="216"/>
        <v>0</v>
      </c>
      <c r="AE163" s="1198">
        <f t="shared" si="216"/>
        <v>0</v>
      </c>
      <c r="AF163" s="1203">
        <f t="shared" si="216"/>
        <v>0</v>
      </c>
      <c r="AG163" s="4387">
        <f>+'11.3. ДА Базова година'!X123</f>
        <v>0</v>
      </c>
      <c r="AH163" s="1202">
        <f t="shared" si="217"/>
        <v>0</v>
      </c>
      <c r="AI163" s="1198">
        <f t="shared" si="217"/>
        <v>0</v>
      </c>
      <c r="AJ163" s="1198">
        <f t="shared" si="217"/>
        <v>0</v>
      </c>
      <c r="AK163" s="1198">
        <f t="shared" si="217"/>
        <v>0</v>
      </c>
      <c r="AL163" s="1198">
        <f t="shared" si="217"/>
        <v>0</v>
      </c>
      <c r="AM163" s="1203">
        <f t="shared" si="217"/>
        <v>0</v>
      </c>
      <c r="AN163" s="2513"/>
      <c r="AO163" s="2551"/>
      <c r="AP163" s="4422"/>
      <c r="AQ163" s="4438">
        <f t="shared" si="174"/>
        <v>0</v>
      </c>
      <c r="AR163" s="4438">
        <f t="shared" si="175"/>
        <v>0</v>
      </c>
      <c r="AS163" s="4438">
        <f t="shared" si="176"/>
        <v>0</v>
      </c>
      <c r="AT163" s="4438">
        <f t="shared" si="177"/>
        <v>0</v>
      </c>
      <c r="AU163" s="4438">
        <f t="shared" si="178"/>
        <v>0</v>
      </c>
      <c r="AV163" s="4438">
        <f t="shared" si="179"/>
        <v>0</v>
      </c>
      <c r="AW163" s="4438">
        <f t="shared" si="180"/>
        <v>0</v>
      </c>
      <c r="AX163" s="4438">
        <f t="shared" si="181"/>
        <v>0</v>
      </c>
      <c r="AY163" s="4438">
        <f t="shared" si="182"/>
        <v>0</v>
      </c>
      <c r="AZ163" s="4438">
        <f t="shared" si="183"/>
        <v>0</v>
      </c>
      <c r="BA163" s="4438">
        <f t="shared" si="184"/>
        <v>0</v>
      </c>
      <c r="BB163" s="4438">
        <f t="shared" si="185"/>
        <v>0</v>
      </c>
      <c r="BC163" s="4438">
        <f t="shared" si="186"/>
        <v>0</v>
      </c>
      <c r="BD163" s="4438">
        <f t="shared" si="187"/>
        <v>0</v>
      </c>
      <c r="BE163" s="4438">
        <f t="shared" si="188"/>
        <v>0</v>
      </c>
      <c r="BF163" s="4438">
        <f t="shared" si="189"/>
        <v>0</v>
      </c>
      <c r="BG163" s="4438">
        <f t="shared" si="190"/>
        <v>0</v>
      </c>
      <c r="BH163" s="4438">
        <f t="shared" si="191"/>
        <v>0</v>
      </c>
      <c r="BI163" s="4438">
        <f t="shared" si="192"/>
        <v>0</v>
      </c>
      <c r="BJ163" s="4438">
        <f t="shared" si="193"/>
        <v>0</v>
      </c>
      <c r="BK163" s="4438">
        <f t="shared" si="194"/>
        <v>0</v>
      </c>
      <c r="BL163" s="4438">
        <f t="shared" si="195"/>
        <v>0</v>
      </c>
      <c r="BM163" s="4438">
        <f t="shared" si="196"/>
        <v>0</v>
      </c>
      <c r="BN163" s="4438">
        <f t="shared" si="197"/>
        <v>0</v>
      </c>
      <c r="BO163" s="4438">
        <f t="shared" si="198"/>
        <v>0</v>
      </c>
      <c r="BP163" s="4438">
        <f t="shared" si="199"/>
        <v>0</v>
      </c>
      <c r="BQ163" s="4438">
        <f t="shared" si="200"/>
        <v>0</v>
      </c>
      <c r="BR163" s="4438">
        <f t="shared" si="201"/>
        <v>0</v>
      </c>
      <c r="BS163" s="4438">
        <f t="shared" si="202"/>
        <v>0</v>
      </c>
      <c r="BT163" s="4438">
        <f t="shared" si="203"/>
        <v>0</v>
      </c>
      <c r="BU163" s="4438">
        <f t="shared" si="204"/>
        <v>0</v>
      </c>
      <c r="BV163" s="4438">
        <f t="shared" si="205"/>
        <v>0</v>
      </c>
      <c r="BW163" s="4438">
        <f t="shared" si="206"/>
        <v>0</v>
      </c>
      <c r="BX163" s="4438">
        <f t="shared" si="207"/>
        <v>0</v>
      </c>
      <c r="BY163" s="4438">
        <f t="shared" si="208"/>
        <v>0</v>
      </c>
    </row>
    <row r="164" spans="1:77" s="1292" customFormat="1">
      <c r="A164" s="2573">
        <v>13</v>
      </c>
      <c r="B164" s="2516">
        <v>2040204</v>
      </c>
      <c r="C164" s="2517">
        <v>0.02</v>
      </c>
      <c r="D164" s="2546" t="s">
        <v>419</v>
      </c>
      <c r="E164" s="4387">
        <f>+'11.3. ДА Базова година'!H124</f>
        <v>3</v>
      </c>
      <c r="F164" s="1202">
        <f t="shared" si="218"/>
        <v>4.4700000000000006</v>
      </c>
      <c r="G164" s="1198">
        <f t="shared" si="218"/>
        <v>6.0900000000000007</v>
      </c>
      <c r="H164" s="1198">
        <f t="shared" si="218"/>
        <v>7.8600000000000012</v>
      </c>
      <c r="I164" s="1198">
        <f t="shared" si="218"/>
        <v>9.6300000000000008</v>
      </c>
      <c r="J164" s="1198">
        <f t="shared" si="218"/>
        <v>11.420000000000002</v>
      </c>
      <c r="K164" s="1203">
        <f t="shared" si="218"/>
        <v>13.490000000000002</v>
      </c>
      <c r="L164" s="4387">
        <f>+'11.3. ДА Базова година'!L124</f>
        <v>0</v>
      </c>
      <c r="M164" s="1202">
        <f t="shared" si="214"/>
        <v>0</v>
      </c>
      <c r="N164" s="1198">
        <f t="shared" si="214"/>
        <v>0</v>
      </c>
      <c r="O164" s="1198">
        <f t="shared" si="214"/>
        <v>0</v>
      </c>
      <c r="P164" s="1198">
        <f t="shared" si="214"/>
        <v>0</v>
      </c>
      <c r="Q164" s="1198">
        <f t="shared" si="214"/>
        <v>0</v>
      </c>
      <c r="R164" s="1203">
        <f t="shared" si="214"/>
        <v>0</v>
      </c>
      <c r="S164" s="4387">
        <f>+'11.3. ДА Базова година'!P124</f>
        <v>0</v>
      </c>
      <c r="T164" s="1202">
        <f t="shared" si="215"/>
        <v>0</v>
      </c>
      <c r="U164" s="1198">
        <f t="shared" si="215"/>
        <v>0</v>
      </c>
      <c r="V164" s="1198">
        <f t="shared" si="215"/>
        <v>0</v>
      </c>
      <c r="W164" s="1198">
        <f t="shared" si="215"/>
        <v>0</v>
      </c>
      <c r="X164" s="1198">
        <f t="shared" si="215"/>
        <v>0</v>
      </c>
      <c r="Y164" s="1203">
        <f t="shared" si="215"/>
        <v>0</v>
      </c>
      <c r="Z164" s="4387">
        <f>+'11.3. ДА Базова година'!T124</f>
        <v>0</v>
      </c>
      <c r="AA164" s="1202">
        <f t="shared" si="216"/>
        <v>0</v>
      </c>
      <c r="AB164" s="1198">
        <f t="shared" si="216"/>
        <v>0</v>
      </c>
      <c r="AC164" s="1198">
        <f t="shared" si="216"/>
        <v>0</v>
      </c>
      <c r="AD164" s="1198">
        <f t="shared" si="216"/>
        <v>0</v>
      </c>
      <c r="AE164" s="1198">
        <f t="shared" si="216"/>
        <v>0</v>
      </c>
      <c r="AF164" s="1203">
        <f t="shared" si="216"/>
        <v>0</v>
      </c>
      <c r="AG164" s="4387">
        <f>+'11.3. ДА Базова година'!X124</f>
        <v>0</v>
      </c>
      <c r="AH164" s="1202">
        <f t="shared" si="217"/>
        <v>0</v>
      </c>
      <c r="AI164" s="1198">
        <f t="shared" si="217"/>
        <v>0</v>
      </c>
      <c r="AJ164" s="1198">
        <f t="shared" si="217"/>
        <v>0</v>
      </c>
      <c r="AK164" s="1198">
        <f t="shared" si="217"/>
        <v>0</v>
      </c>
      <c r="AL164" s="1198">
        <f t="shared" si="217"/>
        <v>0</v>
      </c>
      <c r="AM164" s="1203">
        <f t="shared" si="217"/>
        <v>0</v>
      </c>
      <c r="AN164" s="2513"/>
      <c r="AO164" s="2551"/>
      <c r="AP164" s="4422"/>
      <c r="AQ164" s="4438">
        <f t="shared" si="174"/>
        <v>1.5338756435886556</v>
      </c>
      <c r="AR164" s="4438">
        <f t="shared" si="175"/>
        <v>2.2854747089470968</v>
      </c>
      <c r="AS164" s="4438">
        <f t="shared" si="176"/>
        <v>3.1137675564849712</v>
      </c>
      <c r="AT164" s="4438">
        <f t="shared" si="177"/>
        <v>4.018754186202278</v>
      </c>
      <c r="AU164" s="4438">
        <f t="shared" si="178"/>
        <v>4.9237408159195848</v>
      </c>
      <c r="AV164" s="4438">
        <f t="shared" si="179"/>
        <v>5.8389532832608158</v>
      </c>
      <c r="AW164" s="4438">
        <f t="shared" si="180"/>
        <v>6.8973274773369884</v>
      </c>
      <c r="AX164" s="4438">
        <f t="shared" si="181"/>
        <v>0</v>
      </c>
      <c r="AY164" s="4438">
        <f t="shared" si="182"/>
        <v>0</v>
      </c>
      <c r="AZ164" s="4438">
        <f t="shared" si="183"/>
        <v>0</v>
      </c>
      <c r="BA164" s="4438">
        <f t="shared" si="184"/>
        <v>0</v>
      </c>
      <c r="BB164" s="4438">
        <f t="shared" si="185"/>
        <v>0</v>
      </c>
      <c r="BC164" s="4438">
        <f t="shared" si="186"/>
        <v>0</v>
      </c>
      <c r="BD164" s="4438">
        <f t="shared" si="187"/>
        <v>0</v>
      </c>
      <c r="BE164" s="4438">
        <f t="shared" si="188"/>
        <v>0</v>
      </c>
      <c r="BF164" s="4438">
        <f t="shared" si="189"/>
        <v>0</v>
      </c>
      <c r="BG164" s="4438">
        <f t="shared" si="190"/>
        <v>0</v>
      </c>
      <c r="BH164" s="4438">
        <f t="shared" si="191"/>
        <v>0</v>
      </c>
      <c r="BI164" s="4438">
        <f t="shared" si="192"/>
        <v>0</v>
      </c>
      <c r="BJ164" s="4438">
        <f t="shared" si="193"/>
        <v>0</v>
      </c>
      <c r="BK164" s="4438">
        <f t="shared" si="194"/>
        <v>0</v>
      </c>
      <c r="BL164" s="4438">
        <f t="shared" si="195"/>
        <v>0</v>
      </c>
      <c r="BM164" s="4438">
        <f t="shared" si="196"/>
        <v>0</v>
      </c>
      <c r="BN164" s="4438">
        <f t="shared" si="197"/>
        <v>0</v>
      </c>
      <c r="BO164" s="4438">
        <f t="shared" si="198"/>
        <v>0</v>
      </c>
      <c r="BP164" s="4438">
        <f t="shared" si="199"/>
        <v>0</v>
      </c>
      <c r="BQ164" s="4438">
        <f t="shared" si="200"/>
        <v>0</v>
      </c>
      <c r="BR164" s="4438">
        <f t="shared" si="201"/>
        <v>0</v>
      </c>
      <c r="BS164" s="4438">
        <f t="shared" si="202"/>
        <v>0</v>
      </c>
      <c r="BT164" s="4438">
        <f t="shared" si="203"/>
        <v>0</v>
      </c>
      <c r="BU164" s="4438">
        <f t="shared" si="204"/>
        <v>0</v>
      </c>
      <c r="BV164" s="4438">
        <f t="shared" si="205"/>
        <v>0</v>
      </c>
      <c r="BW164" s="4438">
        <f t="shared" si="206"/>
        <v>0</v>
      </c>
      <c r="BX164" s="4438">
        <f t="shared" si="207"/>
        <v>0</v>
      </c>
      <c r="BY164" s="4438">
        <f t="shared" si="208"/>
        <v>0</v>
      </c>
    </row>
    <row r="165" spans="1:77" s="1292" customFormat="1">
      <c r="A165" s="2573">
        <v>14</v>
      </c>
      <c r="B165" s="2516">
        <v>2040205</v>
      </c>
      <c r="C165" s="2517">
        <v>0.02</v>
      </c>
      <c r="D165" s="2547" t="s">
        <v>420</v>
      </c>
      <c r="E165" s="4387">
        <f>+'11.3. ДА Базова година'!H125</f>
        <v>125</v>
      </c>
      <c r="F165" s="1202">
        <f t="shared" si="218"/>
        <v>180.82999999999998</v>
      </c>
      <c r="G165" s="1198">
        <f t="shared" si="218"/>
        <v>269.48576951999996</v>
      </c>
      <c r="H165" s="1198">
        <f t="shared" si="218"/>
        <v>434.14884760000001</v>
      </c>
      <c r="I165" s="1198">
        <f t="shared" si="218"/>
        <v>699.30500376000009</v>
      </c>
      <c r="J165" s="1198">
        <f t="shared" si="218"/>
        <v>1021.0726989600001</v>
      </c>
      <c r="K165" s="1203">
        <f t="shared" si="218"/>
        <v>1353.4403941600003</v>
      </c>
      <c r="L165" s="4387">
        <f>+'11.3. ДА Базова година'!L125</f>
        <v>0</v>
      </c>
      <c r="M165" s="1202">
        <f t="shared" si="214"/>
        <v>0</v>
      </c>
      <c r="N165" s="1198">
        <f t="shared" si="214"/>
        <v>0</v>
      </c>
      <c r="O165" s="1198">
        <f t="shared" si="214"/>
        <v>0</v>
      </c>
      <c r="P165" s="1198">
        <f t="shared" si="214"/>
        <v>0</v>
      </c>
      <c r="Q165" s="1198">
        <f t="shared" si="214"/>
        <v>0</v>
      </c>
      <c r="R165" s="1203">
        <f t="shared" si="214"/>
        <v>0</v>
      </c>
      <c r="S165" s="4387">
        <f>+'11.3. ДА Базова година'!P125</f>
        <v>0</v>
      </c>
      <c r="T165" s="1202">
        <f t="shared" si="215"/>
        <v>0</v>
      </c>
      <c r="U165" s="1198">
        <f t="shared" si="215"/>
        <v>0</v>
      </c>
      <c r="V165" s="1198">
        <f t="shared" si="215"/>
        <v>0</v>
      </c>
      <c r="W165" s="1198">
        <f t="shared" si="215"/>
        <v>0</v>
      </c>
      <c r="X165" s="1198">
        <f t="shared" si="215"/>
        <v>0</v>
      </c>
      <c r="Y165" s="1203">
        <f t="shared" si="215"/>
        <v>0</v>
      </c>
      <c r="Z165" s="4387">
        <f>+'11.3. ДА Базова година'!T125</f>
        <v>0</v>
      </c>
      <c r="AA165" s="1202">
        <f t="shared" si="216"/>
        <v>0</v>
      </c>
      <c r="AB165" s="1198">
        <f t="shared" si="216"/>
        <v>0</v>
      </c>
      <c r="AC165" s="1198">
        <f t="shared" si="216"/>
        <v>0</v>
      </c>
      <c r="AD165" s="1198">
        <f t="shared" si="216"/>
        <v>0</v>
      </c>
      <c r="AE165" s="1198">
        <f t="shared" si="216"/>
        <v>0</v>
      </c>
      <c r="AF165" s="1203">
        <f t="shared" si="216"/>
        <v>0</v>
      </c>
      <c r="AG165" s="4387">
        <f>+'11.3. ДА Базова година'!X125</f>
        <v>0</v>
      </c>
      <c r="AH165" s="1202">
        <f t="shared" si="217"/>
        <v>0</v>
      </c>
      <c r="AI165" s="1198">
        <f t="shared" si="217"/>
        <v>0</v>
      </c>
      <c r="AJ165" s="1198">
        <f t="shared" si="217"/>
        <v>0</v>
      </c>
      <c r="AK165" s="1198">
        <f t="shared" si="217"/>
        <v>0</v>
      </c>
      <c r="AL165" s="1198">
        <f t="shared" si="217"/>
        <v>0</v>
      </c>
      <c r="AM165" s="1203">
        <f t="shared" si="217"/>
        <v>0</v>
      </c>
      <c r="AN165" s="2513"/>
      <c r="AO165" s="2551"/>
      <c r="AP165" s="4422"/>
      <c r="AQ165" s="4438">
        <f t="shared" si="174"/>
        <v>63.911485149527309</v>
      </c>
      <c r="AR165" s="4438">
        <f t="shared" si="175"/>
        <v>92.456910876712186</v>
      </c>
      <c r="AS165" s="4438">
        <f t="shared" si="176"/>
        <v>137.78588605349134</v>
      </c>
      <c r="AT165" s="4438">
        <f t="shared" si="177"/>
        <v>221.97678100857436</v>
      </c>
      <c r="AU165" s="4438">
        <f t="shared" si="178"/>
        <v>357.5489709023791</v>
      </c>
      <c r="AV165" s="4438">
        <f t="shared" si="179"/>
        <v>522.06618108935857</v>
      </c>
      <c r="AW165" s="4438">
        <f t="shared" si="180"/>
        <v>692.003085217018</v>
      </c>
      <c r="AX165" s="4438">
        <f t="shared" si="181"/>
        <v>0</v>
      </c>
      <c r="AY165" s="4438">
        <f t="shared" si="182"/>
        <v>0</v>
      </c>
      <c r="AZ165" s="4438">
        <f t="shared" si="183"/>
        <v>0</v>
      </c>
      <c r="BA165" s="4438">
        <f t="shared" si="184"/>
        <v>0</v>
      </c>
      <c r="BB165" s="4438">
        <f t="shared" si="185"/>
        <v>0</v>
      </c>
      <c r="BC165" s="4438">
        <f t="shared" si="186"/>
        <v>0</v>
      </c>
      <c r="BD165" s="4438">
        <f t="shared" si="187"/>
        <v>0</v>
      </c>
      <c r="BE165" s="4438">
        <f t="shared" si="188"/>
        <v>0</v>
      </c>
      <c r="BF165" s="4438">
        <f t="shared" si="189"/>
        <v>0</v>
      </c>
      <c r="BG165" s="4438">
        <f t="shared" si="190"/>
        <v>0</v>
      </c>
      <c r="BH165" s="4438">
        <f t="shared" si="191"/>
        <v>0</v>
      </c>
      <c r="BI165" s="4438">
        <f t="shared" si="192"/>
        <v>0</v>
      </c>
      <c r="BJ165" s="4438">
        <f t="shared" si="193"/>
        <v>0</v>
      </c>
      <c r="BK165" s="4438">
        <f t="shared" si="194"/>
        <v>0</v>
      </c>
      <c r="BL165" s="4438">
        <f t="shared" si="195"/>
        <v>0</v>
      </c>
      <c r="BM165" s="4438">
        <f t="shared" si="196"/>
        <v>0</v>
      </c>
      <c r="BN165" s="4438">
        <f t="shared" si="197"/>
        <v>0</v>
      </c>
      <c r="BO165" s="4438">
        <f t="shared" si="198"/>
        <v>0</v>
      </c>
      <c r="BP165" s="4438">
        <f t="shared" si="199"/>
        <v>0</v>
      </c>
      <c r="BQ165" s="4438">
        <f t="shared" si="200"/>
        <v>0</v>
      </c>
      <c r="BR165" s="4438">
        <f t="shared" si="201"/>
        <v>0</v>
      </c>
      <c r="BS165" s="4438">
        <f t="shared" si="202"/>
        <v>0</v>
      </c>
      <c r="BT165" s="4438">
        <f t="shared" si="203"/>
        <v>0</v>
      </c>
      <c r="BU165" s="4438">
        <f t="shared" si="204"/>
        <v>0</v>
      </c>
      <c r="BV165" s="4438">
        <f t="shared" si="205"/>
        <v>0</v>
      </c>
      <c r="BW165" s="4438">
        <f t="shared" si="206"/>
        <v>0</v>
      </c>
      <c r="BX165" s="4438">
        <f t="shared" si="207"/>
        <v>0</v>
      </c>
      <c r="BY165" s="4438">
        <f t="shared" si="208"/>
        <v>0</v>
      </c>
    </row>
    <row r="166" spans="1:77" s="1292" customFormat="1">
      <c r="A166" s="2573">
        <v>15</v>
      </c>
      <c r="B166" s="2516">
        <v>2040206</v>
      </c>
      <c r="C166" s="2517">
        <v>0.02</v>
      </c>
      <c r="D166" s="2552" t="s">
        <v>421</v>
      </c>
      <c r="E166" s="4387">
        <f>+'11.3. ДА Базова година'!H126</f>
        <v>0</v>
      </c>
      <c r="F166" s="1202">
        <f t="shared" si="218"/>
        <v>0</v>
      </c>
      <c r="G166" s="1198">
        <f t="shared" si="218"/>
        <v>0</v>
      </c>
      <c r="H166" s="1198">
        <f t="shared" si="218"/>
        <v>0</v>
      </c>
      <c r="I166" s="1198">
        <f t="shared" si="218"/>
        <v>0</v>
      </c>
      <c r="J166" s="1198">
        <f t="shared" si="218"/>
        <v>0</v>
      </c>
      <c r="K166" s="1203">
        <f t="shared" si="218"/>
        <v>0</v>
      </c>
      <c r="L166" s="4387">
        <f>+'11.3. ДА Базова година'!L126</f>
        <v>3</v>
      </c>
      <c r="M166" s="1202">
        <f t="shared" si="214"/>
        <v>4.43</v>
      </c>
      <c r="N166" s="1198">
        <f t="shared" si="214"/>
        <v>15.722683600000002</v>
      </c>
      <c r="O166" s="1198">
        <f t="shared" si="214"/>
        <v>55.953417999999999</v>
      </c>
      <c r="P166" s="1198">
        <f t="shared" si="214"/>
        <v>134.18488680000002</v>
      </c>
      <c r="Q166" s="1198">
        <f t="shared" si="214"/>
        <v>231.34172280000001</v>
      </c>
      <c r="R166" s="1203">
        <f t="shared" si="214"/>
        <v>328.9485588</v>
      </c>
      <c r="S166" s="4387">
        <f>+'11.3. ДА Базова година'!P126</f>
        <v>0</v>
      </c>
      <c r="T166" s="1202">
        <f t="shared" si="215"/>
        <v>0</v>
      </c>
      <c r="U166" s="1198">
        <f t="shared" si="215"/>
        <v>0</v>
      </c>
      <c r="V166" s="1198">
        <f t="shared" si="215"/>
        <v>0</v>
      </c>
      <c r="W166" s="1198">
        <f t="shared" si="215"/>
        <v>0</v>
      </c>
      <c r="X166" s="1198">
        <f t="shared" si="215"/>
        <v>0</v>
      </c>
      <c r="Y166" s="1203">
        <f t="shared" si="215"/>
        <v>0</v>
      </c>
      <c r="Z166" s="4387">
        <f>+'11.3. ДА Базова година'!T126</f>
        <v>0</v>
      </c>
      <c r="AA166" s="1202">
        <f t="shared" si="216"/>
        <v>0</v>
      </c>
      <c r="AB166" s="1198">
        <f t="shared" si="216"/>
        <v>0</v>
      </c>
      <c r="AC166" s="1198">
        <f t="shared" si="216"/>
        <v>0</v>
      </c>
      <c r="AD166" s="1198">
        <f t="shared" si="216"/>
        <v>0</v>
      </c>
      <c r="AE166" s="1198">
        <f t="shared" si="216"/>
        <v>0</v>
      </c>
      <c r="AF166" s="1203">
        <f t="shared" si="216"/>
        <v>0</v>
      </c>
      <c r="AG166" s="4387">
        <f>+'11.3. ДА Базова година'!X126</f>
        <v>0</v>
      </c>
      <c r="AH166" s="1202">
        <f t="shared" si="217"/>
        <v>0</v>
      </c>
      <c r="AI166" s="1198">
        <f t="shared" si="217"/>
        <v>0</v>
      </c>
      <c r="AJ166" s="1198">
        <f t="shared" si="217"/>
        <v>0</v>
      </c>
      <c r="AK166" s="1198">
        <f t="shared" si="217"/>
        <v>0</v>
      </c>
      <c r="AL166" s="1198">
        <f t="shared" si="217"/>
        <v>0</v>
      </c>
      <c r="AM166" s="1203">
        <f t="shared" si="217"/>
        <v>0</v>
      </c>
      <c r="AN166" s="2513"/>
      <c r="AO166" s="2551"/>
      <c r="AP166" s="4422"/>
      <c r="AQ166" s="4438">
        <f t="shared" si="174"/>
        <v>0</v>
      </c>
      <c r="AR166" s="4438">
        <f t="shared" si="175"/>
        <v>0</v>
      </c>
      <c r="AS166" s="4438">
        <f t="shared" si="176"/>
        <v>0</v>
      </c>
      <c r="AT166" s="4438">
        <f t="shared" si="177"/>
        <v>0</v>
      </c>
      <c r="AU166" s="4438">
        <f t="shared" si="178"/>
        <v>0</v>
      </c>
      <c r="AV166" s="4438">
        <f t="shared" si="179"/>
        <v>0</v>
      </c>
      <c r="AW166" s="4438">
        <f t="shared" si="180"/>
        <v>0</v>
      </c>
      <c r="AX166" s="4438">
        <f t="shared" si="181"/>
        <v>1.5338756435886556</v>
      </c>
      <c r="AY166" s="4438">
        <f t="shared" si="182"/>
        <v>2.2650230336992476</v>
      </c>
      <c r="AZ166" s="4438">
        <f t="shared" si="183"/>
        <v>8.0388804752969332</v>
      </c>
      <c r="BA166" s="4438">
        <f t="shared" si="184"/>
        <v>28.608528348578353</v>
      </c>
      <c r="BB166" s="4438">
        <f t="shared" si="185"/>
        <v>68.607643200073639</v>
      </c>
      <c r="BC166" s="4438">
        <f t="shared" si="186"/>
        <v>118.28314464958612</v>
      </c>
      <c r="BD166" s="4438">
        <f t="shared" si="187"/>
        <v>168.18872744563689</v>
      </c>
      <c r="BE166" s="4438">
        <f t="shared" si="188"/>
        <v>0</v>
      </c>
      <c r="BF166" s="4438">
        <f t="shared" si="189"/>
        <v>0</v>
      </c>
      <c r="BG166" s="4438">
        <f t="shared" si="190"/>
        <v>0</v>
      </c>
      <c r="BH166" s="4438">
        <f t="shared" si="191"/>
        <v>0</v>
      </c>
      <c r="BI166" s="4438">
        <f t="shared" si="192"/>
        <v>0</v>
      </c>
      <c r="BJ166" s="4438">
        <f t="shared" si="193"/>
        <v>0</v>
      </c>
      <c r="BK166" s="4438">
        <f t="shared" si="194"/>
        <v>0</v>
      </c>
      <c r="BL166" s="4438">
        <f t="shared" si="195"/>
        <v>0</v>
      </c>
      <c r="BM166" s="4438">
        <f t="shared" si="196"/>
        <v>0</v>
      </c>
      <c r="BN166" s="4438">
        <f t="shared" si="197"/>
        <v>0</v>
      </c>
      <c r="BO166" s="4438">
        <f t="shared" si="198"/>
        <v>0</v>
      </c>
      <c r="BP166" s="4438">
        <f t="shared" si="199"/>
        <v>0</v>
      </c>
      <c r="BQ166" s="4438">
        <f t="shared" si="200"/>
        <v>0</v>
      </c>
      <c r="BR166" s="4438">
        <f t="shared" si="201"/>
        <v>0</v>
      </c>
      <c r="BS166" s="4438">
        <f t="shared" si="202"/>
        <v>0</v>
      </c>
      <c r="BT166" s="4438">
        <f t="shared" si="203"/>
        <v>0</v>
      </c>
      <c r="BU166" s="4438">
        <f t="shared" si="204"/>
        <v>0</v>
      </c>
      <c r="BV166" s="4438">
        <f t="shared" si="205"/>
        <v>0</v>
      </c>
      <c r="BW166" s="4438">
        <f t="shared" si="206"/>
        <v>0</v>
      </c>
      <c r="BX166" s="4438">
        <f t="shared" si="207"/>
        <v>0</v>
      </c>
      <c r="BY166" s="4438">
        <f t="shared" si="208"/>
        <v>0</v>
      </c>
    </row>
    <row r="167" spans="1:77" s="1292" customFormat="1" ht="24">
      <c r="A167" s="2573">
        <v>16</v>
      </c>
      <c r="B167" s="2516">
        <v>2040207</v>
      </c>
      <c r="C167" s="2517">
        <v>0.04</v>
      </c>
      <c r="D167" s="2552" t="s">
        <v>422</v>
      </c>
      <c r="E167" s="4387">
        <f>+'11.3. ДА Базова година'!H127</f>
        <v>14</v>
      </c>
      <c r="F167" s="1202">
        <f t="shared" si="218"/>
        <v>18.36</v>
      </c>
      <c r="G167" s="1198">
        <f t="shared" si="218"/>
        <v>59.731378359999994</v>
      </c>
      <c r="H167" s="1198">
        <f t="shared" si="218"/>
        <v>204.59689179999998</v>
      </c>
      <c r="I167" s="1198">
        <f t="shared" si="218"/>
        <v>483.04791868000001</v>
      </c>
      <c r="J167" s="1198">
        <f t="shared" si="218"/>
        <v>826.98170228000004</v>
      </c>
      <c r="K167" s="1203">
        <f t="shared" si="218"/>
        <v>1171.93548588</v>
      </c>
      <c r="L167" s="4387">
        <f>+'11.3. ДА Базова година'!L127</f>
        <v>0</v>
      </c>
      <c r="M167" s="1202">
        <f t="shared" si="214"/>
        <v>0.1</v>
      </c>
      <c r="N167" s="1198">
        <f t="shared" si="214"/>
        <v>1.4000000000000001</v>
      </c>
      <c r="O167" s="1198">
        <f t="shared" si="214"/>
        <v>3.8000000000000007</v>
      </c>
      <c r="P167" s="1198">
        <f t="shared" si="214"/>
        <v>6.2000000000000011</v>
      </c>
      <c r="Q167" s="1198">
        <f t="shared" si="214"/>
        <v>8.6000000000000014</v>
      </c>
      <c r="R167" s="1203">
        <f t="shared" si="214"/>
        <v>11.000000000000002</v>
      </c>
      <c r="S167" s="4387">
        <f>+'11.3. ДА Базова година'!P127</f>
        <v>28</v>
      </c>
      <c r="T167" s="1202">
        <f t="shared" si="215"/>
        <v>33.86</v>
      </c>
      <c r="U167" s="1198">
        <f t="shared" si="215"/>
        <v>60.857790879999996</v>
      </c>
      <c r="V167" s="1198">
        <f t="shared" si="215"/>
        <v>150.88895439999999</v>
      </c>
      <c r="W167" s="1198">
        <f t="shared" si="215"/>
        <v>325.25128143999996</v>
      </c>
      <c r="X167" s="1198">
        <f t="shared" si="215"/>
        <v>541.98919023999997</v>
      </c>
      <c r="Y167" s="1203">
        <f t="shared" si="215"/>
        <v>758.76709903999995</v>
      </c>
      <c r="Z167" s="4387">
        <f>+'11.3. ДА Базова година'!T127</f>
        <v>0</v>
      </c>
      <c r="AA167" s="1202">
        <f t="shared" si="216"/>
        <v>0</v>
      </c>
      <c r="AB167" s="1198">
        <f t="shared" si="216"/>
        <v>0</v>
      </c>
      <c r="AC167" s="1198">
        <f t="shared" si="216"/>
        <v>0</v>
      </c>
      <c r="AD167" s="1198">
        <f t="shared" si="216"/>
        <v>0</v>
      </c>
      <c r="AE167" s="1198">
        <f t="shared" si="216"/>
        <v>0</v>
      </c>
      <c r="AF167" s="1203">
        <f t="shared" si="216"/>
        <v>0</v>
      </c>
      <c r="AG167" s="4387">
        <f>+'11.3. ДА Базова година'!X127</f>
        <v>0</v>
      </c>
      <c r="AH167" s="1202">
        <f t="shared" si="217"/>
        <v>0</v>
      </c>
      <c r="AI167" s="1198">
        <f t="shared" si="217"/>
        <v>0</v>
      </c>
      <c r="AJ167" s="1198">
        <f t="shared" si="217"/>
        <v>0</v>
      </c>
      <c r="AK167" s="1198">
        <f t="shared" si="217"/>
        <v>0</v>
      </c>
      <c r="AL167" s="1198">
        <f t="shared" si="217"/>
        <v>0</v>
      </c>
      <c r="AM167" s="1203">
        <f t="shared" si="217"/>
        <v>0</v>
      </c>
      <c r="AN167" s="2513"/>
      <c r="AO167" s="2551"/>
      <c r="AP167" s="4422"/>
      <c r="AQ167" s="4438">
        <f t="shared" si="174"/>
        <v>7.1580863367470586</v>
      </c>
      <c r="AR167" s="4438">
        <f t="shared" si="175"/>
        <v>9.3873189387625722</v>
      </c>
      <c r="AS167" s="4438">
        <f t="shared" si="176"/>
        <v>30.540168808127493</v>
      </c>
      <c r="AT167" s="4438">
        <f t="shared" si="177"/>
        <v>104.60872969532116</v>
      </c>
      <c r="AU167" s="4438">
        <f t="shared" si="178"/>
        <v>246.97847904981518</v>
      </c>
      <c r="AV167" s="4438">
        <f t="shared" si="179"/>
        <v>422.82903027359231</v>
      </c>
      <c r="AW167" s="4438">
        <f t="shared" si="180"/>
        <v>599.2010992161895</v>
      </c>
      <c r="AX167" s="4438">
        <f t="shared" si="181"/>
        <v>0</v>
      </c>
      <c r="AY167" s="4438">
        <f t="shared" si="182"/>
        <v>5.1129188119621853E-2</v>
      </c>
      <c r="AZ167" s="4438">
        <f t="shared" si="183"/>
        <v>0.71580863367470593</v>
      </c>
      <c r="BA167" s="4438">
        <f t="shared" si="184"/>
        <v>1.9429091485456307</v>
      </c>
      <c r="BB167" s="4438">
        <f t="shared" si="185"/>
        <v>3.1700096634165553</v>
      </c>
      <c r="BC167" s="4438">
        <f t="shared" si="186"/>
        <v>4.3971101782874795</v>
      </c>
      <c r="BD167" s="4438">
        <f t="shared" si="187"/>
        <v>5.6242106931584042</v>
      </c>
      <c r="BE167" s="4438">
        <f t="shared" si="188"/>
        <v>14.316172673494117</v>
      </c>
      <c r="BF167" s="4438">
        <f t="shared" si="189"/>
        <v>17.312343097303959</v>
      </c>
      <c r="BG167" s="4438">
        <f t="shared" si="190"/>
        <v>31.116094384481269</v>
      </c>
      <c r="BH167" s="4438">
        <f t="shared" si="191"/>
        <v>77.148297346906418</v>
      </c>
      <c r="BI167" s="4438">
        <f t="shared" si="192"/>
        <v>166.29833954893829</v>
      </c>
      <c r="BJ167" s="4438">
        <f t="shared" si="193"/>
        <v>277.11467266582474</v>
      </c>
      <c r="BK167" s="4438">
        <f t="shared" si="194"/>
        <v>387.95145745795901</v>
      </c>
      <c r="BL167" s="4438">
        <f t="shared" si="195"/>
        <v>0</v>
      </c>
      <c r="BM167" s="4438">
        <f t="shared" si="196"/>
        <v>0</v>
      </c>
      <c r="BN167" s="4438">
        <f t="shared" si="197"/>
        <v>0</v>
      </c>
      <c r="BO167" s="4438">
        <f t="shared" si="198"/>
        <v>0</v>
      </c>
      <c r="BP167" s="4438">
        <f t="shared" si="199"/>
        <v>0</v>
      </c>
      <c r="BQ167" s="4438">
        <f t="shared" si="200"/>
        <v>0</v>
      </c>
      <c r="BR167" s="4438">
        <f t="shared" si="201"/>
        <v>0</v>
      </c>
      <c r="BS167" s="4438">
        <f t="shared" si="202"/>
        <v>0</v>
      </c>
      <c r="BT167" s="4438">
        <f t="shared" si="203"/>
        <v>0</v>
      </c>
      <c r="BU167" s="4438">
        <f t="shared" si="204"/>
        <v>0</v>
      </c>
      <c r="BV167" s="4438">
        <f t="shared" si="205"/>
        <v>0</v>
      </c>
      <c r="BW167" s="4438">
        <f t="shared" si="206"/>
        <v>0</v>
      </c>
      <c r="BX167" s="4438">
        <f t="shared" si="207"/>
        <v>0</v>
      </c>
      <c r="BY167" s="4438">
        <f t="shared" si="208"/>
        <v>0</v>
      </c>
    </row>
    <row r="168" spans="1:77" s="1292" customFormat="1">
      <c r="A168" s="2573">
        <v>17</v>
      </c>
      <c r="B168" s="2516">
        <v>2040208</v>
      </c>
      <c r="C168" s="2517">
        <v>0.04</v>
      </c>
      <c r="D168" s="2552" t="s">
        <v>423</v>
      </c>
      <c r="E168" s="4387">
        <f>+'11.3. ДА Базова година'!H128</f>
        <v>11</v>
      </c>
      <c r="F168" s="1202">
        <f t="shared" si="218"/>
        <v>11</v>
      </c>
      <c r="G168" s="1198">
        <f t="shared" si="218"/>
        <v>11</v>
      </c>
      <c r="H168" s="1198">
        <f t="shared" si="218"/>
        <v>11</v>
      </c>
      <c r="I168" s="1198">
        <f t="shared" si="218"/>
        <v>11</v>
      </c>
      <c r="J168" s="1198">
        <f t="shared" si="218"/>
        <v>10.6</v>
      </c>
      <c r="K168" s="1203">
        <f t="shared" si="218"/>
        <v>10.199999999999999</v>
      </c>
      <c r="L168" s="4387">
        <f>+'11.3. ДА Базова година'!L128</f>
        <v>0</v>
      </c>
      <c r="M168" s="1202">
        <f t="shared" ref="M168:R170" si="219">L168+M148</f>
        <v>0</v>
      </c>
      <c r="N168" s="1198">
        <f t="shared" si="219"/>
        <v>0</v>
      </c>
      <c r="O168" s="1198">
        <f t="shared" si="219"/>
        <v>0</v>
      </c>
      <c r="P168" s="1198">
        <f t="shared" si="219"/>
        <v>0</v>
      </c>
      <c r="Q168" s="1198">
        <f t="shared" si="219"/>
        <v>0</v>
      </c>
      <c r="R168" s="1203">
        <f t="shared" si="219"/>
        <v>0</v>
      </c>
      <c r="S168" s="4387">
        <f>+'11.3. ДА Базова година'!P128</f>
        <v>0</v>
      </c>
      <c r="T168" s="1202">
        <f t="shared" ref="T168:Y170" si="220">S168+T148</f>
        <v>0</v>
      </c>
      <c r="U168" s="1198">
        <f t="shared" si="220"/>
        <v>0</v>
      </c>
      <c r="V168" s="1198">
        <f t="shared" si="220"/>
        <v>0</v>
      </c>
      <c r="W168" s="1198">
        <f t="shared" si="220"/>
        <v>0</v>
      </c>
      <c r="X168" s="1198">
        <f t="shared" si="220"/>
        <v>0</v>
      </c>
      <c r="Y168" s="1203">
        <f t="shared" si="220"/>
        <v>0</v>
      </c>
      <c r="Z168" s="4387">
        <f>+'11.3. ДА Базова година'!T128</f>
        <v>0</v>
      </c>
      <c r="AA168" s="1202">
        <f t="shared" ref="AA168:AF170" si="221">Z168+AA148</f>
        <v>0</v>
      </c>
      <c r="AB168" s="1198">
        <f t="shared" si="221"/>
        <v>0</v>
      </c>
      <c r="AC168" s="1198">
        <f t="shared" si="221"/>
        <v>0</v>
      </c>
      <c r="AD168" s="1198">
        <f t="shared" si="221"/>
        <v>0</v>
      </c>
      <c r="AE168" s="1198">
        <f t="shared" si="221"/>
        <v>0</v>
      </c>
      <c r="AF168" s="1203">
        <f t="shared" si="221"/>
        <v>0</v>
      </c>
      <c r="AG168" s="4387">
        <f>+'11.3. ДА Базова година'!X128</f>
        <v>0</v>
      </c>
      <c r="AH168" s="1202">
        <f t="shared" ref="AH168:AM170" si="222">AG168+AH148</f>
        <v>0</v>
      </c>
      <c r="AI168" s="1198">
        <f t="shared" si="222"/>
        <v>0</v>
      </c>
      <c r="AJ168" s="1198">
        <f t="shared" si="222"/>
        <v>0</v>
      </c>
      <c r="AK168" s="1198">
        <f t="shared" si="222"/>
        <v>0</v>
      </c>
      <c r="AL168" s="1198">
        <f t="shared" si="222"/>
        <v>0</v>
      </c>
      <c r="AM168" s="1203">
        <f t="shared" si="222"/>
        <v>0</v>
      </c>
      <c r="AN168" s="2513"/>
      <c r="AO168" s="2551"/>
      <c r="AP168" s="4422"/>
      <c r="AQ168" s="4438">
        <f t="shared" si="174"/>
        <v>5.6242106931584033</v>
      </c>
      <c r="AR168" s="4438">
        <f t="shared" si="175"/>
        <v>5.6242106931584033</v>
      </c>
      <c r="AS168" s="4438">
        <f t="shared" si="176"/>
        <v>5.6242106931584033</v>
      </c>
      <c r="AT168" s="4438">
        <f t="shared" si="177"/>
        <v>5.6242106931584033</v>
      </c>
      <c r="AU168" s="4438">
        <f t="shared" si="178"/>
        <v>5.6242106931584033</v>
      </c>
      <c r="AV168" s="4438">
        <f t="shared" si="179"/>
        <v>5.4196939406799158</v>
      </c>
      <c r="AW168" s="4438">
        <f t="shared" si="180"/>
        <v>5.2151771882014284</v>
      </c>
      <c r="AX168" s="4438">
        <f t="shared" si="181"/>
        <v>0</v>
      </c>
      <c r="AY168" s="4438">
        <f t="shared" si="182"/>
        <v>0</v>
      </c>
      <c r="AZ168" s="4438">
        <f t="shared" si="183"/>
        <v>0</v>
      </c>
      <c r="BA168" s="4438">
        <f t="shared" si="184"/>
        <v>0</v>
      </c>
      <c r="BB168" s="4438">
        <f t="shared" si="185"/>
        <v>0</v>
      </c>
      <c r="BC168" s="4438">
        <f t="shared" si="186"/>
        <v>0</v>
      </c>
      <c r="BD168" s="4438">
        <f t="shared" si="187"/>
        <v>0</v>
      </c>
      <c r="BE168" s="4438">
        <f t="shared" si="188"/>
        <v>0</v>
      </c>
      <c r="BF168" s="4438">
        <f t="shared" si="189"/>
        <v>0</v>
      </c>
      <c r="BG168" s="4438">
        <f t="shared" si="190"/>
        <v>0</v>
      </c>
      <c r="BH168" s="4438">
        <f t="shared" si="191"/>
        <v>0</v>
      </c>
      <c r="BI168" s="4438">
        <f t="shared" si="192"/>
        <v>0</v>
      </c>
      <c r="BJ168" s="4438">
        <f t="shared" si="193"/>
        <v>0</v>
      </c>
      <c r="BK168" s="4438">
        <f t="shared" si="194"/>
        <v>0</v>
      </c>
      <c r="BL168" s="4438">
        <f t="shared" si="195"/>
        <v>0</v>
      </c>
      <c r="BM168" s="4438">
        <f t="shared" si="196"/>
        <v>0</v>
      </c>
      <c r="BN168" s="4438">
        <f t="shared" si="197"/>
        <v>0</v>
      </c>
      <c r="BO168" s="4438">
        <f t="shared" si="198"/>
        <v>0</v>
      </c>
      <c r="BP168" s="4438">
        <f t="shared" si="199"/>
        <v>0</v>
      </c>
      <c r="BQ168" s="4438">
        <f t="shared" si="200"/>
        <v>0</v>
      </c>
      <c r="BR168" s="4438">
        <f t="shared" si="201"/>
        <v>0</v>
      </c>
      <c r="BS168" s="4438">
        <f t="shared" si="202"/>
        <v>0</v>
      </c>
      <c r="BT168" s="4438">
        <f t="shared" si="203"/>
        <v>0</v>
      </c>
      <c r="BU168" s="4438">
        <f t="shared" si="204"/>
        <v>0</v>
      </c>
      <c r="BV168" s="4438">
        <f t="shared" si="205"/>
        <v>0</v>
      </c>
      <c r="BW168" s="4438">
        <f t="shared" si="206"/>
        <v>0</v>
      </c>
      <c r="BX168" s="4438">
        <f t="shared" si="207"/>
        <v>0</v>
      </c>
      <c r="BY168" s="4438">
        <f t="shared" si="208"/>
        <v>0</v>
      </c>
    </row>
    <row r="169" spans="1:77" s="1292" customFormat="1">
      <c r="A169" s="2573">
        <v>18</v>
      </c>
      <c r="B169" s="2574" t="s">
        <v>1051</v>
      </c>
      <c r="C169" s="2517">
        <v>0.04</v>
      </c>
      <c r="D169" s="2571" t="s">
        <v>434</v>
      </c>
      <c r="E169" s="4387">
        <f>+'11.3. ДА Базова година'!H129</f>
        <v>4</v>
      </c>
      <c r="F169" s="1202">
        <f t="shared" si="218"/>
        <v>5</v>
      </c>
      <c r="G169" s="1198">
        <f t="shared" si="218"/>
        <v>6</v>
      </c>
      <c r="H169" s="1198">
        <f t="shared" si="218"/>
        <v>7</v>
      </c>
      <c r="I169" s="1198">
        <f t="shared" si="218"/>
        <v>8</v>
      </c>
      <c r="J169" s="1198">
        <f t="shared" si="218"/>
        <v>9</v>
      </c>
      <c r="K169" s="1203">
        <f t="shared" si="218"/>
        <v>10</v>
      </c>
      <c r="L169" s="4387">
        <f>+'11.3. ДА Базова година'!L129</f>
        <v>0</v>
      </c>
      <c r="M169" s="1202">
        <f t="shared" si="219"/>
        <v>0</v>
      </c>
      <c r="N169" s="1198">
        <f t="shared" si="219"/>
        <v>0</v>
      </c>
      <c r="O169" s="1198">
        <f t="shared" si="219"/>
        <v>0</v>
      </c>
      <c r="P169" s="1198">
        <f t="shared" si="219"/>
        <v>0</v>
      </c>
      <c r="Q169" s="1198">
        <f t="shared" si="219"/>
        <v>0</v>
      </c>
      <c r="R169" s="1203">
        <f t="shared" si="219"/>
        <v>0</v>
      </c>
      <c r="S169" s="4387">
        <f>+'11.3. ДА Базова година'!P129</f>
        <v>0</v>
      </c>
      <c r="T169" s="1202">
        <f t="shared" si="220"/>
        <v>0.24</v>
      </c>
      <c r="U169" s="1198">
        <f t="shared" si="220"/>
        <v>0.48</v>
      </c>
      <c r="V169" s="1198">
        <f t="shared" si="220"/>
        <v>0.72</v>
      </c>
      <c r="W169" s="1198">
        <f t="shared" si="220"/>
        <v>0.96</v>
      </c>
      <c r="X169" s="1198">
        <f t="shared" si="220"/>
        <v>1.2</v>
      </c>
      <c r="Y169" s="1203">
        <f t="shared" si="220"/>
        <v>1.44</v>
      </c>
      <c r="Z169" s="4387">
        <f>+'11.3. ДА Базова година'!T129</f>
        <v>0</v>
      </c>
      <c r="AA169" s="1202">
        <f t="shared" si="221"/>
        <v>0</v>
      </c>
      <c r="AB169" s="1198">
        <f t="shared" si="221"/>
        <v>0</v>
      </c>
      <c r="AC169" s="1198">
        <f t="shared" si="221"/>
        <v>0</v>
      </c>
      <c r="AD169" s="1198">
        <f t="shared" si="221"/>
        <v>0</v>
      </c>
      <c r="AE169" s="1198">
        <f t="shared" si="221"/>
        <v>0</v>
      </c>
      <c r="AF169" s="1203">
        <f t="shared" si="221"/>
        <v>0</v>
      </c>
      <c r="AG169" s="4387">
        <f>+'11.3. ДА Базова година'!X129</f>
        <v>0</v>
      </c>
      <c r="AH169" s="1202">
        <f t="shared" si="222"/>
        <v>0</v>
      </c>
      <c r="AI169" s="1198">
        <f t="shared" si="222"/>
        <v>0</v>
      </c>
      <c r="AJ169" s="1198">
        <f t="shared" si="222"/>
        <v>0</v>
      </c>
      <c r="AK169" s="1198">
        <f t="shared" si="222"/>
        <v>0</v>
      </c>
      <c r="AL169" s="1198">
        <f t="shared" si="222"/>
        <v>0</v>
      </c>
      <c r="AM169" s="1203">
        <f t="shared" si="222"/>
        <v>0</v>
      </c>
      <c r="AN169" s="2513"/>
      <c r="AO169" s="2551"/>
      <c r="AP169" s="4422"/>
      <c r="AQ169" s="4438">
        <f t="shared" si="174"/>
        <v>2.045167524784874</v>
      </c>
      <c r="AR169" s="4438">
        <f t="shared" si="175"/>
        <v>2.5564594059810926</v>
      </c>
      <c r="AS169" s="4438">
        <f t="shared" si="176"/>
        <v>3.0677512871773112</v>
      </c>
      <c r="AT169" s="4438">
        <f t="shared" si="177"/>
        <v>3.5790431683735293</v>
      </c>
      <c r="AU169" s="4438">
        <f t="shared" si="178"/>
        <v>4.0903350495697479</v>
      </c>
      <c r="AV169" s="4438">
        <f t="shared" si="179"/>
        <v>4.6016269307659661</v>
      </c>
      <c r="AW169" s="4438">
        <f t="shared" si="180"/>
        <v>5.1129188119621851</v>
      </c>
      <c r="AX169" s="4438">
        <f t="shared" si="181"/>
        <v>0</v>
      </c>
      <c r="AY169" s="4438">
        <f t="shared" si="182"/>
        <v>0</v>
      </c>
      <c r="AZ169" s="4438">
        <f t="shared" si="183"/>
        <v>0</v>
      </c>
      <c r="BA169" s="4438">
        <f t="shared" si="184"/>
        <v>0</v>
      </c>
      <c r="BB169" s="4438">
        <f t="shared" si="185"/>
        <v>0</v>
      </c>
      <c r="BC169" s="4438">
        <f t="shared" si="186"/>
        <v>0</v>
      </c>
      <c r="BD169" s="4438">
        <f t="shared" si="187"/>
        <v>0</v>
      </c>
      <c r="BE169" s="4438">
        <f t="shared" si="188"/>
        <v>0</v>
      </c>
      <c r="BF169" s="4438">
        <f t="shared" si="189"/>
        <v>0.12271005148709244</v>
      </c>
      <c r="BG169" s="4438">
        <f t="shared" si="190"/>
        <v>0.24542010297418487</v>
      </c>
      <c r="BH169" s="4438">
        <f t="shared" si="191"/>
        <v>0.36813015446127728</v>
      </c>
      <c r="BI169" s="4438">
        <f t="shared" si="192"/>
        <v>0.49084020594836975</v>
      </c>
      <c r="BJ169" s="4438">
        <f t="shared" si="193"/>
        <v>0.61355025743546221</v>
      </c>
      <c r="BK169" s="4438">
        <f t="shared" si="194"/>
        <v>0.73626030892255456</v>
      </c>
      <c r="BL169" s="4438">
        <f t="shared" si="195"/>
        <v>0</v>
      </c>
      <c r="BM169" s="4438">
        <f t="shared" si="196"/>
        <v>0</v>
      </c>
      <c r="BN169" s="4438">
        <f t="shared" si="197"/>
        <v>0</v>
      </c>
      <c r="BO169" s="4438">
        <f t="shared" si="198"/>
        <v>0</v>
      </c>
      <c r="BP169" s="4438">
        <f t="shared" si="199"/>
        <v>0</v>
      </c>
      <c r="BQ169" s="4438">
        <f t="shared" si="200"/>
        <v>0</v>
      </c>
      <c r="BR169" s="4438">
        <f t="shared" si="201"/>
        <v>0</v>
      </c>
      <c r="BS169" s="4438">
        <f t="shared" si="202"/>
        <v>0</v>
      </c>
      <c r="BT169" s="4438">
        <f t="shared" si="203"/>
        <v>0</v>
      </c>
      <c r="BU169" s="4438">
        <f t="shared" si="204"/>
        <v>0</v>
      </c>
      <c r="BV169" s="4438">
        <f t="shared" si="205"/>
        <v>0</v>
      </c>
      <c r="BW169" s="4438">
        <f t="shared" si="206"/>
        <v>0</v>
      </c>
      <c r="BX169" s="4438">
        <f t="shared" si="207"/>
        <v>0</v>
      </c>
      <c r="BY169" s="4438">
        <f t="shared" si="208"/>
        <v>0</v>
      </c>
    </row>
    <row r="170" spans="1:77" s="1292" customFormat="1" ht="24.75" thickBot="1">
      <c r="A170" s="2573">
        <v>19</v>
      </c>
      <c r="B170" s="2516">
        <v>215</v>
      </c>
      <c r="C170" s="2522">
        <v>0.2</v>
      </c>
      <c r="D170" s="2552" t="s">
        <v>679</v>
      </c>
      <c r="E170" s="4387">
        <f>+'11.3. ДА Базова година'!H130</f>
        <v>0</v>
      </c>
      <c r="F170" s="2636">
        <f t="shared" si="218"/>
        <v>2.1589843750000002</v>
      </c>
      <c r="G170" s="2637">
        <f t="shared" si="218"/>
        <v>6.4740977666686765</v>
      </c>
      <c r="H170" s="2637">
        <f t="shared" si="218"/>
        <v>10.717620596610177</v>
      </c>
      <c r="I170" s="2637">
        <f t="shared" si="218"/>
        <v>14.907985668946235</v>
      </c>
      <c r="J170" s="2637">
        <f t="shared" si="218"/>
        <v>19.112765350024382</v>
      </c>
      <c r="K170" s="2638">
        <f t="shared" si="218"/>
        <v>23.363776138495584</v>
      </c>
      <c r="L170" s="4387">
        <f>+'11.3. ДА Базова година'!L130</f>
        <v>0</v>
      </c>
      <c r="M170" s="2636">
        <f t="shared" si="219"/>
        <v>2.3023437499999999</v>
      </c>
      <c r="N170" s="2637">
        <f t="shared" si="219"/>
        <v>6.7144235234918277</v>
      </c>
      <c r="O170" s="2637">
        <f t="shared" si="219"/>
        <v>11.042750936924417</v>
      </c>
      <c r="P170" s="2637">
        <f t="shared" si="219"/>
        <v>15.349985090826856</v>
      </c>
      <c r="Q170" s="2637">
        <f t="shared" si="219"/>
        <v>19.641546495105985</v>
      </c>
      <c r="R170" s="2638">
        <f t="shared" si="219"/>
        <v>23.916755814479991</v>
      </c>
      <c r="S170" s="4387">
        <f>+'11.3. ДА Базова година'!P130</f>
        <v>0</v>
      </c>
      <c r="T170" s="2636">
        <f t="shared" si="220"/>
        <v>3.8671875000000008E-2</v>
      </c>
      <c r="U170" s="2637">
        <f t="shared" si="220"/>
        <v>0.31147870983949627</v>
      </c>
      <c r="V170" s="2637">
        <f t="shared" si="220"/>
        <v>0.73962846646540781</v>
      </c>
      <c r="W170" s="2637">
        <f t="shared" si="220"/>
        <v>1.24202924022691</v>
      </c>
      <c r="X170" s="2637">
        <f t="shared" si="220"/>
        <v>1.7456881548696357</v>
      </c>
      <c r="Y170" s="2638">
        <f t="shared" si="220"/>
        <v>2.2194680470244248</v>
      </c>
      <c r="Z170" s="4387">
        <f>+'11.3. ДА Базова година'!T130</f>
        <v>0</v>
      </c>
      <c r="AA170" s="2636">
        <f t="shared" si="221"/>
        <v>0</v>
      </c>
      <c r="AB170" s="2637">
        <f t="shared" si="221"/>
        <v>0</v>
      </c>
      <c r="AC170" s="2637">
        <f t="shared" si="221"/>
        <v>0</v>
      </c>
      <c r="AD170" s="2637">
        <f t="shared" si="221"/>
        <v>0</v>
      </c>
      <c r="AE170" s="2637">
        <f t="shared" si="221"/>
        <v>0</v>
      </c>
      <c r="AF170" s="2638">
        <f t="shared" si="221"/>
        <v>0</v>
      </c>
      <c r="AG170" s="4387">
        <f>+'11.3. ДА Базова година'!X130</f>
        <v>0</v>
      </c>
      <c r="AH170" s="2636">
        <f t="shared" si="222"/>
        <v>0</v>
      </c>
      <c r="AI170" s="2637">
        <f t="shared" si="222"/>
        <v>0</v>
      </c>
      <c r="AJ170" s="2637">
        <f t="shared" si="222"/>
        <v>0</v>
      </c>
      <c r="AK170" s="2637">
        <f t="shared" si="222"/>
        <v>0</v>
      </c>
      <c r="AL170" s="2637">
        <f t="shared" si="222"/>
        <v>0</v>
      </c>
      <c r="AM170" s="2638">
        <f t="shared" si="222"/>
        <v>0</v>
      </c>
      <c r="AN170" s="2513"/>
      <c r="AO170" s="2551"/>
      <c r="AP170" s="4422"/>
      <c r="AQ170" s="4438">
        <f t="shared" si="174"/>
        <v>0</v>
      </c>
      <c r="AR170" s="4438">
        <f t="shared" si="175"/>
        <v>1.1038711825669922</v>
      </c>
      <c r="AS170" s="4438">
        <f t="shared" si="176"/>
        <v>3.3101536261682645</v>
      </c>
      <c r="AT170" s="4438">
        <f t="shared" si="177"/>
        <v>5.4798323967881544</v>
      </c>
      <c r="AU170" s="4438">
        <f t="shared" si="178"/>
        <v>7.6223320375217867</v>
      </c>
      <c r="AV170" s="4438">
        <f t="shared" si="179"/>
        <v>9.7722017506758672</v>
      </c>
      <c r="AW170" s="4438">
        <f t="shared" si="180"/>
        <v>11.945709053698728</v>
      </c>
      <c r="AX170" s="4438">
        <f t="shared" si="181"/>
        <v>0</v>
      </c>
      <c r="AY170" s="4438">
        <f t="shared" si="182"/>
        <v>1.1771696670978562</v>
      </c>
      <c r="AZ170" s="4438">
        <f t="shared" si="183"/>
        <v>3.4330302344742782</v>
      </c>
      <c r="BA170" s="4438">
        <f t="shared" si="184"/>
        <v>5.6460689001213895</v>
      </c>
      <c r="BB170" s="4438">
        <f t="shared" si="185"/>
        <v>7.84832275342277</v>
      </c>
      <c r="BC170" s="4438">
        <f t="shared" si="186"/>
        <v>10.042563257085732</v>
      </c>
      <c r="BD170" s="4438">
        <f t="shared" si="187"/>
        <v>12.228443072496072</v>
      </c>
      <c r="BE170" s="4438">
        <f t="shared" si="188"/>
        <v>0</v>
      </c>
      <c r="BF170" s="4438">
        <f t="shared" si="189"/>
        <v>1.9772615718135017E-2</v>
      </c>
      <c r="BG170" s="4438">
        <f t="shared" si="190"/>
        <v>0.15925653550640714</v>
      </c>
      <c r="BH170" s="4438">
        <f t="shared" si="191"/>
        <v>0.37816603000537258</v>
      </c>
      <c r="BI170" s="4438">
        <f t="shared" si="192"/>
        <v>0.63503946673632683</v>
      </c>
      <c r="BJ170" s="4438">
        <f t="shared" si="193"/>
        <v>0.89255618068525167</v>
      </c>
      <c r="BK170" s="4438">
        <f t="shared" si="194"/>
        <v>1.1347959930180154</v>
      </c>
      <c r="BL170" s="4438">
        <f t="shared" si="195"/>
        <v>0</v>
      </c>
      <c r="BM170" s="4438">
        <f t="shared" si="196"/>
        <v>0</v>
      </c>
      <c r="BN170" s="4438">
        <f t="shared" si="197"/>
        <v>0</v>
      </c>
      <c r="BO170" s="4438">
        <f t="shared" si="198"/>
        <v>0</v>
      </c>
      <c r="BP170" s="4438">
        <f t="shared" si="199"/>
        <v>0</v>
      </c>
      <c r="BQ170" s="4438">
        <f t="shared" si="200"/>
        <v>0</v>
      </c>
      <c r="BR170" s="4438">
        <f t="shared" si="201"/>
        <v>0</v>
      </c>
      <c r="BS170" s="4438">
        <f t="shared" si="202"/>
        <v>0</v>
      </c>
      <c r="BT170" s="4438">
        <f t="shared" si="203"/>
        <v>0</v>
      </c>
      <c r="BU170" s="4438">
        <f t="shared" si="204"/>
        <v>0</v>
      </c>
      <c r="BV170" s="4438">
        <f t="shared" si="205"/>
        <v>0</v>
      </c>
      <c r="BW170" s="4438">
        <f t="shared" si="206"/>
        <v>0</v>
      </c>
      <c r="BX170" s="4438">
        <f t="shared" si="207"/>
        <v>0</v>
      </c>
      <c r="BY170" s="4438">
        <f t="shared" si="208"/>
        <v>0</v>
      </c>
    </row>
    <row r="171" spans="1:77" s="1292" customFormat="1" ht="13.5" thickBot="1">
      <c r="A171" s="3685" t="s">
        <v>221</v>
      </c>
      <c r="B171" s="2539"/>
      <c r="C171" s="2539"/>
      <c r="D171" s="2575" t="s">
        <v>222</v>
      </c>
      <c r="E171" s="1220">
        <f t="shared" ref="E171" si="223">SUM(E172:E190)</f>
        <v>4952</v>
      </c>
      <c r="F171" s="2632">
        <f t="shared" ref="F171:AM171" si="224">SUM(F172:F190)</f>
        <v>5915.0405468750014</v>
      </c>
      <c r="G171" s="1121">
        <f t="shared" si="224"/>
        <v>10325.735905042164</v>
      </c>
      <c r="H171" s="1121">
        <f t="shared" si="224"/>
        <v>18423.525816732341</v>
      </c>
      <c r="I171" s="1122">
        <f t="shared" si="224"/>
        <v>26199.064991178242</v>
      </c>
      <c r="J171" s="1121">
        <f t="shared" si="224"/>
        <v>25997.720319988122</v>
      </c>
      <c r="K171" s="1121">
        <f t="shared" si="224"/>
        <v>25661.291807158032</v>
      </c>
      <c r="L171" s="1220">
        <f t="shared" si="224"/>
        <v>288</v>
      </c>
      <c r="M171" s="2632">
        <f t="shared" si="224"/>
        <v>388.62796874999998</v>
      </c>
      <c r="N171" s="1121">
        <f t="shared" si="224"/>
        <v>1757.3119452030755</v>
      </c>
      <c r="O171" s="1121">
        <f t="shared" si="224"/>
        <v>4071.1729536890393</v>
      </c>
      <c r="P171" s="1122">
        <f t="shared" si="224"/>
        <v>6153.9367309183772</v>
      </c>
      <c r="Q171" s="1121">
        <f t="shared" si="224"/>
        <v>6309.5440302413272</v>
      </c>
      <c r="R171" s="1121">
        <f t="shared" si="224"/>
        <v>6475.0873192049621</v>
      </c>
      <c r="S171" s="1220">
        <f t="shared" si="224"/>
        <v>485</v>
      </c>
      <c r="T171" s="2632">
        <f t="shared" si="224"/>
        <v>535.38648437500001</v>
      </c>
      <c r="U171" s="1121">
        <f t="shared" si="224"/>
        <v>1909.6283013947614</v>
      </c>
      <c r="V171" s="1121">
        <f t="shared" si="224"/>
        <v>4326.0294397786201</v>
      </c>
      <c r="W171" s="1122">
        <f t="shared" si="224"/>
        <v>6521.7680572233849</v>
      </c>
      <c r="X171" s="1121">
        <f t="shared" si="224"/>
        <v>6496.064205490552</v>
      </c>
      <c r="Y171" s="2633">
        <f t="shared" si="224"/>
        <v>6466.7582057570071</v>
      </c>
      <c r="Z171" s="1220">
        <f t="shared" si="224"/>
        <v>0</v>
      </c>
      <c r="AA171" s="2632">
        <f t="shared" si="224"/>
        <v>0</v>
      </c>
      <c r="AB171" s="1121">
        <f t="shared" si="224"/>
        <v>0</v>
      </c>
      <c r="AC171" s="1121">
        <f t="shared" si="224"/>
        <v>0</v>
      </c>
      <c r="AD171" s="1122">
        <f t="shared" si="224"/>
        <v>0</v>
      </c>
      <c r="AE171" s="1121">
        <f t="shared" si="224"/>
        <v>0</v>
      </c>
      <c r="AF171" s="2633">
        <f t="shared" si="224"/>
        <v>0</v>
      </c>
      <c r="AG171" s="1220">
        <f t="shared" si="224"/>
        <v>0</v>
      </c>
      <c r="AH171" s="2632">
        <f t="shared" si="224"/>
        <v>0</v>
      </c>
      <c r="AI171" s="1121">
        <f t="shared" si="224"/>
        <v>0</v>
      </c>
      <c r="AJ171" s="1121">
        <f t="shared" si="224"/>
        <v>0</v>
      </c>
      <c r="AK171" s="1122">
        <f t="shared" si="224"/>
        <v>0</v>
      </c>
      <c r="AL171" s="1121">
        <f t="shared" si="224"/>
        <v>0</v>
      </c>
      <c r="AM171" s="2633">
        <f t="shared" si="224"/>
        <v>0</v>
      </c>
      <c r="AN171" s="2508"/>
      <c r="AO171" s="2551"/>
      <c r="AP171" s="4422"/>
      <c r="AQ171" s="4438">
        <f t="shared" si="174"/>
        <v>2531.9173956836739</v>
      </c>
      <c r="AR171" s="4438">
        <f t="shared" si="175"/>
        <v>3024.3122085636287</v>
      </c>
      <c r="AS171" s="4438">
        <f t="shared" si="176"/>
        <v>5279.4649356243453</v>
      </c>
      <c r="AT171" s="4438">
        <f t="shared" si="177"/>
        <v>9419.7991731041766</v>
      </c>
      <c r="AU171" s="4438">
        <f t="shared" si="178"/>
        <v>13395.369224921513</v>
      </c>
      <c r="AV171" s="4438">
        <f t="shared" si="179"/>
        <v>13292.423329219882</v>
      </c>
      <c r="AW171" s="4438">
        <f t="shared" si="180"/>
        <v>13120.41016200694</v>
      </c>
      <c r="AX171" s="4438">
        <f t="shared" si="181"/>
        <v>147.25206178451091</v>
      </c>
      <c r="AY171" s="4438">
        <f t="shared" si="182"/>
        <v>198.70232522765269</v>
      </c>
      <c r="AZ171" s="4438">
        <f t="shared" si="183"/>
        <v>898.49933031146657</v>
      </c>
      <c r="BA171" s="4438">
        <f t="shared" si="184"/>
        <v>2081.5576781668342</v>
      </c>
      <c r="BB171" s="4438">
        <f t="shared" si="185"/>
        <v>3146.4578879137644</v>
      </c>
      <c r="BC171" s="4438">
        <f t="shared" si="186"/>
        <v>3226.0186367124584</v>
      </c>
      <c r="BD171" s="4438">
        <f t="shared" si="187"/>
        <v>3310.6595763460846</v>
      </c>
      <c r="BE171" s="4438">
        <f t="shared" si="188"/>
        <v>247.97656238016597</v>
      </c>
      <c r="BF171" s="4438">
        <f t="shared" si="189"/>
        <v>273.73876276312359</v>
      </c>
      <c r="BG171" s="4438">
        <f t="shared" si="190"/>
        <v>976.37744660566682</v>
      </c>
      <c r="BH171" s="4438">
        <f t="shared" si="191"/>
        <v>2211.8637303746341</v>
      </c>
      <c r="BI171" s="4438">
        <f t="shared" si="192"/>
        <v>3334.5270587031514</v>
      </c>
      <c r="BJ171" s="4438">
        <f t="shared" si="193"/>
        <v>3321.3848879966827</v>
      </c>
      <c r="BK171" s="4438">
        <f t="shared" si="194"/>
        <v>3306.4009682625829</v>
      </c>
      <c r="BL171" s="4438">
        <f t="shared" si="195"/>
        <v>0</v>
      </c>
      <c r="BM171" s="4438">
        <f t="shared" si="196"/>
        <v>0</v>
      </c>
      <c r="BN171" s="4438">
        <f t="shared" si="197"/>
        <v>0</v>
      </c>
      <c r="BO171" s="4438">
        <f t="shared" si="198"/>
        <v>0</v>
      </c>
      <c r="BP171" s="4438">
        <f t="shared" si="199"/>
        <v>0</v>
      </c>
      <c r="BQ171" s="4438">
        <f t="shared" si="200"/>
        <v>0</v>
      </c>
      <c r="BR171" s="4438">
        <f t="shared" si="201"/>
        <v>0</v>
      </c>
      <c r="BS171" s="4438">
        <f t="shared" si="202"/>
        <v>0</v>
      </c>
      <c r="BT171" s="4438">
        <f t="shared" si="203"/>
        <v>0</v>
      </c>
      <c r="BU171" s="4438">
        <f t="shared" si="204"/>
        <v>0</v>
      </c>
      <c r="BV171" s="4438">
        <f t="shared" si="205"/>
        <v>0</v>
      </c>
      <c r="BW171" s="4438">
        <f t="shared" si="206"/>
        <v>0</v>
      </c>
      <c r="BX171" s="4438">
        <f t="shared" si="207"/>
        <v>0</v>
      </c>
      <c r="BY171" s="4438">
        <f t="shared" si="208"/>
        <v>0</v>
      </c>
    </row>
    <row r="172" spans="1:77" s="1292" customFormat="1">
      <c r="A172" s="2515">
        <v>1</v>
      </c>
      <c r="B172" s="2509">
        <v>20102</v>
      </c>
      <c r="C172" s="2533">
        <v>0</v>
      </c>
      <c r="D172" s="2563" t="s">
        <v>558</v>
      </c>
      <c r="E172" s="2639">
        <f>E112-E152</f>
        <v>0</v>
      </c>
      <c r="F172" s="2605">
        <f t="shared" ref="F172:L187" si="225">F112-F152</f>
        <v>0</v>
      </c>
      <c r="G172" s="2603">
        <f t="shared" si="225"/>
        <v>0</v>
      </c>
      <c r="H172" s="2603">
        <f t="shared" si="225"/>
        <v>0</v>
      </c>
      <c r="I172" s="2603">
        <f t="shared" si="225"/>
        <v>0</v>
      </c>
      <c r="J172" s="2603">
        <f t="shared" si="225"/>
        <v>0</v>
      </c>
      <c r="K172" s="2604">
        <f t="shared" si="225"/>
        <v>0</v>
      </c>
      <c r="L172" s="2639">
        <f>L112-L152</f>
        <v>0</v>
      </c>
      <c r="M172" s="2605">
        <f t="shared" ref="M172:S187" si="226">M112-M152</f>
        <v>0</v>
      </c>
      <c r="N172" s="2603">
        <f t="shared" si="226"/>
        <v>0</v>
      </c>
      <c r="O172" s="2603">
        <f t="shared" si="226"/>
        <v>0</v>
      </c>
      <c r="P172" s="2603">
        <f t="shared" si="226"/>
        <v>0</v>
      </c>
      <c r="Q172" s="2603">
        <f t="shared" si="226"/>
        <v>0</v>
      </c>
      <c r="R172" s="2604">
        <f t="shared" si="226"/>
        <v>0</v>
      </c>
      <c r="S172" s="2639">
        <f>S112-S152</f>
        <v>0</v>
      </c>
      <c r="T172" s="2605">
        <f t="shared" ref="T172:Z187" si="227">T112-T152</f>
        <v>0</v>
      </c>
      <c r="U172" s="2603">
        <f t="shared" si="227"/>
        <v>0</v>
      </c>
      <c r="V172" s="2603">
        <f t="shared" si="227"/>
        <v>0</v>
      </c>
      <c r="W172" s="2603">
        <f t="shared" si="227"/>
        <v>0</v>
      </c>
      <c r="X172" s="2603">
        <f t="shared" si="227"/>
        <v>0</v>
      </c>
      <c r="Y172" s="2604">
        <f t="shared" si="227"/>
        <v>0</v>
      </c>
      <c r="Z172" s="2639">
        <f>Z112-Z152</f>
        <v>0</v>
      </c>
      <c r="AA172" s="2605">
        <f t="shared" ref="AA172:AM187" si="228">AA112-AA152</f>
        <v>0</v>
      </c>
      <c r="AB172" s="2603">
        <f t="shared" si="228"/>
        <v>0</v>
      </c>
      <c r="AC172" s="2603">
        <f t="shared" si="228"/>
        <v>0</v>
      </c>
      <c r="AD172" s="2603">
        <f t="shared" si="228"/>
        <v>0</v>
      </c>
      <c r="AE172" s="2603">
        <f t="shared" si="228"/>
        <v>0</v>
      </c>
      <c r="AF172" s="2604">
        <f t="shared" si="228"/>
        <v>0</v>
      </c>
      <c r="AG172" s="2639">
        <f>AG112-AG152</f>
        <v>0</v>
      </c>
      <c r="AH172" s="2605">
        <f t="shared" ref="AH172:AM173" si="229">AH112-AH152</f>
        <v>0</v>
      </c>
      <c r="AI172" s="2603">
        <f t="shared" si="229"/>
        <v>0</v>
      </c>
      <c r="AJ172" s="2603">
        <f t="shared" si="229"/>
        <v>0</v>
      </c>
      <c r="AK172" s="2603">
        <f t="shared" si="229"/>
        <v>0</v>
      </c>
      <c r="AL172" s="2603">
        <f t="shared" si="229"/>
        <v>0</v>
      </c>
      <c r="AM172" s="2604">
        <f t="shared" si="229"/>
        <v>0</v>
      </c>
      <c r="AN172" s="2513"/>
      <c r="AO172" s="2551"/>
      <c r="AP172" s="4422"/>
      <c r="AQ172" s="4438">
        <f t="shared" si="174"/>
        <v>0</v>
      </c>
      <c r="AR172" s="4438">
        <f t="shared" si="175"/>
        <v>0</v>
      </c>
      <c r="AS172" s="4438">
        <f t="shared" si="176"/>
        <v>0</v>
      </c>
      <c r="AT172" s="4438">
        <f t="shared" si="177"/>
        <v>0</v>
      </c>
      <c r="AU172" s="4438">
        <f t="shared" si="178"/>
        <v>0</v>
      </c>
      <c r="AV172" s="4438">
        <f t="shared" si="179"/>
        <v>0</v>
      </c>
      <c r="AW172" s="4438">
        <f t="shared" si="180"/>
        <v>0</v>
      </c>
      <c r="AX172" s="4438">
        <f t="shared" si="181"/>
        <v>0</v>
      </c>
      <c r="AY172" s="4438">
        <f t="shared" si="182"/>
        <v>0</v>
      </c>
      <c r="AZ172" s="4438">
        <f t="shared" si="183"/>
        <v>0</v>
      </c>
      <c r="BA172" s="4438">
        <f t="shared" si="184"/>
        <v>0</v>
      </c>
      <c r="BB172" s="4438">
        <f t="shared" si="185"/>
        <v>0</v>
      </c>
      <c r="BC172" s="4438">
        <f t="shared" si="186"/>
        <v>0</v>
      </c>
      <c r="BD172" s="4438">
        <f t="shared" si="187"/>
        <v>0</v>
      </c>
      <c r="BE172" s="4438">
        <f t="shared" si="188"/>
        <v>0</v>
      </c>
      <c r="BF172" s="4438">
        <f t="shared" si="189"/>
        <v>0</v>
      </c>
      <c r="BG172" s="4438">
        <f t="shared" si="190"/>
        <v>0</v>
      </c>
      <c r="BH172" s="4438">
        <f t="shared" si="191"/>
        <v>0</v>
      </c>
      <c r="BI172" s="4438">
        <f t="shared" si="192"/>
        <v>0</v>
      </c>
      <c r="BJ172" s="4438">
        <f t="shared" si="193"/>
        <v>0</v>
      </c>
      <c r="BK172" s="4438">
        <f t="shared" si="194"/>
        <v>0</v>
      </c>
      <c r="BL172" s="4438">
        <f t="shared" si="195"/>
        <v>0</v>
      </c>
      <c r="BM172" s="4438">
        <f t="shared" si="196"/>
        <v>0</v>
      </c>
      <c r="BN172" s="4438">
        <f t="shared" si="197"/>
        <v>0</v>
      </c>
      <c r="BO172" s="4438">
        <f t="shared" si="198"/>
        <v>0</v>
      </c>
      <c r="BP172" s="4438">
        <f t="shared" si="199"/>
        <v>0</v>
      </c>
      <c r="BQ172" s="4438">
        <f t="shared" si="200"/>
        <v>0</v>
      </c>
      <c r="BR172" s="4438">
        <f t="shared" si="201"/>
        <v>0</v>
      </c>
      <c r="BS172" s="4438">
        <f t="shared" si="202"/>
        <v>0</v>
      </c>
      <c r="BT172" s="4438">
        <f t="shared" si="203"/>
        <v>0</v>
      </c>
      <c r="BU172" s="4438">
        <f t="shared" si="204"/>
        <v>0</v>
      </c>
      <c r="BV172" s="4438">
        <f t="shared" si="205"/>
        <v>0</v>
      </c>
      <c r="BW172" s="4438">
        <f t="shared" si="206"/>
        <v>0</v>
      </c>
      <c r="BX172" s="4438">
        <f t="shared" si="207"/>
        <v>0</v>
      </c>
      <c r="BY172" s="4438">
        <f t="shared" si="208"/>
        <v>0</v>
      </c>
    </row>
    <row r="173" spans="1:77" s="1292" customFormat="1">
      <c r="A173" s="2515">
        <v>2</v>
      </c>
      <c r="B173" s="2516">
        <v>20202</v>
      </c>
      <c r="C173" s="2517">
        <v>0.03</v>
      </c>
      <c r="D173" s="2571" t="s">
        <v>426</v>
      </c>
      <c r="E173" s="2640">
        <f>E113-E153</f>
        <v>11</v>
      </c>
      <c r="F173" s="1202">
        <f t="shared" si="225"/>
        <v>30.594999999999999</v>
      </c>
      <c r="G173" s="1198">
        <f t="shared" si="225"/>
        <v>29.89</v>
      </c>
      <c r="H173" s="1198">
        <f t="shared" si="225"/>
        <v>29.184999999999999</v>
      </c>
      <c r="I173" s="1198">
        <f t="shared" si="225"/>
        <v>28.48</v>
      </c>
      <c r="J173" s="1198">
        <f t="shared" si="225"/>
        <v>27.774999999999999</v>
      </c>
      <c r="K173" s="1203">
        <f t="shared" si="225"/>
        <v>27.07</v>
      </c>
      <c r="L173" s="2640">
        <f>L113-L153</f>
        <v>1</v>
      </c>
      <c r="M173" s="1202">
        <f t="shared" si="226"/>
        <v>1</v>
      </c>
      <c r="N173" s="1198">
        <f t="shared" si="226"/>
        <v>1</v>
      </c>
      <c r="O173" s="1198">
        <f t="shared" si="226"/>
        <v>1</v>
      </c>
      <c r="P173" s="1198">
        <f t="shared" si="226"/>
        <v>1</v>
      </c>
      <c r="Q173" s="1198">
        <f t="shared" si="226"/>
        <v>1</v>
      </c>
      <c r="R173" s="1203">
        <f t="shared" si="226"/>
        <v>1</v>
      </c>
      <c r="S173" s="2640">
        <f>S113-S153</f>
        <v>0</v>
      </c>
      <c r="T173" s="1202">
        <f t="shared" si="227"/>
        <v>0</v>
      </c>
      <c r="U173" s="1198">
        <f t="shared" si="227"/>
        <v>0</v>
      </c>
      <c r="V173" s="1198">
        <f t="shared" si="227"/>
        <v>0</v>
      </c>
      <c r="W173" s="1198">
        <f t="shared" si="227"/>
        <v>0</v>
      </c>
      <c r="X173" s="1198">
        <f t="shared" si="227"/>
        <v>0</v>
      </c>
      <c r="Y173" s="1203">
        <f t="shared" si="227"/>
        <v>0</v>
      </c>
      <c r="Z173" s="2640">
        <f>Z113-Z153</f>
        <v>0</v>
      </c>
      <c r="AA173" s="1202">
        <f t="shared" si="228"/>
        <v>0</v>
      </c>
      <c r="AB173" s="1198">
        <f t="shared" si="228"/>
        <v>0</v>
      </c>
      <c r="AC173" s="1198">
        <f t="shared" si="228"/>
        <v>0</v>
      </c>
      <c r="AD173" s="1198">
        <f t="shared" si="228"/>
        <v>0</v>
      </c>
      <c r="AE173" s="1198">
        <f t="shared" si="228"/>
        <v>0</v>
      </c>
      <c r="AF173" s="1203">
        <f t="shared" si="228"/>
        <v>0</v>
      </c>
      <c r="AG173" s="2640">
        <f>AG113-AG153</f>
        <v>0</v>
      </c>
      <c r="AH173" s="1202">
        <f t="shared" si="229"/>
        <v>0</v>
      </c>
      <c r="AI173" s="1198">
        <f t="shared" si="229"/>
        <v>0</v>
      </c>
      <c r="AJ173" s="1198">
        <f t="shared" si="229"/>
        <v>0</v>
      </c>
      <c r="AK173" s="1198">
        <f t="shared" si="229"/>
        <v>0</v>
      </c>
      <c r="AL173" s="1198">
        <f t="shared" si="229"/>
        <v>0</v>
      </c>
      <c r="AM173" s="1203">
        <f t="shared" si="229"/>
        <v>0</v>
      </c>
      <c r="AN173" s="2513"/>
      <c r="AO173" s="2551"/>
      <c r="AP173" s="4422"/>
      <c r="AQ173" s="4438">
        <f t="shared" si="174"/>
        <v>5.6242106931584033</v>
      </c>
      <c r="AR173" s="4438">
        <f t="shared" si="175"/>
        <v>15.642975105198305</v>
      </c>
      <c r="AS173" s="4438">
        <f t="shared" si="176"/>
        <v>15.282514328954971</v>
      </c>
      <c r="AT173" s="4438">
        <f t="shared" si="177"/>
        <v>14.922053552711636</v>
      </c>
      <c r="AU173" s="4438">
        <f t="shared" si="178"/>
        <v>14.561592776468302</v>
      </c>
      <c r="AV173" s="4438">
        <f t="shared" si="179"/>
        <v>14.201132000224968</v>
      </c>
      <c r="AW173" s="4438">
        <f t="shared" si="180"/>
        <v>13.840671223981635</v>
      </c>
      <c r="AX173" s="4438">
        <f t="shared" si="181"/>
        <v>0.51129188119621849</v>
      </c>
      <c r="AY173" s="4438">
        <f t="shared" si="182"/>
        <v>0.51129188119621849</v>
      </c>
      <c r="AZ173" s="4438">
        <f t="shared" si="183"/>
        <v>0.51129188119621849</v>
      </c>
      <c r="BA173" s="4438">
        <f t="shared" si="184"/>
        <v>0.51129188119621849</v>
      </c>
      <c r="BB173" s="4438">
        <f t="shared" si="185"/>
        <v>0.51129188119621849</v>
      </c>
      <c r="BC173" s="4438">
        <f t="shared" si="186"/>
        <v>0.51129188119621849</v>
      </c>
      <c r="BD173" s="4438">
        <f t="shared" si="187"/>
        <v>0.51129188119621849</v>
      </c>
      <c r="BE173" s="4438">
        <f t="shared" si="188"/>
        <v>0</v>
      </c>
      <c r="BF173" s="4438">
        <f t="shared" si="189"/>
        <v>0</v>
      </c>
      <c r="BG173" s="4438">
        <f t="shared" si="190"/>
        <v>0</v>
      </c>
      <c r="BH173" s="4438">
        <f t="shared" si="191"/>
        <v>0</v>
      </c>
      <c r="BI173" s="4438">
        <f t="shared" si="192"/>
        <v>0</v>
      </c>
      <c r="BJ173" s="4438">
        <f t="shared" si="193"/>
        <v>0</v>
      </c>
      <c r="BK173" s="4438">
        <f t="shared" si="194"/>
        <v>0</v>
      </c>
      <c r="BL173" s="4438">
        <f t="shared" si="195"/>
        <v>0</v>
      </c>
      <c r="BM173" s="4438">
        <f t="shared" si="196"/>
        <v>0</v>
      </c>
      <c r="BN173" s="4438">
        <f t="shared" si="197"/>
        <v>0</v>
      </c>
      <c r="BO173" s="4438">
        <f t="shared" si="198"/>
        <v>0</v>
      </c>
      <c r="BP173" s="4438">
        <f t="shared" si="199"/>
        <v>0</v>
      </c>
      <c r="BQ173" s="4438">
        <f t="shared" si="200"/>
        <v>0</v>
      </c>
      <c r="BR173" s="4438">
        <f t="shared" si="201"/>
        <v>0</v>
      </c>
      <c r="BS173" s="4438">
        <f t="shared" si="202"/>
        <v>0</v>
      </c>
      <c r="BT173" s="4438">
        <f t="shared" si="203"/>
        <v>0</v>
      </c>
      <c r="BU173" s="4438">
        <f t="shared" si="204"/>
        <v>0</v>
      </c>
      <c r="BV173" s="4438">
        <f t="shared" si="205"/>
        <v>0</v>
      </c>
      <c r="BW173" s="4438">
        <f t="shared" si="206"/>
        <v>0</v>
      </c>
      <c r="BX173" s="4438">
        <f t="shared" si="207"/>
        <v>0</v>
      </c>
      <c r="BY173" s="4438">
        <f t="shared" si="208"/>
        <v>0</v>
      </c>
    </row>
    <row r="174" spans="1:77" s="1292" customFormat="1">
      <c r="A174" s="2515">
        <v>3</v>
      </c>
      <c r="B174" s="2516">
        <v>2030401</v>
      </c>
      <c r="C174" s="2522">
        <v>0.1</v>
      </c>
      <c r="D174" s="2552" t="s">
        <v>1031</v>
      </c>
      <c r="E174" s="2640">
        <f t="shared" ref="E174:E190" si="230">E114-E154</f>
        <v>837</v>
      </c>
      <c r="F174" s="1202">
        <f t="shared" si="225"/>
        <v>925.25</v>
      </c>
      <c r="G174" s="1198">
        <f t="shared" si="225"/>
        <v>899.45</v>
      </c>
      <c r="H174" s="1198">
        <f t="shared" si="225"/>
        <v>808.7</v>
      </c>
      <c r="I174" s="1198">
        <f t="shared" si="225"/>
        <v>795.7</v>
      </c>
      <c r="J174" s="1198">
        <f t="shared" si="225"/>
        <v>770.95</v>
      </c>
      <c r="K174" s="1203">
        <f t="shared" si="225"/>
        <v>738.2</v>
      </c>
      <c r="L174" s="2640">
        <f t="shared" si="225"/>
        <v>18</v>
      </c>
      <c r="M174" s="1202">
        <f t="shared" si="226"/>
        <v>15</v>
      </c>
      <c r="N174" s="1198">
        <f t="shared" si="226"/>
        <v>12</v>
      </c>
      <c r="O174" s="1198">
        <f t="shared" si="226"/>
        <v>9</v>
      </c>
      <c r="P174" s="1198">
        <f t="shared" si="226"/>
        <v>6</v>
      </c>
      <c r="Q174" s="1198">
        <f t="shared" si="226"/>
        <v>3</v>
      </c>
      <c r="R174" s="1203">
        <f t="shared" si="226"/>
        <v>2.2000000000000028</v>
      </c>
      <c r="S174" s="2640">
        <f t="shared" si="226"/>
        <v>1</v>
      </c>
      <c r="T174" s="1202">
        <f t="shared" si="227"/>
        <v>1</v>
      </c>
      <c r="U174" s="1198">
        <f t="shared" si="227"/>
        <v>1</v>
      </c>
      <c r="V174" s="1198">
        <f t="shared" si="227"/>
        <v>1</v>
      </c>
      <c r="W174" s="1198">
        <f t="shared" si="227"/>
        <v>1</v>
      </c>
      <c r="X174" s="1198">
        <f t="shared" si="227"/>
        <v>1</v>
      </c>
      <c r="Y174" s="1203">
        <f t="shared" si="227"/>
        <v>1</v>
      </c>
      <c r="Z174" s="2640">
        <f t="shared" si="227"/>
        <v>0</v>
      </c>
      <c r="AA174" s="1202">
        <f t="shared" si="228"/>
        <v>0</v>
      </c>
      <c r="AB174" s="1198">
        <f t="shared" si="228"/>
        <v>0</v>
      </c>
      <c r="AC174" s="1198">
        <f t="shared" si="228"/>
        <v>0</v>
      </c>
      <c r="AD174" s="1198">
        <f t="shared" si="228"/>
        <v>0</v>
      </c>
      <c r="AE174" s="1198">
        <f t="shared" si="228"/>
        <v>0</v>
      </c>
      <c r="AF174" s="1203">
        <f t="shared" si="228"/>
        <v>0</v>
      </c>
      <c r="AG174" s="2640">
        <f t="shared" si="228"/>
        <v>0</v>
      </c>
      <c r="AH174" s="1202">
        <f t="shared" si="228"/>
        <v>0</v>
      </c>
      <c r="AI174" s="1198">
        <f t="shared" si="228"/>
        <v>0</v>
      </c>
      <c r="AJ174" s="1198">
        <f t="shared" si="228"/>
        <v>0</v>
      </c>
      <c r="AK174" s="1198">
        <f t="shared" si="228"/>
        <v>0</v>
      </c>
      <c r="AL174" s="1198">
        <f t="shared" si="228"/>
        <v>0</v>
      </c>
      <c r="AM174" s="1203">
        <f t="shared" si="228"/>
        <v>0</v>
      </c>
      <c r="AN174" s="2513"/>
      <c r="AO174" s="2551"/>
      <c r="AP174" s="4422"/>
      <c r="AQ174" s="4438">
        <f t="shared" si="174"/>
        <v>427.95130456123491</v>
      </c>
      <c r="AR174" s="4438">
        <f t="shared" si="175"/>
        <v>473.07281307680114</v>
      </c>
      <c r="AS174" s="4438">
        <f t="shared" si="176"/>
        <v>459.88148254193874</v>
      </c>
      <c r="AT174" s="4438">
        <f t="shared" si="177"/>
        <v>413.48174432338192</v>
      </c>
      <c r="AU174" s="4438">
        <f t="shared" si="178"/>
        <v>406.83494986783109</v>
      </c>
      <c r="AV174" s="4438">
        <f t="shared" si="179"/>
        <v>394.18047580822468</v>
      </c>
      <c r="AW174" s="4438">
        <f t="shared" si="180"/>
        <v>377.43566669904851</v>
      </c>
      <c r="AX174" s="4438">
        <f t="shared" si="181"/>
        <v>9.2032538615319321</v>
      </c>
      <c r="AY174" s="4438">
        <f t="shared" si="182"/>
        <v>7.6693782179432777</v>
      </c>
      <c r="AZ174" s="4438">
        <f t="shared" si="183"/>
        <v>6.1355025743546223</v>
      </c>
      <c r="BA174" s="4438">
        <f t="shared" si="184"/>
        <v>4.6016269307659661</v>
      </c>
      <c r="BB174" s="4438">
        <f t="shared" si="185"/>
        <v>3.0677512871773112</v>
      </c>
      <c r="BC174" s="4438">
        <f t="shared" si="186"/>
        <v>1.5338756435886556</v>
      </c>
      <c r="BD174" s="4438">
        <f t="shared" si="187"/>
        <v>1.1248421386316823</v>
      </c>
      <c r="BE174" s="4438">
        <f t="shared" si="188"/>
        <v>0.51129188119621849</v>
      </c>
      <c r="BF174" s="4438">
        <f t="shared" si="189"/>
        <v>0.51129188119621849</v>
      </c>
      <c r="BG174" s="4438">
        <f t="shared" si="190"/>
        <v>0.51129188119621849</v>
      </c>
      <c r="BH174" s="4438">
        <f t="shared" si="191"/>
        <v>0.51129188119621849</v>
      </c>
      <c r="BI174" s="4438">
        <f t="shared" si="192"/>
        <v>0.51129188119621849</v>
      </c>
      <c r="BJ174" s="4438">
        <f t="shared" si="193"/>
        <v>0.51129188119621849</v>
      </c>
      <c r="BK174" s="4438">
        <f t="shared" si="194"/>
        <v>0.51129188119621849</v>
      </c>
      <c r="BL174" s="4438">
        <f t="shared" si="195"/>
        <v>0</v>
      </c>
      <c r="BM174" s="4438">
        <f t="shared" si="196"/>
        <v>0</v>
      </c>
      <c r="BN174" s="4438">
        <f t="shared" si="197"/>
        <v>0</v>
      </c>
      <c r="BO174" s="4438">
        <f t="shared" si="198"/>
        <v>0</v>
      </c>
      <c r="BP174" s="4438">
        <f t="shared" si="199"/>
        <v>0</v>
      </c>
      <c r="BQ174" s="4438">
        <f t="shared" si="200"/>
        <v>0</v>
      </c>
      <c r="BR174" s="4438">
        <f t="shared" si="201"/>
        <v>0</v>
      </c>
      <c r="BS174" s="4438">
        <f t="shared" si="202"/>
        <v>0</v>
      </c>
      <c r="BT174" s="4438">
        <f t="shared" si="203"/>
        <v>0</v>
      </c>
      <c r="BU174" s="4438">
        <f t="shared" si="204"/>
        <v>0</v>
      </c>
      <c r="BV174" s="4438">
        <f t="shared" si="205"/>
        <v>0</v>
      </c>
      <c r="BW174" s="4438">
        <f t="shared" si="206"/>
        <v>0</v>
      </c>
      <c r="BX174" s="4438">
        <f t="shared" si="207"/>
        <v>0</v>
      </c>
      <c r="BY174" s="4438">
        <f t="shared" si="208"/>
        <v>0</v>
      </c>
    </row>
    <row r="175" spans="1:77" s="1292" customFormat="1">
      <c r="A175" s="2515">
        <v>4</v>
      </c>
      <c r="B175" s="2516">
        <v>2030402</v>
      </c>
      <c r="C175" s="2522">
        <v>0.1</v>
      </c>
      <c r="D175" s="2552" t="s">
        <v>429</v>
      </c>
      <c r="E175" s="2640">
        <f t="shared" si="230"/>
        <v>197</v>
      </c>
      <c r="F175" s="1202">
        <f t="shared" si="225"/>
        <v>170.3</v>
      </c>
      <c r="G175" s="1198">
        <f t="shared" si="225"/>
        <v>143.6</v>
      </c>
      <c r="H175" s="1198">
        <f t="shared" si="225"/>
        <v>118</v>
      </c>
      <c r="I175" s="1198">
        <f t="shared" si="225"/>
        <v>93</v>
      </c>
      <c r="J175" s="1198">
        <f t="shared" si="225"/>
        <v>69.800000000000011</v>
      </c>
      <c r="K175" s="1203">
        <f t="shared" si="225"/>
        <v>46.600000000000023</v>
      </c>
      <c r="L175" s="2640">
        <f t="shared" si="225"/>
        <v>3</v>
      </c>
      <c r="M175" s="1202">
        <f t="shared" si="226"/>
        <v>3</v>
      </c>
      <c r="N175" s="1198">
        <f t="shared" si="226"/>
        <v>3</v>
      </c>
      <c r="O175" s="1198">
        <f t="shared" si="226"/>
        <v>3.1</v>
      </c>
      <c r="P175" s="1198">
        <f t="shared" si="226"/>
        <v>3.2</v>
      </c>
      <c r="Q175" s="1198">
        <f t="shared" si="226"/>
        <v>3.3</v>
      </c>
      <c r="R175" s="1203">
        <f t="shared" si="226"/>
        <v>3.4</v>
      </c>
      <c r="S175" s="2640">
        <f t="shared" si="226"/>
        <v>9</v>
      </c>
      <c r="T175" s="1202">
        <f t="shared" si="227"/>
        <v>6</v>
      </c>
      <c r="U175" s="1198">
        <f t="shared" si="227"/>
        <v>3</v>
      </c>
      <c r="V175" s="1198">
        <f t="shared" si="227"/>
        <v>0</v>
      </c>
      <c r="W175" s="1198">
        <f t="shared" si="227"/>
        <v>-3</v>
      </c>
      <c r="X175" s="1198">
        <f t="shared" si="227"/>
        <v>-5.8999999999999986</v>
      </c>
      <c r="Y175" s="1203">
        <f t="shared" si="227"/>
        <v>-8.7999999999999972</v>
      </c>
      <c r="Z175" s="2640">
        <f t="shared" si="227"/>
        <v>0</v>
      </c>
      <c r="AA175" s="1202">
        <f t="shared" si="228"/>
        <v>0</v>
      </c>
      <c r="AB175" s="1198">
        <f t="shared" si="228"/>
        <v>0</v>
      </c>
      <c r="AC175" s="1198">
        <f t="shared" si="228"/>
        <v>0</v>
      </c>
      <c r="AD175" s="1198">
        <f t="shared" si="228"/>
        <v>0</v>
      </c>
      <c r="AE175" s="1198">
        <f t="shared" si="228"/>
        <v>0</v>
      </c>
      <c r="AF175" s="1203">
        <f t="shared" si="228"/>
        <v>0</v>
      </c>
      <c r="AG175" s="2640">
        <f t="shared" si="228"/>
        <v>0</v>
      </c>
      <c r="AH175" s="1202">
        <f t="shared" si="228"/>
        <v>0</v>
      </c>
      <c r="AI175" s="1198">
        <f t="shared" si="228"/>
        <v>0</v>
      </c>
      <c r="AJ175" s="1198">
        <f t="shared" si="228"/>
        <v>0</v>
      </c>
      <c r="AK175" s="1198">
        <f t="shared" si="228"/>
        <v>0</v>
      </c>
      <c r="AL175" s="1198">
        <f t="shared" si="228"/>
        <v>0</v>
      </c>
      <c r="AM175" s="1203">
        <f t="shared" si="228"/>
        <v>0</v>
      </c>
      <c r="AN175" s="2513"/>
      <c r="AO175" s="2551"/>
      <c r="AP175" s="4422"/>
      <c r="AQ175" s="4438">
        <f t="shared" ref="AQ175:AQ190" si="231">IFERROR(E175/$D$1,0)</f>
        <v>100.72450059565504</v>
      </c>
      <c r="AR175" s="4438">
        <f t="shared" ref="AR175:AR190" si="232">IFERROR(F175/$D$1,0)</f>
        <v>87.073007367716016</v>
      </c>
      <c r="AS175" s="4438">
        <f t="shared" ref="AS175:AS190" si="233">IFERROR(G175/$D$1,0)</f>
        <v>73.421514139776974</v>
      </c>
      <c r="AT175" s="4438">
        <f t="shared" ref="AT175:AT190" si="234">IFERROR(H175/$D$1,0)</f>
        <v>60.332441981153785</v>
      </c>
      <c r="AU175" s="4438">
        <f t="shared" ref="AU175:AU190" si="235">IFERROR(I175/$D$1,0)</f>
        <v>47.550144951248321</v>
      </c>
      <c r="AV175" s="4438">
        <f t="shared" ref="AV175:AV190" si="236">IFERROR(J175/$D$1,0)</f>
        <v>35.688173307496058</v>
      </c>
      <c r="AW175" s="4438">
        <f t="shared" ref="AW175:AW190" si="237">IFERROR(K175/$D$1,0)</f>
        <v>23.826201663743795</v>
      </c>
      <c r="AX175" s="4438">
        <f t="shared" ref="AX175:AX190" si="238">IFERROR(L175/$D$1,0)</f>
        <v>1.5338756435886556</v>
      </c>
      <c r="AY175" s="4438">
        <f t="shared" ref="AY175:AY190" si="239">IFERROR(M175/$D$1,0)</f>
        <v>1.5338756435886556</v>
      </c>
      <c r="AZ175" s="4438">
        <f t="shared" ref="AZ175:AZ190" si="240">IFERROR(N175/$D$1,0)</f>
        <v>1.5338756435886556</v>
      </c>
      <c r="BA175" s="4438">
        <f t="shared" ref="BA175:BA190" si="241">IFERROR(O175/$D$1,0)</f>
        <v>1.5850048317082774</v>
      </c>
      <c r="BB175" s="4438">
        <f t="shared" ref="BB175:BB190" si="242">IFERROR(P175/$D$1,0)</f>
        <v>1.6361340198278993</v>
      </c>
      <c r="BC175" s="4438">
        <f t="shared" ref="BC175:BC190" si="243">IFERROR(Q175/$D$1,0)</f>
        <v>1.6872632079475209</v>
      </c>
      <c r="BD175" s="4438">
        <f t="shared" ref="BD175:BD190" si="244">IFERROR(R175/$D$1,0)</f>
        <v>1.7383923960671428</v>
      </c>
      <c r="BE175" s="4438">
        <f t="shared" ref="BE175:BE190" si="245">IFERROR(S175/$D$1,0)</f>
        <v>4.6016269307659661</v>
      </c>
      <c r="BF175" s="4438">
        <f t="shared" ref="BF175:BF190" si="246">IFERROR(T175/$D$1,0)</f>
        <v>3.0677512871773112</v>
      </c>
      <c r="BG175" s="4438">
        <f t="shared" ref="BG175:BG190" si="247">IFERROR(U175/$D$1,0)</f>
        <v>1.5338756435886556</v>
      </c>
      <c r="BH175" s="4438">
        <f t="shared" ref="BH175:BH190" si="248">IFERROR(V175/$D$1,0)</f>
        <v>0</v>
      </c>
      <c r="BI175" s="4438">
        <f t="shared" ref="BI175:BI190" si="249">IFERROR(W175/$D$1,0)</f>
        <v>-1.5338756435886556</v>
      </c>
      <c r="BJ175" s="4438">
        <f t="shared" ref="BJ175:BJ190" si="250">IFERROR(X175/$D$1,0)</f>
        <v>-3.0166220990576882</v>
      </c>
      <c r="BK175" s="4438">
        <f t="shared" ref="BK175:BK190" si="251">IFERROR(Y175/$D$1,0)</f>
        <v>-4.499368554526721</v>
      </c>
      <c r="BL175" s="4438">
        <f t="shared" ref="BL175:BL190" si="252">IFERROR(Z175/$D$1,0)</f>
        <v>0</v>
      </c>
      <c r="BM175" s="4438">
        <f t="shared" ref="BM175:BM190" si="253">IFERROR(AA175/$D$1,0)</f>
        <v>0</v>
      </c>
      <c r="BN175" s="4438">
        <f t="shared" ref="BN175:BN190" si="254">IFERROR(AB175/$D$1,0)</f>
        <v>0</v>
      </c>
      <c r="BO175" s="4438">
        <f t="shared" ref="BO175:BO190" si="255">IFERROR(AC175/$D$1,0)</f>
        <v>0</v>
      </c>
      <c r="BP175" s="4438">
        <f t="shared" ref="BP175:BP190" si="256">IFERROR(AD175/$D$1,0)</f>
        <v>0</v>
      </c>
      <c r="BQ175" s="4438">
        <f t="shared" ref="BQ175:BQ190" si="257">IFERROR(AE175/$D$1,0)</f>
        <v>0</v>
      </c>
      <c r="BR175" s="4438">
        <f t="shared" ref="BR175:BR190" si="258">IFERROR(AF175/$D$1,0)</f>
        <v>0</v>
      </c>
      <c r="BS175" s="4438">
        <f t="shared" ref="BS175:BS190" si="259">IFERROR(AG175/$D$1,0)</f>
        <v>0</v>
      </c>
      <c r="BT175" s="4438">
        <f t="shared" ref="BT175:BT190" si="260">IFERROR(AH175/$D$1,0)</f>
        <v>0</v>
      </c>
      <c r="BU175" s="4438">
        <f t="shared" ref="BU175:BU190" si="261">IFERROR(AI175/$D$1,0)</f>
        <v>0</v>
      </c>
      <c r="BV175" s="4438">
        <f t="shared" ref="BV175:BV190" si="262">IFERROR(AJ175/$D$1,0)</f>
        <v>0</v>
      </c>
      <c r="BW175" s="4438">
        <f t="shared" ref="BW175:BW190" si="263">IFERROR(AK175/$D$1,0)</f>
        <v>0</v>
      </c>
      <c r="BX175" s="4438">
        <f t="shared" ref="BX175:BX190" si="264">IFERROR(AL175/$D$1,0)</f>
        <v>0</v>
      </c>
      <c r="BY175" s="4438">
        <f t="shared" ref="BY175:BY190" si="265">IFERROR(AM175/$D$1,0)</f>
        <v>0</v>
      </c>
    </row>
    <row r="176" spans="1:77" s="1292" customFormat="1">
      <c r="A176" s="2515">
        <v>5</v>
      </c>
      <c r="B176" s="2516">
        <v>2030501</v>
      </c>
      <c r="C176" s="2522">
        <v>0.1</v>
      </c>
      <c r="D176" s="2552" t="s">
        <v>408</v>
      </c>
      <c r="E176" s="2640">
        <f t="shared" si="230"/>
        <v>489</v>
      </c>
      <c r="F176" s="1202">
        <f t="shared" si="225"/>
        <v>582.71453124999994</v>
      </c>
      <c r="G176" s="1198">
        <f t="shared" si="225"/>
        <v>860.93128068883118</v>
      </c>
      <c r="H176" s="1198">
        <f t="shared" si="225"/>
        <v>1128.2265667289496</v>
      </c>
      <c r="I176" s="1198">
        <f t="shared" si="225"/>
        <v>1194.0465492871845</v>
      </c>
      <c r="J176" s="1198">
        <f t="shared" si="225"/>
        <v>1136.3031365781449</v>
      </c>
      <c r="K176" s="1203">
        <f t="shared" si="225"/>
        <v>1014.972113336526</v>
      </c>
      <c r="L176" s="2640">
        <f t="shared" si="225"/>
        <v>202</v>
      </c>
      <c r="M176" s="1202">
        <f t="shared" si="226"/>
        <v>258.56031250000001</v>
      </c>
      <c r="N176" s="1198">
        <f t="shared" si="226"/>
        <v>627.18069232656751</v>
      </c>
      <c r="O176" s="1198">
        <f t="shared" si="226"/>
        <v>1064.5640426259638</v>
      </c>
      <c r="P176" s="1198">
        <f t="shared" si="226"/>
        <v>1363.8298028092033</v>
      </c>
      <c r="Q176" s="1198">
        <f t="shared" si="226"/>
        <v>1607.3854995364331</v>
      </c>
      <c r="R176" s="1203">
        <f t="shared" si="226"/>
        <v>1854.1108338194417</v>
      </c>
      <c r="S176" s="2640">
        <f t="shared" si="226"/>
        <v>362</v>
      </c>
      <c r="T176" s="1202">
        <f t="shared" si="227"/>
        <v>403.02515625000001</v>
      </c>
      <c r="U176" s="1198">
        <f t="shared" si="227"/>
        <v>757.88802698460108</v>
      </c>
      <c r="V176" s="1198">
        <f t="shared" si="227"/>
        <v>1170.2093906450864</v>
      </c>
      <c r="W176" s="1198">
        <f t="shared" si="227"/>
        <v>1429.1736479036113</v>
      </c>
      <c r="X176" s="1198">
        <f t="shared" si="227"/>
        <v>1623.1513638854215</v>
      </c>
      <c r="Y176" s="1203">
        <f t="shared" si="227"/>
        <v>1815.5370528440315</v>
      </c>
      <c r="Z176" s="2640">
        <f t="shared" si="227"/>
        <v>0</v>
      </c>
      <c r="AA176" s="1202">
        <f t="shared" si="228"/>
        <v>0</v>
      </c>
      <c r="AB176" s="1198">
        <f t="shared" si="228"/>
        <v>0</v>
      </c>
      <c r="AC176" s="1198">
        <f t="shared" si="228"/>
        <v>0</v>
      </c>
      <c r="AD176" s="1198">
        <f t="shared" si="228"/>
        <v>0</v>
      </c>
      <c r="AE176" s="1198">
        <f t="shared" si="228"/>
        <v>0</v>
      </c>
      <c r="AF176" s="1203">
        <f t="shared" si="228"/>
        <v>0</v>
      </c>
      <c r="AG176" s="2640">
        <f t="shared" si="228"/>
        <v>0</v>
      </c>
      <c r="AH176" s="1202">
        <f t="shared" si="228"/>
        <v>0</v>
      </c>
      <c r="AI176" s="1198">
        <f t="shared" si="228"/>
        <v>0</v>
      </c>
      <c r="AJ176" s="1198">
        <f t="shared" si="228"/>
        <v>0</v>
      </c>
      <c r="AK176" s="1198">
        <f t="shared" si="228"/>
        <v>0</v>
      </c>
      <c r="AL176" s="1198">
        <f t="shared" si="228"/>
        <v>0</v>
      </c>
      <c r="AM176" s="1203">
        <f t="shared" si="228"/>
        <v>0</v>
      </c>
      <c r="AN176" s="2513"/>
      <c r="AO176" s="2551"/>
      <c r="AP176" s="4422"/>
      <c r="AQ176" s="4438">
        <f t="shared" si="231"/>
        <v>250.02172990495083</v>
      </c>
      <c r="AR176" s="4438">
        <f t="shared" si="232"/>
        <v>297.93720888318512</v>
      </c>
      <c r="AS176" s="4438">
        <f t="shared" si="233"/>
        <v>440.18717408406212</v>
      </c>
      <c r="AT176" s="4438">
        <f t="shared" si="234"/>
        <v>576.85308371839562</v>
      </c>
      <c r="AU176" s="4438">
        <f t="shared" si="235"/>
        <v>610.50630642089777</v>
      </c>
      <c r="AV176" s="4438">
        <f t="shared" si="236"/>
        <v>580.98256831020331</v>
      </c>
      <c r="AW176" s="4438">
        <f t="shared" si="237"/>
        <v>518.94700118953392</v>
      </c>
      <c r="AX176" s="4438">
        <f t="shared" si="238"/>
        <v>103.28096000163613</v>
      </c>
      <c r="AY176" s="4438">
        <f t="shared" si="239"/>
        <v>132.19978858080714</v>
      </c>
      <c r="AZ176" s="4438">
        <f t="shared" si="240"/>
        <v>320.67239602959739</v>
      </c>
      <c r="BA176" s="4438">
        <f t="shared" si="241"/>
        <v>544.30295200808041</v>
      </c>
      <c r="BB176" s="4438">
        <f t="shared" si="242"/>
        <v>697.31510550978533</v>
      </c>
      <c r="BC176" s="4438">
        <f t="shared" si="243"/>
        <v>821.84315586550633</v>
      </c>
      <c r="BD176" s="4438">
        <f t="shared" si="244"/>
        <v>947.99181616983162</v>
      </c>
      <c r="BE176" s="4438">
        <f t="shared" si="245"/>
        <v>185.08766099303111</v>
      </c>
      <c r="BF176" s="4438">
        <f t="shared" si="246"/>
        <v>206.06349030846241</v>
      </c>
      <c r="BG176" s="4438">
        <f t="shared" si="247"/>
        <v>387.5019950530471</v>
      </c>
      <c r="BH176" s="4438">
        <f t="shared" si="248"/>
        <v>598.31856073640677</v>
      </c>
      <c r="BI176" s="4438">
        <f t="shared" si="249"/>
        <v>730.72488299269946</v>
      </c>
      <c r="BJ176" s="4438">
        <f t="shared" si="250"/>
        <v>829.90411430718495</v>
      </c>
      <c r="BK176" s="4438">
        <f t="shared" si="251"/>
        <v>928.26935513006322</v>
      </c>
      <c r="BL176" s="4438">
        <f t="shared" si="252"/>
        <v>0</v>
      </c>
      <c r="BM176" s="4438">
        <f t="shared" si="253"/>
        <v>0</v>
      </c>
      <c r="BN176" s="4438">
        <f t="shared" si="254"/>
        <v>0</v>
      </c>
      <c r="BO176" s="4438">
        <f t="shared" si="255"/>
        <v>0</v>
      </c>
      <c r="BP176" s="4438">
        <f t="shared" si="256"/>
        <v>0</v>
      </c>
      <c r="BQ176" s="4438">
        <f t="shared" si="257"/>
        <v>0</v>
      </c>
      <c r="BR176" s="4438">
        <f t="shared" si="258"/>
        <v>0</v>
      </c>
      <c r="BS176" s="4438">
        <f t="shared" si="259"/>
        <v>0</v>
      </c>
      <c r="BT176" s="4438">
        <f t="shared" si="260"/>
        <v>0</v>
      </c>
      <c r="BU176" s="4438">
        <f t="shared" si="261"/>
        <v>0</v>
      </c>
      <c r="BV176" s="4438">
        <f t="shared" si="262"/>
        <v>0</v>
      </c>
      <c r="BW176" s="4438">
        <f t="shared" si="263"/>
        <v>0</v>
      </c>
      <c r="BX176" s="4438">
        <f t="shared" si="264"/>
        <v>0</v>
      </c>
      <c r="BY176" s="4438">
        <f t="shared" si="265"/>
        <v>0</v>
      </c>
    </row>
    <row r="177" spans="1:77" s="1292" customFormat="1" ht="24">
      <c r="A177" s="2515">
        <v>6</v>
      </c>
      <c r="B177" s="2516">
        <v>2030502</v>
      </c>
      <c r="C177" s="2522">
        <v>0.1</v>
      </c>
      <c r="D177" s="2552" t="s">
        <v>695</v>
      </c>
      <c r="E177" s="2640">
        <f t="shared" si="230"/>
        <v>572</v>
      </c>
      <c r="F177" s="1202">
        <f t="shared" si="225"/>
        <v>630.5</v>
      </c>
      <c r="G177" s="1198">
        <f t="shared" si="225"/>
        <v>548.6</v>
      </c>
      <c r="H177" s="1198">
        <f t="shared" si="225"/>
        <v>465.9</v>
      </c>
      <c r="I177" s="1198">
        <f t="shared" si="225"/>
        <v>422.9</v>
      </c>
      <c r="J177" s="1198">
        <f t="shared" si="225"/>
        <v>390.35</v>
      </c>
      <c r="K177" s="1203">
        <f t="shared" si="225"/>
        <v>364.75</v>
      </c>
      <c r="L177" s="2640">
        <f t="shared" si="225"/>
        <v>1</v>
      </c>
      <c r="M177" s="1202">
        <f t="shared" si="226"/>
        <v>1</v>
      </c>
      <c r="N177" s="1198">
        <f t="shared" si="226"/>
        <v>1</v>
      </c>
      <c r="O177" s="1198">
        <f t="shared" si="226"/>
        <v>1</v>
      </c>
      <c r="P177" s="1198">
        <f t="shared" si="226"/>
        <v>1</v>
      </c>
      <c r="Q177" s="1198">
        <f t="shared" si="226"/>
        <v>1</v>
      </c>
      <c r="R177" s="1203">
        <f t="shared" si="226"/>
        <v>1</v>
      </c>
      <c r="S177" s="2640">
        <f t="shared" si="226"/>
        <v>1</v>
      </c>
      <c r="T177" s="1202">
        <f t="shared" si="227"/>
        <v>1</v>
      </c>
      <c r="U177" s="1198">
        <f t="shared" si="227"/>
        <v>1</v>
      </c>
      <c r="V177" s="1198">
        <f t="shared" si="227"/>
        <v>1</v>
      </c>
      <c r="W177" s="1198">
        <f t="shared" si="227"/>
        <v>1</v>
      </c>
      <c r="X177" s="1198">
        <f t="shared" si="227"/>
        <v>1</v>
      </c>
      <c r="Y177" s="1203">
        <f t="shared" si="227"/>
        <v>1</v>
      </c>
      <c r="Z177" s="2640">
        <f t="shared" si="227"/>
        <v>0</v>
      </c>
      <c r="AA177" s="1202">
        <f t="shared" si="228"/>
        <v>0</v>
      </c>
      <c r="AB177" s="1198">
        <f t="shared" si="228"/>
        <v>0</v>
      </c>
      <c r="AC177" s="1198">
        <f t="shared" si="228"/>
        <v>0</v>
      </c>
      <c r="AD177" s="1198">
        <f t="shared" si="228"/>
        <v>0</v>
      </c>
      <c r="AE177" s="1198">
        <f t="shared" si="228"/>
        <v>0</v>
      </c>
      <c r="AF177" s="1203">
        <f t="shared" si="228"/>
        <v>0</v>
      </c>
      <c r="AG177" s="2640">
        <f t="shared" si="228"/>
        <v>0</v>
      </c>
      <c r="AH177" s="1202">
        <f t="shared" si="228"/>
        <v>0</v>
      </c>
      <c r="AI177" s="1198">
        <f t="shared" si="228"/>
        <v>0</v>
      </c>
      <c r="AJ177" s="1198">
        <f t="shared" si="228"/>
        <v>0</v>
      </c>
      <c r="AK177" s="1198">
        <f t="shared" si="228"/>
        <v>0</v>
      </c>
      <c r="AL177" s="1198">
        <f t="shared" si="228"/>
        <v>0</v>
      </c>
      <c r="AM177" s="1203">
        <f t="shared" si="228"/>
        <v>0</v>
      </c>
      <c r="AN177" s="2513"/>
      <c r="AO177" s="2551"/>
      <c r="AP177" s="4422"/>
      <c r="AQ177" s="4438">
        <f t="shared" si="231"/>
        <v>292.45895604423697</v>
      </c>
      <c r="AR177" s="4438">
        <f t="shared" si="232"/>
        <v>322.36953109421574</v>
      </c>
      <c r="AS177" s="4438">
        <f t="shared" si="233"/>
        <v>280.49472602424549</v>
      </c>
      <c r="AT177" s="4438">
        <f t="shared" si="234"/>
        <v>238.21088744931819</v>
      </c>
      <c r="AU177" s="4438">
        <f t="shared" si="235"/>
        <v>216.22533655788078</v>
      </c>
      <c r="AV177" s="4438">
        <f t="shared" si="236"/>
        <v>199.5827858249439</v>
      </c>
      <c r="AW177" s="4438">
        <f t="shared" si="237"/>
        <v>186.4937136663207</v>
      </c>
      <c r="AX177" s="4438">
        <f t="shared" si="238"/>
        <v>0.51129188119621849</v>
      </c>
      <c r="AY177" s="4438">
        <f t="shared" si="239"/>
        <v>0.51129188119621849</v>
      </c>
      <c r="AZ177" s="4438">
        <f t="shared" si="240"/>
        <v>0.51129188119621849</v>
      </c>
      <c r="BA177" s="4438">
        <f t="shared" si="241"/>
        <v>0.51129188119621849</v>
      </c>
      <c r="BB177" s="4438">
        <f t="shared" si="242"/>
        <v>0.51129188119621849</v>
      </c>
      <c r="BC177" s="4438">
        <f t="shared" si="243"/>
        <v>0.51129188119621849</v>
      </c>
      <c r="BD177" s="4438">
        <f t="shared" si="244"/>
        <v>0.51129188119621849</v>
      </c>
      <c r="BE177" s="4438">
        <f t="shared" si="245"/>
        <v>0.51129188119621849</v>
      </c>
      <c r="BF177" s="4438">
        <f t="shared" si="246"/>
        <v>0.51129188119621849</v>
      </c>
      <c r="BG177" s="4438">
        <f t="shared" si="247"/>
        <v>0.51129188119621849</v>
      </c>
      <c r="BH177" s="4438">
        <f t="shared" si="248"/>
        <v>0.51129188119621849</v>
      </c>
      <c r="BI177" s="4438">
        <f t="shared" si="249"/>
        <v>0.51129188119621849</v>
      </c>
      <c r="BJ177" s="4438">
        <f t="shared" si="250"/>
        <v>0.51129188119621849</v>
      </c>
      <c r="BK177" s="4438">
        <f t="shared" si="251"/>
        <v>0.51129188119621849</v>
      </c>
      <c r="BL177" s="4438">
        <f t="shared" si="252"/>
        <v>0</v>
      </c>
      <c r="BM177" s="4438">
        <f t="shared" si="253"/>
        <v>0</v>
      </c>
      <c r="BN177" s="4438">
        <f t="shared" si="254"/>
        <v>0</v>
      </c>
      <c r="BO177" s="4438">
        <f t="shared" si="255"/>
        <v>0</v>
      </c>
      <c r="BP177" s="4438">
        <f t="shared" si="256"/>
        <v>0</v>
      </c>
      <c r="BQ177" s="4438">
        <f t="shared" si="257"/>
        <v>0</v>
      </c>
      <c r="BR177" s="4438">
        <f t="shared" si="258"/>
        <v>0</v>
      </c>
      <c r="BS177" s="4438">
        <f t="shared" si="259"/>
        <v>0</v>
      </c>
      <c r="BT177" s="4438">
        <f t="shared" si="260"/>
        <v>0</v>
      </c>
      <c r="BU177" s="4438">
        <f t="shared" si="261"/>
        <v>0</v>
      </c>
      <c r="BV177" s="4438">
        <f t="shared" si="262"/>
        <v>0</v>
      </c>
      <c r="BW177" s="4438">
        <f t="shared" si="263"/>
        <v>0</v>
      </c>
      <c r="BX177" s="4438">
        <f t="shared" si="264"/>
        <v>0</v>
      </c>
      <c r="BY177" s="4438">
        <f t="shared" si="265"/>
        <v>0</v>
      </c>
    </row>
    <row r="178" spans="1:77" s="1292" customFormat="1">
      <c r="A178" s="2515">
        <v>7</v>
      </c>
      <c r="B178" s="2516">
        <v>2030503</v>
      </c>
      <c r="C178" s="2522">
        <v>0.1</v>
      </c>
      <c r="D178" s="2552" t="s">
        <v>713</v>
      </c>
      <c r="E178" s="2640">
        <f t="shared" si="230"/>
        <v>126</v>
      </c>
      <c r="F178" s="1202">
        <f t="shared" si="225"/>
        <v>199.9</v>
      </c>
      <c r="G178" s="1198">
        <f t="shared" si="225"/>
        <v>170.70000000000002</v>
      </c>
      <c r="H178" s="1198">
        <f t="shared" si="225"/>
        <v>169.60000000000002</v>
      </c>
      <c r="I178" s="1198">
        <f t="shared" si="225"/>
        <v>139.10000000000002</v>
      </c>
      <c r="J178" s="1198">
        <f t="shared" si="225"/>
        <v>191.8</v>
      </c>
      <c r="K178" s="1203">
        <f t="shared" si="225"/>
        <v>168.20000000000005</v>
      </c>
      <c r="L178" s="2640">
        <f t="shared" si="225"/>
        <v>2</v>
      </c>
      <c r="M178" s="1202">
        <f t="shared" si="226"/>
        <v>2.9</v>
      </c>
      <c r="N178" s="1198">
        <f t="shared" si="226"/>
        <v>1.7000000000000002</v>
      </c>
      <c r="O178" s="1198">
        <f t="shared" si="226"/>
        <v>0.5</v>
      </c>
      <c r="P178" s="1198">
        <f t="shared" si="226"/>
        <v>-0.70000000000000018</v>
      </c>
      <c r="Q178" s="1198">
        <f t="shared" si="226"/>
        <v>-1.9000000000000004</v>
      </c>
      <c r="R178" s="1203">
        <f t="shared" si="226"/>
        <v>-3.0999999999999996</v>
      </c>
      <c r="S178" s="2640">
        <f t="shared" si="226"/>
        <v>6</v>
      </c>
      <c r="T178" s="1202">
        <f t="shared" si="227"/>
        <v>14.5</v>
      </c>
      <c r="U178" s="1198">
        <f t="shared" si="227"/>
        <v>12.5</v>
      </c>
      <c r="V178" s="1198">
        <f t="shared" si="227"/>
        <v>10.5</v>
      </c>
      <c r="W178" s="1198">
        <f t="shared" si="227"/>
        <v>8.5</v>
      </c>
      <c r="X178" s="1198">
        <f t="shared" si="227"/>
        <v>7.1</v>
      </c>
      <c r="Y178" s="1203">
        <f t="shared" si="227"/>
        <v>5.6999999999999993</v>
      </c>
      <c r="Z178" s="2640">
        <f t="shared" si="227"/>
        <v>0</v>
      </c>
      <c r="AA178" s="1202">
        <f t="shared" si="228"/>
        <v>0</v>
      </c>
      <c r="AB178" s="1198">
        <f t="shared" si="228"/>
        <v>0</v>
      </c>
      <c r="AC178" s="1198">
        <f t="shared" si="228"/>
        <v>0</v>
      </c>
      <c r="AD178" s="1198">
        <f t="shared" si="228"/>
        <v>0</v>
      </c>
      <c r="AE178" s="1198">
        <f t="shared" si="228"/>
        <v>0</v>
      </c>
      <c r="AF178" s="1203">
        <f t="shared" si="228"/>
        <v>0</v>
      </c>
      <c r="AG178" s="2640">
        <f t="shared" si="228"/>
        <v>0</v>
      </c>
      <c r="AH178" s="1202">
        <f t="shared" si="228"/>
        <v>0</v>
      </c>
      <c r="AI178" s="1198">
        <f t="shared" si="228"/>
        <v>0</v>
      </c>
      <c r="AJ178" s="1198">
        <f t="shared" si="228"/>
        <v>0</v>
      </c>
      <c r="AK178" s="1198">
        <f t="shared" si="228"/>
        <v>0</v>
      </c>
      <c r="AL178" s="1198">
        <f t="shared" si="228"/>
        <v>0</v>
      </c>
      <c r="AM178" s="1203">
        <f t="shared" si="228"/>
        <v>0</v>
      </c>
      <c r="AN178" s="2513"/>
      <c r="AO178" s="2551"/>
      <c r="AP178" s="4422"/>
      <c r="AQ178" s="4438">
        <f t="shared" si="231"/>
        <v>64.422777030723537</v>
      </c>
      <c r="AR178" s="4438">
        <f t="shared" si="232"/>
        <v>102.20724705112409</v>
      </c>
      <c r="AS178" s="4438">
        <f t="shared" si="233"/>
        <v>87.277524120194499</v>
      </c>
      <c r="AT178" s="4438">
        <f t="shared" si="234"/>
        <v>86.715103050878668</v>
      </c>
      <c r="AU178" s="4438">
        <f t="shared" si="235"/>
        <v>71.120700674394001</v>
      </c>
      <c r="AV178" s="4438">
        <f t="shared" si="236"/>
        <v>98.065782813434708</v>
      </c>
      <c r="AW178" s="4438">
        <f t="shared" si="237"/>
        <v>85.99929441720397</v>
      </c>
      <c r="AX178" s="4438">
        <f t="shared" si="238"/>
        <v>1.022583762392437</v>
      </c>
      <c r="AY178" s="4438">
        <f t="shared" si="239"/>
        <v>1.4827464554690335</v>
      </c>
      <c r="AZ178" s="4438">
        <f t="shared" si="240"/>
        <v>0.86919619803357151</v>
      </c>
      <c r="BA178" s="4438">
        <f t="shared" si="241"/>
        <v>0.25564594059810924</v>
      </c>
      <c r="BB178" s="4438">
        <f t="shared" si="242"/>
        <v>-0.35790431683735302</v>
      </c>
      <c r="BC178" s="4438">
        <f t="shared" si="243"/>
        <v>-0.97145457427281534</v>
      </c>
      <c r="BD178" s="4438">
        <f t="shared" si="244"/>
        <v>-1.5850048317082772</v>
      </c>
      <c r="BE178" s="4438">
        <f t="shared" si="245"/>
        <v>3.0677512871773112</v>
      </c>
      <c r="BF178" s="4438">
        <f t="shared" si="246"/>
        <v>7.4137322773451686</v>
      </c>
      <c r="BG178" s="4438">
        <f t="shared" si="247"/>
        <v>6.3911485149527314</v>
      </c>
      <c r="BH178" s="4438">
        <f t="shared" si="248"/>
        <v>5.3685647525602942</v>
      </c>
      <c r="BI178" s="4438">
        <f t="shared" si="249"/>
        <v>4.345980990167857</v>
      </c>
      <c r="BJ178" s="4438">
        <f t="shared" si="250"/>
        <v>3.630172356493151</v>
      </c>
      <c r="BK178" s="4438">
        <f t="shared" si="251"/>
        <v>2.9143637228184449</v>
      </c>
      <c r="BL178" s="4438">
        <f t="shared" si="252"/>
        <v>0</v>
      </c>
      <c r="BM178" s="4438">
        <f t="shared" si="253"/>
        <v>0</v>
      </c>
      <c r="BN178" s="4438">
        <f t="shared" si="254"/>
        <v>0</v>
      </c>
      <c r="BO178" s="4438">
        <f t="shared" si="255"/>
        <v>0</v>
      </c>
      <c r="BP178" s="4438">
        <f t="shared" si="256"/>
        <v>0</v>
      </c>
      <c r="BQ178" s="4438">
        <f t="shared" si="257"/>
        <v>0</v>
      </c>
      <c r="BR178" s="4438">
        <f t="shared" si="258"/>
        <v>0</v>
      </c>
      <c r="BS178" s="4438">
        <f t="shared" si="259"/>
        <v>0</v>
      </c>
      <c r="BT178" s="4438">
        <f t="shared" si="260"/>
        <v>0</v>
      </c>
      <c r="BU178" s="4438">
        <f t="shared" si="261"/>
        <v>0</v>
      </c>
      <c r="BV178" s="4438">
        <f t="shared" si="262"/>
        <v>0</v>
      </c>
      <c r="BW178" s="4438">
        <f t="shared" si="263"/>
        <v>0</v>
      </c>
      <c r="BX178" s="4438">
        <f t="shared" si="264"/>
        <v>0</v>
      </c>
      <c r="BY178" s="4438">
        <f t="shared" si="265"/>
        <v>0</v>
      </c>
    </row>
    <row r="179" spans="1:77" s="1292" customFormat="1">
      <c r="A179" s="2515">
        <v>8</v>
      </c>
      <c r="B179" s="2516">
        <v>2040101</v>
      </c>
      <c r="C179" s="2572">
        <v>0.1</v>
      </c>
      <c r="D179" s="2546" t="s">
        <v>1016</v>
      </c>
      <c r="E179" s="2640">
        <f t="shared" si="230"/>
        <v>11</v>
      </c>
      <c r="F179" s="1202">
        <f t="shared" si="225"/>
        <v>9</v>
      </c>
      <c r="G179" s="1198">
        <f t="shared" si="225"/>
        <v>7</v>
      </c>
      <c r="H179" s="1198">
        <f t="shared" si="225"/>
        <v>5</v>
      </c>
      <c r="I179" s="1198">
        <f t="shared" si="225"/>
        <v>3.6000000000000014</v>
      </c>
      <c r="J179" s="1198">
        <f t="shared" si="225"/>
        <v>2.2000000000000028</v>
      </c>
      <c r="K179" s="1203">
        <f t="shared" si="225"/>
        <v>1.6000000000000014</v>
      </c>
      <c r="L179" s="2640">
        <f t="shared" si="225"/>
        <v>0</v>
      </c>
      <c r="M179" s="1202">
        <f t="shared" si="226"/>
        <v>0</v>
      </c>
      <c r="N179" s="1198">
        <f t="shared" si="226"/>
        <v>0</v>
      </c>
      <c r="O179" s="1198">
        <f t="shared" si="226"/>
        <v>0</v>
      </c>
      <c r="P179" s="1198">
        <f t="shared" si="226"/>
        <v>0</v>
      </c>
      <c r="Q179" s="1198">
        <f t="shared" si="226"/>
        <v>0</v>
      </c>
      <c r="R179" s="1203">
        <f t="shared" si="226"/>
        <v>0</v>
      </c>
      <c r="S179" s="2640">
        <f t="shared" si="226"/>
        <v>1</v>
      </c>
      <c r="T179" s="1202">
        <f t="shared" si="227"/>
        <v>1</v>
      </c>
      <c r="U179" s="1198">
        <f t="shared" si="227"/>
        <v>1</v>
      </c>
      <c r="V179" s="1198">
        <f t="shared" si="227"/>
        <v>1</v>
      </c>
      <c r="W179" s="1198">
        <f t="shared" si="227"/>
        <v>1.1000000000000001</v>
      </c>
      <c r="X179" s="1198">
        <f t="shared" si="227"/>
        <v>1.2</v>
      </c>
      <c r="Y179" s="1203">
        <f t="shared" si="227"/>
        <v>1.2999999999999998</v>
      </c>
      <c r="Z179" s="2640">
        <f t="shared" si="227"/>
        <v>0</v>
      </c>
      <c r="AA179" s="1202">
        <f t="shared" si="228"/>
        <v>0</v>
      </c>
      <c r="AB179" s="1198">
        <f t="shared" si="228"/>
        <v>0</v>
      </c>
      <c r="AC179" s="1198">
        <f t="shared" si="228"/>
        <v>0</v>
      </c>
      <c r="AD179" s="1198">
        <f t="shared" si="228"/>
        <v>0</v>
      </c>
      <c r="AE179" s="1198">
        <f t="shared" si="228"/>
        <v>0</v>
      </c>
      <c r="AF179" s="1203">
        <f t="shared" si="228"/>
        <v>0</v>
      </c>
      <c r="AG179" s="2640">
        <f t="shared" si="228"/>
        <v>0</v>
      </c>
      <c r="AH179" s="1202">
        <f t="shared" si="228"/>
        <v>0</v>
      </c>
      <c r="AI179" s="1198">
        <f t="shared" si="228"/>
        <v>0</v>
      </c>
      <c r="AJ179" s="1198">
        <f t="shared" si="228"/>
        <v>0</v>
      </c>
      <c r="AK179" s="1198">
        <f t="shared" si="228"/>
        <v>0</v>
      </c>
      <c r="AL179" s="1198">
        <f t="shared" si="228"/>
        <v>0</v>
      </c>
      <c r="AM179" s="1203">
        <f t="shared" si="228"/>
        <v>0</v>
      </c>
      <c r="AN179" s="2513"/>
      <c r="AO179" s="2551"/>
      <c r="AP179" s="4422"/>
      <c r="AQ179" s="4438">
        <f t="shared" si="231"/>
        <v>5.6242106931584033</v>
      </c>
      <c r="AR179" s="4438">
        <f t="shared" si="232"/>
        <v>4.6016269307659661</v>
      </c>
      <c r="AS179" s="4438">
        <f t="shared" si="233"/>
        <v>3.5790431683735293</v>
      </c>
      <c r="AT179" s="4438">
        <f t="shared" si="234"/>
        <v>2.5564594059810926</v>
      </c>
      <c r="AU179" s="4438">
        <f t="shared" si="235"/>
        <v>1.8406507723063874</v>
      </c>
      <c r="AV179" s="4438">
        <f t="shared" si="236"/>
        <v>1.1248421386316823</v>
      </c>
      <c r="AW179" s="4438">
        <f t="shared" si="237"/>
        <v>0.81806700991395032</v>
      </c>
      <c r="AX179" s="4438">
        <f t="shared" si="238"/>
        <v>0</v>
      </c>
      <c r="AY179" s="4438">
        <f t="shared" si="239"/>
        <v>0</v>
      </c>
      <c r="AZ179" s="4438">
        <f t="shared" si="240"/>
        <v>0</v>
      </c>
      <c r="BA179" s="4438">
        <f t="shared" si="241"/>
        <v>0</v>
      </c>
      <c r="BB179" s="4438">
        <f t="shared" si="242"/>
        <v>0</v>
      </c>
      <c r="BC179" s="4438">
        <f t="shared" si="243"/>
        <v>0</v>
      </c>
      <c r="BD179" s="4438">
        <f t="shared" si="244"/>
        <v>0</v>
      </c>
      <c r="BE179" s="4438">
        <f t="shared" si="245"/>
        <v>0.51129188119621849</v>
      </c>
      <c r="BF179" s="4438">
        <f t="shared" si="246"/>
        <v>0.51129188119621849</v>
      </c>
      <c r="BG179" s="4438">
        <f t="shared" si="247"/>
        <v>0.51129188119621849</v>
      </c>
      <c r="BH179" s="4438">
        <f t="shared" si="248"/>
        <v>0.51129188119621849</v>
      </c>
      <c r="BI179" s="4438">
        <f t="shared" si="249"/>
        <v>0.56242106931584035</v>
      </c>
      <c r="BJ179" s="4438">
        <f t="shared" si="250"/>
        <v>0.61355025743546221</v>
      </c>
      <c r="BK179" s="4438">
        <f t="shared" si="251"/>
        <v>0.66467944555508396</v>
      </c>
      <c r="BL179" s="4438">
        <f t="shared" si="252"/>
        <v>0</v>
      </c>
      <c r="BM179" s="4438">
        <f t="shared" si="253"/>
        <v>0</v>
      </c>
      <c r="BN179" s="4438">
        <f t="shared" si="254"/>
        <v>0</v>
      </c>
      <c r="BO179" s="4438">
        <f t="shared" si="255"/>
        <v>0</v>
      </c>
      <c r="BP179" s="4438">
        <f t="shared" si="256"/>
        <v>0</v>
      </c>
      <c r="BQ179" s="4438">
        <f t="shared" si="257"/>
        <v>0</v>
      </c>
      <c r="BR179" s="4438">
        <f t="shared" si="258"/>
        <v>0</v>
      </c>
      <c r="BS179" s="4438">
        <f t="shared" si="259"/>
        <v>0</v>
      </c>
      <c r="BT179" s="4438">
        <f t="shared" si="260"/>
        <v>0</v>
      </c>
      <c r="BU179" s="4438">
        <f t="shared" si="261"/>
        <v>0</v>
      </c>
      <c r="BV179" s="4438">
        <f t="shared" si="262"/>
        <v>0</v>
      </c>
      <c r="BW179" s="4438">
        <f t="shared" si="263"/>
        <v>0</v>
      </c>
      <c r="BX179" s="4438">
        <f t="shared" si="264"/>
        <v>0</v>
      </c>
      <c r="BY179" s="4438">
        <f t="shared" si="265"/>
        <v>0</v>
      </c>
    </row>
    <row r="180" spans="1:77" s="1292" customFormat="1">
      <c r="A180" s="2573">
        <v>9</v>
      </c>
      <c r="B180" s="2516">
        <v>2040102</v>
      </c>
      <c r="C180" s="2572">
        <v>0.04</v>
      </c>
      <c r="D180" s="2546" t="s">
        <v>432</v>
      </c>
      <c r="E180" s="2640">
        <f t="shared" si="230"/>
        <v>-3</v>
      </c>
      <c r="F180" s="1202">
        <f t="shared" si="225"/>
        <v>-4</v>
      </c>
      <c r="G180" s="1198">
        <f t="shared" si="225"/>
        <v>-5</v>
      </c>
      <c r="H180" s="1198">
        <f t="shared" si="225"/>
        <v>-6</v>
      </c>
      <c r="I180" s="1198">
        <f t="shared" si="225"/>
        <v>-7</v>
      </c>
      <c r="J180" s="1198">
        <f t="shared" si="225"/>
        <v>-8</v>
      </c>
      <c r="K180" s="1203">
        <f t="shared" si="225"/>
        <v>-9</v>
      </c>
      <c r="L180" s="2640">
        <f t="shared" si="225"/>
        <v>0</v>
      </c>
      <c r="M180" s="1202">
        <f t="shared" si="226"/>
        <v>0</v>
      </c>
      <c r="N180" s="1198">
        <f t="shared" si="226"/>
        <v>0</v>
      </c>
      <c r="O180" s="1198">
        <f t="shared" si="226"/>
        <v>0</v>
      </c>
      <c r="P180" s="1198">
        <f t="shared" si="226"/>
        <v>0</v>
      </c>
      <c r="Q180" s="1198">
        <f t="shared" si="226"/>
        <v>0</v>
      </c>
      <c r="R180" s="1203">
        <f t="shared" si="226"/>
        <v>0</v>
      </c>
      <c r="S180" s="2640">
        <f t="shared" si="226"/>
        <v>0</v>
      </c>
      <c r="T180" s="1202">
        <f t="shared" si="227"/>
        <v>0</v>
      </c>
      <c r="U180" s="1198">
        <f t="shared" si="227"/>
        <v>0</v>
      </c>
      <c r="V180" s="1198">
        <f t="shared" si="227"/>
        <v>0</v>
      </c>
      <c r="W180" s="1198">
        <f t="shared" si="227"/>
        <v>0</v>
      </c>
      <c r="X180" s="1198">
        <f t="shared" si="227"/>
        <v>0</v>
      </c>
      <c r="Y180" s="1203">
        <f t="shared" si="227"/>
        <v>0</v>
      </c>
      <c r="Z180" s="2640">
        <f t="shared" si="227"/>
        <v>0</v>
      </c>
      <c r="AA180" s="1202">
        <f t="shared" si="228"/>
        <v>0</v>
      </c>
      <c r="AB180" s="1198">
        <f t="shared" si="228"/>
        <v>0</v>
      </c>
      <c r="AC180" s="1198">
        <f t="shared" si="228"/>
        <v>0</v>
      </c>
      <c r="AD180" s="1198">
        <f t="shared" si="228"/>
        <v>0</v>
      </c>
      <c r="AE180" s="1198">
        <f t="shared" si="228"/>
        <v>0</v>
      </c>
      <c r="AF180" s="1203">
        <f t="shared" si="228"/>
        <v>0</v>
      </c>
      <c r="AG180" s="2640">
        <f t="shared" si="228"/>
        <v>0</v>
      </c>
      <c r="AH180" s="1202">
        <f t="shared" si="228"/>
        <v>0</v>
      </c>
      <c r="AI180" s="1198">
        <f t="shared" si="228"/>
        <v>0</v>
      </c>
      <c r="AJ180" s="1198">
        <f t="shared" si="228"/>
        <v>0</v>
      </c>
      <c r="AK180" s="1198">
        <f t="shared" si="228"/>
        <v>0</v>
      </c>
      <c r="AL180" s="1198">
        <f t="shared" si="228"/>
        <v>0</v>
      </c>
      <c r="AM180" s="1203">
        <f t="shared" si="228"/>
        <v>0</v>
      </c>
      <c r="AN180" s="2513"/>
      <c r="AO180" s="2551"/>
      <c r="AP180" s="4422"/>
      <c r="AQ180" s="4438">
        <f t="shared" si="231"/>
        <v>-1.5338756435886556</v>
      </c>
      <c r="AR180" s="4438">
        <f t="shared" si="232"/>
        <v>-2.045167524784874</v>
      </c>
      <c r="AS180" s="4438">
        <f t="shared" si="233"/>
        <v>-2.5564594059810926</v>
      </c>
      <c r="AT180" s="4438">
        <f t="shared" si="234"/>
        <v>-3.0677512871773112</v>
      </c>
      <c r="AU180" s="4438">
        <f t="shared" si="235"/>
        <v>-3.5790431683735293</v>
      </c>
      <c r="AV180" s="4438">
        <f t="shared" si="236"/>
        <v>-4.0903350495697479</v>
      </c>
      <c r="AW180" s="4438">
        <f t="shared" si="237"/>
        <v>-4.6016269307659661</v>
      </c>
      <c r="AX180" s="4438">
        <f t="shared" si="238"/>
        <v>0</v>
      </c>
      <c r="AY180" s="4438">
        <f t="shared" si="239"/>
        <v>0</v>
      </c>
      <c r="AZ180" s="4438">
        <f t="shared" si="240"/>
        <v>0</v>
      </c>
      <c r="BA180" s="4438">
        <f t="shared" si="241"/>
        <v>0</v>
      </c>
      <c r="BB180" s="4438">
        <f t="shared" si="242"/>
        <v>0</v>
      </c>
      <c r="BC180" s="4438">
        <f t="shared" si="243"/>
        <v>0</v>
      </c>
      <c r="BD180" s="4438">
        <f t="shared" si="244"/>
        <v>0</v>
      </c>
      <c r="BE180" s="4438">
        <f t="shared" si="245"/>
        <v>0</v>
      </c>
      <c r="BF180" s="4438">
        <f t="shared" si="246"/>
        <v>0</v>
      </c>
      <c r="BG180" s="4438">
        <f t="shared" si="247"/>
        <v>0</v>
      </c>
      <c r="BH180" s="4438">
        <f t="shared" si="248"/>
        <v>0</v>
      </c>
      <c r="BI180" s="4438">
        <f t="shared" si="249"/>
        <v>0</v>
      </c>
      <c r="BJ180" s="4438">
        <f t="shared" si="250"/>
        <v>0</v>
      </c>
      <c r="BK180" s="4438">
        <f t="shared" si="251"/>
        <v>0</v>
      </c>
      <c r="BL180" s="4438">
        <f t="shared" si="252"/>
        <v>0</v>
      </c>
      <c r="BM180" s="4438">
        <f t="shared" si="253"/>
        <v>0</v>
      </c>
      <c r="BN180" s="4438">
        <f t="shared" si="254"/>
        <v>0</v>
      </c>
      <c r="BO180" s="4438">
        <f t="shared" si="255"/>
        <v>0</v>
      </c>
      <c r="BP180" s="4438">
        <f t="shared" si="256"/>
        <v>0</v>
      </c>
      <c r="BQ180" s="4438">
        <f t="shared" si="257"/>
        <v>0</v>
      </c>
      <c r="BR180" s="4438">
        <f t="shared" si="258"/>
        <v>0</v>
      </c>
      <c r="BS180" s="4438">
        <f t="shared" si="259"/>
        <v>0</v>
      </c>
      <c r="BT180" s="4438">
        <f t="shared" si="260"/>
        <v>0</v>
      </c>
      <c r="BU180" s="4438">
        <f t="shared" si="261"/>
        <v>0</v>
      </c>
      <c r="BV180" s="4438">
        <f t="shared" si="262"/>
        <v>0</v>
      </c>
      <c r="BW180" s="4438">
        <f t="shared" si="263"/>
        <v>0</v>
      </c>
      <c r="BX180" s="4438">
        <f t="shared" si="264"/>
        <v>0</v>
      </c>
      <c r="BY180" s="4438">
        <f t="shared" si="265"/>
        <v>0</v>
      </c>
    </row>
    <row r="181" spans="1:77" s="1292" customFormat="1">
      <c r="A181" s="2573">
        <v>10</v>
      </c>
      <c r="B181" s="2516">
        <v>2040201</v>
      </c>
      <c r="C181" s="2517">
        <v>0.02</v>
      </c>
      <c r="D181" s="2547" t="s">
        <v>738</v>
      </c>
      <c r="E181" s="2640">
        <f t="shared" si="230"/>
        <v>0</v>
      </c>
      <c r="F181" s="1202">
        <f t="shared" si="225"/>
        <v>0</v>
      </c>
      <c r="G181" s="1198">
        <f t="shared" si="225"/>
        <v>0</v>
      </c>
      <c r="H181" s="1198">
        <f t="shared" si="225"/>
        <v>0</v>
      </c>
      <c r="I181" s="1198">
        <f t="shared" si="225"/>
        <v>0</v>
      </c>
      <c r="J181" s="1198">
        <f t="shared" si="225"/>
        <v>0</v>
      </c>
      <c r="K181" s="1203">
        <f t="shared" si="225"/>
        <v>0</v>
      </c>
      <c r="L181" s="2640">
        <f t="shared" si="225"/>
        <v>0</v>
      </c>
      <c r="M181" s="1202">
        <f t="shared" si="226"/>
        <v>0</v>
      </c>
      <c r="N181" s="1198">
        <f t="shared" si="226"/>
        <v>0</v>
      </c>
      <c r="O181" s="1198">
        <f t="shared" si="226"/>
        <v>0</v>
      </c>
      <c r="P181" s="1198">
        <f t="shared" si="226"/>
        <v>0</v>
      </c>
      <c r="Q181" s="1198">
        <f t="shared" si="226"/>
        <v>0</v>
      </c>
      <c r="R181" s="1203">
        <f t="shared" si="226"/>
        <v>0</v>
      </c>
      <c r="S181" s="2640">
        <f t="shared" si="226"/>
        <v>0</v>
      </c>
      <c r="T181" s="1202">
        <f t="shared" si="227"/>
        <v>0</v>
      </c>
      <c r="U181" s="1198">
        <f t="shared" si="227"/>
        <v>0</v>
      </c>
      <c r="V181" s="1198">
        <f t="shared" si="227"/>
        <v>0</v>
      </c>
      <c r="W181" s="1198">
        <f t="shared" si="227"/>
        <v>0</v>
      </c>
      <c r="X181" s="1198">
        <f t="shared" si="227"/>
        <v>0</v>
      </c>
      <c r="Y181" s="1203">
        <f t="shared" si="227"/>
        <v>0</v>
      </c>
      <c r="Z181" s="2640">
        <f t="shared" si="227"/>
        <v>0</v>
      </c>
      <c r="AA181" s="1202">
        <f t="shared" si="228"/>
        <v>0</v>
      </c>
      <c r="AB181" s="1198">
        <f t="shared" si="228"/>
        <v>0</v>
      </c>
      <c r="AC181" s="1198">
        <f t="shared" si="228"/>
        <v>0</v>
      </c>
      <c r="AD181" s="1198">
        <f t="shared" si="228"/>
        <v>0</v>
      </c>
      <c r="AE181" s="1198">
        <f t="shared" si="228"/>
        <v>0</v>
      </c>
      <c r="AF181" s="1203">
        <f t="shared" si="228"/>
        <v>0</v>
      </c>
      <c r="AG181" s="2640">
        <f t="shared" si="228"/>
        <v>0</v>
      </c>
      <c r="AH181" s="1202">
        <f t="shared" si="228"/>
        <v>0</v>
      </c>
      <c r="AI181" s="1198">
        <f t="shared" si="228"/>
        <v>0</v>
      </c>
      <c r="AJ181" s="1198">
        <f t="shared" si="228"/>
        <v>0</v>
      </c>
      <c r="AK181" s="1198">
        <f t="shared" si="228"/>
        <v>0</v>
      </c>
      <c r="AL181" s="1198">
        <f t="shared" si="228"/>
        <v>0</v>
      </c>
      <c r="AM181" s="1203">
        <f t="shared" si="228"/>
        <v>0</v>
      </c>
      <c r="AN181" s="2513"/>
      <c r="AO181" s="2551"/>
      <c r="AP181" s="4422"/>
      <c r="AQ181" s="4438">
        <f t="shared" si="231"/>
        <v>0</v>
      </c>
      <c r="AR181" s="4438">
        <f t="shared" si="232"/>
        <v>0</v>
      </c>
      <c r="AS181" s="4438">
        <f t="shared" si="233"/>
        <v>0</v>
      </c>
      <c r="AT181" s="4438">
        <f t="shared" si="234"/>
        <v>0</v>
      </c>
      <c r="AU181" s="4438">
        <f t="shared" si="235"/>
        <v>0</v>
      </c>
      <c r="AV181" s="4438">
        <f t="shared" si="236"/>
        <v>0</v>
      </c>
      <c r="AW181" s="4438">
        <f t="shared" si="237"/>
        <v>0</v>
      </c>
      <c r="AX181" s="4438">
        <f t="shared" si="238"/>
        <v>0</v>
      </c>
      <c r="AY181" s="4438">
        <f t="shared" si="239"/>
        <v>0</v>
      </c>
      <c r="AZ181" s="4438">
        <f t="shared" si="240"/>
        <v>0</v>
      </c>
      <c r="BA181" s="4438">
        <f t="shared" si="241"/>
        <v>0</v>
      </c>
      <c r="BB181" s="4438">
        <f t="shared" si="242"/>
        <v>0</v>
      </c>
      <c r="BC181" s="4438">
        <f t="shared" si="243"/>
        <v>0</v>
      </c>
      <c r="BD181" s="4438">
        <f t="shared" si="244"/>
        <v>0</v>
      </c>
      <c r="BE181" s="4438">
        <f t="shared" si="245"/>
        <v>0</v>
      </c>
      <c r="BF181" s="4438">
        <f t="shared" si="246"/>
        <v>0</v>
      </c>
      <c r="BG181" s="4438">
        <f t="shared" si="247"/>
        <v>0</v>
      </c>
      <c r="BH181" s="4438">
        <f t="shared" si="248"/>
        <v>0</v>
      </c>
      <c r="BI181" s="4438">
        <f t="shared" si="249"/>
        <v>0</v>
      </c>
      <c r="BJ181" s="4438">
        <f t="shared" si="250"/>
        <v>0</v>
      </c>
      <c r="BK181" s="4438">
        <f t="shared" si="251"/>
        <v>0</v>
      </c>
      <c r="BL181" s="4438">
        <f t="shared" si="252"/>
        <v>0</v>
      </c>
      <c r="BM181" s="4438">
        <f t="shared" si="253"/>
        <v>0</v>
      </c>
      <c r="BN181" s="4438">
        <f t="shared" si="254"/>
        <v>0</v>
      </c>
      <c r="BO181" s="4438">
        <f t="shared" si="255"/>
        <v>0</v>
      </c>
      <c r="BP181" s="4438">
        <f t="shared" si="256"/>
        <v>0</v>
      </c>
      <c r="BQ181" s="4438">
        <f t="shared" si="257"/>
        <v>0</v>
      </c>
      <c r="BR181" s="4438">
        <f t="shared" si="258"/>
        <v>0</v>
      </c>
      <c r="BS181" s="4438">
        <f t="shared" si="259"/>
        <v>0</v>
      </c>
      <c r="BT181" s="4438">
        <f t="shared" si="260"/>
        <v>0</v>
      </c>
      <c r="BU181" s="4438">
        <f t="shared" si="261"/>
        <v>0</v>
      </c>
      <c r="BV181" s="4438">
        <f t="shared" si="262"/>
        <v>0</v>
      </c>
      <c r="BW181" s="4438">
        <f t="shared" si="263"/>
        <v>0</v>
      </c>
      <c r="BX181" s="4438">
        <f t="shared" si="264"/>
        <v>0</v>
      </c>
      <c r="BY181" s="4438">
        <f t="shared" si="265"/>
        <v>0</v>
      </c>
    </row>
    <row r="182" spans="1:77" s="1292" customFormat="1">
      <c r="A182" s="2573">
        <v>11</v>
      </c>
      <c r="B182" s="2516">
        <v>2040202</v>
      </c>
      <c r="C182" s="2517">
        <v>0.02</v>
      </c>
      <c r="D182" s="2547" t="s">
        <v>739</v>
      </c>
      <c r="E182" s="2640">
        <f t="shared" si="230"/>
        <v>54</v>
      </c>
      <c r="F182" s="1202">
        <f t="shared" si="225"/>
        <v>52.6</v>
      </c>
      <c r="G182" s="1198">
        <f t="shared" si="225"/>
        <v>51.2</v>
      </c>
      <c r="H182" s="1198">
        <f t="shared" si="225"/>
        <v>49.8</v>
      </c>
      <c r="I182" s="1198">
        <f t="shared" si="225"/>
        <v>48.4</v>
      </c>
      <c r="J182" s="1198">
        <f t="shared" si="225"/>
        <v>47</v>
      </c>
      <c r="K182" s="1203">
        <f t="shared" si="225"/>
        <v>45.6</v>
      </c>
      <c r="L182" s="2640">
        <f t="shared" si="225"/>
        <v>0</v>
      </c>
      <c r="M182" s="1202">
        <f t="shared" si="226"/>
        <v>0</v>
      </c>
      <c r="N182" s="1198">
        <f t="shared" si="226"/>
        <v>0</v>
      </c>
      <c r="O182" s="1198">
        <f t="shared" si="226"/>
        <v>0</v>
      </c>
      <c r="P182" s="1198">
        <f t="shared" si="226"/>
        <v>0</v>
      </c>
      <c r="Q182" s="1198">
        <f t="shared" si="226"/>
        <v>0</v>
      </c>
      <c r="R182" s="1203">
        <f t="shared" si="226"/>
        <v>0</v>
      </c>
      <c r="S182" s="2640">
        <f t="shared" si="226"/>
        <v>0</v>
      </c>
      <c r="T182" s="1202">
        <f t="shared" si="227"/>
        <v>0</v>
      </c>
      <c r="U182" s="1198">
        <f t="shared" si="227"/>
        <v>0</v>
      </c>
      <c r="V182" s="1198">
        <f t="shared" si="227"/>
        <v>0</v>
      </c>
      <c r="W182" s="1198">
        <f t="shared" si="227"/>
        <v>0</v>
      </c>
      <c r="X182" s="1198">
        <f t="shared" si="227"/>
        <v>0</v>
      </c>
      <c r="Y182" s="1203">
        <f t="shared" si="227"/>
        <v>0</v>
      </c>
      <c r="Z182" s="2640">
        <f t="shared" si="227"/>
        <v>0</v>
      </c>
      <c r="AA182" s="1202">
        <f t="shared" si="228"/>
        <v>0</v>
      </c>
      <c r="AB182" s="1198">
        <f t="shared" si="228"/>
        <v>0</v>
      </c>
      <c r="AC182" s="1198">
        <f t="shared" si="228"/>
        <v>0</v>
      </c>
      <c r="AD182" s="1198">
        <f t="shared" si="228"/>
        <v>0</v>
      </c>
      <c r="AE182" s="1198">
        <f t="shared" si="228"/>
        <v>0</v>
      </c>
      <c r="AF182" s="1203">
        <f t="shared" si="228"/>
        <v>0</v>
      </c>
      <c r="AG182" s="2640">
        <f t="shared" si="228"/>
        <v>0</v>
      </c>
      <c r="AH182" s="1202">
        <f t="shared" si="228"/>
        <v>0</v>
      </c>
      <c r="AI182" s="1198">
        <f t="shared" si="228"/>
        <v>0</v>
      </c>
      <c r="AJ182" s="1198">
        <f t="shared" si="228"/>
        <v>0</v>
      </c>
      <c r="AK182" s="1198">
        <f t="shared" si="228"/>
        <v>0</v>
      </c>
      <c r="AL182" s="1198">
        <f t="shared" si="228"/>
        <v>0</v>
      </c>
      <c r="AM182" s="1203">
        <f t="shared" si="228"/>
        <v>0</v>
      </c>
      <c r="AN182" s="2513"/>
      <c r="AO182" s="2551"/>
      <c r="AP182" s="4422"/>
      <c r="AQ182" s="4438">
        <f t="shared" si="231"/>
        <v>27.609761584595798</v>
      </c>
      <c r="AR182" s="4438">
        <f t="shared" si="232"/>
        <v>26.893952950921094</v>
      </c>
      <c r="AS182" s="4438">
        <f t="shared" si="233"/>
        <v>26.178144317246389</v>
      </c>
      <c r="AT182" s="4438">
        <f t="shared" si="234"/>
        <v>25.462335683571681</v>
      </c>
      <c r="AU182" s="4438">
        <f t="shared" si="235"/>
        <v>24.746527049896976</v>
      </c>
      <c r="AV182" s="4438">
        <f t="shared" si="236"/>
        <v>24.030718416222268</v>
      </c>
      <c r="AW182" s="4438">
        <f t="shared" si="237"/>
        <v>23.314909782547563</v>
      </c>
      <c r="AX182" s="4438">
        <f t="shared" si="238"/>
        <v>0</v>
      </c>
      <c r="AY182" s="4438">
        <f t="shared" si="239"/>
        <v>0</v>
      </c>
      <c r="AZ182" s="4438">
        <f t="shared" si="240"/>
        <v>0</v>
      </c>
      <c r="BA182" s="4438">
        <f t="shared" si="241"/>
        <v>0</v>
      </c>
      <c r="BB182" s="4438">
        <f t="shared" si="242"/>
        <v>0</v>
      </c>
      <c r="BC182" s="4438">
        <f t="shared" si="243"/>
        <v>0</v>
      </c>
      <c r="BD182" s="4438">
        <f t="shared" si="244"/>
        <v>0</v>
      </c>
      <c r="BE182" s="4438">
        <f t="shared" si="245"/>
        <v>0</v>
      </c>
      <c r="BF182" s="4438">
        <f t="shared" si="246"/>
        <v>0</v>
      </c>
      <c r="BG182" s="4438">
        <f t="shared" si="247"/>
        <v>0</v>
      </c>
      <c r="BH182" s="4438">
        <f t="shared" si="248"/>
        <v>0</v>
      </c>
      <c r="BI182" s="4438">
        <f t="shared" si="249"/>
        <v>0</v>
      </c>
      <c r="BJ182" s="4438">
        <f t="shared" si="250"/>
        <v>0</v>
      </c>
      <c r="BK182" s="4438">
        <f t="shared" si="251"/>
        <v>0</v>
      </c>
      <c r="BL182" s="4438">
        <f t="shared" si="252"/>
        <v>0</v>
      </c>
      <c r="BM182" s="4438">
        <f t="shared" si="253"/>
        <v>0</v>
      </c>
      <c r="BN182" s="4438">
        <f t="shared" si="254"/>
        <v>0</v>
      </c>
      <c r="BO182" s="4438">
        <f t="shared" si="255"/>
        <v>0</v>
      </c>
      <c r="BP182" s="4438">
        <f t="shared" si="256"/>
        <v>0</v>
      </c>
      <c r="BQ182" s="4438">
        <f t="shared" si="257"/>
        <v>0</v>
      </c>
      <c r="BR182" s="4438">
        <f t="shared" si="258"/>
        <v>0</v>
      </c>
      <c r="BS182" s="4438">
        <f t="shared" si="259"/>
        <v>0</v>
      </c>
      <c r="BT182" s="4438">
        <f t="shared" si="260"/>
        <v>0</v>
      </c>
      <c r="BU182" s="4438">
        <f t="shared" si="261"/>
        <v>0</v>
      </c>
      <c r="BV182" s="4438">
        <f t="shared" si="262"/>
        <v>0</v>
      </c>
      <c r="BW182" s="4438">
        <f t="shared" si="263"/>
        <v>0</v>
      </c>
      <c r="BX182" s="4438">
        <f t="shared" si="264"/>
        <v>0</v>
      </c>
      <c r="BY182" s="4438">
        <f t="shared" si="265"/>
        <v>0</v>
      </c>
    </row>
    <row r="183" spans="1:77" s="1292" customFormat="1">
      <c r="A183" s="2573">
        <v>12</v>
      </c>
      <c r="B183" s="2516">
        <v>2040203</v>
      </c>
      <c r="C183" s="2517">
        <v>0.02</v>
      </c>
      <c r="D183" s="2547" t="s">
        <v>418</v>
      </c>
      <c r="E183" s="2640">
        <f t="shared" si="230"/>
        <v>20</v>
      </c>
      <c r="F183" s="1202">
        <f t="shared" si="225"/>
        <v>20</v>
      </c>
      <c r="G183" s="1198">
        <f t="shared" si="225"/>
        <v>20</v>
      </c>
      <c r="H183" s="1198">
        <f t="shared" si="225"/>
        <v>20</v>
      </c>
      <c r="I183" s="1198">
        <f t="shared" si="225"/>
        <v>20</v>
      </c>
      <c r="J183" s="1198">
        <f t="shared" si="225"/>
        <v>20</v>
      </c>
      <c r="K183" s="1203">
        <f t="shared" si="225"/>
        <v>20</v>
      </c>
      <c r="L183" s="2640">
        <f t="shared" si="225"/>
        <v>0</v>
      </c>
      <c r="M183" s="1202">
        <f t="shared" si="226"/>
        <v>0</v>
      </c>
      <c r="N183" s="1198">
        <f t="shared" si="226"/>
        <v>0</v>
      </c>
      <c r="O183" s="1198">
        <f t="shared" si="226"/>
        <v>0</v>
      </c>
      <c r="P183" s="1198">
        <f t="shared" si="226"/>
        <v>0</v>
      </c>
      <c r="Q183" s="1198">
        <f t="shared" si="226"/>
        <v>0</v>
      </c>
      <c r="R183" s="1203">
        <f t="shared" si="226"/>
        <v>0</v>
      </c>
      <c r="S183" s="2640">
        <f t="shared" si="226"/>
        <v>0</v>
      </c>
      <c r="T183" s="1202">
        <f t="shared" si="227"/>
        <v>0</v>
      </c>
      <c r="U183" s="1198">
        <f t="shared" si="227"/>
        <v>0</v>
      </c>
      <c r="V183" s="1198">
        <f t="shared" si="227"/>
        <v>0</v>
      </c>
      <c r="W183" s="1198">
        <f t="shared" si="227"/>
        <v>0</v>
      </c>
      <c r="X183" s="1198">
        <f t="shared" si="227"/>
        <v>0</v>
      </c>
      <c r="Y183" s="1203">
        <f t="shared" si="227"/>
        <v>0</v>
      </c>
      <c r="Z183" s="2640">
        <f t="shared" si="227"/>
        <v>0</v>
      </c>
      <c r="AA183" s="1202">
        <f t="shared" si="228"/>
        <v>0</v>
      </c>
      <c r="AB183" s="1198">
        <f t="shared" si="228"/>
        <v>0</v>
      </c>
      <c r="AC183" s="1198">
        <f t="shared" si="228"/>
        <v>0</v>
      </c>
      <c r="AD183" s="1198">
        <f t="shared" si="228"/>
        <v>0</v>
      </c>
      <c r="AE183" s="1198">
        <f t="shared" si="228"/>
        <v>0</v>
      </c>
      <c r="AF183" s="1203">
        <f t="shared" si="228"/>
        <v>0</v>
      </c>
      <c r="AG183" s="2640">
        <f t="shared" si="228"/>
        <v>0</v>
      </c>
      <c r="AH183" s="1202">
        <f t="shared" si="228"/>
        <v>0</v>
      </c>
      <c r="AI183" s="1198">
        <f t="shared" si="228"/>
        <v>0</v>
      </c>
      <c r="AJ183" s="1198">
        <f t="shared" si="228"/>
        <v>0</v>
      </c>
      <c r="AK183" s="1198">
        <f t="shared" si="228"/>
        <v>0</v>
      </c>
      <c r="AL183" s="1198">
        <f t="shared" si="228"/>
        <v>0</v>
      </c>
      <c r="AM183" s="1203">
        <f t="shared" si="228"/>
        <v>0</v>
      </c>
      <c r="AN183" s="2513"/>
      <c r="AO183" s="2551"/>
      <c r="AP183" s="4422"/>
      <c r="AQ183" s="4438">
        <f t="shared" si="231"/>
        <v>10.22583762392437</v>
      </c>
      <c r="AR183" s="4438">
        <f t="shared" si="232"/>
        <v>10.22583762392437</v>
      </c>
      <c r="AS183" s="4438">
        <f t="shared" si="233"/>
        <v>10.22583762392437</v>
      </c>
      <c r="AT183" s="4438">
        <f t="shared" si="234"/>
        <v>10.22583762392437</v>
      </c>
      <c r="AU183" s="4438">
        <f t="shared" si="235"/>
        <v>10.22583762392437</v>
      </c>
      <c r="AV183" s="4438">
        <f t="shared" si="236"/>
        <v>10.22583762392437</v>
      </c>
      <c r="AW183" s="4438">
        <f t="shared" si="237"/>
        <v>10.22583762392437</v>
      </c>
      <c r="AX183" s="4438">
        <f t="shared" si="238"/>
        <v>0</v>
      </c>
      <c r="AY183" s="4438">
        <f t="shared" si="239"/>
        <v>0</v>
      </c>
      <c r="AZ183" s="4438">
        <f t="shared" si="240"/>
        <v>0</v>
      </c>
      <c r="BA183" s="4438">
        <f t="shared" si="241"/>
        <v>0</v>
      </c>
      <c r="BB183" s="4438">
        <f t="shared" si="242"/>
        <v>0</v>
      </c>
      <c r="BC183" s="4438">
        <f t="shared" si="243"/>
        <v>0</v>
      </c>
      <c r="BD183" s="4438">
        <f t="shared" si="244"/>
        <v>0</v>
      </c>
      <c r="BE183" s="4438">
        <f t="shared" si="245"/>
        <v>0</v>
      </c>
      <c r="BF183" s="4438">
        <f t="shared" si="246"/>
        <v>0</v>
      </c>
      <c r="BG183" s="4438">
        <f t="shared" si="247"/>
        <v>0</v>
      </c>
      <c r="BH183" s="4438">
        <f t="shared" si="248"/>
        <v>0</v>
      </c>
      <c r="BI183" s="4438">
        <f t="shared" si="249"/>
        <v>0</v>
      </c>
      <c r="BJ183" s="4438">
        <f t="shared" si="250"/>
        <v>0</v>
      </c>
      <c r="BK183" s="4438">
        <f t="shared" si="251"/>
        <v>0</v>
      </c>
      <c r="BL183" s="4438">
        <f t="shared" si="252"/>
        <v>0</v>
      </c>
      <c r="BM183" s="4438">
        <f t="shared" si="253"/>
        <v>0</v>
      </c>
      <c r="BN183" s="4438">
        <f t="shared" si="254"/>
        <v>0</v>
      </c>
      <c r="BO183" s="4438">
        <f t="shared" si="255"/>
        <v>0</v>
      </c>
      <c r="BP183" s="4438">
        <f t="shared" si="256"/>
        <v>0</v>
      </c>
      <c r="BQ183" s="4438">
        <f t="shared" si="257"/>
        <v>0</v>
      </c>
      <c r="BR183" s="4438">
        <f t="shared" si="258"/>
        <v>0</v>
      </c>
      <c r="BS183" s="4438">
        <f t="shared" si="259"/>
        <v>0</v>
      </c>
      <c r="BT183" s="4438">
        <f t="shared" si="260"/>
        <v>0</v>
      </c>
      <c r="BU183" s="4438">
        <f t="shared" si="261"/>
        <v>0</v>
      </c>
      <c r="BV183" s="4438">
        <f t="shared" si="262"/>
        <v>0</v>
      </c>
      <c r="BW183" s="4438">
        <f t="shared" si="263"/>
        <v>0</v>
      </c>
      <c r="BX183" s="4438">
        <f t="shared" si="264"/>
        <v>0</v>
      </c>
      <c r="BY183" s="4438">
        <f t="shared" si="265"/>
        <v>0</v>
      </c>
    </row>
    <row r="184" spans="1:77" s="1292" customFormat="1">
      <c r="A184" s="2573">
        <v>13</v>
      </c>
      <c r="B184" s="2516">
        <v>2040204</v>
      </c>
      <c r="C184" s="2517">
        <v>0.02</v>
      </c>
      <c r="D184" s="2546" t="s">
        <v>419</v>
      </c>
      <c r="E184" s="2640">
        <f t="shared" si="230"/>
        <v>95</v>
      </c>
      <c r="F184" s="1202">
        <f t="shared" si="225"/>
        <v>93.53</v>
      </c>
      <c r="G184" s="1198">
        <f t="shared" si="225"/>
        <v>106.91</v>
      </c>
      <c r="H184" s="1198">
        <f t="shared" si="225"/>
        <v>105.14</v>
      </c>
      <c r="I184" s="1198">
        <f t="shared" si="225"/>
        <v>103.37</v>
      </c>
      <c r="J184" s="1198">
        <f t="shared" si="225"/>
        <v>103.58</v>
      </c>
      <c r="K184" s="1203">
        <f t="shared" si="225"/>
        <v>127.50999999999999</v>
      </c>
      <c r="L184" s="2640">
        <f t="shared" si="225"/>
        <v>0</v>
      </c>
      <c r="M184" s="1202">
        <f t="shared" si="226"/>
        <v>0</v>
      </c>
      <c r="N184" s="1198">
        <f t="shared" si="226"/>
        <v>0</v>
      </c>
      <c r="O184" s="1198">
        <f t="shared" si="226"/>
        <v>0</v>
      </c>
      <c r="P184" s="1198">
        <f t="shared" si="226"/>
        <v>0</v>
      </c>
      <c r="Q184" s="1198">
        <f t="shared" si="226"/>
        <v>0</v>
      </c>
      <c r="R184" s="1203">
        <f t="shared" si="226"/>
        <v>0</v>
      </c>
      <c r="S184" s="2640">
        <f t="shared" si="226"/>
        <v>0</v>
      </c>
      <c r="T184" s="1202">
        <f t="shared" si="227"/>
        <v>0</v>
      </c>
      <c r="U184" s="1198">
        <f t="shared" si="227"/>
        <v>0</v>
      </c>
      <c r="V184" s="1198">
        <f t="shared" si="227"/>
        <v>0</v>
      </c>
      <c r="W184" s="1198">
        <f t="shared" si="227"/>
        <v>0</v>
      </c>
      <c r="X184" s="1198">
        <f t="shared" si="227"/>
        <v>0</v>
      </c>
      <c r="Y184" s="1203">
        <f t="shared" si="227"/>
        <v>0</v>
      </c>
      <c r="Z184" s="2640">
        <f t="shared" si="227"/>
        <v>0</v>
      </c>
      <c r="AA184" s="1202">
        <f t="shared" si="228"/>
        <v>0</v>
      </c>
      <c r="AB184" s="1198">
        <f t="shared" si="228"/>
        <v>0</v>
      </c>
      <c r="AC184" s="1198">
        <f t="shared" si="228"/>
        <v>0</v>
      </c>
      <c r="AD184" s="1198">
        <f t="shared" si="228"/>
        <v>0</v>
      </c>
      <c r="AE184" s="1198">
        <f t="shared" si="228"/>
        <v>0</v>
      </c>
      <c r="AF184" s="1203">
        <f t="shared" si="228"/>
        <v>0</v>
      </c>
      <c r="AG184" s="2640">
        <f t="shared" si="228"/>
        <v>0</v>
      </c>
      <c r="AH184" s="1202">
        <f t="shared" si="228"/>
        <v>0</v>
      </c>
      <c r="AI184" s="1198">
        <f t="shared" si="228"/>
        <v>0</v>
      </c>
      <c r="AJ184" s="1198">
        <f t="shared" si="228"/>
        <v>0</v>
      </c>
      <c r="AK184" s="1198">
        <f t="shared" si="228"/>
        <v>0</v>
      </c>
      <c r="AL184" s="1198">
        <f t="shared" si="228"/>
        <v>0</v>
      </c>
      <c r="AM184" s="1203">
        <f t="shared" si="228"/>
        <v>0</v>
      </c>
      <c r="AN184" s="2513"/>
      <c r="AO184" s="2551"/>
      <c r="AP184" s="4422"/>
      <c r="AQ184" s="4438">
        <f t="shared" si="231"/>
        <v>48.572728713640757</v>
      </c>
      <c r="AR184" s="4438">
        <f t="shared" si="232"/>
        <v>47.821129648282316</v>
      </c>
      <c r="AS184" s="4438">
        <f t="shared" si="233"/>
        <v>54.662215018687718</v>
      </c>
      <c r="AT184" s="4438">
        <f t="shared" si="234"/>
        <v>53.757228388970411</v>
      </c>
      <c r="AU184" s="4438">
        <f t="shared" si="235"/>
        <v>52.852241759253111</v>
      </c>
      <c r="AV184" s="4438">
        <f t="shared" si="236"/>
        <v>52.959613054304313</v>
      </c>
      <c r="AW184" s="4438">
        <f t="shared" si="237"/>
        <v>65.194827771329813</v>
      </c>
      <c r="AX184" s="4438">
        <f t="shared" si="238"/>
        <v>0</v>
      </c>
      <c r="AY184" s="4438">
        <f t="shared" si="239"/>
        <v>0</v>
      </c>
      <c r="AZ184" s="4438">
        <f t="shared" si="240"/>
        <v>0</v>
      </c>
      <c r="BA184" s="4438">
        <f t="shared" si="241"/>
        <v>0</v>
      </c>
      <c r="BB184" s="4438">
        <f t="shared" si="242"/>
        <v>0</v>
      </c>
      <c r="BC184" s="4438">
        <f t="shared" si="243"/>
        <v>0</v>
      </c>
      <c r="BD184" s="4438">
        <f t="shared" si="244"/>
        <v>0</v>
      </c>
      <c r="BE184" s="4438">
        <f t="shared" si="245"/>
        <v>0</v>
      </c>
      <c r="BF184" s="4438">
        <f t="shared" si="246"/>
        <v>0</v>
      </c>
      <c r="BG184" s="4438">
        <f t="shared" si="247"/>
        <v>0</v>
      </c>
      <c r="BH184" s="4438">
        <f t="shared" si="248"/>
        <v>0</v>
      </c>
      <c r="BI184" s="4438">
        <f t="shared" si="249"/>
        <v>0</v>
      </c>
      <c r="BJ184" s="4438">
        <f t="shared" si="250"/>
        <v>0</v>
      </c>
      <c r="BK184" s="4438">
        <f t="shared" si="251"/>
        <v>0</v>
      </c>
      <c r="BL184" s="4438">
        <f t="shared" si="252"/>
        <v>0</v>
      </c>
      <c r="BM184" s="4438">
        <f t="shared" si="253"/>
        <v>0</v>
      </c>
      <c r="BN184" s="4438">
        <f t="shared" si="254"/>
        <v>0</v>
      </c>
      <c r="BO184" s="4438">
        <f t="shared" si="255"/>
        <v>0</v>
      </c>
      <c r="BP184" s="4438">
        <f t="shared" si="256"/>
        <v>0</v>
      </c>
      <c r="BQ184" s="4438">
        <f t="shared" si="257"/>
        <v>0</v>
      </c>
      <c r="BR184" s="4438">
        <f t="shared" si="258"/>
        <v>0</v>
      </c>
      <c r="BS184" s="4438">
        <f t="shared" si="259"/>
        <v>0</v>
      </c>
      <c r="BT184" s="4438">
        <f t="shared" si="260"/>
        <v>0</v>
      </c>
      <c r="BU184" s="4438">
        <f t="shared" si="261"/>
        <v>0</v>
      </c>
      <c r="BV184" s="4438">
        <f t="shared" si="262"/>
        <v>0</v>
      </c>
      <c r="BW184" s="4438">
        <f t="shared" si="263"/>
        <v>0</v>
      </c>
      <c r="BX184" s="4438">
        <f t="shared" si="264"/>
        <v>0</v>
      </c>
      <c r="BY184" s="4438">
        <f t="shared" si="265"/>
        <v>0</v>
      </c>
    </row>
    <row r="185" spans="1:77" s="1292" customFormat="1">
      <c r="A185" s="2573">
        <v>14</v>
      </c>
      <c r="B185" s="2516">
        <v>2040205</v>
      </c>
      <c r="C185" s="2517">
        <v>0.02</v>
      </c>
      <c r="D185" s="2547" t="s">
        <v>420</v>
      </c>
      <c r="E185" s="2640">
        <f t="shared" si="230"/>
        <v>2475</v>
      </c>
      <c r="F185" s="1202">
        <f t="shared" si="225"/>
        <v>3019.17</v>
      </c>
      <c r="G185" s="1198">
        <f t="shared" si="225"/>
        <v>5613.0911824800005</v>
      </c>
      <c r="H185" s="1198">
        <f t="shared" si="225"/>
        <v>10366.582008400002</v>
      </c>
      <c r="I185" s="1198">
        <f t="shared" si="225"/>
        <v>15232.579756240002</v>
      </c>
      <c r="J185" s="1198">
        <f t="shared" si="225"/>
        <v>15440.81206104</v>
      </c>
      <c r="K185" s="1203">
        <f t="shared" si="225"/>
        <v>15638.444365840001</v>
      </c>
      <c r="L185" s="2640">
        <f t="shared" si="225"/>
        <v>0</v>
      </c>
      <c r="M185" s="1202">
        <f t="shared" si="226"/>
        <v>0</v>
      </c>
      <c r="N185" s="1198">
        <f t="shared" si="226"/>
        <v>0</v>
      </c>
      <c r="O185" s="1198">
        <f t="shared" si="226"/>
        <v>0</v>
      </c>
      <c r="P185" s="1198">
        <f t="shared" si="226"/>
        <v>0</v>
      </c>
      <c r="Q185" s="1198">
        <f t="shared" si="226"/>
        <v>0</v>
      </c>
      <c r="R185" s="1203">
        <f t="shared" si="226"/>
        <v>0</v>
      </c>
      <c r="S185" s="2640">
        <f t="shared" si="226"/>
        <v>0</v>
      </c>
      <c r="T185" s="1202">
        <f t="shared" si="227"/>
        <v>0</v>
      </c>
      <c r="U185" s="1198">
        <f t="shared" si="227"/>
        <v>0</v>
      </c>
      <c r="V185" s="1198">
        <f t="shared" si="227"/>
        <v>0</v>
      </c>
      <c r="W185" s="1198">
        <f t="shared" si="227"/>
        <v>0</v>
      </c>
      <c r="X185" s="1198">
        <f t="shared" si="227"/>
        <v>0</v>
      </c>
      <c r="Y185" s="1203">
        <f t="shared" si="227"/>
        <v>0</v>
      </c>
      <c r="Z185" s="2640">
        <f t="shared" si="227"/>
        <v>0</v>
      </c>
      <c r="AA185" s="1202">
        <f t="shared" si="228"/>
        <v>0</v>
      </c>
      <c r="AB185" s="1198">
        <f t="shared" si="228"/>
        <v>0</v>
      </c>
      <c r="AC185" s="1198">
        <f t="shared" si="228"/>
        <v>0</v>
      </c>
      <c r="AD185" s="1198">
        <f t="shared" si="228"/>
        <v>0</v>
      </c>
      <c r="AE185" s="1198">
        <f t="shared" si="228"/>
        <v>0</v>
      </c>
      <c r="AF185" s="1203">
        <f t="shared" si="228"/>
        <v>0</v>
      </c>
      <c r="AG185" s="2640">
        <f t="shared" si="228"/>
        <v>0</v>
      </c>
      <c r="AH185" s="1202">
        <f t="shared" si="228"/>
        <v>0</v>
      </c>
      <c r="AI185" s="1198">
        <f t="shared" si="228"/>
        <v>0</v>
      </c>
      <c r="AJ185" s="1198">
        <f t="shared" si="228"/>
        <v>0</v>
      </c>
      <c r="AK185" s="1198">
        <f t="shared" si="228"/>
        <v>0</v>
      </c>
      <c r="AL185" s="1198">
        <f t="shared" si="228"/>
        <v>0</v>
      </c>
      <c r="AM185" s="1203">
        <f t="shared" si="228"/>
        <v>0</v>
      </c>
      <c r="AN185" s="2513"/>
      <c r="AO185" s="2551"/>
      <c r="AP185" s="4422"/>
      <c r="AQ185" s="4438">
        <f t="shared" si="231"/>
        <v>1265.4474059606407</v>
      </c>
      <c r="AR185" s="4438">
        <f t="shared" si="232"/>
        <v>1543.6771089511869</v>
      </c>
      <c r="AS185" s="4438">
        <f t="shared" si="233"/>
        <v>2869.927950016106</v>
      </c>
      <c r="AT185" s="4438">
        <f t="shared" si="234"/>
        <v>5300.3492166497099</v>
      </c>
      <c r="AU185" s="4438">
        <f t="shared" si="235"/>
        <v>7788.2943590393861</v>
      </c>
      <c r="AV185" s="4438">
        <f t="shared" si="236"/>
        <v>7894.7618458864017</v>
      </c>
      <c r="AW185" s="4438">
        <f t="shared" si="237"/>
        <v>7995.809638792739</v>
      </c>
      <c r="AX185" s="4438">
        <f t="shared" si="238"/>
        <v>0</v>
      </c>
      <c r="AY185" s="4438">
        <f t="shared" si="239"/>
        <v>0</v>
      </c>
      <c r="AZ185" s="4438">
        <f t="shared" si="240"/>
        <v>0</v>
      </c>
      <c r="BA185" s="4438">
        <f t="shared" si="241"/>
        <v>0</v>
      </c>
      <c r="BB185" s="4438">
        <f t="shared" si="242"/>
        <v>0</v>
      </c>
      <c r="BC185" s="4438">
        <f t="shared" si="243"/>
        <v>0</v>
      </c>
      <c r="BD185" s="4438">
        <f t="shared" si="244"/>
        <v>0</v>
      </c>
      <c r="BE185" s="4438">
        <f t="shared" si="245"/>
        <v>0</v>
      </c>
      <c r="BF185" s="4438">
        <f t="shared" si="246"/>
        <v>0</v>
      </c>
      <c r="BG185" s="4438">
        <f t="shared" si="247"/>
        <v>0</v>
      </c>
      <c r="BH185" s="4438">
        <f t="shared" si="248"/>
        <v>0</v>
      </c>
      <c r="BI185" s="4438">
        <f t="shared" si="249"/>
        <v>0</v>
      </c>
      <c r="BJ185" s="4438">
        <f t="shared" si="250"/>
        <v>0</v>
      </c>
      <c r="BK185" s="4438">
        <f t="shared" si="251"/>
        <v>0</v>
      </c>
      <c r="BL185" s="4438">
        <f t="shared" si="252"/>
        <v>0</v>
      </c>
      <c r="BM185" s="4438">
        <f t="shared" si="253"/>
        <v>0</v>
      </c>
      <c r="BN185" s="4438">
        <f t="shared" si="254"/>
        <v>0</v>
      </c>
      <c r="BO185" s="4438">
        <f t="shared" si="255"/>
        <v>0</v>
      </c>
      <c r="BP185" s="4438">
        <f t="shared" si="256"/>
        <v>0</v>
      </c>
      <c r="BQ185" s="4438">
        <f t="shared" si="257"/>
        <v>0</v>
      </c>
      <c r="BR185" s="4438">
        <f t="shared" si="258"/>
        <v>0</v>
      </c>
      <c r="BS185" s="4438">
        <f t="shared" si="259"/>
        <v>0</v>
      </c>
      <c r="BT185" s="4438">
        <f t="shared" si="260"/>
        <v>0</v>
      </c>
      <c r="BU185" s="4438">
        <f t="shared" si="261"/>
        <v>0</v>
      </c>
      <c r="BV185" s="4438">
        <f t="shared" si="262"/>
        <v>0</v>
      </c>
      <c r="BW185" s="4438">
        <f t="shared" si="263"/>
        <v>0</v>
      </c>
      <c r="BX185" s="4438">
        <f t="shared" si="264"/>
        <v>0</v>
      </c>
      <c r="BY185" s="4438">
        <f t="shared" si="265"/>
        <v>0</v>
      </c>
    </row>
    <row r="186" spans="1:77" s="1292" customFormat="1">
      <c r="A186" s="2573">
        <v>15</v>
      </c>
      <c r="B186" s="2516">
        <v>2040206</v>
      </c>
      <c r="C186" s="2517">
        <v>0.02</v>
      </c>
      <c r="D186" s="2552" t="s">
        <v>421</v>
      </c>
      <c r="E186" s="2640">
        <f t="shared" si="230"/>
        <v>0</v>
      </c>
      <c r="F186" s="1202">
        <f t="shared" si="225"/>
        <v>0</v>
      </c>
      <c r="G186" s="1198">
        <f t="shared" si="225"/>
        <v>0</v>
      </c>
      <c r="H186" s="1198">
        <f t="shared" si="225"/>
        <v>0</v>
      </c>
      <c r="I186" s="1198">
        <f t="shared" si="225"/>
        <v>0</v>
      </c>
      <c r="J186" s="1198">
        <f t="shared" si="225"/>
        <v>0</v>
      </c>
      <c r="K186" s="1203">
        <f t="shared" si="225"/>
        <v>0</v>
      </c>
      <c r="L186" s="2640">
        <f t="shared" si="225"/>
        <v>61</v>
      </c>
      <c r="M186" s="1202">
        <f t="shared" si="226"/>
        <v>79.569999999999993</v>
      </c>
      <c r="N186" s="1198">
        <f t="shared" si="226"/>
        <v>1034.5456764</v>
      </c>
      <c r="O186" s="1198">
        <f t="shared" si="226"/>
        <v>2921.851662</v>
      </c>
      <c r="P186" s="1198">
        <f t="shared" si="226"/>
        <v>4716.1569132000004</v>
      </c>
      <c r="Q186" s="1198">
        <f t="shared" si="226"/>
        <v>4639.0000772000003</v>
      </c>
      <c r="R186" s="1203">
        <f t="shared" si="226"/>
        <v>4566.3932412000004</v>
      </c>
      <c r="S186" s="2640">
        <f t="shared" si="226"/>
        <v>1</v>
      </c>
      <c r="T186" s="1202">
        <f t="shared" si="227"/>
        <v>1</v>
      </c>
      <c r="U186" s="1198">
        <f t="shared" si="227"/>
        <v>1</v>
      </c>
      <c r="V186" s="1198">
        <f t="shared" si="227"/>
        <v>1</v>
      </c>
      <c r="W186" s="1198">
        <f t="shared" si="227"/>
        <v>1</v>
      </c>
      <c r="X186" s="1198">
        <f t="shared" si="227"/>
        <v>1</v>
      </c>
      <c r="Y186" s="1203">
        <f t="shared" si="227"/>
        <v>1</v>
      </c>
      <c r="Z186" s="2640">
        <f t="shared" si="227"/>
        <v>0</v>
      </c>
      <c r="AA186" s="1202">
        <f t="shared" si="228"/>
        <v>0</v>
      </c>
      <c r="AB186" s="1198">
        <f t="shared" si="228"/>
        <v>0</v>
      </c>
      <c r="AC186" s="1198">
        <f t="shared" si="228"/>
        <v>0</v>
      </c>
      <c r="AD186" s="1198">
        <f t="shared" si="228"/>
        <v>0</v>
      </c>
      <c r="AE186" s="1198">
        <f t="shared" si="228"/>
        <v>0</v>
      </c>
      <c r="AF186" s="1203">
        <f t="shared" si="228"/>
        <v>0</v>
      </c>
      <c r="AG186" s="2640">
        <f t="shared" si="228"/>
        <v>0</v>
      </c>
      <c r="AH186" s="1202">
        <f t="shared" si="228"/>
        <v>0</v>
      </c>
      <c r="AI186" s="1198">
        <f t="shared" si="228"/>
        <v>0</v>
      </c>
      <c r="AJ186" s="1198">
        <f t="shared" si="228"/>
        <v>0</v>
      </c>
      <c r="AK186" s="1198">
        <f t="shared" si="228"/>
        <v>0</v>
      </c>
      <c r="AL186" s="1198">
        <f t="shared" si="228"/>
        <v>0</v>
      </c>
      <c r="AM186" s="1203">
        <f t="shared" si="228"/>
        <v>0</v>
      </c>
      <c r="AN186" s="2513"/>
      <c r="AO186" s="2551"/>
      <c r="AP186" s="4422"/>
      <c r="AQ186" s="4438">
        <f t="shared" si="231"/>
        <v>0</v>
      </c>
      <c r="AR186" s="4438">
        <f t="shared" si="232"/>
        <v>0</v>
      </c>
      <c r="AS186" s="4438">
        <f t="shared" si="233"/>
        <v>0</v>
      </c>
      <c r="AT186" s="4438">
        <f t="shared" si="234"/>
        <v>0</v>
      </c>
      <c r="AU186" s="4438">
        <f t="shared" si="235"/>
        <v>0</v>
      </c>
      <c r="AV186" s="4438">
        <f t="shared" si="236"/>
        <v>0</v>
      </c>
      <c r="AW186" s="4438">
        <f t="shared" si="237"/>
        <v>0</v>
      </c>
      <c r="AX186" s="4438">
        <f t="shared" si="238"/>
        <v>31.188804752969329</v>
      </c>
      <c r="AY186" s="4438">
        <f t="shared" si="239"/>
        <v>40.683494986783103</v>
      </c>
      <c r="AZ186" s="4438">
        <f t="shared" si="240"/>
        <v>528.95480506997035</v>
      </c>
      <c r="BA186" s="4438">
        <f t="shared" si="241"/>
        <v>1493.9190328402776</v>
      </c>
      <c r="BB186" s="4438">
        <f t="shared" si="242"/>
        <v>2411.3327401665792</v>
      </c>
      <c r="BC186" s="4438">
        <f t="shared" si="243"/>
        <v>2371.883076340991</v>
      </c>
      <c r="BD186" s="4438">
        <f t="shared" si="244"/>
        <v>2334.7597905748457</v>
      </c>
      <c r="BE186" s="4438">
        <f t="shared" si="245"/>
        <v>0.51129188119621849</v>
      </c>
      <c r="BF186" s="4438">
        <f t="shared" si="246"/>
        <v>0.51129188119621849</v>
      </c>
      <c r="BG186" s="4438">
        <f t="shared" si="247"/>
        <v>0.51129188119621849</v>
      </c>
      <c r="BH186" s="4438">
        <f t="shared" si="248"/>
        <v>0.51129188119621849</v>
      </c>
      <c r="BI186" s="4438">
        <f t="shared" si="249"/>
        <v>0.51129188119621849</v>
      </c>
      <c r="BJ186" s="4438">
        <f t="shared" si="250"/>
        <v>0.51129188119621849</v>
      </c>
      <c r="BK186" s="4438">
        <f t="shared" si="251"/>
        <v>0.51129188119621849</v>
      </c>
      <c r="BL186" s="4438">
        <f t="shared" si="252"/>
        <v>0</v>
      </c>
      <c r="BM186" s="4438">
        <f t="shared" si="253"/>
        <v>0</v>
      </c>
      <c r="BN186" s="4438">
        <f t="shared" si="254"/>
        <v>0</v>
      </c>
      <c r="BO186" s="4438">
        <f t="shared" si="255"/>
        <v>0</v>
      </c>
      <c r="BP186" s="4438">
        <f t="shared" si="256"/>
        <v>0</v>
      </c>
      <c r="BQ186" s="4438">
        <f t="shared" si="257"/>
        <v>0</v>
      </c>
      <c r="BR186" s="4438">
        <f t="shared" si="258"/>
        <v>0</v>
      </c>
      <c r="BS186" s="4438">
        <f t="shared" si="259"/>
        <v>0</v>
      </c>
      <c r="BT186" s="4438">
        <f t="shared" si="260"/>
        <v>0</v>
      </c>
      <c r="BU186" s="4438">
        <f t="shared" si="261"/>
        <v>0</v>
      </c>
      <c r="BV186" s="4438">
        <f t="shared" si="262"/>
        <v>0</v>
      </c>
      <c r="BW186" s="4438">
        <f t="shared" si="263"/>
        <v>0</v>
      </c>
      <c r="BX186" s="4438">
        <f t="shared" si="264"/>
        <v>0</v>
      </c>
      <c r="BY186" s="4438">
        <f t="shared" si="265"/>
        <v>0</v>
      </c>
    </row>
    <row r="187" spans="1:77" s="1292" customFormat="1" ht="24">
      <c r="A187" s="2573">
        <v>16</v>
      </c>
      <c r="B187" s="2516">
        <v>2040207</v>
      </c>
      <c r="C187" s="2517">
        <v>0.04</v>
      </c>
      <c r="D187" s="2552" t="s">
        <v>422</v>
      </c>
      <c r="E187" s="2640">
        <f t="shared" si="230"/>
        <v>48</v>
      </c>
      <c r="F187" s="1202">
        <f t="shared" si="225"/>
        <v>153.63999999999999</v>
      </c>
      <c r="G187" s="1198">
        <f t="shared" si="225"/>
        <v>1852.8375396399999</v>
      </c>
      <c r="H187" s="1198">
        <f t="shared" si="225"/>
        <v>5142.1098622</v>
      </c>
      <c r="I187" s="1198">
        <f t="shared" si="225"/>
        <v>8108.7966713200003</v>
      </c>
      <c r="J187" s="1198">
        <f t="shared" si="225"/>
        <v>7793.8628877200008</v>
      </c>
      <c r="K187" s="1203">
        <f t="shared" si="225"/>
        <v>7470.9091041200008</v>
      </c>
      <c r="L187" s="2640">
        <f t="shared" si="225"/>
        <v>0</v>
      </c>
      <c r="M187" s="1202">
        <f t="shared" si="226"/>
        <v>4.9000000000000004</v>
      </c>
      <c r="N187" s="1198">
        <f t="shared" si="226"/>
        <v>58.6</v>
      </c>
      <c r="O187" s="1198">
        <f t="shared" si="226"/>
        <v>56.2</v>
      </c>
      <c r="P187" s="1198">
        <f t="shared" si="226"/>
        <v>53.8</v>
      </c>
      <c r="Q187" s="1198">
        <f t="shared" si="226"/>
        <v>51.4</v>
      </c>
      <c r="R187" s="1203">
        <f t="shared" si="226"/>
        <v>49</v>
      </c>
      <c r="S187" s="2640">
        <f t="shared" si="226"/>
        <v>92</v>
      </c>
      <c r="T187" s="1202">
        <f t="shared" si="227"/>
        <v>91.14</v>
      </c>
      <c r="U187" s="1198">
        <f t="shared" si="227"/>
        <v>1116.0317531199998</v>
      </c>
      <c r="V187" s="1198">
        <f t="shared" si="227"/>
        <v>3125.7796776</v>
      </c>
      <c r="W187" s="1198">
        <f t="shared" si="227"/>
        <v>5068.1964385600004</v>
      </c>
      <c r="X187" s="1198">
        <f t="shared" si="227"/>
        <v>4853.4585297600006</v>
      </c>
      <c r="Y187" s="1203">
        <f t="shared" si="227"/>
        <v>4636.6806209599999</v>
      </c>
      <c r="Z187" s="2640">
        <f t="shared" si="227"/>
        <v>0</v>
      </c>
      <c r="AA187" s="1202">
        <f t="shared" si="228"/>
        <v>0</v>
      </c>
      <c r="AB187" s="1198">
        <f t="shared" si="228"/>
        <v>0</v>
      </c>
      <c r="AC187" s="1198">
        <f t="shared" si="228"/>
        <v>0</v>
      </c>
      <c r="AD187" s="1198">
        <f t="shared" si="228"/>
        <v>0</v>
      </c>
      <c r="AE187" s="1198">
        <f t="shared" si="228"/>
        <v>0</v>
      </c>
      <c r="AF187" s="1203">
        <f t="shared" si="228"/>
        <v>0</v>
      </c>
      <c r="AG187" s="2640">
        <f t="shared" si="228"/>
        <v>0</v>
      </c>
      <c r="AH187" s="1202">
        <f t="shared" si="228"/>
        <v>0</v>
      </c>
      <c r="AI187" s="1198">
        <f t="shared" si="228"/>
        <v>0</v>
      </c>
      <c r="AJ187" s="1198">
        <f t="shared" si="228"/>
        <v>0</v>
      </c>
      <c r="AK187" s="1198">
        <f t="shared" si="228"/>
        <v>0</v>
      </c>
      <c r="AL187" s="1198">
        <f t="shared" si="228"/>
        <v>0</v>
      </c>
      <c r="AM187" s="1203">
        <f t="shared" si="228"/>
        <v>0</v>
      </c>
      <c r="AN187" s="2513"/>
      <c r="AO187" s="2551"/>
      <c r="AP187" s="4422"/>
      <c r="AQ187" s="4438">
        <f t="shared" si="231"/>
        <v>24.542010297418489</v>
      </c>
      <c r="AR187" s="4438">
        <f t="shared" si="232"/>
        <v>78.554884626987004</v>
      </c>
      <c r="AS187" s="4438">
        <f t="shared" si="233"/>
        <v>947.34079119350861</v>
      </c>
      <c r="AT187" s="4438">
        <f t="shared" si="234"/>
        <v>2629.1190247618661</v>
      </c>
      <c r="AU187" s="4438">
        <f t="shared" si="235"/>
        <v>4145.9619043168377</v>
      </c>
      <c r="AV187" s="4438">
        <f t="shared" si="236"/>
        <v>3984.938817647751</v>
      </c>
      <c r="AW187" s="4438">
        <f t="shared" si="237"/>
        <v>3819.8151700914705</v>
      </c>
      <c r="AX187" s="4438">
        <f t="shared" si="238"/>
        <v>0</v>
      </c>
      <c r="AY187" s="4438">
        <f t="shared" si="239"/>
        <v>2.5053302178614709</v>
      </c>
      <c r="AZ187" s="4438">
        <f t="shared" si="240"/>
        <v>29.961704238098406</v>
      </c>
      <c r="BA187" s="4438">
        <f t="shared" si="241"/>
        <v>28.73460372322748</v>
      </c>
      <c r="BB187" s="4438">
        <f t="shared" si="242"/>
        <v>27.507503208356553</v>
      </c>
      <c r="BC187" s="4438">
        <f t="shared" si="243"/>
        <v>26.28040269348563</v>
      </c>
      <c r="BD187" s="4438">
        <f t="shared" si="244"/>
        <v>25.053302178614707</v>
      </c>
      <c r="BE187" s="4438">
        <f t="shared" si="245"/>
        <v>47.038853070052099</v>
      </c>
      <c r="BF187" s="4438">
        <f t="shared" si="246"/>
        <v>46.599142052223357</v>
      </c>
      <c r="BG187" s="4438">
        <f t="shared" si="247"/>
        <v>570.61797452743838</v>
      </c>
      <c r="BH187" s="4438">
        <f t="shared" si="248"/>
        <v>1598.1857715650133</v>
      </c>
      <c r="BI187" s="4438">
        <f t="shared" si="249"/>
        <v>2591.3276913433174</v>
      </c>
      <c r="BJ187" s="4438">
        <f t="shared" si="250"/>
        <v>2481.5339419888237</v>
      </c>
      <c r="BK187" s="4438">
        <f t="shared" si="251"/>
        <v>2370.6971571966887</v>
      </c>
      <c r="BL187" s="4438">
        <f t="shared" si="252"/>
        <v>0</v>
      </c>
      <c r="BM187" s="4438">
        <f t="shared" si="253"/>
        <v>0</v>
      </c>
      <c r="BN187" s="4438">
        <f t="shared" si="254"/>
        <v>0</v>
      </c>
      <c r="BO187" s="4438">
        <f t="shared" si="255"/>
        <v>0</v>
      </c>
      <c r="BP187" s="4438">
        <f t="shared" si="256"/>
        <v>0</v>
      </c>
      <c r="BQ187" s="4438">
        <f t="shared" si="257"/>
        <v>0</v>
      </c>
      <c r="BR187" s="4438">
        <f t="shared" si="258"/>
        <v>0</v>
      </c>
      <c r="BS187" s="4438">
        <f t="shared" si="259"/>
        <v>0</v>
      </c>
      <c r="BT187" s="4438">
        <f t="shared" si="260"/>
        <v>0</v>
      </c>
      <c r="BU187" s="4438">
        <f t="shared" si="261"/>
        <v>0</v>
      </c>
      <c r="BV187" s="4438">
        <f t="shared" si="262"/>
        <v>0</v>
      </c>
      <c r="BW187" s="4438">
        <f t="shared" si="263"/>
        <v>0</v>
      </c>
      <c r="BX187" s="4438">
        <f t="shared" si="264"/>
        <v>0</v>
      </c>
      <c r="BY187" s="4438">
        <f t="shared" si="265"/>
        <v>0</v>
      </c>
    </row>
    <row r="188" spans="1:77" s="1292" customFormat="1">
      <c r="A188" s="2573">
        <v>17</v>
      </c>
      <c r="B188" s="2516">
        <v>2040208</v>
      </c>
      <c r="C188" s="2517">
        <v>0.04</v>
      </c>
      <c r="D188" s="2552" t="s">
        <v>423</v>
      </c>
      <c r="E188" s="2640">
        <f t="shared" si="230"/>
        <v>3</v>
      </c>
      <c r="F188" s="1202">
        <f t="shared" ref="F188:T189" si="266">F128-F168</f>
        <v>3</v>
      </c>
      <c r="G188" s="1198">
        <f t="shared" si="266"/>
        <v>3</v>
      </c>
      <c r="H188" s="1198">
        <f t="shared" si="266"/>
        <v>3</v>
      </c>
      <c r="I188" s="1198">
        <f t="shared" si="266"/>
        <v>3</v>
      </c>
      <c r="J188" s="1198">
        <f t="shared" si="266"/>
        <v>3.4000000000000004</v>
      </c>
      <c r="K188" s="1203">
        <f t="shared" si="266"/>
        <v>3.8000000000000007</v>
      </c>
      <c r="L188" s="2640">
        <f t="shared" si="266"/>
        <v>0</v>
      </c>
      <c r="M188" s="1202">
        <f t="shared" si="266"/>
        <v>0</v>
      </c>
      <c r="N188" s="1198">
        <f t="shared" si="266"/>
        <v>0</v>
      </c>
      <c r="O188" s="1198">
        <f t="shared" si="266"/>
        <v>0</v>
      </c>
      <c r="P188" s="1198">
        <f t="shared" si="266"/>
        <v>0</v>
      </c>
      <c r="Q188" s="1198">
        <f t="shared" si="266"/>
        <v>0</v>
      </c>
      <c r="R188" s="1203">
        <f t="shared" si="266"/>
        <v>0</v>
      </c>
      <c r="S188" s="2640">
        <f t="shared" si="266"/>
        <v>0</v>
      </c>
      <c r="T188" s="1202">
        <f t="shared" si="266"/>
        <v>0</v>
      </c>
      <c r="U188" s="1198">
        <f t="shared" ref="T188:AM190" si="267">U128-U168</f>
        <v>0</v>
      </c>
      <c r="V188" s="1198">
        <f t="shared" si="267"/>
        <v>0</v>
      </c>
      <c r="W188" s="1198">
        <f t="shared" si="267"/>
        <v>0</v>
      </c>
      <c r="X188" s="1198">
        <f t="shared" si="267"/>
        <v>0</v>
      </c>
      <c r="Y188" s="1203">
        <f t="shared" si="267"/>
        <v>0</v>
      </c>
      <c r="Z188" s="2640">
        <f t="shared" si="267"/>
        <v>0</v>
      </c>
      <c r="AA188" s="1202">
        <f t="shared" si="267"/>
        <v>0</v>
      </c>
      <c r="AB188" s="1198">
        <f t="shared" si="267"/>
        <v>0</v>
      </c>
      <c r="AC188" s="1198">
        <f t="shared" si="267"/>
        <v>0</v>
      </c>
      <c r="AD188" s="1198">
        <f t="shared" si="267"/>
        <v>0</v>
      </c>
      <c r="AE188" s="1198">
        <f t="shared" si="267"/>
        <v>0</v>
      </c>
      <c r="AF188" s="1203">
        <f t="shared" si="267"/>
        <v>0</v>
      </c>
      <c r="AG188" s="2640">
        <f t="shared" si="267"/>
        <v>0</v>
      </c>
      <c r="AH188" s="1202">
        <f t="shared" si="267"/>
        <v>0</v>
      </c>
      <c r="AI188" s="1198">
        <f t="shared" si="267"/>
        <v>0</v>
      </c>
      <c r="AJ188" s="1198">
        <f t="shared" si="267"/>
        <v>0</v>
      </c>
      <c r="AK188" s="1198">
        <f t="shared" si="267"/>
        <v>0</v>
      </c>
      <c r="AL188" s="1198">
        <f t="shared" si="267"/>
        <v>0</v>
      </c>
      <c r="AM188" s="1203">
        <f t="shared" si="267"/>
        <v>0</v>
      </c>
      <c r="AN188" s="2513"/>
      <c r="AO188" s="2551"/>
      <c r="AP188" s="4422"/>
      <c r="AQ188" s="4438">
        <f t="shared" si="231"/>
        <v>1.5338756435886556</v>
      </c>
      <c r="AR188" s="4438">
        <f t="shared" si="232"/>
        <v>1.5338756435886556</v>
      </c>
      <c r="AS188" s="4438">
        <f t="shared" si="233"/>
        <v>1.5338756435886556</v>
      </c>
      <c r="AT188" s="4438">
        <f t="shared" si="234"/>
        <v>1.5338756435886556</v>
      </c>
      <c r="AU188" s="4438">
        <f t="shared" si="235"/>
        <v>1.5338756435886556</v>
      </c>
      <c r="AV188" s="4438">
        <f t="shared" si="236"/>
        <v>1.738392396067143</v>
      </c>
      <c r="AW188" s="4438">
        <f t="shared" si="237"/>
        <v>1.9429091485456307</v>
      </c>
      <c r="AX188" s="4438">
        <f t="shared" si="238"/>
        <v>0</v>
      </c>
      <c r="AY188" s="4438">
        <f t="shared" si="239"/>
        <v>0</v>
      </c>
      <c r="AZ188" s="4438">
        <f t="shared" si="240"/>
        <v>0</v>
      </c>
      <c r="BA188" s="4438">
        <f t="shared" si="241"/>
        <v>0</v>
      </c>
      <c r="BB188" s="4438">
        <f t="shared" si="242"/>
        <v>0</v>
      </c>
      <c r="BC188" s="4438">
        <f t="shared" si="243"/>
        <v>0</v>
      </c>
      <c r="BD188" s="4438">
        <f t="shared" si="244"/>
        <v>0</v>
      </c>
      <c r="BE188" s="4438">
        <f t="shared" si="245"/>
        <v>0</v>
      </c>
      <c r="BF188" s="4438">
        <f t="shared" si="246"/>
        <v>0</v>
      </c>
      <c r="BG188" s="4438">
        <f t="shared" si="247"/>
        <v>0</v>
      </c>
      <c r="BH188" s="4438">
        <f t="shared" si="248"/>
        <v>0</v>
      </c>
      <c r="BI188" s="4438">
        <f t="shared" si="249"/>
        <v>0</v>
      </c>
      <c r="BJ188" s="4438">
        <f t="shared" si="250"/>
        <v>0</v>
      </c>
      <c r="BK188" s="4438">
        <f t="shared" si="251"/>
        <v>0</v>
      </c>
      <c r="BL188" s="4438">
        <f t="shared" si="252"/>
        <v>0</v>
      </c>
      <c r="BM188" s="4438">
        <f t="shared" si="253"/>
        <v>0</v>
      </c>
      <c r="BN188" s="4438">
        <f t="shared" si="254"/>
        <v>0</v>
      </c>
      <c r="BO188" s="4438">
        <f t="shared" si="255"/>
        <v>0</v>
      </c>
      <c r="BP188" s="4438">
        <f t="shared" si="256"/>
        <v>0</v>
      </c>
      <c r="BQ188" s="4438">
        <f t="shared" si="257"/>
        <v>0</v>
      </c>
      <c r="BR188" s="4438">
        <f t="shared" si="258"/>
        <v>0</v>
      </c>
      <c r="BS188" s="4438">
        <f t="shared" si="259"/>
        <v>0</v>
      </c>
      <c r="BT188" s="4438">
        <f t="shared" si="260"/>
        <v>0</v>
      </c>
      <c r="BU188" s="4438">
        <f t="shared" si="261"/>
        <v>0</v>
      </c>
      <c r="BV188" s="4438">
        <f t="shared" si="262"/>
        <v>0</v>
      </c>
      <c r="BW188" s="4438">
        <f t="shared" si="263"/>
        <v>0</v>
      </c>
      <c r="BX188" s="4438">
        <f t="shared" si="264"/>
        <v>0</v>
      </c>
      <c r="BY188" s="4438">
        <f t="shared" si="265"/>
        <v>0</v>
      </c>
    </row>
    <row r="189" spans="1:77" s="1292" customFormat="1">
      <c r="A189" s="2573">
        <v>18</v>
      </c>
      <c r="B189" s="2574" t="s">
        <v>1051</v>
      </c>
      <c r="C189" s="2517">
        <v>0.04</v>
      </c>
      <c r="D189" s="2571" t="s">
        <v>434</v>
      </c>
      <c r="E189" s="2640">
        <f t="shared" si="230"/>
        <v>17</v>
      </c>
      <c r="F189" s="1202">
        <f t="shared" si="266"/>
        <v>16</v>
      </c>
      <c r="G189" s="1198">
        <f t="shared" si="266"/>
        <v>15</v>
      </c>
      <c r="H189" s="1198">
        <f t="shared" si="266"/>
        <v>14</v>
      </c>
      <c r="I189" s="1198">
        <f t="shared" si="266"/>
        <v>13</v>
      </c>
      <c r="J189" s="1198">
        <f t="shared" si="266"/>
        <v>12</v>
      </c>
      <c r="K189" s="1203">
        <f t="shared" si="266"/>
        <v>11</v>
      </c>
      <c r="L189" s="2640">
        <f t="shared" si="266"/>
        <v>0</v>
      </c>
      <c r="M189" s="1202">
        <f t="shared" si="266"/>
        <v>0</v>
      </c>
      <c r="N189" s="1198">
        <f t="shared" si="266"/>
        <v>0</v>
      </c>
      <c r="O189" s="1198">
        <f t="shared" si="266"/>
        <v>0</v>
      </c>
      <c r="P189" s="1198">
        <f t="shared" si="266"/>
        <v>0</v>
      </c>
      <c r="Q189" s="1198">
        <f t="shared" si="266"/>
        <v>0</v>
      </c>
      <c r="R189" s="1203">
        <f t="shared" si="266"/>
        <v>0</v>
      </c>
      <c r="S189" s="2640">
        <f t="shared" si="266"/>
        <v>12</v>
      </c>
      <c r="T189" s="1202">
        <f t="shared" si="267"/>
        <v>11.76</v>
      </c>
      <c r="U189" s="1198">
        <f t="shared" si="267"/>
        <v>11.52</v>
      </c>
      <c r="V189" s="1198">
        <f t="shared" si="267"/>
        <v>11.28</v>
      </c>
      <c r="W189" s="1198">
        <f t="shared" si="267"/>
        <v>11.04</v>
      </c>
      <c r="X189" s="1198">
        <f t="shared" si="267"/>
        <v>10.8</v>
      </c>
      <c r="Y189" s="1203">
        <f t="shared" si="267"/>
        <v>10.56</v>
      </c>
      <c r="Z189" s="2640">
        <f t="shared" si="267"/>
        <v>0</v>
      </c>
      <c r="AA189" s="1202">
        <f t="shared" si="267"/>
        <v>0</v>
      </c>
      <c r="AB189" s="1198">
        <f t="shared" si="267"/>
        <v>0</v>
      </c>
      <c r="AC189" s="1198">
        <f t="shared" si="267"/>
        <v>0</v>
      </c>
      <c r="AD189" s="1198">
        <f t="shared" si="267"/>
        <v>0</v>
      </c>
      <c r="AE189" s="1198">
        <f t="shared" si="267"/>
        <v>0</v>
      </c>
      <c r="AF189" s="1203">
        <f t="shared" si="267"/>
        <v>0</v>
      </c>
      <c r="AG189" s="2640">
        <f t="shared" si="267"/>
        <v>0</v>
      </c>
      <c r="AH189" s="1202">
        <f t="shared" si="267"/>
        <v>0</v>
      </c>
      <c r="AI189" s="1198">
        <f t="shared" si="267"/>
        <v>0</v>
      </c>
      <c r="AJ189" s="1198">
        <f t="shared" si="267"/>
        <v>0</v>
      </c>
      <c r="AK189" s="1198">
        <f t="shared" si="267"/>
        <v>0</v>
      </c>
      <c r="AL189" s="1198">
        <f t="shared" si="267"/>
        <v>0</v>
      </c>
      <c r="AM189" s="1203">
        <f t="shared" si="267"/>
        <v>0</v>
      </c>
      <c r="AN189" s="2513"/>
      <c r="AO189" s="2551"/>
      <c r="AP189" s="4422"/>
      <c r="AQ189" s="4438">
        <f t="shared" si="231"/>
        <v>8.691961980335714</v>
      </c>
      <c r="AR189" s="4438">
        <f t="shared" si="232"/>
        <v>8.1806700991394958</v>
      </c>
      <c r="AS189" s="4438">
        <f t="shared" si="233"/>
        <v>7.6693782179432777</v>
      </c>
      <c r="AT189" s="4438">
        <f t="shared" si="234"/>
        <v>7.1580863367470586</v>
      </c>
      <c r="AU189" s="4438">
        <f t="shared" si="235"/>
        <v>6.6467944555508405</v>
      </c>
      <c r="AV189" s="4438">
        <f t="shared" si="236"/>
        <v>6.1355025743546223</v>
      </c>
      <c r="AW189" s="4438">
        <f t="shared" si="237"/>
        <v>5.6242106931584033</v>
      </c>
      <c r="AX189" s="4438">
        <f t="shared" si="238"/>
        <v>0</v>
      </c>
      <c r="AY189" s="4438">
        <f t="shared" si="239"/>
        <v>0</v>
      </c>
      <c r="AZ189" s="4438">
        <f t="shared" si="240"/>
        <v>0</v>
      </c>
      <c r="BA189" s="4438">
        <f t="shared" si="241"/>
        <v>0</v>
      </c>
      <c r="BB189" s="4438">
        <f t="shared" si="242"/>
        <v>0</v>
      </c>
      <c r="BC189" s="4438">
        <f t="shared" si="243"/>
        <v>0</v>
      </c>
      <c r="BD189" s="4438">
        <f t="shared" si="244"/>
        <v>0</v>
      </c>
      <c r="BE189" s="4438">
        <f t="shared" si="245"/>
        <v>6.1355025743546223</v>
      </c>
      <c r="BF189" s="4438">
        <f t="shared" si="246"/>
        <v>6.012792522867529</v>
      </c>
      <c r="BG189" s="4438">
        <f t="shared" si="247"/>
        <v>5.8900824713804365</v>
      </c>
      <c r="BH189" s="4438">
        <f t="shared" si="248"/>
        <v>5.767372419893344</v>
      </c>
      <c r="BI189" s="4438">
        <f t="shared" si="249"/>
        <v>5.6446623684062516</v>
      </c>
      <c r="BJ189" s="4438">
        <f t="shared" si="250"/>
        <v>5.52195231691916</v>
      </c>
      <c r="BK189" s="4438">
        <f t="shared" si="251"/>
        <v>5.3992422654320675</v>
      </c>
      <c r="BL189" s="4438">
        <f t="shared" si="252"/>
        <v>0</v>
      </c>
      <c r="BM189" s="4438">
        <f t="shared" si="253"/>
        <v>0</v>
      </c>
      <c r="BN189" s="4438">
        <f t="shared" si="254"/>
        <v>0</v>
      </c>
      <c r="BO189" s="4438">
        <f t="shared" si="255"/>
        <v>0</v>
      </c>
      <c r="BP189" s="4438">
        <f t="shared" si="256"/>
        <v>0</v>
      </c>
      <c r="BQ189" s="4438">
        <f t="shared" si="257"/>
        <v>0</v>
      </c>
      <c r="BR189" s="4438">
        <f t="shared" si="258"/>
        <v>0</v>
      </c>
      <c r="BS189" s="4438">
        <f t="shared" si="259"/>
        <v>0</v>
      </c>
      <c r="BT189" s="4438">
        <f t="shared" si="260"/>
        <v>0</v>
      </c>
      <c r="BU189" s="4438">
        <f t="shared" si="261"/>
        <v>0</v>
      </c>
      <c r="BV189" s="4438">
        <f t="shared" si="262"/>
        <v>0</v>
      </c>
      <c r="BW189" s="4438">
        <f t="shared" si="263"/>
        <v>0</v>
      </c>
      <c r="BX189" s="4438">
        <f t="shared" si="264"/>
        <v>0</v>
      </c>
      <c r="BY189" s="4438">
        <f t="shared" si="265"/>
        <v>0</v>
      </c>
    </row>
    <row r="190" spans="1:77" s="1292" customFormat="1" ht="24.75" thickBot="1">
      <c r="A190" s="2573">
        <v>19</v>
      </c>
      <c r="B190" s="2516">
        <v>215</v>
      </c>
      <c r="C190" s="2522">
        <v>0.2</v>
      </c>
      <c r="D190" s="2552" t="s">
        <v>679</v>
      </c>
      <c r="E190" s="2640">
        <f t="shared" si="230"/>
        <v>0</v>
      </c>
      <c r="F190" s="1204">
        <f t="shared" ref="F190:S190" si="268">F130-F170</f>
        <v>12.841015625000001</v>
      </c>
      <c r="G190" s="1199">
        <f t="shared" si="268"/>
        <v>8.5259022333313226</v>
      </c>
      <c r="H190" s="1199">
        <f t="shared" si="268"/>
        <v>4.2823794033898235</v>
      </c>
      <c r="I190" s="1199">
        <f t="shared" si="268"/>
        <v>9.2014331053764664E-2</v>
      </c>
      <c r="J190" s="1199">
        <f t="shared" si="268"/>
        <v>-4.1127653500243824</v>
      </c>
      <c r="K190" s="1205">
        <f t="shared" si="268"/>
        <v>-8.3637761384955844</v>
      </c>
      <c r="L190" s="2640">
        <f t="shared" si="268"/>
        <v>0</v>
      </c>
      <c r="M190" s="1204">
        <f t="shared" si="268"/>
        <v>22.697656250000001</v>
      </c>
      <c r="N190" s="1199">
        <f t="shared" si="268"/>
        <v>18.285576476508172</v>
      </c>
      <c r="O190" s="1199">
        <f t="shared" si="268"/>
        <v>13.957249063075583</v>
      </c>
      <c r="P190" s="1199">
        <f t="shared" si="268"/>
        <v>9.6500149091731444</v>
      </c>
      <c r="Q190" s="1199">
        <f t="shared" si="268"/>
        <v>5.3584535048940154</v>
      </c>
      <c r="R190" s="1205">
        <f t="shared" si="268"/>
        <v>1.0832441855200088</v>
      </c>
      <c r="S190" s="2640">
        <f t="shared" si="268"/>
        <v>0</v>
      </c>
      <c r="T190" s="1204">
        <f t="shared" si="267"/>
        <v>4.9613281249999996</v>
      </c>
      <c r="U190" s="1199">
        <f t="shared" si="267"/>
        <v>4.6885212901605033</v>
      </c>
      <c r="V190" s="1199">
        <f t="shared" si="267"/>
        <v>4.2603715335345917</v>
      </c>
      <c r="W190" s="1199">
        <f t="shared" si="267"/>
        <v>3.75797075977309</v>
      </c>
      <c r="X190" s="1199">
        <f t="shared" si="267"/>
        <v>3.2543118451303643</v>
      </c>
      <c r="Y190" s="1205">
        <f t="shared" si="267"/>
        <v>2.7805319529755752</v>
      </c>
      <c r="Z190" s="2640">
        <f t="shared" si="267"/>
        <v>0</v>
      </c>
      <c r="AA190" s="1204">
        <f t="shared" si="267"/>
        <v>0</v>
      </c>
      <c r="AB190" s="1199">
        <f t="shared" si="267"/>
        <v>0</v>
      </c>
      <c r="AC190" s="1199">
        <f t="shared" si="267"/>
        <v>0</v>
      </c>
      <c r="AD190" s="1199">
        <f t="shared" si="267"/>
        <v>0</v>
      </c>
      <c r="AE190" s="1199">
        <f t="shared" si="267"/>
        <v>0</v>
      </c>
      <c r="AF190" s="1205">
        <f t="shared" si="267"/>
        <v>0</v>
      </c>
      <c r="AG190" s="2640">
        <f t="shared" si="267"/>
        <v>0</v>
      </c>
      <c r="AH190" s="1204">
        <f t="shared" si="267"/>
        <v>0</v>
      </c>
      <c r="AI190" s="1199">
        <f t="shared" si="267"/>
        <v>0</v>
      </c>
      <c r="AJ190" s="1199">
        <f t="shared" si="267"/>
        <v>0</v>
      </c>
      <c r="AK190" s="1199">
        <f t="shared" si="267"/>
        <v>0</v>
      </c>
      <c r="AL190" s="1199">
        <f t="shared" si="267"/>
        <v>0</v>
      </c>
      <c r="AM190" s="1205">
        <f t="shared" si="267"/>
        <v>0</v>
      </c>
      <c r="AN190" s="2513"/>
      <c r="AO190" s="2551"/>
      <c r="AP190" s="4422"/>
      <c r="AQ190" s="4438">
        <f t="shared" si="231"/>
        <v>0</v>
      </c>
      <c r="AR190" s="4438">
        <f t="shared" si="232"/>
        <v>6.5655070353762861</v>
      </c>
      <c r="AS190" s="4438">
        <f t="shared" si="233"/>
        <v>4.3592245917750123</v>
      </c>
      <c r="AT190" s="4438">
        <f t="shared" si="234"/>
        <v>2.1895458211551229</v>
      </c>
      <c r="AU190" s="4438">
        <f t="shared" si="235"/>
        <v>4.704618042149096E-2</v>
      </c>
      <c r="AV190" s="4438">
        <f t="shared" si="236"/>
        <v>-2.1028235327325904</v>
      </c>
      <c r="AW190" s="4438">
        <f t="shared" si="237"/>
        <v>-4.2763308357554513</v>
      </c>
      <c r="AX190" s="4438">
        <f t="shared" si="238"/>
        <v>0</v>
      </c>
      <c r="AY190" s="4438">
        <f t="shared" si="239"/>
        <v>11.605127362807607</v>
      </c>
      <c r="AZ190" s="4438">
        <f t="shared" si="240"/>
        <v>9.3492667954311841</v>
      </c>
      <c r="BA190" s="4438">
        <f t="shared" si="241"/>
        <v>7.1362281297840733</v>
      </c>
      <c r="BB190" s="4438">
        <f t="shared" si="242"/>
        <v>4.9339742764826928</v>
      </c>
      <c r="BC190" s="4438">
        <f t="shared" si="243"/>
        <v>2.7397337728197315</v>
      </c>
      <c r="BD190" s="4438">
        <f t="shared" si="244"/>
        <v>0.55385395740939081</v>
      </c>
      <c r="BE190" s="4438">
        <f t="shared" si="245"/>
        <v>0</v>
      </c>
      <c r="BF190" s="4438">
        <f t="shared" si="246"/>
        <v>2.5366867902629573</v>
      </c>
      <c r="BG190" s="4438">
        <f t="shared" si="247"/>
        <v>2.3972028704746853</v>
      </c>
      <c r="BH190" s="4438">
        <f t="shared" si="248"/>
        <v>2.1782933759757195</v>
      </c>
      <c r="BI190" s="4438">
        <f t="shared" si="249"/>
        <v>1.9214199392447657</v>
      </c>
      <c r="BJ190" s="4438">
        <f t="shared" si="250"/>
        <v>1.6639032252958408</v>
      </c>
      <c r="BK190" s="4438">
        <f t="shared" si="251"/>
        <v>1.4216634129630772</v>
      </c>
      <c r="BL190" s="4438">
        <f t="shared" si="252"/>
        <v>0</v>
      </c>
      <c r="BM190" s="4438">
        <f t="shared" si="253"/>
        <v>0</v>
      </c>
      <c r="BN190" s="4438">
        <f t="shared" si="254"/>
        <v>0</v>
      </c>
      <c r="BO190" s="4438">
        <f t="shared" si="255"/>
        <v>0</v>
      </c>
      <c r="BP190" s="4438">
        <f t="shared" si="256"/>
        <v>0</v>
      </c>
      <c r="BQ190" s="4438">
        <f t="shared" si="257"/>
        <v>0</v>
      </c>
      <c r="BR190" s="4438">
        <f t="shared" si="258"/>
        <v>0</v>
      </c>
      <c r="BS190" s="4438">
        <f t="shared" si="259"/>
        <v>0</v>
      </c>
      <c r="BT190" s="4438">
        <f t="shared" si="260"/>
        <v>0</v>
      </c>
      <c r="BU190" s="4438">
        <f t="shared" si="261"/>
        <v>0</v>
      </c>
      <c r="BV190" s="4438">
        <f t="shared" si="262"/>
        <v>0</v>
      </c>
      <c r="BW190" s="4438">
        <f t="shared" si="263"/>
        <v>0</v>
      </c>
      <c r="BX190" s="4438">
        <f t="shared" si="264"/>
        <v>0</v>
      </c>
      <c r="BY190" s="4438">
        <f t="shared" si="265"/>
        <v>0</v>
      </c>
    </row>
    <row r="191" spans="1:77" ht="36.75" thickBot="1">
      <c r="A191" s="2568" t="s">
        <v>424</v>
      </c>
      <c r="B191" s="2568"/>
      <c r="C191" s="2568"/>
      <c r="D191" s="2569" t="s">
        <v>645</v>
      </c>
      <c r="E191" s="2629"/>
      <c r="F191" s="2630"/>
      <c r="G191" s="2495"/>
      <c r="H191" s="2495"/>
      <c r="I191" s="2495"/>
      <c r="J191" s="2495"/>
      <c r="K191" s="2631"/>
      <c r="L191" s="2629"/>
      <c r="M191" s="2630"/>
      <c r="N191" s="2495"/>
      <c r="O191" s="2495"/>
      <c r="P191" s="2495"/>
      <c r="Q191" s="2495"/>
      <c r="R191" s="2631"/>
      <c r="S191" s="2629"/>
      <c r="T191" s="2630"/>
      <c r="U191" s="2495"/>
      <c r="V191" s="2495"/>
      <c r="W191" s="2495"/>
      <c r="X191" s="2495"/>
      <c r="Y191" s="2631"/>
      <c r="Z191" s="2629"/>
      <c r="AA191" s="2630"/>
      <c r="AB191" s="2495"/>
      <c r="AC191" s="2495"/>
      <c r="AD191" s="2495"/>
      <c r="AE191" s="2495"/>
      <c r="AF191" s="2631"/>
      <c r="AG191" s="2629"/>
      <c r="AH191" s="2630"/>
      <c r="AI191" s="2495"/>
      <c r="AJ191" s="2495"/>
      <c r="AK191" s="2495"/>
      <c r="AL191" s="2495"/>
      <c r="AM191" s="2631"/>
      <c r="AN191" s="2570"/>
      <c r="AO191" s="2549"/>
      <c r="AP191" s="4422"/>
    </row>
    <row r="192" spans="1:77" s="1292" customFormat="1" ht="13.5" thickBot="1">
      <c r="A192" s="2501" t="s">
        <v>205</v>
      </c>
      <c r="B192" s="2502"/>
      <c r="C192" s="2502"/>
      <c r="D192" s="2502" t="s">
        <v>334</v>
      </c>
      <c r="E192" s="1220">
        <f t="shared" ref="E192" si="269">SUM(E193:E213)</f>
        <v>96830</v>
      </c>
      <c r="F192" s="2632">
        <f t="shared" ref="F192:AM192" si="270">SUM(F193:F213)</f>
        <v>96830</v>
      </c>
      <c r="G192" s="1121">
        <f t="shared" si="270"/>
        <v>96830</v>
      </c>
      <c r="H192" s="1121">
        <f t="shared" si="270"/>
        <v>96830</v>
      </c>
      <c r="I192" s="1122">
        <f t="shared" si="270"/>
        <v>96830</v>
      </c>
      <c r="J192" s="1121">
        <f t="shared" si="270"/>
        <v>96830</v>
      </c>
      <c r="K192" s="1121">
        <f t="shared" si="270"/>
        <v>96830</v>
      </c>
      <c r="L192" s="1220">
        <f t="shared" si="270"/>
        <v>98840</v>
      </c>
      <c r="M192" s="2632">
        <f t="shared" si="270"/>
        <v>98840</v>
      </c>
      <c r="N192" s="1121">
        <f t="shared" si="270"/>
        <v>98840</v>
      </c>
      <c r="O192" s="1121">
        <f t="shared" si="270"/>
        <v>98840</v>
      </c>
      <c r="P192" s="1122">
        <f t="shared" si="270"/>
        <v>98840</v>
      </c>
      <c r="Q192" s="1121">
        <f t="shared" si="270"/>
        <v>98840</v>
      </c>
      <c r="R192" s="1121">
        <f t="shared" si="270"/>
        <v>98840</v>
      </c>
      <c r="S192" s="1220">
        <f t="shared" si="270"/>
        <v>72316</v>
      </c>
      <c r="T192" s="2632">
        <f t="shared" si="270"/>
        <v>72316</v>
      </c>
      <c r="U192" s="1121">
        <f t="shared" si="270"/>
        <v>72316</v>
      </c>
      <c r="V192" s="1121">
        <f t="shared" si="270"/>
        <v>72316</v>
      </c>
      <c r="W192" s="1122">
        <f t="shared" si="270"/>
        <v>72316</v>
      </c>
      <c r="X192" s="1121">
        <f t="shared" si="270"/>
        <v>72316</v>
      </c>
      <c r="Y192" s="2633">
        <f t="shared" si="270"/>
        <v>72316</v>
      </c>
      <c r="Z192" s="1220">
        <f t="shared" si="270"/>
        <v>0</v>
      </c>
      <c r="AA192" s="2632">
        <f t="shared" si="270"/>
        <v>0</v>
      </c>
      <c r="AB192" s="1121">
        <f t="shared" si="270"/>
        <v>0</v>
      </c>
      <c r="AC192" s="1121">
        <f t="shared" si="270"/>
        <v>0</v>
      </c>
      <c r="AD192" s="1122">
        <f t="shared" si="270"/>
        <v>0</v>
      </c>
      <c r="AE192" s="1121">
        <f t="shared" si="270"/>
        <v>0</v>
      </c>
      <c r="AF192" s="2633">
        <f t="shared" si="270"/>
        <v>0</v>
      </c>
      <c r="AG192" s="1220">
        <f t="shared" si="270"/>
        <v>0</v>
      </c>
      <c r="AH192" s="2632">
        <f t="shared" si="270"/>
        <v>0</v>
      </c>
      <c r="AI192" s="1121">
        <f t="shared" si="270"/>
        <v>0</v>
      </c>
      <c r="AJ192" s="1121">
        <f t="shared" si="270"/>
        <v>0</v>
      </c>
      <c r="AK192" s="1122">
        <f t="shared" si="270"/>
        <v>0</v>
      </c>
      <c r="AL192" s="1121">
        <f t="shared" si="270"/>
        <v>0</v>
      </c>
      <c r="AM192" s="2633">
        <f t="shared" si="270"/>
        <v>0</v>
      </c>
      <c r="AN192" s="2513"/>
      <c r="AO192" s="2551"/>
      <c r="AP192" s="4422"/>
      <c r="AQ192" s="4438">
        <f t="shared" ref="AQ192:AQ255" si="271">IFERROR(E192/$D$1,0)</f>
        <v>49508.392856229839</v>
      </c>
      <c r="AR192" s="4438">
        <f t="shared" ref="AR192:AR255" si="272">IFERROR(F192/$D$1,0)</f>
        <v>49508.392856229839</v>
      </c>
      <c r="AS192" s="4438">
        <f t="shared" ref="AS192:AS255" si="273">IFERROR(G192/$D$1,0)</f>
        <v>49508.392856229839</v>
      </c>
      <c r="AT192" s="4438">
        <f t="shared" ref="AT192:AT255" si="274">IFERROR(H192/$D$1,0)</f>
        <v>49508.392856229839</v>
      </c>
      <c r="AU192" s="4438">
        <f t="shared" ref="AU192:AU255" si="275">IFERROR(I192/$D$1,0)</f>
        <v>49508.392856229839</v>
      </c>
      <c r="AV192" s="4438">
        <f t="shared" ref="AV192:AV255" si="276">IFERROR(J192/$D$1,0)</f>
        <v>49508.392856229839</v>
      </c>
      <c r="AW192" s="4438">
        <f t="shared" ref="AW192:AW255" si="277">IFERROR(K192/$D$1,0)</f>
        <v>49508.392856229839</v>
      </c>
      <c r="AX192" s="4438">
        <f t="shared" ref="AX192:AX255" si="278">IFERROR(L192/$D$1,0)</f>
        <v>50536.089537434236</v>
      </c>
      <c r="AY192" s="4438">
        <f t="shared" ref="AY192:AY255" si="279">IFERROR(M192/$D$1,0)</f>
        <v>50536.089537434236</v>
      </c>
      <c r="AZ192" s="4438">
        <f t="shared" ref="AZ192:AZ255" si="280">IFERROR(N192/$D$1,0)</f>
        <v>50536.089537434236</v>
      </c>
      <c r="BA192" s="4438">
        <f t="shared" ref="BA192:BA255" si="281">IFERROR(O192/$D$1,0)</f>
        <v>50536.089537434236</v>
      </c>
      <c r="BB192" s="4438">
        <f t="shared" ref="BB192:BB255" si="282">IFERROR(P192/$D$1,0)</f>
        <v>50536.089537434236</v>
      </c>
      <c r="BC192" s="4438">
        <f t="shared" ref="BC192:BC255" si="283">IFERROR(Q192/$D$1,0)</f>
        <v>50536.089537434236</v>
      </c>
      <c r="BD192" s="4438">
        <f t="shared" ref="BD192:BD255" si="284">IFERROR(R192/$D$1,0)</f>
        <v>50536.089537434236</v>
      </c>
      <c r="BE192" s="4438">
        <f t="shared" ref="BE192:BE255" si="285">IFERROR(S192/$D$1,0)</f>
        <v>36974.58368058574</v>
      </c>
      <c r="BF192" s="4438">
        <f t="shared" ref="BF192:BF255" si="286">IFERROR(T192/$D$1,0)</f>
        <v>36974.58368058574</v>
      </c>
      <c r="BG192" s="4438">
        <f t="shared" ref="BG192:BG255" si="287">IFERROR(U192/$D$1,0)</f>
        <v>36974.58368058574</v>
      </c>
      <c r="BH192" s="4438">
        <f t="shared" ref="BH192:BH255" si="288">IFERROR(V192/$D$1,0)</f>
        <v>36974.58368058574</v>
      </c>
      <c r="BI192" s="4438">
        <f t="shared" ref="BI192:BI255" si="289">IFERROR(W192/$D$1,0)</f>
        <v>36974.58368058574</v>
      </c>
      <c r="BJ192" s="4438">
        <f t="shared" ref="BJ192:BJ255" si="290">IFERROR(X192/$D$1,0)</f>
        <v>36974.58368058574</v>
      </c>
      <c r="BK192" s="4438">
        <f t="shared" ref="BK192:BK255" si="291">IFERROR(Y192/$D$1,0)</f>
        <v>36974.58368058574</v>
      </c>
      <c r="BL192" s="4438">
        <f t="shared" ref="BL192:BL255" si="292">IFERROR(Z192/$D$1,0)</f>
        <v>0</v>
      </c>
      <c r="BM192" s="4438">
        <f t="shared" ref="BM192:BM255" si="293">IFERROR(AA192/$D$1,0)</f>
        <v>0</v>
      </c>
      <c r="BN192" s="4438">
        <f t="shared" ref="BN192:BN255" si="294">IFERROR(AB192/$D$1,0)</f>
        <v>0</v>
      </c>
      <c r="BO192" s="4438">
        <f t="shared" ref="BO192:BO255" si="295">IFERROR(AC192/$D$1,0)</f>
        <v>0</v>
      </c>
      <c r="BP192" s="4438">
        <f t="shared" ref="BP192:BP255" si="296">IFERROR(AD192/$D$1,0)</f>
        <v>0</v>
      </c>
      <c r="BQ192" s="4438">
        <f t="shared" ref="BQ192:BQ255" si="297">IFERROR(AE192/$D$1,0)</f>
        <v>0</v>
      </c>
      <c r="BR192" s="4438">
        <f t="shared" ref="BR192:BR255" si="298">IFERROR(AF192/$D$1,0)</f>
        <v>0</v>
      </c>
      <c r="BS192" s="4438">
        <f t="shared" ref="BS192:BS255" si="299">IFERROR(AG192/$D$1,0)</f>
        <v>0</v>
      </c>
      <c r="BT192" s="4438">
        <f t="shared" ref="BT192:BT255" si="300">IFERROR(AH192/$D$1,0)</f>
        <v>0</v>
      </c>
      <c r="BU192" s="4438">
        <f t="shared" ref="BU192:BU255" si="301">IFERROR(AI192/$D$1,0)</f>
        <v>0</v>
      </c>
      <c r="BV192" s="4438">
        <f t="shared" ref="BV192:BV255" si="302">IFERROR(AJ192/$D$1,0)</f>
        <v>0</v>
      </c>
      <c r="BW192" s="4438">
        <f t="shared" ref="BW192:BW255" si="303">IFERROR(AK192/$D$1,0)</f>
        <v>0</v>
      </c>
      <c r="BX192" s="4438">
        <f t="shared" ref="BX192:BX255" si="304">IFERROR(AL192/$D$1,0)</f>
        <v>0</v>
      </c>
      <c r="BY192" s="4438">
        <f t="shared" ref="BY192:BY255" si="305">IFERROR(AM192/$D$1,0)</f>
        <v>0</v>
      </c>
    </row>
    <row r="193" spans="1:77" s="1292" customFormat="1">
      <c r="A193" s="2515">
        <v>1</v>
      </c>
      <c r="B193" s="2576" t="s">
        <v>696</v>
      </c>
      <c r="C193" s="2533">
        <v>0</v>
      </c>
      <c r="D193" s="2563" t="s">
        <v>558</v>
      </c>
      <c r="E193" s="4387">
        <f>+'11.3. ДА Базова година'!H154</f>
        <v>167</v>
      </c>
      <c r="F193" s="2614">
        <f>E193+SUMIF('11.2. ДА за периода'!$B$111:$B$131,$B193,'11.2. ДА за периода'!F$111:F$131)</f>
        <v>167</v>
      </c>
      <c r="G193" s="1119">
        <f>F193+SUMIF('11.2. ДА за периода'!$B$111:$B$131,$B193,'11.2. ДА за периода'!G$111:G$131)</f>
        <v>167</v>
      </c>
      <c r="H193" s="1119">
        <f>G193+SUMIF('11.2. ДА за периода'!$B$111:$B$131,$B193,'11.2. ДА за периода'!H$111:H$131)</f>
        <v>167</v>
      </c>
      <c r="I193" s="1119">
        <f>H193+SUMIF('11.2. ДА за периода'!$B$111:$B$131,$B193,'11.2. ДА за периода'!I$111:I$131)</f>
        <v>167</v>
      </c>
      <c r="J193" s="1119">
        <f>I193+SUMIF('11.2. ДА за периода'!$B$111:$B$131,$B193,'11.2. ДА за периода'!J$111:J$131)</f>
        <v>167</v>
      </c>
      <c r="K193" s="2615">
        <f>J193+SUMIF('11.2. ДА за периода'!$B$111:$B$131,$B193,'11.2. ДА за периода'!K$111:K$131)</f>
        <v>167</v>
      </c>
      <c r="L193" s="4387">
        <f>+'11.3. ДА Базова година'!L154</f>
        <v>7</v>
      </c>
      <c r="M193" s="2614">
        <f>L193+SUMIF('11.2. ДА за периода'!$B$111:$B$131,$B193,'11.2. ДА за периода'!M$111:M$131)</f>
        <v>7</v>
      </c>
      <c r="N193" s="1119">
        <f>M193+SUMIF('11.2. ДА за периода'!$B$111:$B$131,$B193,'11.2. ДА за периода'!N$111:N$131)</f>
        <v>7</v>
      </c>
      <c r="O193" s="1119">
        <f>N193+SUMIF('11.2. ДА за периода'!$B$111:$B$131,$B193,'11.2. ДА за периода'!O$111:O$131)</f>
        <v>7</v>
      </c>
      <c r="P193" s="1119">
        <f>O193+SUMIF('11.2. ДА за периода'!$B$111:$B$131,$B193,'11.2. ДА за периода'!P$111:P$131)</f>
        <v>7</v>
      </c>
      <c r="Q193" s="1119">
        <f>P193+SUMIF('11.2. ДА за периода'!$B$111:$B$131,$B193,'11.2. ДА за периода'!Q$111:Q$131)</f>
        <v>7</v>
      </c>
      <c r="R193" s="2615">
        <f>Q193+SUMIF('11.2. ДА за периода'!$B$111:$B$131,$B193,'11.2. ДА за периода'!R$111:R$131)</f>
        <v>7</v>
      </c>
      <c r="S193" s="4387">
        <f>+'11.3. ДА Базова година'!P154</f>
        <v>0</v>
      </c>
      <c r="T193" s="2614">
        <f>S193+SUMIF('11.2. ДА за периода'!$B$111:$B$131,$B193,'11.2. ДА за периода'!T$111:T$131)</f>
        <v>0</v>
      </c>
      <c r="U193" s="1119">
        <f>T193+SUMIF('11.2. ДА за периода'!$B$111:$B$131,$B193,'11.2. ДА за периода'!U$111:U$131)</f>
        <v>0</v>
      </c>
      <c r="V193" s="1119">
        <f>U193+SUMIF('11.2. ДА за периода'!$B$111:$B$131,$B193,'11.2. ДА за периода'!V$111:V$131)</f>
        <v>0</v>
      </c>
      <c r="W193" s="1119">
        <f>V193+SUMIF('11.2. ДА за периода'!$B$111:$B$131,$B193,'11.2. ДА за периода'!W$111:W$131)</f>
        <v>0</v>
      </c>
      <c r="X193" s="1119">
        <f>W193+SUMIF('11.2. ДА за периода'!$B$111:$B$131,$B193,'11.2. ДА за периода'!X$111:X$131)</f>
        <v>0</v>
      </c>
      <c r="Y193" s="2615">
        <f>X193+SUMIF('11.2. ДА за периода'!$B$111:$B$131,$B193,'11.2. ДА за периода'!Y$111:Y$131)</f>
        <v>0</v>
      </c>
      <c r="Z193" s="4387">
        <f>+'11.3. ДА Базова година'!T154</f>
        <v>0</v>
      </c>
      <c r="AA193" s="2614">
        <f>Z193+SUMIF('11.2. ДА за периода'!$B$111:$B$131,$B193,'11.2. ДА за периода'!AA$111:AA$131)</f>
        <v>0</v>
      </c>
      <c r="AB193" s="1119">
        <f>AA193+SUMIF('11.2. ДА за периода'!$B$111:$B$131,$B193,'11.2. ДА за периода'!AB$111:AB$131)</f>
        <v>0</v>
      </c>
      <c r="AC193" s="1119">
        <f>AB193+SUMIF('11.2. ДА за периода'!$B$111:$B$131,$B193,'11.2. ДА за периода'!AC$111:AC$131)</f>
        <v>0</v>
      </c>
      <c r="AD193" s="1119">
        <f>AC193+SUMIF('11.2. ДА за периода'!$B$111:$B$131,$B193,'11.2. ДА за периода'!AD$111:AD$131)</f>
        <v>0</v>
      </c>
      <c r="AE193" s="1119">
        <f>AD193+SUMIF('11.2. ДА за периода'!$B$111:$B$131,$B193,'11.2. ДА за периода'!AE$111:AE$131)</f>
        <v>0</v>
      </c>
      <c r="AF193" s="2615">
        <f>AE193+SUMIF('11.2. ДА за периода'!$B$111:$B$131,$B193,'11.2. ДА за периода'!AF$111:AF$131)</f>
        <v>0</v>
      </c>
      <c r="AG193" s="4387">
        <f>+'11.3. ДА Базова година'!X154</f>
        <v>0</v>
      </c>
      <c r="AH193" s="2614">
        <f>AG193+SUMIF('11.2. ДА за периода'!$B$111:$B$131,$B193,'11.2. ДА за периода'!AH$111:AH$131)</f>
        <v>0</v>
      </c>
      <c r="AI193" s="1119">
        <f>AH193+SUMIF('11.2. ДА за периода'!$B$111:$B$131,$B193,'11.2. ДА за периода'!AI$111:AI$131)</f>
        <v>0</v>
      </c>
      <c r="AJ193" s="1119">
        <f>AI193+SUMIF('11.2. ДА за периода'!$B$111:$B$131,$B193,'11.2. ДА за периода'!AJ$111:AJ$131)</f>
        <v>0</v>
      </c>
      <c r="AK193" s="1119">
        <f>AJ193+SUMIF('11.2. ДА за периода'!$B$111:$B$131,$B193,'11.2. ДА за периода'!AK$111:AK$131)</f>
        <v>0</v>
      </c>
      <c r="AL193" s="1119">
        <f>AK193+SUMIF('11.2. ДА за периода'!$B$111:$B$131,$B193,'11.2. ДА за периода'!AL$111:AL$131)</f>
        <v>0</v>
      </c>
      <c r="AM193" s="2615">
        <f>AL193+SUMIF('11.2. ДА за периода'!$B$111:$B$131,$B193,'11.2. ДА за периода'!AM$111:AM$131)</f>
        <v>0</v>
      </c>
      <c r="AN193" s="2513"/>
      <c r="AO193" s="2551"/>
      <c r="AP193" s="4422"/>
      <c r="AQ193" s="4438">
        <f t="shared" si="271"/>
        <v>85.385744159768493</v>
      </c>
      <c r="AR193" s="4438">
        <f t="shared" si="272"/>
        <v>85.385744159768493</v>
      </c>
      <c r="AS193" s="4438">
        <f t="shared" si="273"/>
        <v>85.385744159768493</v>
      </c>
      <c r="AT193" s="4438">
        <f t="shared" si="274"/>
        <v>85.385744159768493</v>
      </c>
      <c r="AU193" s="4438">
        <f t="shared" si="275"/>
        <v>85.385744159768493</v>
      </c>
      <c r="AV193" s="4438">
        <f t="shared" si="276"/>
        <v>85.385744159768493</v>
      </c>
      <c r="AW193" s="4438">
        <f t="shared" si="277"/>
        <v>85.385744159768493</v>
      </c>
      <c r="AX193" s="4438">
        <f t="shared" si="278"/>
        <v>3.5790431683735293</v>
      </c>
      <c r="AY193" s="4438">
        <f t="shared" si="279"/>
        <v>3.5790431683735293</v>
      </c>
      <c r="AZ193" s="4438">
        <f t="shared" si="280"/>
        <v>3.5790431683735293</v>
      </c>
      <c r="BA193" s="4438">
        <f t="shared" si="281"/>
        <v>3.5790431683735293</v>
      </c>
      <c r="BB193" s="4438">
        <f t="shared" si="282"/>
        <v>3.5790431683735293</v>
      </c>
      <c r="BC193" s="4438">
        <f t="shared" si="283"/>
        <v>3.5790431683735293</v>
      </c>
      <c r="BD193" s="4438">
        <f t="shared" si="284"/>
        <v>3.5790431683735293</v>
      </c>
      <c r="BE193" s="4438">
        <f t="shared" si="285"/>
        <v>0</v>
      </c>
      <c r="BF193" s="4438">
        <f t="shared" si="286"/>
        <v>0</v>
      </c>
      <c r="BG193" s="4438">
        <f t="shared" si="287"/>
        <v>0</v>
      </c>
      <c r="BH193" s="4438">
        <f t="shared" si="288"/>
        <v>0</v>
      </c>
      <c r="BI193" s="4438">
        <f t="shared" si="289"/>
        <v>0</v>
      </c>
      <c r="BJ193" s="4438">
        <f t="shared" si="290"/>
        <v>0</v>
      </c>
      <c r="BK193" s="4438">
        <f t="shared" si="291"/>
        <v>0</v>
      </c>
      <c r="BL193" s="4438">
        <f t="shared" si="292"/>
        <v>0</v>
      </c>
      <c r="BM193" s="4438">
        <f t="shared" si="293"/>
        <v>0</v>
      </c>
      <c r="BN193" s="4438">
        <f t="shared" si="294"/>
        <v>0</v>
      </c>
      <c r="BO193" s="4438">
        <f t="shared" si="295"/>
        <v>0</v>
      </c>
      <c r="BP193" s="4438">
        <f t="shared" si="296"/>
        <v>0</v>
      </c>
      <c r="BQ193" s="4438">
        <f t="shared" si="297"/>
        <v>0</v>
      </c>
      <c r="BR193" s="4438">
        <f t="shared" si="298"/>
        <v>0</v>
      </c>
      <c r="BS193" s="4438">
        <f t="shared" si="299"/>
        <v>0</v>
      </c>
      <c r="BT193" s="4438">
        <f t="shared" si="300"/>
        <v>0</v>
      </c>
      <c r="BU193" s="4438">
        <f t="shared" si="301"/>
        <v>0</v>
      </c>
      <c r="BV193" s="4438">
        <f t="shared" si="302"/>
        <v>0</v>
      </c>
      <c r="BW193" s="4438">
        <f t="shared" si="303"/>
        <v>0</v>
      </c>
      <c r="BX193" s="4438">
        <f t="shared" si="304"/>
        <v>0</v>
      </c>
      <c r="BY193" s="4438">
        <f t="shared" si="305"/>
        <v>0</v>
      </c>
    </row>
    <row r="194" spans="1:77" s="1292" customFormat="1">
      <c r="A194" s="2515">
        <v>2</v>
      </c>
      <c r="B194" s="2516" t="s">
        <v>697</v>
      </c>
      <c r="C194" s="2517">
        <v>0.03</v>
      </c>
      <c r="D194" s="2571" t="s">
        <v>426</v>
      </c>
      <c r="E194" s="4387">
        <f>+'11.3. ДА Базова година'!H155</f>
        <v>2999</v>
      </c>
      <c r="F194" s="2617">
        <f>E194+SUMIF('11.2. ДА за периода'!$B$111:$B$131,$B194,'11.2. ДА за периода'!F$111:F$131)</f>
        <v>2999</v>
      </c>
      <c r="G194" s="1110">
        <f>F194+SUMIF('11.2. ДА за периода'!$B$111:$B$131,$B194,'11.2. ДА за периода'!G$111:G$131)</f>
        <v>2999</v>
      </c>
      <c r="H194" s="1110">
        <f>G194+SUMIF('11.2. ДА за периода'!$B$111:$B$131,$B194,'11.2. ДА за периода'!H$111:H$131)</f>
        <v>2999</v>
      </c>
      <c r="I194" s="1110">
        <f>H194+SUMIF('11.2. ДА за периода'!$B$111:$B$131,$B194,'11.2. ДА за периода'!I$111:I$131)</f>
        <v>2999</v>
      </c>
      <c r="J194" s="1110">
        <f>I194+SUMIF('11.2. ДА за периода'!$B$111:$B$131,$B194,'11.2. ДА за периода'!J$111:J$131)</f>
        <v>2999</v>
      </c>
      <c r="K194" s="2618">
        <f>J194+SUMIF('11.2. ДА за периода'!$B$111:$B$131,$B194,'11.2. ДА за периода'!K$111:K$131)</f>
        <v>2999</v>
      </c>
      <c r="L194" s="4387">
        <f>+'11.3. ДА Базова година'!L155</f>
        <v>0</v>
      </c>
      <c r="M194" s="2617">
        <f>L194+SUMIF('11.2. ДА за периода'!$B$111:$B$131,$B194,'11.2. ДА за периода'!M$111:M$131)</f>
        <v>0</v>
      </c>
      <c r="N194" s="1110">
        <f>M194+SUMIF('11.2. ДА за периода'!$B$111:$B$131,$B194,'11.2. ДА за периода'!N$111:N$131)</f>
        <v>0</v>
      </c>
      <c r="O194" s="1110">
        <f>N194+SUMIF('11.2. ДА за периода'!$B$111:$B$131,$B194,'11.2. ДА за периода'!O$111:O$131)</f>
        <v>0</v>
      </c>
      <c r="P194" s="1110">
        <f>O194+SUMIF('11.2. ДА за периода'!$B$111:$B$131,$B194,'11.2. ДА за периода'!P$111:P$131)</f>
        <v>0</v>
      </c>
      <c r="Q194" s="1110">
        <f>P194+SUMIF('11.2. ДА за периода'!$B$111:$B$131,$B194,'11.2. ДА за периода'!Q$111:Q$131)</f>
        <v>0</v>
      </c>
      <c r="R194" s="2618">
        <f>Q194+SUMIF('11.2. ДА за периода'!$B$111:$B$131,$B194,'11.2. ДА за периода'!R$111:R$131)</f>
        <v>0</v>
      </c>
      <c r="S194" s="4387">
        <f>+'11.3. ДА Базова година'!P155</f>
        <v>11694</v>
      </c>
      <c r="T194" s="2617">
        <f>S194+SUMIF('11.2. ДА за периода'!$B$111:$B$131,$B194,'11.2. ДА за периода'!T$111:T$131)</f>
        <v>11694</v>
      </c>
      <c r="U194" s="1110">
        <f>T194+SUMIF('11.2. ДА за периода'!$B$111:$B$131,$B194,'11.2. ДА за периода'!U$111:U$131)</f>
        <v>11694</v>
      </c>
      <c r="V194" s="1110">
        <f>U194+SUMIF('11.2. ДА за периода'!$B$111:$B$131,$B194,'11.2. ДА за периода'!V$111:V$131)</f>
        <v>11694</v>
      </c>
      <c r="W194" s="1110">
        <f>V194+SUMIF('11.2. ДА за периода'!$B$111:$B$131,$B194,'11.2. ДА за периода'!W$111:W$131)</f>
        <v>11694</v>
      </c>
      <c r="X194" s="1110">
        <f>W194+SUMIF('11.2. ДА за периода'!$B$111:$B$131,$B194,'11.2. ДА за периода'!X$111:X$131)</f>
        <v>11694</v>
      </c>
      <c r="Y194" s="2618">
        <f>X194+SUMIF('11.2. ДА за периода'!$B$111:$B$131,$B194,'11.2. ДА за периода'!Y$111:Y$131)</f>
        <v>11694</v>
      </c>
      <c r="Z194" s="4387">
        <f>+'11.3. ДА Базова година'!T155</f>
        <v>0</v>
      </c>
      <c r="AA194" s="2617">
        <f>Z194+SUMIF('11.2. ДА за периода'!$B$111:$B$131,$B194,'11.2. ДА за периода'!AA$111:AA$131)</f>
        <v>0</v>
      </c>
      <c r="AB194" s="1110">
        <f>AA194+SUMIF('11.2. ДА за периода'!$B$111:$B$131,$B194,'11.2. ДА за периода'!AB$111:AB$131)</f>
        <v>0</v>
      </c>
      <c r="AC194" s="1110">
        <f>AB194+SUMIF('11.2. ДА за периода'!$B$111:$B$131,$B194,'11.2. ДА за периода'!AC$111:AC$131)</f>
        <v>0</v>
      </c>
      <c r="AD194" s="1110">
        <f>AC194+SUMIF('11.2. ДА за периода'!$B$111:$B$131,$B194,'11.2. ДА за периода'!AD$111:AD$131)</f>
        <v>0</v>
      </c>
      <c r="AE194" s="1110">
        <f>AD194+SUMIF('11.2. ДА за периода'!$B$111:$B$131,$B194,'11.2. ДА за периода'!AE$111:AE$131)</f>
        <v>0</v>
      </c>
      <c r="AF194" s="2618">
        <f>AE194+SUMIF('11.2. ДА за периода'!$B$111:$B$131,$B194,'11.2. ДА за периода'!AF$111:AF$131)</f>
        <v>0</v>
      </c>
      <c r="AG194" s="4387">
        <f>+'11.3. ДА Базова година'!X155</f>
        <v>0</v>
      </c>
      <c r="AH194" s="2617">
        <f>AG194+SUMIF('11.2. ДА за периода'!$B$111:$B$131,$B194,'11.2. ДА за периода'!AH$111:AH$131)</f>
        <v>0</v>
      </c>
      <c r="AI194" s="1110">
        <f>AH194+SUMIF('11.2. ДА за периода'!$B$111:$B$131,$B194,'11.2. ДА за периода'!AI$111:AI$131)</f>
        <v>0</v>
      </c>
      <c r="AJ194" s="1110">
        <f>AI194+SUMIF('11.2. ДА за периода'!$B$111:$B$131,$B194,'11.2. ДА за периода'!AJ$111:AJ$131)</f>
        <v>0</v>
      </c>
      <c r="AK194" s="1110">
        <f>AJ194+SUMIF('11.2. ДА за периода'!$B$111:$B$131,$B194,'11.2. ДА за периода'!AK$111:AK$131)</f>
        <v>0</v>
      </c>
      <c r="AL194" s="1110">
        <f>AK194+SUMIF('11.2. ДА за периода'!$B$111:$B$131,$B194,'11.2. ДА за периода'!AL$111:AL$131)</f>
        <v>0</v>
      </c>
      <c r="AM194" s="2618">
        <f>AL194+SUMIF('11.2. ДА за периода'!$B$111:$B$131,$B194,'11.2. ДА за периода'!AM$111:AM$131)</f>
        <v>0</v>
      </c>
      <c r="AN194" s="2513"/>
      <c r="AO194" s="2551"/>
      <c r="AP194" s="4422"/>
      <c r="AQ194" s="4438">
        <f t="shared" si="271"/>
        <v>1533.3643517074593</v>
      </c>
      <c r="AR194" s="4438">
        <f t="shared" si="272"/>
        <v>1533.3643517074593</v>
      </c>
      <c r="AS194" s="4438">
        <f t="shared" si="273"/>
        <v>1533.3643517074593</v>
      </c>
      <c r="AT194" s="4438">
        <f t="shared" si="274"/>
        <v>1533.3643517074593</v>
      </c>
      <c r="AU194" s="4438">
        <f t="shared" si="275"/>
        <v>1533.3643517074593</v>
      </c>
      <c r="AV194" s="4438">
        <f t="shared" si="276"/>
        <v>1533.3643517074593</v>
      </c>
      <c r="AW194" s="4438">
        <f t="shared" si="277"/>
        <v>1533.3643517074593</v>
      </c>
      <c r="AX194" s="4438">
        <f t="shared" si="278"/>
        <v>0</v>
      </c>
      <c r="AY194" s="4438">
        <f t="shared" si="279"/>
        <v>0</v>
      </c>
      <c r="AZ194" s="4438">
        <f t="shared" si="280"/>
        <v>0</v>
      </c>
      <c r="BA194" s="4438">
        <f t="shared" si="281"/>
        <v>0</v>
      </c>
      <c r="BB194" s="4438">
        <f t="shared" si="282"/>
        <v>0</v>
      </c>
      <c r="BC194" s="4438">
        <f t="shared" si="283"/>
        <v>0</v>
      </c>
      <c r="BD194" s="4438">
        <f t="shared" si="284"/>
        <v>0</v>
      </c>
      <c r="BE194" s="4438">
        <f t="shared" si="285"/>
        <v>5979.0472587085787</v>
      </c>
      <c r="BF194" s="4438">
        <f t="shared" si="286"/>
        <v>5979.0472587085787</v>
      </c>
      <c r="BG194" s="4438">
        <f t="shared" si="287"/>
        <v>5979.0472587085787</v>
      </c>
      <c r="BH194" s="4438">
        <f t="shared" si="288"/>
        <v>5979.0472587085787</v>
      </c>
      <c r="BI194" s="4438">
        <f t="shared" si="289"/>
        <v>5979.0472587085787</v>
      </c>
      <c r="BJ194" s="4438">
        <f t="shared" si="290"/>
        <v>5979.0472587085787</v>
      </c>
      <c r="BK194" s="4438">
        <f t="shared" si="291"/>
        <v>5979.0472587085787</v>
      </c>
      <c r="BL194" s="4438">
        <f t="shared" si="292"/>
        <v>0</v>
      </c>
      <c r="BM194" s="4438">
        <f t="shared" si="293"/>
        <v>0</v>
      </c>
      <c r="BN194" s="4438">
        <f t="shared" si="294"/>
        <v>0</v>
      </c>
      <c r="BO194" s="4438">
        <f t="shared" si="295"/>
        <v>0</v>
      </c>
      <c r="BP194" s="4438">
        <f t="shared" si="296"/>
        <v>0</v>
      </c>
      <c r="BQ194" s="4438">
        <f t="shared" si="297"/>
        <v>0</v>
      </c>
      <c r="BR194" s="4438">
        <f t="shared" si="298"/>
        <v>0</v>
      </c>
      <c r="BS194" s="4438">
        <f t="shared" si="299"/>
        <v>0</v>
      </c>
      <c r="BT194" s="4438">
        <f t="shared" si="300"/>
        <v>0</v>
      </c>
      <c r="BU194" s="4438">
        <f t="shared" si="301"/>
        <v>0</v>
      </c>
      <c r="BV194" s="4438">
        <f t="shared" si="302"/>
        <v>0</v>
      </c>
      <c r="BW194" s="4438">
        <f t="shared" si="303"/>
        <v>0</v>
      </c>
      <c r="BX194" s="4438">
        <f t="shared" si="304"/>
        <v>0</v>
      </c>
      <c r="BY194" s="4438">
        <f t="shared" si="305"/>
        <v>0</v>
      </c>
    </row>
    <row r="195" spans="1:77" s="1292" customFormat="1">
      <c r="A195" s="2515">
        <v>3</v>
      </c>
      <c r="B195" s="2516">
        <v>911301</v>
      </c>
      <c r="C195" s="2517">
        <v>0.1</v>
      </c>
      <c r="D195" s="2571" t="s">
        <v>427</v>
      </c>
      <c r="E195" s="4387">
        <f>+'11.3. ДА Базова година'!H156</f>
        <v>3429</v>
      </c>
      <c r="F195" s="2617">
        <f>E195+SUMIF('11.2. ДА за периода'!$B$111:$B$131,$B195,'11.2. ДА за периода'!F$111:F$131)</f>
        <v>3429</v>
      </c>
      <c r="G195" s="1110">
        <f>F195+SUMIF('11.2. ДА за периода'!$B$111:$B$131,$B195,'11.2. ДА за периода'!G$111:G$131)</f>
        <v>3429</v>
      </c>
      <c r="H195" s="1110">
        <f>G195+SUMIF('11.2. ДА за периода'!$B$111:$B$131,$B195,'11.2. ДА за периода'!H$111:H$131)</f>
        <v>3429</v>
      </c>
      <c r="I195" s="1110">
        <f>H195+SUMIF('11.2. ДА за периода'!$B$111:$B$131,$B195,'11.2. ДА за периода'!I$111:I$131)</f>
        <v>3429</v>
      </c>
      <c r="J195" s="1110">
        <f>I195+SUMIF('11.2. ДА за периода'!$B$111:$B$131,$B195,'11.2. ДА за периода'!J$111:J$131)</f>
        <v>3429</v>
      </c>
      <c r="K195" s="2618">
        <f>J195+SUMIF('11.2. ДА за периода'!$B$111:$B$131,$B195,'11.2. ДА за периода'!K$111:K$131)</f>
        <v>3429</v>
      </c>
      <c r="L195" s="4387">
        <f>+'11.3. ДА Базова година'!L156</f>
        <v>0</v>
      </c>
      <c r="M195" s="2617">
        <f>L195+SUMIF('11.2. ДА за периода'!$B$111:$B$131,$B195,'11.2. ДА за периода'!M$111:M$131)</f>
        <v>0</v>
      </c>
      <c r="N195" s="1110">
        <f>M195+SUMIF('11.2. ДА за периода'!$B$111:$B$131,$B195,'11.2. ДА за периода'!N$111:N$131)</f>
        <v>0</v>
      </c>
      <c r="O195" s="1110">
        <f>N195+SUMIF('11.2. ДА за периода'!$B$111:$B$131,$B195,'11.2. ДА за периода'!O$111:O$131)</f>
        <v>0</v>
      </c>
      <c r="P195" s="1110">
        <f>O195+SUMIF('11.2. ДА за периода'!$B$111:$B$131,$B195,'11.2. ДА за периода'!P$111:P$131)</f>
        <v>0</v>
      </c>
      <c r="Q195" s="1110">
        <f>P195+SUMIF('11.2. ДА за периода'!$B$111:$B$131,$B195,'11.2. ДА за периода'!Q$111:Q$131)</f>
        <v>0</v>
      </c>
      <c r="R195" s="2618">
        <f>Q195+SUMIF('11.2. ДА за периода'!$B$111:$B$131,$B195,'11.2. ДА за периода'!R$111:R$131)</f>
        <v>0</v>
      </c>
      <c r="S195" s="4387">
        <f>+'11.3. ДА Базова година'!P156</f>
        <v>6</v>
      </c>
      <c r="T195" s="2617">
        <f>S195+SUMIF('11.2. ДА за периода'!$B$111:$B$131,$B195,'11.2. ДА за периода'!T$111:T$131)</f>
        <v>6</v>
      </c>
      <c r="U195" s="1110">
        <f>T195+SUMIF('11.2. ДА за периода'!$B$111:$B$131,$B195,'11.2. ДА за периода'!U$111:U$131)</f>
        <v>6</v>
      </c>
      <c r="V195" s="1110">
        <f>U195+SUMIF('11.2. ДА за периода'!$B$111:$B$131,$B195,'11.2. ДА за периода'!V$111:V$131)</f>
        <v>6</v>
      </c>
      <c r="W195" s="1110">
        <f>V195+SUMIF('11.2. ДА за периода'!$B$111:$B$131,$B195,'11.2. ДА за периода'!W$111:W$131)</f>
        <v>6</v>
      </c>
      <c r="X195" s="1110">
        <f>W195+SUMIF('11.2. ДА за периода'!$B$111:$B$131,$B195,'11.2. ДА за периода'!X$111:X$131)</f>
        <v>6</v>
      </c>
      <c r="Y195" s="2618">
        <f>X195+SUMIF('11.2. ДА за периода'!$B$111:$B$131,$B195,'11.2. ДА за периода'!Y$111:Y$131)</f>
        <v>6</v>
      </c>
      <c r="Z195" s="4387">
        <f>+'11.3. ДА Базова година'!T156</f>
        <v>0</v>
      </c>
      <c r="AA195" s="2617">
        <f>Z195+SUMIF('11.2. ДА за периода'!$B$111:$B$131,$B195,'11.2. ДА за периода'!AA$111:AA$131)</f>
        <v>0</v>
      </c>
      <c r="AB195" s="1110">
        <f>AA195+SUMIF('11.2. ДА за периода'!$B$111:$B$131,$B195,'11.2. ДА за периода'!AB$111:AB$131)</f>
        <v>0</v>
      </c>
      <c r="AC195" s="1110">
        <f>AB195+SUMIF('11.2. ДА за периода'!$B$111:$B$131,$B195,'11.2. ДА за периода'!AC$111:AC$131)</f>
        <v>0</v>
      </c>
      <c r="AD195" s="1110">
        <f>AC195+SUMIF('11.2. ДА за периода'!$B$111:$B$131,$B195,'11.2. ДА за периода'!AD$111:AD$131)</f>
        <v>0</v>
      </c>
      <c r="AE195" s="1110">
        <f>AD195+SUMIF('11.2. ДА за периода'!$B$111:$B$131,$B195,'11.2. ДА за периода'!AE$111:AE$131)</f>
        <v>0</v>
      </c>
      <c r="AF195" s="2618">
        <f>AE195+SUMIF('11.2. ДА за периода'!$B$111:$B$131,$B195,'11.2. ДА за периода'!AF$111:AF$131)</f>
        <v>0</v>
      </c>
      <c r="AG195" s="4387">
        <f>+'11.3. ДА Базова година'!X156</f>
        <v>0</v>
      </c>
      <c r="AH195" s="2617">
        <f>AG195+SUMIF('11.2. ДА за периода'!$B$111:$B$131,$B195,'11.2. ДА за периода'!AH$111:AH$131)</f>
        <v>0</v>
      </c>
      <c r="AI195" s="1110">
        <f>AH195+SUMIF('11.2. ДА за периода'!$B$111:$B$131,$B195,'11.2. ДА за периода'!AI$111:AI$131)</f>
        <v>0</v>
      </c>
      <c r="AJ195" s="1110">
        <f>AI195+SUMIF('11.2. ДА за периода'!$B$111:$B$131,$B195,'11.2. ДА за периода'!AJ$111:AJ$131)</f>
        <v>0</v>
      </c>
      <c r="AK195" s="1110">
        <f>AJ195+SUMIF('11.2. ДА за периода'!$B$111:$B$131,$B195,'11.2. ДА за периода'!AK$111:AK$131)</f>
        <v>0</v>
      </c>
      <c r="AL195" s="1110">
        <f>AK195+SUMIF('11.2. ДА за периода'!$B$111:$B$131,$B195,'11.2. ДА за периода'!AL$111:AL$131)</f>
        <v>0</v>
      </c>
      <c r="AM195" s="2618">
        <f>AL195+SUMIF('11.2. ДА за периода'!$B$111:$B$131,$B195,'11.2. ДА за периода'!AM$111:AM$131)</f>
        <v>0</v>
      </c>
      <c r="AN195" s="2513"/>
      <c r="AO195" s="2551"/>
      <c r="AP195" s="4422"/>
      <c r="AQ195" s="4438">
        <f t="shared" si="271"/>
        <v>1753.2198606218333</v>
      </c>
      <c r="AR195" s="4438">
        <f t="shared" si="272"/>
        <v>1753.2198606218333</v>
      </c>
      <c r="AS195" s="4438">
        <f t="shared" si="273"/>
        <v>1753.2198606218333</v>
      </c>
      <c r="AT195" s="4438">
        <f t="shared" si="274"/>
        <v>1753.2198606218333</v>
      </c>
      <c r="AU195" s="4438">
        <f t="shared" si="275"/>
        <v>1753.2198606218333</v>
      </c>
      <c r="AV195" s="4438">
        <f t="shared" si="276"/>
        <v>1753.2198606218333</v>
      </c>
      <c r="AW195" s="4438">
        <f t="shared" si="277"/>
        <v>1753.2198606218333</v>
      </c>
      <c r="AX195" s="4438">
        <f t="shared" si="278"/>
        <v>0</v>
      </c>
      <c r="AY195" s="4438">
        <f t="shared" si="279"/>
        <v>0</v>
      </c>
      <c r="AZ195" s="4438">
        <f t="shared" si="280"/>
        <v>0</v>
      </c>
      <c r="BA195" s="4438">
        <f t="shared" si="281"/>
        <v>0</v>
      </c>
      <c r="BB195" s="4438">
        <f t="shared" si="282"/>
        <v>0</v>
      </c>
      <c r="BC195" s="4438">
        <f t="shared" si="283"/>
        <v>0</v>
      </c>
      <c r="BD195" s="4438">
        <f t="shared" si="284"/>
        <v>0</v>
      </c>
      <c r="BE195" s="4438">
        <f t="shared" si="285"/>
        <v>3.0677512871773112</v>
      </c>
      <c r="BF195" s="4438">
        <f t="shared" si="286"/>
        <v>3.0677512871773112</v>
      </c>
      <c r="BG195" s="4438">
        <f t="shared" si="287"/>
        <v>3.0677512871773112</v>
      </c>
      <c r="BH195" s="4438">
        <f t="shared" si="288"/>
        <v>3.0677512871773112</v>
      </c>
      <c r="BI195" s="4438">
        <f t="shared" si="289"/>
        <v>3.0677512871773112</v>
      </c>
      <c r="BJ195" s="4438">
        <f t="shared" si="290"/>
        <v>3.0677512871773112</v>
      </c>
      <c r="BK195" s="4438">
        <f t="shared" si="291"/>
        <v>3.0677512871773112</v>
      </c>
      <c r="BL195" s="4438">
        <f t="shared" si="292"/>
        <v>0</v>
      </c>
      <c r="BM195" s="4438">
        <f t="shared" si="293"/>
        <v>0</v>
      </c>
      <c r="BN195" s="4438">
        <f t="shared" si="294"/>
        <v>0</v>
      </c>
      <c r="BO195" s="4438">
        <f t="shared" si="295"/>
        <v>0</v>
      </c>
      <c r="BP195" s="4438">
        <f t="shared" si="296"/>
        <v>0</v>
      </c>
      <c r="BQ195" s="4438">
        <f t="shared" si="297"/>
        <v>0</v>
      </c>
      <c r="BR195" s="4438">
        <f t="shared" si="298"/>
        <v>0</v>
      </c>
      <c r="BS195" s="4438">
        <f t="shared" si="299"/>
        <v>0</v>
      </c>
      <c r="BT195" s="4438">
        <f t="shared" si="300"/>
        <v>0</v>
      </c>
      <c r="BU195" s="4438">
        <f t="shared" si="301"/>
        <v>0</v>
      </c>
      <c r="BV195" s="4438">
        <f t="shared" si="302"/>
        <v>0</v>
      </c>
      <c r="BW195" s="4438">
        <f t="shared" si="303"/>
        <v>0</v>
      </c>
      <c r="BX195" s="4438">
        <f t="shared" si="304"/>
        <v>0</v>
      </c>
      <c r="BY195" s="4438">
        <f t="shared" si="305"/>
        <v>0</v>
      </c>
    </row>
    <row r="196" spans="1:77" s="1292" customFormat="1">
      <c r="A196" s="2515">
        <v>4</v>
      </c>
      <c r="B196" s="2516">
        <v>911302</v>
      </c>
      <c r="C196" s="2517">
        <v>0.1</v>
      </c>
      <c r="D196" s="2571" t="s">
        <v>428</v>
      </c>
      <c r="E196" s="4387">
        <f>+'11.3. ДА Базова година'!H157</f>
        <v>306</v>
      </c>
      <c r="F196" s="2617">
        <f>E196+SUMIF('11.2. ДА за периода'!$B$111:$B$131,$B196,'11.2. ДА за периода'!F$111:F$131)</f>
        <v>306</v>
      </c>
      <c r="G196" s="1110">
        <f>F196+SUMIF('11.2. ДА за периода'!$B$111:$B$131,$B196,'11.2. ДА за периода'!G$111:G$131)</f>
        <v>306</v>
      </c>
      <c r="H196" s="1110">
        <f>G196+SUMIF('11.2. ДА за периода'!$B$111:$B$131,$B196,'11.2. ДА за периода'!H$111:H$131)</f>
        <v>306</v>
      </c>
      <c r="I196" s="1110">
        <f>H196+SUMIF('11.2. ДА за периода'!$B$111:$B$131,$B196,'11.2. ДА за периода'!I$111:I$131)</f>
        <v>306</v>
      </c>
      <c r="J196" s="1110">
        <f>I196+SUMIF('11.2. ДА за периода'!$B$111:$B$131,$B196,'11.2. ДА за периода'!J$111:J$131)</f>
        <v>306</v>
      </c>
      <c r="K196" s="2618">
        <f>J196+SUMIF('11.2. ДА за периода'!$B$111:$B$131,$B196,'11.2. ДА за периода'!K$111:K$131)</f>
        <v>306</v>
      </c>
      <c r="L196" s="4387">
        <f>+'11.3. ДА Базова година'!L157</f>
        <v>0</v>
      </c>
      <c r="M196" s="2617">
        <f>L196+SUMIF('11.2. ДА за периода'!$B$111:$B$131,$B196,'11.2. ДА за периода'!M$111:M$131)</f>
        <v>0</v>
      </c>
      <c r="N196" s="1110">
        <f>M196+SUMIF('11.2. ДА за периода'!$B$111:$B$131,$B196,'11.2. ДА за периода'!N$111:N$131)</f>
        <v>0</v>
      </c>
      <c r="O196" s="1110">
        <f>N196+SUMIF('11.2. ДА за периода'!$B$111:$B$131,$B196,'11.2. ДА за периода'!O$111:O$131)</f>
        <v>0</v>
      </c>
      <c r="P196" s="1110">
        <f>O196+SUMIF('11.2. ДА за периода'!$B$111:$B$131,$B196,'11.2. ДА за периода'!P$111:P$131)</f>
        <v>0</v>
      </c>
      <c r="Q196" s="1110">
        <f>P196+SUMIF('11.2. ДА за периода'!$B$111:$B$131,$B196,'11.2. ДА за периода'!Q$111:Q$131)</f>
        <v>0</v>
      </c>
      <c r="R196" s="2618">
        <f>Q196+SUMIF('11.2. ДА за периода'!$B$111:$B$131,$B196,'11.2. ДА за периода'!R$111:R$131)</f>
        <v>0</v>
      </c>
      <c r="S196" s="4387">
        <f>+'11.3. ДА Базова година'!P157</f>
        <v>0</v>
      </c>
      <c r="T196" s="2617">
        <f>S196+SUMIF('11.2. ДА за периода'!$B$111:$B$131,$B196,'11.2. ДА за периода'!T$111:T$131)</f>
        <v>0</v>
      </c>
      <c r="U196" s="1110">
        <f>T196+SUMIF('11.2. ДА за периода'!$B$111:$B$131,$B196,'11.2. ДА за периода'!U$111:U$131)</f>
        <v>0</v>
      </c>
      <c r="V196" s="1110">
        <f>U196+SUMIF('11.2. ДА за периода'!$B$111:$B$131,$B196,'11.2. ДА за периода'!V$111:V$131)</f>
        <v>0</v>
      </c>
      <c r="W196" s="1110">
        <f>V196+SUMIF('11.2. ДА за периода'!$B$111:$B$131,$B196,'11.2. ДА за периода'!W$111:W$131)</f>
        <v>0</v>
      </c>
      <c r="X196" s="1110">
        <f>W196+SUMIF('11.2. ДА за периода'!$B$111:$B$131,$B196,'11.2. ДА за периода'!X$111:X$131)</f>
        <v>0</v>
      </c>
      <c r="Y196" s="2618">
        <f>X196+SUMIF('11.2. ДА за периода'!$B$111:$B$131,$B196,'11.2. ДА за периода'!Y$111:Y$131)</f>
        <v>0</v>
      </c>
      <c r="Z196" s="4387">
        <f>+'11.3. ДА Базова година'!T157</f>
        <v>0</v>
      </c>
      <c r="AA196" s="2617">
        <f>Z196+SUMIF('11.2. ДА за периода'!$B$111:$B$131,$B196,'11.2. ДА за периода'!AA$111:AA$131)</f>
        <v>0</v>
      </c>
      <c r="AB196" s="1110">
        <f>AA196+SUMIF('11.2. ДА за периода'!$B$111:$B$131,$B196,'11.2. ДА за периода'!AB$111:AB$131)</f>
        <v>0</v>
      </c>
      <c r="AC196" s="1110">
        <f>AB196+SUMIF('11.2. ДА за периода'!$B$111:$B$131,$B196,'11.2. ДА за периода'!AC$111:AC$131)</f>
        <v>0</v>
      </c>
      <c r="AD196" s="1110">
        <f>AC196+SUMIF('11.2. ДА за периода'!$B$111:$B$131,$B196,'11.2. ДА за периода'!AD$111:AD$131)</f>
        <v>0</v>
      </c>
      <c r="AE196" s="1110">
        <f>AD196+SUMIF('11.2. ДА за периода'!$B$111:$B$131,$B196,'11.2. ДА за периода'!AE$111:AE$131)</f>
        <v>0</v>
      </c>
      <c r="AF196" s="2618">
        <f>AE196+SUMIF('11.2. ДА за периода'!$B$111:$B$131,$B196,'11.2. ДА за периода'!AF$111:AF$131)</f>
        <v>0</v>
      </c>
      <c r="AG196" s="4387">
        <f>+'11.3. ДА Базова година'!X157</f>
        <v>0</v>
      </c>
      <c r="AH196" s="2617">
        <f>AG196+SUMIF('11.2. ДА за периода'!$B$111:$B$131,$B196,'11.2. ДА за периода'!AH$111:AH$131)</f>
        <v>0</v>
      </c>
      <c r="AI196" s="1110">
        <f>AH196+SUMIF('11.2. ДА за периода'!$B$111:$B$131,$B196,'11.2. ДА за периода'!AI$111:AI$131)</f>
        <v>0</v>
      </c>
      <c r="AJ196" s="1110">
        <f>AI196+SUMIF('11.2. ДА за периода'!$B$111:$B$131,$B196,'11.2. ДА за периода'!AJ$111:AJ$131)</f>
        <v>0</v>
      </c>
      <c r="AK196" s="1110">
        <f>AJ196+SUMIF('11.2. ДА за периода'!$B$111:$B$131,$B196,'11.2. ДА за периода'!AK$111:AK$131)</f>
        <v>0</v>
      </c>
      <c r="AL196" s="1110">
        <f>AK196+SUMIF('11.2. ДА за периода'!$B$111:$B$131,$B196,'11.2. ДА за периода'!AL$111:AL$131)</f>
        <v>0</v>
      </c>
      <c r="AM196" s="2618">
        <f>AL196+SUMIF('11.2. ДА за периода'!$B$111:$B$131,$B196,'11.2. ДА за периода'!AM$111:AM$131)</f>
        <v>0</v>
      </c>
      <c r="AN196" s="2513"/>
      <c r="AO196" s="2551"/>
      <c r="AP196" s="4422"/>
      <c r="AQ196" s="4438">
        <f t="shared" si="271"/>
        <v>156.45531564604286</v>
      </c>
      <c r="AR196" s="4438">
        <f t="shared" si="272"/>
        <v>156.45531564604286</v>
      </c>
      <c r="AS196" s="4438">
        <f t="shared" si="273"/>
        <v>156.45531564604286</v>
      </c>
      <c r="AT196" s="4438">
        <f t="shared" si="274"/>
        <v>156.45531564604286</v>
      </c>
      <c r="AU196" s="4438">
        <f t="shared" si="275"/>
        <v>156.45531564604286</v>
      </c>
      <c r="AV196" s="4438">
        <f t="shared" si="276"/>
        <v>156.45531564604286</v>
      </c>
      <c r="AW196" s="4438">
        <f t="shared" si="277"/>
        <v>156.45531564604286</v>
      </c>
      <c r="AX196" s="4438">
        <f t="shared" si="278"/>
        <v>0</v>
      </c>
      <c r="AY196" s="4438">
        <f t="shared" si="279"/>
        <v>0</v>
      </c>
      <c r="AZ196" s="4438">
        <f t="shared" si="280"/>
        <v>0</v>
      </c>
      <c r="BA196" s="4438">
        <f t="shared" si="281"/>
        <v>0</v>
      </c>
      <c r="BB196" s="4438">
        <f t="shared" si="282"/>
        <v>0</v>
      </c>
      <c r="BC196" s="4438">
        <f t="shared" si="283"/>
        <v>0</v>
      </c>
      <c r="BD196" s="4438">
        <f t="shared" si="284"/>
        <v>0</v>
      </c>
      <c r="BE196" s="4438">
        <f t="shared" si="285"/>
        <v>0</v>
      </c>
      <c r="BF196" s="4438">
        <f t="shared" si="286"/>
        <v>0</v>
      </c>
      <c r="BG196" s="4438">
        <f t="shared" si="287"/>
        <v>0</v>
      </c>
      <c r="BH196" s="4438">
        <f t="shared" si="288"/>
        <v>0</v>
      </c>
      <c r="BI196" s="4438">
        <f t="shared" si="289"/>
        <v>0</v>
      </c>
      <c r="BJ196" s="4438">
        <f t="shared" si="290"/>
        <v>0</v>
      </c>
      <c r="BK196" s="4438">
        <f t="shared" si="291"/>
        <v>0</v>
      </c>
      <c r="BL196" s="4438">
        <f t="shared" si="292"/>
        <v>0</v>
      </c>
      <c r="BM196" s="4438">
        <f t="shared" si="293"/>
        <v>0</v>
      </c>
      <c r="BN196" s="4438">
        <f t="shared" si="294"/>
        <v>0</v>
      </c>
      <c r="BO196" s="4438">
        <f t="shared" si="295"/>
        <v>0</v>
      </c>
      <c r="BP196" s="4438">
        <f t="shared" si="296"/>
        <v>0</v>
      </c>
      <c r="BQ196" s="4438">
        <f t="shared" si="297"/>
        <v>0</v>
      </c>
      <c r="BR196" s="4438">
        <f t="shared" si="298"/>
        <v>0</v>
      </c>
      <c r="BS196" s="4438">
        <f t="shared" si="299"/>
        <v>0</v>
      </c>
      <c r="BT196" s="4438">
        <f t="shared" si="300"/>
        <v>0</v>
      </c>
      <c r="BU196" s="4438">
        <f t="shared" si="301"/>
        <v>0</v>
      </c>
      <c r="BV196" s="4438">
        <f t="shared" si="302"/>
        <v>0</v>
      </c>
      <c r="BW196" s="4438">
        <f t="shared" si="303"/>
        <v>0</v>
      </c>
      <c r="BX196" s="4438">
        <f t="shared" si="304"/>
        <v>0</v>
      </c>
      <c r="BY196" s="4438">
        <f t="shared" si="305"/>
        <v>0</v>
      </c>
    </row>
    <row r="197" spans="1:77" s="1292" customFormat="1">
      <c r="A197" s="2515">
        <v>5</v>
      </c>
      <c r="B197" s="2516" t="s">
        <v>714</v>
      </c>
      <c r="C197" s="2517">
        <v>0.1</v>
      </c>
      <c r="D197" s="2552" t="s">
        <v>407</v>
      </c>
      <c r="E197" s="4387">
        <f>+'11.3. ДА Базова година'!H158</f>
        <v>127</v>
      </c>
      <c r="F197" s="2617">
        <f>E197+SUMIF('11.2. ДА за периода'!$B$111:$B$131,$B197,'11.2. ДА за периода'!F$111:F$131)</f>
        <v>127</v>
      </c>
      <c r="G197" s="1110">
        <f>F197+SUMIF('11.2. ДА за периода'!$B$111:$B$131,$B197,'11.2. ДА за периода'!G$111:G$131)</f>
        <v>127</v>
      </c>
      <c r="H197" s="1110">
        <f>G197+SUMIF('11.2. ДА за периода'!$B$111:$B$131,$B197,'11.2. ДА за периода'!H$111:H$131)</f>
        <v>127</v>
      </c>
      <c r="I197" s="1110">
        <f>H197+SUMIF('11.2. ДА за периода'!$B$111:$B$131,$B197,'11.2. ДА за периода'!I$111:I$131)</f>
        <v>127</v>
      </c>
      <c r="J197" s="1110">
        <f>I197+SUMIF('11.2. ДА за периода'!$B$111:$B$131,$B197,'11.2. ДА за периода'!J$111:J$131)</f>
        <v>127</v>
      </c>
      <c r="K197" s="2618">
        <f>J197+SUMIF('11.2. ДА за периода'!$B$111:$B$131,$B197,'11.2. ДА за периода'!K$111:K$131)</f>
        <v>127</v>
      </c>
      <c r="L197" s="4387">
        <f>+'11.3. ДА Базова година'!L158</f>
        <v>19</v>
      </c>
      <c r="M197" s="2617">
        <f>L197+SUMIF('11.2. ДА за периода'!$B$111:$B$131,$B197,'11.2. ДА за периода'!M$111:M$131)</f>
        <v>19</v>
      </c>
      <c r="N197" s="1110">
        <f>M197+SUMIF('11.2. ДА за периода'!$B$111:$B$131,$B197,'11.2. ДА за периода'!N$111:N$131)</f>
        <v>19</v>
      </c>
      <c r="O197" s="1110">
        <f>N197+SUMIF('11.2. ДА за периода'!$B$111:$B$131,$B197,'11.2. ДА за периода'!O$111:O$131)</f>
        <v>19</v>
      </c>
      <c r="P197" s="1110">
        <f>O197+SUMIF('11.2. ДА за периода'!$B$111:$B$131,$B197,'11.2. ДА за периода'!P$111:P$131)</f>
        <v>19</v>
      </c>
      <c r="Q197" s="1110">
        <f>P197+SUMIF('11.2. ДА за периода'!$B$111:$B$131,$B197,'11.2. ДА за периода'!Q$111:Q$131)</f>
        <v>19</v>
      </c>
      <c r="R197" s="2618">
        <f>Q197+SUMIF('11.2. ДА за периода'!$B$111:$B$131,$B197,'11.2. ДА за периода'!R$111:R$131)</f>
        <v>19</v>
      </c>
      <c r="S197" s="4387">
        <f>+'11.3. ДА Базова година'!P158</f>
        <v>0</v>
      </c>
      <c r="T197" s="2617">
        <f>S197+SUMIF('11.2. ДА за периода'!$B$111:$B$131,$B197,'11.2. ДА за периода'!T$111:T$131)</f>
        <v>0</v>
      </c>
      <c r="U197" s="1110">
        <f>T197+SUMIF('11.2. ДА за периода'!$B$111:$B$131,$B197,'11.2. ДА за периода'!U$111:U$131)</f>
        <v>0</v>
      </c>
      <c r="V197" s="1110">
        <f>U197+SUMIF('11.2. ДА за периода'!$B$111:$B$131,$B197,'11.2. ДА за периода'!V$111:V$131)</f>
        <v>0</v>
      </c>
      <c r="W197" s="1110">
        <f>V197+SUMIF('11.2. ДА за периода'!$B$111:$B$131,$B197,'11.2. ДА за периода'!W$111:W$131)</f>
        <v>0</v>
      </c>
      <c r="X197" s="1110">
        <f>W197+SUMIF('11.2. ДА за периода'!$B$111:$B$131,$B197,'11.2. ДА за периода'!X$111:X$131)</f>
        <v>0</v>
      </c>
      <c r="Y197" s="2618">
        <f>X197+SUMIF('11.2. ДА за периода'!$B$111:$B$131,$B197,'11.2. ДА за периода'!Y$111:Y$131)</f>
        <v>0</v>
      </c>
      <c r="Z197" s="4387">
        <f>+'11.3. ДА Базова година'!T158</f>
        <v>0</v>
      </c>
      <c r="AA197" s="2617">
        <f>Z197+SUMIF('11.2. ДА за периода'!$B$111:$B$131,$B197,'11.2. ДА за периода'!AA$111:AA$131)</f>
        <v>0</v>
      </c>
      <c r="AB197" s="1110">
        <f>AA197+SUMIF('11.2. ДА за периода'!$B$111:$B$131,$B197,'11.2. ДА за периода'!AB$111:AB$131)</f>
        <v>0</v>
      </c>
      <c r="AC197" s="1110">
        <f>AB197+SUMIF('11.2. ДА за периода'!$B$111:$B$131,$B197,'11.2. ДА за периода'!AC$111:AC$131)</f>
        <v>0</v>
      </c>
      <c r="AD197" s="1110">
        <f>AC197+SUMIF('11.2. ДА за периода'!$B$111:$B$131,$B197,'11.2. ДА за периода'!AD$111:AD$131)</f>
        <v>0</v>
      </c>
      <c r="AE197" s="1110">
        <f>AD197+SUMIF('11.2. ДА за периода'!$B$111:$B$131,$B197,'11.2. ДА за периода'!AE$111:AE$131)</f>
        <v>0</v>
      </c>
      <c r="AF197" s="2618">
        <f>AE197+SUMIF('11.2. ДА за периода'!$B$111:$B$131,$B197,'11.2. ДА за периода'!AF$111:AF$131)</f>
        <v>0</v>
      </c>
      <c r="AG197" s="4387">
        <f>+'11.3. ДА Базова година'!X158</f>
        <v>0</v>
      </c>
      <c r="AH197" s="2617">
        <f>AG197+SUMIF('11.2. ДА за периода'!$B$111:$B$131,$B197,'11.2. ДА за периода'!AH$111:AH$131)</f>
        <v>0</v>
      </c>
      <c r="AI197" s="1110">
        <f>AH197+SUMIF('11.2. ДА за периода'!$B$111:$B$131,$B197,'11.2. ДА за периода'!AI$111:AI$131)</f>
        <v>0</v>
      </c>
      <c r="AJ197" s="1110">
        <f>AI197+SUMIF('11.2. ДА за периода'!$B$111:$B$131,$B197,'11.2. ДА за периода'!AJ$111:AJ$131)</f>
        <v>0</v>
      </c>
      <c r="AK197" s="1110">
        <f>AJ197+SUMIF('11.2. ДА за периода'!$B$111:$B$131,$B197,'11.2. ДА за периода'!AK$111:AK$131)</f>
        <v>0</v>
      </c>
      <c r="AL197" s="1110">
        <f>AK197+SUMIF('11.2. ДА за периода'!$B$111:$B$131,$B197,'11.2. ДА за периода'!AL$111:AL$131)</f>
        <v>0</v>
      </c>
      <c r="AM197" s="2618">
        <f>AL197+SUMIF('11.2. ДА за периода'!$B$111:$B$131,$B197,'11.2. ДА за периода'!AM$111:AM$131)</f>
        <v>0</v>
      </c>
      <c r="AN197" s="2513"/>
      <c r="AO197" s="2551"/>
      <c r="AP197" s="4422"/>
      <c r="AQ197" s="4438">
        <f t="shared" si="271"/>
        <v>64.934068911919752</v>
      </c>
      <c r="AR197" s="4438">
        <f t="shared" si="272"/>
        <v>64.934068911919752</v>
      </c>
      <c r="AS197" s="4438">
        <f t="shared" si="273"/>
        <v>64.934068911919752</v>
      </c>
      <c r="AT197" s="4438">
        <f t="shared" si="274"/>
        <v>64.934068911919752</v>
      </c>
      <c r="AU197" s="4438">
        <f t="shared" si="275"/>
        <v>64.934068911919752</v>
      </c>
      <c r="AV197" s="4438">
        <f t="shared" si="276"/>
        <v>64.934068911919752</v>
      </c>
      <c r="AW197" s="4438">
        <f t="shared" si="277"/>
        <v>64.934068911919752</v>
      </c>
      <c r="AX197" s="4438">
        <f t="shared" si="278"/>
        <v>9.7145457427281521</v>
      </c>
      <c r="AY197" s="4438">
        <f t="shared" si="279"/>
        <v>9.7145457427281521</v>
      </c>
      <c r="AZ197" s="4438">
        <f t="shared" si="280"/>
        <v>9.7145457427281521</v>
      </c>
      <c r="BA197" s="4438">
        <f t="shared" si="281"/>
        <v>9.7145457427281521</v>
      </c>
      <c r="BB197" s="4438">
        <f t="shared" si="282"/>
        <v>9.7145457427281521</v>
      </c>
      <c r="BC197" s="4438">
        <f t="shared" si="283"/>
        <v>9.7145457427281521</v>
      </c>
      <c r="BD197" s="4438">
        <f t="shared" si="284"/>
        <v>9.7145457427281521</v>
      </c>
      <c r="BE197" s="4438">
        <f t="shared" si="285"/>
        <v>0</v>
      </c>
      <c r="BF197" s="4438">
        <f t="shared" si="286"/>
        <v>0</v>
      </c>
      <c r="BG197" s="4438">
        <f t="shared" si="287"/>
        <v>0</v>
      </c>
      <c r="BH197" s="4438">
        <f t="shared" si="288"/>
        <v>0</v>
      </c>
      <c r="BI197" s="4438">
        <f t="shared" si="289"/>
        <v>0</v>
      </c>
      <c r="BJ197" s="4438">
        <f t="shared" si="290"/>
        <v>0</v>
      </c>
      <c r="BK197" s="4438">
        <f t="shared" si="291"/>
        <v>0</v>
      </c>
      <c r="BL197" s="4438">
        <f t="shared" si="292"/>
        <v>0</v>
      </c>
      <c r="BM197" s="4438">
        <f t="shared" si="293"/>
        <v>0</v>
      </c>
      <c r="BN197" s="4438">
        <f t="shared" si="294"/>
        <v>0</v>
      </c>
      <c r="BO197" s="4438">
        <f t="shared" si="295"/>
        <v>0</v>
      </c>
      <c r="BP197" s="4438">
        <f t="shared" si="296"/>
        <v>0</v>
      </c>
      <c r="BQ197" s="4438">
        <f t="shared" si="297"/>
        <v>0</v>
      </c>
      <c r="BR197" s="4438">
        <f t="shared" si="298"/>
        <v>0</v>
      </c>
      <c r="BS197" s="4438">
        <f t="shared" si="299"/>
        <v>0</v>
      </c>
      <c r="BT197" s="4438">
        <f t="shared" si="300"/>
        <v>0</v>
      </c>
      <c r="BU197" s="4438">
        <f t="shared" si="301"/>
        <v>0</v>
      </c>
      <c r="BV197" s="4438">
        <f t="shared" si="302"/>
        <v>0</v>
      </c>
      <c r="BW197" s="4438">
        <f t="shared" si="303"/>
        <v>0</v>
      </c>
      <c r="BX197" s="4438">
        <f t="shared" si="304"/>
        <v>0</v>
      </c>
      <c r="BY197" s="4438">
        <f t="shared" si="305"/>
        <v>0</v>
      </c>
    </row>
    <row r="198" spans="1:77" s="1292" customFormat="1">
      <c r="A198" s="2515">
        <v>6</v>
      </c>
      <c r="B198" s="2516" t="s">
        <v>715</v>
      </c>
      <c r="C198" s="2517">
        <v>0.1</v>
      </c>
      <c r="D198" s="2552" t="s">
        <v>1001</v>
      </c>
      <c r="E198" s="4387">
        <f>+'11.3. ДА Базова година'!H159</f>
        <v>204</v>
      </c>
      <c r="F198" s="2617">
        <f>E198+SUMIF('11.2. ДА за периода'!$B$111:$B$131,$B198,'11.2. ДА за периода'!F$111:F$131)</f>
        <v>204</v>
      </c>
      <c r="G198" s="1110">
        <f>F198+SUMIF('11.2. ДА за периода'!$B$111:$B$131,$B198,'11.2. ДА за периода'!G$111:G$131)</f>
        <v>204</v>
      </c>
      <c r="H198" s="1110">
        <f>G198+SUMIF('11.2. ДА за периода'!$B$111:$B$131,$B198,'11.2. ДА за периода'!H$111:H$131)</f>
        <v>204</v>
      </c>
      <c r="I198" s="1110">
        <f>H198+SUMIF('11.2. ДА за периода'!$B$111:$B$131,$B198,'11.2. ДА за периода'!I$111:I$131)</f>
        <v>204</v>
      </c>
      <c r="J198" s="1110">
        <f>I198+SUMIF('11.2. ДА за периода'!$B$111:$B$131,$B198,'11.2. ДА за периода'!J$111:J$131)</f>
        <v>204</v>
      </c>
      <c r="K198" s="2618">
        <f>J198+SUMIF('11.2. ДА за периода'!$B$111:$B$131,$B198,'11.2. ДА за периода'!K$111:K$131)</f>
        <v>204</v>
      </c>
      <c r="L198" s="4387">
        <f>+'11.3. ДА Базова година'!L159</f>
        <v>0</v>
      </c>
      <c r="M198" s="2617">
        <f>L198+SUMIF('11.2. ДА за периода'!$B$111:$B$131,$B198,'11.2. ДА за периода'!M$111:M$131)</f>
        <v>0</v>
      </c>
      <c r="N198" s="1110">
        <f>M198+SUMIF('11.2. ДА за периода'!$B$111:$B$131,$B198,'11.2. ДА за периода'!N$111:N$131)</f>
        <v>0</v>
      </c>
      <c r="O198" s="1110">
        <f>N198+SUMIF('11.2. ДА за периода'!$B$111:$B$131,$B198,'11.2. ДА за периода'!O$111:O$131)</f>
        <v>0</v>
      </c>
      <c r="P198" s="1110">
        <f>O198+SUMIF('11.2. ДА за периода'!$B$111:$B$131,$B198,'11.2. ДА за периода'!P$111:P$131)</f>
        <v>0</v>
      </c>
      <c r="Q198" s="1110">
        <f>P198+SUMIF('11.2. ДА за периода'!$B$111:$B$131,$B198,'11.2. ДА за периода'!Q$111:Q$131)</f>
        <v>0</v>
      </c>
      <c r="R198" s="2618">
        <f>Q198+SUMIF('11.2. ДА за периода'!$B$111:$B$131,$B198,'11.2. ДА за периода'!R$111:R$131)</f>
        <v>0</v>
      </c>
      <c r="S198" s="4387">
        <f>+'11.3. ДА Базова година'!P159</f>
        <v>0</v>
      </c>
      <c r="T198" s="2617">
        <f>S198+SUMIF('11.2. ДА за периода'!$B$111:$B$131,$B198,'11.2. ДА за периода'!T$111:T$131)</f>
        <v>0</v>
      </c>
      <c r="U198" s="1110">
        <f>T198+SUMIF('11.2. ДА за периода'!$B$111:$B$131,$B198,'11.2. ДА за периода'!U$111:U$131)</f>
        <v>0</v>
      </c>
      <c r="V198" s="1110">
        <f>U198+SUMIF('11.2. ДА за периода'!$B$111:$B$131,$B198,'11.2. ДА за периода'!V$111:V$131)</f>
        <v>0</v>
      </c>
      <c r="W198" s="1110">
        <f>V198+SUMIF('11.2. ДА за периода'!$B$111:$B$131,$B198,'11.2. ДА за периода'!W$111:W$131)</f>
        <v>0</v>
      </c>
      <c r="X198" s="1110">
        <f>W198+SUMIF('11.2. ДА за периода'!$B$111:$B$131,$B198,'11.2. ДА за периода'!X$111:X$131)</f>
        <v>0</v>
      </c>
      <c r="Y198" s="2618">
        <f>X198+SUMIF('11.2. ДА за периода'!$B$111:$B$131,$B198,'11.2. ДА за периода'!Y$111:Y$131)</f>
        <v>0</v>
      </c>
      <c r="Z198" s="4387">
        <f>+'11.3. ДА Базова година'!T159</f>
        <v>0</v>
      </c>
      <c r="AA198" s="2617">
        <f>Z198+SUMIF('11.2. ДА за периода'!$B$111:$B$131,$B198,'11.2. ДА за периода'!AA$111:AA$131)</f>
        <v>0</v>
      </c>
      <c r="AB198" s="1110">
        <f>AA198+SUMIF('11.2. ДА за периода'!$B$111:$B$131,$B198,'11.2. ДА за периода'!AB$111:AB$131)</f>
        <v>0</v>
      </c>
      <c r="AC198" s="1110">
        <f>AB198+SUMIF('11.2. ДА за периода'!$B$111:$B$131,$B198,'11.2. ДА за периода'!AC$111:AC$131)</f>
        <v>0</v>
      </c>
      <c r="AD198" s="1110">
        <f>AC198+SUMIF('11.2. ДА за периода'!$B$111:$B$131,$B198,'11.2. ДА за периода'!AD$111:AD$131)</f>
        <v>0</v>
      </c>
      <c r="AE198" s="1110">
        <f>AD198+SUMIF('11.2. ДА за периода'!$B$111:$B$131,$B198,'11.2. ДА за периода'!AE$111:AE$131)</f>
        <v>0</v>
      </c>
      <c r="AF198" s="2618">
        <f>AE198+SUMIF('11.2. ДА за периода'!$B$111:$B$131,$B198,'11.2. ДА за периода'!AF$111:AF$131)</f>
        <v>0</v>
      </c>
      <c r="AG198" s="4387">
        <f>+'11.3. ДА Базова година'!X159</f>
        <v>0</v>
      </c>
      <c r="AH198" s="2617">
        <f>AG198+SUMIF('11.2. ДА за периода'!$B$111:$B$131,$B198,'11.2. ДА за периода'!AH$111:AH$131)</f>
        <v>0</v>
      </c>
      <c r="AI198" s="1110">
        <f>AH198+SUMIF('11.2. ДА за периода'!$B$111:$B$131,$B198,'11.2. ДА за периода'!AI$111:AI$131)</f>
        <v>0</v>
      </c>
      <c r="AJ198" s="1110">
        <f>AI198+SUMIF('11.2. ДА за периода'!$B$111:$B$131,$B198,'11.2. ДА за периода'!AJ$111:AJ$131)</f>
        <v>0</v>
      </c>
      <c r="AK198" s="1110">
        <f>AJ198+SUMIF('11.2. ДА за периода'!$B$111:$B$131,$B198,'11.2. ДА за периода'!AK$111:AK$131)</f>
        <v>0</v>
      </c>
      <c r="AL198" s="1110">
        <f>AK198+SUMIF('11.2. ДА за периода'!$B$111:$B$131,$B198,'11.2. ДА за периода'!AL$111:AL$131)</f>
        <v>0</v>
      </c>
      <c r="AM198" s="2618">
        <f>AL198+SUMIF('11.2. ДА за периода'!$B$111:$B$131,$B198,'11.2. ДА за периода'!AM$111:AM$131)</f>
        <v>0</v>
      </c>
      <c r="AN198" s="2513"/>
      <c r="AO198" s="2551"/>
      <c r="AP198" s="4422"/>
      <c r="AQ198" s="4438">
        <f t="shared" si="271"/>
        <v>104.30354376402857</v>
      </c>
      <c r="AR198" s="4438">
        <f t="shared" si="272"/>
        <v>104.30354376402857</v>
      </c>
      <c r="AS198" s="4438">
        <f t="shared" si="273"/>
        <v>104.30354376402857</v>
      </c>
      <c r="AT198" s="4438">
        <f t="shared" si="274"/>
        <v>104.30354376402857</v>
      </c>
      <c r="AU198" s="4438">
        <f t="shared" si="275"/>
        <v>104.30354376402857</v>
      </c>
      <c r="AV198" s="4438">
        <f t="shared" si="276"/>
        <v>104.30354376402857</v>
      </c>
      <c r="AW198" s="4438">
        <f t="shared" si="277"/>
        <v>104.30354376402857</v>
      </c>
      <c r="AX198" s="4438">
        <f t="shared" si="278"/>
        <v>0</v>
      </c>
      <c r="AY198" s="4438">
        <f t="shared" si="279"/>
        <v>0</v>
      </c>
      <c r="AZ198" s="4438">
        <f t="shared" si="280"/>
        <v>0</v>
      </c>
      <c r="BA198" s="4438">
        <f t="shared" si="281"/>
        <v>0</v>
      </c>
      <c r="BB198" s="4438">
        <f t="shared" si="282"/>
        <v>0</v>
      </c>
      <c r="BC198" s="4438">
        <f t="shared" si="283"/>
        <v>0</v>
      </c>
      <c r="BD198" s="4438">
        <f t="shared" si="284"/>
        <v>0</v>
      </c>
      <c r="BE198" s="4438">
        <f t="shared" si="285"/>
        <v>0</v>
      </c>
      <c r="BF198" s="4438">
        <f t="shared" si="286"/>
        <v>0</v>
      </c>
      <c r="BG198" s="4438">
        <f t="shared" si="287"/>
        <v>0</v>
      </c>
      <c r="BH198" s="4438">
        <f t="shared" si="288"/>
        <v>0</v>
      </c>
      <c r="BI198" s="4438">
        <f t="shared" si="289"/>
        <v>0</v>
      </c>
      <c r="BJ198" s="4438">
        <f t="shared" si="290"/>
        <v>0</v>
      </c>
      <c r="BK198" s="4438">
        <f t="shared" si="291"/>
        <v>0</v>
      </c>
      <c r="BL198" s="4438">
        <f t="shared" si="292"/>
        <v>0</v>
      </c>
      <c r="BM198" s="4438">
        <f t="shared" si="293"/>
        <v>0</v>
      </c>
      <c r="BN198" s="4438">
        <f t="shared" si="294"/>
        <v>0</v>
      </c>
      <c r="BO198" s="4438">
        <f t="shared" si="295"/>
        <v>0</v>
      </c>
      <c r="BP198" s="4438">
        <f t="shared" si="296"/>
        <v>0</v>
      </c>
      <c r="BQ198" s="4438">
        <f t="shared" si="297"/>
        <v>0</v>
      </c>
      <c r="BR198" s="4438">
        <f t="shared" si="298"/>
        <v>0</v>
      </c>
      <c r="BS198" s="4438">
        <f t="shared" si="299"/>
        <v>0</v>
      </c>
      <c r="BT198" s="4438">
        <f t="shared" si="300"/>
        <v>0</v>
      </c>
      <c r="BU198" s="4438">
        <f t="shared" si="301"/>
        <v>0</v>
      </c>
      <c r="BV198" s="4438">
        <f t="shared" si="302"/>
        <v>0</v>
      </c>
      <c r="BW198" s="4438">
        <f t="shared" si="303"/>
        <v>0</v>
      </c>
      <c r="BX198" s="4438">
        <f t="shared" si="304"/>
        <v>0</v>
      </c>
      <c r="BY198" s="4438">
        <f t="shared" si="305"/>
        <v>0</v>
      </c>
    </row>
    <row r="199" spans="1:77" s="1292" customFormat="1" ht="24">
      <c r="A199" s="2515">
        <v>7</v>
      </c>
      <c r="B199" s="2516" t="s">
        <v>706</v>
      </c>
      <c r="C199" s="2517">
        <v>0.1</v>
      </c>
      <c r="D199" s="2552" t="s">
        <v>695</v>
      </c>
      <c r="E199" s="4387">
        <f>+'11.3. ДА Базова година'!H160</f>
        <v>306</v>
      </c>
      <c r="F199" s="2617">
        <f>E199+SUMIF('11.2. ДА за периода'!$B$111:$B$131,$B199,'11.2. ДА за периода'!F$111:F$131)</f>
        <v>306</v>
      </c>
      <c r="G199" s="1110">
        <f>F199+SUMIF('11.2. ДА за периода'!$B$111:$B$131,$B199,'11.2. ДА за периода'!G$111:G$131)</f>
        <v>306</v>
      </c>
      <c r="H199" s="1110">
        <f>G199+SUMIF('11.2. ДА за периода'!$B$111:$B$131,$B199,'11.2. ДА за периода'!H$111:H$131)</f>
        <v>306</v>
      </c>
      <c r="I199" s="1110">
        <f>H199+SUMIF('11.2. ДА за периода'!$B$111:$B$131,$B199,'11.2. ДА за периода'!I$111:I$131)</f>
        <v>306</v>
      </c>
      <c r="J199" s="1110">
        <f>I199+SUMIF('11.2. ДА за периода'!$B$111:$B$131,$B199,'11.2. ДА за периода'!J$111:J$131)</f>
        <v>306</v>
      </c>
      <c r="K199" s="2618">
        <f>J199+SUMIF('11.2. ДА за периода'!$B$111:$B$131,$B199,'11.2. ДА за периода'!K$111:K$131)</f>
        <v>306</v>
      </c>
      <c r="L199" s="4387">
        <f>+'11.3. ДА Базова година'!L160</f>
        <v>0</v>
      </c>
      <c r="M199" s="2617">
        <f>L199+SUMIF('11.2. ДА за периода'!$B$111:$B$131,$B199,'11.2. ДА за периода'!M$111:M$131)</f>
        <v>0</v>
      </c>
      <c r="N199" s="1110">
        <f>M199+SUMIF('11.2. ДА за периода'!$B$111:$B$131,$B199,'11.2. ДА за периода'!N$111:N$131)</f>
        <v>0</v>
      </c>
      <c r="O199" s="1110">
        <f>N199+SUMIF('11.2. ДА за периода'!$B$111:$B$131,$B199,'11.2. ДА за периода'!O$111:O$131)</f>
        <v>0</v>
      </c>
      <c r="P199" s="1110">
        <f>O199+SUMIF('11.2. ДА за периода'!$B$111:$B$131,$B199,'11.2. ДА за периода'!P$111:P$131)</f>
        <v>0</v>
      </c>
      <c r="Q199" s="1110">
        <f>P199+SUMIF('11.2. ДА за периода'!$B$111:$B$131,$B199,'11.2. ДА за периода'!Q$111:Q$131)</f>
        <v>0</v>
      </c>
      <c r="R199" s="2618">
        <f>Q199+SUMIF('11.2. ДА за периода'!$B$111:$B$131,$B199,'11.2. ДА за периода'!R$111:R$131)</f>
        <v>0</v>
      </c>
      <c r="S199" s="4387">
        <f>+'11.3. ДА Базова година'!P160</f>
        <v>0</v>
      </c>
      <c r="T199" s="2617">
        <f>S199+SUMIF('11.2. ДА за периода'!$B$111:$B$131,$B199,'11.2. ДА за периода'!T$111:T$131)</f>
        <v>0</v>
      </c>
      <c r="U199" s="1110">
        <f>T199+SUMIF('11.2. ДА за периода'!$B$111:$B$131,$B199,'11.2. ДА за периода'!U$111:U$131)</f>
        <v>0</v>
      </c>
      <c r="V199" s="1110">
        <f>U199+SUMIF('11.2. ДА за периода'!$B$111:$B$131,$B199,'11.2. ДА за периода'!V$111:V$131)</f>
        <v>0</v>
      </c>
      <c r="W199" s="1110">
        <f>V199+SUMIF('11.2. ДА за периода'!$B$111:$B$131,$B199,'11.2. ДА за периода'!W$111:W$131)</f>
        <v>0</v>
      </c>
      <c r="X199" s="1110">
        <f>W199+SUMIF('11.2. ДА за периода'!$B$111:$B$131,$B199,'11.2. ДА за периода'!X$111:X$131)</f>
        <v>0</v>
      </c>
      <c r="Y199" s="2618">
        <f>X199+SUMIF('11.2. ДА за периода'!$B$111:$B$131,$B199,'11.2. ДА за периода'!Y$111:Y$131)</f>
        <v>0</v>
      </c>
      <c r="Z199" s="4387">
        <f>+'11.3. ДА Базова година'!T160</f>
        <v>0</v>
      </c>
      <c r="AA199" s="2617">
        <f>Z199+SUMIF('11.2. ДА за периода'!$B$111:$B$131,$B199,'11.2. ДА за периода'!AA$111:AA$131)</f>
        <v>0</v>
      </c>
      <c r="AB199" s="1110">
        <f>AA199+SUMIF('11.2. ДА за периода'!$B$111:$B$131,$B199,'11.2. ДА за периода'!AB$111:AB$131)</f>
        <v>0</v>
      </c>
      <c r="AC199" s="1110">
        <f>AB199+SUMIF('11.2. ДА за периода'!$B$111:$B$131,$B199,'11.2. ДА за периода'!AC$111:AC$131)</f>
        <v>0</v>
      </c>
      <c r="AD199" s="1110">
        <f>AC199+SUMIF('11.2. ДА за периода'!$B$111:$B$131,$B199,'11.2. ДА за периода'!AD$111:AD$131)</f>
        <v>0</v>
      </c>
      <c r="AE199" s="1110">
        <f>AD199+SUMIF('11.2. ДА за периода'!$B$111:$B$131,$B199,'11.2. ДА за периода'!AE$111:AE$131)</f>
        <v>0</v>
      </c>
      <c r="AF199" s="2618">
        <f>AE199+SUMIF('11.2. ДА за периода'!$B$111:$B$131,$B199,'11.2. ДА за периода'!AF$111:AF$131)</f>
        <v>0</v>
      </c>
      <c r="AG199" s="4387">
        <f>+'11.3. ДА Базова година'!X160</f>
        <v>0</v>
      </c>
      <c r="AH199" s="2617">
        <f>AG199+SUMIF('11.2. ДА за периода'!$B$111:$B$131,$B199,'11.2. ДА за периода'!AH$111:AH$131)</f>
        <v>0</v>
      </c>
      <c r="AI199" s="1110">
        <f>AH199+SUMIF('11.2. ДА за периода'!$B$111:$B$131,$B199,'11.2. ДА за периода'!AI$111:AI$131)</f>
        <v>0</v>
      </c>
      <c r="AJ199" s="1110">
        <f>AI199+SUMIF('11.2. ДА за периода'!$B$111:$B$131,$B199,'11.2. ДА за периода'!AJ$111:AJ$131)</f>
        <v>0</v>
      </c>
      <c r="AK199" s="1110">
        <f>AJ199+SUMIF('11.2. ДА за периода'!$B$111:$B$131,$B199,'11.2. ДА за периода'!AK$111:AK$131)</f>
        <v>0</v>
      </c>
      <c r="AL199" s="1110">
        <f>AK199+SUMIF('11.2. ДА за периода'!$B$111:$B$131,$B199,'11.2. ДА за периода'!AL$111:AL$131)</f>
        <v>0</v>
      </c>
      <c r="AM199" s="2618">
        <f>AL199+SUMIF('11.2. ДА за периода'!$B$111:$B$131,$B199,'11.2. ДА за периода'!AM$111:AM$131)</f>
        <v>0</v>
      </c>
      <c r="AN199" s="2513"/>
      <c r="AO199" s="2551"/>
      <c r="AP199" s="4422"/>
      <c r="AQ199" s="4438">
        <f t="shared" si="271"/>
        <v>156.45531564604286</v>
      </c>
      <c r="AR199" s="4438">
        <f t="shared" si="272"/>
        <v>156.45531564604286</v>
      </c>
      <c r="AS199" s="4438">
        <f t="shared" si="273"/>
        <v>156.45531564604286</v>
      </c>
      <c r="AT199" s="4438">
        <f t="shared" si="274"/>
        <v>156.45531564604286</v>
      </c>
      <c r="AU199" s="4438">
        <f t="shared" si="275"/>
        <v>156.45531564604286</v>
      </c>
      <c r="AV199" s="4438">
        <f t="shared" si="276"/>
        <v>156.45531564604286</v>
      </c>
      <c r="AW199" s="4438">
        <f t="shared" si="277"/>
        <v>156.45531564604286</v>
      </c>
      <c r="AX199" s="4438">
        <f t="shared" si="278"/>
        <v>0</v>
      </c>
      <c r="AY199" s="4438">
        <f t="shared" si="279"/>
        <v>0</v>
      </c>
      <c r="AZ199" s="4438">
        <f t="shared" si="280"/>
        <v>0</v>
      </c>
      <c r="BA199" s="4438">
        <f t="shared" si="281"/>
        <v>0</v>
      </c>
      <c r="BB199" s="4438">
        <f t="shared" si="282"/>
        <v>0</v>
      </c>
      <c r="BC199" s="4438">
        <f t="shared" si="283"/>
        <v>0</v>
      </c>
      <c r="BD199" s="4438">
        <f t="shared" si="284"/>
        <v>0</v>
      </c>
      <c r="BE199" s="4438">
        <f t="shared" si="285"/>
        <v>0</v>
      </c>
      <c r="BF199" s="4438">
        <f t="shared" si="286"/>
        <v>0</v>
      </c>
      <c r="BG199" s="4438">
        <f t="shared" si="287"/>
        <v>0</v>
      </c>
      <c r="BH199" s="4438">
        <f t="shared" si="288"/>
        <v>0</v>
      </c>
      <c r="BI199" s="4438">
        <f t="shared" si="289"/>
        <v>0</v>
      </c>
      <c r="BJ199" s="4438">
        <f t="shared" si="290"/>
        <v>0</v>
      </c>
      <c r="BK199" s="4438">
        <f t="shared" si="291"/>
        <v>0</v>
      </c>
      <c r="BL199" s="4438">
        <f t="shared" si="292"/>
        <v>0</v>
      </c>
      <c r="BM199" s="4438">
        <f t="shared" si="293"/>
        <v>0</v>
      </c>
      <c r="BN199" s="4438">
        <f t="shared" si="294"/>
        <v>0</v>
      </c>
      <c r="BO199" s="4438">
        <f t="shared" si="295"/>
        <v>0</v>
      </c>
      <c r="BP199" s="4438">
        <f t="shared" si="296"/>
        <v>0</v>
      </c>
      <c r="BQ199" s="4438">
        <f t="shared" si="297"/>
        <v>0</v>
      </c>
      <c r="BR199" s="4438">
        <f t="shared" si="298"/>
        <v>0</v>
      </c>
      <c r="BS199" s="4438">
        <f t="shared" si="299"/>
        <v>0</v>
      </c>
      <c r="BT199" s="4438">
        <f t="shared" si="300"/>
        <v>0</v>
      </c>
      <c r="BU199" s="4438">
        <f t="shared" si="301"/>
        <v>0</v>
      </c>
      <c r="BV199" s="4438">
        <f t="shared" si="302"/>
        <v>0</v>
      </c>
      <c r="BW199" s="4438">
        <f t="shared" si="303"/>
        <v>0</v>
      </c>
      <c r="BX199" s="4438">
        <f t="shared" si="304"/>
        <v>0</v>
      </c>
      <c r="BY199" s="4438">
        <f t="shared" si="305"/>
        <v>0</v>
      </c>
    </row>
    <row r="200" spans="1:77" s="1292" customFormat="1">
      <c r="A200" s="2515">
        <v>8</v>
      </c>
      <c r="B200" s="2516" t="s">
        <v>716</v>
      </c>
      <c r="C200" s="2517">
        <v>0.1</v>
      </c>
      <c r="D200" s="2552" t="s">
        <v>713</v>
      </c>
      <c r="E200" s="4387">
        <f>+'11.3. ДА Базова година'!H161</f>
        <v>6599</v>
      </c>
      <c r="F200" s="2617">
        <f>E200+SUMIF('11.2. ДА за периода'!$B$111:$B$131,$B200,'11.2. ДА за периода'!F$111:F$131)</f>
        <v>6599</v>
      </c>
      <c r="G200" s="1110">
        <f>F200+SUMIF('11.2. ДА за периода'!$B$111:$B$131,$B200,'11.2. ДА за периода'!G$111:G$131)</f>
        <v>6599</v>
      </c>
      <c r="H200" s="1110">
        <f>G200+SUMIF('11.2. ДА за периода'!$B$111:$B$131,$B200,'11.2. ДА за периода'!H$111:H$131)</f>
        <v>6599</v>
      </c>
      <c r="I200" s="1110">
        <f>H200+SUMIF('11.2. ДА за периода'!$B$111:$B$131,$B200,'11.2. ДА за периода'!I$111:I$131)</f>
        <v>6599</v>
      </c>
      <c r="J200" s="1110">
        <f>I200+SUMIF('11.2. ДА за периода'!$B$111:$B$131,$B200,'11.2. ДА за периода'!J$111:J$131)</f>
        <v>6599</v>
      </c>
      <c r="K200" s="2618">
        <f>J200+SUMIF('11.2. ДА за периода'!$B$111:$B$131,$B200,'11.2. ДА за периода'!K$111:K$131)</f>
        <v>6599</v>
      </c>
      <c r="L200" s="4387">
        <f>+'11.3. ДА Базова година'!L161</f>
        <v>0</v>
      </c>
      <c r="M200" s="2617">
        <f>L200+SUMIF('11.2. ДА за периода'!$B$111:$B$131,$B200,'11.2. ДА за периода'!M$111:M$131)</f>
        <v>0</v>
      </c>
      <c r="N200" s="1110">
        <f>M200+SUMIF('11.2. ДА за периода'!$B$111:$B$131,$B200,'11.2. ДА за периода'!N$111:N$131)</f>
        <v>0</v>
      </c>
      <c r="O200" s="1110">
        <f>N200+SUMIF('11.2. ДА за периода'!$B$111:$B$131,$B200,'11.2. ДА за периода'!O$111:O$131)</f>
        <v>0</v>
      </c>
      <c r="P200" s="1110">
        <f>O200+SUMIF('11.2. ДА за периода'!$B$111:$B$131,$B200,'11.2. ДА за периода'!P$111:P$131)</f>
        <v>0</v>
      </c>
      <c r="Q200" s="1110">
        <f>P200+SUMIF('11.2. ДА за периода'!$B$111:$B$131,$B200,'11.2. ДА за периода'!Q$111:Q$131)</f>
        <v>0</v>
      </c>
      <c r="R200" s="2618">
        <f>Q200+SUMIF('11.2. ДА за периода'!$B$111:$B$131,$B200,'11.2. ДА за периода'!R$111:R$131)</f>
        <v>0</v>
      </c>
      <c r="S200" s="4387">
        <f>+'11.3. ДА Базова година'!P161</f>
        <v>0</v>
      </c>
      <c r="T200" s="2617">
        <f>S200+SUMIF('11.2. ДА за периода'!$B$111:$B$131,$B200,'11.2. ДА за периода'!T$111:T$131)</f>
        <v>0</v>
      </c>
      <c r="U200" s="1110">
        <f>T200+SUMIF('11.2. ДА за периода'!$B$111:$B$131,$B200,'11.2. ДА за периода'!U$111:U$131)</f>
        <v>0</v>
      </c>
      <c r="V200" s="1110">
        <f>U200+SUMIF('11.2. ДА за периода'!$B$111:$B$131,$B200,'11.2. ДА за периода'!V$111:V$131)</f>
        <v>0</v>
      </c>
      <c r="W200" s="1110">
        <f>V200+SUMIF('11.2. ДА за периода'!$B$111:$B$131,$B200,'11.2. ДА за периода'!W$111:W$131)</f>
        <v>0</v>
      </c>
      <c r="X200" s="1110">
        <f>W200+SUMIF('11.2. ДА за периода'!$B$111:$B$131,$B200,'11.2. ДА за периода'!X$111:X$131)</f>
        <v>0</v>
      </c>
      <c r="Y200" s="2618">
        <f>X200+SUMIF('11.2. ДА за периода'!$B$111:$B$131,$B200,'11.2. ДА за периода'!Y$111:Y$131)</f>
        <v>0</v>
      </c>
      <c r="Z200" s="4387">
        <f>+'11.3. ДА Базова година'!T161</f>
        <v>0</v>
      </c>
      <c r="AA200" s="2617">
        <f>Z200+SUMIF('11.2. ДА за периода'!$B$111:$B$131,$B200,'11.2. ДА за периода'!AA$111:AA$131)</f>
        <v>0</v>
      </c>
      <c r="AB200" s="1110">
        <f>AA200+SUMIF('11.2. ДА за периода'!$B$111:$B$131,$B200,'11.2. ДА за периода'!AB$111:AB$131)</f>
        <v>0</v>
      </c>
      <c r="AC200" s="1110">
        <f>AB200+SUMIF('11.2. ДА за периода'!$B$111:$B$131,$B200,'11.2. ДА за периода'!AC$111:AC$131)</f>
        <v>0</v>
      </c>
      <c r="AD200" s="1110">
        <f>AC200+SUMIF('11.2. ДА за периода'!$B$111:$B$131,$B200,'11.2. ДА за периода'!AD$111:AD$131)</f>
        <v>0</v>
      </c>
      <c r="AE200" s="1110">
        <f>AD200+SUMIF('11.2. ДА за периода'!$B$111:$B$131,$B200,'11.2. ДА за периода'!AE$111:AE$131)</f>
        <v>0</v>
      </c>
      <c r="AF200" s="2618">
        <f>AE200+SUMIF('11.2. ДА за периода'!$B$111:$B$131,$B200,'11.2. ДА за периода'!AF$111:AF$131)</f>
        <v>0</v>
      </c>
      <c r="AG200" s="4387">
        <f>+'11.3. ДА Базова година'!X161</f>
        <v>0</v>
      </c>
      <c r="AH200" s="2617">
        <f>AG200+SUMIF('11.2. ДА за периода'!$B$111:$B$131,$B200,'11.2. ДА за периода'!AH$111:AH$131)</f>
        <v>0</v>
      </c>
      <c r="AI200" s="1110">
        <f>AH200+SUMIF('11.2. ДА за периода'!$B$111:$B$131,$B200,'11.2. ДА за периода'!AI$111:AI$131)</f>
        <v>0</v>
      </c>
      <c r="AJ200" s="1110">
        <f>AI200+SUMIF('11.2. ДА за периода'!$B$111:$B$131,$B200,'11.2. ДА за периода'!AJ$111:AJ$131)</f>
        <v>0</v>
      </c>
      <c r="AK200" s="1110">
        <f>AJ200+SUMIF('11.2. ДА за периода'!$B$111:$B$131,$B200,'11.2. ДА за периода'!AK$111:AK$131)</f>
        <v>0</v>
      </c>
      <c r="AL200" s="1110">
        <f>AK200+SUMIF('11.2. ДА за периода'!$B$111:$B$131,$B200,'11.2. ДА за периода'!AL$111:AL$131)</f>
        <v>0</v>
      </c>
      <c r="AM200" s="2618">
        <f>AL200+SUMIF('11.2. ДА за периода'!$B$111:$B$131,$B200,'11.2. ДА за периода'!AM$111:AM$131)</f>
        <v>0</v>
      </c>
      <c r="AN200" s="2513"/>
      <c r="AO200" s="2551"/>
      <c r="AP200" s="4422"/>
      <c r="AQ200" s="4438">
        <f t="shared" si="271"/>
        <v>3374.0151240138457</v>
      </c>
      <c r="AR200" s="4438">
        <f t="shared" si="272"/>
        <v>3374.0151240138457</v>
      </c>
      <c r="AS200" s="4438">
        <f t="shared" si="273"/>
        <v>3374.0151240138457</v>
      </c>
      <c r="AT200" s="4438">
        <f t="shared" si="274"/>
        <v>3374.0151240138457</v>
      </c>
      <c r="AU200" s="4438">
        <f t="shared" si="275"/>
        <v>3374.0151240138457</v>
      </c>
      <c r="AV200" s="4438">
        <f t="shared" si="276"/>
        <v>3374.0151240138457</v>
      </c>
      <c r="AW200" s="4438">
        <f t="shared" si="277"/>
        <v>3374.0151240138457</v>
      </c>
      <c r="AX200" s="4438">
        <f t="shared" si="278"/>
        <v>0</v>
      </c>
      <c r="AY200" s="4438">
        <f t="shared" si="279"/>
        <v>0</v>
      </c>
      <c r="AZ200" s="4438">
        <f t="shared" si="280"/>
        <v>0</v>
      </c>
      <c r="BA200" s="4438">
        <f t="shared" si="281"/>
        <v>0</v>
      </c>
      <c r="BB200" s="4438">
        <f t="shared" si="282"/>
        <v>0</v>
      </c>
      <c r="BC200" s="4438">
        <f t="shared" si="283"/>
        <v>0</v>
      </c>
      <c r="BD200" s="4438">
        <f t="shared" si="284"/>
        <v>0</v>
      </c>
      <c r="BE200" s="4438">
        <f t="shared" si="285"/>
        <v>0</v>
      </c>
      <c r="BF200" s="4438">
        <f t="shared" si="286"/>
        <v>0</v>
      </c>
      <c r="BG200" s="4438">
        <f t="shared" si="287"/>
        <v>0</v>
      </c>
      <c r="BH200" s="4438">
        <f t="shared" si="288"/>
        <v>0</v>
      </c>
      <c r="BI200" s="4438">
        <f t="shared" si="289"/>
        <v>0</v>
      </c>
      <c r="BJ200" s="4438">
        <f t="shared" si="290"/>
        <v>0</v>
      </c>
      <c r="BK200" s="4438">
        <f t="shared" si="291"/>
        <v>0</v>
      </c>
      <c r="BL200" s="4438">
        <f t="shared" si="292"/>
        <v>0</v>
      </c>
      <c r="BM200" s="4438">
        <f t="shared" si="293"/>
        <v>0</v>
      </c>
      <c r="BN200" s="4438">
        <f t="shared" si="294"/>
        <v>0</v>
      </c>
      <c r="BO200" s="4438">
        <f t="shared" si="295"/>
        <v>0</v>
      </c>
      <c r="BP200" s="4438">
        <f t="shared" si="296"/>
        <v>0</v>
      </c>
      <c r="BQ200" s="4438">
        <f t="shared" si="297"/>
        <v>0</v>
      </c>
      <c r="BR200" s="4438">
        <f t="shared" si="298"/>
        <v>0</v>
      </c>
      <c r="BS200" s="4438">
        <f t="shared" si="299"/>
        <v>0</v>
      </c>
      <c r="BT200" s="4438">
        <f t="shared" si="300"/>
        <v>0</v>
      </c>
      <c r="BU200" s="4438">
        <f t="shared" si="301"/>
        <v>0</v>
      </c>
      <c r="BV200" s="4438">
        <f t="shared" si="302"/>
        <v>0</v>
      </c>
      <c r="BW200" s="4438">
        <f t="shared" si="303"/>
        <v>0</v>
      </c>
      <c r="BX200" s="4438">
        <f t="shared" si="304"/>
        <v>0</v>
      </c>
      <c r="BY200" s="4438">
        <f t="shared" si="305"/>
        <v>0</v>
      </c>
    </row>
    <row r="201" spans="1:77" s="1292" customFormat="1">
      <c r="A201" s="2573">
        <v>9</v>
      </c>
      <c r="B201" s="2516">
        <v>911306</v>
      </c>
      <c r="C201" s="2517">
        <v>0.1</v>
      </c>
      <c r="D201" s="2552" t="s">
        <v>1032</v>
      </c>
      <c r="E201" s="4387">
        <f>+'11.3. ДА Базова година'!H162</f>
        <v>199</v>
      </c>
      <c r="F201" s="2617">
        <f>E201+SUMIF('11.2. ДА за периода'!$B$111:$B$131,$B201,'11.2. ДА за периода'!F$111:F$131)</f>
        <v>199</v>
      </c>
      <c r="G201" s="1110">
        <f>F201+SUMIF('11.2. ДА за периода'!$B$111:$B$131,$B201,'11.2. ДА за периода'!G$111:G$131)</f>
        <v>199</v>
      </c>
      <c r="H201" s="1110">
        <f>G201+SUMIF('11.2. ДА за периода'!$B$111:$B$131,$B201,'11.2. ДА за периода'!H$111:H$131)</f>
        <v>199</v>
      </c>
      <c r="I201" s="1110">
        <f>H201+SUMIF('11.2. ДА за периода'!$B$111:$B$131,$B201,'11.2. ДА за периода'!I$111:I$131)</f>
        <v>199</v>
      </c>
      <c r="J201" s="1110">
        <f>I201+SUMIF('11.2. ДА за периода'!$B$111:$B$131,$B201,'11.2. ДА за периода'!J$111:J$131)</f>
        <v>199</v>
      </c>
      <c r="K201" s="2618">
        <f>J201+SUMIF('11.2. ДА за периода'!$B$111:$B$131,$B201,'11.2. ДА за периода'!K$111:K$131)</f>
        <v>199</v>
      </c>
      <c r="L201" s="4387">
        <f>+'11.3. ДА Базова година'!L162</f>
        <v>309</v>
      </c>
      <c r="M201" s="2617">
        <f>L201+SUMIF('11.2. ДА за периода'!$B$111:$B$131,$B201,'11.2. ДА за периода'!M$111:M$131)</f>
        <v>309</v>
      </c>
      <c r="N201" s="1110">
        <f>M201+SUMIF('11.2. ДА за периода'!$B$111:$B$131,$B201,'11.2. ДА за периода'!N$111:N$131)</f>
        <v>309</v>
      </c>
      <c r="O201" s="1110">
        <f>N201+SUMIF('11.2. ДА за периода'!$B$111:$B$131,$B201,'11.2. ДА за периода'!O$111:O$131)</f>
        <v>309</v>
      </c>
      <c r="P201" s="1110">
        <f>O201+SUMIF('11.2. ДА за периода'!$B$111:$B$131,$B201,'11.2. ДА за периода'!P$111:P$131)</f>
        <v>309</v>
      </c>
      <c r="Q201" s="1110">
        <f>P201+SUMIF('11.2. ДА за периода'!$B$111:$B$131,$B201,'11.2. ДА за периода'!Q$111:Q$131)</f>
        <v>309</v>
      </c>
      <c r="R201" s="2618">
        <f>Q201+SUMIF('11.2. ДА за периода'!$B$111:$B$131,$B201,'11.2. ДА за периода'!R$111:R$131)</f>
        <v>309</v>
      </c>
      <c r="S201" s="4387">
        <f>+'11.3. ДА Базова година'!P162</f>
        <v>17597</v>
      </c>
      <c r="T201" s="2617">
        <f>S201+SUMIF('11.2. ДА за периода'!$B$111:$B$131,$B201,'11.2. ДА за периода'!T$111:T$131)</f>
        <v>17597</v>
      </c>
      <c r="U201" s="1110">
        <f>T201+SUMIF('11.2. ДА за периода'!$B$111:$B$131,$B201,'11.2. ДА за периода'!U$111:U$131)</f>
        <v>17597</v>
      </c>
      <c r="V201" s="1110">
        <f>U201+SUMIF('11.2. ДА за периода'!$B$111:$B$131,$B201,'11.2. ДА за периода'!V$111:V$131)</f>
        <v>17597</v>
      </c>
      <c r="W201" s="1110">
        <f>V201+SUMIF('11.2. ДА за периода'!$B$111:$B$131,$B201,'11.2. ДА за периода'!W$111:W$131)</f>
        <v>17597</v>
      </c>
      <c r="X201" s="1110">
        <f>W201+SUMIF('11.2. ДА за периода'!$B$111:$B$131,$B201,'11.2. ДА за периода'!X$111:X$131)</f>
        <v>17597</v>
      </c>
      <c r="Y201" s="2618">
        <f>X201+SUMIF('11.2. ДА за периода'!$B$111:$B$131,$B201,'11.2. ДА за периода'!Y$111:Y$131)</f>
        <v>17597</v>
      </c>
      <c r="Z201" s="4387">
        <f>+'11.3. ДА Базова година'!T162</f>
        <v>0</v>
      </c>
      <c r="AA201" s="2617">
        <f>Z201+SUMIF('11.2. ДА за периода'!$B$111:$B$131,$B201,'11.2. ДА за периода'!AA$111:AA$131)</f>
        <v>0</v>
      </c>
      <c r="AB201" s="1110">
        <f>AA201+SUMIF('11.2. ДА за периода'!$B$111:$B$131,$B201,'11.2. ДА за периода'!AB$111:AB$131)</f>
        <v>0</v>
      </c>
      <c r="AC201" s="1110">
        <f>AB201+SUMIF('11.2. ДА за периода'!$B$111:$B$131,$B201,'11.2. ДА за периода'!AC$111:AC$131)</f>
        <v>0</v>
      </c>
      <c r="AD201" s="1110">
        <f>AC201+SUMIF('11.2. ДА за периода'!$B$111:$B$131,$B201,'11.2. ДА за периода'!AD$111:AD$131)</f>
        <v>0</v>
      </c>
      <c r="AE201" s="1110">
        <f>AD201+SUMIF('11.2. ДА за периода'!$B$111:$B$131,$B201,'11.2. ДА за периода'!AE$111:AE$131)</f>
        <v>0</v>
      </c>
      <c r="AF201" s="2618">
        <f>AE201+SUMIF('11.2. ДА за периода'!$B$111:$B$131,$B201,'11.2. ДА за периода'!AF$111:AF$131)</f>
        <v>0</v>
      </c>
      <c r="AG201" s="4387">
        <f>+'11.3. ДА Базова година'!X162</f>
        <v>0</v>
      </c>
      <c r="AH201" s="2617">
        <f>AG201+SUMIF('11.2. ДА за периода'!$B$111:$B$131,$B201,'11.2. ДА за периода'!AH$111:AH$131)</f>
        <v>0</v>
      </c>
      <c r="AI201" s="1110">
        <f>AH201+SUMIF('11.2. ДА за периода'!$B$111:$B$131,$B201,'11.2. ДА за периода'!AI$111:AI$131)</f>
        <v>0</v>
      </c>
      <c r="AJ201" s="1110">
        <f>AI201+SUMIF('11.2. ДА за периода'!$B$111:$B$131,$B201,'11.2. ДА за периода'!AJ$111:AJ$131)</f>
        <v>0</v>
      </c>
      <c r="AK201" s="1110">
        <f>AJ201+SUMIF('11.2. ДА за периода'!$B$111:$B$131,$B201,'11.2. ДА за периода'!AK$111:AK$131)</f>
        <v>0</v>
      </c>
      <c r="AL201" s="1110">
        <f>AK201+SUMIF('11.2. ДА за периода'!$B$111:$B$131,$B201,'11.2. ДА за периода'!AL$111:AL$131)</f>
        <v>0</v>
      </c>
      <c r="AM201" s="2618">
        <f>AL201+SUMIF('11.2. ДА за периода'!$B$111:$B$131,$B201,'11.2. ДА за периода'!AM$111:AM$131)</f>
        <v>0</v>
      </c>
      <c r="AN201" s="2513"/>
      <c r="AO201" s="2551"/>
      <c r="AP201" s="4422"/>
      <c r="AQ201" s="4438">
        <f t="shared" si="271"/>
        <v>101.74708435804749</v>
      </c>
      <c r="AR201" s="4438">
        <f t="shared" si="272"/>
        <v>101.74708435804749</v>
      </c>
      <c r="AS201" s="4438">
        <f t="shared" si="273"/>
        <v>101.74708435804749</v>
      </c>
      <c r="AT201" s="4438">
        <f t="shared" si="274"/>
        <v>101.74708435804749</v>
      </c>
      <c r="AU201" s="4438">
        <f t="shared" si="275"/>
        <v>101.74708435804749</v>
      </c>
      <c r="AV201" s="4438">
        <f t="shared" si="276"/>
        <v>101.74708435804749</v>
      </c>
      <c r="AW201" s="4438">
        <f t="shared" si="277"/>
        <v>101.74708435804749</v>
      </c>
      <c r="AX201" s="4438">
        <f t="shared" si="278"/>
        <v>157.98919128963152</v>
      </c>
      <c r="AY201" s="4438">
        <f t="shared" si="279"/>
        <v>157.98919128963152</v>
      </c>
      <c r="AZ201" s="4438">
        <f t="shared" si="280"/>
        <v>157.98919128963152</v>
      </c>
      <c r="BA201" s="4438">
        <f t="shared" si="281"/>
        <v>157.98919128963152</v>
      </c>
      <c r="BB201" s="4438">
        <f t="shared" si="282"/>
        <v>157.98919128963152</v>
      </c>
      <c r="BC201" s="4438">
        <f t="shared" si="283"/>
        <v>157.98919128963152</v>
      </c>
      <c r="BD201" s="4438">
        <f t="shared" si="284"/>
        <v>157.98919128963152</v>
      </c>
      <c r="BE201" s="4438">
        <f t="shared" si="285"/>
        <v>8997.2032334098567</v>
      </c>
      <c r="BF201" s="4438">
        <f t="shared" si="286"/>
        <v>8997.2032334098567</v>
      </c>
      <c r="BG201" s="4438">
        <f t="shared" si="287"/>
        <v>8997.2032334098567</v>
      </c>
      <c r="BH201" s="4438">
        <f t="shared" si="288"/>
        <v>8997.2032334098567</v>
      </c>
      <c r="BI201" s="4438">
        <f t="shared" si="289"/>
        <v>8997.2032334098567</v>
      </c>
      <c r="BJ201" s="4438">
        <f t="shared" si="290"/>
        <v>8997.2032334098567</v>
      </c>
      <c r="BK201" s="4438">
        <f t="shared" si="291"/>
        <v>8997.2032334098567</v>
      </c>
      <c r="BL201" s="4438">
        <f t="shared" si="292"/>
        <v>0</v>
      </c>
      <c r="BM201" s="4438">
        <f t="shared" si="293"/>
        <v>0</v>
      </c>
      <c r="BN201" s="4438">
        <f t="shared" si="294"/>
        <v>0</v>
      </c>
      <c r="BO201" s="4438">
        <f t="shared" si="295"/>
        <v>0</v>
      </c>
      <c r="BP201" s="4438">
        <f t="shared" si="296"/>
        <v>0</v>
      </c>
      <c r="BQ201" s="4438">
        <f t="shared" si="297"/>
        <v>0</v>
      </c>
      <c r="BR201" s="4438">
        <f t="shared" si="298"/>
        <v>0</v>
      </c>
      <c r="BS201" s="4438">
        <f t="shared" si="299"/>
        <v>0</v>
      </c>
      <c r="BT201" s="4438">
        <f t="shared" si="300"/>
        <v>0</v>
      </c>
      <c r="BU201" s="4438">
        <f t="shared" si="301"/>
        <v>0</v>
      </c>
      <c r="BV201" s="4438">
        <f t="shared" si="302"/>
        <v>0</v>
      </c>
      <c r="BW201" s="4438">
        <f t="shared" si="303"/>
        <v>0</v>
      </c>
      <c r="BX201" s="4438">
        <f t="shared" si="304"/>
        <v>0</v>
      </c>
      <c r="BY201" s="4438">
        <f t="shared" si="305"/>
        <v>0</v>
      </c>
    </row>
    <row r="202" spans="1:77" s="1292" customFormat="1">
      <c r="A202" s="2573">
        <v>10</v>
      </c>
      <c r="B202" s="2516">
        <v>91140101</v>
      </c>
      <c r="C202" s="2572">
        <v>0.1</v>
      </c>
      <c r="D202" s="2546" t="s">
        <v>1016</v>
      </c>
      <c r="E202" s="4387">
        <f>+'11.3. ДА Базова година'!H163</f>
        <v>245</v>
      </c>
      <c r="F202" s="2617">
        <f>E202+SUMIF('11.2. ДА за периода'!$B$111:$B$131,$B202,'11.2. ДА за периода'!F$111:F$131)</f>
        <v>245</v>
      </c>
      <c r="G202" s="1110">
        <f>F202+SUMIF('11.2. ДА за периода'!$B$111:$B$131,$B202,'11.2. ДА за периода'!G$111:G$131)</f>
        <v>245</v>
      </c>
      <c r="H202" s="1110">
        <f>G202+SUMIF('11.2. ДА за периода'!$B$111:$B$131,$B202,'11.2. ДА за периода'!H$111:H$131)</f>
        <v>245</v>
      </c>
      <c r="I202" s="1110">
        <f>H202+SUMIF('11.2. ДА за периода'!$B$111:$B$131,$B202,'11.2. ДА за периода'!I$111:I$131)</f>
        <v>245</v>
      </c>
      <c r="J202" s="1110">
        <f>I202+SUMIF('11.2. ДА за периода'!$B$111:$B$131,$B202,'11.2. ДА за периода'!J$111:J$131)</f>
        <v>245</v>
      </c>
      <c r="K202" s="2618">
        <f>J202+SUMIF('11.2. ДА за периода'!$B$111:$B$131,$B202,'11.2. ДА за периода'!K$111:K$131)</f>
        <v>245</v>
      </c>
      <c r="L202" s="4387">
        <f>+'11.3. ДА Базова година'!L163</f>
        <v>0</v>
      </c>
      <c r="M202" s="2617">
        <f>L202+SUMIF('11.2. ДА за периода'!$B$111:$B$131,$B202,'11.2. ДА за периода'!M$111:M$131)</f>
        <v>0</v>
      </c>
      <c r="N202" s="1110">
        <f>M202+SUMIF('11.2. ДА за периода'!$B$111:$B$131,$B202,'11.2. ДА за периода'!N$111:N$131)</f>
        <v>0</v>
      </c>
      <c r="O202" s="1110">
        <f>N202+SUMIF('11.2. ДА за периода'!$B$111:$B$131,$B202,'11.2. ДА за периода'!O$111:O$131)</f>
        <v>0</v>
      </c>
      <c r="P202" s="1110">
        <f>O202+SUMIF('11.2. ДА за периода'!$B$111:$B$131,$B202,'11.2. ДА за периода'!P$111:P$131)</f>
        <v>0</v>
      </c>
      <c r="Q202" s="1110">
        <f>P202+SUMIF('11.2. ДА за периода'!$B$111:$B$131,$B202,'11.2. ДА за периода'!Q$111:Q$131)</f>
        <v>0</v>
      </c>
      <c r="R202" s="2618">
        <f>Q202+SUMIF('11.2. ДА за периода'!$B$111:$B$131,$B202,'11.2. ДА за периода'!R$111:R$131)</f>
        <v>0</v>
      </c>
      <c r="S202" s="4387">
        <f>+'11.3. ДА Базова година'!P163</f>
        <v>0</v>
      </c>
      <c r="T202" s="2617">
        <f>S202+SUMIF('11.2. ДА за периода'!$B$111:$B$131,$B202,'11.2. ДА за периода'!T$111:T$131)</f>
        <v>0</v>
      </c>
      <c r="U202" s="1110">
        <f>T202+SUMIF('11.2. ДА за периода'!$B$111:$B$131,$B202,'11.2. ДА за периода'!U$111:U$131)</f>
        <v>0</v>
      </c>
      <c r="V202" s="1110">
        <f>U202+SUMIF('11.2. ДА за периода'!$B$111:$B$131,$B202,'11.2. ДА за периода'!V$111:V$131)</f>
        <v>0</v>
      </c>
      <c r="W202" s="1110">
        <f>V202+SUMIF('11.2. ДА за периода'!$B$111:$B$131,$B202,'11.2. ДА за периода'!W$111:W$131)</f>
        <v>0</v>
      </c>
      <c r="X202" s="1110">
        <f>W202+SUMIF('11.2. ДА за периода'!$B$111:$B$131,$B202,'11.2. ДА за периода'!X$111:X$131)</f>
        <v>0</v>
      </c>
      <c r="Y202" s="2618">
        <f>X202+SUMIF('11.2. ДА за периода'!$B$111:$B$131,$B202,'11.2. ДА за периода'!Y$111:Y$131)</f>
        <v>0</v>
      </c>
      <c r="Z202" s="4387">
        <f>+'11.3. ДА Базова година'!T163</f>
        <v>0</v>
      </c>
      <c r="AA202" s="2617">
        <f>Z202+SUMIF('11.2. ДА за периода'!$B$111:$B$131,$B202,'11.2. ДА за периода'!AA$111:AA$131)</f>
        <v>0</v>
      </c>
      <c r="AB202" s="1110">
        <f>AA202+SUMIF('11.2. ДА за периода'!$B$111:$B$131,$B202,'11.2. ДА за периода'!AB$111:AB$131)</f>
        <v>0</v>
      </c>
      <c r="AC202" s="1110">
        <f>AB202+SUMIF('11.2. ДА за периода'!$B$111:$B$131,$B202,'11.2. ДА за периода'!AC$111:AC$131)</f>
        <v>0</v>
      </c>
      <c r="AD202" s="1110">
        <f>AC202+SUMIF('11.2. ДА за периода'!$B$111:$B$131,$B202,'11.2. ДА за периода'!AD$111:AD$131)</f>
        <v>0</v>
      </c>
      <c r="AE202" s="1110">
        <f>AD202+SUMIF('11.2. ДА за периода'!$B$111:$B$131,$B202,'11.2. ДА за периода'!AE$111:AE$131)</f>
        <v>0</v>
      </c>
      <c r="AF202" s="2618">
        <f>AE202+SUMIF('11.2. ДА за периода'!$B$111:$B$131,$B202,'11.2. ДА за периода'!AF$111:AF$131)</f>
        <v>0</v>
      </c>
      <c r="AG202" s="4387">
        <f>+'11.3. ДА Базова година'!X163</f>
        <v>0</v>
      </c>
      <c r="AH202" s="2617">
        <f>AG202+SUMIF('11.2. ДА за периода'!$B$111:$B$131,$B202,'11.2. ДА за периода'!AH$111:AH$131)</f>
        <v>0</v>
      </c>
      <c r="AI202" s="1110">
        <f>AH202+SUMIF('11.2. ДА за периода'!$B$111:$B$131,$B202,'11.2. ДА за периода'!AI$111:AI$131)</f>
        <v>0</v>
      </c>
      <c r="AJ202" s="1110">
        <f>AI202+SUMIF('11.2. ДА за периода'!$B$111:$B$131,$B202,'11.2. ДА за периода'!AJ$111:AJ$131)</f>
        <v>0</v>
      </c>
      <c r="AK202" s="1110">
        <f>AJ202+SUMIF('11.2. ДА за периода'!$B$111:$B$131,$B202,'11.2. ДА за периода'!AK$111:AK$131)</f>
        <v>0</v>
      </c>
      <c r="AL202" s="1110">
        <f>AK202+SUMIF('11.2. ДА за периода'!$B$111:$B$131,$B202,'11.2. ДА за периода'!AL$111:AL$131)</f>
        <v>0</v>
      </c>
      <c r="AM202" s="2618">
        <f>AL202+SUMIF('11.2. ДА за периода'!$B$111:$B$131,$B202,'11.2. ДА за периода'!AM$111:AM$131)</f>
        <v>0</v>
      </c>
      <c r="AN202" s="2513"/>
      <c r="AO202" s="2551"/>
      <c r="AP202" s="4422"/>
      <c r="AQ202" s="4438">
        <f t="shared" si="271"/>
        <v>125.26651089307353</v>
      </c>
      <c r="AR202" s="4438">
        <f t="shared" si="272"/>
        <v>125.26651089307353</v>
      </c>
      <c r="AS202" s="4438">
        <f t="shared" si="273"/>
        <v>125.26651089307353</v>
      </c>
      <c r="AT202" s="4438">
        <f t="shared" si="274"/>
        <v>125.26651089307353</v>
      </c>
      <c r="AU202" s="4438">
        <f t="shared" si="275"/>
        <v>125.26651089307353</v>
      </c>
      <c r="AV202" s="4438">
        <f t="shared" si="276"/>
        <v>125.26651089307353</v>
      </c>
      <c r="AW202" s="4438">
        <f t="shared" si="277"/>
        <v>125.26651089307353</v>
      </c>
      <c r="AX202" s="4438">
        <f t="shared" si="278"/>
        <v>0</v>
      </c>
      <c r="AY202" s="4438">
        <f t="shared" si="279"/>
        <v>0</v>
      </c>
      <c r="AZ202" s="4438">
        <f t="shared" si="280"/>
        <v>0</v>
      </c>
      <c r="BA202" s="4438">
        <f t="shared" si="281"/>
        <v>0</v>
      </c>
      <c r="BB202" s="4438">
        <f t="shared" si="282"/>
        <v>0</v>
      </c>
      <c r="BC202" s="4438">
        <f t="shared" si="283"/>
        <v>0</v>
      </c>
      <c r="BD202" s="4438">
        <f t="shared" si="284"/>
        <v>0</v>
      </c>
      <c r="BE202" s="4438">
        <f t="shared" si="285"/>
        <v>0</v>
      </c>
      <c r="BF202" s="4438">
        <f t="shared" si="286"/>
        <v>0</v>
      </c>
      <c r="BG202" s="4438">
        <f t="shared" si="287"/>
        <v>0</v>
      </c>
      <c r="BH202" s="4438">
        <f t="shared" si="288"/>
        <v>0</v>
      </c>
      <c r="BI202" s="4438">
        <f t="shared" si="289"/>
        <v>0</v>
      </c>
      <c r="BJ202" s="4438">
        <f t="shared" si="290"/>
        <v>0</v>
      </c>
      <c r="BK202" s="4438">
        <f t="shared" si="291"/>
        <v>0</v>
      </c>
      <c r="BL202" s="4438">
        <f t="shared" si="292"/>
        <v>0</v>
      </c>
      <c r="BM202" s="4438">
        <f t="shared" si="293"/>
        <v>0</v>
      </c>
      <c r="BN202" s="4438">
        <f t="shared" si="294"/>
        <v>0</v>
      </c>
      <c r="BO202" s="4438">
        <f t="shared" si="295"/>
        <v>0</v>
      </c>
      <c r="BP202" s="4438">
        <f t="shared" si="296"/>
        <v>0</v>
      </c>
      <c r="BQ202" s="4438">
        <f t="shared" si="297"/>
        <v>0</v>
      </c>
      <c r="BR202" s="4438">
        <f t="shared" si="298"/>
        <v>0</v>
      </c>
      <c r="BS202" s="4438">
        <f t="shared" si="299"/>
        <v>0</v>
      </c>
      <c r="BT202" s="4438">
        <f t="shared" si="300"/>
        <v>0</v>
      </c>
      <c r="BU202" s="4438">
        <f t="shared" si="301"/>
        <v>0</v>
      </c>
      <c r="BV202" s="4438">
        <f t="shared" si="302"/>
        <v>0</v>
      </c>
      <c r="BW202" s="4438">
        <f t="shared" si="303"/>
        <v>0</v>
      </c>
      <c r="BX202" s="4438">
        <f t="shared" si="304"/>
        <v>0</v>
      </c>
      <c r="BY202" s="4438">
        <f t="shared" si="305"/>
        <v>0</v>
      </c>
    </row>
    <row r="203" spans="1:77" s="1292" customFormat="1">
      <c r="A203" s="2573">
        <v>11</v>
      </c>
      <c r="B203" s="2516">
        <v>91140102</v>
      </c>
      <c r="C203" s="2572">
        <v>0.04</v>
      </c>
      <c r="D203" s="2546" t="s">
        <v>432</v>
      </c>
      <c r="E203" s="4387">
        <f>+'11.3. ДА Базова година'!H164</f>
        <v>0</v>
      </c>
      <c r="F203" s="2617">
        <f>E203+SUMIF('11.2. ДА за периода'!$B$111:$B$131,$B203,'11.2. ДА за периода'!F$111:F$131)</f>
        <v>0</v>
      </c>
      <c r="G203" s="1110">
        <f>F203+SUMIF('11.2. ДА за периода'!$B$111:$B$131,$B203,'11.2. ДА за периода'!G$111:G$131)</f>
        <v>0</v>
      </c>
      <c r="H203" s="1110">
        <f>G203+SUMIF('11.2. ДА за периода'!$B$111:$B$131,$B203,'11.2. ДА за периода'!H$111:H$131)</f>
        <v>0</v>
      </c>
      <c r="I203" s="1110">
        <f>H203+SUMIF('11.2. ДА за периода'!$B$111:$B$131,$B203,'11.2. ДА за периода'!I$111:I$131)</f>
        <v>0</v>
      </c>
      <c r="J203" s="1110">
        <f>I203+SUMIF('11.2. ДА за периода'!$B$111:$B$131,$B203,'11.2. ДА за периода'!J$111:J$131)</f>
        <v>0</v>
      </c>
      <c r="K203" s="2618">
        <f>J203+SUMIF('11.2. ДА за периода'!$B$111:$B$131,$B203,'11.2. ДА за периода'!K$111:K$131)</f>
        <v>0</v>
      </c>
      <c r="L203" s="4387">
        <f>+'11.3. ДА Базова година'!L164</f>
        <v>0</v>
      </c>
      <c r="M203" s="2617">
        <f>L203+SUMIF('11.2. ДА за периода'!$B$111:$B$131,$B203,'11.2. ДА за периода'!M$111:M$131)</f>
        <v>0</v>
      </c>
      <c r="N203" s="1110">
        <f>M203+SUMIF('11.2. ДА за периода'!$B$111:$B$131,$B203,'11.2. ДА за периода'!N$111:N$131)</f>
        <v>0</v>
      </c>
      <c r="O203" s="1110">
        <f>N203+SUMIF('11.2. ДА за периода'!$B$111:$B$131,$B203,'11.2. ДА за периода'!O$111:O$131)</f>
        <v>0</v>
      </c>
      <c r="P203" s="1110">
        <f>O203+SUMIF('11.2. ДА за периода'!$B$111:$B$131,$B203,'11.2. ДА за периода'!P$111:P$131)</f>
        <v>0</v>
      </c>
      <c r="Q203" s="1110">
        <f>P203+SUMIF('11.2. ДА за периода'!$B$111:$B$131,$B203,'11.2. ДА за периода'!Q$111:Q$131)</f>
        <v>0</v>
      </c>
      <c r="R203" s="2618">
        <f>Q203+SUMIF('11.2. ДА за периода'!$B$111:$B$131,$B203,'11.2. ДА за периода'!R$111:R$131)</f>
        <v>0</v>
      </c>
      <c r="S203" s="4387">
        <f>+'11.3. ДА Базова година'!P164</f>
        <v>0</v>
      </c>
      <c r="T203" s="2617">
        <f>S203+SUMIF('11.2. ДА за периода'!$B$111:$B$131,$B203,'11.2. ДА за периода'!T$111:T$131)</f>
        <v>0</v>
      </c>
      <c r="U203" s="1110">
        <f>T203+SUMIF('11.2. ДА за периода'!$B$111:$B$131,$B203,'11.2. ДА за периода'!U$111:U$131)</f>
        <v>0</v>
      </c>
      <c r="V203" s="1110">
        <f>U203+SUMIF('11.2. ДА за периода'!$B$111:$B$131,$B203,'11.2. ДА за периода'!V$111:V$131)</f>
        <v>0</v>
      </c>
      <c r="W203" s="1110">
        <f>V203+SUMIF('11.2. ДА за периода'!$B$111:$B$131,$B203,'11.2. ДА за периода'!W$111:W$131)</f>
        <v>0</v>
      </c>
      <c r="X203" s="1110">
        <f>W203+SUMIF('11.2. ДА за периода'!$B$111:$B$131,$B203,'11.2. ДА за периода'!X$111:X$131)</f>
        <v>0</v>
      </c>
      <c r="Y203" s="2618">
        <f>X203+SUMIF('11.2. ДА за периода'!$B$111:$B$131,$B203,'11.2. ДА за периода'!Y$111:Y$131)</f>
        <v>0</v>
      </c>
      <c r="Z203" s="4387">
        <f>+'11.3. ДА Базова година'!T164</f>
        <v>0</v>
      </c>
      <c r="AA203" s="2617">
        <f>Z203+SUMIF('11.2. ДА за периода'!$B$111:$B$131,$B203,'11.2. ДА за периода'!AA$111:AA$131)</f>
        <v>0</v>
      </c>
      <c r="AB203" s="1110">
        <f>AA203+SUMIF('11.2. ДА за периода'!$B$111:$B$131,$B203,'11.2. ДА за периода'!AB$111:AB$131)</f>
        <v>0</v>
      </c>
      <c r="AC203" s="1110">
        <f>AB203+SUMIF('11.2. ДА за периода'!$B$111:$B$131,$B203,'11.2. ДА за периода'!AC$111:AC$131)</f>
        <v>0</v>
      </c>
      <c r="AD203" s="1110">
        <f>AC203+SUMIF('11.2. ДА за периода'!$B$111:$B$131,$B203,'11.2. ДА за периода'!AD$111:AD$131)</f>
        <v>0</v>
      </c>
      <c r="AE203" s="1110">
        <f>AD203+SUMIF('11.2. ДА за периода'!$B$111:$B$131,$B203,'11.2. ДА за периода'!AE$111:AE$131)</f>
        <v>0</v>
      </c>
      <c r="AF203" s="2618">
        <f>AE203+SUMIF('11.2. ДА за периода'!$B$111:$B$131,$B203,'11.2. ДА за периода'!AF$111:AF$131)</f>
        <v>0</v>
      </c>
      <c r="AG203" s="4387">
        <f>+'11.3. ДА Базова година'!X164</f>
        <v>0</v>
      </c>
      <c r="AH203" s="2617">
        <f>AG203+SUMIF('11.2. ДА за периода'!$B$111:$B$131,$B203,'11.2. ДА за периода'!AH$111:AH$131)</f>
        <v>0</v>
      </c>
      <c r="AI203" s="1110">
        <f>AH203+SUMIF('11.2. ДА за периода'!$B$111:$B$131,$B203,'11.2. ДА за периода'!AI$111:AI$131)</f>
        <v>0</v>
      </c>
      <c r="AJ203" s="1110">
        <f>AI203+SUMIF('11.2. ДА за периода'!$B$111:$B$131,$B203,'11.2. ДА за периода'!AJ$111:AJ$131)</f>
        <v>0</v>
      </c>
      <c r="AK203" s="1110">
        <f>AJ203+SUMIF('11.2. ДА за периода'!$B$111:$B$131,$B203,'11.2. ДА за периода'!AK$111:AK$131)</f>
        <v>0</v>
      </c>
      <c r="AL203" s="1110">
        <f>AK203+SUMIF('11.2. ДА за периода'!$B$111:$B$131,$B203,'11.2. ДА за периода'!AL$111:AL$131)</f>
        <v>0</v>
      </c>
      <c r="AM203" s="2618">
        <f>AL203+SUMIF('11.2. ДА за периода'!$B$111:$B$131,$B203,'11.2. ДА за периода'!AM$111:AM$131)</f>
        <v>0</v>
      </c>
      <c r="AN203" s="2513"/>
      <c r="AO203" s="2551"/>
      <c r="AP203" s="4422"/>
      <c r="AQ203" s="4438">
        <f t="shared" si="271"/>
        <v>0</v>
      </c>
      <c r="AR203" s="4438">
        <f t="shared" si="272"/>
        <v>0</v>
      </c>
      <c r="AS203" s="4438">
        <f t="shared" si="273"/>
        <v>0</v>
      </c>
      <c r="AT203" s="4438">
        <f t="shared" si="274"/>
        <v>0</v>
      </c>
      <c r="AU203" s="4438">
        <f t="shared" si="275"/>
        <v>0</v>
      </c>
      <c r="AV203" s="4438">
        <f t="shared" si="276"/>
        <v>0</v>
      </c>
      <c r="AW203" s="4438">
        <f t="shared" si="277"/>
        <v>0</v>
      </c>
      <c r="AX203" s="4438">
        <f t="shared" si="278"/>
        <v>0</v>
      </c>
      <c r="AY203" s="4438">
        <f t="shared" si="279"/>
        <v>0</v>
      </c>
      <c r="AZ203" s="4438">
        <f t="shared" si="280"/>
        <v>0</v>
      </c>
      <c r="BA203" s="4438">
        <f t="shared" si="281"/>
        <v>0</v>
      </c>
      <c r="BB203" s="4438">
        <f t="shared" si="282"/>
        <v>0</v>
      </c>
      <c r="BC203" s="4438">
        <f t="shared" si="283"/>
        <v>0</v>
      </c>
      <c r="BD203" s="4438">
        <f t="shared" si="284"/>
        <v>0</v>
      </c>
      <c r="BE203" s="4438">
        <f t="shared" si="285"/>
        <v>0</v>
      </c>
      <c r="BF203" s="4438">
        <f t="shared" si="286"/>
        <v>0</v>
      </c>
      <c r="BG203" s="4438">
        <f t="shared" si="287"/>
        <v>0</v>
      </c>
      <c r="BH203" s="4438">
        <f t="shared" si="288"/>
        <v>0</v>
      </c>
      <c r="BI203" s="4438">
        <f t="shared" si="289"/>
        <v>0</v>
      </c>
      <c r="BJ203" s="4438">
        <f t="shared" si="290"/>
        <v>0</v>
      </c>
      <c r="BK203" s="4438">
        <f t="shared" si="291"/>
        <v>0</v>
      </c>
      <c r="BL203" s="4438">
        <f t="shared" si="292"/>
        <v>0</v>
      </c>
      <c r="BM203" s="4438">
        <f t="shared" si="293"/>
        <v>0</v>
      </c>
      <c r="BN203" s="4438">
        <f t="shared" si="294"/>
        <v>0</v>
      </c>
      <c r="BO203" s="4438">
        <f t="shared" si="295"/>
        <v>0</v>
      </c>
      <c r="BP203" s="4438">
        <f t="shared" si="296"/>
        <v>0</v>
      </c>
      <c r="BQ203" s="4438">
        <f t="shared" si="297"/>
        <v>0</v>
      </c>
      <c r="BR203" s="4438">
        <f t="shared" si="298"/>
        <v>0</v>
      </c>
      <c r="BS203" s="4438">
        <f t="shared" si="299"/>
        <v>0</v>
      </c>
      <c r="BT203" s="4438">
        <f t="shared" si="300"/>
        <v>0</v>
      </c>
      <c r="BU203" s="4438">
        <f t="shared" si="301"/>
        <v>0</v>
      </c>
      <c r="BV203" s="4438">
        <f t="shared" si="302"/>
        <v>0</v>
      </c>
      <c r="BW203" s="4438">
        <f t="shared" si="303"/>
        <v>0</v>
      </c>
      <c r="BX203" s="4438">
        <f t="shared" si="304"/>
        <v>0</v>
      </c>
      <c r="BY203" s="4438">
        <f t="shared" si="305"/>
        <v>0</v>
      </c>
    </row>
    <row r="204" spans="1:77" s="1292" customFormat="1">
      <c r="A204" s="2573">
        <v>12</v>
      </c>
      <c r="B204" s="2516" t="s">
        <v>698</v>
      </c>
      <c r="C204" s="2517">
        <v>0.02</v>
      </c>
      <c r="D204" s="2547" t="s">
        <v>738</v>
      </c>
      <c r="E204" s="4387">
        <f>+'11.3. ДА Базова година'!H165</f>
        <v>0</v>
      </c>
      <c r="F204" s="2617">
        <f>E204+SUMIF('11.2. ДА за периода'!$B$111:$B$131,$B204,'11.2. ДА за периода'!F$111:F$131)</f>
        <v>0</v>
      </c>
      <c r="G204" s="1110">
        <f>F204+SUMIF('11.2. ДА за периода'!$B$111:$B$131,$B204,'11.2. ДА за периода'!G$111:G$131)</f>
        <v>0</v>
      </c>
      <c r="H204" s="1110">
        <f>G204+SUMIF('11.2. ДА за периода'!$B$111:$B$131,$B204,'11.2. ДА за периода'!H$111:H$131)</f>
        <v>0</v>
      </c>
      <c r="I204" s="1110">
        <f>H204+SUMIF('11.2. ДА за периода'!$B$111:$B$131,$B204,'11.2. ДА за периода'!I$111:I$131)</f>
        <v>0</v>
      </c>
      <c r="J204" s="1110">
        <f>I204+SUMIF('11.2. ДА за периода'!$B$111:$B$131,$B204,'11.2. ДА за периода'!J$111:J$131)</f>
        <v>0</v>
      </c>
      <c r="K204" s="2618">
        <f>J204+SUMIF('11.2. ДА за периода'!$B$111:$B$131,$B204,'11.2. ДА за периода'!K$111:K$131)</f>
        <v>0</v>
      </c>
      <c r="L204" s="4387">
        <f>+'11.3. ДА Базова година'!L165</f>
        <v>73</v>
      </c>
      <c r="M204" s="2617">
        <f>L204+SUMIF('11.2. ДА за периода'!$B$111:$B$131,$B204,'11.2. ДА за периода'!M$111:M$131)</f>
        <v>73</v>
      </c>
      <c r="N204" s="1110">
        <f>M204+SUMIF('11.2. ДА за периода'!$B$111:$B$131,$B204,'11.2. ДА за периода'!N$111:N$131)</f>
        <v>73</v>
      </c>
      <c r="O204" s="1110">
        <f>N204+SUMIF('11.2. ДА за периода'!$B$111:$B$131,$B204,'11.2. ДА за периода'!O$111:O$131)</f>
        <v>73</v>
      </c>
      <c r="P204" s="1110">
        <f>O204+SUMIF('11.2. ДА за периода'!$B$111:$B$131,$B204,'11.2. ДА за периода'!P$111:P$131)</f>
        <v>73</v>
      </c>
      <c r="Q204" s="1110">
        <f>P204+SUMIF('11.2. ДА за периода'!$B$111:$B$131,$B204,'11.2. ДА за периода'!Q$111:Q$131)</f>
        <v>73</v>
      </c>
      <c r="R204" s="2618">
        <f>Q204+SUMIF('11.2. ДА за периода'!$B$111:$B$131,$B204,'11.2. ДА за периода'!R$111:R$131)</f>
        <v>73</v>
      </c>
      <c r="S204" s="4387">
        <f>+'11.3. ДА Базова година'!P165</f>
        <v>0</v>
      </c>
      <c r="T204" s="2617">
        <f>S204+SUMIF('11.2. ДА за периода'!$B$111:$B$131,$B204,'11.2. ДА за периода'!T$111:T$131)</f>
        <v>0</v>
      </c>
      <c r="U204" s="1110">
        <f>T204+SUMIF('11.2. ДА за периода'!$B$111:$B$131,$B204,'11.2. ДА за периода'!U$111:U$131)</f>
        <v>0</v>
      </c>
      <c r="V204" s="1110">
        <f>U204+SUMIF('11.2. ДА за периода'!$B$111:$B$131,$B204,'11.2. ДА за периода'!V$111:V$131)</f>
        <v>0</v>
      </c>
      <c r="W204" s="1110">
        <f>V204+SUMIF('11.2. ДА за периода'!$B$111:$B$131,$B204,'11.2. ДА за периода'!W$111:W$131)</f>
        <v>0</v>
      </c>
      <c r="X204" s="1110">
        <f>W204+SUMIF('11.2. ДА за периода'!$B$111:$B$131,$B204,'11.2. ДА за периода'!X$111:X$131)</f>
        <v>0</v>
      </c>
      <c r="Y204" s="2618">
        <f>X204+SUMIF('11.2. ДА за периода'!$B$111:$B$131,$B204,'11.2. ДА за периода'!Y$111:Y$131)</f>
        <v>0</v>
      </c>
      <c r="Z204" s="4387">
        <f>+'11.3. ДА Базова година'!T165</f>
        <v>0</v>
      </c>
      <c r="AA204" s="2617">
        <f>Z204+SUMIF('11.2. ДА за периода'!$B$111:$B$131,$B204,'11.2. ДА за периода'!AA$111:AA$131)</f>
        <v>0</v>
      </c>
      <c r="AB204" s="1110">
        <f>AA204+SUMIF('11.2. ДА за периода'!$B$111:$B$131,$B204,'11.2. ДА за периода'!AB$111:AB$131)</f>
        <v>0</v>
      </c>
      <c r="AC204" s="1110">
        <f>AB204+SUMIF('11.2. ДА за периода'!$B$111:$B$131,$B204,'11.2. ДА за периода'!AC$111:AC$131)</f>
        <v>0</v>
      </c>
      <c r="AD204" s="1110">
        <f>AC204+SUMIF('11.2. ДА за периода'!$B$111:$B$131,$B204,'11.2. ДА за периода'!AD$111:AD$131)</f>
        <v>0</v>
      </c>
      <c r="AE204" s="1110">
        <f>AD204+SUMIF('11.2. ДА за периода'!$B$111:$B$131,$B204,'11.2. ДА за периода'!AE$111:AE$131)</f>
        <v>0</v>
      </c>
      <c r="AF204" s="2618">
        <f>AE204+SUMIF('11.2. ДА за периода'!$B$111:$B$131,$B204,'11.2. ДА за периода'!AF$111:AF$131)</f>
        <v>0</v>
      </c>
      <c r="AG204" s="4387">
        <f>+'11.3. ДА Базова година'!X165</f>
        <v>0</v>
      </c>
      <c r="AH204" s="2617">
        <f>AG204+SUMIF('11.2. ДА за периода'!$B$111:$B$131,$B204,'11.2. ДА за периода'!AH$111:AH$131)</f>
        <v>0</v>
      </c>
      <c r="AI204" s="1110">
        <f>AH204+SUMIF('11.2. ДА за периода'!$B$111:$B$131,$B204,'11.2. ДА за периода'!AI$111:AI$131)</f>
        <v>0</v>
      </c>
      <c r="AJ204" s="1110">
        <f>AI204+SUMIF('11.2. ДА за периода'!$B$111:$B$131,$B204,'11.2. ДА за периода'!AJ$111:AJ$131)</f>
        <v>0</v>
      </c>
      <c r="AK204" s="1110">
        <f>AJ204+SUMIF('11.2. ДА за периода'!$B$111:$B$131,$B204,'11.2. ДА за периода'!AK$111:AK$131)</f>
        <v>0</v>
      </c>
      <c r="AL204" s="1110">
        <f>AK204+SUMIF('11.2. ДА за периода'!$B$111:$B$131,$B204,'11.2. ДА за периода'!AL$111:AL$131)</f>
        <v>0</v>
      </c>
      <c r="AM204" s="2618">
        <f>AL204+SUMIF('11.2. ДА за периода'!$B$111:$B$131,$B204,'11.2. ДА за периода'!AM$111:AM$131)</f>
        <v>0</v>
      </c>
      <c r="AN204" s="2513"/>
      <c r="AO204" s="2551"/>
      <c r="AP204" s="4422"/>
      <c r="AQ204" s="4438">
        <f t="shared" si="271"/>
        <v>0</v>
      </c>
      <c r="AR204" s="4438">
        <f t="shared" si="272"/>
        <v>0</v>
      </c>
      <c r="AS204" s="4438">
        <f t="shared" si="273"/>
        <v>0</v>
      </c>
      <c r="AT204" s="4438">
        <f t="shared" si="274"/>
        <v>0</v>
      </c>
      <c r="AU204" s="4438">
        <f t="shared" si="275"/>
        <v>0</v>
      </c>
      <c r="AV204" s="4438">
        <f t="shared" si="276"/>
        <v>0</v>
      </c>
      <c r="AW204" s="4438">
        <f t="shared" si="277"/>
        <v>0</v>
      </c>
      <c r="AX204" s="4438">
        <f t="shared" si="278"/>
        <v>37.32430732732395</v>
      </c>
      <c r="AY204" s="4438">
        <f t="shared" si="279"/>
        <v>37.32430732732395</v>
      </c>
      <c r="AZ204" s="4438">
        <f t="shared" si="280"/>
        <v>37.32430732732395</v>
      </c>
      <c r="BA204" s="4438">
        <f t="shared" si="281"/>
        <v>37.32430732732395</v>
      </c>
      <c r="BB204" s="4438">
        <f t="shared" si="282"/>
        <v>37.32430732732395</v>
      </c>
      <c r="BC204" s="4438">
        <f t="shared" si="283"/>
        <v>37.32430732732395</v>
      </c>
      <c r="BD204" s="4438">
        <f t="shared" si="284"/>
        <v>37.32430732732395</v>
      </c>
      <c r="BE204" s="4438">
        <f t="shared" si="285"/>
        <v>0</v>
      </c>
      <c r="BF204" s="4438">
        <f t="shared" si="286"/>
        <v>0</v>
      </c>
      <c r="BG204" s="4438">
        <f t="shared" si="287"/>
        <v>0</v>
      </c>
      <c r="BH204" s="4438">
        <f t="shared" si="288"/>
        <v>0</v>
      </c>
      <c r="BI204" s="4438">
        <f t="shared" si="289"/>
        <v>0</v>
      </c>
      <c r="BJ204" s="4438">
        <f t="shared" si="290"/>
        <v>0</v>
      </c>
      <c r="BK204" s="4438">
        <f t="shared" si="291"/>
        <v>0</v>
      </c>
      <c r="BL204" s="4438">
        <f t="shared" si="292"/>
        <v>0</v>
      </c>
      <c r="BM204" s="4438">
        <f t="shared" si="293"/>
        <v>0</v>
      </c>
      <c r="BN204" s="4438">
        <f t="shared" si="294"/>
        <v>0</v>
      </c>
      <c r="BO204" s="4438">
        <f t="shared" si="295"/>
        <v>0</v>
      </c>
      <c r="BP204" s="4438">
        <f t="shared" si="296"/>
        <v>0</v>
      </c>
      <c r="BQ204" s="4438">
        <f t="shared" si="297"/>
        <v>0</v>
      </c>
      <c r="BR204" s="4438">
        <f t="shared" si="298"/>
        <v>0</v>
      </c>
      <c r="BS204" s="4438">
        <f t="shared" si="299"/>
        <v>0</v>
      </c>
      <c r="BT204" s="4438">
        <f t="shared" si="300"/>
        <v>0</v>
      </c>
      <c r="BU204" s="4438">
        <f t="shared" si="301"/>
        <v>0</v>
      </c>
      <c r="BV204" s="4438">
        <f t="shared" si="302"/>
        <v>0</v>
      </c>
      <c r="BW204" s="4438">
        <f t="shared" si="303"/>
        <v>0</v>
      </c>
      <c r="BX204" s="4438">
        <f t="shared" si="304"/>
        <v>0</v>
      </c>
      <c r="BY204" s="4438">
        <f t="shared" si="305"/>
        <v>0</v>
      </c>
    </row>
    <row r="205" spans="1:77" s="1292" customFormat="1">
      <c r="A205" s="2573">
        <v>13</v>
      </c>
      <c r="B205" s="2516" t="s">
        <v>699</v>
      </c>
      <c r="C205" s="2517">
        <v>0.02</v>
      </c>
      <c r="D205" s="2547" t="s">
        <v>739</v>
      </c>
      <c r="E205" s="4387">
        <f>+'11.3. ДА Базова година'!H166</f>
        <v>1617</v>
      </c>
      <c r="F205" s="2617">
        <f>E205+SUMIF('11.2. ДА за периода'!$B$111:$B$131,$B205,'11.2. ДА за периода'!F$111:F$131)</f>
        <v>1617</v>
      </c>
      <c r="G205" s="1110">
        <f>F205+SUMIF('11.2. ДА за периода'!$B$111:$B$131,$B205,'11.2. ДА за периода'!G$111:G$131)</f>
        <v>1617</v>
      </c>
      <c r="H205" s="1110">
        <f>G205+SUMIF('11.2. ДА за периода'!$B$111:$B$131,$B205,'11.2. ДА за периода'!H$111:H$131)</f>
        <v>1617</v>
      </c>
      <c r="I205" s="1110">
        <f>H205+SUMIF('11.2. ДА за периода'!$B$111:$B$131,$B205,'11.2. ДА за периода'!I$111:I$131)</f>
        <v>1617</v>
      </c>
      <c r="J205" s="1110">
        <f>I205+SUMIF('11.2. ДА за периода'!$B$111:$B$131,$B205,'11.2. ДА за периода'!J$111:J$131)</f>
        <v>1617</v>
      </c>
      <c r="K205" s="2618">
        <f>J205+SUMIF('11.2. ДА за периода'!$B$111:$B$131,$B205,'11.2. ДА за периода'!K$111:K$131)</f>
        <v>1617</v>
      </c>
      <c r="L205" s="4387">
        <f>+'11.3. ДА Базова година'!L166</f>
        <v>0</v>
      </c>
      <c r="M205" s="2617">
        <f>L205+SUMIF('11.2. ДА за периода'!$B$111:$B$131,$B205,'11.2. ДА за периода'!M$111:M$131)</f>
        <v>0</v>
      </c>
      <c r="N205" s="1110">
        <f>M205+SUMIF('11.2. ДА за периода'!$B$111:$B$131,$B205,'11.2. ДА за периода'!N$111:N$131)</f>
        <v>0</v>
      </c>
      <c r="O205" s="1110">
        <f>N205+SUMIF('11.2. ДА за периода'!$B$111:$B$131,$B205,'11.2. ДА за периода'!O$111:O$131)</f>
        <v>0</v>
      </c>
      <c r="P205" s="1110">
        <f>O205+SUMIF('11.2. ДА за периода'!$B$111:$B$131,$B205,'11.2. ДА за периода'!P$111:P$131)</f>
        <v>0</v>
      </c>
      <c r="Q205" s="1110">
        <f>P205+SUMIF('11.2. ДА за периода'!$B$111:$B$131,$B205,'11.2. ДА за периода'!Q$111:Q$131)</f>
        <v>0</v>
      </c>
      <c r="R205" s="2618">
        <f>Q205+SUMIF('11.2. ДА за периода'!$B$111:$B$131,$B205,'11.2. ДА за периода'!R$111:R$131)</f>
        <v>0</v>
      </c>
      <c r="S205" s="4387">
        <f>+'11.3. ДА Базова година'!P166</f>
        <v>0</v>
      </c>
      <c r="T205" s="2617">
        <f>S205+SUMIF('11.2. ДА за периода'!$B$111:$B$131,$B205,'11.2. ДА за периода'!T$111:T$131)</f>
        <v>0</v>
      </c>
      <c r="U205" s="1110">
        <f>T205+SUMIF('11.2. ДА за периода'!$B$111:$B$131,$B205,'11.2. ДА за периода'!U$111:U$131)</f>
        <v>0</v>
      </c>
      <c r="V205" s="1110">
        <f>U205+SUMIF('11.2. ДА за периода'!$B$111:$B$131,$B205,'11.2. ДА за периода'!V$111:V$131)</f>
        <v>0</v>
      </c>
      <c r="W205" s="1110">
        <f>V205+SUMIF('11.2. ДА за периода'!$B$111:$B$131,$B205,'11.2. ДА за периода'!W$111:W$131)</f>
        <v>0</v>
      </c>
      <c r="X205" s="1110">
        <f>W205+SUMIF('11.2. ДА за периода'!$B$111:$B$131,$B205,'11.2. ДА за периода'!X$111:X$131)</f>
        <v>0</v>
      </c>
      <c r="Y205" s="2618">
        <f>X205+SUMIF('11.2. ДА за периода'!$B$111:$B$131,$B205,'11.2. ДА за периода'!Y$111:Y$131)</f>
        <v>0</v>
      </c>
      <c r="Z205" s="4387">
        <f>+'11.3. ДА Базова година'!T166</f>
        <v>0</v>
      </c>
      <c r="AA205" s="2617">
        <f>Z205+SUMIF('11.2. ДА за периода'!$B$111:$B$131,$B205,'11.2. ДА за периода'!AA$111:AA$131)</f>
        <v>0</v>
      </c>
      <c r="AB205" s="1110">
        <f>AA205+SUMIF('11.2. ДА за периода'!$B$111:$B$131,$B205,'11.2. ДА за периода'!AB$111:AB$131)</f>
        <v>0</v>
      </c>
      <c r="AC205" s="1110">
        <f>AB205+SUMIF('11.2. ДА за периода'!$B$111:$B$131,$B205,'11.2. ДА за периода'!AC$111:AC$131)</f>
        <v>0</v>
      </c>
      <c r="AD205" s="1110">
        <f>AC205+SUMIF('11.2. ДА за периода'!$B$111:$B$131,$B205,'11.2. ДА за периода'!AD$111:AD$131)</f>
        <v>0</v>
      </c>
      <c r="AE205" s="1110">
        <f>AD205+SUMIF('11.2. ДА за периода'!$B$111:$B$131,$B205,'11.2. ДА за периода'!AE$111:AE$131)</f>
        <v>0</v>
      </c>
      <c r="AF205" s="2618">
        <f>AE205+SUMIF('11.2. ДА за периода'!$B$111:$B$131,$B205,'11.2. ДА за периода'!AF$111:AF$131)</f>
        <v>0</v>
      </c>
      <c r="AG205" s="4387">
        <f>+'11.3. ДА Базова година'!X166</f>
        <v>0</v>
      </c>
      <c r="AH205" s="2617">
        <f>AG205+SUMIF('11.2. ДА за периода'!$B$111:$B$131,$B205,'11.2. ДА за периода'!AH$111:AH$131)</f>
        <v>0</v>
      </c>
      <c r="AI205" s="1110">
        <f>AH205+SUMIF('11.2. ДА за периода'!$B$111:$B$131,$B205,'11.2. ДА за периода'!AI$111:AI$131)</f>
        <v>0</v>
      </c>
      <c r="AJ205" s="1110">
        <f>AI205+SUMIF('11.2. ДА за периода'!$B$111:$B$131,$B205,'11.2. ДА за периода'!AJ$111:AJ$131)</f>
        <v>0</v>
      </c>
      <c r="AK205" s="1110">
        <f>AJ205+SUMIF('11.2. ДА за периода'!$B$111:$B$131,$B205,'11.2. ДА за периода'!AK$111:AK$131)</f>
        <v>0</v>
      </c>
      <c r="AL205" s="1110">
        <f>AK205+SUMIF('11.2. ДА за периода'!$B$111:$B$131,$B205,'11.2. ДА за периода'!AL$111:AL$131)</f>
        <v>0</v>
      </c>
      <c r="AM205" s="2618">
        <f>AL205+SUMIF('11.2. ДА за периода'!$B$111:$B$131,$B205,'11.2. ДА за периода'!AM$111:AM$131)</f>
        <v>0</v>
      </c>
      <c r="AN205" s="2513"/>
      <c r="AO205" s="2551"/>
      <c r="AP205" s="4422"/>
      <c r="AQ205" s="4438">
        <f t="shared" si="271"/>
        <v>826.75897189428531</v>
      </c>
      <c r="AR205" s="4438">
        <f t="shared" si="272"/>
        <v>826.75897189428531</v>
      </c>
      <c r="AS205" s="4438">
        <f t="shared" si="273"/>
        <v>826.75897189428531</v>
      </c>
      <c r="AT205" s="4438">
        <f t="shared" si="274"/>
        <v>826.75897189428531</v>
      </c>
      <c r="AU205" s="4438">
        <f t="shared" si="275"/>
        <v>826.75897189428531</v>
      </c>
      <c r="AV205" s="4438">
        <f t="shared" si="276"/>
        <v>826.75897189428531</v>
      </c>
      <c r="AW205" s="4438">
        <f t="shared" si="277"/>
        <v>826.75897189428531</v>
      </c>
      <c r="AX205" s="4438">
        <f t="shared" si="278"/>
        <v>0</v>
      </c>
      <c r="AY205" s="4438">
        <f t="shared" si="279"/>
        <v>0</v>
      </c>
      <c r="AZ205" s="4438">
        <f t="shared" si="280"/>
        <v>0</v>
      </c>
      <c r="BA205" s="4438">
        <f t="shared" si="281"/>
        <v>0</v>
      </c>
      <c r="BB205" s="4438">
        <f t="shared" si="282"/>
        <v>0</v>
      </c>
      <c r="BC205" s="4438">
        <f t="shared" si="283"/>
        <v>0</v>
      </c>
      <c r="BD205" s="4438">
        <f t="shared" si="284"/>
        <v>0</v>
      </c>
      <c r="BE205" s="4438">
        <f t="shared" si="285"/>
        <v>0</v>
      </c>
      <c r="BF205" s="4438">
        <f t="shared" si="286"/>
        <v>0</v>
      </c>
      <c r="BG205" s="4438">
        <f t="shared" si="287"/>
        <v>0</v>
      </c>
      <c r="BH205" s="4438">
        <f t="shared" si="288"/>
        <v>0</v>
      </c>
      <c r="BI205" s="4438">
        <f t="shared" si="289"/>
        <v>0</v>
      </c>
      <c r="BJ205" s="4438">
        <f t="shared" si="290"/>
        <v>0</v>
      </c>
      <c r="BK205" s="4438">
        <f t="shared" si="291"/>
        <v>0</v>
      </c>
      <c r="BL205" s="4438">
        <f t="shared" si="292"/>
        <v>0</v>
      </c>
      <c r="BM205" s="4438">
        <f t="shared" si="293"/>
        <v>0</v>
      </c>
      <c r="BN205" s="4438">
        <f t="shared" si="294"/>
        <v>0</v>
      </c>
      <c r="BO205" s="4438">
        <f t="shared" si="295"/>
        <v>0</v>
      </c>
      <c r="BP205" s="4438">
        <f t="shared" si="296"/>
        <v>0</v>
      </c>
      <c r="BQ205" s="4438">
        <f t="shared" si="297"/>
        <v>0</v>
      </c>
      <c r="BR205" s="4438">
        <f t="shared" si="298"/>
        <v>0</v>
      </c>
      <c r="BS205" s="4438">
        <f t="shared" si="299"/>
        <v>0</v>
      </c>
      <c r="BT205" s="4438">
        <f t="shared" si="300"/>
        <v>0</v>
      </c>
      <c r="BU205" s="4438">
        <f t="shared" si="301"/>
        <v>0</v>
      </c>
      <c r="BV205" s="4438">
        <f t="shared" si="302"/>
        <v>0</v>
      </c>
      <c r="BW205" s="4438">
        <f t="shared" si="303"/>
        <v>0</v>
      </c>
      <c r="BX205" s="4438">
        <f t="shared" si="304"/>
        <v>0</v>
      </c>
      <c r="BY205" s="4438">
        <f t="shared" si="305"/>
        <v>0</v>
      </c>
    </row>
    <row r="206" spans="1:77" s="1292" customFormat="1">
      <c r="A206" s="2573">
        <v>14</v>
      </c>
      <c r="B206" s="2516" t="s">
        <v>700</v>
      </c>
      <c r="C206" s="2517">
        <v>0.02</v>
      </c>
      <c r="D206" s="2547" t="s">
        <v>418</v>
      </c>
      <c r="E206" s="4387">
        <f>+'11.3. ДА Базова година'!H167</f>
        <v>57</v>
      </c>
      <c r="F206" s="2617">
        <f>E206+SUMIF('11.2. ДА за периода'!$B$111:$B$131,$B206,'11.2. ДА за периода'!F$111:F$131)</f>
        <v>57</v>
      </c>
      <c r="G206" s="1110">
        <f>F206+SUMIF('11.2. ДА за периода'!$B$111:$B$131,$B206,'11.2. ДА за периода'!G$111:G$131)</f>
        <v>57</v>
      </c>
      <c r="H206" s="1110">
        <f>G206+SUMIF('11.2. ДА за периода'!$B$111:$B$131,$B206,'11.2. ДА за периода'!H$111:H$131)</f>
        <v>57</v>
      </c>
      <c r="I206" s="1110">
        <f>H206+SUMIF('11.2. ДА за периода'!$B$111:$B$131,$B206,'11.2. ДА за периода'!I$111:I$131)</f>
        <v>57</v>
      </c>
      <c r="J206" s="1110">
        <f>I206+SUMIF('11.2. ДА за периода'!$B$111:$B$131,$B206,'11.2. ДА за периода'!J$111:J$131)</f>
        <v>57</v>
      </c>
      <c r="K206" s="2618">
        <f>J206+SUMIF('11.2. ДА за периода'!$B$111:$B$131,$B206,'11.2. ДА за периода'!K$111:K$131)</f>
        <v>57</v>
      </c>
      <c r="L206" s="4387">
        <f>+'11.3. ДА Базова година'!L167</f>
        <v>0</v>
      </c>
      <c r="M206" s="2617">
        <f>L206+SUMIF('11.2. ДА за периода'!$B$111:$B$131,$B206,'11.2. ДА за периода'!M$111:M$131)</f>
        <v>0</v>
      </c>
      <c r="N206" s="1110">
        <f>M206+SUMIF('11.2. ДА за периода'!$B$111:$B$131,$B206,'11.2. ДА за периода'!N$111:N$131)</f>
        <v>0</v>
      </c>
      <c r="O206" s="1110">
        <f>N206+SUMIF('11.2. ДА за периода'!$B$111:$B$131,$B206,'11.2. ДА за периода'!O$111:O$131)</f>
        <v>0</v>
      </c>
      <c r="P206" s="1110">
        <f>O206+SUMIF('11.2. ДА за периода'!$B$111:$B$131,$B206,'11.2. ДА за периода'!P$111:P$131)</f>
        <v>0</v>
      </c>
      <c r="Q206" s="1110">
        <f>P206+SUMIF('11.2. ДА за периода'!$B$111:$B$131,$B206,'11.2. ДА за периода'!Q$111:Q$131)</f>
        <v>0</v>
      </c>
      <c r="R206" s="2618">
        <f>Q206+SUMIF('11.2. ДА за периода'!$B$111:$B$131,$B206,'11.2. ДА за периода'!R$111:R$131)</f>
        <v>0</v>
      </c>
      <c r="S206" s="4387">
        <f>+'11.3. ДА Базова година'!P167</f>
        <v>0</v>
      </c>
      <c r="T206" s="2617">
        <f>S206+SUMIF('11.2. ДА за периода'!$B$111:$B$131,$B206,'11.2. ДА за периода'!T$111:T$131)</f>
        <v>0</v>
      </c>
      <c r="U206" s="1110">
        <f>T206+SUMIF('11.2. ДА за периода'!$B$111:$B$131,$B206,'11.2. ДА за периода'!U$111:U$131)</f>
        <v>0</v>
      </c>
      <c r="V206" s="1110">
        <f>U206+SUMIF('11.2. ДА за периода'!$B$111:$B$131,$B206,'11.2. ДА за периода'!V$111:V$131)</f>
        <v>0</v>
      </c>
      <c r="W206" s="1110">
        <f>V206+SUMIF('11.2. ДА за периода'!$B$111:$B$131,$B206,'11.2. ДА за периода'!W$111:W$131)</f>
        <v>0</v>
      </c>
      <c r="X206" s="1110">
        <f>W206+SUMIF('11.2. ДА за периода'!$B$111:$B$131,$B206,'11.2. ДА за периода'!X$111:X$131)</f>
        <v>0</v>
      </c>
      <c r="Y206" s="2618">
        <f>X206+SUMIF('11.2. ДА за периода'!$B$111:$B$131,$B206,'11.2. ДА за периода'!Y$111:Y$131)</f>
        <v>0</v>
      </c>
      <c r="Z206" s="4387">
        <f>+'11.3. ДА Базова година'!T167</f>
        <v>0</v>
      </c>
      <c r="AA206" s="2617">
        <f>Z206+SUMIF('11.2. ДА за периода'!$B$111:$B$131,$B206,'11.2. ДА за периода'!AA$111:AA$131)</f>
        <v>0</v>
      </c>
      <c r="AB206" s="1110">
        <f>AA206+SUMIF('11.2. ДА за периода'!$B$111:$B$131,$B206,'11.2. ДА за периода'!AB$111:AB$131)</f>
        <v>0</v>
      </c>
      <c r="AC206" s="1110">
        <f>AB206+SUMIF('11.2. ДА за периода'!$B$111:$B$131,$B206,'11.2. ДА за периода'!AC$111:AC$131)</f>
        <v>0</v>
      </c>
      <c r="AD206" s="1110">
        <f>AC206+SUMIF('11.2. ДА за периода'!$B$111:$B$131,$B206,'11.2. ДА за периода'!AD$111:AD$131)</f>
        <v>0</v>
      </c>
      <c r="AE206" s="1110">
        <f>AD206+SUMIF('11.2. ДА за периода'!$B$111:$B$131,$B206,'11.2. ДА за периода'!AE$111:AE$131)</f>
        <v>0</v>
      </c>
      <c r="AF206" s="2618">
        <f>AE206+SUMIF('11.2. ДА за периода'!$B$111:$B$131,$B206,'11.2. ДА за периода'!AF$111:AF$131)</f>
        <v>0</v>
      </c>
      <c r="AG206" s="4387">
        <f>+'11.3. ДА Базова година'!X167</f>
        <v>0</v>
      </c>
      <c r="AH206" s="2617">
        <f>AG206+SUMIF('11.2. ДА за периода'!$B$111:$B$131,$B206,'11.2. ДА за периода'!AH$111:AH$131)</f>
        <v>0</v>
      </c>
      <c r="AI206" s="1110">
        <f>AH206+SUMIF('11.2. ДА за периода'!$B$111:$B$131,$B206,'11.2. ДА за периода'!AI$111:AI$131)</f>
        <v>0</v>
      </c>
      <c r="AJ206" s="1110">
        <f>AI206+SUMIF('11.2. ДА за периода'!$B$111:$B$131,$B206,'11.2. ДА за периода'!AJ$111:AJ$131)</f>
        <v>0</v>
      </c>
      <c r="AK206" s="1110">
        <f>AJ206+SUMIF('11.2. ДА за периода'!$B$111:$B$131,$B206,'11.2. ДА за периода'!AK$111:AK$131)</f>
        <v>0</v>
      </c>
      <c r="AL206" s="1110">
        <f>AK206+SUMIF('11.2. ДА за периода'!$B$111:$B$131,$B206,'11.2. ДА за периода'!AL$111:AL$131)</f>
        <v>0</v>
      </c>
      <c r="AM206" s="2618">
        <f>AL206+SUMIF('11.2. ДА за периода'!$B$111:$B$131,$B206,'11.2. ДА за периода'!AM$111:AM$131)</f>
        <v>0</v>
      </c>
      <c r="AN206" s="2513"/>
      <c r="AO206" s="2551"/>
      <c r="AP206" s="4422"/>
      <c r="AQ206" s="4438">
        <f t="shared" si="271"/>
        <v>29.143637228184453</v>
      </c>
      <c r="AR206" s="4438">
        <f t="shared" si="272"/>
        <v>29.143637228184453</v>
      </c>
      <c r="AS206" s="4438">
        <f t="shared" si="273"/>
        <v>29.143637228184453</v>
      </c>
      <c r="AT206" s="4438">
        <f t="shared" si="274"/>
        <v>29.143637228184453</v>
      </c>
      <c r="AU206" s="4438">
        <f t="shared" si="275"/>
        <v>29.143637228184453</v>
      </c>
      <c r="AV206" s="4438">
        <f t="shared" si="276"/>
        <v>29.143637228184453</v>
      </c>
      <c r="AW206" s="4438">
        <f t="shared" si="277"/>
        <v>29.143637228184453</v>
      </c>
      <c r="AX206" s="4438">
        <f t="shared" si="278"/>
        <v>0</v>
      </c>
      <c r="AY206" s="4438">
        <f t="shared" si="279"/>
        <v>0</v>
      </c>
      <c r="AZ206" s="4438">
        <f t="shared" si="280"/>
        <v>0</v>
      </c>
      <c r="BA206" s="4438">
        <f t="shared" si="281"/>
        <v>0</v>
      </c>
      <c r="BB206" s="4438">
        <f t="shared" si="282"/>
        <v>0</v>
      </c>
      <c r="BC206" s="4438">
        <f t="shared" si="283"/>
        <v>0</v>
      </c>
      <c r="BD206" s="4438">
        <f t="shared" si="284"/>
        <v>0</v>
      </c>
      <c r="BE206" s="4438">
        <f t="shared" si="285"/>
        <v>0</v>
      </c>
      <c r="BF206" s="4438">
        <f t="shared" si="286"/>
        <v>0</v>
      </c>
      <c r="BG206" s="4438">
        <f t="shared" si="287"/>
        <v>0</v>
      </c>
      <c r="BH206" s="4438">
        <f t="shared" si="288"/>
        <v>0</v>
      </c>
      <c r="BI206" s="4438">
        <f t="shared" si="289"/>
        <v>0</v>
      </c>
      <c r="BJ206" s="4438">
        <f t="shared" si="290"/>
        <v>0</v>
      </c>
      <c r="BK206" s="4438">
        <f t="shared" si="291"/>
        <v>0</v>
      </c>
      <c r="BL206" s="4438">
        <f t="shared" si="292"/>
        <v>0</v>
      </c>
      <c r="BM206" s="4438">
        <f t="shared" si="293"/>
        <v>0</v>
      </c>
      <c r="BN206" s="4438">
        <f t="shared" si="294"/>
        <v>0</v>
      </c>
      <c r="BO206" s="4438">
        <f t="shared" si="295"/>
        <v>0</v>
      </c>
      <c r="BP206" s="4438">
        <f t="shared" si="296"/>
        <v>0</v>
      </c>
      <c r="BQ206" s="4438">
        <f t="shared" si="297"/>
        <v>0</v>
      </c>
      <c r="BR206" s="4438">
        <f t="shared" si="298"/>
        <v>0</v>
      </c>
      <c r="BS206" s="4438">
        <f t="shared" si="299"/>
        <v>0</v>
      </c>
      <c r="BT206" s="4438">
        <f t="shared" si="300"/>
        <v>0</v>
      </c>
      <c r="BU206" s="4438">
        <f t="shared" si="301"/>
        <v>0</v>
      </c>
      <c r="BV206" s="4438">
        <f t="shared" si="302"/>
        <v>0</v>
      </c>
      <c r="BW206" s="4438">
        <f t="shared" si="303"/>
        <v>0</v>
      </c>
      <c r="BX206" s="4438">
        <f t="shared" si="304"/>
        <v>0</v>
      </c>
      <c r="BY206" s="4438">
        <f t="shared" si="305"/>
        <v>0</v>
      </c>
    </row>
    <row r="207" spans="1:77" s="1292" customFormat="1">
      <c r="A207" s="2573">
        <v>15</v>
      </c>
      <c r="B207" s="2516" t="s">
        <v>701</v>
      </c>
      <c r="C207" s="2517">
        <v>0.02</v>
      </c>
      <c r="D207" s="2546" t="s">
        <v>419</v>
      </c>
      <c r="E207" s="4387">
        <f>+'11.3. ДА Базова година'!H168</f>
        <v>1138</v>
      </c>
      <c r="F207" s="2617">
        <f>E207+SUMIF('11.2. ДА за периода'!$B$111:$B$131,$B207,'11.2. ДА за периода'!F$111:F$131)</f>
        <v>1138</v>
      </c>
      <c r="G207" s="1110">
        <f>F207+SUMIF('11.2. ДА за периода'!$B$111:$B$131,$B207,'11.2. ДА за периода'!G$111:G$131)</f>
        <v>1138</v>
      </c>
      <c r="H207" s="1110">
        <f>G207+SUMIF('11.2. ДА за периода'!$B$111:$B$131,$B207,'11.2. ДА за периода'!H$111:H$131)</f>
        <v>1138</v>
      </c>
      <c r="I207" s="1110">
        <f>H207+SUMIF('11.2. ДА за периода'!$B$111:$B$131,$B207,'11.2. ДА за периода'!I$111:I$131)</f>
        <v>1138</v>
      </c>
      <c r="J207" s="1110">
        <f>I207+SUMIF('11.2. ДА за периода'!$B$111:$B$131,$B207,'11.2. ДА за периода'!J$111:J$131)</f>
        <v>1138</v>
      </c>
      <c r="K207" s="2618">
        <f>J207+SUMIF('11.2. ДА за периода'!$B$111:$B$131,$B207,'11.2. ДА за периода'!K$111:K$131)</f>
        <v>1138</v>
      </c>
      <c r="L207" s="4387">
        <f>+'11.3. ДА Базова година'!L168</f>
        <v>0</v>
      </c>
      <c r="M207" s="2617">
        <f>L207+SUMIF('11.2. ДА за периода'!$B$111:$B$131,$B207,'11.2. ДА за периода'!M$111:M$131)</f>
        <v>0</v>
      </c>
      <c r="N207" s="1110">
        <f>M207+SUMIF('11.2. ДА за периода'!$B$111:$B$131,$B207,'11.2. ДА за периода'!N$111:N$131)</f>
        <v>0</v>
      </c>
      <c r="O207" s="1110">
        <f>N207+SUMIF('11.2. ДА за периода'!$B$111:$B$131,$B207,'11.2. ДА за периода'!O$111:O$131)</f>
        <v>0</v>
      </c>
      <c r="P207" s="1110">
        <f>O207+SUMIF('11.2. ДА за периода'!$B$111:$B$131,$B207,'11.2. ДА за периода'!P$111:P$131)</f>
        <v>0</v>
      </c>
      <c r="Q207" s="1110">
        <f>P207+SUMIF('11.2. ДА за периода'!$B$111:$B$131,$B207,'11.2. ДА за периода'!Q$111:Q$131)</f>
        <v>0</v>
      </c>
      <c r="R207" s="2618">
        <f>Q207+SUMIF('11.2. ДА за периода'!$B$111:$B$131,$B207,'11.2. ДА за периода'!R$111:R$131)</f>
        <v>0</v>
      </c>
      <c r="S207" s="4387">
        <f>+'11.3. ДА Базова година'!P168</f>
        <v>0</v>
      </c>
      <c r="T207" s="2617">
        <f>S207+SUMIF('11.2. ДА за периода'!$B$111:$B$131,$B207,'11.2. ДА за периода'!T$111:T$131)</f>
        <v>0</v>
      </c>
      <c r="U207" s="1110">
        <f>T207+SUMIF('11.2. ДА за периода'!$B$111:$B$131,$B207,'11.2. ДА за периода'!U$111:U$131)</f>
        <v>0</v>
      </c>
      <c r="V207" s="1110">
        <f>U207+SUMIF('11.2. ДА за периода'!$B$111:$B$131,$B207,'11.2. ДА за периода'!V$111:V$131)</f>
        <v>0</v>
      </c>
      <c r="W207" s="1110">
        <f>V207+SUMIF('11.2. ДА за периода'!$B$111:$B$131,$B207,'11.2. ДА за периода'!W$111:W$131)</f>
        <v>0</v>
      </c>
      <c r="X207" s="1110">
        <f>W207+SUMIF('11.2. ДА за периода'!$B$111:$B$131,$B207,'11.2. ДА за периода'!X$111:X$131)</f>
        <v>0</v>
      </c>
      <c r="Y207" s="2618">
        <f>X207+SUMIF('11.2. ДА за периода'!$B$111:$B$131,$B207,'11.2. ДА за периода'!Y$111:Y$131)</f>
        <v>0</v>
      </c>
      <c r="Z207" s="4387">
        <f>+'11.3. ДА Базова година'!T168</f>
        <v>0</v>
      </c>
      <c r="AA207" s="2617">
        <f>Z207+SUMIF('11.2. ДА за периода'!$B$111:$B$131,$B207,'11.2. ДА за периода'!AA$111:AA$131)</f>
        <v>0</v>
      </c>
      <c r="AB207" s="1110">
        <f>AA207+SUMIF('11.2. ДА за периода'!$B$111:$B$131,$B207,'11.2. ДА за периода'!AB$111:AB$131)</f>
        <v>0</v>
      </c>
      <c r="AC207" s="1110">
        <f>AB207+SUMIF('11.2. ДА за периода'!$B$111:$B$131,$B207,'11.2. ДА за периода'!AC$111:AC$131)</f>
        <v>0</v>
      </c>
      <c r="AD207" s="1110">
        <f>AC207+SUMIF('11.2. ДА за периода'!$B$111:$B$131,$B207,'11.2. ДА за периода'!AD$111:AD$131)</f>
        <v>0</v>
      </c>
      <c r="AE207" s="1110">
        <f>AD207+SUMIF('11.2. ДА за периода'!$B$111:$B$131,$B207,'11.2. ДА за периода'!AE$111:AE$131)</f>
        <v>0</v>
      </c>
      <c r="AF207" s="2618">
        <f>AE207+SUMIF('11.2. ДА за периода'!$B$111:$B$131,$B207,'11.2. ДА за периода'!AF$111:AF$131)</f>
        <v>0</v>
      </c>
      <c r="AG207" s="4387">
        <f>+'11.3. ДА Базова година'!X168</f>
        <v>0</v>
      </c>
      <c r="AH207" s="2617">
        <f>AG207+SUMIF('11.2. ДА за периода'!$B$111:$B$131,$B207,'11.2. ДА за периода'!AH$111:AH$131)</f>
        <v>0</v>
      </c>
      <c r="AI207" s="1110">
        <f>AH207+SUMIF('11.2. ДА за периода'!$B$111:$B$131,$B207,'11.2. ДА за периода'!AI$111:AI$131)</f>
        <v>0</v>
      </c>
      <c r="AJ207" s="1110">
        <f>AI207+SUMIF('11.2. ДА за периода'!$B$111:$B$131,$B207,'11.2. ДА за периода'!AJ$111:AJ$131)</f>
        <v>0</v>
      </c>
      <c r="AK207" s="1110">
        <f>AJ207+SUMIF('11.2. ДА за периода'!$B$111:$B$131,$B207,'11.2. ДА за периода'!AK$111:AK$131)</f>
        <v>0</v>
      </c>
      <c r="AL207" s="1110">
        <f>AK207+SUMIF('11.2. ДА за периода'!$B$111:$B$131,$B207,'11.2. ДА за периода'!AL$111:AL$131)</f>
        <v>0</v>
      </c>
      <c r="AM207" s="2618">
        <f>AL207+SUMIF('11.2. ДА за периода'!$B$111:$B$131,$B207,'11.2. ДА за периода'!AM$111:AM$131)</f>
        <v>0</v>
      </c>
      <c r="AN207" s="2513"/>
      <c r="AO207" s="2551"/>
      <c r="AP207" s="4422"/>
      <c r="AQ207" s="4438">
        <f t="shared" si="271"/>
        <v>581.85016080129662</v>
      </c>
      <c r="AR207" s="4438">
        <f t="shared" si="272"/>
        <v>581.85016080129662</v>
      </c>
      <c r="AS207" s="4438">
        <f t="shared" si="273"/>
        <v>581.85016080129662</v>
      </c>
      <c r="AT207" s="4438">
        <f t="shared" si="274"/>
        <v>581.85016080129662</v>
      </c>
      <c r="AU207" s="4438">
        <f t="shared" si="275"/>
        <v>581.85016080129662</v>
      </c>
      <c r="AV207" s="4438">
        <f t="shared" si="276"/>
        <v>581.85016080129662</v>
      </c>
      <c r="AW207" s="4438">
        <f t="shared" si="277"/>
        <v>581.85016080129662</v>
      </c>
      <c r="AX207" s="4438">
        <f t="shared" si="278"/>
        <v>0</v>
      </c>
      <c r="AY207" s="4438">
        <f t="shared" si="279"/>
        <v>0</v>
      </c>
      <c r="AZ207" s="4438">
        <f t="shared" si="280"/>
        <v>0</v>
      </c>
      <c r="BA207" s="4438">
        <f t="shared" si="281"/>
        <v>0</v>
      </c>
      <c r="BB207" s="4438">
        <f t="shared" si="282"/>
        <v>0</v>
      </c>
      <c r="BC207" s="4438">
        <f t="shared" si="283"/>
        <v>0</v>
      </c>
      <c r="BD207" s="4438">
        <f t="shared" si="284"/>
        <v>0</v>
      </c>
      <c r="BE207" s="4438">
        <f t="shared" si="285"/>
        <v>0</v>
      </c>
      <c r="BF207" s="4438">
        <f t="shared" si="286"/>
        <v>0</v>
      </c>
      <c r="BG207" s="4438">
        <f t="shared" si="287"/>
        <v>0</v>
      </c>
      <c r="BH207" s="4438">
        <f t="shared" si="288"/>
        <v>0</v>
      </c>
      <c r="BI207" s="4438">
        <f t="shared" si="289"/>
        <v>0</v>
      </c>
      <c r="BJ207" s="4438">
        <f t="shared" si="290"/>
        <v>0</v>
      </c>
      <c r="BK207" s="4438">
        <f t="shared" si="291"/>
        <v>0</v>
      </c>
      <c r="BL207" s="4438">
        <f t="shared" si="292"/>
        <v>0</v>
      </c>
      <c r="BM207" s="4438">
        <f t="shared" si="293"/>
        <v>0</v>
      </c>
      <c r="BN207" s="4438">
        <f t="shared" si="294"/>
        <v>0</v>
      </c>
      <c r="BO207" s="4438">
        <f t="shared" si="295"/>
        <v>0</v>
      </c>
      <c r="BP207" s="4438">
        <f t="shared" si="296"/>
        <v>0</v>
      </c>
      <c r="BQ207" s="4438">
        <f t="shared" si="297"/>
        <v>0</v>
      </c>
      <c r="BR207" s="4438">
        <f t="shared" si="298"/>
        <v>0</v>
      </c>
      <c r="BS207" s="4438">
        <f t="shared" si="299"/>
        <v>0</v>
      </c>
      <c r="BT207" s="4438">
        <f t="shared" si="300"/>
        <v>0</v>
      </c>
      <c r="BU207" s="4438">
        <f t="shared" si="301"/>
        <v>0</v>
      </c>
      <c r="BV207" s="4438">
        <f t="shared" si="302"/>
        <v>0</v>
      </c>
      <c r="BW207" s="4438">
        <f t="shared" si="303"/>
        <v>0</v>
      </c>
      <c r="BX207" s="4438">
        <f t="shared" si="304"/>
        <v>0</v>
      </c>
      <c r="BY207" s="4438">
        <f t="shared" si="305"/>
        <v>0</v>
      </c>
    </row>
    <row r="208" spans="1:77" s="1292" customFormat="1">
      <c r="A208" s="2573">
        <v>16</v>
      </c>
      <c r="B208" s="2516" t="s">
        <v>702</v>
      </c>
      <c r="C208" s="2517">
        <v>0.02</v>
      </c>
      <c r="D208" s="2547" t="s">
        <v>420</v>
      </c>
      <c r="E208" s="4387">
        <f>+'11.3. ДА Базова година'!H169</f>
        <v>78554</v>
      </c>
      <c r="F208" s="2617">
        <f>E208+SUMIF('11.2. ДА за периода'!$B$111:$B$131,$B208,'11.2. ДА за периода'!F$111:F$131)</f>
        <v>78554</v>
      </c>
      <c r="G208" s="1110">
        <f>F208+SUMIF('11.2. ДА за периода'!$B$111:$B$131,$B208,'11.2. ДА за периода'!G$111:G$131)</f>
        <v>78554</v>
      </c>
      <c r="H208" s="1110">
        <f>G208+SUMIF('11.2. ДА за периода'!$B$111:$B$131,$B208,'11.2. ДА за периода'!H$111:H$131)</f>
        <v>78554</v>
      </c>
      <c r="I208" s="1110">
        <f>H208+SUMIF('11.2. ДА за периода'!$B$111:$B$131,$B208,'11.2. ДА за периода'!I$111:I$131)</f>
        <v>78554</v>
      </c>
      <c r="J208" s="1110">
        <f>I208+SUMIF('11.2. ДА за периода'!$B$111:$B$131,$B208,'11.2. ДА за периода'!J$111:J$131)</f>
        <v>78554</v>
      </c>
      <c r="K208" s="2618">
        <f>J208+SUMIF('11.2. ДА за периода'!$B$111:$B$131,$B208,'11.2. ДА за периода'!K$111:K$131)</f>
        <v>78554</v>
      </c>
      <c r="L208" s="4387">
        <f>+'11.3. ДА Базова година'!L169</f>
        <v>1</v>
      </c>
      <c r="M208" s="2617">
        <f>L208+SUMIF('11.2. ДА за периода'!$B$111:$B$131,$B208,'11.2. ДА за периода'!M$111:M$131)</f>
        <v>1</v>
      </c>
      <c r="N208" s="1110">
        <f>M208+SUMIF('11.2. ДА за периода'!$B$111:$B$131,$B208,'11.2. ДА за периода'!N$111:N$131)</f>
        <v>1</v>
      </c>
      <c r="O208" s="1110">
        <f>N208+SUMIF('11.2. ДА за периода'!$B$111:$B$131,$B208,'11.2. ДА за периода'!O$111:O$131)</f>
        <v>1</v>
      </c>
      <c r="P208" s="1110">
        <f>O208+SUMIF('11.2. ДА за периода'!$B$111:$B$131,$B208,'11.2. ДА за периода'!P$111:P$131)</f>
        <v>1</v>
      </c>
      <c r="Q208" s="1110">
        <f>P208+SUMIF('11.2. ДА за периода'!$B$111:$B$131,$B208,'11.2. ДА за периода'!Q$111:Q$131)</f>
        <v>1</v>
      </c>
      <c r="R208" s="2618">
        <f>Q208+SUMIF('11.2. ДА за периода'!$B$111:$B$131,$B208,'11.2. ДА за периода'!R$111:R$131)</f>
        <v>1</v>
      </c>
      <c r="S208" s="4387">
        <f>+'11.3. ДА Базова година'!P169</f>
        <v>0</v>
      </c>
      <c r="T208" s="2617">
        <f>S208+SUMIF('11.2. ДА за периода'!$B$111:$B$131,$B208,'11.2. ДА за периода'!T$111:T$131)</f>
        <v>0</v>
      </c>
      <c r="U208" s="1110">
        <f>T208+SUMIF('11.2. ДА за периода'!$B$111:$B$131,$B208,'11.2. ДА за периода'!U$111:U$131)</f>
        <v>0</v>
      </c>
      <c r="V208" s="1110">
        <f>U208+SUMIF('11.2. ДА за периода'!$B$111:$B$131,$B208,'11.2. ДА за периода'!V$111:V$131)</f>
        <v>0</v>
      </c>
      <c r="W208" s="1110">
        <f>V208+SUMIF('11.2. ДА за периода'!$B$111:$B$131,$B208,'11.2. ДА за периода'!W$111:W$131)</f>
        <v>0</v>
      </c>
      <c r="X208" s="1110">
        <f>W208+SUMIF('11.2. ДА за периода'!$B$111:$B$131,$B208,'11.2. ДА за периода'!X$111:X$131)</f>
        <v>0</v>
      </c>
      <c r="Y208" s="2618">
        <f>X208+SUMIF('11.2. ДА за периода'!$B$111:$B$131,$B208,'11.2. ДА за периода'!Y$111:Y$131)</f>
        <v>0</v>
      </c>
      <c r="Z208" s="4387">
        <f>+'11.3. ДА Базова година'!T169</f>
        <v>0</v>
      </c>
      <c r="AA208" s="2617">
        <f>Z208+SUMIF('11.2. ДА за периода'!$B$111:$B$131,$B208,'11.2. ДА за периода'!AA$111:AA$131)</f>
        <v>0</v>
      </c>
      <c r="AB208" s="1110">
        <f>AA208+SUMIF('11.2. ДА за периода'!$B$111:$B$131,$B208,'11.2. ДА за периода'!AB$111:AB$131)</f>
        <v>0</v>
      </c>
      <c r="AC208" s="1110">
        <f>AB208+SUMIF('11.2. ДА за периода'!$B$111:$B$131,$B208,'11.2. ДА за периода'!AC$111:AC$131)</f>
        <v>0</v>
      </c>
      <c r="AD208" s="1110">
        <f>AC208+SUMIF('11.2. ДА за периода'!$B$111:$B$131,$B208,'11.2. ДА за периода'!AD$111:AD$131)</f>
        <v>0</v>
      </c>
      <c r="AE208" s="1110">
        <f>AD208+SUMIF('11.2. ДА за периода'!$B$111:$B$131,$B208,'11.2. ДА за периода'!AE$111:AE$131)</f>
        <v>0</v>
      </c>
      <c r="AF208" s="2618">
        <f>AE208+SUMIF('11.2. ДА за периода'!$B$111:$B$131,$B208,'11.2. ДА за периода'!AF$111:AF$131)</f>
        <v>0</v>
      </c>
      <c r="AG208" s="4387">
        <f>+'11.3. ДА Базова година'!X169</f>
        <v>0</v>
      </c>
      <c r="AH208" s="2617">
        <f>AG208+SUMIF('11.2. ДА за периода'!$B$111:$B$131,$B208,'11.2. ДА за периода'!AH$111:AH$131)</f>
        <v>0</v>
      </c>
      <c r="AI208" s="1110">
        <f>AH208+SUMIF('11.2. ДА за периода'!$B$111:$B$131,$B208,'11.2. ДА за периода'!AI$111:AI$131)</f>
        <v>0</v>
      </c>
      <c r="AJ208" s="1110">
        <f>AI208+SUMIF('11.2. ДА за периода'!$B$111:$B$131,$B208,'11.2. ДА за периода'!AJ$111:AJ$131)</f>
        <v>0</v>
      </c>
      <c r="AK208" s="1110">
        <f>AJ208+SUMIF('11.2. ДА за периода'!$B$111:$B$131,$B208,'11.2. ДА за периода'!AK$111:AK$131)</f>
        <v>0</v>
      </c>
      <c r="AL208" s="1110">
        <f>AK208+SUMIF('11.2. ДА за периода'!$B$111:$B$131,$B208,'11.2. ДА за периода'!AL$111:AL$131)</f>
        <v>0</v>
      </c>
      <c r="AM208" s="2618">
        <f>AL208+SUMIF('11.2. ДА за периода'!$B$111:$B$131,$B208,'11.2. ДА за периода'!AM$111:AM$131)</f>
        <v>0</v>
      </c>
      <c r="AN208" s="2513"/>
      <c r="AO208" s="2551"/>
      <c r="AP208" s="4422"/>
      <c r="AQ208" s="4438">
        <f t="shared" si="271"/>
        <v>40164.02243548775</v>
      </c>
      <c r="AR208" s="4438">
        <f t="shared" si="272"/>
        <v>40164.02243548775</v>
      </c>
      <c r="AS208" s="4438">
        <f t="shared" si="273"/>
        <v>40164.02243548775</v>
      </c>
      <c r="AT208" s="4438">
        <f t="shared" si="274"/>
        <v>40164.02243548775</v>
      </c>
      <c r="AU208" s="4438">
        <f t="shared" si="275"/>
        <v>40164.02243548775</v>
      </c>
      <c r="AV208" s="4438">
        <f t="shared" si="276"/>
        <v>40164.02243548775</v>
      </c>
      <c r="AW208" s="4438">
        <f t="shared" si="277"/>
        <v>40164.02243548775</v>
      </c>
      <c r="AX208" s="4438">
        <f t="shared" si="278"/>
        <v>0.51129188119621849</v>
      </c>
      <c r="AY208" s="4438">
        <f t="shared" si="279"/>
        <v>0.51129188119621849</v>
      </c>
      <c r="AZ208" s="4438">
        <f t="shared" si="280"/>
        <v>0.51129188119621849</v>
      </c>
      <c r="BA208" s="4438">
        <f t="shared" si="281"/>
        <v>0.51129188119621849</v>
      </c>
      <c r="BB208" s="4438">
        <f t="shared" si="282"/>
        <v>0.51129188119621849</v>
      </c>
      <c r="BC208" s="4438">
        <f t="shared" si="283"/>
        <v>0.51129188119621849</v>
      </c>
      <c r="BD208" s="4438">
        <f t="shared" si="284"/>
        <v>0.51129188119621849</v>
      </c>
      <c r="BE208" s="4438">
        <f t="shared" si="285"/>
        <v>0</v>
      </c>
      <c r="BF208" s="4438">
        <f t="shared" si="286"/>
        <v>0</v>
      </c>
      <c r="BG208" s="4438">
        <f t="shared" si="287"/>
        <v>0</v>
      </c>
      <c r="BH208" s="4438">
        <f t="shared" si="288"/>
        <v>0</v>
      </c>
      <c r="BI208" s="4438">
        <f t="shared" si="289"/>
        <v>0</v>
      </c>
      <c r="BJ208" s="4438">
        <f t="shared" si="290"/>
        <v>0</v>
      </c>
      <c r="BK208" s="4438">
        <f t="shared" si="291"/>
        <v>0</v>
      </c>
      <c r="BL208" s="4438">
        <f t="shared" si="292"/>
        <v>0</v>
      </c>
      <c r="BM208" s="4438">
        <f t="shared" si="293"/>
        <v>0</v>
      </c>
      <c r="BN208" s="4438">
        <f t="shared" si="294"/>
        <v>0</v>
      </c>
      <c r="BO208" s="4438">
        <f t="shared" si="295"/>
        <v>0</v>
      </c>
      <c r="BP208" s="4438">
        <f t="shared" si="296"/>
        <v>0</v>
      </c>
      <c r="BQ208" s="4438">
        <f t="shared" si="297"/>
        <v>0</v>
      </c>
      <c r="BR208" s="4438">
        <f t="shared" si="298"/>
        <v>0</v>
      </c>
      <c r="BS208" s="4438">
        <f t="shared" si="299"/>
        <v>0</v>
      </c>
      <c r="BT208" s="4438">
        <f t="shared" si="300"/>
        <v>0</v>
      </c>
      <c r="BU208" s="4438">
        <f t="shared" si="301"/>
        <v>0</v>
      </c>
      <c r="BV208" s="4438">
        <f t="shared" si="302"/>
        <v>0</v>
      </c>
      <c r="BW208" s="4438">
        <f t="shared" si="303"/>
        <v>0</v>
      </c>
      <c r="BX208" s="4438">
        <f t="shared" si="304"/>
        <v>0</v>
      </c>
      <c r="BY208" s="4438">
        <f t="shared" si="305"/>
        <v>0</v>
      </c>
    </row>
    <row r="209" spans="1:77" s="1292" customFormat="1">
      <c r="A209" s="2573">
        <v>17</v>
      </c>
      <c r="B209" s="2516" t="s">
        <v>703</v>
      </c>
      <c r="C209" s="2517">
        <v>0.02</v>
      </c>
      <c r="D209" s="2552" t="s">
        <v>421</v>
      </c>
      <c r="E209" s="4387">
        <f>+'11.3. ДА Базова година'!H170</f>
        <v>0</v>
      </c>
      <c r="F209" s="2617">
        <f>E209+SUMIF('11.2. ДА за периода'!$B$111:$B$131,$B209,'11.2. ДА за периода'!F$111:F$131)</f>
        <v>0</v>
      </c>
      <c r="G209" s="1110">
        <f>F209+SUMIF('11.2. ДА за периода'!$B$111:$B$131,$B209,'11.2. ДА за периода'!G$111:G$131)</f>
        <v>0</v>
      </c>
      <c r="H209" s="1110">
        <f>G209+SUMIF('11.2. ДА за периода'!$B$111:$B$131,$B209,'11.2. ДА за периода'!H$111:H$131)</f>
        <v>0</v>
      </c>
      <c r="I209" s="1110">
        <f>H209+SUMIF('11.2. ДА за периода'!$B$111:$B$131,$B209,'11.2. ДА за периода'!I$111:I$131)</f>
        <v>0</v>
      </c>
      <c r="J209" s="1110">
        <f>I209+SUMIF('11.2. ДА за периода'!$B$111:$B$131,$B209,'11.2. ДА за периода'!J$111:J$131)</f>
        <v>0</v>
      </c>
      <c r="K209" s="2618">
        <f>J209+SUMIF('11.2. ДА за периода'!$B$111:$B$131,$B209,'11.2. ДА за периода'!K$111:K$131)</f>
        <v>0</v>
      </c>
      <c r="L209" s="4387">
        <f>+'11.3. ДА Базова година'!L170</f>
        <v>98140</v>
      </c>
      <c r="M209" s="2617">
        <f>L209+SUMIF('11.2. ДА за периода'!$B$111:$B$131,$B209,'11.2. ДА за периода'!M$111:M$131)</f>
        <v>98140</v>
      </c>
      <c r="N209" s="1110">
        <f>M209+SUMIF('11.2. ДА за периода'!$B$111:$B$131,$B209,'11.2. ДА за периода'!N$111:N$131)</f>
        <v>98140</v>
      </c>
      <c r="O209" s="1110">
        <f>N209+SUMIF('11.2. ДА за периода'!$B$111:$B$131,$B209,'11.2. ДА за периода'!O$111:O$131)</f>
        <v>98140</v>
      </c>
      <c r="P209" s="1110">
        <f>O209+SUMIF('11.2. ДА за периода'!$B$111:$B$131,$B209,'11.2. ДА за периода'!P$111:P$131)</f>
        <v>98140</v>
      </c>
      <c r="Q209" s="1110">
        <f>P209+SUMIF('11.2. ДА за периода'!$B$111:$B$131,$B209,'11.2. ДА за периода'!Q$111:Q$131)</f>
        <v>98140</v>
      </c>
      <c r="R209" s="2618">
        <f>Q209+SUMIF('11.2. ДА за периода'!$B$111:$B$131,$B209,'11.2. ДА за периода'!R$111:R$131)</f>
        <v>98140</v>
      </c>
      <c r="S209" s="4387">
        <f>+'11.3. ДА Базова година'!P170</f>
        <v>42291</v>
      </c>
      <c r="T209" s="2617">
        <f>S209+SUMIF('11.2. ДА за периода'!$B$111:$B$131,$B209,'11.2. ДА за периода'!T$111:T$131)</f>
        <v>42291</v>
      </c>
      <c r="U209" s="1110">
        <f>T209+SUMIF('11.2. ДА за периода'!$B$111:$B$131,$B209,'11.2. ДА за периода'!U$111:U$131)</f>
        <v>42291</v>
      </c>
      <c r="V209" s="1110">
        <f>U209+SUMIF('11.2. ДА за периода'!$B$111:$B$131,$B209,'11.2. ДА за периода'!V$111:V$131)</f>
        <v>42291</v>
      </c>
      <c r="W209" s="1110">
        <f>V209+SUMIF('11.2. ДА за периода'!$B$111:$B$131,$B209,'11.2. ДА за периода'!W$111:W$131)</f>
        <v>42291</v>
      </c>
      <c r="X209" s="1110">
        <f>W209+SUMIF('11.2. ДА за периода'!$B$111:$B$131,$B209,'11.2. ДА за периода'!X$111:X$131)</f>
        <v>42291</v>
      </c>
      <c r="Y209" s="2618">
        <f>X209+SUMIF('11.2. ДА за периода'!$B$111:$B$131,$B209,'11.2. ДА за периода'!Y$111:Y$131)</f>
        <v>42291</v>
      </c>
      <c r="Z209" s="4387">
        <f>+'11.3. ДА Базова година'!T170</f>
        <v>0</v>
      </c>
      <c r="AA209" s="2617">
        <f>Z209+SUMIF('11.2. ДА за периода'!$B$111:$B$131,$B209,'11.2. ДА за периода'!AA$111:AA$131)</f>
        <v>0</v>
      </c>
      <c r="AB209" s="1110">
        <f>AA209+SUMIF('11.2. ДА за периода'!$B$111:$B$131,$B209,'11.2. ДА за периода'!AB$111:AB$131)</f>
        <v>0</v>
      </c>
      <c r="AC209" s="1110">
        <f>AB209+SUMIF('11.2. ДА за периода'!$B$111:$B$131,$B209,'11.2. ДА за периода'!AC$111:AC$131)</f>
        <v>0</v>
      </c>
      <c r="AD209" s="1110">
        <f>AC209+SUMIF('11.2. ДА за периода'!$B$111:$B$131,$B209,'11.2. ДА за периода'!AD$111:AD$131)</f>
        <v>0</v>
      </c>
      <c r="AE209" s="1110">
        <f>AD209+SUMIF('11.2. ДА за периода'!$B$111:$B$131,$B209,'11.2. ДА за периода'!AE$111:AE$131)</f>
        <v>0</v>
      </c>
      <c r="AF209" s="2618">
        <f>AE209+SUMIF('11.2. ДА за периода'!$B$111:$B$131,$B209,'11.2. ДА за периода'!AF$111:AF$131)</f>
        <v>0</v>
      </c>
      <c r="AG209" s="4387">
        <f>+'11.3. ДА Базова година'!X170</f>
        <v>0</v>
      </c>
      <c r="AH209" s="2617">
        <f>AG209+SUMIF('11.2. ДА за периода'!$B$111:$B$131,$B209,'11.2. ДА за периода'!AH$111:AH$131)</f>
        <v>0</v>
      </c>
      <c r="AI209" s="1110">
        <f>AH209+SUMIF('11.2. ДА за периода'!$B$111:$B$131,$B209,'11.2. ДА за периода'!AI$111:AI$131)</f>
        <v>0</v>
      </c>
      <c r="AJ209" s="1110">
        <f>AI209+SUMIF('11.2. ДА за периода'!$B$111:$B$131,$B209,'11.2. ДА за периода'!AJ$111:AJ$131)</f>
        <v>0</v>
      </c>
      <c r="AK209" s="1110">
        <f>AJ209+SUMIF('11.2. ДА за периода'!$B$111:$B$131,$B209,'11.2. ДА за периода'!AK$111:AK$131)</f>
        <v>0</v>
      </c>
      <c r="AL209" s="1110">
        <f>AK209+SUMIF('11.2. ДА за периода'!$B$111:$B$131,$B209,'11.2. ДА за периода'!AL$111:AL$131)</f>
        <v>0</v>
      </c>
      <c r="AM209" s="2618">
        <f>AL209+SUMIF('11.2. ДА за периода'!$B$111:$B$131,$B209,'11.2. ДА за периода'!AM$111:AM$131)</f>
        <v>0</v>
      </c>
      <c r="AN209" s="2513"/>
      <c r="AO209" s="2551"/>
      <c r="AP209" s="4422"/>
      <c r="AQ209" s="4438">
        <f t="shared" si="271"/>
        <v>0</v>
      </c>
      <c r="AR209" s="4438">
        <f t="shared" si="272"/>
        <v>0</v>
      </c>
      <c r="AS209" s="4438">
        <f t="shared" si="273"/>
        <v>0</v>
      </c>
      <c r="AT209" s="4438">
        <f t="shared" si="274"/>
        <v>0</v>
      </c>
      <c r="AU209" s="4438">
        <f t="shared" si="275"/>
        <v>0</v>
      </c>
      <c r="AV209" s="4438">
        <f t="shared" si="276"/>
        <v>0</v>
      </c>
      <c r="AW209" s="4438">
        <f t="shared" si="277"/>
        <v>0</v>
      </c>
      <c r="AX209" s="4438">
        <f t="shared" si="278"/>
        <v>50178.185220596883</v>
      </c>
      <c r="AY209" s="4438">
        <f t="shared" si="279"/>
        <v>50178.185220596883</v>
      </c>
      <c r="AZ209" s="4438">
        <f t="shared" si="280"/>
        <v>50178.185220596883</v>
      </c>
      <c r="BA209" s="4438">
        <f t="shared" si="281"/>
        <v>50178.185220596883</v>
      </c>
      <c r="BB209" s="4438">
        <f t="shared" si="282"/>
        <v>50178.185220596883</v>
      </c>
      <c r="BC209" s="4438">
        <f t="shared" si="283"/>
        <v>50178.185220596883</v>
      </c>
      <c r="BD209" s="4438">
        <f t="shared" si="284"/>
        <v>50178.185220596883</v>
      </c>
      <c r="BE209" s="4438">
        <f t="shared" si="285"/>
        <v>21623.044947669277</v>
      </c>
      <c r="BF209" s="4438">
        <f t="shared" si="286"/>
        <v>21623.044947669277</v>
      </c>
      <c r="BG209" s="4438">
        <f t="shared" si="287"/>
        <v>21623.044947669277</v>
      </c>
      <c r="BH209" s="4438">
        <f t="shared" si="288"/>
        <v>21623.044947669277</v>
      </c>
      <c r="BI209" s="4438">
        <f t="shared" si="289"/>
        <v>21623.044947669277</v>
      </c>
      <c r="BJ209" s="4438">
        <f t="shared" si="290"/>
        <v>21623.044947669277</v>
      </c>
      <c r="BK209" s="4438">
        <f t="shared" si="291"/>
        <v>21623.044947669277</v>
      </c>
      <c r="BL209" s="4438">
        <f t="shared" si="292"/>
        <v>0</v>
      </c>
      <c r="BM209" s="4438">
        <f t="shared" si="293"/>
        <v>0</v>
      </c>
      <c r="BN209" s="4438">
        <f t="shared" si="294"/>
        <v>0</v>
      </c>
      <c r="BO209" s="4438">
        <f t="shared" si="295"/>
        <v>0</v>
      </c>
      <c r="BP209" s="4438">
        <f t="shared" si="296"/>
        <v>0</v>
      </c>
      <c r="BQ209" s="4438">
        <f t="shared" si="297"/>
        <v>0</v>
      </c>
      <c r="BR209" s="4438">
        <f t="shared" si="298"/>
        <v>0</v>
      </c>
      <c r="BS209" s="4438">
        <f t="shared" si="299"/>
        <v>0</v>
      </c>
      <c r="BT209" s="4438">
        <f t="shared" si="300"/>
        <v>0</v>
      </c>
      <c r="BU209" s="4438">
        <f t="shared" si="301"/>
        <v>0</v>
      </c>
      <c r="BV209" s="4438">
        <f t="shared" si="302"/>
        <v>0</v>
      </c>
      <c r="BW209" s="4438">
        <f t="shared" si="303"/>
        <v>0</v>
      </c>
      <c r="BX209" s="4438">
        <f t="shared" si="304"/>
        <v>0</v>
      </c>
      <c r="BY209" s="4438">
        <f t="shared" si="305"/>
        <v>0</v>
      </c>
    </row>
    <row r="210" spans="1:77" s="1292" customFormat="1" ht="24">
      <c r="A210" s="2573">
        <v>18</v>
      </c>
      <c r="B210" s="2516" t="s">
        <v>704</v>
      </c>
      <c r="C210" s="2517">
        <v>0.04</v>
      </c>
      <c r="D210" s="2552" t="s">
        <v>422</v>
      </c>
      <c r="E210" s="4387">
        <f>+'11.3. ДА Базова година'!H171</f>
        <v>482</v>
      </c>
      <c r="F210" s="2617">
        <f>E210+SUMIF('11.2. ДА за периода'!$B$111:$B$131,$B210,'11.2. ДА за периода'!F$111:F$131)</f>
        <v>482</v>
      </c>
      <c r="G210" s="1110">
        <f>F210+SUMIF('11.2. ДА за периода'!$B$111:$B$131,$B210,'11.2. ДА за периода'!G$111:G$131)</f>
        <v>482</v>
      </c>
      <c r="H210" s="1110">
        <f>G210+SUMIF('11.2. ДА за периода'!$B$111:$B$131,$B210,'11.2. ДА за периода'!H$111:H$131)</f>
        <v>482</v>
      </c>
      <c r="I210" s="1110">
        <f>H210+SUMIF('11.2. ДА за периода'!$B$111:$B$131,$B210,'11.2. ДА за периода'!I$111:I$131)</f>
        <v>482</v>
      </c>
      <c r="J210" s="1110">
        <f>I210+SUMIF('11.2. ДА за периода'!$B$111:$B$131,$B210,'11.2. ДА за периода'!J$111:J$131)</f>
        <v>482</v>
      </c>
      <c r="K210" s="2618">
        <f>J210+SUMIF('11.2. ДА за периода'!$B$111:$B$131,$B210,'11.2. ДА за периода'!K$111:K$131)</f>
        <v>482</v>
      </c>
      <c r="L210" s="4387">
        <f>+'11.3. ДА Базова година'!L171</f>
        <v>0</v>
      </c>
      <c r="M210" s="2617">
        <f>L210+SUMIF('11.2. ДА за периода'!$B$111:$B$131,$B210,'11.2. ДА за периода'!M$111:M$131)</f>
        <v>0</v>
      </c>
      <c r="N210" s="1110">
        <f>M210+SUMIF('11.2. ДА за периода'!$B$111:$B$131,$B210,'11.2. ДА за периода'!N$111:N$131)</f>
        <v>0</v>
      </c>
      <c r="O210" s="1110">
        <f>N210+SUMIF('11.2. ДА за периода'!$B$111:$B$131,$B210,'11.2. ДА за периода'!O$111:O$131)</f>
        <v>0</v>
      </c>
      <c r="P210" s="1110">
        <f>O210+SUMIF('11.2. ДА за периода'!$B$111:$B$131,$B210,'11.2. ДА за периода'!P$111:P$131)</f>
        <v>0</v>
      </c>
      <c r="Q210" s="1110">
        <f>P210+SUMIF('11.2. ДА за периода'!$B$111:$B$131,$B210,'11.2. ДА за периода'!Q$111:Q$131)</f>
        <v>0</v>
      </c>
      <c r="R210" s="2618">
        <f>Q210+SUMIF('11.2. ДА за периода'!$B$111:$B$131,$B210,'11.2. ДА за периода'!R$111:R$131)</f>
        <v>0</v>
      </c>
      <c r="S210" s="4387">
        <f>+'11.3. ДА Базова година'!P171</f>
        <v>0</v>
      </c>
      <c r="T210" s="2617">
        <f>S210+SUMIF('11.2. ДА за периода'!$B$111:$B$131,$B210,'11.2. ДА за периода'!T$111:T$131)</f>
        <v>0</v>
      </c>
      <c r="U210" s="1110">
        <f>T210+SUMIF('11.2. ДА за периода'!$B$111:$B$131,$B210,'11.2. ДА за периода'!U$111:U$131)</f>
        <v>0</v>
      </c>
      <c r="V210" s="1110">
        <f>U210+SUMIF('11.2. ДА за периода'!$B$111:$B$131,$B210,'11.2. ДА за периода'!V$111:V$131)</f>
        <v>0</v>
      </c>
      <c r="W210" s="1110">
        <f>V210+SUMIF('11.2. ДА за периода'!$B$111:$B$131,$B210,'11.2. ДА за периода'!W$111:W$131)</f>
        <v>0</v>
      </c>
      <c r="X210" s="1110">
        <f>W210+SUMIF('11.2. ДА за периода'!$B$111:$B$131,$B210,'11.2. ДА за периода'!X$111:X$131)</f>
        <v>0</v>
      </c>
      <c r="Y210" s="2618">
        <f>X210+SUMIF('11.2. ДА за периода'!$B$111:$B$131,$B210,'11.2. ДА за периода'!Y$111:Y$131)</f>
        <v>0</v>
      </c>
      <c r="Z210" s="4387">
        <f>+'11.3. ДА Базова година'!T171</f>
        <v>0</v>
      </c>
      <c r="AA210" s="2617">
        <f>Z210+SUMIF('11.2. ДА за периода'!$B$111:$B$131,$B210,'11.2. ДА за периода'!AA$111:AA$131)</f>
        <v>0</v>
      </c>
      <c r="AB210" s="1110">
        <f>AA210+SUMIF('11.2. ДА за периода'!$B$111:$B$131,$B210,'11.2. ДА за периода'!AB$111:AB$131)</f>
        <v>0</v>
      </c>
      <c r="AC210" s="1110">
        <f>AB210+SUMIF('11.2. ДА за периода'!$B$111:$B$131,$B210,'11.2. ДА за периода'!AC$111:AC$131)</f>
        <v>0</v>
      </c>
      <c r="AD210" s="1110">
        <f>AC210+SUMIF('11.2. ДА за периода'!$B$111:$B$131,$B210,'11.2. ДА за периода'!AD$111:AD$131)</f>
        <v>0</v>
      </c>
      <c r="AE210" s="1110">
        <f>AD210+SUMIF('11.2. ДА за периода'!$B$111:$B$131,$B210,'11.2. ДА за периода'!AE$111:AE$131)</f>
        <v>0</v>
      </c>
      <c r="AF210" s="2618">
        <f>AE210+SUMIF('11.2. ДА за периода'!$B$111:$B$131,$B210,'11.2. ДА за периода'!AF$111:AF$131)</f>
        <v>0</v>
      </c>
      <c r="AG210" s="4387">
        <f>+'11.3. ДА Базова година'!X171</f>
        <v>0</v>
      </c>
      <c r="AH210" s="2617">
        <f>AG210+SUMIF('11.2. ДА за периода'!$B$111:$B$131,$B210,'11.2. ДА за периода'!AH$111:AH$131)</f>
        <v>0</v>
      </c>
      <c r="AI210" s="1110">
        <f>AH210+SUMIF('11.2. ДА за периода'!$B$111:$B$131,$B210,'11.2. ДА за периода'!AI$111:AI$131)</f>
        <v>0</v>
      </c>
      <c r="AJ210" s="1110">
        <f>AI210+SUMIF('11.2. ДА за периода'!$B$111:$B$131,$B210,'11.2. ДА за периода'!AJ$111:AJ$131)</f>
        <v>0</v>
      </c>
      <c r="AK210" s="1110">
        <f>AJ210+SUMIF('11.2. ДА за периода'!$B$111:$B$131,$B210,'11.2. ДА за периода'!AK$111:AK$131)</f>
        <v>0</v>
      </c>
      <c r="AL210" s="1110">
        <f>AK210+SUMIF('11.2. ДА за периода'!$B$111:$B$131,$B210,'11.2. ДА за периода'!AL$111:AL$131)</f>
        <v>0</v>
      </c>
      <c r="AM210" s="2618">
        <f>AL210+SUMIF('11.2. ДА за периода'!$B$111:$B$131,$B210,'11.2. ДА за периода'!AM$111:AM$131)</f>
        <v>0</v>
      </c>
      <c r="AN210" s="2513"/>
      <c r="AO210" s="2551"/>
      <c r="AP210" s="4422"/>
      <c r="AQ210" s="4438">
        <f t="shared" si="271"/>
        <v>246.44268673657731</v>
      </c>
      <c r="AR210" s="4438">
        <f t="shared" si="272"/>
        <v>246.44268673657731</v>
      </c>
      <c r="AS210" s="4438">
        <f t="shared" si="273"/>
        <v>246.44268673657731</v>
      </c>
      <c r="AT210" s="4438">
        <f t="shared" si="274"/>
        <v>246.44268673657731</v>
      </c>
      <c r="AU210" s="4438">
        <f t="shared" si="275"/>
        <v>246.44268673657731</v>
      </c>
      <c r="AV210" s="4438">
        <f t="shared" si="276"/>
        <v>246.44268673657731</v>
      </c>
      <c r="AW210" s="4438">
        <f t="shared" si="277"/>
        <v>246.44268673657731</v>
      </c>
      <c r="AX210" s="4438">
        <f t="shared" si="278"/>
        <v>0</v>
      </c>
      <c r="AY210" s="4438">
        <f t="shared" si="279"/>
        <v>0</v>
      </c>
      <c r="AZ210" s="4438">
        <f t="shared" si="280"/>
        <v>0</v>
      </c>
      <c r="BA210" s="4438">
        <f t="shared" si="281"/>
        <v>0</v>
      </c>
      <c r="BB210" s="4438">
        <f t="shared" si="282"/>
        <v>0</v>
      </c>
      <c r="BC210" s="4438">
        <f t="shared" si="283"/>
        <v>0</v>
      </c>
      <c r="BD210" s="4438">
        <f t="shared" si="284"/>
        <v>0</v>
      </c>
      <c r="BE210" s="4438">
        <f t="shared" si="285"/>
        <v>0</v>
      </c>
      <c r="BF210" s="4438">
        <f t="shared" si="286"/>
        <v>0</v>
      </c>
      <c r="BG210" s="4438">
        <f t="shared" si="287"/>
        <v>0</v>
      </c>
      <c r="BH210" s="4438">
        <f t="shared" si="288"/>
        <v>0</v>
      </c>
      <c r="BI210" s="4438">
        <f t="shared" si="289"/>
        <v>0</v>
      </c>
      <c r="BJ210" s="4438">
        <f t="shared" si="290"/>
        <v>0</v>
      </c>
      <c r="BK210" s="4438">
        <f t="shared" si="291"/>
        <v>0</v>
      </c>
      <c r="BL210" s="4438">
        <f t="shared" si="292"/>
        <v>0</v>
      </c>
      <c r="BM210" s="4438">
        <f t="shared" si="293"/>
        <v>0</v>
      </c>
      <c r="BN210" s="4438">
        <f t="shared" si="294"/>
        <v>0</v>
      </c>
      <c r="BO210" s="4438">
        <f t="shared" si="295"/>
        <v>0</v>
      </c>
      <c r="BP210" s="4438">
        <f t="shared" si="296"/>
        <v>0</v>
      </c>
      <c r="BQ210" s="4438">
        <f t="shared" si="297"/>
        <v>0</v>
      </c>
      <c r="BR210" s="4438">
        <f t="shared" si="298"/>
        <v>0</v>
      </c>
      <c r="BS210" s="4438">
        <f t="shared" si="299"/>
        <v>0</v>
      </c>
      <c r="BT210" s="4438">
        <f t="shared" si="300"/>
        <v>0</v>
      </c>
      <c r="BU210" s="4438">
        <f t="shared" si="301"/>
        <v>0</v>
      </c>
      <c r="BV210" s="4438">
        <f t="shared" si="302"/>
        <v>0</v>
      </c>
      <c r="BW210" s="4438">
        <f t="shared" si="303"/>
        <v>0</v>
      </c>
      <c r="BX210" s="4438">
        <f t="shared" si="304"/>
        <v>0</v>
      </c>
      <c r="BY210" s="4438">
        <f t="shared" si="305"/>
        <v>0</v>
      </c>
    </row>
    <row r="211" spans="1:77" s="1292" customFormat="1">
      <c r="A211" s="2573">
        <v>19</v>
      </c>
      <c r="B211" s="2516" t="s">
        <v>705</v>
      </c>
      <c r="C211" s="2517">
        <v>0.04</v>
      </c>
      <c r="D211" s="2552" t="s">
        <v>423</v>
      </c>
      <c r="E211" s="4387">
        <f>+'11.3. ДА Базова година'!H172</f>
        <v>165</v>
      </c>
      <c r="F211" s="2617">
        <f>E211+SUMIF('11.2. ДА за периода'!$B$111:$B$131,$B211,'11.2. ДА за периода'!F$111:F$131)</f>
        <v>165</v>
      </c>
      <c r="G211" s="1110">
        <f>F211+SUMIF('11.2. ДА за периода'!$B$111:$B$131,$B211,'11.2. ДА за периода'!G$111:G$131)</f>
        <v>165</v>
      </c>
      <c r="H211" s="1110">
        <f>G211+SUMIF('11.2. ДА за периода'!$B$111:$B$131,$B211,'11.2. ДА за периода'!H$111:H$131)</f>
        <v>165</v>
      </c>
      <c r="I211" s="1110">
        <f>H211+SUMIF('11.2. ДА за периода'!$B$111:$B$131,$B211,'11.2. ДА за периода'!I$111:I$131)</f>
        <v>165</v>
      </c>
      <c r="J211" s="1110">
        <f>I211+SUMIF('11.2. ДА за периода'!$B$111:$B$131,$B211,'11.2. ДА за периода'!J$111:J$131)</f>
        <v>165</v>
      </c>
      <c r="K211" s="2618">
        <f>J211+SUMIF('11.2. ДА за периода'!$B$111:$B$131,$B211,'11.2. ДА за периода'!K$111:K$131)</f>
        <v>165</v>
      </c>
      <c r="L211" s="4387">
        <f>+'11.3. ДА Базова година'!L172</f>
        <v>291</v>
      </c>
      <c r="M211" s="2617">
        <f>L211+SUMIF('11.2. ДА за периода'!$B$111:$B$131,$B211,'11.2. ДА за периода'!M$111:M$131)</f>
        <v>291</v>
      </c>
      <c r="N211" s="1110">
        <f>M211+SUMIF('11.2. ДА за периода'!$B$111:$B$131,$B211,'11.2. ДА за периода'!N$111:N$131)</f>
        <v>291</v>
      </c>
      <c r="O211" s="1110">
        <f>N211+SUMIF('11.2. ДА за периода'!$B$111:$B$131,$B211,'11.2. ДА за периода'!O$111:O$131)</f>
        <v>291</v>
      </c>
      <c r="P211" s="1110">
        <f>O211+SUMIF('11.2. ДА за периода'!$B$111:$B$131,$B211,'11.2. ДА за периода'!P$111:P$131)</f>
        <v>291</v>
      </c>
      <c r="Q211" s="1110">
        <f>P211+SUMIF('11.2. ДА за периода'!$B$111:$B$131,$B211,'11.2. ДА за периода'!Q$111:Q$131)</f>
        <v>291</v>
      </c>
      <c r="R211" s="2618">
        <f>Q211+SUMIF('11.2. ДА за периода'!$B$111:$B$131,$B211,'11.2. ДА за периода'!R$111:R$131)</f>
        <v>291</v>
      </c>
      <c r="S211" s="4387">
        <f>+'11.3. ДА Базова година'!P172</f>
        <v>0</v>
      </c>
      <c r="T211" s="2617">
        <f>S211+SUMIF('11.2. ДА за периода'!$B$111:$B$131,$B211,'11.2. ДА за периода'!T$111:T$131)</f>
        <v>0</v>
      </c>
      <c r="U211" s="1110">
        <f>T211+SUMIF('11.2. ДА за периода'!$B$111:$B$131,$B211,'11.2. ДА за периода'!U$111:U$131)</f>
        <v>0</v>
      </c>
      <c r="V211" s="1110">
        <f>U211+SUMIF('11.2. ДА за периода'!$B$111:$B$131,$B211,'11.2. ДА за периода'!V$111:V$131)</f>
        <v>0</v>
      </c>
      <c r="W211" s="1110">
        <f>V211+SUMIF('11.2. ДА за периода'!$B$111:$B$131,$B211,'11.2. ДА за периода'!W$111:W$131)</f>
        <v>0</v>
      </c>
      <c r="X211" s="1110">
        <f>W211+SUMIF('11.2. ДА за периода'!$B$111:$B$131,$B211,'11.2. ДА за периода'!X$111:X$131)</f>
        <v>0</v>
      </c>
      <c r="Y211" s="2618">
        <f>X211+SUMIF('11.2. ДА за периода'!$B$111:$B$131,$B211,'11.2. ДА за периода'!Y$111:Y$131)</f>
        <v>0</v>
      </c>
      <c r="Z211" s="4387">
        <f>+'11.3. ДА Базова година'!T172</f>
        <v>0</v>
      </c>
      <c r="AA211" s="2617">
        <f>Z211+SUMIF('11.2. ДА за периода'!$B$111:$B$131,$B211,'11.2. ДА за периода'!AA$111:AA$131)</f>
        <v>0</v>
      </c>
      <c r="AB211" s="1110">
        <f>AA211+SUMIF('11.2. ДА за периода'!$B$111:$B$131,$B211,'11.2. ДА за периода'!AB$111:AB$131)</f>
        <v>0</v>
      </c>
      <c r="AC211" s="1110">
        <f>AB211+SUMIF('11.2. ДА за периода'!$B$111:$B$131,$B211,'11.2. ДА за периода'!AC$111:AC$131)</f>
        <v>0</v>
      </c>
      <c r="AD211" s="1110">
        <f>AC211+SUMIF('11.2. ДА за периода'!$B$111:$B$131,$B211,'11.2. ДА за периода'!AD$111:AD$131)</f>
        <v>0</v>
      </c>
      <c r="AE211" s="1110">
        <f>AD211+SUMIF('11.2. ДА за периода'!$B$111:$B$131,$B211,'11.2. ДА за периода'!AE$111:AE$131)</f>
        <v>0</v>
      </c>
      <c r="AF211" s="2618">
        <f>AE211+SUMIF('11.2. ДА за периода'!$B$111:$B$131,$B211,'11.2. ДА за периода'!AF$111:AF$131)</f>
        <v>0</v>
      </c>
      <c r="AG211" s="4387">
        <f>+'11.3. ДА Базова година'!X172</f>
        <v>0</v>
      </c>
      <c r="AH211" s="2617">
        <f>AG211+SUMIF('11.2. ДА за периода'!$B$111:$B$131,$B211,'11.2. ДА за периода'!AH$111:AH$131)</f>
        <v>0</v>
      </c>
      <c r="AI211" s="1110">
        <f>AH211+SUMIF('11.2. ДА за периода'!$B$111:$B$131,$B211,'11.2. ДА за периода'!AI$111:AI$131)</f>
        <v>0</v>
      </c>
      <c r="AJ211" s="1110">
        <f>AI211+SUMIF('11.2. ДА за периода'!$B$111:$B$131,$B211,'11.2. ДА за периода'!AJ$111:AJ$131)</f>
        <v>0</v>
      </c>
      <c r="AK211" s="1110">
        <f>AJ211+SUMIF('11.2. ДА за периода'!$B$111:$B$131,$B211,'11.2. ДА за периода'!AK$111:AK$131)</f>
        <v>0</v>
      </c>
      <c r="AL211" s="1110">
        <f>AK211+SUMIF('11.2. ДА за периода'!$B$111:$B$131,$B211,'11.2. ДА за периода'!AL$111:AL$131)</f>
        <v>0</v>
      </c>
      <c r="AM211" s="2618">
        <f>AL211+SUMIF('11.2. ДА за периода'!$B$111:$B$131,$B211,'11.2. ДА за периода'!AM$111:AM$131)</f>
        <v>0</v>
      </c>
      <c r="AN211" s="2513"/>
      <c r="AO211" s="2551"/>
      <c r="AP211" s="4422"/>
      <c r="AQ211" s="4438">
        <f t="shared" si="271"/>
        <v>84.363160397376049</v>
      </c>
      <c r="AR211" s="4438">
        <f t="shared" si="272"/>
        <v>84.363160397376049</v>
      </c>
      <c r="AS211" s="4438">
        <f t="shared" si="273"/>
        <v>84.363160397376049</v>
      </c>
      <c r="AT211" s="4438">
        <f t="shared" si="274"/>
        <v>84.363160397376049</v>
      </c>
      <c r="AU211" s="4438">
        <f t="shared" si="275"/>
        <v>84.363160397376049</v>
      </c>
      <c r="AV211" s="4438">
        <f t="shared" si="276"/>
        <v>84.363160397376049</v>
      </c>
      <c r="AW211" s="4438">
        <f t="shared" si="277"/>
        <v>84.363160397376049</v>
      </c>
      <c r="AX211" s="4438">
        <f t="shared" si="278"/>
        <v>148.78593742809957</v>
      </c>
      <c r="AY211" s="4438">
        <f t="shared" si="279"/>
        <v>148.78593742809957</v>
      </c>
      <c r="AZ211" s="4438">
        <f t="shared" si="280"/>
        <v>148.78593742809957</v>
      </c>
      <c r="BA211" s="4438">
        <f t="shared" si="281"/>
        <v>148.78593742809957</v>
      </c>
      <c r="BB211" s="4438">
        <f t="shared" si="282"/>
        <v>148.78593742809957</v>
      </c>
      <c r="BC211" s="4438">
        <f t="shared" si="283"/>
        <v>148.78593742809957</v>
      </c>
      <c r="BD211" s="4438">
        <f t="shared" si="284"/>
        <v>148.78593742809957</v>
      </c>
      <c r="BE211" s="4438">
        <f t="shared" si="285"/>
        <v>0</v>
      </c>
      <c r="BF211" s="4438">
        <f t="shared" si="286"/>
        <v>0</v>
      </c>
      <c r="BG211" s="4438">
        <f t="shared" si="287"/>
        <v>0</v>
      </c>
      <c r="BH211" s="4438">
        <f t="shared" si="288"/>
        <v>0</v>
      </c>
      <c r="BI211" s="4438">
        <f t="shared" si="289"/>
        <v>0</v>
      </c>
      <c r="BJ211" s="4438">
        <f t="shared" si="290"/>
        <v>0</v>
      </c>
      <c r="BK211" s="4438">
        <f t="shared" si="291"/>
        <v>0</v>
      </c>
      <c r="BL211" s="4438">
        <f t="shared" si="292"/>
        <v>0</v>
      </c>
      <c r="BM211" s="4438">
        <f t="shared" si="293"/>
        <v>0</v>
      </c>
      <c r="BN211" s="4438">
        <f t="shared" si="294"/>
        <v>0</v>
      </c>
      <c r="BO211" s="4438">
        <f t="shared" si="295"/>
        <v>0</v>
      </c>
      <c r="BP211" s="4438">
        <f t="shared" si="296"/>
        <v>0</v>
      </c>
      <c r="BQ211" s="4438">
        <f t="shared" si="297"/>
        <v>0</v>
      </c>
      <c r="BR211" s="4438">
        <f t="shared" si="298"/>
        <v>0</v>
      </c>
      <c r="BS211" s="4438">
        <f t="shared" si="299"/>
        <v>0</v>
      </c>
      <c r="BT211" s="4438">
        <f t="shared" si="300"/>
        <v>0</v>
      </c>
      <c r="BU211" s="4438">
        <f t="shared" si="301"/>
        <v>0</v>
      </c>
      <c r="BV211" s="4438">
        <f t="shared" si="302"/>
        <v>0</v>
      </c>
      <c r="BW211" s="4438">
        <f t="shared" si="303"/>
        <v>0</v>
      </c>
      <c r="BX211" s="4438">
        <f t="shared" si="304"/>
        <v>0</v>
      </c>
      <c r="BY211" s="4438">
        <f t="shared" si="305"/>
        <v>0</v>
      </c>
    </row>
    <row r="212" spans="1:77" s="1292" customFormat="1">
      <c r="A212" s="2573">
        <v>20</v>
      </c>
      <c r="B212" s="2516" t="s">
        <v>717</v>
      </c>
      <c r="C212" s="2517">
        <v>0.04</v>
      </c>
      <c r="D212" s="2571" t="s">
        <v>434</v>
      </c>
      <c r="E212" s="4387">
        <f>+'11.3. ДА Базова година'!H173</f>
        <v>236</v>
      </c>
      <c r="F212" s="2617">
        <f>E212+SUMIF('11.2. ДА за периода'!$B$111:$B$131,$B212,'11.2. ДА за периода'!F$111:F$131)</f>
        <v>236</v>
      </c>
      <c r="G212" s="1110">
        <f>F212+SUMIF('11.2. ДА за периода'!$B$111:$B$131,$B212,'11.2. ДА за периода'!G$111:G$131)</f>
        <v>236</v>
      </c>
      <c r="H212" s="1110">
        <f>G212+SUMIF('11.2. ДА за периода'!$B$111:$B$131,$B212,'11.2. ДА за периода'!H$111:H$131)</f>
        <v>236</v>
      </c>
      <c r="I212" s="1110">
        <f>H212+SUMIF('11.2. ДА за периода'!$B$111:$B$131,$B212,'11.2. ДА за периода'!I$111:I$131)</f>
        <v>236</v>
      </c>
      <c r="J212" s="1110">
        <f>I212+SUMIF('11.2. ДА за периода'!$B$111:$B$131,$B212,'11.2. ДА за периода'!J$111:J$131)</f>
        <v>236</v>
      </c>
      <c r="K212" s="2618">
        <f>J212+SUMIF('11.2. ДА за периода'!$B$111:$B$131,$B212,'11.2. ДА за периода'!K$111:K$131)</f>
        <v>236</v>
      </c>
      <c r="L212" s="4387">
        <f>+'11.3. ДА Базова година'!L173</f>
        <v>0</v>
      </c>
      <c r="M212" s="2617">
        <f>L212+SUMIF('11.2. ДА за периода'!$B$111:$B$131,$B212,'11.2. ДА за периода'!M$111:M$131)</f>
        <v>0</v>
      </c>
      <c r="N212" s="1110">
        <f>M212+SUMIF('11.2. ДА за периода'!$B$111:$B$131,$B212,'11.2. ДА за периода'!N$111:N$131)</f>
        <v>0</v>
      </c>
      <c r="O212" s="1110">
        <f>N212+SUMIF('11.2. ДА за периода'!$B$111:$B$131,$B212,'11.2. ДА за периода'!O$111:O$131)</f>
        <v>0</v>
      </c>
      <c r="P212" s="1110">
        <f>O212+SUMIF('11.2. ДА за периода'!$B$111:$B$131,$B212,'11.2. ДА за периода'!P$111:P$131)</f>
        <v>0</v>
      </c>
      <c r="Q212" s="1110">
        <f>P212+SUMIF('11.2. ДА за периода'!$B$111:$B$131,$B212,'11.2. ДА за периода'!Q$111:Q$131)</f>
        <v>0</v>
      </c>
      <c r="R212" s="2618">
        <f>Q212+SUMIF('11.2. ДА за периода'!$B$111:$B$131,$B212,'11.2. ДА за периода'!R$111:R$131)</f>
        <v>0</v>
      </c>
      <c r="S212" s="4387">
        <f>+'11.3. ДА Базова година'!P173</f>
        <v>708</v>
      </c>
      <c r="T212" s="2617">
        <f>S212+SUMIF('11.2. ДА за периода'!$B$111:$B$131,$B212,'11.2. ДА за периода'!T$111:T$131)</f>
        <v>708</v>
      </c>
      <c r="U212" s="1110">
        <f>T212+SUMIF('11.2. ДА за периода'!$B$111:$B$131,$B212,'11.2. ДА за периода'!U$111:U$131)</f>
        <v>708</v>
      </c>
      <c r="V212" s="1110">
        <f>U212+SUMIF('11.2. ДА за периода'!$B$111:$B$131,$B212,'11.2. ДА за периода'!V$111:V$131)</f>
        <v>708</v>
      </c>
      <c r="W212" s="1110">
        <f>V212+SUMIF('11.2. ДА за периода'!$B$111:$B$131,$B212,'11.2. ДА за периода'!W$111:W$131)</f>
        <v>708</v>
      </c>
      <c r="X212" s="1110">
        <f>W212+SUMIF('11.2. ДА за периода'!$B$111:$B$131,$B212,'11.2. ДА за периода'!X$111:X$131)</f>
        <v>708</v>
      </c>
      <c r="Y212" s="2618">
        <f>X212+SUMIF('11.2. ДА за периода'!$B$111:$B$131,$B212,'11.2. ДА за периода'!Y$111:Y$131)</f>
        <v>708</v>
      </c>
      <c r="Z212" s="4387">
        <f>+'11.3. ДА Базова година'!T173</f>
        <v>0</v>
      </c>
      <c r="AA212" s="2617">
        <f>Z212+SUMIF('11.2. ДА за периода'!$B$111:$B$131,$B212,'11.2. ДА за периода'!AA$111:AA$131)</f>
        <v>0</v>
      </c>
      <c r="AB212" s="1110">
        <f>AA212+SUMIF('11.2. ДА за периода'!$B$111:$B$131,$B212,'11.2. ДА за периода'!AB$111:AB$131)</f>
        <v>0</v>
      </c>
      <c r="AC212" s="1110">
        <f>AB212+SUMIF('11.2. ДА за периода'!$B$111:$B$131,$B212,'11.2. ДА за периода'!AC$111:AC$131)</f>
        <v>0</v>
      </c>
      <c r="AD212" s="1110">
        <f>AC212+SUMIF('11.2. ДА за периода'!$B$111:$B$131,$B212,'11.2. ДА за периода'!AD$111:AD$131)</f>
        <v>0</v>
      </c>
      <c r="AE212" s="1110">
        <f>AD212+SUMIF('11.2. ДА за периода'!$B$111:$B$131,$B212,'11.2. ДА за периода'!AE$111:AE$131)</f>
        <v>0</v>
      </c>
      <c r="AF212" s="2618">
        <f>AE212+SUMIF('11.2. ДА за периода'!$B$111:$B$131,$B212,'11.2. ДА за периода'!AF$111:AF$131)</f>
        <v>0</v>
      </c>
      <c r="AG212" s="4387">
        <f>+'11.3. ДА Базова година'!X173</f>
        <v>0</v>
      </c>
      <c r="AH212" s="2617">
        <f>AG212+SUMIF('11.2. ДА за периода'!$B$111:$B$131,$B212,'11.2. ДА за периода'!AH$111:AH$131)</f>
        <v>0</v>
      </c>
      <c r="AI212" s="1110">
        <f>AH212+SUMIF('11.2. ДА за периода'!$B$111:$B$131,$B212,'11.2. ДА за периода'!AI$111:AI$131)</f>
        <v>0</v>
      </c>
      <c r="AJ212" s="1110">
        <f>AI212+SUMIF('11.2. ДА за периода'!$B$111:$B$131,$B212,'11.2. ДА за периода'!AJ$111:AJ$131)</f>
        <v>0</v>
      </c>
      <c r="AK212" s="1110">
        <f>AJ212+SUMIF('11.2. ДА за периода'!$B$111:$B$131,$B212,'11.2. ДА за периода'!AK$111:AK$131)</f>
        <v>0</v>
      </c>
      <c r="AL212" s="1110">
        <f>AK212+SUMIF('11.2. ДА за периода'!$B$111:$B$131,$B212,'11.2. ДА за периода'!AL$111:AL$131)</f>
        <v>0</v>
      </c>
      <c r="AM212" s="2618">
        <f>AL212+SUMIF('11.2. ДА за периода'!$B$111:$B$131,$B212,'11.2. ДА за периода'!AM$111:AM$131)</f>
        <v>0</v>
      </c>
      <c r="AN212" s="2513"/>
      <c r="AO212" s="2551"/>
      <c r="AP212" s="4422"/>
      <c r="AQ212" s="4438">
        <f t="shared" si="271"/>
        <v>120.66488396230757</v>
      </c>
      <c r="AR212" s="4438">
        <f t="shared" si="272"/>
        <v>120.66488396230757</v>
      </c>
      <c r="AS212" s="4438">
        <f t="shared" si="273"/>
        <v>120.66488396230757</v>
      </c>
      <c r="AT212" s="4438">
        <f t="shared" si="274"/>
        <v>120.66488396230757</v>
      </c>
      <c r="AU212" s="4438">
        <f t="shared" si="275"/>
        <v>120.66488396230757</v>
      </c>
      <c r="AV212" s="4438">
        <f t="shared" si="276"/>
        <v>120.66488396230757</v>
      </c>
      <c r="AW212" s="4438">
        <f t="shared" si="277"/>
        <v>120.66488396230757</v>
      </c>
      <c r="AX212" s="4438">
        <f t="shared" si="278"/>
        <v>0</v>
      </c>
      <c r="AY212" s="4438">
        <f t="shared" si="279"/>
        <v>0</v>
      </c>
      <c r="AZ212" s="4438">
        <f t="shared" si="280"/>
        <v>0</v>
      </c>
      <c r="BA212" s="4438">
        <f t="shared" si="281"/>
        <v>0</v>
      </c>
      <c r="BB212" s="4438">
        <f t="shared" si="282"/>
        <v>0</v>
      </c>
      <c r="BC212" s="4438">
        <f t="shared" si="283"/>
        <v>0</v>
      </c>
      <c r="BD212" s="4438">
        <f t="shared" si="284"/>
        <v>0</v>
      </c>
      <c r="BE212" s="4438">
        <f t="shared" si="285"/>
        <v>361.99465188692267</v>
      </c>
      <c r="BF212" s="4438">
        <f t="shared" si="286"/>
        <v>361.99465188692267</v>
      </c>
      <c r="BG212" s="4438">
        <f t="shared" si="287"/>
        <v>361.99465188692267</v>
      </c>
      <c r="BH212" s="4438">
        <f t="shared" si="288"/>
        <v>361.99465188692267</v>
      </c>
      <c r="BI212" s="4438">
        <f t="shared" si="289"/>
        <v>361.99465188692267</v>
      </c>
      <c r="BJ212" s="4438">
        <f t="shared" si="290"/>
        <v>361.99465188692267</v>
      </c>
      <c r="BK212" s="4438">
        <f t="shared" si="291"/>
        <v>361.99465188692267</v>
      </c>
      <c r="BL212" s="4438">
        <f t="shared" si="292"/>
        <v>0</v>
      </c>
      <c r="BM212" s="4438">
        <f t="shared" si="293"/>
        <v>0</v>
      </c>
      <c r="BN212" s="4438">
        <f t="shared" si="294"/>
        <v>0</v>
      </c>
      <c r="BO212" s="4438">
        <f t="shared" si="295"/>
        <v>0</v>
      </c>
      <c r="BP212" s="4438">
        <f t="shared" si="296"/>
        <v>0</v>
      </c>
      <c r="BQ212" s="4438">
        <f t="shared" si="297"/>
        <v>0</v>
      </c>
      <c r="BR212" s="4438">
        <f t="shared" si="298"/>
        <v>0</v>
      </c>
      <c r="BS212" s="4438">
        <f t="shared" si="299"/>
        <v>0</v>
      </c>
      <c r="BT212" s="4438">
        <f t="shared" si="300"/>
        <v>0</v>
      </c>
      <c r="BU212" s="4438">
        <f t="shared" si="301"/>
        <v>0</v>
      </c>
      <c r="BV212" s="4438">
        <f t="shared" si="302"/>
        <v>0</v>
      </c>
      <c r="BW212" s="4438">
        <f t="shared" si="303"/>
        <v>0</v>
      </c>
      <c r="BX212" s="4438">
        <f t="shared" si="304"/>
        <v>0</v>
      </c>
      <c r="BY212" s="4438">
        <f t="shared" si="305"/>
        <v>0</v>
      </c>
    </row>
    <row r="213" spans="1:77" s="1292" customFormat="1" ht="24.75" thickBot="1">
      <c r="A213" s="2573">
        <v>21</v>
      </c>
      <c r="B213" s="2516" t="s">
        <v>707</v>
      </c>
      <c r="C213" s="2522">
        <v>0.2</v>
      </c>
      <c r="D213" s="2552" t="s">
        <v>679</v>
      </c>
      <c r="E213" s="4387">
        <f>+'11.3. ДА Базова година'!H174</f>
        <v>0</v>
      </c>
      <c r="F213" s="2634">
        <f>E213+SUMIF('11.2. ДА за периода'!$B$111:$B$131,$B213,'11.2. ДА за периода'!F$111:F$131)</f>
        <v>0</v>
      </c>
      <c r="G213" s="1112">
        <f>F213+SUMIF('11.2. ДА за периода'!$B$111:$B$131,$B213,'11.2. ДА за периода'!G$111:G$131)</f>
        <v>0</v>
      </c>
      <c r="H213" s="1112">
        <f>G213+SUMIF('11.2. ДА за периода'!$B$111:$B$131,$B213,'11.2. ДА за периода'!H$111:H$131)</f>
        <v>0</v>
      </c>
      <c r="I213" s="1112">
        <f>H213+SUMIF('11.2. ДА за периода'!$B$111:$B$131,$B213,'11.2. ДА за периода'!I$111:I$131)</f>
        <v>0</v>
      </c>
      <c r="J213" s="1112">
        <f>I213+SUMIF('11.2. ДА за периода'!$B$111:$B$131,$B213,'11.2. ДА за периода'!J$111:J$131)</f>
        <v>0</v>
      </c>
      <c r="K213" s="2635">
        <f>J213+SUMIF('11.2. ДА за периода'!$B$111:$B$131,$B213,'11.2. ДА за периода'!K$111:K$131)</f>
        <v>0</v>
      </c>
      <c r="L213" s="4387">
        <f>+'11.3. ДА Базова година'!L174</f>
        <v>0</v>
      </c>
      <c r="M213" s="2634">
        <f>L213+SUMIF('11.2. ДА за периода'!$B$111:$B$131,$B213,'11.2. ДА за периода'!M$111:M$131)</f>
        <v>0</v>
      </c>
      <c r="N213" s="1112">
        <f>M213+SUMIF('11.2. ДА за периода'!$B$111:$B$131,$B213,'11.2. ДА за периода'!N$111:N$131)</f>
        <v>0</v>
      </c>
      <c r="O213" s="1112">
        <f>N213+SUMIF('11.2. ДА за периода'!$B$111:$B$131,$B213,'11.2. ДА за периода'!O$111:O$131)</f>
        <v>0</v>
      </c>
      <c r="P213" s="1112">
        <f>O213+SUMIF('11.2. ДА за периода'!$B$111:$B$131,$B213,'11.2. ДА за периода'!P$111:P$131)</f>
        <v>0</v>
      </c>
      <c r="Q213" s="1112">
        <f>P213+SUMIF('11.2. ДА за периода'!$B$111:$B$131,$B213,'11.2. ДА за периода'!Q$111:Q$131)</f>
        <v>0</v>
      </c>
      <c r="R213" s="2635">
        <f>Q213+SUMIF('11.2. ДА за периода'!$B$111:$B$131,$B213,'11.2. ДА за периода'!R$111:R$131)</f>
        <v>0</v>
      </c>
      <c r="S213" s="4387">
        <f>+'11.3. ДА Базова година'!P174</f>
        <v>20</v>
      </c>
      <c r="T213" s="2634">
        <f>S213+SUMIF('11.2. ДА за периода'!$B$111:$B$131,$B213,'11.2. ДА за периода'!T$111:T$131)</f>
        <v>20</v>
      </c>
      <c r="U213" s="1112">
        <f>T213+SUMIF('11.2. ДА за периода'!$B$111:$B$131,$B213,'11.2. ДА за периода'!U$111:U$131)</f>
        <v>20</v>
      </c>
      <c r="V213" s="1112">
        <f>U213+SUMIF('11.2. ДА за периода'!$B$111:$B$131,$B213,'11.2. ДА за периода'!V$111:V$131)</f>
        <v>20</v>
      </c>
      <c r="W213" s="1112">
        <f>V213+SUMIF('11.2. ДА за периода'!$B$111:$B$131,$B213,'11.2. ДА за периода'!W$111:W$131)</f>
        <v>20</v>
      </c>
      <c r="X213" s="1112">
        <f>W213+SUMIF('11.2. ДА за периода'!$B$111:$B$131,$B213,'11.2. ДА за периода'!X$111:X$131)</f>
        <v>20</v>
      </c>
      <c r="Y213" s="2635">
        <f>X213+SUMIF('11.2. ДА за периода'!$B$111:$B$131,$B213,'11.2. ДА за периода'!Y$111:Y$131)</f>
        <v>20</v>
      </c>
      <c r="Z213" s="4387">
        <f>+'11.3. ДА Базова година'!T174</f>
        <v>0</v>
      </c>
      <c r="AA213" s="2634">
        <f>Z213+SUMIF('11.2. ДА за периода'!$B$111:$B$131,$B213,'11.2. ДА за периода'!AA$111:AA$131)</f>
        <v>0</v>
      </c>
      <c r="AB213" s="1112">
        <f>AA213+SUMIF('11.2. ДА за периода'!$B$111:$B$131,$B213,'11.2. ДА за периода'!AB$111:AB$131)</f>
        <v>0</v>
      </c>
      <c r="AC213" s="1112">
        <f>AB213+SUMIF('11.2. ДА за периода'!$B$111:$B$131,$B213,'11.2. ДА за периода'!AC$111:AC$131)</f>
        <v>0</v>
      </c>
      <c r="AD213" s="1112">
        <f>AC213+SUMIF('11.2. ДА за периода'!$B$111:$B$131,$B213,'11.2. ДА за периода'!AD$111:AD$131)</f>
        <v>0</v>
      </c>
      <c r="AE213" s="1112">
        <f>AD213+SUMIF('11.2. ДА за периода'!$B$111:$B$131,$B213,'11.2. ДА за периода'!AE$111:AE$131)</f>
        <v>0</v>
      </c>
      <c r="AF213" s="2635">
        <f>AE213+SUMIF('11.2. ДА за периода'!$B$111:$B$131,$B213,'11.2. ДА за периода'!AF$111:AF$131)</f>
        <v>0</v>
      </c>
      <c r="AG213" s="4387">
        <f>+'11.3. ДА Базова година'!X174</f>
        <v>0</v>
      </c>
      <c r="AH213" s="2634">
        <f>AG213+SUMIF('11.2. ДА за периода'!$B$111:$B$131,$B213,'11.2. ДА за периода'!AH$111:AH$131)</f>
        <v>0</v>
      </c>
      <c r="AI213" s="1112">
        <f>AH213+SUMIF('11.2. ДА за периода'!$B$111:$B$131,$B213,'11.2. ДА за периода'!AI$111:AI$131)</f>
        <v>0</v>
      </c>
      <c r="AJ213" s="1112">
        <f>AI213+SUMIF('11.2. ДА за периода'!$B$111:$B$131,$B213,'11.2. ДА за периода'!AJ$111:AJ$131)</f>
        <v>0</v>
      </c>
      <c r="AK213" s="1112">
        <f>AJ213+SUMIF('11.2. ДА за периода'!$B$111:$B$131,$B213,'11.2. ДА за периода'!AK$111:AK$131)</f>
        <v>0</v>
      </c>
      <c r="AL213" s="1112">
        <f>AK213+SUMIF('11.2. ДА за периода'!$B$111:$B$131,$B213,'11.2. ДА за периода'!AL$111:AL$131)</f>
        <v>0</v>
      </c>
      <c r="AM213" s="2635">
        <f>AL213+SUMIF('11.2. ДА за периода'!$B$111:$B$131,$B213,'11.2. ДА за периода'!AM$111:AM$131)</f>
        <v>0</v>
      </c>
      <c r="AN213" s="2513"/>
      <c r="AO213" s="2551"/>
      <c r="AP213" s="4422"/>
      <c r="AQ213" s="4438">
        <f t="shared" si="271"/>
        <v>0</v>
      </c>
      <c r="AR213" s="4438">
        <f t="shared" si="272"/>
        <v>0</v>
      </c>
      <c r="AS213" s="4438">
        <f t="shared" si="273"/>
        <v>0</v>
      </c>
      <c r="AT213" s="4438">
        <f t="shared" si="274"/>
        <v>0</v>
      </c>
      <c r="AU213" s="4438">
        <f t="shared" si="275"/>
        <v>0</v>
      </c>
      <c r="AV213" s="4438">
        <f t="shared" si="276"/>
        <v>0</v>
      </c>
      <c r="AW213" s="4438">
        <f t="shared" si="277"/>
        <v>0</v>
      </c>
      <c r="AX213" s="4438">
        <f t="shared" si="278"/>
        <v>0</v>
      </c>
      <c r="AY213" s="4438">
        <f t="shared" si="279"/>
        <v>0</v>
      </c>
      <c r="AZ213" s="4438">
        <f t="shared" si="280"/>
        <v>0</v>
      </c>
      <c r="BA213" s="4438">
        <f t="shared" si="281"/>
        <v>0</v>
      </c>
      <c r="BB213" s="4438">
        <f t="shared" si="282"/>
        <v>0</v>
      </c>
      <c r="BC213" s="4438">
        <f t="shared" si="283"/>
        <v>0</v>
      </c>
      <c r="BD213" s="4438">
        <f t="shared" si="284"/>
        <v>0</v>
      </c>
      <c r="BE213" s="4438">
        <f t="shared" si="285"/>
        <v>10.22583762392437</v>
      </c>
      <c r="BF213" s="4438">
        <f t="shared" si="286"/>
        <v>10.22583762392437</v>
      </c>
      <c r="BG213" s="4438">
        <f t="shared" si="287"/>
        <v>10.22583762392437</v>
      </c>
      <c r="BH213" s="4438">
        <f t="shared" si="288"/>
        <v>10.22583762392437</v>
      </c>
      <c r="BI213" s="4438">
        <f t="shared" si="289"/>
        <v>10.22583762392437</v>
      </c>
      <c r="BJ213" s="4438">
        <f t="shared" si="290"/>
        <v>10.22583762392437</v>
      </c>
      <c r="BK213" s="4438">
        <f t="shared" si="291"/>
        <v>10.22583762392437</v>
      </c>
      <c r="BL213" s="4438">
        <f t="shared" si="292"/>
        <v>0</v>
      </c>
      <c r="BM213" s="4438">
        <f t="shared" si="293"/>
        <v>0</v>
      </c>
      <c r="BN213" s="4438">
        <f t="shared" si="294"/>
        <v>0</v>
      </c>
      <c r="BO213" s="4438">
        <f t="shared" si="295"/>
        <v>0</v>
      </c>
      <c r="BP213" s="4438">
        <f t="shared" si="296"/>
        <v>0</v>
      </c>
      <c r="BQ213" s="4438">
        <f t="shared" si="297"/>
        <v>0</v>
      </c>
      <c r="BR213" s="4438">
        <f t="shared" si="298"/>
        <v>0</v>
      </c>
      <c r="BS213" s="4438">
        <f t="shared" si="299"/>
        <v>0</v>
      </c>
      <c r="BT213" s="4438">
        <f t="shared" si="300"/>
        <v>0</v>
      </c>
      <c r="BU213" s="4438">
        <f t="shared" si="301"/>
        <v>0</v>
      </c>
      <c r="BV213" s="4438">
        <f t="shared" si="302"/>
        <v>0</v>
      </c>
      <c r="BW213" s="4438">
        <f t="shared" si="303"/>
        <v>0</v>
      </c>
      <c r="BX213" s="4438">
        <f t="shared" si="304"/>
        <v>0</v>
      </c>
      <c r="BY213" s="4438">
        <f t="shared" si="305"/>
        <v>0</v>
      </c>
    </row>
    <row r="214" spans="1:77" s="1292" customFormat="1" ht="13.5" thickBot="1">
      <c r="A214" s="3685" t="s">
        <v>206</v>
      </c>
      <c r="B214" s="2539"/>
      <c r="C214" s="2539"/>
      <c r="D214" s="2502" t="s">
        <v>218</v>
      </c>
      <c r="E214" s="1220">
        <f t="shared" ref="E214" si="306">SUM(E215:E235)</f>
        <v>2232</v>
      </c>
      <c r="F214" s="2632">
        <f t="shared" ref="F214:AM214" si="307">SUM(F215:F235)</f>
        <v>2229</v>
      </c>
      <c r="G214" s="1121">
        <f t="shared" si="307"/>
        <v>2229</v>
      </c>
      <c r="H214" s="1121">
        <f t="shared" si="307"/>
        <v>2225.21</v>
      </c>
      <c r="I214" s="1122">
        <f t="shared" si="307"/>
        <v>2210.5700000000002</v>
      </c>
      <c r="J214" s="1121">
        <f t="shared" si="307"/>
        <v>2207.77</v>
      </c>
      <c r="K214" s="1121">
        <f t="shared" si="307"/>
        <v>2207.77</v>
      </c>
      <c r="L214" s="1220">
        <f t="shared" si="307"/>
        <v>1940</v>
      </c>
      <c r="M214" s="2632">
        <f t="shared" si="307"/>
        <v>1940</v>
      </c>
      <c r="N214" s="1121">
        <f t="shared" si="307"/>
        <v>1940</v>
      </c>
      <c r="O214" s="1121">
        <f t="shared" si="307"/>
        <v>1940</v>
      </c>
      <c r="P214" s="1122">
        <f t="shared" si="307"/>
        <v>1940</v>
      </c>
      <c r="Q214" s="1121">
        <f t="shared" si="307"/>
        <v>1940</v>
      </c>
      <c r="R214" s="1121">
        <f t="shared" si="307"/>
        <v>1940</v>
      </c>
      <c r="S214" s="1220">
        <f t="shared" si="307"/>
        <v>3835</v>
      </c>
      <c r="T214" s="2632">
        <f t="shared" si="307"/>
        <v>3835</v>
      </c>
      <c r="U214" s="1121">
        <f t="shared" si="307"/>
        <v>3835</v>
      </c>
      <c r="V214" s="1121">
        <f t="shared" si="307"/>
        <v>3835</v>
      </c>
      <c r="W214" s="1122">
        <f t="shared" si="307"/>
        <v>3835</v>
      </c>
      <c r="X214" s="1121">
        <f t="shared" si="307"/>
        <v>3835</v>
      </c>
      <c r="Y214" s="2633">
        <f t="shared" si="307"/>
        <v>3835</v>
      </c>
      <c r="Z214" s="1220">
        <f t="shared" si="307"/>
        <v>0</v>
      </c>
      <c r="AA214" s="2632">
        <f t="shared" si="307"/>
        <v>0</v>
      </c>
      <c r="AB214" s="1121">
        <f t="shared" si="307"/>
        <v>0</v>
      </c>
      <c r="AC214" s="1121">
        <f t="shared" si="307"/>
        <v>0</v>
      </c>
      <c r="AD214" s="1122">
        <f t="shared" si="307"/>
        <v>0</v>
      </c>
      <c r="AE214" s="1121">
        <f t="shared" si="307"/>
        <v>0</v>
      </c>
      <c r="AF214" s="2633">
        <f t="shared" si="307"/>
        <v>0</v>
      </c>
      <c r="AG214" s="1220">
        <f t="shared" si="307"/>
        <v>0</v>
      </c>
      <c r="AH214" s="2632">
        <f t="shared" si="307"/>
        <v>0</v>
      </c>
      <c r="AI214" s="1121">
        <f t="shared" si="307"/>
        <v>0</v>
      </c>
      <c r="AJ214" s="1121">
        <f t="shared" si="307"/>
        <v>0</v>
      </c>
      <c r="AK214" s="1122">
        <f t="shared" si="307"/>
        <v>0</v>
      </c>
      <c r="AL214" s="1121">
        <f t="shared" si="307"/>
        <v>0</v>
      </c>
      <c r="AM214" s="2633">
        <f t="shared" si="307"/>
        <v>0</v>
      </c>
      <c r="AN214" s="2524"/>
      <c r="AO214" s="2551"/>
      <c r="AP214" s="4422"/>
      <c r="AQ214" s="4438">
        <f t="shared" si="271"/>
        <v>1141.2034788299597</v>
      </c>
      <c r="AR214" s="4438">
        <f t="shared" si="272"/>
        <v>1139.669603186371</v>
      </c>
      <c r="AS214" s="4438">
        <f t="shared" si="273"/>
        <v>1139.669603186371</v>
      </c>
      <c r="AT214" s="4438">
        <f t="shared" si="274"/>
        <v>1137.7318069566375</v>
      </c>
      <c r="AU214" s="4438">
        <f t="shared" si="275"/>
        <v>1130.2464938159249</v>
      </c>
      <c r="AV214" s="4438">
        <f t="shared" si="276"/>
        <v>1128.8148765485753</v>
      </c>
      <c r="AW214" s="4438">
        <f t="shared" si="277"/>
        <v>1128.8148765485753</v>
      </c>
      <c r="AX214" s="4438">
        <f t="shared" si="278"/>
        <v>991.90624952066389</v>
      </c>
      <c r="AY214" s="4438">
        <f t="shared" si="279"/>
        <v>991.90624952066389</v>
      </c>
      <c r="AZ214" s="4438">
        <f t="shared" si="280"/>
        <v>991.90624952066389</v>
      </c>
      <c r="BA214" s="4438">
        <f t="shared" si="281"/>
        <v>991.90624952066389</v>
      </c>
      <c r="BB214" s="4438">
        <f t="shared" si="282"/>
        <v>991.90624952066389</v>
      </c>
      <c r="BC214" s="4438">
        <f t="shared" si="283"/>
        <v>991.90624952066389</v>
      </c>
      <c r="BD214" s="4438">
        <f t="shared" si="284"/>
        <v>991.90624952066389</v>
      </c>
      <c r="BE214" s="4438">
        <f t="shared" si="285"/>
        <v>1960.804364387498</v>
      </c>
      <c r="BF214" s="4438">
        <f t="shared" si="286"/>
        <v>1960.804364387498</v>
      </c>
      <c r="BG214" s="4438">
        <f t="shared" si="287"/>
        <v>1960.804364387498</v>
      </c>
      <c r="BH214" s="4438">
        <f t="shared" si="288"/>
        <v>1960.804364387498</v>
      </c>
      <c r="BI214" s="4438">
        <f t="shared" si="289"/>
        <v>1960.804364387498</v>
      </c>
      <c r="BJ214" s="4438">
        <f t="shared" si="290"/>
        <v>1960.804364387498</v>
      </c>
      <c r="BK214" s="4438">
        <f t="shared" si="291"/>
        <v>1960.804364387498</v>
      </c>
      <c r="BL214" s="4438">
        <f t="shared" si="292"/>
        <v>0</v>
      </c>
      <c r="BM214" s="4438">
        <f t="shared" si="293"/>
        <v>0</v>
      </c>
      <c r="BN214" s="4438">
        <f t="shared" si="294"/>
        <v>0</v>
      </c>
      <c r="BO214" s="4438">
        <f t="shared" si="295"/>
        <v>0</v>
      </c>
      <c r="BP214" s="4438">
        <f t="shared" si="296"/>
        <v>0</v>
      </c>
      <c r="BQ214" s="4438">
        <f t="shared" si="297"/>
        <v>0</v>
      </c>
      <c r="BR214" s="4438">
        <f t="shared" si="298"/>
        <v>0</v>
      </c>
      <c r="BS214" s="4438">
        <f t="shared" si="299"/>
        <v>0</v>
      </c>
      <c r="BT214" s="4438">
        <f t="shared" si="300"/>
        <v>0</v>
      </c>
      <c r="BU214" s="4438">
        <f t="shared" si="301"/>
        <v>0</v>
      </c>
      <c r="BV214" s="4438">
        <f t="shared" si="302"/>
        <v>0</v>
      </c>
      <c r="BW214" s="4438">
        <f t="shared" si="303"/>
        <v>0</v>
      </c>
      <c r="BX214" s="4438">
        <f t="shared" si="304"/>
        <v>0</v>
      </c>
      <c r="BY214" s="4438">
        <f t="shared" si="305"/>
        <v>0</v>
      </c>
    </row>
    <row r="215" spans="1:77" s="1292" customFormat="1">
      <c r="A215" s="2515">
        <v>1</v>
      </c>
      <c r="B215" s="2576" t="s">
        <v>696</v>
      </c>
      <c r="C215" s="2533">
        <v>0</v>
      </c>
      <c r="D215" s="2577" t="s">
        <v>558</v>
      </c>
      <c r="E215" s="4387">
        <f>+'11.3. ДА Базова година'!F176</f>
        <v>0</v>
      </c>
      <c r="F215" s="2614">
        <f>$E215-SUMIF('11.2. ДА за периода'!$B$155:$B$175,$B215,'11.2. ДА за периода'!$E$155:$E$175)+SUMIF('11.2. ДА за периода'!$B$155:$B$175,$B215,'11.2. ДА за периода'!F$155:F$175)</f>
        <v>0</v>
      </c>
      <c r="G215" s="1119">
        <f>$E215-SUMIF('11.2. ДА за периода'!$B$155:$B$175,$B215,'11.2. ДА за периода'!$E$155:$E$175)+SUMIF('11.2. ДА за периода'!$B$155:$B$175,$B215,'11.2. ДА за периода'!G$155:G$175)</f>
        <v>0</v>
      </c>
      <c r="H215" s="1119">
        <f>$E215-SUMIF('11.2. ДА за периода'!$B$155:$B$175,$B215,'11.2. ДА за периода'!$E$155:$E$175)+SUMIF('11.2. ДА за периода'!$B$155:$B$175,$B215,'11.2. ДА за периода'!H$155:H$175)</f>
        <v>0</v>
      </c>
      <c r="I215" s="1119">
        <f>$E215-SUMIF('11.2. ДА за периода'!$B$155:$B$175,$B215,'11.2. ДА за периода'!$E$155:$E$175)+SUMIF('11.2. ДА за периода'!$B$155:$B$175,$B215,'11.2. ДА за периода'!I$155:I$175)</f>
        <v>0</v>
      </c>
      <c r="J215" s="1119">
        <f>$E215-SUMIF('11.2. ДА за периода'!$B$155:$B$175,$B215,'11.2. ДА за периода'!$E$155:$E$175)+SUMIF('11.2. ДА за периода'!$B$155:$B$175,$B215,'11.2. ДА за периода'!J$155:J$175)</f>
        <v>0</v>
      </c>
      <c r="K215" s="2615">
        <f>$E215-SUMIF('11.2. ДА за периода'!$B$155:$B$175,$B215,'11.2. ДА за периода'!$E$155:$E$175)+SUMIF('11.2. ДА за периода'!$B$155:$B$175,$B215,'11.2. ДА за периода'!K$155:K$175)</f>
        <v>0</v>
      </c>
      <c r="L215" s="4387">
        <f>+'11.3. ДА Базова година'!J176</f>
        <v>0</v>
      </c>
      <c r="M215" s="2614">
        <f>$L215-SUMIF('11.2. ДА за периода'!$B$155:$B$175,$B215,'11.2. ДА за периода'!$L$155:$L$175)+SUMIF('11.2. ДА за периода'!$B$155:$B$175,$B215,'11.2. ДА за периода'!M$155:M$175)</f>
        <v>0</v>
      </c>
      <c r="N215" s="1119">
        <f>$L215-SUMIF('11.2. ДА за периода'!$B$155:$B$175,$B215,'11.2. ДА за периода'!$L$155:$L$175)+SUMIF('11.2. ДА за периода'!$B$155:$B$175,$B215,'11.2. ДА за периода'!N$155:N$175)</f>
        <v>0</v>
      </c>
      <c r="O215" s="1119">
        <f>$L215-SUMIF('11.2. ДА за периода'!$B$155:$B$175,$B215,'11.2. ДА за периода'!$L$155:$L$175)+SUMIF('11.2. ДА за периода'!$B$155:$B$175,$B215,'11.2. ДА за периода'!O$155:O$175)</f>
        <v>0</v>
      </c>
      <c r="P215" s="1119">
        <f>$L215-SUMIF('11.2. ДА за периода'!$B$155:$B$175,$B215,'11.2. ДА за периода'!$L$155:$L$175)+SUMIF('11.2. ДА за периода'!$B$155:$B$175,$B215,'11.2. ДА за периода'!P$155:P$175)</f>
        <v>0</v>
      </c>
      <c r="Q215" s="1119">
        <f>$L215-SUMIF('11.2. ДА за периода'!$B$155:$B$175,$B215,'11.2. ДА за периода'!$L$155:$L$175)+SUMIF('11.2. ДА за периода'!$B$155:$B$175,$B215,'11.2. ДА за периода'!Q$155:Q$175)</f>
        <v>0</v>
      </c>
      <c r="R215" s="2615">
        <f>$L215-SUMIF('11.2. ДА за периода'!$B$155:$B$175,$B215,'11.2. ДА за периода'!$L$155:$L$175)+SUMIF('11.2. ДА за периода'!$B$155:$B$175,$B215,'11.2. ДА за периода'!R$155:R$175)</f>
        <v>0</v>
      </c>
      <c r="S215" s="4387">
        <f>+'11.3. ДА Базова година'!N176</f>
        <v>0</v>
      </c>
      <c r="T215" s="2614">
        <f>$S215-SUMIF('11.2. ДА за периода'!$B$155:$B$175,$B215,'11.2. ДА за периода'!$S$155:$S$175)+SUMIF('11.2. ДА за периода'!$B$155:$B$175,$B215,'11.2. ДА за периода'!T$155:T$175)</f>
        <v>0</v>
      </c>
      <c r="U215" s="1119">
        <f>$S215-SUMIF('11.2. ДА за периода'!$B$155:$B$175,$B215,'11.2. ДА за периода'!$S$155:$S$175)+SUMIF('11.2. ДА за периода'!$B$155:$B$175,$B215,'11.2. ДА за периода'!U$155:U$175)</f>
        <v>0</v>
      </c>
      <c r="V215" s="1119">
        <f>$S215-SUMIF('11.2. ДА за периода'!$B$155:$B$175,$B215,'11.2. ДА за периода'!$S$155:$S$175)+SUMIF('11.2. ДА за периода'!$B$155:$B$175,$B215,'11.2. ДА за периода'!V$155:V$175)</f>
        <v>0</v>
      </c>
      <c r="W215" s="1119">
        <f>$S215-SUMIF('11.2. ДА за периода'!$B$155:$B$175,$B215,'11.2. ДА за периода'!$S$155:$S$175)+SUMIF('11.2. ДА за периода'!$B$155:$B$175,$B215,'11.2. ДА за периода'!W$155:W$175)</f>
        <v>0</v>
      </c>
      <c r="X215" s="1119">
        <f>$S215-SUMIF('11.2. ДА за периода'!$B$155:$B$175,$B215,'11.2. ДА за периода'!$S$155:$S$175)+SUMIF('11.2. ДА за периода'!$B$155:$B$175,$B215,'11.2. ДА за периода'!X$155:X$175)</f>
        <v>0</v>
      </c>
      <c r="Y215" s="2615">
        <f>$S215-SUMIF('11.2. ДА за периода'!$B$155:$B$175,$B215,'11.2. ДА за периода'!$S$155:$S$175)+SUMIF('11.2. ДА за периода'!$B$155:$B$175,$B215,'11.2. ДА за периода'!Y$155:Y$175)</f>
        <v>0</v>
      </c>
      <c r="Z215" s="4387">
        <f>+'11.3. ДА Базова година'!R176</f>
        <v>0</v>
      </c>
      <c r="AA215" s="2614">
        <f>$Z215-SUMIF('11.2. ДА за периода'!$B$155:$B$175,$B215,'11.2. ДА за периода'!$Z$155:$Z$175)+SUMIF('11.2. ДА за периода'!$B$155:$B$175,$B215,'11.2. ДА за периода'!AA$155:AA$175)</f>
        <v>0</v>
      </c>
      <c r="AB215" s="1119">
        <f>$Z215-SUMIF('11.2. ДА за периода'!$B$155:$B$175,$B215,'11.2. ДА за периода'!$Z$155:$Z$175)+SUMIF('11.2. ДА за периода'!$B$155:$B$175,$B215,'11.2. ДА за периода'!AB$155:AB$175)</f>
        <v>0</v>
      </c>
      <c r="AC215" s="1119">
        <f>$Z215-SUMIF('11.2. ДА за периода'!$B$155:$B$175,$B215,'11.2. ДА за периода'!$Z$155:$Z$175)+SUMIF('11.2. ДА за периода'!$B$155:$B$175,$B215,'11.2. ДА за периода'!AC$155:AC$175)</f>
        <v>0</v>
      </c>
      <c r="AD215" s="1119">
        <f>$Z215-SUMIF('11.2. ДА за периода'!$B$155:$B$175,$B215,'11.2. ДА за периода'!$Z$155:$Z$175)+SUMIF('11.2. ДА за периода'!$B$155:$B$175,$B215,'11.2. ДА за периода'!AD$155:AD$175)</f>
        <v>0</v>
      </c>
      <c r="AE215" s="1119">
        <f>$Z215-SUMIF('11.2. ДА за периода'!$B$155:$B$175,$B215,'11.2. ДА за периода'!$Z$155:$Z$175)+SUMIF('11.2. ДА за периода'!$B$155:$B$175,$B215,'11.2. ДА за периода'!AE$155:AE$175)</f>
        <v>0</v>
      </c>
      <c r="AF215" s="2615">
        <f>$Z215-SUMIF('11.2. ДА за периода'!$B$155:$B$175,$B215,'11.2. ДА за периода'!$Z$155:$Z$175)+SUMIF('11.2. ДА за периода'!$B$155:$B$175,$B215,'11.2. ДА за периода'!AF$155:AF$175)</f>
        <v>0</v>
      </c>
      <c r="AG215" s="4387">
        <f>+'11.3. ДА Базова година'!V176</f>
        <v>0</v>
      </c>
      <c r="AH215" s="2614">
        <f>$AG215-SUMIF('11.2. ДА за периода'!$B$155:$B$175,$B215,'11.2. ДА за периода'!$AG$155:$AG$175)+SUMIF('11.2. ДА за периода'!$B$155:$B$175,$B215,'11.2. ДА за периода'!AH$155:AH$175)</f>
        <v>0</v>
      </c>
      <c r="AI215" s="1119">
        <f>$AG215-SUMIF('11.2. ДА за периода'!$B$155:$B$175,$B215,'11.2. ДА за периода'!$AG$155:$AG$175)+SUMIF('11.2. ДА за периода'!$B$155:$B$175,$B215,'11.2. ДА за периода'!AI$155:AI$175)</f>
        <v>0</v>
      </c>
      <c r="AJ215" s="1119">
        <f>$AG215-SUMIF('11.2. ДА за периода'!$B$155:$B$175,$B215,'11.2. ДА за периода'!$AG$155:$AG$175)+SUMIF('11.2. ДА за периода'!$B$155:$B$175,$B215,'11.2. ДА за периода'!AJ$155:AJ$175)</f>
        <v>0</v>
      </c>
      <c r="AK215" s="1119">
        <f>$AG215-SUMIF('11.2. ДА за периода'!$B$155:$B$175,$B215,'11.2. ДА за периода'!$AG$155:$AG$175)+SUMIF('11.2. ДА за периода'!$B$155:$B$175,$B215,'11.2. ДА за периода'!AK$155:AK$175)</f>
        <v>0</v>
      </c>
      <c r="AL215" s="1119">
        <f>$AG215-SUMIF('11.2. ДА за периода'!$B$155:$B$175,$B215,'11.2. ДА за периода'!$AG$155:$AG$175)+SUMIF('11.2. ДА за периода'!$B$155:$B$175,$B215,'11.2. ДА за периода'!AL$155:AL$175)</f>
        <v>0</v>
      </c>
      <c r="AM215" s="2615">
        <f>$AG215-SUMIF('11.2. ДА за периода'!$B$155:$B$175,$B215,'11.2. ДА за периода'!$AG$155:$AG$175)+SUMIF('11.2. ДА за периода'!$B$155:$B$175,$B215,'11.2. ДА за периода'!AM$155:AM$175)</f>
        <v>0</v>
      </c>
      <c r="AN215" s="2524"/>
      <c r="AO215" s="2551"/>
      <c r="AP215" s="4422"/>
      <c r="AQ215" s="4438">
        <f t="shared" si="271"/>
        <v>0</v>
      </c>
      <c r="AR215" s="4438">
        <f t="shared" si="272"/>
        <v>0</v>
      </c>
      <c r="AS215" s="4438">
        <f t="shared" si="273"/>
        <v>0</v>
      </c>
      <c r="AT215" s="4438">
        <f t="shared" si="274"/>
        <v>0</v>
      </c>
      <c r="AU215" s="4438">
        <f t="shared" si="275"/>
        <v>0</v>
      </c>
      <c r="AV215" s="4438">
        <f t="shared" si="276"/>
        <v>0</v>
      </c>
      <c r="AW215" s="4438">
        <f t="shared" si="277"/>
        <v>0</v>
      </c>
      <c r="AX215" s="4438">
        <f t="shared" si="278"/>
        <v>0</v>
      </c>
      <c r="AY215" s="4438">
        <f t="shared" si="279"/>
        <v>0</v>
      </c>
      <c r="AZ215" s="4438">
        <f t="shared" si="280"/>
        <v>0</v>
      </c>
      <c r="BA215" s="4438">
        <f t="shared" si="281"/>
        <v>0</v>
      </c>
      <c r="BB215" s="4438">
        <f t="shared" si="282"/>
        <v>0</v>
      </c>
      <c r="BC215" s="4438">
        <f t="shared" si="283"/>
        <v>0</v>
      </c>
      <c r="BD215" s="4438">
        <f t="shared" si="284"/>
        <v>0</v>
      </c>
      <c r="BE215" s="4438">
        <f t="shared" si="285"/>
        <v>0</v>
      </c>
      <c r="BF215" s="4438">
        <f t="shared" si="286"/>
        <v>0</v>
      </c>
      <c r="BG215" s="4438">
        <f t="shared" si="287"/>
        <v>0</v>
      </c>
      <c r="BH215" s="4438">
        <f t="shared" si="288"/>
        <v>0</v>
      </c>
      <c r="BI215" s="4438">
        <f t="shared" si="289"/>
        <v>0</v>
      </c>
      <c r="BJ215" s="4438">
        <f t="shared" si="290"/>
        <v>0</v>
      </c>
      <c r="BK215" s="4438">
        <f t="shared" si="291"/>
        <v>0</v>
      </c>
      <c r="BL215" s="4438">
        <f t="shared" si="292"/>
        <v>0</v>
      </c>
      <c r="BM215" s="4438">
        <f t="shared" si="293"/>
        <v>0</v>
      </c>
      <c r="BN215" s="4438">
        <f t="shared" si="294"/>
        <v>0</v>
      </c>
      <c r="BO215" s="4438">
        <f t="shared" si="295"/>
        <v>0</v>
      </c>
      <c r="BP215" s="4438">
        <f t="shared" si="296"/>
        <v>0</v>
      </c>
      <c r="BQ215" s="4438">
        <f t="shared" si="297"/>
        <v>0</v>
      </c>
      <c r="BR215" s="4438">
        <f t="shared" si="298"/>
        <v>0</v>
      </c>
      <c r="BS215" s="4438">
        <f t="shared" si="299"/>
        <v>0</v>
      </c>
      <c r="BT215" s="4438">
        <f t="shared" si="300"/>
        <v>0</v>
      </c>
      <c r="BU215" s="4438">
        <f t="shared" si="301"/>
        <v>0</v>
      </c>
      <c r="BV215" s="4438">
        <f t="shared" si="302"/>
        <v>0</v>
      </c>
      <c r="BW215" s="4438">
        <f t="shared" si="303"/>
        <v>0</v>
      </c>
      <c r="BX215" s="4438">
        <f t="shared" si="304"/>
        <v>0</v>
      </c>
      <c r="BY215" s="4438">
        <f t="shared" si="305"/>
        <v>0</v>
      </c>
    </row>
    <row r="216" spans="1:77" s="1292" customFormat="1">
      <c r="A216" s="2515">
        <v>2</v>
      </c>
      <c r="B216" s="2516" t="s">
        <v>697</v>
      </c>
      <c r="C216" s="2517">
        <v>0.03</v>
      </c>
      <c r="D216" s="2571" t="s">
        <v>426</v>
      </c>
      <c r="E216" s="4387">
        <f>+'11.3. ДА Базова година'!F177</f>
        <v>65</v>
      </c>
      <c r="F216" s="2617">
        <f>$E216-SUMIF('11.2. ДА за периода'!$B$155:$B$175,$B216,'11.2. ДА за периода'!$E$155:$E$175)+SUMIF('11.2. ДА за периода'!$B$155:$B$175,$B216,'11.2. ДА за периода'!F$155:F$175)</f>
        <v>65</v>
      </c>
      <c r="G216" s="1110">
        <f>$E216-SUMIF('11.2. ДА за периода'!$B$155:$B$175,$B216,'11.2. ДА за периода'!$E$155:$E$175)+SUMIF('11.2. ДА за периода'!$B$155:$B$175,$B216,'11.2. ДА за периода'!G$155:G$175)</f>
        <v>65</v>
      </c>
      <c r="H216" s="1110">
        <f>$E216-SUMIF('11.2. ДА за периода'!$B$155:$B$175,$B216,'11.2. ДА за периода'!$E$155:$E$175)+SUMIF('11.2. ДА за периода'!$B$155:$B$175,$B216,'11.2. ДА за периода'!H$155:H$175)</f>
        <v>64.91</v>
      </c>
      <c r="I216" s="1110">
        <f>$E216-SUMIF('11.2. ДА за периода'!$B$155:$B$175,$B216,'11.2. ДА за периода'!$E$155:$E$175)+SUMIF('11.2. ДА за периода'!$B$155:$B$175,$B216,'11.2. ДА за периода'!I$155:I$175)</f>
        <v>64.91</v>
      </c>
      <c r="J216" s="1110">
        <f>$E216-SUMIF('11.2. ДА за периода'!$B$155:$B$175,$B216,'11.2. ДА за периода'!$E$155:$E$175)+SUMIF('11.2. ДА за периода'!$B$155:$B$175,$B216,'11.2. ДА за периода'!J$155:J$175)</f>
        <v>64.91</v>
      </c>
      <c r="K216" s="2618">
        <f>$E216-SUMIF('11.2. ДА за периода'!$B$155:$B$175,$B216,'11.2. ДА за периода'!$E$155:$E$175)+SUMIF('11.2. ДА за периода'!$B$155:$B$175,$B216,'11.2. ДА за периода'!K$155:K$175)</f>
        <v>64.91</v>
      </c>
      <c r="L216" s="4387">
        <f>+'11.3. ДА Базова година'!J177</f>
        <v>0</v>
      </c>
      <c r="M216" s="2617">
        <f>$L216-SUMIF('11.2. ДА за периода'!$B$155:$B$175,$B216,'11.2. ДА за периода'!$L$155:$L$175)+SUMIF('11.2. ДА за периода'!$B$155:$B$175,$B216,'11.2. ДА за периода'!M$155:M$175)</f>
        <v>0</v>
      </c>
      <c r="N216" s="1110">
        <f>$L216-SUMIF('11.2. ДА за периода'!$B$155:$B$175,$B216,'11.2. ДА за периода'!$L$155:$L$175)+SUMIF('11.2. ДА за периода'!$B$155:$B$175,$B216,'11.2. ДА за периода'!N$155:N$175)</f>
        <v>0</v>
      </c>
      <c r="O216" s="1110">
        <f>$L216-SUMIF('11.2. ДА за периода'!$B$155:$B$175,$B216,'11.2. ДА за периода'!$L$155:$L$175)+SUMIF('11.2. ДА за периода'!$B$155:$B$175,$B216,'11.2. ДА за периода'!O$155:O$175)</f>
        <v>0</v>
      </c>
      <c r="P216" s="1110">
        <f>$L216-SUMIF('11.2. ДА за периода'!$B$155:$B$175,$B216,'11.2. ДА за периода'!$L$155:$L$175)+SUMIF('11.2. ДА за периода'!$B$155:$B$175,$B216,'11.2. ДА за периода'!P$155:P$175)</f>
        <v>0</v>
      </c>
      <c r="Q216" s="1110">
        <f>$L216-SUMIF('11.2. ДА за периода'!$B$155:$B$175,$B216,'11.2. ДА за периода'!$L$155:$L$175)+SUMIF('11.2. ДА за периода'!$B$155:$B$175,$B216,'11.2. ДА за периода'!Q$155:Q$175)</f>
        <v>0</v>
      </c>
      <c r="R216" s="2618">
        <f>$L216-SUMIF('11.2. ДА за периода'!$B$155:$B$175,$B216,'11.2. ДА за периода'!$L$155:$L$175)+SUMIF('11.2. ДА за периода'!$B$155:$B$175,$B216,'11.2. ДА за периода'!R$155:R$175)</f>
        <v>0</v>
      </c>
      <c r="S216" s="4387">
        <f>+'11.3. ДА Базова година'!N177</f>
        <v>351</v>
      </c>
      <c r="T216" s="2617">
        <f>$S216-SUMIF('11.2. ДА за периода'!$B$155:$B$175,$B216,'11.2. ДА за периода'!$S$155:$S$175)+SUMIF('11.2. ДА за периода'!$B$155:$B$175,$B216,'11.2. ДА за периода'!T$155:T$175)</f>
        <v>351</v>
      </c>
      <c r="U216" s="1110">
        <f>$S216-SUMIF('11.2. ДА за периода'!$B$155:$B$175,$B216,'11.2. ДА за периода'!$S$155:$S$175)+SUMIF('11.2. ДА за периода'!$B$155:$B$175,$B216,'11.2. ДА за периода'!U$155:U$175)</f>
        <v>351</v>
      </c>
      <c r="V216" s="1110">
        <f>$S216-SUMIF('11.2. ДА за периода'!$B$155:$B$175,$B216,'11.2. ДА за периода'!$S$155:$S$175)+SUMIF('11.2. ДА за периода'!$B$155:$B$175,$B216,'11.2. ДА за периода'!V$155:V$175)</f>
        <v>351</v>
      </c>
      <c r="W216" s="1110">
        <f>$S216-SUMIF('11.2. ДА за периода'!$B$155:$B$175,$B216,'11.2. ДА за периода'!$S$155:$S$175)+SUMIF('11.2. ДА за периода'!$B$155:$B$175,$B216,'11.2. ДА за периода'!W$155:W$175)</f>
        <v>351</v>
      </c>
      <c r="X216" s="1110">
        <f>$S216-SUMIF('11.2. ДА за периода'!$B$155:$B$175,$B216,'11.2. ДА за периода'!$S$155:$S$175)+SUMIF('11.2. ДА за периода'!$B$155:$B$175,$B216,'11.2. ДА за периода'!X$155:X$175)</f>
        <v>351</v>
      </c>
      <c r="Y216" s="2618">
        <f>$S216-SUMIF('11.2. ДА за периода'!$B$155:$B$175,$B216,'11.2. ДА за периода'!$S$155:$S$175)+SUMIF('11.2. ДА за периода'!$B$155:$B$175,$B216,'11.2. ДА за периода'!Y$155:Y$175)</f>
        <v>351</v>
      </c>
      <c r="Z216" s="4387">
        <f>+'11.3. ДА Базова година'!R177</f>
        <v>0</v>
      </c>
      <c r="AA216" s="2617">
        <f>$Z216-SUMIF('11.2. ДА за периода'!$B$155:$B$175,$B216,'11.2. ДА за периода'!$Z$155:$Z$175)+SUMIF('11.2. ДА за периода'!$B$155:$B$175,$B216,'11.2. ДА за периода'!AA$155:AA$175)</f>
        <v>0</v>
      </c>
      <c r="AB216" s="1110">
        <f>$Z216-SUMIF('11.2. ДА за периода'!$B$155:$B$175,$B216,'11.2. ДА за периода'!$Z$155:$Z$175)+SUMIF('11.2. ДА за периода'!$B$155:$B$175,$B216,'11.2. ДА за периода'!AB$155:AB$175)</f>
        <v>0</v>
      </c>
      <c r="AC216" s="1110">
        <f>$Z216-SUMIF('11.2. ДА за периода'!$B$155:$B$175,$B216,'11.2. ДА за периода'!$Z$155:$Z$175)+SUMIF('11.2. ДА за периода'!$B$155:$B$175,$B216,'11.2. ДА за периода'!AC$155:AC$175)</f>
        <v>0</v>
      </c>
      <c r="AD216" s="1110">
        <f>$Z216-SUMIF('11.2. ДА за периода'!$B$155:$B$175,$B216,'11.2. ДА за периода'!$Z$155:$Z$175)+SUMIF('11.2. ДА за периода'!$B$155:$B$175,$B216,'11.2. ДА за периода'!AD$155:AD$175)</f>
        <v>0</v>
      </c>
      <c r="AE216" s="1110">
        <f>$Z216-SUMIF('11.2. ДА за периода'!$B$155:$B$175,$B216,'11.2. ДА за периода'!$Z$155:$Z$175)+SUMIF('11.2. ДА за периода'!$B$155:$B$175,$B216,'11.2. ДА за периода'!AE$155:AE$175)</f>
        <v>0</v>
      </c>
      <c r="AF216" s="2618">
        <f>$Z216-SUMIF('11.2. ДА за периода'!$B$155:$B$175,$B216,'11.2. ДА за периода'!$Z$155:$Z$175)+SUMIF('11.2. ДА за периода'!$B$155:$B$175,$B216,'11.2. ДА за периода'!AF$155:AF$175)</f>
        <v>0</v>
      </c>
      <c r="AG216" s="4387">
        <f>+'11.3. ДА Базова година'!V177</f>
        <v>0</v>
      </c>
      <c r="AH216" s="2617">
        <f>$AG216-SUMIF('11.2. ДА за периода'!$B$155:$B$175,$B216,'11.2. ДА за периода'!$AG$155:$AG$175)+SUMIF('11.2. ДА за периода'!$B$155:$B$175,$B216,'11.2. ДА за периода'!AH$155:AH$175)</f>
        <v>0</v>
      </c>
      <c r="AI216" s="1110">
        <f>$AG216-SUMIF('11.2. ДА за периода'!$B$155:$B$175,$B216,'11.2. ДА за периода'!$AG$155:$AG$175)+SUMIF('11.2. ДА за периода'!$B$155:$B$175,$B216,'11.2. ДА за периода'!AI$155:AI$175)</f>
        <v>0</v>
      </c>
      <c r="AJ216" s="1110">
        <f>$AG216-SUMIF('11.2. ДА за периода'!$B$155:$B$175,$B216,'11.2. ДА за периода'!$AG$155:$AG$175)+SUMIF('11.2. ДА за периода'!$B$155:$B$175,$B216,'11.2. ДА за периода'!AJ$155:AJ$175)</f>
        <v>0</v>
      </c>
      <c r="AK216" s="1110">
        <f>$AG216-SUMIF('11.2. ДА за периода'!$B$155:$B$175,$B216,'11.2. ДА за периода'!$AG$155:$AG$175)+SUMIF('11.2. ДА за периода'!$B$155:$B$175,$B216,'11.2. ДА за периода'!AK$155:AK$175)</f>
        <v>0</v>
      </c>
      <c r="AL216" s="1110">
        <f>$AG216-SUMIF('11.2. ДА за периода'!$B$155:$B$175,$B216,'11.2. ДА за периода'!$AG$155:$AG$175)+SUMIF('11.2. ДА за периода'!$B$155:$B$175,$B216,'11.2. ДА за периода'!AL$155:AL$175)</f>
        <v>0</v>
      </c>
      <c r="AM216" s="2618">
        <f>$AG216-SUMIF('11.2. ДА за периода'!$B$155:$B$175,$B216,'11.2. ДА за периода'!$AG$155:$AG$175)+SUMIF('11.2. ДА за периода'!$B$155:$B$175,$B216,'11.2. ДА за периода'!AM$155:AM$175)</f>
        <v>0</v>
      </c>
      <c r="AN216" s="2524"/>
      <c r="AO216" s="2551"/>
      <c r="AP216" s="4422"/>
      <c r="AQ216" s="4438">
        <f t="shared" si="271"/>
        <v>33.233972277754205</v>
      </c>
      <c r="AR216" s="4438">
        <f t="shared" si="272"/>
        <v>33.233972277754205</v>
      </c>
      <c r="AS216" s="4438">
        <f t="shared" si="273"/>
        <v>33.233972277754205</v>
      </c>
      <c r="AT216" s="4438">
        <f t="shared" si="274"/>
        <v>33.187956008446541</v>
      </c>
      <c r="AU216" s="4438">
        <f t="shared" si="275"/>
        <v>33.187956008446541</v>
      </c>
      <c r="AV216" s="4438">
        <f t="shared" si="276"/>
        <v>33.187956008446541</v>
      </c>
      <c r="AW216" s="4438">
        <f t="shared" si="277"/>
        <v>33.187956008446541</v>
      </c>
      <c r="AX216" s="4438">
        <f t="shared" si="278"/>
        <v>0</v>
      </c>
      <c r="AY216" s="4438">
        <f t="shared" si="279"/>
        <v>0</v>
      </c>
      <c r="AZ216" s="4438">
        <f t="shared" si="280"/>
        <v>0</v>
      </c>
      <c r="BA216" s="4438">
        <f t="shared" si="281"/>
        <v>0</v>
      </c>
      <c r="BB216" s="4438">
        <f t="shared" si="282"/>
        <v>0</v>
      </c>
      <c r="BC216" s="4438">
        <f t="shared" si="283"/>
        <v>0</v>
      </c>
      <c r="BD216" s="4438">
        <f t="shared" si="284"/>
        <v>0</v>
      </c>
      <c r="BE216" s="4438">
        <f t="shared" si="285"/>
        <v>179.4634502998727</v>
      </c>
      <c r="BF216" s="4438">
        <f t="shared" si="286"/>
        <v>179.4634502998727</v>
      </c>
      <c r="BG216" s="4438">
        <f t="shared" si="287"/>
        <v>179.4634502998727</v>
      </c>
      <c r="BH216" s="4438">
        <f t="shared" si="288"/>
        <v>179.4634502998727</v>
      </c>
      <c r="BI216" s="4438">
        <f t="shared" si="289"/>
        <v>179.4634502998727</v>
      </c>
      <c r="BJ216" s="4438">
        <f t="shared" si="290"/>
        <v>179.4634502998727</v>
      </c>
      <c r="BK216" s="4438">
        <f t="shared" si="291"/>
        <v>179.4634502998727</v>
      </c>
      <c r="BL216" s="4438">
        <f t="shared" si="292"/>
        <v>0</v>
      </c>
      <c r="BM216" s="4438">
        <f t="shared" si="293"/>
        <v>0</v>
      </c>
      <c r="BN216" s="4438">
        <f t="shared" si="294"/>
        <v>0</v>
      </c>
      <c r="BO216" s="4438">
        <f t="shared" si="295"/>
        <v>0</v>
      </c>
      <c r="BP216" s="4438">
        <f t="shared" si="296"/>
        <v>0</v>
      </c>
      <c r="BQ216" s="4438">
        <f t="shared" si="297"/>
        <v>0</v>
      </c>
      <c r="BR216" s="4438">
        <f t="shared" si="298"/>
        <v>0</v>
      </c>
      <c r="BS216" s="4438">
        <f t="shared" si="299"/>
        <v>0</v>
      </c>
      <c r="BT216" s="4438">
        <f t="shared" si="300"/>
        <v>0</v>
      </c>
      <c r="BU216" s="4438">
        <f t="shared" si="301"/>
        <v>0</v>
      </c>
      <c r="BV216" s="4438">
        <f t="shared" si="302"/>
        <v>0</v>
      </c>
      <c r="BW216" s="4438">
        <f t="shared" si="303"/>
        <v>0</v>
      </c>
      <c r="BX216" s="4438">
        <f t="shared" si="304"/>
        <v>0</v>
      </c>
      <c r="BY216" s="4438">
        <f t="shared" si="305"/>
        <v>0</v>
      </c>
    </row>
    <row r="217" spans="1:77" s="1292" customFormat="1">
      <c r="A217" s="2515">
        <v>3</v>
      </c>
      <c r="B217" s="2516">
        <v>911301</v>
      </c>
      <c r="C217" s="2517">
        <v>0.1</v>
      </c>
      <c r="D217" s="2571" t="s">
        <v>427</v>
      </c>
      <c r="E217" s="4387">
        <f>+'11.3. ДА Базова година'!F178</f>
        <v>55</v>
      </c>
      <c r="F217" s="2617">
        <f>$E217-SUMIF('11.2. ДА за периода'!$B$155:$B$175,$B217,'11.2. ДА за периода'!$E$155:$E$175)+SUMIF('11.2. ДА за периода'!$B$155:$B$175,$B217,'11.2. ДА за периода'!F$155:F$175)</f>
        <v>55</v>
      </c>
      <c r="G217" s="1110">
        <f>$E217-SUMIF('11.2. ДА за периода'!$B$155:$B$175,$B217,'11.2. ДА за периода'!$E$155:$E$175)+SUMIF('11.2. ДА за периода'!$B$155:$B$175,$B217,'11.2. ДА за периода'!G$155:G$175)</f>
        <v>55</v>
      </c>
      <c r="H217" s="1110">
        <f>$E217-SUMIF('11.2. ДА за периода'!$B$155:$B$175,$B217,'11.2. ДА за периода'!$E$155:$E$175)+SUMIF('11.2. ДА за периода'!$B$155:$B$175,$B217,'11.2. ДА за периода'!H$155:H$175)</f>
        <v>55</v>
      </c>
      <c r="I217" s="1110">
        <f>$E217-SUMIF('11.2. ДА за периода'!$B$155:$B$175,$B217,'11.2. ДА за периода'!$E$155:$E$175)+SUMIF('11.2. ДА за периода'!$B$155:$B$175,$B217,'11.2. ДА за периода'!I$155:I$175)</f>
        <v>55</v>
      </c>
      <c r="J217" s="1110">
        <f>$E217-SUMIF('11.2. ДА за периода'!$B$155:$B$175,$B217,'11.2. ДА за периода'!$E$155:$E$175)+SUMIF('11.2. ДА за периода'!$B$155:$B$175,$B217,'11.2. ДА за периода'!J$155:J$175)</f>
        <v>55</v>
      </c>
      <c r="K217" s="2618">
        <f>$E217-SUMIF('11.2. ДА за периода'!$B$155:$B$175,$B217,'11.2. ДА за периода'!$E$155:$E$175)+SUMIF('11.2. ДА за периода'!$B$155:$B$175,$B217,'11.2. ДА за периода'!K$155:K$175)</f>
        <v>55</v>
      </c>
      <c r="L217" s="4387">
        <f>+'11.3. ДА Базова година'!J178</f>
        <v>0</v>
      </c>
      <c r="M217" s="2617">
        <f>$L217-SUMIF('11.2. ДА за периода'!$B$155:$B$175,$B217,'11.2. ДА за периода'!$L$155:$L$175)+SUMIF('11.2. ДА за периода'!$B$155:$B$175,$B217,'11.2. ДА за периода'!M$155:M$175)</f>
        <v>0</v>
      </c>
      <c r="N217" s="1110">
        <f>$L217-SUMIF('11.2. ДА за периода'!$B$155:$B$175,$B217,'11.2. ДА за периода'!$L$155:$L$175)+SUMIF('11.2. ДА за периода'!$B$155:$B$175,$B217,'11.2. ДА за периода'!N$155:N$175)</f>
        <v>0</v>
      </c>
      <c r="O217" s="1110">
        <f>$L217-SUMIF('11.2. ДА за периода'!$B$155:$B$175,$B217,'11.2. ДА за периода'!$L$155:$L$175)+SUMIF('11.2. ДА за периода'!$B$155:$B$175,$B217,'11.2. ДА за периода'!O$155:O$175)</f>
        <v>0</v>
      </c>
      <c r="P217" s="1110">
        <f>$L217-SUMIF('11.2. ДА за периода'!$B$155:$B$175,$B217,'11.2. ДА за периода'!$L$155:$L$175)+SUMIF('11.2. ДА за периода'!$B$155:$B$175,$B217,'11.2. ДА за периода'!P$155:P$175)</f>
        <v>0</v>
      </c>
      <c r="Q217" s="1110">
        <f>$L217-SUMIF('11.2. ДА за периода'!$B$155:$B$175,$B217,'11.2. ДА за периода'!$L$155:$L$175)+SUMIF('11.2. ДА за периода'!$B$155:$B$175,$B217,'11.2. ДА за периода'!Q$155:Q$175)</f>
        <v>0</v>
      </c>
      <c r="R217" s="2618">
        <f>$L217-SUMIF('11.2. ДА за периода'!$B$155:$B$175,$B217,'11.2. ДА за периода'!$L$155:$L$175)+SUMIF('11.2. ДА за периода'!$B$155:$B$175,$B217,'11.2. ДА за периода'!R$155:R$175)</f>
        <v>0</v>
      </c>
      <c r="S217" s="4387">
        <f>+'11.3. ДА Базова година'!N178</f>
        <v>0</v>
      </c>
      <c r="T217" s="2617">
        <f>$S217-SUMIF('11.2. ДА за периода'!$B$155:$B$175,$B217,'11.2. ДА за периода'!$S$155:$S$175)+SUMIF('11.2. ДА за периода'!$B$155:$B$175,$B217,'11.2. ДА за периода'!T$155:T$175)</f>
        <v>0</v>
      </c>
      <c r="U217" s="1110">
        <f>$S217-SUMIF('11.2. ДА за периода'!$B$155:$B$175,$B217,'11.2. ДА за периода'!$S$155:$S$175)+SUMIF('11.2. ДА за периода'!$B$155:$B$175,$B217,'11.2. ДА за периода'!U$155:U$175)</f>
        <v>0</v>
      </c>
      <c r="V217" s="1110">
        <f>$S217-SUMIF('11.2. ДА за периода'!$B$155:$B$175,$B217,'11.2. ДА за периода'!$S$155:$S$175)+SUMIF('11.2. ДА за периода'!$B$155:$B$175,$B217,'11.2. ДА за периода'!V$155:V$175)</f>
        <v>0</v>
      </c>
      <c r="W217" s="1110">
        <f>$S217-SUMIF('11.2. ДА за периода'!$B$155:$B$175,$B217,'11.2. ДА за периода'!$S$155:$S$175)+SUMIF('11.2. ДА за периода'!$B$155:$B$175,$B217,'11.2. ДА за периода'!W$155:W$175)</f>
        <v>0</v>
      </c>
      <c r="X217" s="1110">
        <f>$S217-SUMIF('11.2. ДА за периода'!$B$155:$B$175,$B217,'11.2. ДА за периода'!$S$155:$S$175)+SUMIF('11.2. ДА за периода'!$B$155:$B$175,$B217,'11.2. ДА за периода'!X$155:X$175)</f>
        <v>0</v>
      </c>
      <c r="Y217" s="2618">
        <f>$S217-SUMIF('11.2. ДА за периода'!$B$155:$B$175,$B217,'11.2. ДА за периода'!$S$155:$S$175)+SUMIF('11.2. ДА за периода'!$B$155:$B$175,$B217,'11.2. ДА за периода'!Y$155:Y$175)</f>
        <v>0</v>
      </c>
      <c r="Z217" s="4387">
        <f>+'11.3. ДА Базова година'!R178</f>
        <v>0</v>
      </c>
      <c r="AA217" s="2617">
        <f>$Z217-SUMIF('11.2. ДА за периода'!$B$155:$B$175,$B217,'11.2. ДА за периода'!$Z$155:$Z$175)+SUMIF('11.2. ДА за периода'!$B$155:$B$175,$B217,'11.2. ДА за периода'!AA$155:AA$175)</f>
        <v>0</v>
      </c>
      <c r="AB217" s="1110">
        <f>$Z217-SUMIF('11.2. ДА за периода'!$B$155:$B$175,$B217,'11.2. ДА за периода'!$Z$155:$Z$175)+SUMIF('11.2. ДА за периода'!$B$155:$B$175,$B217,'11.2. ДА за периода'!AB$155:AB$175)</f>
        <v>0</v>
      </c>
      <c r="AC217" s="1110">
        <f>$Z217-SUMIF('11.2. ДА за периода'!$B$155:$B$175,$B217,'11.2. ДА за периода'!$Z$155:$Z$175)+SUMIF('11.2. ДА за периода'!$B$155:$B$175,$B217,'11.2. ДА за периода'!AC$155:AC$175)</f>
        <v>0</v>
      </c>
      <c r="AD217" s="1110">
        <f>$Z217-SUMIF('11.2. ДА за периода'!$B$155:$B$175,$B217,'11.2. ДА за периода'!$Z$155:$Z$175)+SUMIF('11.2. ДА за периода'!$B$155:$B$175,$B217,'11.2. ДА за периода'!AD$155:AD$175)</f>
        <v>0</v>
      </c>
      <c r="AE217" s="1110">
        <f>$Z217-SUMIF('11.2. ДА за периода'!$B$155:$B$175,$B217,'11.2. ДА за периода'!$Z$155:$Z$175)+SUMIF('11.2. ДА за периода'!$B$155:$B$175,$B217,'11.2. ДА за периода'!AE$155:AE$175)</f>
        <v>0</v>
      </c>
      <c r="AF217" s="2618">
        <f>$Z217-SUMIF('11.2. ДА за периода'!$B$155:$B$175,$B217,'11.2. ДА за периода'!$Z$155:$Z$175)+SUMIF('11.2. ДА за периода'!$B$155:$B$175,$B217,'11.2. ДА за периода'!AF$155:AF$175)</f>
        <v>0</v>
      </c>
      <c r="AG217" s="4387">
        <f>+'11.3. ДА Базова година'!V178</f>
        <v>0</v>
      </c>
      <c r="AH217" s="2617">
        <f>$AG217-SUMIF('11.2. ДА за периода'!$B$155:$B$175,$B217,'11.2. ДА за периода'!$AG$155:$AG$175)+SUMIF('11.2. ДА за периода'!$B$155:$B$175,$B217,'11.2. ДА за периода'!AH$155:AH$175)</f>
        <v>0</v>
      </c>
      <c r="AI217" s="1110">
        <f>$AG217-SUMIF('11.2. ДА за периода'!$B$155:$B$175,$B217,'11.2. ДА за периода'!$AG$155:$AG$175)+SUMIF('11.2. ДА за периода'!$B$155:$B$175,$B217,'11.2. ДА за периода'!AI$155:AI$175)</f>
        <v>0</v>
      </c>
      <c r="AJ217" s="1110">
        <f>$AG217-SUMIF('11.2. ДА за периода'!$B$155:$B$175,$B217,'11.2. ДА за периода'!$AG$155:$AG$175)+SUMIF('11.2. ДА за периода'!$B$155:$B$175,$B217,'11.2. ДА за периода'!AJ$155:AJ$175)</f>
        <v>0</v>
      </c>
      <c r="AK217" s="1110">
        <f>$AG217-SUMIF('11.2. ДА за периода'!$B$155:$B$175,$B217,'11.2. ДА за периода'!$AG$155:$AG$175)+SUMIF('11.2. ДА за периода'!$B$155:$B$175,$B217,'11.2. ДА за периода'!AK$155:AK$175)</f>
        <v>0</v>
      </c>
      <c r="AL217" s="1110">
        <f>$AG217-SUMIF('11.2. ДА за периода'!$B$155:$B$175,$B217,'11.2. ДА за периода'!$AG$155:$AG$175)+SUMIF('11.2. ДА за периода'!$B$155:$B$175,$B217,'11.2. ДА за периода'!AL$155:AL$175)</f>
        <v>0</v>
      </c>
      <c r="AM217" s="2618">
        <f>$AG217-SUMIF('11.2. ДА за периода'!$B$155:$B$175,$B217,'11.2. ДА за периода'!$AG$155:$AG$175)+SUMIF('11.2. ДА за периода'!$B$155:$B$175,$B217,'11.2. ДА за периода'!AM$155:AM$175)</f>
        <v>0</v>
      </c>
      <c r="AN217" s="2524"/>
      <c r="AO217" s="2551"/>
      <c r="AP217" s="4422"/>
      <c r="AQ217" s="4438">
        <f t="shared" si="271"/>
        <v>28.121053465792016</v>
      </c>
      <c r="AR217" s="4438">
        <f t="shared" si="272"/>
        <v>28.121053465792016</v>
      </c>
      <c r="AS217" s="4438">
        <f t="shared" si="273"/>
        <v>28.121053465792016</v>
      </c>
      <c r="AT217" s="4438">
        <f t="shared" si="274"/>
        <v>28.121053465792016</v>
      </c>
      <c r="AU217" s="4438">
        <f t="shared" si="275"/>
        <v>28.121053465792016</v>
      </c>
      <c r="AV217" s="4438">
        <f t="shared" si="276"/>
        <v>28.121053465792016</v>
      </c>
      <c r="AW217" s="4438">
        <f t="shared" si="277"/>
        <v>28.121053465792016</v>
      </c>
      <c r="AX217" s="4438">
        <f t="shared" si="278"/>
        <v>0</v>
      </c>
      <c r="AY217" s="4438">
        <f t="shared" si="279"/>
        <v>0</v>
      </c>
      <c r="AZ217" s="4438">
        <f t="shared" si="280"/>
        <v>0</v>
      </c>
      <c r="BA217" s="4438">
        <f t="shared" si="281"/>
        <v>0</v>
      </c>
      <c r="BB217" s="4438">
        <f t="shared" si="282"/>
        <v>0</v>
      </c>
      <c r="BC217" s="4438">
        <f t="shared" si="283"/>
        <v>0</v>
      </c>
      <c r="BD217" s="4438">
        <f t="shared" si="284"/>
        <v>0</v>
      </c>
      <c r="BE217" s="4438">
        <f t="shared" si="285"/>
        <v>0</v>
      </c>
      <c r="BF217" s="4438">
        <f t="shared" si="286"/>
        <v>0</v>
      </c>
      <c r="BG217" s="4438">
        <f t="shared" si="287"/>
        <v>0</v>
      </c>
      <c r="BH217" s="4438">
        <f t="shared" si="288"/>
        <v>0</v>
      </c>
      <c r="BI217" s="4438">
        <f t="shared" si="289"/>
        <v>0</v>
      </c>
      <c r="BJ217" s="4438">
        <f t="shared" si="290"/>
        <v>0</v>
      </c>
      <c r="BK217" s="4438">
        <f t="shared" si="291"/>
        <v>0</v>
      </c>
      <c r="BL217" s="4438">
        <f t="shared" si="292"/>
        <v>0</v>
      </c>
      <c r="BM217" s="4438">
        <f t="shared" si="293"/>
        <v>0</v>
      </c>
      <c r="BN217" s="4438">
        <f t="shared" si="294"/>
        <v>0</v>
      </c>
      <c r="BO217" s="4438">
        <f t="shared" si="295"/>
        <v>0</v>
      </c>
      <c r="BP217" s="4438">
        <f t="shared" si="296"/>
        <v>0</v>
      </c>
      <c r="BQ217" s="4438">
        <f t="shared" si="297"/>
        <v>0</v>
      </c>
      <c r="BR217" s="4438">
        <f t="shared" si="298"/>
        <v>0</v>
      </c>
      <c r="BS217" s="4438">
        <f t="shared" si="299"/>
        <v>0</v>
      </c>
      <c r="BT217" s="4438">
        <f t="shared" si="300"/>
        <v>0</v>
      </c>
      <c r="BU217" s="4438">
        <f t="shared" si="301"/>
        <v>0</v>
      </c>
      <c r="BV217" s="4438">
        <f t="shared" si="302"/>
        <v>0</v>
      </c>
      <c r="BW217" s="4438">
        <f t="shared" si="303"/>
        <v>0</v>
      </c>
      <c r="BX217" s="4438">
        <f t="shared" si="304"/>
        <v>0</v>
      </c>
      <c r="BY217" s="4438">
        <f t="shared" si="305"/>
        <v>0</v>
      </c>
    </row>
    <row r="218" spans="1:77" s="1292" customFormat="1">
      <c r="A218" s="2515">
        <v>4</v>
      </c>
      <c r="B218" s="2516">
        <v>911302</v>
      </c>
      <c r="C218" s="2517">
        <v>0.1</v>
      </c>
      <c r="D218" s="2571" t="s">
        <v>428</v>
      </c>
      <c r="E218" s="4387">
        <f>+'11.3. ДА Базова година'!F179</f>
        <v>10</v>
      </c>
      <c r="F218" s="2617">
        <f>$E218-SUMIF('11.2. ДА за периода'!$B$155:$B$175,$B218,'11.2. ДА за периода'!$E$155:$E$175)+SUMIF('11.2. ДА за периода'!$B$155:$B$175,$B218,'11.2. ДА за периода'!F$155:F$175)</f>
        <v>10</v>
      </c>
      <c r="G218" s="1110">
        <f>$E218-SUMIF('11.2. ДА за периода'!$B$155:$B$175,$B218,'11.2. ДА за периода'!$E$155:$E$175)+SUMIF('11.2. ДА за периода'!$B$155:$B$175,$B218,'11.2. ДА за периода'!G$155:G$175)</f>
        <v>10</v>
      </c>
      <c r="H218" s="1110">
        <f>$E218-SUMIF('11.2. ДА за периода'!$B$155:$B$175,$B218,'11.2. ДА за периода'!$E$155:$E$175)+SUMIF('11.2. ДА за периода'!$B$155:$B$175,$B218,'11.2. ДА за периода'!H$155:H$175)</f>
        <v>10</v>
      </c>
      <c r="I218" s="1110">
        <f>$E218-SUMIF('11.2. ДА за периода'!$B$155:$B$175,$B218,'11.2. ДА за периода'!$E$155:$E$175)+SUMIF('11.2. ДА за периода'!$B$155:$B$175,$B218,'11.2. ДА за периода'!I$155:I$175)</f>
        <v>10</v>
      </c>
      <c r="J218" s="1110">
        <f>$E218-SUMIF('11.2. ДА за периода'!$B$155:$B$175,$B218,'11.2. ДА за периода'!$E$155:$E$175)+SUMIF('11.2. ДА за периода'!$B$155:$B$175,$B218,'11.2. ДА за периода'!J$155:J$175)</f>
        <v>10</v>
      </c>
      <c r="K218" s="2618">
        <f>$E218-SUMIF('11.2. ДА за периода'!$B$155:$B$175,$B218,'11.2. ДА за периода'!$E$155:$E$175)+SUMIF('11.2. ДА за периода'!$B$155:$B$175,$B218,'11.2. ДА за периода'!K$155:K$175)</f>
        <v>10</v>
      </c>
      <c r="L218" s="4387">
        <f>+'11.3. ДА Базова година'!J179</f>
        <v>0</v>
      </c>
      <c r="M218" s="2617">
        <f>$L218-SUMIF('11.2. ДА за периода'!$B$155:$B$175,$B218,'11.2. ДА за периода'!$L$155:$L$175)+SUMIF('11.2. ДА за периода'!$B$155:$B$175,$B218,'11.2. ДА за периода'!M$155:M$175)</f>
        <v>0</v>
      </c>
      <c r="N218" s="1110">
        <f>$L218-SUMIF('11.2. ДА за периода'!$B$155:$B$175,$B218,'11.2. ДА за периода'!$L$155:$L$175)+SUMIF('11.2. ДА за периода'!$B$155:$B$175,$B218,'11.2. ДА за периода'!N$155:N$175)</f>
        <v>0</v>
      </c>
      <c r="O218" s="1110">
        <f>$L218-SUMIF('11.2. ДА за периода'!$B$155:$B$175,$B218,'11.2. ДА за периода'!$L$155:$L$175)+SUMIF('11.2. ДА за периода'!$B$155:$B$175,$B218,'11.2. ДА за периода'!O$155:O$175)</f>
        <v>0</v>
      </c>
      <c r="P218" s="1110">
        <f>$L218-SUMIF('11.2. ДА за периода'!$B$155:$B$175,$B218,'11.2. ДА за периода'!$L$155:$L$175)+SUMIF('11.2. ДА за периода'!$B$155:$B$175,$B218,'11.2. ДА за периода'!P$155:P$175)</f>
        <v>0</v>
      </c>
      <c r="Q218" s="1110">
        <f>$L218-SUMIF('11.2. ДА за периода'!$B$155:$B$175,$B218,'11.2. ДА за периода'!$L$155:$L$175)+SUMIF('11.2. ДА за периода'!$B$155:$B$175,$B218,'11.2. ДА за периода'!Q$155:Q$175)</f>
        <v>0</v>
      </c>
      <c r="R218" s="2618">
        <f>$L218-SUMIF('11.2. ДА за периода'!$B$155:$B$175,$B218,'11.2. ДА за периода'!$L$155:$L$175)+SUMIF('11.2. ДА за периода'!$B$155:$B$175,$B218,'11.2. ДА за периода'!R$155:R$175)</f>
        <v>0</v>
      </c>
      <c r="S218" s="4387">
        <f>+'11.3. ДА Базова година'!N179</f>
        <v>0</v>
      </c>
      <c r="T218" s="2617">
        <f>$S218-SUMIF('11.2. ДА за периода'!$B$155:$B$175,$B218,'11.2. ДА за периода'!$S$155:$S$175)+SUMIF('11.2. ДА за периода'!$B$155:$B$175,$B218,'11.2. ДА за периода'!T$155:T$175)</f>
        <v>0</v>
      </c>
      <c r="U218" s="1110">
        <f>$S218-SUMIF('11.2. ДА за периода'!$B$155:$B$175,$B218,'11.2. ДА за периода'!$S$155:$S$175)+SUMIF('11.2. ДА за периода'!$B$155:$B$175,$B218,'11.2. ДА за периода'!U$155:U$175)</f>
        <v>0</v>
      </c>
      <c r="V218" s="1110">
        <f>$S218-SUMIF('11.2. ДА за периода'!$B$155:$B$175,$B218,'11.2. ДА за периода'!$S$155:$S$175)+SUMIF('11.2. ДА за периода'!$B$155:$B$175,$B218,'11.2. ДА за периода'!V$155:V$175)</f>
        <v>0</v>
      </c>
      <c r="W218" s="1110">
        <f>$S218-SUMIF('11.2. ДА за периода'!$B$155:$B$175,$B218,'11.2. ДА за периода'!$S$155:$S$175)+SUMIF('11.2. ДА за периода'!$B$155:$B$175,$B218,'11.2. ДА за периода'!W$155:W$175)</f>
        <v>0</v>
      </c>
      <c r="X218" s="1110">
        <f>$S218-SUMIF('11.2. ДА за периода'!$B$155:$B$175,$B218,'11.2. ДА за периода'!$S$155:$S$175)+SUMIF('11.2. ДА за периода'!$B$155:$B$175,$B218,'11.2. ДА за периода'!X$155:X$175)</f>
        <v>0</v>
      </c>
      <c r="Y218" s="2618">
        <f>$S218-SUMIF('11.2. ДА за периода'!$B$155:$B$175,$B218,'11.2. ДА за периода'!$S$155:$S$175)+SUMIF('11.2. ДА за периода'!$B$155:$B$175,$B218,'11.2. ДА за периода'!Y$155:Y$175)</f>
        <v>0</v>
      </c>
      <c r="Z218" s="4387">
        <f>+'11.3. ДА Базова година'!R179</f>
        <v>0</v>
      </c>
      <c r="AA218" s="2617">
        <f>$Z218-SUMIF('11.2. ДА за периода'!$B$155:$B$175,$B218,'11.2. ДА за периода'!$Z$155:$Z$175)+SUMIF('11.2. ДА за периода'!$B$155:$B$175,$B218,'11.2. ДА за периода'!AA$155:AA$175)</f>
        <v>0</v>
      </c>
      <c r="AB218" s="1110">
        <f>$Z218-SUMIF('11.2. ДА за периода'!$B$155:$B$175,$B218,'11.2. ДА за периода'!$Z$155:$Z$175)+SUMIF('11.2. ДА за периода'!$B$155:$B$175,$B218,'11.2. ДА за периода'!AB$155:AB$175)</f>
        <v>0</v>
      </c>
      <c r="AC218" s="1110">
        <f>$Z218-SUMIF('11.2. ДА за периода'!$B$155:$B$175,$B218,'11.2. ДА за периода'!$Z$155:$Z$175)+SUMIF('11.2. ДА за периода'!$B$155:$B$175,$B218,'11.2. ДА за периода'!AC$155:AC$175)</f>
        <v>0</v>
      </c>
      <c r="AD218" s="1110">
        <f>$Z218-SUMIF('11.2. ДА за периода'!$B$155:$B$175,$B218,'11.2. ДА за периода'!$Z$155:$Z$175)+SUMIF('11.2. ДА за периода'!$B$155:$B$175,$B218,'11.2. ДА за периода'!AD$155:AD$175)</f>
        <v>0</v>
      </c>
      <c r="AE218" s="1110">
        <f>$Z218-SUMIF('11.2. ДА за периода'!$B$155:$B$175,$B218,'11.2. ДА за периода'!$Z$155:$Z$175)+SUMIF('11.2. ДА за периода'!$B$155:$B$175,$B218,'11.2. ДА за периода'!AE$155:AE$175)</f>
        <v>0</v>
      </c>
      <c r="AF218" s="2618">
        <f>$Z218-SUMIF('11.2. ДА за периода'!$B$155:$B$175,$B218,'11.2. ДА за периода'!$Z$155:$Z$175)+SUMIF('11.2. ДА за периода'!$B$155:$B$175,$B218,'11.2. ДА за периода'!AF$155:AF$175)</f>
        <v>0</v>
      </c>
      <c r="AG218" s="4387">
        <f>+'11.3. ДА Базова година'!V179</f>
        <v>0</v>
      </c>
      <c r="AH218" s="2617">
        <f>$AG218-SUMIF('11.2. ДА за периода'!$B$155:$B$175,$B218,'11.2. ДА за периода'!$AG$155:$AG$175)+SUMIF('11.2. ДА за периода'!$B$155:$B$175,$B218,'11.2. ДА за периода'!AH$155:AH$175)</f>
        <v>0</v>
      </c>
      <c r="AI218" s="1110">
        <f>$AG218-SUMIF('11.2. ДА за периода'!$B$155:$B$175,$B218,'11.2. ДА за периода'!$AG$155:$AG$175)+SUMIF('11.2. ДА за периода'!$B$155:$B$175,$B218,'11.2. ДА за периода'!AI$155:AI$175)</f>
        <v>0</v>
      </c>
      <c r="AJ218" s="1110">
        <f>$AG218-SUMIF('11.2. ДА за периода'!$B$155:$B$175,$B218,'11.2. ДА за периода'!$AG$155:$AG$175)+SUMIF('11.2. ДА за периода'!$B$155:$B$175,$B218,'11.2. ДА за периода'!AJ$155:AJ$175)</f>
        <v>0</v>
      </c>
      <c r="AK218" s="1110">
        <f>$AG218-SUMIF('11.2. ДА за периода'!$B$155:$B$175,$B218,'11.2. ДА за периода'!$AG$155:$AG$175)+SUMIF('11.2. ДА за периода'!$B$155:$B$175,$B218,'11.2. ДА за периода'!AK$155:AK$175)</f>
        <v>0</v>
      </c>
      <c r="AL218" s="1110">
        <f>$AG218-SUMIF('11.2. ДА за периода'!$B$155:$B$175,$B218,'11.2. ДА за периода'!$AG$155:$AG$175)+SUMIF('11.2. ДА за периода'!$B$155:$B$175,$B218,'11.2. ДА за периода'!AL$155:AL$175)</f>
        <v>0</v>
      </c>
      <c r="AM218" s="2618">
        <f>$AG218-SUMIF('11.2. ДА за периода'!$B$155:$B$175,$B218,'11.2. ДА за периода'!$AG$155:$AG$175)+SUMIF('11.2. ДА за периода'!$B$155:$B$175,$B218,'11.2. ДА за периода'!AM$155:AM$175)</f>
        <v>0</v>
      </c>
      <c r="AN218" s="2524"/>
      <c r="AO218" s="2551"/>
      <c r="AP218" s="4422"/>
      <c r="AQ218" s="4438">
        <f t="shared" si="271"/>
        <v>5.1129188119621851</v>
      </c>
      <c r="AR218" s="4438">
        <f t="shared" si="272"/>
        <v>5.1129188119621851</v>
      </c>
      <c r="AS218" s="4438">
        <f t="shared" si="273"/>
        <v>5.1129188119621851</v>
      </c>
      <c r="AT218" s="4438">
        <f t="shared" si="274"/>
        <v>5.1129188119621851</v>
      </c>
      <c r="AU218" s="4438">
        <f t="shared" si="275"/>
        <v>5.1129188119621851</v>
      </c>
      <c r="AV218" s="4438">
        <f t="shared" si="276"/>
        <v>5.1129188119621851</v>
      </c>
      <c r="AW218" s="4438">
        <f t="shared" si="277"/>
        <v>5.1129188119621851</v>
      </c>
      <c r="AX218" s="4438">
        <f t="shared" si="278"/>
        <v>0</v>
      </c>
      <c r="AY218" s="4438">
        <f t="shared" si="279"/>
        <v>0</v>
      </c>
      <c r="AZ218" s="4438">
        <f t="shared" si="280"/>
        <v>0</v>
      </c>
      <c r="BA218" s="4438">
        <f t="shared" si="281"/>
        <v>0</v>
      </c>
      <c r="BB218" s="4438">
        <f t="shared" si="282"/>
        <v>0</v>
      </c>
      <c r="BC218" s="4438">
        <f t="shared" si="283"/>
        <v>0</v>
      </c>
      <c r="BD218" s="4438">
        <f t="shared" si="284"/>
        <v>0</v>
      </c>
      <c r="BE218" s="4438">
        <f t="shared" si="285"/>
        <v>0</v>
      </c>
      <c r="BF218" s="4438">
        <f t="shared" si="286"/>
        <v>0</v>
      </c>
      <c r="BG218" s="4438">
        <f t="shared" si="287"/>
        <v>0</v>
      </c>
      <c r="BH218" s="4438">
        <f t="shared" si="288"/>
        <v>0</v>
      </c>
      <c r="BI218" s="4438">
        <f t="shared" si="289"/>
        <v>0</v>
      </c>
      <c r="BJ218" s="4438">
        <f t="shared" si="290"/>
        <v>0</v>
      </c>
      <c r="BK218" s="4438">
        <f t="shared" si="291"/>
        <v>0</v>
      </c>
      <c r="BL218" s="4438">
        <f t="shared" si="292"/>
        <v>0</v>
      </c>
      <c r="BM218" s="4438">
        <f t="shared" si="293"/>
        <v>0</v>
      </c>
      <c r="BN218" s="4438">
        <f t="shared" si="294"/>
        <v>0</v>
      </c>
      <c r="BO218" s="4438">
        <f t="shared" si="295"/>
        <v>0</v>
      </c>
      <c r="BP218" s="4438">
        <f t="shared" si="296"/>
        <v>0</v>
      </c>
      <c r="BQ218" s="4438">
        <f t="shared" si="297"/>
        <v>0</v>
      </c>
      <c r="BR218" s="4438">
        <f t="shared" si="298"/>
        <v>0</v>
      </c>
      <c r="BS218" s="4438">
        <f t="shared" si="299"/>
        <v>0</v>
      </c>
      <c r="BT218" s="4438">
        <f t="shared" si="300"/>
        <v>0</v>
      </c>
      <c r="BU218" s="4438">
        <f t="shared" si="301"/>
        <v>0</v>
      </c>
      <c r="BV218" s="4438">
        <f t="shared" si="302"/>
        <v>0</v>
      </c>
      <c r="BW218" s="4438">
        <f t="shared" si="303"/>
        <v>0</v>
      </c>
      <c r="BX218" s="4438">
        <f t="shared" si="304"/>
        <v>0</v>
      </c>
      <c r="BY218" s="4438">
        <f t="shared" si="305"/>
        <v>0</v>
      </c>
    </row>
    <row r="219" spans="1:77" s="1292" customFormat="1">
      <c r="A219" s="2515">
        <v>5</v>
      </c>
      <c r="B219" s="2516" t="s">
        <v>714</v>
      </c>
      <c r="C219" s="2517">
        <v>0.1</v>
      </c>
      <c r="D219" s="2552" t="s">
        <v>407</v>
      </c>
      <c r="E219" s="4387">
        <f>+'11.3. ДА Базова година'!F180</f>
        <v>3</v>
      </c>
      <c r="F219" s="2617">
        <f>$E219-SUMIF('11.2. ДА за периода'!$B$155:$B$175,$B219,'11.2. ДА за периода'!$E$155:$E$175)+SUMIF('11.2. ДА за периода'!$B$155:$B$175,$B219,'11.2. ДА за периода'!F$155:F$175)</f>
        <v>0.69999999999999973</v>
      </c>
      <c r="G219" s="1110">
        <f>$E219-SUMIF('11.2. ДА за периода'!$B$155:$B$175,$B219,'11.2. ДА за периода'!$E$155:$E$175)+SUMIF('11.2. ДА за периода'!$B$155:$B$175,$B219,'11.2. ДА за периода'!G$155:G$175)</f>
        <v>0.69999999999999973</v>
      </c>
      <c r="H219" s="1110">
        <f>$E219-SUMIF('11.2. ДА за периода'!$B$155:$B$175,$B219,'11.2. ДА за периода'!$E$155:$E$175)+SUMIF('11.2. ДА за периода'!$B$155:$B$175,$B219,'11.2. ДА за периода'!H$155:H$175)</f>
        <v>-3</v>
      </c>
      <c r="I219" s="1110">
        <f>$E219-SUMIF('11.2. ДА за периода'!$B$155:$B$175,$B219,'11.2. ДА за периода'!$E$155:$E$175)+SUMIF('11.2. ДА за периода'!$B$155:$B$175,$B219,'11.2. ДА за периода'!I$155:I$175)</f>
        <v>-7.9</v>
      </c>
      <c r="J219" s="1110">
        <f>$E219-SUMIF('11.2. ДА за периода'!$B$155:$B$175,$B219,'11.2. ДА за периода'!$E$155:$E$175)+SUMIF('11.2. ДА за периода'!$B$155:$B$175,$B219,'11.2. ДА за периода'!J$155:J$175)</f>
        <v>-10.5</v>
      </c>
      <c r="K219" s="2618">
        <f>$E219-SUMIF('11.2. ДА за периода'!$B$155:$B$175,$B219,'11.2. ДА за периода'!$E$155:$E$175)+SUMIF('11.2. ДА за периода'!$B$155:$B$175,$B219,'11.2. ДА за периода'!K$155:K$175)</f>
        <v>-10.5</v>
      </c>
      <c r="L219" s="4387">
        <f>+'11.3. ДА Базова година'!J180</f>
        <v>1</v>
      </c>
      <c r="M219" s="2617">
        <f>$L219-SUMIF('11.2. ДА за периода'!$B$155:$B$175,$B219,'11.2. ДА за периода'!$L$155:$L$175)+SUMIF('11.2. ДА за периода'!$B$155:$B$175,$B219,'11.2. ДА за периода'!M$155:M$175)</f>
        <v>1</v>
      </c>
      <c r="N219" s="1110">
        <f>$L219-SUMIF('11.2. ДА за периода'!$B$155:$B$175,$B219,'11.2. ДА за периода'!$L$155:$L$175)+SUMIF('11.2. ДА за периода'!$B$155:$B$175,$B219,'11.2. ДА за периода'!N$155:N$175)</f>
        <v>1</v>
      </c>
      <c r="O219" s="1110">
        <f>$L219-SUMIF('11.2. ДА за периода'!$B$155:$B$175,$B219,'11.2. ДА за периода'!$L$155:$L$175)+SUMIF('11.2. ДА за периода'!$B$155:$B$175,$B219,'11.2. ДА за периода'!O$155:O$175)</f>
        <v>1</v>
      </c>
      <c r="P219" s="1110">
        <f>$L219-SUMIF('11.2. ДА за периода'!$B$155:$B$175,$B219,'11.2. ДА за периода'!$L$155:$L$175)+SUMIF('11.2. ДА за периода'!$B$155:$B$175,$B219,'11.2. ДА за периода'!P$155:P$175)</f>
        <v>1</v>
      </c>
      <c r="Q219" s="1110">
        <f>$L219-SUMIF('11.2. ДА за периода'!$B$155:$B$175,$B219,'11.2. ДА за периода'!$L$155:$L$175)+SUMIF('11.2. ДА за периода'!$B$155:$B$175,$B219,'11.2. ДА за периода'!Q$155:Q$175)</f>
        <v>1</v>
      </c>
      <c r="R219" s="2618">
        <f>$L219-SUMIF('11.2. ДА за периода'!$B$155:$B$175,$B219,'11.2. ДА за периода'!$L$155:$L$175)+SUMIF('11.2. ДА за периода'!$B$155:$B$175,$B219,'11.2. ДА за периода'!R$155:R$175)</f>
        <v>1</v>
      </c>
      <c r="S219" s="4387">
        <f>+'11.3. ДА Базова година'!N180</f>
        <v>0</v>
      </c>
      <c r="T219" s="2617">
        <f>$S219-SUMIF('11.2. ДА за периода'!$B$155:$B$175,$B219,'11.2. ДА за периода'!$S$155:$S$175)+SUMIF('11.2. ДА за периода'!$B$155:$B$175,$B219,'11.2. ДА за периода'!T$155:T$175)</f>
        <v>0</v>
      </c>
      <c r="U219" s="1110">
        <f>$S219-SUMIF('11.2. ДА за периода'!$B$155:$B$175,$B219,'11.2. ДА за периода'!$S$155:$S$175)+SUMIF('11.2. ДА за периода'!$B$155:$B$175,$B219,'11.2. ДА за периода'!U$155:U$175)</f>
        <v>0</v>
      </c>
      <c r="V219" s="1110">
        <f>$S219-SUMIF('11.2. ДА за периода'!$B$155:$B$175,$B219,'11.2. ДА за периода'!$S$155:$S$175)+SUMIF('11.2. ДА за периода'!$B$155:$B$175,$B219,'11.2. ДА за периода'!V$155:V$175)</f>
        <v>0</v>
      </c>
      <c r="W219" s="1110">
        <f>$S219-SUMIF('11.2. ДА за периода'!$B$155:$B$175,$B219,'11.2. ДА за периода'!$S$155:$S$175)+SUMIF('11.2. ДА за периода'!$B$155:$B$175,$B219,'11.2. ДА за периода'!W$155:W$175)</f>
        <v>0</v>
      </c>
      <c r="X219" s="1110">
        <f>$S219-SUMIF('11.2. ДА за периода'!$B$155:$B$175,$B219,'11.2. ДА за периода'!$S$155:$S$175)+SUMIF('11.2. ДА за периода'!$B$155:$B$175,$B219,'11.2. ДА за периода'!X$155:X$175)</f>
        <v>0</v>
      </c>
      <c r="Y219" s="2618">
        <f>$S219-SUMIF('11.2. ДА за периода'!$B$155:$B$175,$B219,'11.2. ДА за периода'!$S$155:$S$175)+SUMIF('11.2. ДА за периода'!$B$155:$B$175,$B219,'11.2. ДА за периода'!Y$155:Y$175)</f>
        <v>0</v>
      </c>
      <c r="Z219" s="4387">
        <f>+'11.3. ДА Базова година'!R180</f>
        <v>0</v>
      </c>
      <c r="AA219" s="2617">
        <f>$Z219-SUMIF('11.2. ДА за периода'!$B$155:$B$175,$B219,'11.2. ДА за периода'!$Z$155:$Z$175)+SUMIF('11.2. ДА за периода'!$B$155:$B$175,$B219,'11.2. ДА за периода'!AA$155:AA$175)</f>
        <v>0</v>
      </c>
      <c r="AB219" s="1110">
        <f>$Z219-SUMIF('11.2. ДА за периода'!$B$155:$B$175,$B219,'11.2. ДА за периода'!$Z$155:$Z$175)+SUMIF('11.2. ДА за периода'!$B$155:$B$175,$B219,'11.2. ДА за периода'!AB$155:AB$175)</f>
        <v>0</v>
      </c>
      <c r="AC219" s="1110">
        <f>$Z219-SUMIF('11.2. ДА за периода'!$B$155:$B$175,$B219,'11.2. ДА за периода'!$Z$155:$Z$175)+SUMIF('11.2. ДА за периода'!$B$155:$B$175,$B219,'11.2. ДА за периода'!AC$155:AC$175)</f>
        <v>0</v>
      </c>
      <c r="AD219" s="1110">
        <f>$Z219-SUMIF('11.2. ДА за периода'!$B$155:$B$175,$B219,'11.2. ДА за периода'!$Z$155:$Z$175)+SUMIF('11.2. ДА за периода'!$B$155:$B$175,$B219,'11.2. ДА за периода'!AD$155:AD$175)</f>
        <v>0</v>
      </c>
      <c r="AE219" s="1110">
        <f>$Z219-SUMIF('11.2. ДА за периода'!$B$155:$B$175,$B219,'11.2. ДА за периода'!$Z$155:$Z$175)+SUMIF('11.2. ДА за периода'!$B$155:$B$175,$B219,'11.2. ДА за периода'!AE$155:AE$175)</f>
        <v>0</v>
      </c>
      <c r="AF219" s="2618">
        <f>$Z219-SUMIF('11.2. ДА за периода'!$B$155:$B$175,$B219,'11.2. ДА за периода'!$Z$155:$Z$175)+SUMIF('11.2. ДА за периода'!$B$155:$B$175,$B219,'11.2. ДА за периода'!AF$155:AF$175)</f>
        <v>0</v>
      </c>
      <c r="AG219" s="4387">
        <f>+'11.3. ДА Базова година'!V180</f>
        <v>0</v>
      </c>
      <c r="AH219" s="2617">
        <f>$AG219-SUMIF('11.2. ДА за периода'!$B$155:$B$175,$B219,'11.2. ДА за периода'!$AG$155:$AG$175)+SUMIF('11.2. ДА за периода'!$B$155:$B$175,$B219,'11.2. ДА за периода'!AH$155:AH$175)</f>
        <v>0</v>
      </c>
      <c r="AI219" s="1110">
        <f>$AG219-SUMIF('11.2. ДА за периода'!$B$155:$B$175,$B219,'11.2. ДА за периода'!$AG$155:$AG$175)+SUMIF('11.2. ДА за периода'!$B$155:$B$175,$B219,'11.2. ДА за периода'!AI$155:AI$175)</f>
        <v>0</v>
      </c>
      <c r="AJ219" s="1110">
        <f>$AG219-SUMIF('11.2. ДА за периода'!$B$155:$B$175,$B219,'11.2. ДА за периода'!$AG$155:$AG$175)+SUMIF('11.2. ДА за периода'!$B$155:$B$175,$B219,'11.2. ДА за периода'!AJ$155:AJ$175)</f>
        <v>0</v>
      </c>
      <c r="AK219" s="1110">
        <f>$AG219-SUMIF('11.2. ДА за периода'!$B$155:$B$175,$B219,'11.2. ДА за периода'!$AG$155:$AG$175)+SUMIF('11.2. ДА за периода'!$B$155:$B$175,$B219,'11.2. ДА за периода'!AK$155:AK$175)</f>
        <v>0</v>
      </c>
      <c r="AL219" s="1110">
        <f>$AG219-SUMIF('11.2. ДА за периода'!$B$155:$B$175,$B219,'11.2. ДА за периода'!$AG$155:$AG$175)+SUMIF('11.2. ДА за периода'!$B$155:$B$175,$B219,'11.2. ДА за периода'!AL$155:AL$175)</f>
        <v>0</v>
      </c>
      <c r="AM219" s="2618">
        <f>$AG219-SUMIF('11.2. ДА за периода'!$B$155:$B$175,$B219,'11.2. ДА за периода'!$AG$155:$AG$175)+SUMIF('11.2. ДА за периода'!$B$155:$B$175,$B219,'11.2. ДА за периода'!AM$155:AM$175)</f>
        <v>0</v>
      </c>
      <c r="AN219" s="2524"/>
      <c r="AO219" s="2551"/>
      <c r="AP219" s="4422"/>
      <c r="AQ219" s="4438">
        <f t="shared" si="271"/>
        <v>1.5338756435886556</v>
      </c>
      <c r="AR219" s="4438">
        <f t="shared" si="272"/>
        <v>0.3579043168373528</v>
      </c>
      <c r="AS219" s="4438">
        <f t="shared" si="273"/>
        <v>0.3579043168373528</v>
      </c>
      <c r="AT219" s="4438">
        <f t="shared" si="274"/>
        <v>-1.5338756435886556</v>
      </c>
      <c r="AU219" s="4438">
        <f t="shared" si="275"/>
        <v>-4.0392058614501263</v>
      </c>
      <c r="AV219" s="4438">
        <f t="shared" si="276"/>
        <v>-5.3685647525602942</v>
      </c>
      <c r="AW219" s="4438">
        <f t="shared" si="277"/>
        <v>-5.3685647525602942</v>
      </c>
      <c r="AX219" s="4438">
        <f t="shared" si="278"/>
        <v>0.51129188119621849</v>
      </c>
      <c r="AY219" s="4438">
        <f t="shared" si="279"/>
        <v>0.51129188119621849</v>
      </c>
      <c r="AZ219" s="4438">
        <f t="shared" si="280"/>
        <v>0.51129188119621849</v>
      </c>
      <c r="BA219" s="4438">
        <f t="shared" si="281"/>
        <v>0.51129188119621849</v>
      </c>
      <c r="BB219" s="4438">
        <f t="shared" si="282"/>
        <v>0.51129188119621849</v>
      </c>
      <c r="BC219" s="4438">
        <f t="shared" si="283"/>
        <v>0.51129188119621849</v>
      </c>
      <c r="BD219" s="4438">
        <f t="shared" si="284"/>
        <v>0.51129188119621849</v>
      </c>
      <c r="BE219" s="4438">
        <f t="shared" si="285"/>
        <v>0</v>
      </c>
      <c r="BF219" s="4438">
        <f t="shared" si="286"/>
        <v>0</v>
      </c>
      <c r="BG219" s="4438">
        <f t="shared" si="287"/>
        <v>0</v>
      </c>
      <c r="BH219" s="4438">
        <f t="shared" si="288"/>
        <v>0</v>
      </c>
      <c r="BI219" s="4438">
        <f t="shared" si="289"/>
        <v>0</v>
      </c>
      <c r="BJ219" s="4438">
        <f t="shared" si="290"/>
        <v>0</v>
      </c>
      <c r="BK219" s="4438">
        <f t="shared" si="291"/>
        <v>0</v>
      </c>
      <c r="BL219" s="4438">
        <f t="shared" si="292"/>
        <v>0</v>
      </c>
      <c r="BM219" s="4438">
        <f t="shared" si="293"/>
        <v>0</v>
      </c>
      <c r="BN219" s="4438">
        <f t="shared" si="294"/>
        <v>0</v>
      </c>
      <c r="BO219" s="4438">
        <f t="shared" si="295"/>
        <v>0</v>
      </c>
      <c r="BP219" s="4438">
        <f t="shared" si="296"/>
        <v>0</v>
      </c>
      <c r="BQ219" s="4438">
        <f t="shared" si="297"/>
        <v>0</v>
      </c>
      <c r="BR219" s="4438">
        <f t="shared" si="298"/>
        <v>0</v>
      </c>
      <c r="BS219" s="4438">
        <f t="shared" si="299"/>
        <v>0</v>
      </c>
      <c r="BT219" s="4438">
        <f t="shared" si="300"/>
        <v>0</v>
      </c>
      <c r="BU219" s="4438">
        <f t="shared" si="301"/>
        <v>0</v>
      </c>
      <c r="BV219" s="4438">
        <f t="shared" si="302"/>
        <v>0</v>
      </c>
      <c r="BW219" s="4438">
        <f t="shared" si="303"/>
        <v>0</v>
      </c>
      <c r="BX219" s="4438">
        <f t="shared" si="304"/>
        <v>0</v>
      </c>
      <c r="BY219" s="4438">
        <f t="shared" si="305"/>
        <v>0</v>
      </c>
    </row>
    <row r="220" spans="1:77" s="1292" customFormat="1">
      <c r="A220" s="2515">
        <v>6</v>
      </c>
      <c r="B220" s="2516" t="s">
        <v>715</v>
      </c>
      <c r="C220" s="2517">
        <v>0.1</v>
      </c>
      <c r="D220" s="2552" t="s">
        <v>1001</v>
      </c>
      <c r="E220" s="4387">
        <f>+'11.3. ДА Базова година'!F181</f>
        <v>2</v>
      </c>
      <c r="F220" s="2617">
        <f>$E220-SUMIF('11.2. ДА за периода'!$B$155:$B$175,$B220,'11.2. ДА за периода'!$E$155:$E$175)+SUMIF('11.2. ДА за периода'!$B$155:$B$175,$B220,'11.2. ДА за периода'!F$155:F$175)</f>
        <v>1.2999999999999998</v>
      </c>
      <c r="G220" s="1110">
        <f>$E220-SUMIF('11.2. ДА за периода'!$B$155:$B$175,$B220,'11.2. ДА за периода'!$E$155:$E$175)+SUMIF('11.2. ДА за периода'!$B$155:$B$175,$B220,'11.2. ДА за периода'!G$155:G$175)</f>
        <v>1.2999999999999998</v>
      </c>
      <c r="H220" s="1110">
        <f>$E220-SUMIF('11.2. ДА за периода'!$B$155:$B$175,$B220,'11.2. ДА за периода'!$E$155:$E$175)+SUMIF('11.2. ДА за периода'!$B$155:$B$175,$B220,'11.2. ДА за периода'!H$155:H$175)</f>
        <v>1.2999999999999998</v>
      </c>
      <c r="I220" s="1110">
        <f>$E220-SUMIF('11.2. ДА за периода'!$B$155:$B$175,$B220,'11.2. ДА за периода'!$E$155:$E$175)+SUMIF('11.2. ДА за периода'!$B$155:$B$175,$B220,'11.2. ДА за периода'!I$155:I$175)</f>
        <v>9.9999999999999645E-2</v>
      </c>
      <c r="J220" s="1110">
        <f>$E220-SUMIF('11.2. ДА за периода'!$B$155:$B$175,$B220,'11.2. ДА за периода'!$E$155:$E$175)+SUMIF('11.2. ДА за периода'!$B$155:$B$175,$B220,'11.2. ДА за периода'!J$155:J$175)</f>
        <v>-0.10000000000000053</v>
      </c>
      <c r="K220" s="2618">
        <f>$E220-SUMIF('11.2. ДА за периода'!$B$155:$B$175,$B220,'11.2. ДА за периода'!$E$155:$E$175)+SUMIF('11.2. ДА за периода'!$B$155:$B$175,$B220,'11.2. ДА за периода'!K$155:K$175)</f>
        <v>-0.10000000000000053</v>
      </c>
      <c r="L220" s="4387">
        <f>+'11.3. ДА Базова година'!J181</f>
        <v>0</v>
      </c>
      <c r="M220" s="2617">
        <f>$L220-SUMIF('11.2. ДА за периода'!$B$155:$B$175,$B220,'11.2. ДА за периода'!$L$155:$L$175)+SUMIF('11.2. ДА за периода'!$B$155:$B$175,$B220,'11.2. ДА за периода'!M$155:M$175)</f>
        <v>0</v>
      </c>
      <c r="N220" s="1110">
        <f>$L220-SUMIF('11.2. ДА за периода'!$B$155:$B$175,$B220,'11.2. ДА за периода'!$L$155:$L$175)+SUMIF('11.2. ДА за периода'!$B$155:$B$175,$B220,'11.2. ДА за периода'!N$155:N$175)</f>
        <v>0</v>
      </c>
      <c r="O220" s="1110">
        <f>$L220-SUMIF('11.2. ДА за периода'!$B$155:$B$175,$B220,'11.2. ДА за периода'!$L$155:$L$175)+SUMIF('11.2. ДА за периода'!$B$155:$B$175,$B220,'11.2. ДА за периода'!O$155:O$175)</f>
        <v>0</v>
      </c>
      <c r="P220" s="1110">
        <f>$L220-SUMIF('11.2. ДА за периода'!$B$155:$B$175,$B220,'11.2. ДА за периода'!$L$155:$L$175)+SUMIF('11.2. ДА за периода'!$B$155:$B$175,$B220,'11.2. ДА за периода'!P$155:P$175)</f>
        <v>0</v>
      </c>
      <c r="Q220" s="1110">
        <f>$L220-SUMIF('11.2. ДА за периода'!$B$155:$B$175,$B220,'11.2. ДА за периода'!$L$155:$L$175)+SUMIF('11.2. ДА за периода'!$B$155:$B$175,$B220,'11.2. ДА за периода'!Q$155:Q$175)</f>
        <v>0</v>
      </c>
      <c r="R220" s="2618">
        <f>$L220-SUMIF('11.2. ДА за периода'!$B$155:$B$175,$B220,'11.2. ДА за периода'!$L$155:$L$175)+SUMIF('11.2. ДА за периода'!$B$155:$B$175,$B220,'11.2. ДА за периода'!R$155:R$175)</f>
        <v>0</v>
      </c>
      <c r="S220" s="4387">
        <f>+'11.3. ДА Базова година'!N181</f>
        <v>0</v>
      </c>
      <c r="T220" s="2617">
        <f>$S220-SUMIF('11.2. ДА за периода'!$B$155:$B$175,$B220,'11.2. ДА за периода'!$S$155:$S$175)+SUMIF('11.2. ДА за периода'!$B$155:$B$175,$B220,'11.2. ДА за периода'!T$155:T$175)</f>
        <v>0</v>
      </c>
      <c r="U220" s="1110">
        <f>$S220-SUMIF('11.2. ДА за периода'!$B$155:$B$175,$B220,'11.2. ДА за периода'!$S$155:$S$175)+SUMIF('11.2. ДА за периода'!$B$155:$B$175,$B220,'11.2. ДА за периода'!U$155:U$175)</f>
        <v>0</v>
      </c>
      <c r="V220" s="1110">
        <f>$S220-SUMIF('11.2. ДА за периода'!$B$155:$B$175,$B220,'11.2. ДА за периода'!$S$155:$S$175)+SUMIF('11.2. ДА за периода'!$B$155:$B$175,$B220,'11.2. ДА за периода'!V$155:V$175)</f>
        <v>0</v>
      </c>
      <c r="W220" s="1110">
        <f>$S220-SUMIF('11.2. ДА за периода'!$B$155:$B$175,$B220,'11.2. ДА за периода'!$S$155:$S$175)+SUMIF('11.2. ДА за периода'!$B$155:$B$175,$B220,'11.2. ДА за периода'!W$155:W$175)</f>
        <v>0</v>
      </c>
      <c r="X220" s="1110">
        <f>$S220-SUMIF('11.2. ДА за периода'!$B$155:$B$175,$B220,'11.2. ДА за периода'!$S$155:$S$175)+SUMIF('11.2. ДА за периода'!$B$155:$B$175,$B220,'11.2. ДА за периода'!X$155:X$175)</f>
        <v>0</v>
      </c>
      <c r="Y220" s="2618">
        <f>$S220-SUMIF('11.2. ДА за периода'!$B$155:$B$175,$B220,'11.2. ДА за периода'!$S$155:$S$175)+SUMIF('11.2. ДА за периода'!$B$155:$B$175,$B220,'11.2. ДА за периода'!Y$155:Y$175)</f>
        <v>0</v>
      </c>
      <c r="Z220" s="4387">
        <f>+'11.3. ДА Базова година'!R181</f>
        <v>0</v>
      </c>
      <c r="AA220" s="2617">
        <f>$Z220-SUMIF('11.2. ДА за периода'!$B$155:$B$175,$B220,'11.2. ДА за периода'!$Z$155:$Z$175)+SUMIF('11.2. ДА за периода'!$B$155:$B$175,$B220,'11.2. ДА за периода'!AA$155:AA$175)</f>
        <v>0</v>
      </c>
      <c r="AB220" s="1110">
        <f>$Z220-SUMIF('11.2. ДА за периода'!$B$155:$B$175,$B220,'11.2. ДА за периода'!$Z$155:$Z$175)+SUMIF('11.2. ДА за периода'!$B$155:$B$175,$B220,'11.2. ДА за периода'!AB$155:AB$175)</f>
        <v>0</v>
      </c>
      <c r="AC220" s="1110">
        <f>$Z220-SUMIF('11.2. ДА за периода'!$B$155:$B$175,$B220,'11.2. ДА за периода'!$Z$155:$Z$175)+SUMIF('11.2. ДА за периода'!$B$155:$B$175,$B220,'11.2. ДА за периода'!AC$155:AC$175)</f>
        <v>0</v>
      </c>
      <c r="AD220" s="1110">
        <f>$Z220-SUMIF('11.2. ДА за периода'!$B$155:$B$175,$B220,'11.2. ДА за периода'!$Z$155:$Z$175)+SUMIF('11.2. ДА за периода'!$B$155:$B$175,$B220,'11.2. ДА за периода'!AD$155:AD$175)</f>
        <v>0</v>
      </c>
      <c r="AE220" s="1110">
        <f>$Z220-SUMIF('11.2. ДА за периода'!$B$155:$B$175,$B220,'11.2. ДА за периода'!$Z$155:$Z$175)+SUMIF('11.2. ДА за периода'!$B$155:$B$175,$B220,'11.2. ДА за периода'!AE$155:AE$175)</f>
        <v>0</v>
      </c>
      <c r="AF220" s="2618">
        <f>$Z220-SUMIF('11.2. ДА за периода'!$B$155:$B$175,$B220,'11.2. ДА за периода'!$Z$155:$Z$175)+SUMIF('11.2. ДА за периода'!$B$155:$B$175,$B220,'11.2. ДА за периода'!AF$155:AF$175)</f>
        <v>0</v>
      </c>
      <c r="AG220" s="4387">
        <f>+'11.3. ДА Базова година'!V181</f>
        <v>0</v>
      </c>
      <c r="AH220" s="2617">
        <f>$AG220-SUMIF('11.2. ДА за периода'!$B$155:$B$175,$B220,'11.2. ДА за периода'!$AG$155:$AG$175)+SUMIF('11.2. ДА за периода'!$B$155:$B$175,$B220,'11.2. ДА за периода'!AH$155:AH$175)</f>
        <v>0</v>
      </c>
      <c r="AI220" s="1110">
        <f>$AG220-SUMIF('11.2. ДА за периода'!$B$155:$B$175,$B220,'11.2. ДА за периода'!$AG$155:$AG$175)+SUMIF('11.2. ДА за периода'!$B$155:$B$175,$B220,'11.2. ДА за периода'!AI$155:AI$175)</f>
        <v>0</v>
      </c>
      <c r="AJ220" s="1110">
        <f>$AG220-SUMIF('11.2. ДА за периода'!$B$155:$B$175,$B220,'11.2. ДА за периода'!$AG$155:$AG$175)+SUMIF('11.2. ДА за периода'!$B$155:$B$175,$B220,'11.2. ДА за периода'!AJ$155:AJ$175)</f>
        <v>0</v>
      </c>
      <c r="AK220" s="1110">
        <f>$AG220-SUMIF('11.2. ДА за периода'!$B$155:$B$175,$B220,'11.2. ДА за периода'!$AG$155:$AG$175)+SUMIF('11.2. ДА за периода'!$B$155:$B$175,$B220,'11.2. ДА за периода'!AK$155:AK$175)</f>
        <v>0</v>
      </c>
      <c r="AL220" s="1110">
        <f>$AG220-SUMIF('11.2. ДА за периода'!$B$155:$B$175,$B220,'11.2. ДА за периода'!$AG$155:$AG$175)+SUMIF('11.2. ДА за периода'!$B$155:$B$175,$B220,'11.2. ДА за периода'!AL$155:AL$175)</f>
        <v>0</v>
      </c>
      <c r="AM220" s="2618">
        <f>$AG220-SUMIF('11.2. ДА за периода'!$B$155:$B$175,$B220,'11.2. ДА за периода'!$AG$155:$AG$175)+SUMIF('11.2. ДА за периода'!$B$155:$B$175,$B220,'11.2. ДА за периода'!AM$155:AM$175)</f>
        <v>0</v>
      </c>
      <c r="AN220" s="2524"/>
      <c r="AO220" s="2551"/>
      <c r="AP220" s="4422"/>
      <c r="AQ220" s="4438">
        <f t="shared" si="271"/>
        <v>1.022583762392437</v>
      </c>
      <c r="AR220" s="4438">
        <f t="shared" si="272"/>
        <v>0.66467944555508396</v>
      </c>
      <c r="AS220" s="4438">
        <f t="shared" si="273"/>
        <v>0.66467944555508396</v>
      </c>
      <c r="AT220" s="4438">
        <f t="shared" si="274"/>
        <v>0.66467944555508396</v>
      </c>
      <c r="AU220" s="4438">
        <f t="shared" si="275"/>
        <v>5.1129188119621666E-2</v>
      </c>
      <c r="AV220" s="4438">
        <f t="shared" si="276"/>
        <v>-5.1129188119622124E-2</v>
      </c>
      <c r="AW220" s="4438">
        <f t="shared" si="277"/>
        <v>-5.1129188119622124E-2</v>
      </c>
      <c r="AX220" s="4438">
        <f t="shared" si="278"/>
        <v>0</v>
      </c>
      <c r="AY220" s="4438">
        <f t="shared" si="279"/>
        <v>0</v>
      </c>
      <c r="AZ220" s="4438">
        <f t="shared" si="280"/>
        <v>0</v>
      </c>
      <c r="BA220" s="4438">
        <f t="shared" si="281"/>
        <v>0</v>
      </c>
      <c r="BB220" s="4438">
        <f t="shared" si="282"/>
        <v>0</v>
      </c>
      <c r="BC220" s="4438">
        <f t="shared" si="283"/>
        <v>0</v>
      </c>
      <c r="BD220" s="4438">
        <f t="shared" si="284"/>
        <v>0</v>
      </c>
      <c r="BE220" s="4438">
        <f t="shared" si="285"/>
        <v>0</v>
      </c>
      <c r="BF220" s="4438">
        <f t="shared" si="286"/>
        <v>0</v>
      </c>
      <c r="BG220" s="4438">
        <f t="shared" si="287"/>
        <v>0</v>
      </c>
      <c r="BH220" s="4438">
        <f t="shared" si="288"/>
        <v>0</v>
      </c>
      <c r="BI220" s="4438">
        <f t="shared" si="289"/>
        <v>0</v>
      </c>
      <c r="BJ220" s="4438">
        <f t="shared" si="290"/>
        <v>0</v>
      </c>
      <c r="BK220" s="4438">
        <f t="shared" si="291"/>
        <v>0</v>
      </c>
      <c r="BL220" s="4438">
        <f t="shared" si="292"/>
        <v>0</v>
      </c>
      <c r="BM220" s="4438">
        <f t="shared" si="293"/>
        <v>0</v>
      </c>
      <c r="BN220" s="4438">
        <f t="shared" si="294"/>
        <v>0</v>
      </c>
      <c r="BO220" s="4438">
        <f t="shared" si="295"/>
        <v>0</v>
      </c>
      <c r="BP220" s="4438">
        <f t="shared" si="296"/>
        <v>0</v>
      </c>
      <c r="BQ220" s="4438">
        <f t="shared" si="297"/>
        <v>0</v>
      </c>
      <c r="BR220" s="4438">
        <f t="shared" si="298"/>
        <v>0</v>
      </c>
      <c r="BS220" s="4438">
        <f t="shared" si="299"/>
        <v>0</v>
      </c>
      <c r="BT220" s="4438">
        <f t="shared" si="300"/>
        <v>0</v>
      </c>
      <c r="BU220" s="4438">
        <f t="shared" si="301"/>
        <v>0</v>
      </c>
      <c r="BV220" s="4438">
        <f t="shared" si="302"/>
        <v>0</v>
      </c>
      <c r="BW220" s="4438">
        <f t="shared" si="303"/>
        <v>0</v>
      </c>
      <c r="BX220" s="4438">
        <f t="shared" si="304"/>
        <v>0</v>
      </c>
      <c r="BY220" s="4438">
        <f t="shared" si="305"/>
        <v>0</v>
      </c>
    </row>
    <row r="221" spans="1:77" s="1292" customFormat="1" ht="24">
      <c r="A221" s="2515">
        <v>7</v>
      </c>
      <c r="B221" s="2516" t="s">
        <v>706</v>
      </c>
      <c r="C221" s="2517">
        <v>0.1</v>
      </c>
      <c r="D221" s="2552" t="s">
        <v>695</v>
      </c>
      <c r="E221" s="4387">
        <f>+'11.3. ДА Базова година'!F182</f>
        <v>1</v>
      </c>
      <c r="F221" s="2617">
        <f>$E221-SUMIF('11.2. ДА за периода'!$B$155:$B$175,$B221,'11.2. ДА за периода'!$E$155:$E$175)+SUMIF('11.2. ДА за периода'!$B$155:$B$175,$B221,'11.2. ДА за периода'!F$155:F$175)</f>
        <v>1</v>
      </c>
      <c r="G221" s="1110">
        <f>$E221-SUMIF('11.2. ДА за периода'!$B$155:$B$175,$B221,'11.2. ДА за периода'!$E$155:$E$175)+SUMIF('11.2. ДА за периода'!$B$155:$B$175,$B221,'11.2. ДА за периода'!G$155:G$175)</f>
        <v>1</v>
      </c>
      <c r="H221" s="1110">
        <f>$E221-SUMIF('11.2. ДА за периода'!$B$155:$B$175,$B221,'11.2. ДА за периода'!$E$155:$E$175)+SUMIF('11.2. ДА за периода'!$B$155:$B$175,$B221,'11.2. ДА за периода'!H$155:H$175)</f>
        <v>1</v>
      </c>
      <c r="I221" s="1110">
        <f>$E221-SUMIF('11.2. ДА за периода'!$B$155:$B$175,$B221,'11.2. ДА за периода'!$E$155:$E$175)+SUMIF('11.2. ДА за периода'!$B$155:$B$175,$B221,'11.2. ДА за периода'!I$155:I$175)</f>
        <v>0.6</v>
      </c>
      <c r="J221" s="1110">
        <f>$E221-SUMIF('11.2. ДА за периода'!$B$155:$B$175,$B221,'11.2. ДА за периода'!$E$155:$E$175)+SUMIF('11.2. ДА за периода'!$B$155:$B$175,$B221,'11.2. ДА за периода'!J$155:J$175)</f>
        <v>0.6</v>
      </c>
      <c r="K221" s="2618">
        <f>$E221-SUMIF('11.2. ДА за периода'!$B$155:$B$175,$B221,'11.2. ДА за периода'!$E$155:$E$175)+SUMIF('11.2. ДА за периода'!$B$155:$B$175,$B221,'11.2. ДА за периода'!K$155:K$175)</f>
        <v>0.6</v>
      </c>
      <c r="L221" s="4387">
        <f>+'11.3. ДА Базова година'!J182</f>
        <v>0</v>
      </c>
      <c r="M221" s="2617">
        <f>$L221-SUMIF('11.2. ДА за периода'!$B$155:$B$175,$B221,'11.2. ДА за периода'!$L$155:$L$175)+SUMIF('11.2. ДА за периода'!$B$155:$B$175,$B221,'11.2. ДА за периода'!M$155:M$175)</f>
        <v>0</v>
      </c>
      <c r="N221" s="1110">
        <f>$L221-SUMIF('11.2. ДА за периода'!$B$155:$B$175,$B221,'11.2. ДА за периода'!$L$155:$L$175)+SUMIF('11.2. ДА за периода'!$B$155:$B$175,$B221,'11.2. ДА за периода'!N$155:N$175)</f>
        <v>0</v>
      </c>
      <c r="O221" s="1110">
        <f>$L221-SUMIF('11.2. ДА за периода'!$B$155:$B$175,$B221,'11.2. ДА за периода'!$L$155:$L$175)+SUMIF('11.2. ДА за периода'!$B$155:$B$175,$B221,'11.2. ДА за периода'!O$155:O$175)</f>
        <v>0</v>
      </c>
      <c r="P221" s="1110">
        <f>$L221-SUMIF('11.2. ДА за периода'!$B$155:$B$175,$B221,'11.2. ДА за периода'!$L$155:$L$175)+SUMIF('11.2. ДА за периода'!$B$155:$B$175,$B221,'11.2. ДА за периода'!P$155:P$175)</f>
        <v>0</v>
      </c>
      <c r="Q221" s="1110">
        <f>$L221-SUMIF('11.2. ДА за периода'!$B$155:$B$175,$B221,'11.2. ДА за периода'!$L$155:$L$175)+SUMIF('11.2. ДА за периода'!$B$155:$B$175,$B221,'11.2. ДА за периода'!Q$155:Q$175)</f>
        <v>0</v>
      </c>
      <c r="R221" s="2618">
        <f>$L221-SUMIF('11.2. ДА за периода'!$B$155:$B$175,$B221,'11.2. ДА за периода'!$L$155:$L$175)+SUMIF('11.2. ДА за периода'!$B$155:$B$175,$B221,'11.2. ДА за периода'!R$155:R$175)</f>
        <v>0</v>
      </c>
      <c r="S221" s="4387">
        <f>+'11.3. ДА Базова година'!N182</f>
        <v>0</v>
      </c>
      <c r="T221" s="2617">
        <f>$S221-SUMIF('11.2. ДА за периода'!$B$155:$B$175,$B221,'11.2. ДА за периода'!$S$155:$S$175)+SUMIF('11.2. ДА за периода'!$B$155:$B$175,$B221,'11.2. ДА за периода'!T$155:T$175)</f>
        <v>0</v>
      </c>
      <c r="U221" s="1110">
        <f>$S221-SUMIF('11.2. ДА за периода'!$B$155:$B$175,$B221,'11.2. ДА за периода'!$S$155:$S$175)+SUMIF('11.2. ДА за периода'!$B$155:$B$175,$B221,'11.2. ДА за периода'!U$155:U$175)</f>
        <v>0</v>
      </c>
      <c r="V221" s="1110">
        <f>$S221-SUMIF('11.2. ДА за периода'!$B$155:$B$175,$B221,'11.2. ДА за периода'!$S$155:$S$175)+SUMIF('11.2. ДА за периода'!$B$155:$B$175,$B221,'11.2. ДА за периода'!V$155:V$175)</f>
        <v>0</v>
      </c>
      <c r="W221" s="1110">
        <f>$S221-SUMIF('11.2. ДА за периода'!$B$155:$B$175,$B221,'11.2. ДА за периода'!$S$155:$S$175)+SUMIF('11.2. ДА за периода'!$B$155:$B$175,$B221,'11.2. ДА за периода'!W$155:W$175)</f>
        <v>0</v>
      </c>
      <c r="X221" s="1110">
        <f>$S221-SUMIF('11.2. ДА за периода'!$B$155:$B$175,$B221,'11.2. ДА за периода'!$S$155:$S$175)+SUMIF('11.2. ДА за периода'!$B$155:$B$175,$B221,'11.2. ДА за периода'!X$155:X$175)</f>
        <v>0</v>
      </c>
      <c r="Y221" s="2618">
        <f>$S221-SUMIF('11.2. ДА за периода'!$B$155:$B$175,$B221,'11.2. ДА за периода'!$S$155:$S$175)+SUMIF('11.2. ДА за периода'!$B$155:$B$175,$B221,'11.2. ДА за периода'!Y$155:Y$175)</f>
        <v>0</v>
      </c>
      <c r="Z221" s="4387">
        <f>+'11.3. ДА Базова година'!R182</f>
        <v>0</v>
      </c>
      <c r="AA221" s="2617">
        <f>$Z221-SUMIF('11.2. ДА за периода'!$B$155:$B$175,$B221,'11.2. ДА за периода'!$Z$155:$Z$175)+SUMIF('11.2. ДА за периода'!$B$155:$B$175,$B221,'11.2. ДА за периода'!AA$155:AA$175)</f>
        <v>0</v>
      </c>
      <c r="AB221" s="1110">
        <f>$Z221-SUMIF('11.2. ДА за периода'!$B$155:$B$175,$B221,'11.2. ДА за периода'!$Z$155:$Z$175)+SUMIF('11.2. ДА за периода'!$B$155:$B$175,$B221,'11.2. ДА за периода'!AB$155:AB$175)</f>
        <v>0</v>
      </c>
      <c r="AC221" s="1110">
        <f>$Z221-SUMIF('11.2. ДА за периода'!$B$155:$B$175,$B221,'11.2. ДА за периода'!$Z$155:$Z$175)+SUMIF('11.2. ДА за периода'!$B$155:$B$175,$B221,'11.2. ДА за периода'!AC$155:AC$175)</f>
        <v>0</v>
      </c>
      <c r="AD221" s="1110">
        <f>$Z221-SUMIF('11.2. ДА за периода'!$B$155:$B$175,$B221,'11.2. ДА за периода'!$Z$155:$Z$175)+SUMIF('11.2. ДА за периода'!$B$155:$B$175,$B221,'11.2. ДА за периода'!AD$155:AD$175)</f>
        <v>0</v>
      </c>
      <c r="AE221" s="1110">
        <f>$Z221-SUMIF('11.2. ДА за периода'!$B$155:$B$175,$B221,'11.2. ДА за периода'!$Z$155:$Z$175)+SUMIF('11.2. ДА за периода'!$B$155:$B$175,$B221,'11.2. ДА за периода'!AE$155:AE$175)</f>
        <v>0</v>
      </c>
      <c r="AF221" s="2618">
        <f>$Z221-SUMIF('11.2. ДА за периода'!$B$155:$B$175,$B221,'11.2. ДА за периода'!$Z$155:$Z$175)+SUMIF('11.2. ДА за периода'!$B$155:$B$175,$B221,'11.2. ДА за периода'!AF$155:AF$175)</f>
        <v>0</v>
      </c>
      <c r="AG221" s="4387">
        <f>+'11.3. ДА Базова година'!V182</f>
        <v>0</v>
      </c>
      <c r="AH221" s="2617">
        <f>$AG221-SUMIF('11.2. ДА за периода'!$B$155:$B$175,$B221,'11.2. ДА за периода'!$AG$155:$AG$175)+SUMIF('11.2. ДА за периода'!$B$155:$B$175,$B221,'11.2. ДА за периода'!AH$155:AH$175)</f>
        <v>0</v>
      </c>
      <c r="AI221" s="1110">
        <f>$AG221-SUMIF('11.2. ДА за периода'!$B$155:$B$175,$B221,'11.2. ДА за периода'!$AG$155:$AG$175)+SUMIF('11.2. ДА за периода'!$B$155:$B$175,$B221,'11.2. ДА за периода'!AI$155:AI$175)</f>
        <v>0</v>
      </c>
      <c r="AJ221" s="1110">
        <f>$AG221-SUMIF('11.2. ДА за периода'!$B$155:$B$175,$B221,'11.2. ДА за периода'!$AG$155:$AG$175)+SUMIF('11.2. ДА за периода'!$B$155:$B$175,$B221,'11.2. ДА за периода'!AJ$155:AJ$175)</f>
        <v>0</v>
      </c>
      <c r="AK221" s="1110">
        <f>$AG221-SUMIF('11.2. ДА за периода'!$B$155:$B$175,$B221,'11.2. ДА за периода'!$AG$155:$AG$175)+SUMIF('11.2. ДА за периода'!$B$155:$B$175,$B221,'11.2. ДА за периода'!AK$155:AK$175)</f>
        <v>0</v>
      </c>
      <c r="AL221" s="1110">
        <f>$AG221-SUMIF('11.2. ДА за периода'!$B$155:$B$175,$B221,'11.2. ДА за периода'!$AG$155:$AG$175)+SUMIF('11.2. ДА за периода'!$B$155:$B$175,$B221,'11.2. ДА за периода'!AL$155:AL$175)</f>
        <v>0</v>
      </c>
      <c r="AM221" s="2618">
        <f>$AG221-SUMIF('11.2. ДА за периода'!$B$155:$B$175,$B221,'11.2. ДА за периода'!$AG$155:$AG$175)+SUMIF('11.2. ДА за периода'!$B$155:$B$175,$B221,'11.2. ДА за периода'!AM$155:AM$175)</f>
        <v>0</v>
      </c>
      <c r="AN221" s="2524"/>
      <c r="AO221" s="2551"/>
      <c r="AP221" s="4422"/>
      <c r="AQ221" s="4438">
        <f t="shared" si="271"/>
        <v>0.51129188119621849</v>
      </c>
      <c r="AR221" s="4438">
        <f t="shared" si="272"/>
        <v>0.51129188119621849</v>
      </c>
      <c r="AS221" s="4438">
        <f t="shared" si="273"/>
        <v>0.51129188119621849</v>
      </c>
      <c r="AT221" s="4438">
        <f t="shared" si="274"/>
        <v>0.51129188119621849</v>
      </c>
      <c r="AU221" s="4438">
        <f t="shared" si="275"/>
        <v>0.3067751287177311</v>
      </c>
      <c r="AV221" s="4438">
        <f t="shared" si="276"/>
        <v>0.3067751287177311</v>
      </c>
      <c r="AW221" s="4438">
        <f t="shared" si="277"/>
        <v>0.3067751287177311</v>
      </c>
      <c r="AX221" s="4438">
        <f t="shared" si="278"/>
        <v>0</v>
      </c>
      <c r="AY221" s="4438">
        <f t="shared" si="279"/>
        <v>0</v>
      </c>
      <c r="AZ221" s="4438">
        <f t="shared" si="280"/>
        <v>0</v>
      </c>
      <c r="BA221" s="4438">
        <f t="shared" si="281"/>
        <v>0</v>
      </c>
      <c r="BB221" s="4438">
        <f t="shared" si="282"/>
        <v>0</v>
      </c>
      <c r="BC221" s="4438">
        <f t="shared" si="283"/>
        <v>0</v>
      </c>
      <c r="BD221" s="4438">
        <f t="shared" si="284"/>
        <v>0</v>
      </c>
      <c r="BE221" s="4438">
        <f t="shared" si="285"/>
        <v>0</v>
      </c>
      <c r="BF221" s="4438">
        <f t="shared" si="286"/>
        <v>0</v>
      </c>
      <c r="BG221" s="4438">
        <f t="shared" si="287"/>
        <v>0</v>
      </c>
      <c r="BH221" s="4438">
        <f t="shared" si="288"/>
        <v>0</v>
      </c>
      <c r="BI221" s="4438">
        <f t="shared" si="289"/>
        <v>0</v>
      </c>
      <c r="BJ221" s="4438">
        <f t="shared" si="290"/>
        <v>0</v>
      </c>
      <c r="BK221" s="4438">
        <f t="shared" si="291"/>
        <v>0</v>
      </c>
      <c r="BL221" s="4438">
        <f t="shared" si="292"/>
        <v>0</v>
      </c>
      <c r="BM221" s="4438">
        <f t="shared" si="293"/>
        <v>0</v>
      </c>
      <c r="BN221" s="4438">
        <f t="shared" si="294"/>
        <v>0</v>
      </c>
      <c r="BO221" s="4438">
        <f t="shared" si="295"/>
        <v>0</v>
      </c>
      <c r="BP221" s="4438">
        <f t="shared" si="296"/>
        <v>0</v>
      </c>
      <c r="BQ221" s="4438">
        <f t="shared" si="297"/>
        <v>0</v>
      </c>
      <c r="BR221" s="4438">
        <f t="shared" si="298"/>
        <v>0</v>
      </c>
      <c r="BS221" s="4438">
        <f t="shared" si="299"/>
        <v>0</v>
      </c>
      <c r="BT221" s="4438">
        <f t="shared" si="300"/>
        <v>0</v>
      </c>
      <c r="BU221" s="4438">
        <f t="shared" si="301"/>
        <v>0</v>
      </c>
      <c r="BV221" s="4438">
        <f t="shared" si="302"/>
        <v>0</v>
      </c>
      <c r="BW221" s="4438">
        <f t="shared" si="303"/>
        <v>0</v>
      </c>
      <c r="BX221" s="4438">
        <f t="shared" si="304"/>
        <v>0</v>
      </c>
      <c r="BY221" s="4438">
        <f t="shared" si="305"/>
        <v>0</v>
      </c>
    </row>
    <row r="222" spans="1:77" s="1292" customFormat="1">
      <c r="A222" s="2515">
        <v>8</v>
      </c>
      <c r="B222" s="2516" t="s">
        <v>716</v>
      </c>
      <c r="C222" s="2517">
        <v>0.1</v>
      </c>
      <c r="D222" s="2552" t="s">
        <v>713</v>
      </c>
      <c r="E222" s="4387">
        <f>+'11.3. ДА Базова година'!F183</f>
        <v>629</v>
      </c>
      <c r="F222" s="2617">
        <f>$E222-SUMIF('11.2. ДА за периода'!$B$155:$B$175,$B222,'11.2. ДА за периода'!$E$155:$E$175)+SUMIF('11.2. ДА за периода'!$B$155:$B$175,$B222,'11.2. ДА за периода'!F$155:F$175)</f>
        <v>629</v>
      </c>
      <c r="G222" s="1110">
        <f>$E222-SUMIF('11.2. ДА за периода'!$B$155:$B$175,$B222,'11.2. ДА за периода'!$E$155:$E$175)+SUMIF('11.2. ДА за периода'!$B$155:$B$175,$B222,'11.2. ДА за периода'!G$155:G$175)</f>
        <v>629</v>
      </c>
      <c r="H222" s="1110">
        <f>$E222-SUMIF('11.2. ДА за периода'!$B$155:$B$175,$B222,'11.2. ДА за периода'!$E$155:$E$175)+SUMIF('11.2. ДА за периода'!$B$155:$B$175,$B222,'11.2. ДА за периода'!H$155:H$175)</f>
        <v>629</v>
      </c>
      <c r="I222" s="1110">
        <f>$E222-SUMIF('11.2. ДА за периода'!$B$155:$B$175,$B222,'11.2. ДА за периода'!$E$155:$E$175)+SUMIF('11.2. ДА за периода'!$B$155:$B$175,$B222,'11.2. ДА за периода'!I$155:I$175)</f>
        <v>629</v>
      </c>
      <c r="J222" s="1110">
        <f>$E222-SUMIF('11.2. ДА за периода'!$B$155:$B$175,$B222,'11.2. ДА за периода'!$E$155:$E$175)+SUMIF('11.2. ДА за периода'!$B$155:$B$175,$B222,'11.2. ДА за периода'!J$155:J$175)</f>
        <v>629</v>
      </c>
      <c r="K222" s="2618">
        <f>$E222-SUMIF('11.2. ДА за периода'!$B$155:$B$175,$B222,'11.2. ДА за периода'!$E$155:$E$175)+SUMIF('11.2. ДА за периода'!$B$155:$B$175,$B222,'11.2. ДА за периода'!K$155:K$175)</f>
        <v>629</v>
      </c>
      <c r="L222" s="4387">
        <f>+'11.3. ДА Базова година'!J183</f>
        <v>0</v>
      </c>
      <c r="M222" s="2617">
        <f>$L222-SUMIF('11.2. ДА за периода'!$B$155:$B$175,$B222,'11.2. ДА за периода'!$L$155:$L$175)+SUMIF('11.2. ДА за периода'!$B$155:$B$175,$B222,'11.2. ДА за периода'!M$155:M$175)</f>
        <v>0</v>
      </c>
      <c r="N222" s="1110">
        <f>$L222-SUMIF('11.2. ДА за периода'!$B$155:$B$175,$B222,'11.2. ДА за периода'!$L$155:$L$175)+SUMIF('11.2. ДА за периода'!$B$155:$B$175,$B222,'11.2. ДА за периода'!N$155:N$175)</f>
        <v>0</v>
      </c>
      <c r="O222" s="1110">
        <f>$L222-SUMIF('11.2. ДА за периода'!$B$155:$B$175,$B222,'11.2. ДА за периода'!$L$155:$L$175)+SUMIF('11.2. ДА за периода'!$B$155:$B$175,$B222,'11.2. ДА за периода'!O$155:O$175)</f>
        <v>0</v>
      </c>
      <c r="P222" s="1110">
        <f>$L222-SUMIF('11.2. ДА за периода'!$B$155:$B$175,$B222,'11.2. ДА за периода'!$L$155:$L$175)+SUMIF('11.2. ДА за периода'!$B$155:$B$175,$B222,'11.2. ДА за периода'!P$155:P$175)</f>
        <v>0</v>
      </c>
      <c r="Q222" s="1110">
        <f>$L222-SUMIF('11.2. ДА за периода'!$B$155:$B$175,$B222,'11.2. ДА за периода'!$L$155:$L$175)+SUMIF('11.2. ДА за периода'!$B$155:$B$175,$B222,'11.2. ДА за периода'!Q$155:Q$175)</f>
        <v>0</v>
      </c>
      <c r="R222" s="2618">
        <f>$L222-SUMIF('11.2. ДА за периода'!$B$155:$B$175,$B222,'11.2. ДА за периода'!$L$155:$L$175)+SUMIF('11.2. ДА за периода'!$B$155:$B$175,$B222,'11.2. ДА за периода'!R$155:R$175)</f>
        <v>0</v>
      </c>
      <c r="S222" s="4387">
        <f>+'11.3. ДА Базова година'!N183</f>
        <v>0</v>
      </c>
      <c r="T222" s="2617">
        <f>$S222-SUMIF('11.2. ДА за периода'!$B$155:$B$175,$B222,'11.2. ДА за периода'!$S$155:$S$175)+SUMIF('11.2. ДА за периода'!$B$155:$B$175,$B222,'11.2. ДА за периода'!T$155:T$175)</f>
        <v>0</v>
      </c>
      <c r="U222" s="1110">
        <f>$S222-SUMIF('11.2. ДА за периода'!$B$155:$B$175,$B222,'11.2. ДА за периода'!$S$155:$S$175)+SUMIF('11.2. ДА за периода'!$B$155:$B$175,$B222,'11.2. ДА за периода'!U$155:U$175)</f>
        <v>0</v>
      </c>
      <c r="V222" s="1110">
        <f>$S222-SUMIF('11.2. ДА за периода'!$B$155:$B$175,$B222,'11.2. ДА за периода'!$S$155:$S$175)+SUMIF('11.2. ДА за периода'!$B$155:$B$175,$B222,'11.2. ДА за периода'!V$155:V$175)</f>
        <v>0</v>
      </c>
      <c r="W222" s="1110">
        <f>$S222-SUMIF('11.2. ДА за периода'!$B$155:$B$175,$B222,'11.2. ДА за периода'!$S$155:$S$175)+SUMIF('11.2. ДА за периода'!$B$155:$B$175,$B222,'11.2. ДА за периода'!W$155:W$175)</f>
        <v>0</v>
      </c>
      <c r="X222" s="1110">
        <f>$S222-SUMIF('11.2. ДА за периода'!$B$155:$B$175,$B222,'11.2. ДА за периода'!$S$155:$S$175)+SUMIF('11.2. ДА за периода'!$B$155:$B$175,$B222,'11.2. ДА за периода'!X$155:X$175)</f>
        <v>0</v>
      </c>
      <c r="Y222" s="2618">
        <f>$S222-SUMIF('11.2. ДА за периода'!$B$155:$B$175,$B222,'11.2. ДА за периода'!$S$155:$S$175)+SUMIF('11.2. ДА за периода'!$B$155:$B$175,$B222,'11.2. ДА за периода'!Y$155:Y$175)</f>
        <v>0</v>
      </c>
      <c r="Z222" s="4387">
        <f>+'11.3. ДА Базова година'!R183</f>
        <v>0</v>
      </c>
      <c r="AA222" s="2617">
        <f>$Z222-SUMIF('11.2. ДА за периода'!$B$155:$B$175,$B222,'11.2. ДА за периода'!$Z$155:$Z$175)+SUMIF('11.2. ДА за периода'!$B$155:$B$175,$B222,'11.2. ДА за периода'!AA$155:AA$175)</f>
        <v>0</v>
      </c>
      <c r="AB222" s="1110">
        <f>$Z222-SUMIF('11.2. ДА за периода'!$B$155:$B$175,$B222,'11.2. ДА за периода'!$Z$155:$Z$175)+SUMIF('11.2. ДА за периода'!$B$155:$B$175,$B222,'11.2. ДА за периода'!AB$155:AB$175)</f>
        <v>0</v>
      </c>
      <c r="AC222" s="1110">
        <f>$Z222-SUMIF('11.2. ДА за периода'!$B$155:$B$175,$B222,'11.2. ДА за периода'!$Z$155:$Z$175)+SUMIF('11.2. ДА за периода'!$B$155:$B$175,$B222,'11.2. ДА за периода'!AC$155:AC$175)</f>
        <v>0</v>
      </c>
      <c r="AD222" s="1110">
        <f>$Z222-SUMIF('11.2. ДА за периода'!$B$155:$B$175,$B222,'11.2. ДА за периода'!$Z$155:$Z$175)+SUMIF('11.2. ДА за периода'!$B$155:$B$175,$B222,'11.2. ДА за периода'!AD$155:AD$175)</f>
        <v>0</v>
      </c>
      <c r="AE222" s="1110">
        <f>$Z222-SUMIF('11.2. ДА за периода'!$B$155:$B$175,$B222,'11.2. ДА за периода'!$Z$155:$Z$175)+SUMIF('11.2. ДА за периода'!$B$155:$B$175,$B222,'11.2. ДА за периода'!AE$155:AE$175)</f>
        <v>0</v>
      </c>
      <c r="AF222" s="2618">
        <f>$Z222-SUMIF('11.2. ДА за периода'!$B$155:$B$175,$B222,'11.2. ДА за периода'!$Z$155:$Z$175)+SUMIF('11.2. ДА за периода'!$B$155:$B$175,$B222,'11.2. ДА за периода'!AF$155:AF$175)</f>
        <v>0</v>
      </c>
      <c r="AG222" s="4387">
        <f>+'11.3. ДА Базова година'!V183</f>
        <v>0</v>
      </c>
      <c r="AH222" s="2617">
        <f>$AG222-SUMIF('11.2. ДА за периода'!$B$155:$B$175,$B222,'11.2. ДА за периода'!$AG$155:$AG$175)+SUMIF('11.2. ДА за периода'!$B$155:$B$175,$B222,'11.2. ДА за периода'!AH$155:AH$175)</f>
        <v>0</v>
      </c>
      <c r="AI222" s="1110">
        <f>$AG222-SUMIF('11.2. ДА за периода'!$B$155:$B$175,$B222,'11.2. ДА за периода'!$AG$155:$AG$175)+SUMIF('11.2. ДА за периода'!$B$155:$B$175,$B222,'11.2. ДА за периода'!AI$155:AI$175)</f>
        <v>0</v>
      </c>
      <c r="AJ222" s="1110">
        <f>$AG222-SUMIF('11.2. ДА за периода'!$B$155:$B$175,$B222,'11.2. ДА за периода'!$AG$155:$AG$175)+SUMIF('11.2. ДА за периода'!$B$155:$B$175,$B222,'11.2. ДА за периода'!AJ$155:AJ$175)</f>
        <v>0</v>
      </c>
      <c r="AK222" s="1110">
        <f>$AG222-SUMIF('11.2. ДА за периода'!$B$155:$B$175,$B222,'11.2. ДА за периода'!$AG$155:$AG$175)+SUMIF('11.2. ДА за периода'!$B$155:$B$175,$B222,'11.2. ДА за периода'!AK$155:AK$175)</f>
        <v>0</v>
      </c>
      <c r="AL222" s="1110">
        <f>$AG222-SUMIF('11.2. ДА за периода'!$B$155:$B$175,$B222,'11.2. ДА за периода'!$AG$155:$AG$175)+SUMIF('11.2. ДА за периода'!$B$155:$B$175,$B222,'11.2. ДА за периода'!AL$155:AL$175)</f>
        <v>0</v>
      </c>
      <c r="AM222" s="2618">
        <f>$AG222-SUMIF('11.2. ДА за периода'!$B$155:$B$175,$B222,'11.2. ДА за периода'!$AG$155:$AG$175)+SUMIF('11.2. ДА за периода'!$B$155:$B$175,$B222,'11.2. ДА за периода'!AM$155:AM$175)</f>
        <v>0</v>
      </c>
      <c r="AN222" s="2524"/>
      <c r="AO222" s="2551"/>
      <c r="AP222" s="4422"/>
      <c r="AQ222" s="4438">
        <f t="shared" si="271"/>
        <v>321.60259327242142</v>
      </c>
      <c r="AR222" s="4438">
        <f t="shared" si="272"/>
        <v>321.60259327242142</v>
      </c>
      <c r="AS222" s="4438">
        <f t="shared" si="273"/>
        <v>321.60259327242142</v>
      </c>
      <c r="AT222" s="4438">
        <f t="shared" si="274"/>
        <v>321.60259327242142</v>
      </c>
      <c r="AU222" s="4438">
        <f t="shared" si="275"/>
        <v>321.60259327242142</v>
      </c>
      <c r="AV222" s="4438">
        <f t="shared" si="276"/>
        <v>321.60259327242142</v>
      </c>
      <c r="AW222" s="4438">
        <f t="shared" si="277"/>
        <v>321.60259327242142</v>
      </c>
      <c r="AX222" s="4438">
        <f t="shared" si="278"/>
        <v>0</v>
      </c>
      <c r="AY222" s="4438">
        <f t="shared" si="279"/>
        <v>0</v>
      </c>
      <c r="AZ222" s="4438">
        <f t="shared" si="280"/>
        <v>0</v>
      </c>
      <c r="BA222" s="4438">
        <f t="shared" si="281"/>
        <v>0</v>
      </c>
      <c r="BB222" s="4438">
        <f t="shared" si="282"/>
        <v>0</v>
      </c>
      <c r="BC222" s="4438">
        <f t="shared" si="283"/>
        <v>0</v>
      </c>
      <c r="BD222" s="4438">
        <f t="shared" si="284"/>
        <v>0</v>
      </c>
      <c r="BE222" s="4438">
        <f t="shared" si="285"/>
        <v>0</v>
      </c>
      <c r="BF222" s="4438">
        <f t="shared" si="286"/>
        <v>0</v>
      </c>
      <c r="BG222" s="4438">
        <f t="shared" si="287"/>
        <v>0</v>
      </c>
      <c r="BH222" s="4438">
        <f t="shared" si="288"/>
        <v>0</v>
      </c>
      <c r="BI222" s="4438">
        <f t="shared" si="289"/>
        <v>0</v>
      </c>
      <c r="BJ222" s="4438">
        <f t="shared" si="290"/>
        <v>0</v>
      </c>
      <c r="BK222" s="4438">
        <f t="shared" si="291"/>
        <v>0</v>
      </c>
      <c r="BL222" s="4438">
        <f t="shared" si="292"/>
        <v>0</v>
      </c>
      <c r="BM222" s="4438">
        <f t="shared" si="293"/>
        <v>0</v>
      </c>
      <c r="BN222" s="4438">
        <f t="shared" si="294"/>
        <v>0</v>
      </c>
      <c r="BO222" s="4438">
        <f t="shared" si="295"/>
        <v>0</v>
      </c>
      <c r="BP222" s="4438">
        <f t="shared" si="296"/>
        <v>0</v>
      </c>
      <c r="BQ222" s="4438">
        <f t="shared" si="297"/>
        <v>0</v>
      </c>
      <c r="BR222" s="4438">
        <f t="shared" si="298"/>
        <v>0</v>
      </c>
      <c r="BS222" s="4438">
        <f t="shared" si="299"/>
        <v>0</v>
      </c>
      <c r="BT222" s="4438">
        <f t="shared" si="300"/>
        <v>0</v>
      </c>
      <c r="BU222" s="4438">
        <f t="shared" si="301"/>
        <v>0</v>
      </c>
      <c r="BV222" s="4438">
        <f t="shared" si="302"/>
        <v>0</v>
      </c>
      <c r="BW222" s="4438">
        <f t="shared" si="303"/>
        <v>0</v>
      </c>
      <c r="BX222" s="4438">
        <f t="shared" si="304"/>
        <v>0</v>
      </c>
      <c r="BY222" s="4438">
        <f t="shared" si="305"/>
        <v>0</v>
      </c>
    </row>
    <row r="223" spans="1:77" s="1292" customFormat="1">
      <c r="A223" s="2573">
        <v>9</v>
      </c>
      <c r="B223" s="2516">
        <v>911306</v>
      </c>
      <c r="C223" s="2517">
        <v>0.1</v>
      </c>
      <c r="D223" s="2552" t="s">
        <v>1032</v>
      </c>
      <c r="E223" s="4387">
        <f>+'11.3. ДА Базова година'!F184</f>
        <v>8</v>
      </c>
      <c r="F223" s="2617">
        <f>$E223-SUMIF('11.2. ДА за периода'!$B$155:$B$175,$B223,'11.2. ДА за периода'!$E$155:$E$175)+SUMIF('11.2. ДА за периода'!$B$155:$B$175,$B223,'11.2. ДА за периода'!F$155:F$175)</f>
        <v>8</v>
      </c>
      <c r="G223" s="1110">
        <f>$E223-SUMIF('11.2. ДА за периода'!$B$155:$B$175,$B223,'11.2. ДА за периода'!$E$155:$E$175)+SUMIF('11.2. ДА за периода'!$B$155:$B$175,$B223,'11.2. ДА за периода'!G$155:G$175)</f>
        <v>8</v>
      </c>
      <c r="H223" s="1110">
        <f>$E223-SUMIF('11.2. ДА за периода'!$B$155:$B$175,$B223,'11.2. ДА за периода'!$E$155:$E$175)+SUMIF('11.2. ДА за периода'!$B$155:$B$175,$B223,'11.2. ДА за периода'!H$155:H$175)</f>
        <v>8</v>
      </c>
      <c r="I223" s="1110">
        <f>$E223-SUMIF('11.2. ДА за периода'!$B$155:$B$175,$B223,'11.2. ДА за периода'!$E$155:$E$175)+SUMIF('11.2. ДА за периода'!$B$155:$B$175,$B223,'11.2. ДА за периода'!I$155:I$175)</f>
        <v>7.7</v>
      </c>
      <c r="J223" s="1110">
        <f>$E223-SUMIF('11.2. ДА за периода'!$B$155:$B$175,$B223,'11.2. ДА за периода'!$E$155:$E$175)+SUMIF('11.2. ДА за периода'!$B$155:$B$175,$B223,'11.2. ДА за периода'!J$155:J$175)</f>
        <v>7.7</v>
      </c>
      <c r="K223" s="2618">
        <f>$E223-SUMIF('11.2. ДА за периода'!$B$155:$B$175,$B223,'11.2. ДА за периода'!$E$155:$E$175)+SUMIF('11.2. ДА за периода'!$B$155:$B$175,$B223,'11.2. ДА за периода'!K$155:K$175)</f>
        <v>7.7</v>
      </c>
      <c r="L223" s="4387">
        <f>+'11.3. ДА Базова година'!J184</f>
        <v>31</v>
      </c>
      <c r="M223" s="2617">
        <f>$L223-SUMIF('11.2. ДА за периода'!$B$155:$B$175,$B223,'11.2. ДА за периода'!$L$155:$L$175)+SUMIF('11.2. ДА за периода'!$B$155:$B$175,$B223,'11.2. ДА за периода'!M$155:M$175)</f>
        <v>31</v>
      </c>
      <c r="N223" s="1110">
        <f>$L223-SUMIF('11.2. ДА за периода'!$B$155:$B$175,$B223,'11.2. ДА за периода'!$L$155:$L$175)+SUMIF('11.2. ДА за периода'!$B$155:$B$175,$B223,'11.2. ДА за периода'!N$155:N$175)</f>
        <v>31</v>
      </c>
      <c r="O223" s="1110">
        <f>$L223-SUMIF('11.2. ДА за периода'!$B$155:$B$175,$B223,'11.2. ДА за периода'!$L$155:$L$175)+SUMIF('11.2. ДА за периода'!$B$155:$B$175,$B223,'11.2. ДА за периода'!O$155:O$175)</f>
        <v>31</v>
      </c>
      <c r="P223" s="1110">
        <f>$L223-SUMIF('11.2. ДА за периода'!$B$155:$B$175,$B223,'11.2. ДА за периода'!$L$155:$L$175)+SUMIF('11.2. ДА за периода'!$B$155:$B$175,$B223,'11.2. ДА за периода'!P$155:P$175)</f>
        <v>31</v>
      </c>
      <c r="Q223" s="1110">
        <f>$L223-SUMIF('11.2. ДА за периода'!$B$155:$B$175,$B223,'11.2. ДА за периода'!$L$155:$L$175)+SUMIF('11.2. ДА за периода'!$B$155:$B$175,$B223,'11.2. ДА за периода'!Q$155:Q$175)</f>
        <v>31</v>
      </c>
      <c r="R223" s="2618">
        <f>$L223-SUMIF('11.2. ДА за периода'!$B$155:$B$175,$B223,'11.2. ДА за периода'!$L$155:$L$175)+SUMIF('11.2. ДА за периода'!$B$155:$B$175,$B223,'11.2. ДА за периода'!R$155:R$175)</f>
        <v>31</v>
      </c>
      <c r="S223" s="4387">
        <f>+'11.3. ДА Базова година'!N184</f>
        <v>1760</v>
      </c>
      <c r="T223" s="2617">
        <f>$S223-SUMIF('11.2. ДА за периода'!$B$155:$B$175,$B223,'11.2. ДА за периода'!$S$155:$S$175)+SUMIF('11.2. ДА за периода'!$B$155:$B$175,$B223,'11.2. ДА за периода'!T$155:T$175)</f>
        <v>1760</v>
      </c>
      <c r="U223" s="1110">
        <f>$S223-SUMIF('11.2. ДА за периода'!$B$155:$B$175,$B223,'11.2. ДА за периода'!$S$155:$S$175)+SUMIF('11.2. ДА за периода'!$B$155:$B$175,$B223,'11.2. ДА за периода'!U$155:U$175)</f>
        <v>1760</v>
      </c>
      <c r="V223" s="1110">
        <f>$S223-SUMIF('11.2. ДА за периода'!$B$155:$B$175,$B223,'11.2. ДА за периода'!$S$155:$S$175)+SUMIF('11.2. ДА за периода'!$B$155:$B$175,$B223,'11.2. ДА за периода'!V$155:V$175)</f>
        <v>1760</v>
      </c>
      <c r="W223" s="1110">
        <f>$S223-SUMIF('11.2. ДА за периода'!$B$155:$B$175,$B223,'11.2. ДА за периода'!$S$155:$S$175)+SUMIF('11.2. ДА за периода'!$B$155:$B$175,$B223,'11.2. ДА за периода'!W$155:W$175)</f>
        <v>1760</v>
      </c>
      <c r="X223" s="1110">
        <f>$S223-SUMIF('11.2. ДА за периода'!$B$155:$B$175,$B223,'11.2. ДА за периода'!$S$155:$S$175)+SUMIF('11.2. ДА за периода'!$B$155:$B$175,$B223,'11.2. ДА за периода'!X$155:X$175)</f>
        <v>1760</v>
      </c>
      <c r="Y223" s="2618">
        <f>$S223-SUMIF('11.2. ДА за периода'!$B$155:$B$175,$B223,'11.2. ДА за периода'!$S$155:$S$175)+SUMIF('11.2. ДА за периода'!$B$155:$B$175,$B223,'11.2. ДА за периода'!Y$155:Y$175)</f>
        <v>1760</v>
      </c>
      <c r="Z223" s="4387">
        <f>+'11.3. ДА Базова година'!R184</f>
        <v>0</v>
      </c>
      <c r="AA223" s="2617">
        <f>$Z223-SUMIF('11.2. ДА за периода'!$B$155:$B$175,$B223,'11.2. ДА за периода'!$Z$155:$Z$175)+SUMIF('11.2. ДА за периода'!$B$155:$B$175,$B223,'11.2. ДА за периода'!AA$155:AA$175)</f>
        <v>0</v>
      </c>
      <c r="AB223" s="1110">
        <f>$Z223-SUMIF('11.2. ДА за периода'!$B$155:$B$175,$B223,'11.2. ДА за периода'!$Z$155:$Z$175)+SUMIF('11.2. ДА за периода'!$B$155:$B$175,$B223,'11.2. ДА за периода'!AB$155:AB$175)</f>
        <v>0</v>
      </c>
      <c r="AC223" s="1110">
        <f>$Z223-SUMIF('11.2. ДА за периода'!$B$155:$B$175,$B223,'11.2. ДА за периода'!$Z$155:$Z$175)+SUMIF('11.2. ДА за периода'!$B$155:$B$175,$B223,'11.2. ДА за периода'!AC$155:AC$175)</f>
        <v>0</v>
      </c>
      <c r="AD223" s="1110">
        <f>$Z223-SUMIF('11.2. ДА за периода'!$B$155:$B$175,$B223,'11.2. ДА за периода'!$Z$155:$Z$175)+SUMIF('11.2. ДА за периода'!$B$155:$B$175,$B223,'11.2. ДА за периода'!AD$155:AD$175)</f>
        <v>0</v>
      </c>
      <c r="AE223" s="1110">
        <f>$Z223-SUMIF('11.2. ДА за периода'!$B$155:$B$175,$B223,'11.2. ДА за периода'!$Z$155:$Z$175)+SUMIF('11.2. ДА за периода'!$B$155:$B$175,$B223,'11.2. ДА за периода'!AE$155:AE$175)</f>
        <v>0</v>
      </c>
      <c r="AF223" s="2618">
        <f>$Z223-SUMIF('11.2. ДА за периода'!$B$155:$B$175,$B223,'11.2. ДА за периода'!$Z$155:$Z$175)+SUMIF('11.2. ДА за периода'!$B$155:$B$175,$B223,'11.2. ДА за периода'!AF$155:AF$175)</f>
        <v>0</v>
      </c>
      <c r="AG223" s="4387">
        <f>+'11.3. ДА Базова година'!V184</f>
        <v>0</v>
      </c>
      <c r="AH223" s="2617">
        <f>$AG223-SUMIF('11.2. ДА за периода'!$B$155:$B$175,$B223,'11.2. ДА за периода'!$AG$155:$AG$175)+SUMIF('11.2. ДА за периода'!$B$155:$B$175,$B223,'11.2. ДА за периода'!AH$155:AH$175)</f>
        <v>0</v>
      </c>
      <c r="AI223" s="1110">
        <f>$AG223-SUMIF('11.2. ДА за периода'!$B$155:$B$175,$B223,'11.2. ДА за периода'!$AG$155:$AG$175)+SUMIF('11.2. ДА за периода'!$B$155:$B$175,$B223,'11.2. ДА за периода'!AI$155:AI$175)</f>
        <v>0</v>
      </c>
      <c r="AJ223" s="1110">
        <f>$AG223-SUMIF('11.2. ДА за периода'!$B$155:$B$175,$B223,'11.2. ДА за периода'!$AG$155:$AG$175)+SUMIF('11.2. ДА за периода'!$B$155:$B$175,$B223,'11.2. ДА за периода'!AJ$155:AJ$175)</f>
        <v>0</v>
      </c>
      <c r="AK223" s="1110">
        <f>$AG223-SUMIF('11.2. ДА за периода'!$B$155:$B$175,$B223,'11.2. ДА за периода'!$AG$155:$AG$175)+SUMIF('11.2. ДА за периода'!$B$155:$B$175,$B223,'11.2. ДА за периода'!AK$155:AK$175)</f>
        <v>0</v>
      </c>
      <c r="AL223" s="1110">
        <f>$AG223-SUMIF('11.2. ДА за периода'!$B$155:$B$175,$B223,'11.2. ДА за периода'!$AG$155:$AG$175)+SUMIF('11.2. ДА за периода'!$B$155:$B$175,$B223,'11.2. ДА за периода'!AL$155:AL$175)</f>
        <v>0</v>
      </c>
      <c r="AM223" s="2618">
        <f>$AG223-SUMIF('11.2. ДА за периода'!$B$155:$B$175,$B223,'11.2. ДА за периода'!$AG$155:$AG$175)+SUMIF('11.2. ДА за периода'!$B$155:$B$175,$B223,'11.2. ДА за периода'!AM$155:AM$175)</f>
        <v>0</v>
      </c>
      <c r="AN223" s="2524"/>
      <c r="AO223" s="2551"/>
      <c r="AP223" s="4422"/>
      <c r="AQ223" s="4438">
        <f t="shared" si="271"/>
        <v>4.0903350495697479</v>
      </c>
      <c r="AR223" s="4438">
        <f t="shared" si="272"/>
        <v>4.0903350495697479</v>
      </c>
      <c r="AS223" s="4438">
        <f t="shared" si="273"/>
        <v>4.0903350495697479</v>
      </c>
      <c r="AT223" s="4438">
        <f t="shared" si="274"/>
        <v>4.0903350495697479</v>
      </c>
      <c r="AU223" s="4438">
        <f t="shared" si="275"/>
        <v>3.9369474852108826</v>
      </c>
      <c r="AV223" s="4438">
        <f t="shared" si="276"/>
        <v>3.9369474852108826</v>
      </c>
      <c r="AW223" s="4438">
        <f t="shared" si="277"/>
        <v>3.9369474852108826</v>
      </c>
      <c r="AX223" s="4438">
        <f t="shared" si="278"/>
        <v>15.850048317082774</v>
      </c>
      <c r="AY223" s="4438">
        <f t="shared" si="279"/>
        <v>15.850048317082774</v>
      </c>
      <c r="AZ223" s="4438">
        <f t="shared" si="280"/>
        <v>15.850048317082774</v>
      </c>
      <c r="BA223" s="4438">
        <f t="shared" si="281"/>
        <v>15.850048317082774</v>
      </c>
      <c r="BB223" s="4438">
        <f t="shared" si="282"/>
        <v>15.850048317082774</v>
      </c>
      <c r="BC223" s="4438">
        <f t="shared" si="283"/>
        <v>15.850048317082774</v>
      </c>
      <c r="BD223" s="4438">
        <f t="shared" si="284"/>
        <v>15.850048317082774</v>
      </c>
      <c r="BE223" s="4438">
        <f t="shared" si="285"/>
        <v>899.87371090534452</v>
      </c>
      <c r="BF223" s="4438">
        <f t="shared" si="286"/>
        <v>899.87371090534452</v>
      </c>
      <c r="BG223" s="4438">
        <f t="shared" si="287"/>
        <v>899.87371090534452</v>
      </c>
      <c r="BH223" s="4438">
        <f t="shared" si="288"/>
        <v>899.87371090534452</v>
      </c>
      <c r="BI223" s="4438">
        <f t="shared" si="289"/>
        <v>899.87371090534452</v>
      </c>
      <c r="BJ223" s="4438">
        <f t="shared" si="290"/>
        <v>899.87371090534452</v>
      </c>
      <c r="BK223" s="4438">
        <f t="shared" si="291"/>
        <v>899.87371090534452</v>
      </c>
      <c r="BL223" s="4438">
        <f t="shared" si="292"/>
        <v>0</v>
      </c>
      <c r="BM223" s="4438">
        <f t="shared" si="293"/>
        <v>0</v>
      </c>
      <c r="BN223" s="4438">
        <f t="shared" si="294"/>
        <v>0</v>
      </c>
      <c r="BO223" s="4438">
        <f t="shared" si="295"/>
        <v>0</v>
      </c>
      <c r="BP223" s="4438">
        <f t="shared" si="296"/>
        <v>0</v>
      </c>
      <c r="BQ223" s="4438">
        <f t="shared" si="297"/>
        <v>0</v>
      </c>
      <c r="BR223" s="4438">
        <f t="shared" si="298"/>
        <v>0</v>
      </c>
      <c r="BS223" s="4438">
        <f t="shared" si="299"/>
        <v>0</v>
      </c>
      <c r="BT223" s="4438">
        <f t="shared" si="300"/>
        <v>0</v>
      </c>
      <c r="BU223" s="4438">
        <f t="shared" si="301"/>
        <v>0</v>
      </c>
      <c r="BV223" s="4438">
        <f t="shared" si="302"/>
        <v>0</v>
      </c>
      <c r="BW223" s="4438">
        <f t="shared" si="303"/>
        <v>0</v>
      </c>
      <c r="BX223" s="4438">
        <f t="shared" si="304"/>
        <v>0</v>
      </c>
      <c r="BY223" s="4438">
        <f t="shared" si="305"/>
        <v>0</v>
      </c>
    </row>
    <row r="224" spans="1:77" s="1292" customFormat="1">
      <c r="A224" s="2573">
        <v>10</v>
      </c>
      <c r="B224" s="2516">
        <v>91140101</v>
      </c>
      <c r="C224" s="2572">
        <v>0.1</v>
      </c>
      <c r="D224" s="2546" t="s">
        <v>1016</v>
      </c>
      <c r="E224" s="4387">
        <f>+'11.3. ДА Базова година'!F185</f>
        <v>9</v>
      </c>
      <c r="F224" s="2617">
        <f>$E224-SUMIF('11.2. ДА за периода'!$B$155:$B$175,$B224,'11.2. ДА за периода'!$E$155:$E$175)+SUMIF('11.2. ДА за периода'!$B$155:$B$175,$B224,'11.2. ДА за периода'!F$155:F$175)</f>
        <v>9</v>
      </c>
      <c r="G224" s="1110">
        <f>$E224-SUMIF('11.2. ДА за периода'!$B$155:$B$175,$B224,'11.2. ДА за периода'!$E$155:$E$175)+SUMIF('11.2. ДА за периода'!$B$155:$B$175,$B224,'11.2. ДА за периода'!G$155:G$175)</f>
        <v>9</v>
      </c>
      <c r="H224" s="1110">
        <f>$E224-SUMIF('11.2. ДА за периода'!$B$155:$B$175,$B224,'11.2. ДА за периода'!$E$155:$E$175)+SUMIF('11.2. ДА за периода'!$B$155:$B$175,$B224,'11.2. ДА за периода'!H$155:H$175)</f>
        <v>9</v>
      </c>
      <c r="I224" s="1110">
        <f>$E224-SUMIF('11.2. ДА за периода'!$B$155:$B$175,$B224,'11.2. ДА за периода'!$E$155:$E$175)+SUMIF('11.2. ДА за периода'!$B$155:$B$175,$B224,'11.2. ДА за периода'!I$155:I$175)</f>
        <v>1.2999999999999998</v>
      </c>
      <c r="J224" s="1110">
        <f>$E224-SUMIF('11.2. ДА за периода'!$B$155:$B$175,$B224,'11.2. ДА за периода'!$E$155:$E$175)+SUMIF('11.2. ДА за периода'!$B$155:$B$175,$B224,'11.2. ДА за периода'!J$155:J$175)</f>
        <v>1.2999999999999998</v>
      </c>
      <c r="K224" s="2618">
        <f>$E224-SUMIF('11.2. ДА за периода'!$B$155:$B$175,$B224,'11.2. ДА за периода'!$E$155:$E$175)+SUMIF('11.2. ДА за периода'!$B$155:$B$175,$B224,'11.2. ДА за периода'!K$155:K$175)</f>
        <v>1.2999999999999998</v>
      </c>
      <c r="L224" s="4387">
        <f>+'11.3. ДА Базова година'!J185</f>
        <v>0</v>
      </c>
      <c r="M224" s="2617">
        <f>$L224-SUMIF('11.2. ДА за периода'!$B$155:$B$175,$B224,'11.2. ДА за периода'!$L$155:$L$175)+SUMIF('11.2. ДА за периода'!$B$155:$B$175,$B224,'11.2. ДА за периода'!M$155:M$175)</f>
        <v>0</v>
      </c>
      <c r="N224" s="1110">
        <f>$L224-SUMIF('11.2. ДА за периода'!$B$155:$B$175,$B224,'11.2. ДА за периода'!$L$155:$L$175)+SUMIF('11.2. ДА за периода'!$B$155:$B$175,$B224,'11.2. ДА за периода'!N$155:N$175)</f>
        <v>0</v>
      </c>
      <c r="O224" s="1110">
        <f>$L224-SUMIF('11.2. ДА за периода'!$B$155:$B$175,$B224,'11.2. ДА за периода'!$L$155:$L$175)+SUMIF('11.2. ДА за периода'!$B$155:$B$175,$B224,'11.2. ДА за периода'!O$155:O$175)</f>
        <v>0</v>
      </c>
      <c r="P224" s="1110">
        <f>$L224-SUMIF('11.2. ДА за периода'!$B$155:$B$175,$B224,'11.2. ДА за периода'!$L$155:$L$175)+SUMIF('11.2. ДА за периода'!$B$155:$B$175,$B224,'11.2. ДА за периода'!P$155:P$175)</f>
        <v>0</v>
      </c>
      <c r="Q224" s="1110">
        <f>$L224-SUMIF('11.2. ДА за периода'!$B$155:$B$175,$B224,'11.2. ДА за периода'!$L$155:$L$175)+SUMIF('11.2. ДА за периода'!$B$155:$B$175,$B224,'11.2. ДА за периода'!Q$155:Q$175)</f>
        <v>0</v>
      </c>
      <c r="R224" s="2618">
        <f>$L224-SUMIF('11.2. ДА за периода'!$B$155:$B$175,$B224,'11.2. ДА за периода'!$L$155:$L$175)+SUMIF('11.2. ДА за периода'!$B$155:$B$175,$B224,'11.2. ДА за периода'!R$155:R$175)</f>
        <v>0</v>
      </c>
      <c r="S224" s="4387">
        <f>+'11.3. ДА Базова година'!N185</f>
        <v>0</v>
      </c>
      <c r="T224" s="2617">
        <f>$S224-SUMIF('11.2. ДА за периода'!$B$155:$B$175,$B224,'11.2. ДА за периода'!$S$155:$S$175)+SUMIF('11.2. ДА за периода'!$B$155:$B$175,$B224,'11.2. ДА за периода'!T$155:T$175)</f>
        <v>0</v>
      </c>
      <c r="U224" s="1110">
        <f>$S224-SUMIF('11.2. ДА за периода'!$B$155:$B$175,$B224,'11.2. ДА за периода'!$S$155:$S$175)+SUMIF('11.2. ДА за периода'!$B$155:$B$175,$B224,'11.2. ДА за периода'!U$155:U$175)</f>
        <v>0</v>
      </c>
      <c r="V224" s="1110">
        <f>$S224-SUMIF('11.2. ДА за периода'!$B$155:$B$175,$B224,'11.2. ДА за периода'!$S$155:$S$175)+SUMIF('11.2. ДА за периода'!$B$155:$B$175,$B224,'11.2. ДА за периода'!V$155:V$175)</f>
        <v>0</v>
      </c>
      <c r="W224" s="1110">
        <f>$S224-SUMIF('11.2. ДА за периода'!$B$155:$B$175,$B224,'11.2. ДА за периода'!$S$155:$S$175)+SUMIF('11.2. ДА за периода'!$B$155:$B$175,$B224,'11.2. ДА за периода'!W$155:W$175)</f>
        <v>0</v>
      </c>
      <c r="X224" s="1110">
        <f>$S224-SUMIF('11.2. ДА за периода'!$B$155:$B$175,$B224,'11.2. ДА за периода'!$S$155:$S$175)+SUMIF('11.2. ДА за периода'!$B$155:$B$175,$B224,'11.2. ДА за периода'!X$155:X$175)</f>
        <v>0</v>
      </c>
      <c r="Y224" s="2618">
        <f>$S224-SUMIF('11.2. ДА за периода'!$B$155:$B$175,$B224,'11.2. ДА за периода'!$S$155:$S$175)+SUMIF('11.2. ДА за периода'!$B$155:$B$175,$B224,'11.2. ДА за периода'!Y$155:Y$175)</f>
        <v>0</v>
      </c>
      <c r="Z224" s="4387">
        <f>+'11.3. ДА Базова година'!R185</f>
        <v>0</v>
      </c>
      <c r="AA224" s="2617">
        <f>$Z224-SUMIF('11.2. ДА за периода'!$B$155:$B$175,$B224,'11.2. ДА за периода'!$Z$155:$Z$175)+SUMIF('11.2. ДА за периода'!$B$155:$B$175,$B224,'11.2. ДА за периода'!AA$155:AA$175)</f>
        <v>0</v>
      </c>
      <c r="AB224" s="1110">
        <f>$Z224-SUMIF('11.2. ДА за периода'!$B$155:$B$175,$B224,'11.2. ДА за периода'!$Z$155:$Z$175)+SUMIF('11.2. ДА за периода'!$B$155:$B$175,$B224,'11.2. ДА за периода'!AB$155:AB$175)</f>
        <v>0</v>
      </c>
      <c r="AC224" s="1110">
        <f>$Z224-SUMIF('11.2. ДА за периода'!$B$155:$B$175,$B224,'11.2. ДА за периода'!$Z$155:$Z$175)+SUMIF('11.2. ДА за периода'!$B$155:$B$175,$B224,'11.2. ДА за периода'!AC$155:AC$175)</f>
        <v>0</v>
      </c>
      <c r="AD224" s="1110">
        <f>$Z224-SUMIF('11.2. ДА за периода'!$B$155:$B$175,$B224,'11.2. ДА за периода'!$Z$155:$Z$175)+SUMIF('11.2. ДА за периода'!$B$155:$B$175,$B224,'11.2. ДА за периода'!AD$155:AD$175)</f>
        <v>0</v>
      </c>
      <c r="AE224" s="1110">
        <f>$Z224-SUMIF('11.2. ДА за периода'!$B$155:$B$175,$B224,'11.2. ДА за периода'!$Z$155:$Z$175)+SUMIF('11.2. ДА за периода'!$B$155:$B$175,$B224,'11.2. ДА за периода'!AE$155:AE$175)</f>
        <v>0</v>
      </c>
      <c r="AF224" s="2618">
        <f>$Z224-SUMIF('11.2. ДА за периода'!$B$155:$B$175,$B224,'11.2. ДА за периода'!$Z$155:$Z$175)+SUMIF('11.2. ДА за периода'!$B$155:$B$175,$B224,'11.2. ДА за периода'!AF$155:AF$175)</f>
        <v>0</v>
      </c>
      <c r="AG224" s="4387">
        <f>+'11.3. ДА Базова година'!V185</f>
        <v>0</v>
      </c>
      <c r="AH224" s="2617">
        <f>$AG224-SUMIF('11.2. ДА за периода'!$B$155:$B$175,$B224,'11.2. ДА за периода'!$AG$155:$AG$175)+SUMIF('11.2. ДА за периода'!$B$155:$B$175,$B224,'11.2. ДА за периода'!AH$155:AH$175)</f>
        <v>0</v>
      </c>
      <c r="AI224" s="1110">
        <f>$AG224-SUMIF('11.2. ДА за периода'!$B$155:$B$175,$B224,'11.2. ДА за периода'!$AG$155:$AG$175)+SUMIF('11.2. ДА за периода'!$B$155:$B$175,$B224,'11.2. ДА за периода'!AI$155:AI$175)</f>
        <v>0</v>
      </c>
      <c r="AJ224" s="1110">
        <f>$AG224-SUMIF('11.2. ДА за периода'!$B$155:$B$175,$B224,'11.2. ДА за периода'!$AG$155:$AG$175)+SUMIF('11.2. ДА за периода'!$B$155:$B$175,$B224,'11.2. ДА за периода'!AJ$155:AJ$175)</f>
        <v>0</v>
      </c>
      <c r="AK224" s="1110">
        <f>$AG224-SUMIF('11.2. ДА за периода'!$B$155:$B$175,$B224,'11.2. ДА за периода'!$AG$155:$AG$175)+SUMIF('11.2. ДА за периода'!$B$155:$B$175,$B224,'11.2. ДА за периода'!AK$155:AK$175)</f>
        <v>0</v>
      </c>
      <c r="AL224" s="1110">
        <f>$AG224-SUMIF('11.2. ДА за периода'!$B$155:$B$175,$B224,'11.2. ДА за периода'!$AG$155:$AG$175)+SUMIF('11.2. ДА за периода'!$B$155:$B$175,$B224,'11.2. ДА за периода'!AL$155:AL$175)</f>
        <v>0</v>
      </c>
      <c r="AM224" s="2618">
        <f>$AG224-SUMIF('11.2. ДА за периода'!$B$155:$B$175,$B224,'11.2. ДА за периода'!$AG$155:$AG$175)+SUMIF('11.2. ДА за периода'!$B$155:$B$175,$B224,'11.2. ДА за периода'!AM$155:AM$175)</f>
        <v>0</v>
      </c>
      <c r="AN224" s="2524"/>
      <c r="AO224" s="2551"/>
      <c r="AP224" s="4422"/>
      <c r="AQ224" s="4438">
        <f t="shared" si="271"/>
        <v>4.6016269307659661</v>
      </c>
      <c r="AR224" s="4438">
        <f t="shared" si="272"/>
        <v>4.6016269307659661</v>
      </c>
      <c r="AS224" s="4438">
        <f t="shared" si="273"/>
        <v>4.6016269307659661</v>
      </c>
      <c r="AT224" s="4438">
        <f t="shared" si="274"/>
        <v>4.6016269307659661</v>
      </c>
      <c r="AU224" s="4438">
        <f t="shared" si="275"/>
        <v>0.66467944555508396</v>
      </c>
      <c r="AV224" s="4438">
        <f t="shared" si="276"/>
        <v>0.66467944555508396</v>
      </c>
      <c r="AW224" s="4438">
        <f t="shared" si="277"/>
        <v>0.66467944555508396</v>
      </c>
      <c r="AX224" s="4438">
        <f t="shared" si="278"/>
        <v>0</v>
      </c>
      <c r="AY224" s="4438">
        <f t="shared" si="279"/>
        <v>0</v>
      </c>
      <c r="AZ224" s="4438">
        <f t="shared" si="280"/>
        <v>0</v>
      </c>
      <c r="BA224" s="4438">
        <f t="shared" si="281"/>
        <v>0</v>
      </c>
      <c r="BB224" s="4438">
        <f t="shared" si="282"/>
        <v>0</v>
      </c>
      <c r="BC224" s="4438">
        <f t="shared" si="283"/>
        <v>0</v>
      </c>
      <c r="BD224" s="4438">
        <f t="shared" si="284"/>
        <v>0</v>
      </c>
      <c r="BE224" s="4438">
        <f t="shared" si="285"/>
        <v>0</v>
      </c>
      <c r="BF224" s="4438">
        <f t="shared" si="286"/>
        <v>0</v>
      </c>
      <c r="BG224" s="4438">
        <f t="shared" si="287"/>
        <v>0</v>
      </c>
      <c r="BH224" s="4438">
        <f t="shared" si="288"/>
        <v>0</v>
      </c>
      <c r="BI224" s="4438">
        <f t="shared" si="289"/>
        <v>0</v>
      </c>
      <c r="BJ224" s="4438">
        <f t="shared" si="290"/>
        <v>0</v>
      </c>
      <c r="BK224" s="4438">
        <f t="shared" si="291"/>
        <v>0</v>
      </c>
      <c r="BL224" s="4438">
        <f t="shared" si="292"/>
        <v>0</v>
      </c>
      <c r="BM224" s="4438">
        <f t="shared" si="293"/>
        <v>0</v>
      </c>
      <c r="BN224" s="4438">
        <f t="shared" si="294"/>
        <v>0</v>
      </c>
      <c r="BO224" s="4438">
        <f t="shared" si="295"/>
        <v>0</v>
      </c>
      <c r="BP224" s="4438">
        <f t="shared" si="296"/>
        <v>0</v>
      </c>
      <c r="BQ224" s="4438">
        <f t="shared" si="297"/>
        <v>0</v>
      </c>
      <c r="BR224" s="4438">
        <f t="shared" si="298"/>
        <v>0</v>
      </c>
      <c r="BS224" s="4438">
        <f t="shared" si="299"/>
        <v>0</v>
      </c>
      <c r="BT224" s="4438">
        <f t="shared" si="300"/>
        <v>0</v>
      </c>
      <c r="BU224" s="4438">
        <f t="shared" si="301"/>
        <v>0</v>
      </c>
      <c r="BV224" s="4438">
        <f t="shared" si="302"/>
        <v>0</v>
      </c>
      <c r="BW224" s="4438">
        <f t="shared" si="303"/>
        <v>0</v>
      </c>
      <c r="BX224" s="4438">
        <f t="shared" si="304"/>
        <v>0</v>
      </c>
      <c r="BY224" s="4438">
        <f t="shared" si="305"/>
        <v>0</v>
      </c>
    </row>
    <row r="225" spans="1:77" s="1292" customFormat="1">
      <c r="A225" s="2573">
        <v>11</v>
      </c>
      <c r="B225" s="2516">
        <v>91140102</v>
      </c>
      <c r="C225" s="2572">
        <v>0.04</v>
      </c>
      <c r="D225" s="2546" t="s">
        <v>432</v>
      </c>
      <c r="E225" s="4387">
        <f>+'11.3. ДА Базова година'!F186</f>
        <v>0</v>
      </c>
      <c r="F225" s="2617">
        <f>$E225-SUMIF('11.2. ДА за периода'!$B$155:$B$175,$B225,'11.2. ДА за периода'!$E$155:$E$175)+SUMIF('11.2. ДА за периода'!$B$155:$B$175,$B225,'11.2. ДА за периода'!F$155:F$175)</f>
        <v>0</v>
      </c>
      <c r="G225" s="1110">
        <f>$E225-SUMIF('11.2. ДА за периода'!$B$155:$B$175,$B225,'11.2. ДА за периода'!$E$155:$E$175)+SUMIF('11.2. ДА за периода'!$B$155:$B$175,$B225,'11.2. ДА за периода'!G$155:G$175)</f>
        <v>0</v>
      </c>
      <c r="H225" s="1110">
        <f>$E225-SUMIF('11.2. ДА за периода'!$B$155:$B$175,$B225,'11.2. ДА за периода'!$E$155:$E$175)+SUMIF('11.2. ДА за периода'!$B$155:$B$175,$B225,'11.2. ДА за периода'!H$155:H$175)</f>
        <v>0</v>
      </c>
      <c r="I225" s="1110">
        <f>$E225-SUMIF('11.2. ДА за периода'!$B$155:$B$175,$B225,'11.2. ДА за периода'!$E$155:$E$175)+SUMIF('11.2. ДА за периода'!$B$155:$B$175,$B225,'11.2. ДА за периода'!I$155:I$175)</f>
        <v>0</v>
      </c>
      <c r="J225" s="1110">
        <f>$E225-SUMIF('11.2. ДА за периода'!$B$155:$B$175,$B225,'11.2. ДА за периода'!$E$155:$E$175)+SUMIF('11.2. ДА за периода'!$B$155:$B$175,$B225,'11.2. ДА за периода'!J$155:J$175)</f>
        <v>0</v>
      </c>
      <c r="K225" s="2618">
        <f>$E225-SUMIF('11.2. ДА за периода'!$B$155:$B$175,$B225,'11.2. ДА за периода'!$E$155:$E$175)+SUMIF('11.2. ДА за периода'!$B$155:$B$175,$B225,'11.2. ДА за периода'!K$155:K$175)</f>
        <v>0</v>
      </c>
      <c r="L225" s="4387">
        <f>+'11.3. ДА Базова година'!J186</f>
        <v>0</v>
      </c>
      <c r="M225" s="2617">
        <f>$L225-SUMIF('11.2. ДА за периода'!$B$155:$B$175,$B225,'11.2. ДА за периода'!$L$155:$L$175)+SUMIF('11.2. ДА за периода'!$B$155:$B$175,$B225,'11.2. ДА за периода'!M$155:M$175)</f>
        <v>0</v>
      </c>
      <c r="N225" s="1110">
        <f>$L225-SUMIF('11.2. ДА за периода'!$B$155:$B$175,$B225,'11.2. ДА за периода'!$L$155:$L$175)+SUMIF('11.2. ДА за периода'!$B$155:$B$175,$B225,'11.2. ДА за периода'!N$155:N$175)</f>
        <v>0</v>
      </c>
      <c r="O225" s="1110">
        <f>$L225-SUMIF('11.2. ДА за периода'!$B$155:$B$175,$B225,'11.2. ДА за периода'!$L$155:$L$175)+SUMIF('11.2. ДА за периода'!$B$155:$B$175,$B225,'11.2. ДА за периода'!O$155:O$175)</f>
        <v>0</v>
      </c>
      <c r="P225" s="1110">
        <f>$L225-SUMIF('11.2. ДА за периода'!$B$155:$B$175,$B225,'11.2. ДА за периода'!$L$155:$L$175)+SUMIF('11.2. ДА за периода'!$B$155:$B$175,$B225,'11.2. ДА за периода'!P$155:P$175)</f>
        <v>0</v>
      </c>
      <c r="Q225" s="1110">
        <f>$L225-SUMIF('11.2. ДА за периода'!$B$155:$B$175,$B225,'11.2. ДА за периода'!$L$155:$L$175)+SUMIF('11.2. ДА за периода'!$B$155:$B$175,$B225,'11.2. ДА за периода'!Q$155:Q$175)</f>
        <v>0</v>
      </c>
      <c r="R225" s="2618">
        <f>$L225-SUMIF('11.2. ДА за периода'!$B$155:$B$175,$B225,'11.2. ДА за периода'!$L$155:$L$175)+SUMIF('11.2. ДА за периода'!$B$155:$B$175,$B225,'11.2. ДА за периода'!R$155:R$175)</f>
        <v>0</v>
      </c>
      <c r="S225" s="4387">
        <f>+'11.3. ДА Базова година'!N186</f>
        <v>0</v>
      </c>
      <c r="T225" s="2617">
        <f>$S225-SUMIF('11.2. ДА за периода'!$B$155:$B$175,$B225,'11.2. ДА за периода'!$S$155:$S$175)+SUMIF('11.2. ДА за периода'!$B$155:$B$175,$B225,'11.2. ДА за периода'!T$155:T$175)</f>
        <v>0</v>
      </c>
      <c r="U225" s="1110">
        <f>$S225-SUMIF('11.2. ДА за периода'!$B$155:$B$175,$B225,'11.2. ДА за периода'!$S$155:$S$175)+SUMIF('11.2. ДА за периода'!$B$155:$B$175,$B225,'11.2. ДА за периода'!U$155:U$175)</f>
        <v>0</v>
      </c>
      <c r="V225" s="1110">
        <f>$S225-SUMIF('11.2. ДА за периода'!$B$155:$B$175,$B225,'11.2. ДА за периода'!$S$155:$S$175)+SUMIF('11.2. ДА за периода'!$B$155:$B$175,$B225,'11.2. ДА за периода'!V$155:V$175)</f>
        <v>0</v>
      </c>
      <c r="W225" s="1110">
        <f>$S225-SUMIF('11.2. ДА за периода'!$B$155:$B$175,$B225,'11.2. ДА за периода'!$S$155:$S$175)+SUMIF('11.2. ДА за периода'!$B$155:$B$175,$B225,'11.2. ДА за периода'!W$155:W$175)</f>
        <v>0</v>
      </c>
      <c r="X225" s="1110">
        <f>$S225-SUMIF('11.2. ДА за периода'!$B$155:$B$175,$B225,'11.2. ДА за периода'!$S$155:$S$175)+SUMIF('11.2. ДА за периода'!$B$155:$B$175,$B225,'11.2. ДА за периода'!X$155:X$175)</f>
        <v>0</v>
      </c>
      <c r="Y225" s="2618">
        <f>$S225-SUMIF('11.2. ДА за периода'!$B$155:$B$175,$B225,'11.2. ДА за периода'!$S$155:$S$175)+SUMIF('11.2. ДА за периода'!$B$155:$B$175,$B225,'11.2. ДА за периода'!Y$155:Y$175)</f>
        <v>0</v>
      </c>
      <c r="Z225" s="4387">
        <f>+'11.3. ДА Базова година'!R186</f>
        <v>0</v>
      </c>
      <c r="AA225" s="2617">
        <f>$Z225-SUMIF('11.2. ДА за периода'!$B$155:$B$175,$B225,'11.2. ДА за периода'!$Z$155:$Z$175)+SUMIF('11.2. ДА за периода'!$B$155:$B$175,$B225,'11.2. ДА за периода'!AA$155:AA$175)</f>
        <v>0</v>
      </c>
      <c r="AB225" s="1110">
        <f>$Z225-SUMIF('11.2. ДА за периода'!$B$155:$B$175,$B225,'11.2. ДА за периода'!$Z$155:$Z$175)+SUMIF('11.2. ДА за периода'!$B$155:$B$175,$B225,'11.2. ДА за периода'!AB$155:AB$175)</f>
        <v>0</v>
      </c>
      <c r="AC225" s="1110">
        <f>$Z225-SUMIF('11.2. ДА за периода'!$B$155:$B$175,$B225,'11.2. ДА за периода'!$Z$155:$Z$175)+SUMIF('11.2. ДА за периода'!$B$155:$B$175,$B225,'11.2. ДА за периода'!AC$155:AC$175)</f>
        <v>0</v>
      </c>
      <c r="AD225" s="1110">
        <f>$Z225-SUMIF('11.2. ДА за периода'!$B$155:$B$175,$B225,'11.2. ДА за периода'!$Z$155:$Z$175)+SUMIF('11.2. ДА за периода'!$B$155:$B$175,$B225,'11.2. ДА за периода'!AD$155:AD$175)</f>
        <v>0</v>
      </c>
      <c r="AE225" s="1110">
        <f>$Z225-SUMIF('11.2. ДА за периода'!$B$155:$B$175,$B225,'11.2. ДА за периода'!$Z$155:$Z$175)+SUMIF('11.2. ДА за периода'!$B$155:$B$175,$B225,'11.2. ДА за периода'!AE$155:AE$175)</f>
        <v>0</v>
      </c>
      <c r="AF225" s="2618">
        <f>$Z225-SUMIF('11.2. ДА за периода'!$B$155:$B$175,$B225,'11.2. ДА за периода'!$Z$155:$Z$175)+SUMIF('11.2. ДА за периода'!$B$155:$B$175,$B225,'11.2. ДА за периода'!AF$155:AF$175)</f>
        <v>0</v>
      </c>
      <c r="AG225" s="4387">
        <f>+'11.3. ДА Базова година'!V186</f>
        <v>0</v>
      </c>
      <c r="AH225" s="2617">
        <f>$AG225-SUMIF('11.2. ДА за периода'!$B$155:$B$175,$B225,'11.2. ДА за периода'!$AG$155:$AG$175)+SUMIF('11.2. ДА за периода'!$B$155:$B$175,$B225,'11.2. ДА за периода'!AH$155:AH$175)</f>
        <v>0</v>
      </c>
      <c r="AI225" s="1110">
        <f>$AG225-SUMIF('11.2. ДА за периода'!$B$155:$B$175,$B225,'11.2. ДА за периода'!$AG$155:$AG$175)+SUMIF('11.2. ДА за периода'!$B$155:$B$175,$B225,'11.2. ДА за периода'!AI$155:AI$175)</f>
        <v>0</v>
      </c>
      <c r="AJ225" s="1110">
        <f>$AG225-SUMIF('11.2. ДА за периода'!$B$155:$B$175,$B225,'11.2. ДА за периода'!$AG$155:$AG$175)+SUMIF('11.2. ДА за периода'!$B$155:$B$175,$B225,'11.2. ДА за периода'!AJ$155:AJ$175)</f>
        <v>0</v>
      </c>
      <c r="AK225" s="1110">
        <f>$AG225-SUMIF('11.2. ДА за периода'!$B$155:$B$175,$B225,'11.2. ДА за периода'!$AG$155:$AG$175)+SUMIF('11.2. ДА за периода'!$B$155:$B$175,$B225,'11.2. ДА за периода'!AK$155:AK$175)</f>
        <v>0</v>
      </c>
      <c r="AL225" s="1110">
        <f>$AG225-SUMIF('11.2. ДА за периода'!$B$155:$B$175,$B225,'11.2. ДА за периода'!$AG$155:$AG$175)+SUMIF('11.2. ДА за периода'!$B$155:$B$175,$B225,'11.2. ДА за периода'!AL$155:AL$175)</f>
        <v>0</v>
      </c>
      <c r="AM225" s="2618">
        <f>$AG225-SUMIF('11.2. ДА за периода'!$B$155:$B$175,$B225,'11.2. ДА за периода'!$AG$155:$AG$175)+SUMIF('11.2. ДА за периода'!$B$155:$B$175,$B225,'11.2. ДА за периода'!AM$155:AM$175)</f>
        <v>0</v>
      </c>
      <c r="AN225" s="2524"/>
      <c r="AO225" s="2551"/>
      <c r="AP225" s="4422"/>
      <c r="AQ225" s="4438">
        <f t="shared" si="271"/>
        <v>0</v>
      </c>
      <c r="AR225" s="4438">
        <f t="shared" si="272"/>
        <v>0</v>
      </c>
      <c r="AS225" s="4438">
        <f t="shared" si="273"/>
        <v>0</v>
      </c>
      <c r="AT225" s="4438">
        <f t="shared" si="274"/>
        <v>0</v>
      </c>
      <c r="AU225" s="4438">
        <f t="shared" si="275"/>
        <v>0</v>
      </c>
      <c r="AV225" s="4438">
        <f t="shared" si="276"/>
        <v>0</v>
      </c>
      <c r="AW225" s="4438">
        <f t="shared" si="277"/>
        <v>0</v>
      </c>
      <c r="AX225" s="4438">
        <f t="shared" si="278"/>
        <v>0</v>
      </c>
      <c r="AY225" s="4438">
        <f t="shared" si="279"/>
        <v>0</v>
      </c>
      <c r="AZ225" s="4438">
        <f t="shared" si="280"/>
        <v>0</v>
      </c>
      <c r="BA225" s="4438">
        <f t="shared" si="281"/>
        <v>0</v>
      </c>
      <c r="BB225" s="4438">
        <f t="shared" si="282"/>
        <v>0</v>
      </c>
      <c r="BC225" s="4438">
        <f t="shared" si="283"/>
        <v>0</v>
      </c>
      <c r="BD225" s="4438">
        <f t="shared" si="284"/>
        <v>0</v>
      </c>
      <c r="BE225" s="4438">
        <f t="shared" si="285"/>
        <v>0</v>
      </c>
      <c r="BF225" s="4438">
        <f t="shared" si="286"/>
        <v>0</v>
      </c>
      <c r="BG225" s="4438">
        <f t="shared" si="287"/>
        <v>0</v>
      </c>
      <c r="BH225" s="4438">
        <f t="shared" si="288"/>
        <v>0</v>
      </c>
      <c r="BI225" s="4438">
        <f t="shared" si="289"/>
        <v>0</v>
      </c>
      <c r="BJ225" s="4438">
        <f t="shared" si="290"/>
        <v>0</v>
      </c>
      <c r="BK225" s="4438">
        <f t="shared" si="291"/>
        <v>0</v>
      </c>
      <c r="BL225" s="4438">
        <f t="shared" si="292"/>
        <v>0</v>
      </c>
      <c r="BM225" s="4438">
        <f t="shared" si="293"/>
        <v>0</v>
      </c>
      <c r="BN225" s="4438">
        <f t="shared" si="294"/>
        <v>0</v>
      </c>
      <c r="BO225" s="4438">
        <f t="shared" si="295"/>
        <v>0</v>
      </c>
      <c r="BP225" s="4438">
        <f t="shared" si="296"/>
        <v>0</v>
      </c>
      <c r="BQ225" s="4438">
        <f t="shared" si="297"/>
        <v>0</v>
      </c>
      <c r="BR225" s="4438">
        <f t="shared" si="298"/>
        <v>0</v>
      </c>
      <c r="BS225" s="4438">
        <f t="shared" si="299"/>
        <v>0</v>
      </c>
      <c r="BT225" s="4438">
        <f t="shared" si="300"/>
        <v>0</v>
      </c>
      <c r="BU225" s="4438">
        <f t="shared" si="301"/>
        <v>0</v>
      </c>
      <c r="BV225" s="4438">
        <f t="shared" si="302"/>
        <v>0</v>
      </c>
      <c r="BW225" s="4438">
        <f t="shared" si="303"/>
        <v>0</v>
      </c>
      <c r="BX225" s="4438">
        <f t="shared" si="304"/>
        <v>0</v>
      </c>
      <c r="BY225" s="4438">
        <f t="shared" si="305"/>
        <v>0</v>
      </c>
    </row>
    <row r="226" spans="1:77" s="1292" customFormat="1">
      <c r="A226" s="2573">
        <v>12</v>
      </c>
      <c r="B226" s="2516" t="s">
        <v>698</v>
      </c>
      <c r="C226" s="2517">
        <v>0.02</v>
      </c>
      <c r="D226" s="2547" t="s">
        <v>738</v>
      </c>
      <c r="E226" s="4387">
        <f>+'11.3. ДА Базова година'!F187</f>
        <v>0</v>
      </c>
      <c r="F226" s="2617">
        <f>$E226-SUMIF('11.2. ДА за периода'!$B$155:$B$175,$B226,'11.2. ДА за периода'!$E$155:$E$175)+SUMIF('11.2. ДА за периода'!$B$155:$B$175,$B226,'11.2. ДА за периода'!F$155:F$175)</f>
        <v>0</v>
      </c>
      <c r="G226" s="1110">
        <f>$E226-SUMIF('11.2. ДА за периода'!$B$155:$B$175,$B226,'11.2. ДА за периода'!$E$155:$E$175)+SUMIF('11.2. ДА за периода'!$B$155:$B$175,$B226,'11.2. ДА за периода'!G$155:G$175)</f>
        <v>0</v>
      </c>
      <c r="H226" s="1110">
        <f>$E226-SUMIF('11.2. ДА за периода'!$B$155:$B$175,$B226,'11.2. ДА за периода'!$E$155:$E$175)+SUMIF('11.2. ДА за периода'!$B$155:$B$175,$B226,'11.2. ДА за периода'!H$155:H$175)</f>
        <v>0</v>
      </c>
      <c r="I226" s="1110">
        <f>$E226-SUMIF('11.2. ДА за периода'!$B$155:$B$175,$B226,'11.2. ДА за периода'!$E$155:$E$175)+SUMIF('11.2. ДА за периода'!$B$155:$B$175,$B226,'11.2. ДА за периода'!I$155:I$175)</f>
        <v>0</v>
      </c>
      <c r="J226" s="1110">
        <f>$E226-SUMIF('11.2. ДА за периода'!$B$155:$B$175,$B226,'11.2. ДА за периода'!$E$155:$E$175)+SUMIF('11.2. ДА за периода'!$B$155:$B$175,$B226,'11.2. ДА за периода'!J$155:J$175)</f>
        <v>0</v>
      </c>
      <c r="K226" s="2618">
        <f>$E226-SUMIF('11.2. ДА за периода'!$B$155:$B$175,$B226,'11.2. ДА за периода'!$E$155:$E$175)+SUMIF('11.2. ДА за периода'!$B$155:$B$175,$B226,'11.2. ДА за периода'!K$155:K$175)</f>
        <v>0</v>
      </c>
      <c r="L226" s="4387">
        <f>+'11.3. ДА Базова година'!J187</f>
        <v>1</v>
      </c>
      <c r="M226" s="2617">
        <f>$L226-SUMIF('11.2. ДА за периода'!$B$155:$B$175,$B226,'11.2. ДА за периода'!$L$155:$L$175)+SUMIF('11.2. ДА за периода'!$B$155:$B$175,$B226,'11.2. ДА за периода'!M$155:M$175)</f>
        <v>1</v>
      </c>
      <c r="N226" s="1110">
        <f>$L226-SUMIF('11.2. ДА за периода'!$B$155:$B$175,$B226,'11.2. ДА за периода'!$L$155:$L$175)+SUMIF('11.2. ДА за периода'!$B$155:$B$175,$B226,'11.2. ДА за периода'!N$155:N$175)</f>
        <v>1</v>
      </c>
      <c r="O226" s="1110">
        <f>$L226-SUMIF('11.2. ДА за периода'!$B$155:$B$175,$B226,'11.2. ДА за периода'!$L$155:$L$175)+SUMIF('11.2. ДА за периода'!$B$155:$B$175,$B226,'11.2. ДА за периода'!O$155:O$175)</f>
        <v>1</v>
      </c>
      <c r="P226" s="1110">
        <f>$L226-SUMIF('11.2. ДА за периода'!$B$155:$B$175,$B226,'11.2. ДА за периода'!$L$155:$L$175)+SUMIF('11.2. ДА за периода'!$B$155:$B$175,$B226,'11.2. ДА за периода'!P$155:P$175)</f>
        <v>1</v>
      </c>
      <c r="Q226" s="1110">
        <f>$L226-SUMIF('11.2. ДА за периода'!$B$155:$B$175,$B226,'11.2. ДА за периода'!$L$155:$L$175)+SUMIF('11.2. ДА за периода'!$B$155:$B$175,$B226,'11.2. ДА за периода'!Q$155:Q$175)</f>
        <v>1</v>
      </c>
      <c r="R226" s="2618">
        <f>$L226-SUMIF('11.2. ДА за периода'!$B$155:$B$175,$B226,'11.2. ДА за периода'!$L$155:$L$175)+SUMIF('11.2. ДА за периода'!$B$155:$B$175,$B226,'11.2. ДА за периода'!R$155:R$175)</f>
        <v>1</v>
      </c>
      <c r="S226" s="4387">
        <f>+'11.3. ДА Базова година'!N187</f>
        <v>0</v>
      </c>
      <c r="T226" s="2617">
        <f>$S226-SUMIF('11.2. ДА за периода'!$B$155:$B$175,$B226,'11.2. ДА за периода'!$S$155:$S$175)+SUMIF('11.2. ДА за периода'!$B$155:$B$175,$B226,'11.2. ДА за периода'!T$155:T$175)</f>
        <v>0</v>
      </c>
      <c r="U226" s="1110">
        <f>$S226-SUMIF('11.2. ДА за периода'!$B$155:$B$175,$B226,'11.2. ДА за периода'!$S$155:$S$175)+SUMIF('11.2. ДА за периода'!$B$155:$B$175,$B226,'11.2. ДА за периода'!U$155:U$175)</f>
        <v>0</v>
      </c>
      <c r="V226" s="1110">
        <f>$S226-SUMIF('11.2. ДА за периода'!$B$155:$B$175,$B226,'11.2. ДА за периода'!$S$155:$S$175)+SUMIF('11.2. ДА за периода'!$B$155:$B$175,$B226,'11.2. ДА за периода'!V$155:V$175)</f>
        <v>0</v>
      </c>
      <c r="W226" s="1110">
        <f>$S226-SUMIF('11.2. ДА за периода'!$B$155:$B$175,$B226,'11.2. ДА за периода'!$S$155:$S$175)+SUMIF('11.2. ДА за периода'!$B$155:$B$175,$B226,'11.2. ДА за периода'!W$155:W$175)</f>
        <v>0</v>
      </c>
      <c r="X226" s="1110">
        <f>$S226-SUMIF('11.2. ДА за периода'!$B$155:$B$175,$B226,'11.2. ДА за периода'!$S$155:$S$175)+SUMIF('11.2. ДА за периода'!$B$155:$B$175,$B226,'11.2. ДА за периода'!X$155:X$175)</f>
        <v>0</v>
      </c>
      <c r="Y226" s="2618">
        <f>$S226-SUMIF('11.2. ДА за периода'!$B$155:$B$175,$B226,'11.2. ДА за периода'!$S$155:$S$175)+SUMIF('11.2. ДА за периода'!$B$155:$B$175,$B226,'11.2. ДА за периода'!Y$155:Y$175)</f>
        <v>0</v>
      </c>
      <c r="Z226" s="4387">
        <f>+'11.3. ДА Базова година'!R187</f>
        <v>0</v>
      </c>
      <c r="AA226" s="2617">
        <f>$Z226-SUMIF('11.2. ДА за периода'!$B$155:$B$175,$B226,'11.2. ДА за периода'!$Z$155:$Z$175)+SUMIF('11.2. ДА за периода'!$B$155:$B$175,$B226,'11.2. ДА за периода'!AA$155:AA$175)</f>
        <v>0</v>
      </c>
      <c r="AB226" s="1110">
        <f>$Z226-SUMIF('11.2. ДА за периода'!$B$155:$B$175,$B226,'11.2. ДА за периода'!$Z$155:$Z$175)+SUMIF('11.2. ДА за периода'!$B$155:$B$175,$B226,'11.2. ДА за периода'!AB$155:AB$175)</f>
        <v>0</v>
      </c>
      <c r="AC226" s="1110">
        <f>$Z226-SUMIF('11.2. ДА за периода'!$B$155:$B$175,$B226,'11.2. ДА за периода'!$Z$155:$Z$175)+SUMIF('11.2. ДА за периода'!$B$155:$B$175,$B226,'11.2. ДА за периода'!AC$155:AC$175)</f>
        <v>0</v>
      </c>
      <c r="AD226" s="1110">
        <f>$Z226-SUMIF('11.2. ДА за периода'!$B$155:$B$175,$B226,'11.2. ДА за периода'!$Z$155:$Z$175)+SUMIF('11.2. ДА за периода'!$B$155:$B$175,$B226,'11.2. ДА за периода'!AD$155:AD$175)</f>
        <v>0</v>
      </c>
      <c r="AE226" s="1110">
        <f>$Z226-SUMIF('11.2. ДА за периода'!$B$155:$B$175,$B226,'11.2. ДА за периода'!$Z$155:$Z$175)+SUMIF('11.2. ДА за периода'!$B$155:$B$175,$B226,'11.2. ДА за периода'!AE$155:AE$175)</f>
        <v>0</v>
      </c>
      <c r="AF226" s="2618">
        <f>$Z226-SUMIF('11.2. ДА за периода'!$B$155:$B$175,$B226,'11.2. ДА за периода'!$Z$155:$Z$175)+SUMIF('11.2. ДА за периода'!$B$155:$B$175,$B226,'11.2. ДА за периода'!AF$155:AF$175)</f>
        <v>0</v>
      </c>
      <c r="AG226" s="4387">
        <f>+'11.3. ДА Базова година'!V187</f>
        <v>0</v>
      </c>
      <c r="AH226" s="2617">
        <f>$AG226-SUMIF('11.2. ДА за периода'!$B$155:$B$175,$B226,'11.2. ДА за периода'!$AG$155:$AG$175)+SUMIF('11.2. ДА за периода'!$B$155:$B$175,$B226,'11.2. ДА за периода'!AH$155:AH$175)</f>
        <v>0</v>
      </c>
      <c r="AI226" s="1110">
        <f>$AG226-SUMIF('11.2. ДА за периода'!$B$155:$B$175,$B226,'11.2. ДА за периода'!$AG$155:$AG$175)+SUMIF('11.2. ДА за периода'!$B$155:$B$175,$B226,'11.2. ДА за периода'!AI$155:AI$175)</f>
        <v>0</v>
      </c>
      <c r="AJ226" s="1110">
        <f>$AG226-SUMIF('11.2. ДА за периода'!$B$155:$B$175,$B226,'11.2. ДА за периода'!$AG$155:$AG$175)+SUMIF('11.2. ДА за периода'!$B$155:$B$175,$B226,'11.2. ДА за периода'!AJ$155:AJ$175)</f>
        <v>0</v>
      </c>
      <c r="AK226" s="1110">
        <f>$AG226-SUMIF('11.2. ДА за периода'!$B$155:$B$175,$B226,'11.2. ДА за периода'!$AG$155:$AG$175)+SUMIF('11.2. ДА за периода'!$B$155:$B$175,$B226,'11.2. ДА за периода'!AK$155:AK$175)</f>
        <v>0</v>
      </c>
      <c r="AL226" s="1110">
        <f>$AG226-SUMIF('11.2. ДА за периода'!$B$155:$B$175,$B226,'11.2. ДА за периода'!$AG$155:$AG$175)+SUMIF('11.2. ДА за периода'!$B$155:$B$175,$B226,'11.2. ДА за периода'!AL$155:AL$175)</f>
        <v>0</v>
      </c>
      <c r="AM226" s="2618">
        <f>$AG226-SUMIF('11.2. ДА за периода'!$B$155:$B$175,$B226,'11.2. ДА за периода'!$AG$155:$AG$175)+SUMIF('11.2. ДА за периода'!$B$155:$B$175,$B226,'11.2. ДА за периода'!AM$155:AM$175)</f>
        <v>0</v>
      </c>
      <c r="AN226" s="2524"/>
      <c r="AO226" s="2551"/>
      <c r="AP226" s="4422"/>
      <c r="AQ226" s="4438">
        <f t="shared" si="271"/>
        <v>0</v>
      </c>
      <c r="AR226" s="4438">
        <f t="shared" si="272"/>
        <v>0</v>
      </c>
      <c r="AS226" s="4438">
        <f t="shared" si="273"/>
        <v>0</v>
      </c>
      <c r="AT226" s="4438">
        <f t="shared" si="274"/>
        <v>0</v>
      </c>
      <c r="AU226" s="4438">
        <f t="shared" si="275"/>
        <v>0</v>
      </c>
      <c r="AV226" s="4438">
        <f t="shared" si="276"/>
        <v>0</v>
      </c>
      <c r="AW226" s="4438">
        <f t="shared" si="277"/>
        <v>0</v>
      </c>
      <c r="AX226" s="4438">
        <f t="shared" si="278"/>
        <v>0.51129188119621849</v>
      </c>
      <c r="AY226" s="4438">
        <f t="shared" si="279"/>
        <v>0.51129188119621849</v>
      </c>
      <c r="AZ226" s="4438">
        <f t="shared" si="280"/>
        <v>0.51129188119621849</v>
      </c>
      <c r="BA226" s="4438">
        <f t="shared" si="281"/>
        <v>0.51129188119621849</v>
      </c>
      <c r="BB226" s="4438">
        <f t="shared" si="282"/>
        <v>0.51129188119621849</v>
      </c>
      <c r="BC226" s="4438">
        <f t="shared" si="283"/>
        <v>0.51129188119621849</v>
      </c>
      <c r="BD226" s="4438">
        <f t="shared" si="284"/>
        <v>0.51129188119621849</v>
      </c>
      <c r="BE226" s="4438">
        <f t="shared" si="285"/>
        <v>0</v>
      </c>
      <c r="BF226" s="4438">
        <f t="shared" si="286"/>
        <v>0</v>
      </c>
      <c r="BG226" s="4438">
        <f t="shared" si="287"/>
        <v>0</v>
      </c>
      <c r="BH226" s="4438">
        <f t="shared" si="288"/>
        <v>0</v>
      </c>
      <c r="BI226" s="4438">
        <f t="shared" si="289"/>
        <v>0</v>
      </c>
      <c r="BJ226" s="4438">
        <f t="shared" si="290"/>
        <v>0</v>
      </c>
      <c r="BK226" s="4438">
        <f t="shared" si="291"/>
        <v>0</v>
      </c>
      <c r="BL226" s="4438">
        <f t="shared" si="292"/>
        <v>0</v>
      </c>
      <c r="BM226" s="4438">
        <f t="shared" si="293"/>
        <v>0</v>
      </c>
      <c r="BN226" s="4438">
        <f t="shared" si="294"/>
        <v>0</v>
      </c>
      <c r="BO226" s="4438">
        <f t="shared" si="295"/>
        <v>0</v>
      </c>
      <c r="BP226" s="4438">
        <f t="shared" si="296"/>
        <v>0</v>
      </c>
      <c r="BQ226" s="4438">
        <f t="shared" si="297"/>
        <v>0</v>
      </c>
      <c r="BR226" s="4438">
        <f t="shared" si="298"/>
        <v>0</v>
      </c>
      <c r="BS226" s="4438">
        <f t="shared" si="299"/>
        <v>0</v>
      </c>
      <c r="BT226" s="4438">
        <f t="shared" si="300"/>
        <v>0</v>
      </c>
      <c r="BU226" s="4438">
        <f t="shared" si="301"/>
        <v>0</v>
      </c>
      <c r="BV226" s="4438">
        <f t="shared" si="302"/>
        <v>0</v>
      </c>
      <c r="BW226" s="4438">
        <f t="shared" si="303"/>
        <v>0</v>
      </c>
      <c r="BX226" s="4438">
        <f t="shared" si="304"/>
        <v>0</v>
      </c>
      <c r="BY226" s="4438">
        <f t="shared" si="305"/>
        <v>0</v>
      </c>
    </row>
    <row r="227" spans="1:77" s="1292" customFormat="1">
      <c r="A227" s="2573">
        <v>13</v>
      </c>
      <c r="B227" s="2516" t="s">
        <v>699</v>
      </c>
      <c r="C227" s="2517">
        <v>0.02</v>
      </c>
      <c r="D227" s="2547" t="s">
        <v>739</v>
      </c>
      <c r="E227" s="4387">
        <f>+'11.3. ДА Базова година'!F188</f>
        <v>23</v>
      </c>
      <c r="F227" s="2617">
        <f>$E227-SUMIF('11.2. ДА за периода'!$B$155:$B$175,$B227,'11.2. ДА за периода'!$E$155:$E$175)+SUMIF('11.2. ДА за периода'!$B$155:$B$175,$B227,'11.2. ДА за периода'!F$155:F$175)</f>
        <v>23</v>
      </c>
      <c r="G227" s="1110">
        <f>$E227-SUMIF('11.2. ДА за периода'!$B$155:$B$175,$B227,'11.2. ДА за периода'!$E$155:$E$175)+SUMIF('11.2. ДА за периода'!$B$155:$B$175,$B227,'11.2. ДА за периода'!G$155:G$175)</f>
        <v>23</v>
      </c>
      <c r="H227" s="1110">
        <f>$E227-SUMIF('11.2. ДА за периода'!$B$155:$B$175,$B227,'11.2. ДА за периода'!$E$155:$E$175)+SUMIF('11.2. ДА за периода'!$B$155:$B$175,$B227,'11.2. ДА за периода'!H$155:H$175)</f>
        <v>23</v>
      </c>
      <c r="I227" s="1110">
        <f>$E227-SUMIF('11.2. ДА за периода'!$B$155:$B$175,$B227,'11.2. ДА за периода'!$E$155:$E$175)+SUMIF('11.2. ДА за периода'!$B$155:$B$175,$B227,'11.2. ДА за периода'!I$155:I$175)</f>
        <v>23</v>
      </c>
      <c r="J227" s="1110">
        <f>$E227-SUMIF('11.2. ДА за периода'!$B$155:$B$175,$B227,'11.2. ДА за периода'!$E$155:$E$175)+SUMIF('11.2. ДА за периода'!$B$155:$B$175,$B227,'11.2. ДА за периода'!J$155:J$175)</f>
        <v>23</v>
      </c>
      <c r="K227" s="2618">
        <f>$E227-SUMIF('11.2. ДА за периода'!$B$155:$B$175,$B227,'11.2. ДА за периода'!$E$155:$E$175)+SUMIF('11.2. ДА за периода'!$B$155:$B$175,$B227,'11.2. ДА за периода'!K$155:K$175)</f>
        <v>23</v>
      </c>
      <c r="L227" s="4387">
        <f>+'11.3. ДА Базова година'!J188</f>
        <v>0</v>
      </c>
      <c r="M227" s="2617">
        <f>$L227-SUMIF('11.2. ДА за периода'!$B$155:$B$175,$B227,'11.2. ДА за периода'!$L$155:$L$175)+SUMIF('11.2. ДА за периода'!$B$155:$B$175,$B227,'11.2. ДА за периода'!M$155:M$175)</f>
        <v>0</v>
      </c>
      <c r="N227" s="1110">
        <f>$L227-SUMIF('11.2. ДА за периода'!$B$155:$B$175,$B227,'11.2. ДА за периода'!$L$155:$L$175)+SUMIF('11.2. ДА за периода'!$B$155:$B$175,$B227,'11.2. ДА за периода'!N$155:N$175)</f>
        <v>0</v>
      </c>
      <c r="O227" s="1110">
        <f>$L227-SUMIF('11.2. ДА за периода'!$B$155:$B$175,$B227,'11.2. ДА за периода'!$L$155:$L$175)+SUMIF('11.2. ДА за периода'!$B$155:$B$175,$B227,'11.2. ДА за периода'!O$155:O$175)</f>
        <v>0</v>
      </c>
      <c r="P227" s="1110">
        <f>$L227-SUMIF('11.2. ДА за периода'!$B$155:$B$175,$B227,'11.2. ДА за периода'!$L$155:$L$175)+SUMIF('11.2. ДА за периода'!$B$155:$B$175,$B227,'11.2. ДА за периода'!P$155:P$175)</f>
        <v>0</v>
      </c>
      <c r="Q227" s="1110">
        <f>$L227-SUMIF('11.2. ДА за периода'!$B$155:$B$175,$B227,'11.2. ДА за периода'!$L$155:$L$175)+SUMIF('11.2. ДА за периода'!$B$155:$B$175,$B227,'11.2. ДА за периода'!Q$155:Q$175)</f>
        <v>0</v>
      </c>
      <c r="R227" s="2618">
        <f>$L227-SUMIF('11.2. ДА за периода'!$B$155:$B$175,$B227,'11.2. ДА за периода'!$L$155:$L$175)+SUMIF('11.2. ДА за периода'!$B$155:$B$175,$B227,'11.2. ДА за периода'!R$155:R$175)</f>
        <v>0</v>
      </c>
      <c r="S227" s="4387">
        <f>+'11.3. ДА Базова година'!N188</f>
        <v>0</v>
      </c>
      <c r="T227" s="2617">
        <f>$S227-SUMIF('11.2. ДА за периода'!$B$155:$B$175,$B227,'11.2. ДА за периода'!$S$155:$S$175)+SUMIF('11.2. ДА за периода'!$B$155:$B$175,$B227,'11.2. ДА за периода'!T$155:T$175)</f>
        <v>0</v>
      </c>
      <c r="U227" s="1110">
        <f>$S227-SUMIF('11.2. ДА за периода'!$B$155:$B$175,$B227,'11.2. ДА за периода'!$S$155:$S$175)+SUMIF('11.2. ДА за периода'!$B$155:$B$175,$B227,'11.2. ДА за периода'!U$155:U$175)</f>
        <v>0</v>
      </c>
      <c r="V227" s="1110">
        <f>$S227-SUMIF('11.2. ДА за периода'!$B$155:$B$175,$B227,'11.2. ДА за периода'!$S$155:$S$175)+SUMIF('11.2. ДА за периода'!$B$155:$B$175,$B227,'11.2. ДА за периода'!V$155:V$175)</f>
        <v>0</v>
      </c>
      <c r="W227" s="1110">
        <f>$S227-SUMIF('11.2. ДА за периода'!$B$155:$B$175,$B227,'11.2. ДА за периода'!$S$155:$S$175)+SUMIF('11.2. ДА за периода'!$B$155:$B$175,$B227,'11.2. ДА за периода'!W$155:W$175)</f>
        <v>0</v>
      </c>
      <c r="X227" s="1110">
        <f>$S227-SUMIF('11.2. ДА за периода'!$B$155:$B$175,$B227,'11.2. ДА за периода'!$S$155:$S$175)+SUMIF('11.2. ДА за периода'!$B$155:$B$175,$B227,'11.2. ДА за периода'!X$155:X$175)</f>
        <v>0</v>
      </c>
      <c r="Y227" s="2618">
        <f>$S227-SUMIF('11.2. ДА за периода'!$B$155:$B$175,$B227,'11.2. ДА за периода'!$S$155:$S$175)+SUMIF('11.2. ДА за периода'!$B$155:$B$175,$B227,'11.2. ДА за периода'!Y$155:Y$175)</f>
        <v>0</v>
      </c>
      <c r="Z227" s="4387">
        <f>+'11.3. ДА Базова година'!R188</f>
        <v>0</v>
      </c>
      <c r="AA227" s="2617">
        <f>$Z227-SUMIF('11.2. ДА за периода'!$B$155:$B$175,$B227,'11.2. ДА за периода'!$Z$155:$Z$175)+SUMIF('11.2. ДА за периода'!$B$155:$B$175,$B227,'11.2. ДА за периода'!AA$155:AA$175)</f>
        <v>0</v>
      </c>
      <c r="AB227" s="1110">
        <f>$Z227-SUMIF('11.2. ДА за периода'!$B$155:$B$175,$B227,'11.2. ДА за периода'!$Z$155:$Z$175)+SUMIF('11.2. ДА за периода'!$B$155:$B$175,$B227,'11.2. ДА за периода'!AB$155:AB$175)</f>
        <v>0</v>
      </c>
      <c r="AC227" s="1110">
        <f>$Z227-SUMIF('11.2. ДА за периода'!$B$155:$B$175,$B227,'11.2. ДА за периода'!$Z$155:$Z$175)+SUMIF('11.2. ДА за периода'!$B$155:$B$175,$B227,'11.2. ДА за периода'!AC$155:AC$175)</f>
        <v>0</v>
      </c>
      <c r="AD227" s="1110">
        <f>$Z227-SUMIF('11.2. ДА за периода'!$B$155:$B$175,$B227,'11.2. ДА за периода'!$Z$155:$Z$175)+SUMIF('11.2. ДА за периода'!$B$155:$B$175,$B227,'11.2. ДА за периода'!AD$155:AD$175)</f>
        <v>0</v>
      </c>
      <c r="AE227" s="1110">
        <f>$Z227-SUMIF('11.2. ДА за периода'!$B$155:$B$175,$B227,'11.2. ДА за периода'!$Z$155:$Z$175)+SUMIF('11.2. ДА за периода'!$B$155:$B$175,$B227,'11.2. ДА за периода'!AE$155:AE$175)</f>
        <v>0</v>
      </c>
      <c r="AF227" s="2618">
        <f>$Z227-SUMIF('11.2. ДА за периода'!$B$155:$B$175,$B227,'11.2. ДА за периода'!$Z$155:$Z$175)+SUMIF('11.2. ДА за периода'!$B$155:$B$175,$B227,'11.2. ДА за периода'!AF$155:AF$175)</f>
        <v>0</v>
      </c>
      <c r="AG227" s="4387">
        <f>+'11.3. ДА Базова година'!V188</f>
        <v>0</v>
      </c>
      <c r="AH227" s="2617">
        <f>$AG227-SUMIF('11.2. ДА за периода'!$B$155:$B$175,$B227,'11.2. ДА за периода'!$AG$155:$AG$175)+SUMIF('11.2. ДА за периода'!$B$155:$B$175,$B227,'11.2. ДА за периода'!AH$155:AH$175)</f>
        <v>0</v>
      </c>
      <c r="AI227" s="1110">
        <f>$AG227-SUMIF('11.2. ДА за периода'!$B$155:$B$175,$B227,'11.2. ДА за периода'!$AG$155:$AG$175)+SUMIF('11.2. ДА за периода'!$B$155:$B$175,$B227,'11.2. ДА за периода'!AI$155:AI$175)</f>
        <v>0</v>
      </c>
      <c r="AJ227" s="1110">
        <f>$AG227-SUMIF('11.2. ДА за периода'!$B$155:$B$175,$B227,'11.2. ДА за периода'!$AG$155:$AG$175)+SUMIF('11.2. ДА за периода'!$B$155:$B$175,$B227,'11.2. ДА за периода'!AJ$155:AJ$175)</f>
        <v>0</v>
      </c>
      <c r="AK227" s="1110">
        <f>$AG227-SUMIF('11.2. ДА за периода'!$B$155:$B$175,$B227,'11.2. ДА за периода'!$AG$155:$AG$175)+SUMIF('11.2. ДА за периода'!$B$155:$B$175,$B227,'11.2. ДА за периода'!AK$155:AK$175)</f>
        <v>0</v>
      </c>
      <c r="AL227" s="1110">
        <f>$AG227-SUMIF('11.2. ДА за периода'!$B$155:$B$175,$B227,'11.2. ДА за периода'!$AG$155:$AG$175)+SUMIF('11.2. ДА за периода'!$B$155:$B$175,$B227,'11.2. ДА за периода'!AL$155:AL$175)</f>
        <v>0</v>
      </c>
      <c r="AM227" s="2618">
        <f>$AG227-SUMIF('11.2. ДА за периода'!$B$155:$B$175,$B227,'11.2. ДА за периода'!$AG$155:$AG$175)+SUMIF('11.2. ДА за периода'!$B$155:$B$175,$B227,'11.2. ДА за периода'!AM$155:AM$175)</f>
        <v>0</v>
      </c>
      <c r="AN227" s="2524"/>
      <c r="AO227" s="2551"/>
      <c r="AP227" s="4422"/>
      <c r="AQ227" s="4438">
        <f t="shared" si="271"/>
        <v>11.759713267513025</v>
      </c>
      <c r="AR227" s="4438">
        <f t="shared" si="272"/>
        <v>11.759713267513025</v>
      </c>
      <c r="AS227" s="4438">
        <f t="shared" si="273"/>
        <v>11.759713267513025</v>
      </c>
      <c r="AT227" s="4438">
        <f t="shared" si="274"/>
        <v>11.759713267513025</v>
      </c>
      <c r="AU227" s="4438">
        <f t="shared" si="275"/>
        <v>11.759713267513025</v>
      </c>
      <c r="AV227" s="4438">
        <f t="shared" si="276"/>
        <v>11.759713267513025</v>
      </c>
      <c r="AW227" s="4438">
        <f t="shared" si="277"/>
        <v>11.759713267513025</v>
      </c>
      <c r="AX227" s="4438">
        <f t="shared" si="278"/>
        <v>0</v>
      </c>
      <c r="AY227" s="4438">
        <f t="shared" si="279"/>
        <v>0</v>
      </c>
      <c r="AZ227" s="4438">
        <f t="shared" si="280"/>
        <v>0</v>
      </c>
      <c r="BA227" s="4438">
        <f t="shared" si="281"/>
        <v>0</v>
      </c>
      <c r="BB227" s="4438">
        <f t="shared" si="282"/>
        <v>0</v>
      </c>
      <c r="BC227" s="4438">
        <f t="shared" si="283"/>
        <v>0</v>
      </c>
      <c r="BD227" s="4438">
        <f t="shared" si="284"/>
        <v>0</v>
      </c>
      <c r="BE227" s="4438">
        <f t="shared" si="285"/>
        <v>0</v>
      </c>
      <c r="BF227" s="4438">
        <f t="shared" si="286"/>
        <v>0</v>
      </c>
      <c r="BG227" s="4438">
        <f t="shared" si="287"/>
        <v>0</v>
      </c>
      <c r="BH227" s="4438">
        <f t="shared" si="288"/>
        <v>0</v>
      </c>
      <c r="BI227" s="4438">
        <f t="shared" si="289"/>
        <v>0</v>
      </c>
      <c r="BJ227" s="4438">
        <f t="shared" si="290"/>
        <v>0</v>
      </c>
      <c r="BK227" s="4438">
        <f t="shared" si="291"/>
        <v>0</v>
      </c>
      <c r="BL227" s="4438">
        <f t="shared" si="292"/>
        <v>0</v>
      </c>
      <c r="BM227" s="4438">
        <f t="shared" si="293"/>
        <v>0</v>
      </c>
      <c r="BN227" s="4438">
        <f t="shared" si="294"/>
        <v>0</v>
      </c>
      <c r="BO227" s="4438">
        <f t="shared" si="295"/>
        <v>0</v>
      </c>
      <c r="BP227" s="4438">
        <f t="shared" si="296"/>
        <v>0</v>
      </c>
      <c r="BQ227" s="4438">
        <f t="shared" si="297"/>
        <v>0</v>
      </c>
      <c r="BR227" s="4438">
        <f t="shared" si="298"/>
        <v>0</v>
      </c>
      <c r="BS227" s="4438">
        <f t="shared" si="299"/>
        <v>0</v>
      </c>
      <c r="BT227" s="4438">
        <f t="shared" si="300"/>
        <v>0</v>
      </c>
      <c r="BU227" s="4438">
        <f t="shared" si="301"/>
        <v>0</v>
      </c>
      <c r="BV227" s="4438">
        <f t="shared" si="302"/>
        <v>0</v>
      </c>
      <c r="BW227" s="4438">
        <f t="shared" si="303"/>
        <v>0</v>
      </c>
      <c r="BX227" s="4438">
        <f t="shared" si="304"/>
        <v>0</v>
      </c>
      <c r="BY227" s="4438">
        <f t="shared" si="305"/>
        <v>0</v>
      </c>
    </row>
    <row r="228" spans="1:77" s="1292" customFormat="1">
      <c r="A228" s="2573">
        <v>14</v>
      </c>
      <c r="B228" s="2516" t="s">
        <v>700</v>
      </c>
      <c r="C228" s="2517">
        <v>0.02</v>
      </c>
      <c r="D228" s="2547" t="s">
        <v>418</v>
      </c>
      <c r="E228" s="4387">
        <f>+'11.3. ДА Базова година'!F189</f>
        <v>1</v>
      </c>
      <c r="F228" s="2617">
        <f>$E228-SUMIF('11.2. ДА за периода'!$B$155:$B$175,$B228,'11.2. ДА за периода'!$E$155:$E$175)+SUMIF('11.2. ДА за периода'!$B$155:$B$175,$B228,'11.2. ДА за периода'!F$155:F$175)</f>
        <v>1</v>
      </c>
      <c r="G228" s="1110">
        <f>$E228-SUMIF('11.2. ДА за периода'!$B$155:$B$175,$B228,'11.2. ДА за периода'!$E$155:$E$175)+SUMIF('11.2. ДА за периода'!$B$155:$B$175,$B228,'11.2. ДА за периода'!G$155:G$175)</f>
        <v>1</v>
      </c>
      <c r="H228" s="1110">
        <f>$E228-SUMIF('11.2. ДА за периода'!$B$155:$B$175,$B228,'11.2. ДА за периода'!$E$155:$E$175)+SUMIF('11.2. ДА за периода'!$B$155:$B$175,$B228,'11.2. ДА за периода'!H$155:H$175)</f>
        <v>1</v>
      </c>
      <c r="I228" s="1110">
        <f>$E228-SUMIF('11.2. ДА за периода'!$B$155:$B$175,$B228,'11.2. ДА за периода'!$E$155:$E$175)+SUMIF('11.2. ДА за периода'!$B$155:$B$175,$B228,'11.2. ДА за периода'!I$155:I$175)</f>
        <v>1</v>
      </c>
      <c r="J228" s="1110">
        <f>$E228-SUMIF('11.2. ДА за периода'!$B$155:$B$175,$B228,'11.2. ДА за периода'!$E$155:$E$175)+SUMIF('11.2. ДА за периода'!$B$155:$B$175,$B228,'11.2. ДА за периода'!J$155:J$175)</f>
        <v>1</v>
      </c>
      <c r="K228" s="2618">
        <f>$E228-SUMIF('11.2. ДА за периода'!$B$155:$B$175,$B228,'11.2. ДА за периода'!$E$155:$E$175)+SUMIF('11.2. ДА за периода'!$B$155:$B$175,$B228,'11.2. ДА за периода'!K$155:K$175)</f>
        <v>1</v>
      </c>
      <c r="L228" s="4387">
        <f>+'11.3. ДА Базова година'!J189</f>
        <v>0</v>
      </c>
      <c r="M228" s="2617">
        <f>$L228-SUMIF('11.2. ДА за периода'!$B$155:$B$175,$B228,'11.2. ДА за периода'!$L$155:$L$175)+SUMIF('11.2. ДА за периода'!$B$155:$B$175,$B228,'11.2. ДА за периода'!M$155:M$175)</f>
        <v>0</v>
      </c>
      <c r="N228" s="1110">
        <f>$L228-SUMIF('11.2. ДА за периода'!$B$155:$B$175,$B228,'11.2. ДА за периода'!$L$155:$L$175)+SUMIF('11.2. ДА за периода'!$B$155:$B$175,$B228,'11.2. ДА за периода'!N$155:N$175)</f>
        <v>0</v>
      </c>
      <c r="O228" s="1110">
        <f>$L228-SUMIF('11.2. ДА за периода'!$B$155:$B$175,$B228,'11.2. ДА за периода'!$L$155:$L$175)+SUMIF('11.2. ДА за периода'!$B$155:$B$175,$B228,'11.2. ДА за периода'!O$155:O$175)</f>
        <v>0</v>
      </c>
      <c r="P228" s="1110">
        <f>$L228-SUMIF('11.2. ДА за периода'!$B$155:$B$175,$B228,'11.2. ДА за периода'!$L$155:$L$175)+SUMIF('11.2. ДА за периода'!$B$155:$B$175,$B228,'11.2. ДА за периода'!P$155:P$175)</f>
        <v>0</v>
      </c>
      <c r="Q228" s="1110">
        <f>$L228-SUMIF('11.2. ДА за периода'!$B$155:$B$175,$B228,'11.2. ДА за периода'!$L$155:$L$175)+SUMIF('11.2. ДА за периода'!$B$155:$B$175,$B228,'11.2. ДА за периода'!Q$155:Q$175)</f>
        <v>0</v>
      </c>
      <c r="R228" s="2618">
        <f>$L228-SUMIF('11.2. ДА за периода'!$B$155:$B$175,$B228,'11.2. ДА за периода'!$L$155:$L$175)+SUMIF('11.2. ДА за периода'!$B$155:$B$175,$B228,'11.2. ДА за периода'!R$155:R$175)</f>
        <v>0</v>
      </c>
      <c r="S228" s="4387">
        <f>+'11.3. ДА Базова година'!N189</f>
        <v>0</v>
      </c>
      <c r="T228" s="2617">
        <f>$S228-SUMIF('11.2. ДА за периода'!$B$155:$B$175,$B228,'11.2. ДА за периода'!$S$155:$S$175)+SUMIF('11.2. ДА за периода'!$B$155:$B$175,$B228,'11.2. ДА за периода'!T$155:T$175)</f>
        <v>0</v>
      </c>
      <c r="U228" s="1110">
        <f>$S228-SUMIF('11.2. ДА за периода'!$B$155:$B$175,$B228,'11.2. ДА за периода'!$S$155:$S$175)+SUMIF('11.2. ДА за периода'!$B$155:$B$175,$B228,'11.2. ДА за периода'!U$155:U$175)</f>
        <v>0</v>
      </c>
      <c r="V228" s="1110">
        <f>$S228-SUMIF('11.2. ДА за периода'!$B$155:$B$175,$B228,'11.2. ДА за периода'!$S$155:$S$175)+SUMIF('11.2. ДА за периода'!$B$155:$B$175,$B228,'11.2. ДА за периода'!V$155:V$175)</f>
        <v>0</v>
      </c>
      <c r="W228" s="1110">
        <f>$S228-SUMIF('11.2. ДА за периода'!$B$155:$B$175,$B228,'11.2. ДА за периода'!$S$155:$S$175)+SUMIF('11.2. ДА за периода'!$B$155:$B$175,$B228,'11.2. ДА за периода'!W$155:W$175)</f>
        <v>0</v>
      </c>
      <c r="X228" s="1110">
        <f>$S228-SUMIF('11.2. ДА за периода'!$B$155:$B$175,$B228,'11.2. ДА за периода'!$S$155:$S$175)+SUMIF('11.2. ДА за периода'!$B$155:$B$175,$B228,'11.2. ДА за периода'!X$155:X$175)</f>
        <v>0</v>
      </c>
      <c r="Y228" s="2618">
        <f>$S228-SUMIF('11.2. ДА за периода'!$B$155:$B$175,$B228,'11.2. ДА за периода'!$S$155:$S$175)+SUMIF('11.2. ДА за периода'!$B$155:$B$175,$B228,'11.2. ДА за периода'!Y$155:Y$175)</f>
        <v>0</v>
      </c>
      <c r="Z228" s="4387">
        <f>+'11.3. ДА Базова година'!R189</f>
        <v>0</v>
      </c>
      <c r="AA228" s="2617">
        <f>$Z228-SUMIF('11.2. ДА за периода'!$B$155:$B$175,$B228,'11.2. ДА за периода'!$Z$155:$Z$175)+SUMIF('11.2. ДА за периода'!$B$155:$B$175,$B228,'11.2. ДА за периода'!AA$155:AA$175)</f>
        <v>0</v>
      </c>
      <c r="AB228" s="1110">
        <f>$Z228-SUMIF('11.2. ДА за периода'!$B$155:$B$175,$B228,'11.2. ДА за периода'!$Z$155:$Z$175)+SUMIF('11.2. ДА за периода'!$B$155:$B$175,$B228,'11.2. ДА за периода'!AB$155:AB$175)</f>
        <v>0</v>
      </c>
      <c r="AC228" s="1110">
        <f>$Z228-SUMIF('11.2. ДА за периода'!$B$155:$B$175,$B228,'11.2. ДА за периода'!$Z$155:$Z$175)+SUMIF('11.2. ДА за периода'!$B$155:$B$175,$B228,'11.2. ДА за периода'!AC$155:AC$175)</f>
        <v>0</v>
      </c>
      <c r="AD228" s="1110">
        <f>$Z228-SUMIF('11.2. ДА за периода'!$B$155:$B$175,$B228,'11.2. ДА за периода'!$Z$155:$Z$175)+SUMIF('11.2. ДА за периода'!$B$155:$B$175,$B228,'11.2. ДА за периода'!AD$155:AD$175)</f>
        <v>0</v>
      </c>
      <c r="AE228" s="1110">
        <f>$Z228-SUMIF('11.2. ДА за периода'!$B$155:$B$175,$B228,'11.2. ДА за периода'!$Z$155:$Z$175)+SUMIF('11.2. ДА за периода'!$B$155:$B$175,$B228,'11.2. ДА за периода'!AE$155:AE$175)</f>
        <v>0</v>
      </c>
      <c r="AF228" s="2618">
        <f>$Z228-SUMIF('11.2. ДА за периода'!$B$155:$B$175,$B228,'11.2. ДА за периода'!$Z$155:$Z$175)+SUMIF('11.2. ДА за периода'!$B$155:$B$175,$B228,'11.2. ДА за периода'!AF$155:AF$175)</f>
        <v>0</v>
      </c>
      <c r="AG228" s="4387">
        <f>+'11.3. ДА Базова година'!V189</f>
        <v>0</v>
      </c>
      <c r="AH228" s="2617">
        <f>$AG228-SUMIF('11.2. ДА за периода'!$B$155:$B$175,$B228,'11.2. ДА за периода'!$AG$155:$AG$175)+SUMIF('11.2. ДА за периода'!$B$155:$B$175,$B228,'11.2. ДА за периода'!AH$155:AH$175)</f>
        <v>0</v>
      </c>
      <c r="AI228" s="1110">
        <f>$AG228-SUMIF('11.2. ДА за периода'!$B$155:$B$175,$B228,'11.2. ДА за периода'!$AG$155:$AG$175)+SUMIF('11.2. ДА за периода'!$B$155:$B$175,$B228,'11.2. ДА за периода'!AI$155:AI$175)</f>
        <v>0</v>
      </c>
      <c r="AJ228" s="1110">
        <f>$AG228-SUMIF('11.2. ДА за периода'!$B$155:$B$175,$B228,'11.2. ДА за периода'!$AG$155:$AG$175)+SUMIF('11.2. ДА за периода'!$B$155:$B$175,$B228,'11.2. ДА за периода'!AJ$155:AJ$175)</f>
        <v>0</v>
      </c>
      <c r="AK228" s="1110">
        <f>$AG228-SUMIF('11.2. ДА за периода'!$B$155:$B$175,$B228,'11.2. ДА за периода'!$AG$155:$AG$175)+SUMIF('11.2. ДА за периода'!$B$155:$B$175,$B228,'11.2. ДА за периода'!AK$155:AK$175)</f>
        <v>0</v>
      </c>
      <c r="AL228" s="1110">
        <f>$AG228-SUMIF('11.2. ДА за периода'!$B$155:$B$175,$B228,'11.2. ДА за периода'!$AG$155:$AG$175)+SUMIF('11.2. ДА за периода'!$B$155:$B$175,$B228,'11.2. ДА за периода'!AL$155:AL$175)</f>
        <v>0</v>
      </c>
      <c r="AM228" s="2618">
        <f>$AG228-SUMIF('11.2. ДА за периода'!$B$155:$B$175,$B228,'11.2. ДА за периода'!$AG$155:$AG$175)+SUMIF('11.2. ДА за периода'!$B$155:$B$175,$B228,'11.2. ДА за периода'!AM$155:AM$175)</f>
        <v>0</v>
      </c>
      <c r="AN228" s="2524"/>
      <c r="AO228" s="2551"/>
      <c r="AP228" s="4422"/>
      <c r="AQ228" s="4438">
        <f t="shared" si="271"/>
        <v>0.51129188119621849</v>
      </c>
      <c r="AR228" s="4438">
        <f t="shared" si="272"/>
        <v>0.51129188119621849</v>
      </c>
      <c r="AS228" s="4438">
        <f t="shared" si="273"/>
        <v>0.51129188119621849</v>
      </c>
      <c r="AT228" s="4438">
        <f t="shared" si="274"/>
        <v>0.51129188119621849</v>
      </c>
      <c r="AU228" s="4438">
        <f t="shared" si="275"/>
        <v>0.51129188119621849</v>
      </c>
      <c r="AV228" s="4438">
        <f t="shared" si="276"/>
        <v>0.51129188119621849</v>
      </c>
      <c r="AW228" s="4438">
        <f t="shared" si="277"/>
        <v>0.51129188119621849</v>
      </c>
      <c r="AX228" s="4438">
        <f t="shared" si="278"/>
        <v>0</v>
      </c>
      <c r="AY228" s="4438">
        <f t="shared" si="279"/>
        <v>0</v>
      </c>
      <c r="AZ228" s="4438">
        <f t="shared" si="280"/>
        <v>0</v>
      </c>
      <c r="BA228" s="4438">
        <f t="shared" si="281"/>
        <v>0</v>
      </c>
      <c r="BB228" s="4438">
        <f t="shared" si="282"/>
        <v>0</v>
      </c>
      <c r="BC228" s="4438">
        <f t="shared" si="283"/>
        <v>0</v>
      </c>
      <c r="BD228" s="4438">
        <f t="shared" si="284"/>
        <v>0</v>
      </c>
      <c r="BE228" s="4438">
        <f t="shared" si="285"/>
        <v>0</v>
      </c>
      <c r="BF228" s="4438">
        <f t="shared" si="286"/>
        <v>0</v>
      </c>
      <c r="BG228" s="4438">
        <f t="shared" si="287"/>
        <v>0</v>
      </c>
      <c r="BH228" s="4438">
        <f t="shared" si="288"/>
        <v>0</v>
      </c>
      <c r="BI228" s="4438">
        <f t="shared" si="289"/>
        <v>0</v>
      </c>
      <c r="BJ228" s="4438">
        <f t="shared" si="290"/>
        <v>0</v>
      </c>
      <c r="BK228" s="4438">
        <f t="shared" si="291"/>
        <v>0</v>
      </c>
      <c r="BL228" s="4438">
        <f t="shared" si="292"/>
        <v>0</v>
      </c>
      <c r="BM228" s="4438">
        <f t="shared" si="293"/>
        <v>0</v>
      </c>
      <c r="BN228" s="4438">
        <f t="shared" si="294"/>
        <v>0</v>
      </c>
      <c r="BO228" s="4438">
        <f t="shared" si="295"/>
        <v>0</v>
      </c>
      <c r="BP228" s="4438">
        <f t="shared" si="296"/>
        <v>0</v>
      </c>
      <c r="BQ228" s="4438">
        <f t="shared" si="297"/>
        <v>0</v>
      </c>
      <c r="BR228" s="4438">
        <f t="shared" si="298"/>
        <v>0</v>
      </c>
      <c r="BS228" s="4438">
        <f t="shared" si="299"/>
        <v>0</v>
      </c>
      <c r="BT228" s="4438">
        <f t="shared" si="300"/>
        <v>0</v>
      </c>
      <c r="BU228" s="4438">
        <f t="shared" si="301"/>
        <v>0</v>
      </c>
      <c r="BV228" s="4438">
        <f t="shared" si="302"/>
        <v>0</v>
      </c>
      <c r="BW228" s="4438">
        <f t="shared" si="303"/>
        <v>0</v>
      </c>
      <c r="BX228" s="4438">
        <f t="shared" si="304"/>
        <v>0</v>
      </c>
      <c r="BY228" s="4438">
        <f t="shared" si="305"/>
        <v>0</v>
      </c>
    </row>
    <row r="229" spans="1:77" s="1292" customFormat="1">
      <c r="A229" s="2573">
        <v>15</v>
      </c>
      <c r="B229" s="2516" t="s">
        <v>701</v>
      </c>
      <c r="C229" s="2517">
        <v>0.02</v>
      </c>
      <c r="D229" s="2546" t="s">
        <v>419</v>
      </c>
      <c r="E229" s="4387">
        <f>+'11.3. ДА Базова година'!F190</f>
        <v>23</v>
      </c>
      <c r="F229" s="2617">
        <f>$E229-SUMIF('11.2. ДА за периода'!$B$155:$B$175,$B229,'11.2. ДА за периода'!$E$155:$E$175)+SUMIF('11.2. ДА за периода'!$B$155:$B$175,$B229,'11.2. ДА за периода'!F$155:F$175)</f>
        <v>23</v>
      </c>
      <c r="G229" s="1110">
        <f>$E229-SUMIF('11.2. ДА за периода'!$B$155:$B$175,$B229,'11.2. ДА за периода'!$E$155:$E$175)+SUMIF('11.2. ДА за периода'!$B$155:$B$175,$B229,'11.2. ДА за периода'!G$155:G$175)</f>
        <v>23</v>
      </c>
      <c r="H229" s="1110">
        <f>$E229-SUMIF('11.2. ДА за периода'!$B$155:$B$175,$B229,'11.2. ДА за периода'!$E$155:$E$175)+SUMIF('11.2. ДА за периода'!$B$155:$B$175,$B229,'11.2. ДА за периода'!H$155:H$175)</f>
        <v>23</v>
      </c>
      <c r="I229" s="1110">
        <f>$E229-SUMIF('11.2. ДА за периода'!$B$155:$B$175,$B229,'11.2. ДА за периода'!$E$155:$E$175)+SUMIF('11.2. ДА за периода'!$B$155:$B$175,$B229,'11.2. ДА за периода'!I$155:I$175)</f>
        <v>22.86</v>
      </c>
      <c r="J229" s="1110">
        <f>$E229-SUMIF('11.2. ДА за периода'!$B$155:$B$175,$B229,'11.2. ДА за периода'!$E$155:$E$175)+SUMIF('11.2. ДА за периода'!$B$155:$B$175,$B229,'11.2. ДА за периода'!J$155:J$175)</f>
        <v>22.86</v>
      </c>
      <c r="K229" s="2618">
        <f>$E229-SUMIF('11.2. ДА за периода'!$B$155:$B$175,$B229,'11.2. ДА за периода'!$E$155:$E$175)+SUMIF('11.2. ДА за периода'!$B$155:$B$175,$B229,'11.2. ДА за периода'!K$155:K$175)</f>
        <v>22.86</v>
      </c>
      <c r="L229" s="4387">
        <f>+'11.3. ДА Базова година'!J190</f>
        <v>0</v>
      </c>
      <c r="M229" s="2617">
        <f>$L229-SUMIF('11.2. ДА за периода'!$B$155:$B$175,$B229,'11.2. ДА за периода'!$L$155:$L$175)+SUMIF('11.2. ДА за периода'!$B$155:$B$175,$B229,'11.2. ДА за периода'!M$155:M$175)</f>
        <v>0</v>
      </c>
      <c r="N229" s="1110">
        <f>$L229-SUMIF('11.2. ДА за периода'!$B$155:$B$175,$B229,'11.2. ДА за периода'!$L$155:$L$175)+SUMIF('11.2. ДА за периода'!$B$155:$B$175,$B229,'11.2. ДА за периода'!N$155:N$175)</f>
        <v>0</v>
      </c>
      <c r="O229" s="1110">
        <f>$L229-SUMIF('11.2. ДА за периода'!$B$155:$B$175,$B229,'11.2. ДА за периода'!$L$155:$L$175)+SUMIF('11.2. ДА за периода'!$B$155:$B$175,$B229,'11.2. ДА за периода'!O$155:O$175)</f>
        <v>0</v>
      </c>
      <c r="P229" s="1110">
        <f>$L229-SUMIF('11.2. ДА за периода'!$B$155:$B$175,$B229,'11.2. ДА за периода'!$L$155:$L$175)+SUMIF('11.2. ДА за периода'!$B$155:$B$175,$B229,'11.2. ДА за периода'!P$155:P$175)</f>
        <v>0</v>
      </c>
      <c r="Q229" s="1110">
        <f>$L229-SUMIF('11.2. ДА за периода'!$B$155:$B$175,$B229,'11.2. ДА за периода'!$L$155:$L$175)+SUMIF('11.2. ДА за периода'!$B$155:$B$175,$B229,'11.2. ДА за периода'!Q$155:Q$175)</f>
        <v>0</v>
      </c>
      <c r="R229" s="2618">
        <f>$L229-SUMIF('11.2. ДА за периода'!$B$155:$B$175,$B229,'11.2. ДА за периода'!$L$155:$L$175)+SUMIF('11.2. ДА за периода'!$B$155:$B$175,$B229,'11.2. ДА за периода'!R$155:R$175)</f>
        <v>0</v>
      </c>
      <c r="S229" s="4387">
        <f>+'11.3. ДА Базова година'!N190</f>
        <v>0</v>
      </c>
      <c r="T229" s="2617">
        <f>$S229-SUMIF('11.2. ДА за периода'!$B$155:$B$175,$B229,'11.2. ДА за периода'!$S$155:$S$175)+SUMIF('11.2. ДА за периода'!$B$155:$B$175,$B229,'11.2. ДА за периода'!T$155:T$175)</f>
        <v>0</v>
      </c>
      <c r="U229" s="1110">
        <f>$S229-SUMIF('11.2. ДА за периода'!$B$155:$B$175,$B229,'11.2. ДА за периода'!$S$155:$S$175)+SUMIF('11.2. ДА за периода'!$B$155:$B$175,$B229,'11.2. ДА за периода'!U$155:U$175)</f>
        <v>0</v>
      </c>
      <c r="V229" s="1110">
        <f>$S229-SUMIF('11.2. ДА за периода'!$B$155:$B$175,$B229,'11.2. ДА за периода'!$S$155:$S$175)+SUMIF('11.2. ДА за периода'!$B$155:$B$175,$B229,'11.2. ДА за периода'!V$155:V$175)</f>
        <v>0</v>
      </c>
      <c r="W229" s="1110">
        <f>$S229-SUMIF('11.2. ДА за периода'!$B$155:$B$175,$B229,'11.2. ДА за периода'!$S$155:$S$175)+SUMIF('11.2. ДА за периода'!$B$155:$B$175,$B229,'11.2. ДА за периода'!W$155:W$175)</f>
        <v>0</v>
      </c>
      <c r="X229" s="1110">
        <f>$S229-SUMIF('11.2. ДА за периода'!$B$155:$B$175,$B229,'11.2. ДА за периода'!$S$155:$S$175)+SUMIF('11.2. ДА за периода'!$B$155:$B$175,$B229,'11.2. ДА за периода'!X$155:X$175)</f>
        <v>0</v>
      </c>
      <c r="Y229" s="2618">
        <f>$S229-SUMIF('11.2. ДА за периода'!$B$155:$B$175,$B229,'11.2. ДА за периода'!$S$155:$S$175)+SUMIF('11.2. ДА за периода'!$B$155:$B$175,$B229,'11.2. ДА за периода'!Y$155:Y$175)</f>
        <v>0</v>
      </c>
      <c r="Z229" s="4387">
        <f>+'11.3. ДА Базова година'!R190</f>
        <v>0</v>
      </c>
      <c r="AA229" s="2617">
        <f>$Z229-SUMIF('11.2. ДА за периода'!$B$155:$B$175,$B229,'11.2. ДА за периода'!$Z$155:$Z$175)+SUMIF('11.2. ДА за периода'!$B$155:$B$175,$B229,'11.2. ДА за периода'!AA$155:AA$175)</f>
        <v>0</v>
      </c>
      <c r="AB229" s="1110">
        <f>$Z229-SUMIF('11.2. ДА за периода'!$B$155:$B$175,$B229,'11.2. ДА за периода'!$Z$155:$Z$175)+SUMIF('11.2. ДА за периода'!$B$155:$B$175,$B229,'11.2. ДА за периода'!AB$155:AB$175)</f>
        <v>0</v>
      </c>
      <c r="AC229" s="1110">
        <f>$Z229-SUMIF('11.2. ДА за периода'!$B$155:$B$175,$B229,'11.2. ДА за периода'!$Z$155:$Z$175)+SUMIF('11.2. ДА за периода'!$B$155:$B$175,$B229,'11.2. ДА за периода'!AC$155:AC$175)</f>
        <v>0</v>
      </c>
      <c r="AD229" s="1110">
        <f>$Z229-SUMIF('11.2. ДА за периода'!$B$155:$B$175,$B229,'11.2. ДА за периода'!$Z$155:$Z$175)+SUMIF('11.2. ДА за периода'!$B$155:$B$175,$B229,'11.2. ДА за периода'!AD$155:AD$175)</f>
        <v>0</v>
      </c>
      <c r="AE229" s="1110">
        <f>$Z229-SUMIF('11.2. ДА за периода'!$B$155:$B$175,$B229,'11.2. ДА за периода'!$Z$155:$Z$175)+SUMIF('11.2. ДА за периода'!$B$155:$B$175,$B229,'11.2. ДА за периода'!AE$155:AE$175)</f>
        <v>0</v>
      </c>
      <c r="AF229" s="2618">
        <f>$Z229-SUMIF('11.2. ДА за периода'!$B$155:$B$175,$B229,'11.2. ДА за периода'!$Z$155:$Z$175)+SUMIF('11.2. ДА за периода'!$B$155:$B$175,$B229,'11.2. ДА за периода'!AF$155:AF$175)</f>
        <v>0</v>
      </c>
      <c r="AG229" s="4387">
        <f>+'11.3. ДА Базова година'!V190</f>
        <v>0</v>
      </c>
      <c r="AH229" s="2617">
        <f>$AG229-SUMIF('11.2. ДА за периода'!$B$155:$B$175,$B229,'11.2. ДА за периода'!$AG$155:$AG$175)+SUMIF('11.2. ДА за периода'!$B$155:$B$175,$B229,'11.2. ДА за периода'!AH$155:AH$175)</f>
        <v>0</v>
      </c>
      <c r="AI229" s="1110">
        <f>$AG229-SUMIF('11.2. ДА за периода'!$B$155:$B$175,$B229,'11.2. ДА за периода'!$AG$155:$AG$175)+SUMIF('11.2. ДА за периода'!$B$155:$B$175,$B229,'11.2. ДА за периода'!AI$155:AI$175)</f>
        <v>0</v>
      </c>
      <c r="AJ229" s="1110">
        <f>$AG229-SUMIF('11.2. ДА за периода'!$B$155:$B$175,$B229,'11.2. ДА за периода'!$AG$155:$AG$175)+SUMIF('11.2. ДА за периода'!$B$155:$B$175,$B229,'11.2. ДА за периода'!AJ$155:AJ$175)</f>
        <v>0</v>
      </c>
      <c r="AK229" s="1110">
        <f>$AG229-SUMIF('11.2. ДА за периода'!$B$155:$B$175,$B229,'11.2. ДА за периода'!$AG$155:$AG$175)+SUMIF('11.2. ДА за периода'!$B$155:$B$175,$B229,'11.2. ДА за периода'!AK$155:AK$175)</f>
        <v>0</v>
      </c>
      <c r="AL229" s="1110">
        <f>$AG229-SUMIF('11.2. ДА за периода'!$B$155:$B$175,$B229,'11.2. ДА за периода'!$AG$155:$AG$175)+SUMIF('11.2. ДА за периода'!$B$155:$B$175,$B229,'11.2. ДА за периода'!AL$155:AL$175)</f>
        <v>0</v>
      </c>
      <c r="AM229" s="2618">
        <f>$AG229-SUMIF('11.2. ДА за периода'!$B$155:$B$175,$B229,'11.2. ДА за периода'!$AG$155:$AG$175)+SUMIF('11.2. ДА за периода'!$B$155:$B$175,$B229,'11.2. ДА за периода'!AM$155:AM$175)</f>
        <v>0</v>
      </c>
      <c r="AN229" s="2524"/>
      <c r="AO229" s="2551"/>
      <c r="AP229" s="4422"/>
      <c r="AQ229" s="4438">
        <f t="shared" si="271"/>
        <v>11.759713267513025</v>
      </c>
      <c r="AR229" s="4438">
        <f t="shared" si="272"/>
        <v>11.759713267513025</v>
      </c>
      <c r="AS229" s="4438">
        <f t="shared" si="273"/>
        <v>11.759713267513025</v>
      </c>
      <c r="AT229" s="4438">
        <f t="shared" si="274"/>
        <v>11.759713267513025</v>
      </c>
      <c r="AU229" s="4438">
        <f t="shared" si="275"/>
        <v>11.688132404145554</v>
      </c>
      <c r="AV229" s="4438">
        <f t="shared" si="276"/>
        <v>11.688132404145554</v>
      </c>
      <c r="AW229" s="4438">
        <f t="shared" si="277"/>
        <v>11.688132404145554</v>
      </c>
      <c r="AX229" s="4438">
        <f t="shared" si="278"/>
        <v>0</v>
      </c>
      <c r="AY229" s="4438">
        <f t="shared" si="279"/>
        <v>0</v>
      </c>
      <c r="AZ229" s="4438">
        <f t="shared" si="280"/>
        <v>0</v>
      </c>
      <c r="BA229" s="4438">
        <f t="shared" si="281"/>
        <v>0</v>
      </c>
      <c r="BB229" s="4438">
        <f t="shared" si="282"/>
        <v>0</v>
      </c>
      <c r="BC229" s="4438">
        <f t="shared" si="283"/>
        <v>0</v>
      </c>
      <c r="BD229" s="4438">
        <f t="shared" si="284"/>
        <v>0</v>
      </c>
      <c r="BE229" s="4438">
        <f t="shared" si="285"/>
        <v>0</v>
      </c>
      <c r="BF229" s="4438">
        <f t="shared" si="286"/>
        <v>0</v>
      </c>
      <c r="BG229" s="4438">
        <f t="shared" si="287"/>
        <v>0</v>
      </c>
      <c r="BH229" s="4438">
        <f t="shared" si="288"/>
        <v>0</v>
      </c>
      <c r="BI229" s="4438">
        <f t="shared" si="289"/>
        <v>0</v>
      </c>
      <c r="BJ229" s="4438">
        <f t="shared" si="290"/>
        <v>0</v>
      </c>
      <c r="BK229" s="4438">
        <f t="shared" si="291"/>
        <v>0</v>
      </c>
      <c r="BL229" s="4438">
        <f t="shared" si="292"/>
        <v>0</v>
      </c>
      <c r="BM229" s="4438">
        <f t="shared" si="293"/>
        <v>0</v>
      </c>
      <c r="BN229" s="4438">
        <f t="shared" si="294"/>
        <v>0</v>
      </c>
      <c r="BO229" s="4438">
        <f t="shared" si="295"/>
        <v>0</v>
      </c>
      <c r="BP229" s="4438">
        <f t="shared" si="296"/>
        <v>0</v>
      </c>
      <c r="BQ229" s="4438">
        <f t="shared" si="297"/>
        <v>0</v>
      </c>
      <c r="BR229" s="4438">
        <f t="shared" si="298"/>
        <v>0</v>
      </c>
      <c r="BS229" s="4438">
        <f t="shared" si="299"/>
        <v>0</v>
      </c>
      <c r="BT229" s="4438">
        <f t="shared" si="300"/>
        <v>0</v>
      </c>
      <c r="BU229" s="4438">
        <f t="shared" si="301"/>
        <v>0</v>
      </c>
      <c r="BV229" s="4438">
        <f t="shared" si="302"/>
        <v>0</v>
      </c>
      <c r="BW229" s="4438">
        <f t="shared" si="303"/>
        <v>0</v>
      </c>
      <c r="BX229" s="4438">
        <f t="shared" si="304"/>
        <v>0</v>
      </c>
      <c r="BY229" s="4438">
        <f t="shared" si="305"/>
        <v>0</v>
      </c>
    </row>
    <row r="230" spans="1:77" s="1292" customFormat="1">
      <c r="A230" s="2573">
        <v>16</v>
      </c>
      <c r="B230" s="2516" t="s">
        <v>702</v>
      </c>
      <c r="C230" s="2517">
        <v>0.02</v>
      </c>
      <c r="D230" s="2547" t="s">
        <v>420</v>
      </c>
      <c r="E230" s="4387">
        <f>+'11.3. ДА Базова година'!F191</f>
        <v>1372</v>
      </c>
      <c r="F230" s="2617">
        <f>$E230-SUMIF('11.2. ДА за периода'!$B$155:$B$175,$B230,'11.2. ДА за периода'!$E$155:$E$175)+SUMIF('11.2. ДА за периода'!$B$155:$B$175,$B230,'11.2. ДА за периода'!F$155:F$175)</f>
        <v>1372</v>
      </c>
      <c r="G230" s="1110">
        <f>$E230-SUMIF('11.2. ДА за периода'!$B$155:$B$175,$B230,'11.2. ДА за периода'!$E$155:$E$175)+SUMIF('11.2. ДА за периода'!$B$155:$B$175,$B230,'11.2. ДА за периода'!G$155:G$175)</f>
        <v>1372</v>
      </c>
      <c r="H230" s="1110">
        <f>$E230-SUMIF('11.2. ДА за периода'!$B$155:$B$175,$B230,'11.2. ДА за периода'!$E$155:$E$175)+SUMIF('11.2. ДА за периода'!$B$155:$B$175,$B230,'11.2. ДА за периода'!H$155:H$175)</f>
        <v>1372</v>
      </c>
      <c r="I230" s="1110">
        <f>$E230-SUMIF('11.2. ДА за периода'!$B$155:$B$175,$B230,'11.2. ДА за периода'!$E$155:$E$175)+SUMIF('11.2. ДА за периода'!$B$155:$B$175,$B230,'11.2. ДА за периода'!I$155:I$175)</f>
        <v>1372</v>
      </c>
      <c r="J230" s="1110">
        <f>$E230-SUMIF('11.2. ДА за периода'!$B$155:$B$175,$B230,'11.2. ДА за периода'!$E$155:$E$175)+SUMIF('11.2. ДА за периода'!$B$155:$B$175,$B230,'11.2. ДА за периода'!J$155:J$175)</f>
        <v>1372</v>
      </c>
      <c r="K230" s="2618">
        <f>$E230-SUMIF('11.2. ДА за периода'!$B$155:$B$175,$B230,'11.2. ДА за периода'!$E$155:$E$175)+SUMIF('11.2. ДА за периода'!$B$155:$B$175,$B230,'11.2. ДА за периода'!K$155:K$175)</f>
        <v>1372</v>
      </c>
      <c r="L230" s="4387">
        <f>+'11.3. ДА Базова година'!J191</f>
        <v>0</v>
      </c>
      <c r="M230" s="2617">
        <f>$L230-SUMIF('11.2. ДА за периода'!$B$155:$B$175,$B230,'11.2. ДА за периода'!$L$155:$L$175)+SUMIF('11.2. ДА за периода'!$B$155:$B$175,$B230,'11.2. ДА за периода'!M$155:M$175)</f>
        <v>0</v>
      </c>
      <c r="N230" s="1110">
        <f>$L230-SUMIF('11.2. ДА за периода'!$B$155:$B$175,$B230,'11.2. ДА за периода'!$L$155:$L$175)+SUMIF('11.2. ДА за периода'!$B$155:$B$175,$B230,'11.2. ДА за периода'!N$155:N$175)</f>
        <v>0</v>
      </c>
      <c r="O230" s="1110">
        <f>$L230-SUMIF('11.2. ДА за периода'!$B$155:$B$175,$B230,'11.2. ДА за периода'!$L$155:$L$175)+SUMIF('11.2. ДА за периода'!$B$155:$B$175,$B230,'11.2. ДА за периода'!O$155:O$175)</f>
        <v>0</v>
      </c>
      <c r="P230" s="1110">
        <f>$L230-SUMIF('11.2. ДА за периода'!$B$155:$B$175,$B230,'11.2. ДА за периода'!$L$155:$L$175)+SUMIF('11.2. ДА за периода'!$B$155:$B$175,$B230,'11.2. ДА за периода'!P$155:P$175)</f>
        <v>0</v>
      </c>
      <c r="Q230" s="1110">
        <f>$L230-SUMIF('11.2. ДА за периода'!$B$155:$B$175,$B230,'11.2. ДА за периода'!$L$155:$L$175)+SUMIF('11.2. ДА за периода'!$B$155:$B$175,$B230,'11.2. ДА за периода'!Q$155:Q$175)</f>
        <v>0</v>
      </c>
      <c r="R230" s="2618">
        <f>$L230-SUMIF('11.2. ДА за периода'!$B$155:$B$175,$B230,'11.2. ДА за периода'!$L$155:$L$175)+SUMIF('11.2. ДА за периода'!$B$155:$B$175,$B230,'11.2. ДА за периода'!R$155:R$175)</f>
        <v>0</v>
      </c>
      <c r="S230" s="4387">
        <f>+'11.3. ДА Базова година'!N191</f>
        <v>0</v>
      </c>
      <c r="T230" s="2617">
        <f>$S230-SUMIF('11.2. ДА за периода'!$B$155:$B$175,$B230,'11.2. ДА за периода'!$S$155:$S$175)+SUMIF('11.2. ДА за периода'!$B$155:$B$175,$B230,'11.2. ДА за периода'!T$155:T$175)</f>
        <v>0</v>
      </c>
      <c r="U230" s="1110">
        <f>$S230-SUMIF('11.2. ДА за периода'!$B$155:$B$175,$B230,'11.2. ДА за периода'!$S$155:$S$175)+SUMIF('11.2. ДА за периода'!$B$155:$B$175,$B230,'11.2. ДА за периода'!U$155:U$175)</f>
        <v>0</v>
      </c>
      <c r="V230" s="1110">
        <f>$S230-SUMIF('11.2. ДА за периода'!$B$155:$B$175,$B230,'11.2. ДА за периода'!$S$155:$S$175)+SUMIF('11.2. ДА за периода'!$B$155:$B$175,$B230,'11.2. ДА за периода'!V$155:V$175)</f>
        <v>0</v>
      </c>
      <c r="W230" s="1110">
        <f>$S230-SUMIF('11.2. ДА за периода'!$B$155:$B$175,$B230,'11.2. ДА за периода'!$S$155:$S$175)+SUMIF('11.2. ДА за периода'!$B$155:$B$175,$B230,'11.2. ДА за периода'!W$155:W$175)</f>
        <v>0</v>
      </c>
      <c r="X230" s="1110">
        <f>$S230-SUMIF('11.2. ДА за периода'!$B$155:$B$175,$B230,'11.2. ДА за периода'!$S$155:$S$175)+SUMIF('11.2. ДА за периода'!$B$155:$B$175,$B230,'11.2. ДА за периода'!X$155:X$175)</f>
        <v>0</v>
      </c>
      <c r="Y230" s="2618">
        <f>$S230-SUMIF('11.2. ДА за периода'!$B$155:$B$175,$B230,'11.2. ДА за периода'!$S$155:$S$175)+SUMIF('11.2. ДА за периода'!$B$155:$B$175,$B230,'11.2. ДА за периода'!Y$155:Y$175)</f>
        <v>0</v>
      </c>
      <c r="Z230" s="4387">
        <f>+'11.3. ДА Базова година'!R191</f>
        <v>0</v>
      </c>
      <c r="AA230" s="2617">
        <f>$Z230-SUMIF('11.2. ДА за периода'!$B$155:$B$175,$B230,'11.2. ДА за периода'!$Z$155:$Z$175)+SUMIF('11.2. ДА за периода'!$B$155:$B$175,$B230,'11.2. ДА за периода'!AA$155:AA$175)</f>
        <v>0</v>
      </c>
      <c r="AB230" s="1110">
        <f>$Z230-SUMIF('11.2. ДА за периода'!$B$155:$B$175,$B230,'11.2. ДА за периода'!$Z$155:$Z$175)+SUMIF('11.2. ДА за периода'!$B$155:$B$175,$B230,'11.2. ДА за периода'!AB$155:AB$175)</f>
        <v>0</v>
      </c>
      <c r="AC230" s="1110">
        <f>$Z230-SUMIF('11.2. ДА за периода'!$B$155:$B$175,$B230,'11.2. ДА за периода'!$Z$155:$Z$175)+SUMIF('11.2. ДА за периода'!$B$155:$B$175,$B230,'11.2. ДА за периода'!AC$155:AC$175)</f>
        <v>0</v>
      </c>
      <c r="AD230" s="1110">
        <f>$Z230-SUMIF('11.2. ДА за периода'!$B$155:$B$175,$B230,'11.2. ДА за периода'!$Z$155:$Z$175)+SUMIF('11.2. ДА за периода'!$B$155:$B$175,$B230,'11.2. ДА за периода'!AD$155:AD$175)</f>
        <v>0</v>
      </c>
      <c r="AE230" s="1110">
        <f>$Z230-SUMIF('11.2. ДА за периода'!$B$155:$B$175,$B230,'11.2. ДА за периода'!$Z$155:$Z$175)+SUMIF('11.2. ДА за периода'!$B$155:$B$175,$B230,'11.2. ДА за периода'!AE$155:AE$175)</f>
        <v>0</v>
      </c>
      <c r="AF230" s="2618">
        <f>$Z230-SUMIF('11.2. ДА за периода'!$B$155:$B$175,$B230,'11.2. ДА за периода'!$Z$155:$Z$175)+SUMIF('11.2. ДА за периода'!$B$155:$B$175,$B230,'11.2. ДА за периода'!AF$155:AF$175)</f>
        <v>0</v>
      </c>
      <c r="AG230" s="4387">
        <f>+'11.3. ДА Базова година'!V191</f>
        <v>0</v>
      </c>
      <c r="AH230" s="2617">
        <f>$AG230-SUMIF('11.2. ДА за периода'!$B$155:$B$175,$B230,'11.2. ДА за периода'!$AG$155:$AG$175)+SUMIF('11.2. ДА за периода'!$B$155:$B$175,$B230,'11.2. ДА за периода'!AH$155:AH$175)</f>
        <v>0</v>
      </c>
      <c r="AI230" s="1110">
        <f>$AG230-SUMIF('11.2. ДА за периода'!$B$155:$B$175,$B230,'11.2. ДА за периода'!$AG$155:$AG$175)+SUMIF('11.2. ДА за периода'!$B$155:$B$175,$B230,'11.2. ДА за периода'!AI$155:AI$175)</f>
        <v>0</v>
      </c>
      <c r="AJ230" s="1110">
        <f>$AG230-SUMIF('11.2. ДА за периода'!$B$155:$B$175,$B230,'11.2. ДА за периода'!$AG$155:$AG$175)+SUMIF('11.2. ДА за периода'!$B$155:$B$175,$B230,'11.2. ДА за периода'!AJ$155:AJ$175)</f>
        <v>0</v>
      </c>
      <c r="AK230" s="1110">
        <f>$AG230-SUMIF('11.2. ДА за периода'!$B$155:$B$175,$B230,'11.2. ДА за периода'!$AG$155:$AG$175)+SUMIF('11.2. ДА за периода'!$B$155:$B$175,$B230,'11.2. ДА за периода'!AK$155:AK$175)</f>
        <v>0</v>
      </c>
      <c r="AL230" s="1110">
        <f>$AG230-SUMIF('11.2. ДА за периода'!$B$155:$B$175,$B230,'11.2. ДА за периода'!$AG$155:$AG$175)+SUMIF('11.2. ДА за периода'!$B$155:$B$175,$B230,'11.2. ДА за периода'!AL$155:AL$175)</f>
        <v>0</v>
      </c>
      <c r="AM230" s="2618">
        <f>$AG230-SUMIF('11.2. ДА за периода'!$B$155:$B$175,$B230,'11.2. ДА за периода'!$AG$155:$AG$175)+SUMIF('11.2. ДА за периода'!$B$155:$B$175,$B230,'11.2. ДА за периода'!AM$155:AM$175)</f>
        <v>0</v>
      </c>
      <c r="AN230" s="2524"/>
      <c r="AO230" s="2551"/>
      <c r="AP230" s="4422"/>
      <c r="AQ230" s="4438">
        <f t="shared" si="271"/>
        <v>701.49246100121172</v>
      </c>
      <c r="AR230" s="4438">
        <f t="shared" si="272"/>
        <v>701.49246100121172</v>
      </c>
      <c r="AS230" s="4438">
        <f t="shared" si="273"/>
        <v>701.49246100121172</v>
      </c>
      <c r="AT230" s="4438">
        <f t="shared" si="274"/>
        <v>701.49246100121172</v>
      </c>
      <c r="AU230" s="4438">
        <f t="shared" si="275"/>
        <v>701.49246100121172</v>
      </c>
      <c r="AV230" s="4438">
        <f t="shared" si="276"/>
        <v>701.49246100121172</v>
      </c>
      <c r="AW230" s="4438">
        <f t="shared" si="277"/>
        <v>701.49246100121172</v>
      </c>
      <c r="AX230" s="4438">
        <f t="shared" si="278"/>
        <v>0</v>
      </c>
      <c r="AY230" s="4438">
        <f t="shared" si="279"/>
        <v>0</v>
      </c>
      <c r="AZ230" s="4438">
        <f t="shared" si="280"/>
        <v>0</v>
      </c>
      <c r="BA230" s="4438">
        <f t="shared" si="281"/>
        <v>0</v>
      </c>
      <c r="BB230" s="4438">
        <f t="shared" si="282"/>
        <v>0</v>
      </c>
      <c r="BC230" s="4438">
        <f t="shared" si="283"/>
        <v>0</v>
      </c>
      <c r="BD230" s="4438">
        <f t="shared" si="284"/>
        <v>0</v>
      </c>
      <c r="BE230" s="4438">
        <f t="shared" si="285"/>
        <v>0</v>
      </c>
      <c r="BF230" s="4438">
        <f t="shared" si="286"/>
        <v>0</v>
      </c>
      <c r="BG230" s="4438">
        <f t="shared" si="287"/>
        <v>0</v>
      </c>
      <c r="BH230" s="4438">
        <f t="shared" si="288"/>
        <v>0</v>
      </c>
      <c r="BI230" s="4438">
        <f t="shared" si="289"/>
        <v>0</v>
      </c>
      <c r="BJ230" s="4438">
        <f t="shared" si="290"/>
        <v>0</v>
      </c>
      <c r="BK230" s="4438">
        <f t="shared" si="291"/>
        <v>0</v>
      </c>
      <c r="BL230" s="4438">
        <f t="shared" si="292"/>
        <v>0</v>
      </c>
      <c r="BM230" s="4438">
        <f t="shared" si="293"/>
        <v>0</v>
      </c>
      <c r="BN230" s="4438">
        <f t="shared" si="294"/>
        <v>0</v>
      </c>
      <c r="BO230" s="4438">
        <f t="shared" si="295"/>
        <v>0</v>
      </c>
      <c r="BP230" s="4438">
        <f t="shared" si="296"/>
        <v>0</v>
      </c>
      <c r="BQ230" s="4438">
        <f t="shared" si="297"/>
        <v>0</v>
      </c>
      <c r="BR230" s="4438">
        <f t="shared" si="298"/>
        <v>0</v>
      </c>
      <c r="BS230" s="4438">
        <f t="shared" si="299"/>
        <v>0</v>
      </c>
      <c r="BT230" s="4438">
        <f t="shared" si="300"/>
        <v>0</v>
      </c>
      <c r="BU230" s="4438">
        <f t="shared" si="301"/>
        <v>0</v>
      </c>
      <c r="BV230" s="4438">
        <f t="shared" si="302"/>
        <v>0</v>
      </c>
      <c r="BW230" s="4438">
        <f t="shared" si="303"/>
        <v>0</v>
      </c>
      <c r="BX230" s="4438">
        <f t="shared" si="304"/>
        <v>0</v>
      </c>
      <c r="BY230" s="4438">
        <f t="shared" si="305"/>
        <v>0</v>
      </c>
    </row>
    <row r="231" spans="1:77" s="1292" customFormat="1">
      <c r="A231" s="2573">
        <v>17</v>
      </c>
      <c r="B231" s="2516" t="s">
        <v>703</v>
      </c>
      <c r="C231" s="2517">
        <v>0.02</v>
      </c>
      <c r="D231" s="2552" t="s">
        <v>421</v>
      </c>
      <c r="E231" s="4387">
        <f>+'11.3. ДА Базова година'!F192</f>
        <v>0</v>
      </c>
      <c r="F231" s="2617">
        <f>$E231-SUMIF('11.2. ДА за периода'!$B$155:$B$175,$B231,'11.2. ДА за периода'!$E$155:$E$175)+SUMIF('11.2. ДА за периода'!$B$155:$B$175,$B231,'11.2. ДА за периода'!F$155:F$175)</f>
        <v>0</v>
      </c>
      <c r="G231" s="1110">
        <f>$E231-SUMIF('11.2. ДА за периода'!$B$155:$B$175,$B231,'11.2. ДА за периода'!$E$155:$E$175)+SUMIF('11.2. ДА за периода'!$B$155:$B$175,$B231,'11.2. ДА за периода'!G$155:G$175)</f>
        <v>0</v>
      </c>
      <c r="H231" s="1110">
        <f>$E231-SUMIF('11.2. ДА за периода'!$B$155:$B$175,$B231,'11.2. ДА за периода'!$E$155:$E$175)+SUMIF('11.2. ДА за периода'!$B$155:$B$175,$B231,'11.2. ДА за периода'!H$155:H$175)</f>
        <v>0</v>
      </c>
      <c r="I231" s="1110">
        <f>$E231-SUMIF('11.2. ДА за периода'!$B$155:$B$175,$B231,'11.2. ДА за периода'!$E$155:$E$175)+SUMIF('11.2. ДА за периода'!$B$155:$B$175,$B231,'11.2. ДА за периода'!I$155:I$175)</f>
        <v>0</v>
      </c>
      <c r="J231" s="1110">
        <f>$E231-SUMIF('11.2. ДА за периода'!$B$155:$B$175,$B231,'11.2. ДА за периода'!$E$155:$E$175)+SUMIF('11.2. ДА за периода'!$B$155:$B$175,$B231,'11.2. ДА за периода'!J$155:J$175)</f>
        <v>0</v>
      </c>
      <c r="K231" s="2618">
        <f>$E231-SUMIF('11.2. ДА за периода'!$B$155:$B$175,$B231,'11.2. ДА за периода'!$E$155:$E$175)+SUMIF('11.2. ДА за периода'!$B$155:$B$175,$B231,'11.2. ДА за периода'!K$155:K$175)</f>
        <v>0</v>
      </c>
      <c r="L231" s="4387">
        <f>+'11.3. ДА Базова година'!J192</f>
        <v>1895</v>
      </c>
      <c r="M231" s="2617">
        <f>$L231-SUMIF('11.2. ДА за периода'!$B$155:$B$175,$B231,'11.2. ДА за периода'!$L$155:$L$175)+SUMIF('11.2. ДА за периода'!$B$155:$B$175,$B231,'11.2. ДА за периода'!M$155:M$175)</f>
        <v>1895</v>
      </c>
      <c r="N231" s="1110">
        <f>$L231-SUMIF('11.2. ДА за периода'!$B$155:$B$175,$B231,'11.2. ДА за периода'!$L$155:$L$175)+SUMIF('11.2. ДА за периода'!$B$155:$B$175,$B231,'11.2. ДА за периода'!N$155:N$175)</f>
        <v>1895</v>
      </c>
      <c r="O231" s="1110">
        <f>$L231-SUMIF('11.2. ДА за периода'!$B$155:$B$175,$B231,'11.2. ДА за периода'!$L$155:$L$175)+SUMIF('11.2. ДА за периода'!$B$155:$B$175,$B231,'11.2. ДА за периода'!O$155:O$175)</f>
        <v>1895</v>
      </c>
      <c r="P231" s="1110">
        <f>$L231-SUMIF('11.2. ДА за периода'!$B$155:$B$175,$B231,'11.2. ДА за периода'!$L$155:$L$175)+SUMIF('11.2. ДА за периода'!$B$155:$B$175,$B231,'11.2. ДА за периода'!P$155:P$175)</f>
        <v>1895</v>
      </c>
      <c r="Q231" s="1110">
        <f>$L231-SUMIF('11.2. ДА за периода'!$B$155:$B$175,$B231,'11.2. ДА за периода'!$L$155:$L$175)+SUMIF('11.2. ДА за периода'!$B$155:$B$175,$B231,'11.2. ДА за периода'!Q$155:Q$175)</f>
        <v>1895</v>
      </c>
      <c r="R231" s="2618">
        <f>$L231-SUMIF('11.2. ДА за периода'!$B$155:$B$175,$B231,'11.2. ДА за периода'!$L$155:$L$175)+SUMIF('11.2. ДА за периода'!$B$155:$B$175,$B231,'11.2. ДА за периода'!R$155:R$175)</f>
        <v>1895</v>
      </c>
      <c r="S231" s="4387">
        <f>+'11.3. ДА Базова година'!N192</f>
        <v>1692</v>
      </c>
      <c r="T231" s="2617">
        <f>$S231-SUMIF('11.2. ДА за периода'!$B$155:$B$175,$B231,'11.2. ДА за периода'!$S$155:$S$175)+SUMIF('11.2. ДА за периода'!$B$155:$B$175,$B231,'11.2. ДА за периода'!T$155:T$175)</f>
        <v>1692</v>
      </c>
      <c r="U231" s="1110">
        <f>$S231-SUMIF('11.2. ДА за периода'!$B$155:$B$175,$B231,'11.2. ДА за периода'!$S$155:$S$175)+SUMIF('11.2. ДА за периода'!$B$155:$B$175,$B231,'11.2. ДА за периода'!U$155:U$175)</f>
        <v>1692</v>
      </c>
      <c r="V231" s="1110">
        <f>$S231-SUMIF('11.2. ДА за периода'!$B$155:$B$175,$B231,'11.2. ДА за периода'!$S$155:$S$175)+SUMIF('11.2. ДА за периода'!$B$155:$B$175,$B231,'11.2. ДА за периода'!V$155:V$175)</f>
        <v>1692</v>
      </c>
      <c r="W231" s="1110">
        <f>$S231-SUMIF('11.2. ДА за периода'!$B$155:$B$175,$B231,'11.2. ДА за периода'!$S$155:$S$175)+SUMIF('11.2. ДА за периода'!$B$155:$B$175,$B231,'11.2. ДА за периода'!W$155:W$175)</f>
        <v>1692</v>
      </c>
      <c r="X231" s="1110">
        <f>$S231-SUMIF('11.2. ДА за периода'!$B$155:$B$175,$B231,'11.2. ДА за периода'!$S$155:$S$175)+SUMIF('11.2. ДА за периода'!$B$155:$B$175,$B231,'11.2. ДА за периода'!X$155:X$175)</f>
        <v>1692</v>
      </c>
      <c r="Y231" s="2618">
        <f>$S231-SUMIF('11.2. ДА за периода'!$B$155:$B$175,$B231,'11.2. ДА за периода'!$S$155:$S$175)+SUMIF('11.2. ДА за периода'!$B$155:$B$175,$B231,'11.2. ДА за периода'!Y$155:Y$175)</f>
        <v>1692</v>
      </c>
      <c r="Z231" s="4387">
        <f>+'11.3. ДА Базова година'!R192</f>
        <v>0</v>
      </c>
      <c r="AA231" s="2617">
        <f>$Z231-SUMIF('11.2. ДА за периода'!$B$155:$B$175,$B231,'11.2. ДА за периода'!$Z$155:$Z$175)+SUMIF('11.2. ДА за периода'!$B$155:$B$175,$B231,'11.2. ДА за периода'!AA$155:AA$175)</f>
        <v>0</v>
      </c>
      <c r="AB231" s="1110">
        <f>$Z231-SUMIF('11.2. ДА за периода'!$B$155:$B$175,$B231,'11.2. ДА за периода'!$Z$155:$Z$175)+SUMIF('11.2. ДА за периода'!$B$155:$B$175,$B231,'11.2. ДА за периода'!AB$155:AB$175)</f>
        <v>0</v>
      </c>
      <c r="AC231" s="1110">
        <f>$Z231-SUMIF('11.2. ДА за периода'!$B$155:$B$175,$B231,'11.2. ДА за периода'!$Z$155:$Z$175)+SUMIF('11.2. ДА за периода'!$B$155:$B$175,$B231,'11.2. ДА за периода'!AC$155:AC$175)</f>
        <v>0</v>
      </c>
      <c r="AD231" s="1110">
        <f>$Z231-SUMIF('11.2. ДА за периода'!$B$155:$B$175,$B231,'11.2. ДА за периода'!$Z$155:$Z$175)+SUMIF('11.2. ДА за периода'!$B$155:$B$175,$B231,'11.2. ДА за периода'!AD$155:AD$175)</f>
        <v>0</v>
      </c>
      <c r="AE231" s="1110">
        <f>$Z231-SUMIF('11.2. ДА за периода'!$B$155:$B$175,$B231,'11.2. ДА за периода'!$Z$155:$Z$175)+SUMIF('11.2. ДА за периода'!$B$155:$B$175,$B231,'11.2. ДА за периода'!AE$155:AE$175)</f>
        <v>0</v>
      </c>
      <c r="AF231" s="2618">
        <f>$Z231-SUMIF('11.2. ДА за периода'!$B$155:$B$175,$B231,'11.2. ДА за периода'!$Z$155:$Z$175)+SUMIF('11.2. ДА за периода'!$B$155:$B$175,$B231,'11.2. ДА за периода'!AF$155:AF$175)</f>
        <v>0</v>
      </c>
      <c r="AG231" s="4387">
        <f>+'11.3. ДА Базова година'!V192</f>
        <v>0</v>
      </c>
      <c r="AH231" s="2617">
        <f>$AG231-SUMIF('11.2. ДА за периода'!$B$155:$B$175,$B231,'11.2. ДА за периода'!$AG$155:$AG$175)+SUMIF('11.2. ДА за периода'!$B$155:$B$175,$B231,'11.2. ДА за периода'!AH$155:AH$175)</f>
        <v>0</v>
      </c>
      <c r="AI231" s="1110">
        <f>$AG231-SUMIF('11.2. ДА за периода'!$B$155:$B$175,$B231,'11.2. ДА за периода'!$AG$155:$AG$175)+SUMIF('11.2. ДА за периода'!$B$155:$B$175,$B231,'11.2. ДА за периода'!AI$155:AI$175)</f>
        <v>0</v>
      </c>
      <c r="AJ231" s="1110">
        <f>$AG231-SUMIF('11.2. ДА за периода'!$B$155:$B$175,$B231,'11.2. ДА за периода'!$AG$155:$AG$175)+SUMIF('11.2. ДА за периода'!$B$155:$B$175,$B231,'11.2. ДА за периода'!AJ$155:AJ$175)</f>
        <v>0</v>
      </c>
      <c r="AK231" s="1110">
        <f>$AG231-SUMIF('11.2. ДА за периода'!$B$155:$B$175,$B231,'11.2. ДА за периода'!$AG$155:$AG$175)+SUMIF('11.2. ДА за периода'!$B$155:$B$175,$B231,'11.2. ДА за периода'!AK$155:AK$175)</f>
        <v>0</v>
      </c>
      <c r="AL231" s="1110">
        <f>$AG231-SUMIF('11.2. ДА за периода'!$B$155:$B$175,$B231,'11.2. ДА за периода'!$AG$155:$AG$175)+SUMIF('11.2. ДА за периода'!$B$155:$B$175,$B231,'11.2. ДА за периода'!AL$155:AL$175)</f>
        <v>0</v>
      </c>
      <c r="AM231" s="2618">
        <f>$AG231-SUMIF('11.2. ДА за периода'!$B$155:$B$175,$B231,'11.2. ДА за периода'!$AG$155:$AG$175)+SUMIF('11.2. ДА за периода'!$B$155:$B$175,$B231,'11.2. ДА за периода'!AM$155:AM$175)</f>
        <v>0</v>
      </c>
      <c r="AN231" s="2524"/>
      <c r="AO231" s="2551"/>
      <c r="AP231" s="4422"/>
      <c r="AQ231" s="4438">
        <f t="shared" si="271"/>
        <v>0</v>
      </c>
      <c r="AR231" s="4438">
        <f t="shared" si="272"/>
        <v>0</v>
      </c>
      <c r="AS231" s="4438">
        <f t="shared" si="273"/>
        <v>0</v>
      </c>
      <c r="AT231" s="4438">
        <f t="shared" si="274"/>
        <v>0</v>
      </c>
      <c r="AU231" s="4438">
        <f t="shared" si="275"/>
        <v>0</v>
      </c>
      <c r="AV231" s="4438">
        <f t="shared" si="276"/>
        <v>0</v>
      </c>
      <c r="AW231" s="4438">
        <f t="shared" si="277"/>
        <v>0</v>
      </c>
      <c r="AX231" s="4438">
        <f t="shared" si="278"/>
        <v>968.89811486683402</v>
      </c>
      <c r="AY231" s="4438">
        <f t="shared" si="279"/>
        <v>968.89811486683402</v>
      </c>
      <c r="AZ231" s="4438">
        <f t="shared" si="280"/>
        <v>968.89811486683402</v>
      </c>
      <c r="BA231" s="4438">
        <f t="shared" si="281"/>
        <v>968.89811486683402</v>
      </c>
      <c r="BB231" s="4438">
        <f t="shared" si="282"/>
        <v>968.89811486683402</v>
      </c>
      <c r="BC231" s="4438">
        <f t="shared" si="283"/>
        <v>968.89811486683402</v>
      </c>
      <c r="BD231" s="4438">
        <f t="shared" si="284"/>
        <v>968.89811486683402</v>
      </c>
      <c r="BE231" s="4438">
        <f t="shared" si="285"/>
        <v>865.10586298400165</v>
      </c>
      <c r="BF231" s="4438">
        <f t="shared" si="286"/>
        <v>865.10586298400165</v>
      </c>
      <c r="BG231" s="4438">
        <f t="shared" si="287"/>
        <v>865.10586298400165</v>
      </c>
      <c r="BH231" s="4438">
        <f t="shared" si="288"/>
        <v>865.10586298400165</v>
      </c>
      <c r="BI231" s="4438">
        <f t="shared" si="289"/>
        <v>865.10586298400165</v>
      </c>
      <c r="BJ231" s="4438">
        <f t="shared" si="290"/>
        <v>865.10586298400165</v>
      </c>
      <c r="BK231" s="4438">
        <f t="shared" si="291"/>
        <v>865.10586298400165</v>
      </c>
      <c r="BL231" s="4438">
        <f t="shared" si="292"/>
        <v>0</v>
      </c>
      <c r="BM231" s="4438">
        <f t="shared" si="293"/>
        <v>0</v>
      </c>
      <c r="BN231" s="4438">
        <f t="shared" si="294"/>
        <v>0</v>
      </c>
      <c r="BO231" s="4438">
        <f t="shared" si="295"/>
        <v>0</v>
      </c>
      <c r="BP231" s="4438">
        <f t="shared" si="296"/>
        <v>0</v>
      </c>
      <c r="BQ231" s="4438">
        <f t="shared" si="297"/>
        <v>0</v>
      </c>
      <c r="BR231" s="4438">
        <f t="shared" si="298"/>
        <v>0</v>
      </c>
      <c r="BS231" s="4438">
        <f t="shared" si="299"/>
        <v>0</v>
      </c>
      <c r="BT231" s="4438">
        <f t="shared" si="300"/>
        <v>0</v>
      </c>
      <c r="BU231" s="4438">
        <f t="shared" si="301"/>
        <v>0</v>
      </c>
      <c r="BV231" s="4438">
        <f t="shared" si="302"/>
        <v>0</v>
      </c>
      <c r="BW231" s="4438">
        <f t="shared" si="303"/>
        <v>0</v>
      </c>
      <c r="BX231" s="4438">
        <f t="shared" si="304"/>
        <v>0</v>
      </c>
      <c r="BY231" s="4438">
        <f t="shared" si="305"/>
        <v>0</v>
      </c>
    </row>
    <row r="232" spans="1:77" s="1292" customFormat="1" ht="24">
      <c r="A232" s="2573">
        <v>18</v>
      </c>
      <c r="B232" s="2516" t="s">
        <v>704</v>
      </c>
      <c r="C232" s="2517">
        <v>0.04</v>
      </c>
      <c r="D232" s="2552" t="s">
        <v>422</v>
      </c>
      <c r="E232" s="4387">
        <f>+'11.3. ДА Базова година'!F193</f>
        <v>18</v>
      </c>
      <c r="F232" s="2617">
        <f>$E232-SUMIF('11.2. ДА за периода'!$B$155:$B$175,$B232,'11.2. ДА за периода'!$E$155:$E$175)+SUMIF('11.2. ДА за периода'!$B$155:$B$175,$B232,'11.2. ДА за периода'!F$155:F$175)</f>
        <v>18</v>
      </c>
      <c r="G232" s="1110">
        <f>$E232-SUMIF('11.2. ДА за периода'!$B$155:$B$175,$B232,'11.2. ДА за периода'!$E$155:$E$175)+SUMIF('11.2. ДА за периода'!$B$155:$B$175,$B232,'11.2. ДА за периода'!G$155:G$175)</f>
        <v>18</v>
      </c>
      <c r="H232" s="1110">
        <f>$E232-SUMIF('11.2. ДА за периода'!$B$155:$B$175,$B232,'11.2. ДА за периода'!$E$155:$E$175)+SUMIF('11.2. ДА за периода'!$B$155:$B$175,$B232,'11.2. ДА за периода'!H$155:H$175)</f>
        <v>18</v>
      </c>
      <c r="I232" s="1110">
        <f>$E232-SUMIF('11.2. ДА за периода'!$B$155:$B$175,$B232,'11.2. ДА за периода'!$E$155:$E$175)+SUMIF('11.2. ДА за периода'!$B$155:$B$175,$B232,'11.2. ДА за периода'!I$155:I$175)</f>
        <v>18</v>
      </c>
      <c r="J232" s="1110">
        <f>$E232-SUMIF('11.2. ДА за периода'!$B$155:$B$175,$B232,'11.2. ДА за периода'!$E$155:$E$175)+SUMIF('11.2. ДА за периода'!$B$155:$B$175,$B232,'11.2. ДА за периода'!J$155:J$175)</f>
        <v>18</v>
      </c>
      <c r="K232" s="2618">
        <f>$E232-SUMIF('11.2. ДА за периода'!$B$155:$B$175,$B232,'11.2. ДА за периода'!$E$155:$E$175)+SUMIF('11.2. ДА за периода'!$B$155:$B$175,$B232,'11.2. ДА за периода'!K$155:K$175)</f>
        <v>18</v>
      </c>
      <c r="L232" s="4387">
        <f>+'11.3. ДА Базова година'!J193</f>
        <v>0</v>
      </c>
      <c r="M232" s="2617">
        <f>$L232-SUMIF('11.2. ДА за периода'!$B$155:$B$175,$B232,'11.2. ДА за периода'!$L$155:$L$175)+SUMIF('11.2. ДА за периода'!$B$155:$B$175,$B232,'11.2. ДА за периода'!M$155:M$175)</f>
        <v>0</v>
      </c>
      <c r="N232" s="1110">
        <f>$L232-SUMIF('11.2. ДА за периода'!$B$155:$B$175,$B232,'11.2. ДА за периода'!$L$155:$L$175)+SUMIF('11.2. ДА за периода'!$B$155:$B$175,$B232,'11.2. ДА за периода'!N$155:N$175)</f>
        <v>0</v>
      </c>
      <c r="O232" s="1110">
        <f>$L232-SUMIF('11.2. ДА за периода'!$B$155:$B$175,$B232,'11.2. ДА за периода'!$L$155:$L$175)+SUMIF('11.2. ДА за периода'!$B$155:$B$175,$B232,'11.2. ДА за периода'!O$155:O$175)</f>
        <v>0</v>
      </c>
      <c r="P232" s="1110">
        <f>$L232-SUMIF('11.2. ДА за периода'!$B$155:$B$175,$B232,'11.2. ДА за периода'!$L$155:$L$175)+SUMIF('11.2. ДА за периода'!$B$155:$B$175,$B232,'11.2. ДА за периода'!P$155:P$175)</f>
        <v>0</v>
      </c>
      <c r="Q232" s="1110">
        <f>$L232-SUMIF('11.2. ДА за периода'!$B$155:$B$175,$B232,'11.2. ДА за периода'!$L$155:$L$175)+SUMIF('11.2. ДА за периода'!$B$155:$B$175,$B232,'11.2. ДА за периода'!Q$155:Q$175)</f>
        <v>0</v>
      </c>
      <c r="R232" s="2618">
        <f>$L232-SUMIF('11.2. ДА за периода'!$B$155:$B$175,$B232,'11.2. ДА за периода'!$L$155:$L$175)+SUMIF('11.2. ДА за периода'!$B$155:$B$175,$B232,'11.2. ДА за периода'!R$155:R$175)</f>
        <v>0</v>
      </c>
      <c r="S232" s="4387">
        <f>+'11.3. ДА Базова година'!N193</f>
        <v>0</v>
      </c>
      <c r="T232" s="2617">
        <f>$S232-SUMIF('11.2. ДА за периода'!$B$155:$B$175,$B232,'11.2. ДА за периода'!$S$155:$S$175)+SUMIF('11.2. ДА за периода'!$B$155:$B$175,$B232,'11.2. ДА за периода'!T$155:T$175)</f>
        <v>0</v>
      </c>
      <c r="U232" s="1110">
        <f>$S232-SUMIF('11.2. ДА за периода'!$B$155:$B$175,$B232,'11.2. ДА за периода'!$S$155:$S$175)+SUMIF('11.2. ДА за периода'!$B$155:$B$175,$B232,'11.2. ДА за периода'!U$155:U$175)</f>
        <v>0</v>
      </c>
      <c r="V232" s="1110">
        <f>$S232-SUMIF('11.2. ДА за периода'!$B$155:$B$175,$B232,'11.2. ДА за периода'!$S$155:$S$175)+SUMIF('11.2. ДА за периода'!$B$155:$B$175,$B232,'11.2. ДА за периода'!V$155:V$175)</f>
        <v>0</v>
      </c>
      <c r="W232" s="1110">
        <f>$S232-SUMIF('11.2. ДА за периода'!$B$155:$B$175,$B232,'11.2. ДА за периода'!$S$155:$S$175)+SUMIF('11.2. ДА за периода'!$B$155:$B$175,$B232,'11.2. ДА за периода'!W$155:W$175)</f>
        <v>0</v>
      </c>
      <c r="X232" s="1110">
        <f>$S232-SUMIF('11.2. ДА за периода'!$B$155:$B$175,$B232,'11.2. ДА за периода'!$S$155:$S$175)+SUMIF('11.2. ДА за периода'!$B$155:$B$175,$B232,'11.2. ДА за периода'!X$155:X$175)</f>
        <v>0</v>
      </c>
      <c r="Y232" s="2618">
        <f>$S232-SUMIF('11.2. ДА за периода'!$B$155:$B$175,$B232,'11.2. ДА за периода'!$S$155:$S$175)+SUMIF('11.2. ДА за периода'!$B$155:$B$175,$B232,'11.2. ДА за периода'!Y$155:Y$175)</f>
        <v>0</v>
      </c>
      <c r="Z232" s="4387">
        <f>+'11.3. ДА Базова година'!R193</f>
        <v>0</v>
      </c>
      <c r="AA232" s="2617">
        <f>$Z232-SUMIF('11.2. ДА за периода'!$B$155:$B$175,$B232,'11.2. ДА за периода'!$Z$155:$Z$175)+SUMIF('11.2. ДА за периода'!$B$155:$B$175,$B232,'11.2. ДА за периода'!AA$155:AA$175)</f>
        <v>0</v>
      </c>
      <c r="AB232" s="1110">
        <f>$Z232-SUMIF('11.2. ДА за периода'!$B$155:$B$175,$B232,'11.2. ДА за периода'!$Z$155:$Z$175)+SUMIF('11.2. ДА за периода'!$B$155:$B$175,$B232,'11.2. ДА за периода'!AB$155:AB$175)</f>
        <v>0</v>
      </c>
      <c r="AC232" s="1110">
        <f>$Z232-SUMIF('11.2. ДА за периода'!$B$155:$B$175,$B232,'11.2. ДА за периода'!$Z$155:$Z$175)+SUMIF('11.2. ДА за периода'!$B$155:$B$175,$B232,'11.2. ДА за периода'!AC$155:AC$175)</f>
        <v>0</v>
      </c>
      <c r="AD232" s="1110">
        <f>$Z232-SUMIF('11.2. ДА за периода'!$B$155:$B$175,$B232,'11.2. ДА за периода'!$Z$155:$Z$175)+SUMIF('11.2. ДА за периода'!$B$155:$B$175,$B232,'11.2. ДА за периода'!AD$155:AD$175)</f>
        <v>0</v>
      </c>
      <c r="AE232" s="1110">
        <f>$Z232-SUMIF('11.2. ДА за периода'!$B$155:$B$175,$B232,'11.2. ДА за периода'!$Z$155:$Z$175)+SUMIF('11.2. ДА за периода'!$B$155:$B$175,$B232,'11.2. ДА за периода'!AE$155:AE$175)</f>
        <v>0</v>
      </c>
      <c r="AF232" s="2618">
        <f>$Z232-SUMIF('11.2. ДА за периода'!$B$155:$B$175,$B232,'11.2. ДА за периода'!$Z$155:$Z$175)+SUMIF('11.2. ДА за периода'!$B$155:$B$175,$B232,'11.2. ДА за периода'!AF$155:AF$175)</f>
        <v>0</v>
      </c>
      <c r="AG232" s="4387">
        <f>+'11.3. ДА Базова година'!V193</f>
        <v>0</v>
      </c>
      <c r="AH232" s="2617">
        <f>$AG232-SUMIF('11.2. ДА за периода'!$B$155:$B$175,$B232,'11.2. ДА за периода'!$AG$155:$AG$175)+SUMIF('11.2. ДА за периода'!$B$155:$B$175,$B232,'11.2. ДА за периода'!AH$155:AH$175)</f>
        <v>0</v>
      </c>
      <c r="AI232" s="1110">
        <f>$AG232-SUMIF('11.2. ДА за периода'!$B$155:$B$175,$B232,'11.2. ДА за периода'!$AG$155:$AG$175)+SUMIF('11.2. ДА за периода'!$B$155:$B$175,$B232,'11.2. ДА за периода'!AI$155:AI$175)</f>
        <v>0</v>
      </c>
      <c r="AJ232" s="1110">
        <f>$AG232-SUMIF('11.2. ДА за периода'!$B$155:$B$175,$B232,'11.2. ДА за периода'!$AG$155:$AG$175)+SUMIF('11.2. ДА за периода'!$B$155:$B$175,$B232,'11.2. ДА за периода'!AJ$155:AJ$175)</f>
        <v>0</v>
      </c>
      <c r="AK232" s="1110">
        <f>$AG232-SUMIF('11.2. ДА за периода'!$B$155:$B$175,$B232,'11.2. ДА за периода'!$AG$155:$AG$175)+SUMIF('11.2. ДА за периода'!$B$155:$B$175,$B232,'11.2. ДА за периода'!AK$155:AK$175)</f>
        <v>0</v>
      </c>
      <c r="AL232" s="1110">
        <f>$AG232-SUMIF('11.2. ДА за периода'!$B$155:$B$175,$B232,'11.2. ДА за периода'!$AG$155:$AG$175)+SUMIF('11.2. ДА за периода'!$B$155:$B$175,$B232,'11.2. ДА за периода'!AL$155:AL$175)</f>
        <v>0</v>
      </c>
      <c r="AM232" s="2618">
        <f>$AG232-SUMIF('11.2. ДА за периода'!$B$155:$B$175,$B232,'11.2. ДА за периода'!$AG$155:$AG$175)+SUMIF('11.2. ДА за периода'!$B$155:$B$175,$B232,'11.2. ДА за периода'!AM$155:AM$175)</f>
        <v>0</v>
      </c>
      <c r="AN232" s="2524"/>
      <c r="AO232" s="2551"/>
      <c r="AP232" s="4422"/>
      <c r="AQ232" s="4438">
        <f t="shared" si="271"/>
        <v>9.2032538615319321</v>
      </c>
      <c r="AR232" s="4438">
        <f t="shared" si="272"/>
        <v>9.2032538615319321</v>
      </c>
      <c r="AS232" s="4438">
        <f t="shared" si="273"/>
        <v>9.2032538615319321</v>
      </c>
      <c r="AT232" s="4438">
        <f t="shared" si="274"/>
        <v>9.2032538615319321</v>
      </c>
      <c r="AU232" s="4438">
        <f t="shared" si="275"/>
        <v>9.2032538615319321</v>
      </c>
      <c r="AV232" s="4438">
        <f t="shared" si="276"/>
        <v>9.2032538615319321</v>
      </c>
      <c r="AW232" s="4438">
        <f t="shared" si="277"/>
        <v>9.2032538615319321</v>
      </c>
      <c r="AX232" s="4438">
        <f t="shared" si="278"/>
        <v>0</v>
      </c>
      <c r="AY232" s="4438">
        <f t="shared" si="279"/>
        <v>0</v>
      </c>
      <c r="AZ232" s="4438">
        <f t="shared" si="280"/>
        <v>0</v>
      </c>
      <c r="BA232" s="4438">
        <f t="shared" si="281"/>
        <v>0</v>
      </c>
      <c r="BB232" s="4438">
        <f t="shared" si="282"/>
        <v>0</v>
      </c>
      <c r="BC232" s="4438">
        <f t="shared" si="283"/>
        <v>0</v>
      </c>
      <c r="BD232" s="4438">
        <f t="shared" si="284"/>
        <v>0</v>
      </c>
      <c r="BE232" s="4438">
        <f t="shared" si="285"/>
        <v>0</v>
      </c>
      <c r="BF232" s="4438">
        <f t="shared" si="286"/>
        <v>0</v>
      </c>
      <c r="BG232" s="4438">
        <f t="shared" si="287"/>
        <v>0</v>
      </c>
      <c r="BH232" s="4438">
        <f t="shared" si="288"/>
        <v>0</v>
      </c>
      <c r="BI232" s="4438">
        <f t="shared" si="289"/>
        <v>0</v>
      </c>
      <c r="BJ232" s="4438">
        <f t="shared" si="290"/>
        <v>0</v>
      </c>
      <c r="BK232" s="4438">
        <f t="shared" si="291"/>
        <v>0</v>
      </c>
      <c r="BL232" s="4438">
        <f t="shared" si="292"/>
        <v>0</v>
      </c>
      <c r="BM232" s="4438">
        <f t="shared" si="293"/>
        <v>0</v>
      </c>
      <c r="BN232" s="4438">
        <f t="shared" si="294"/>
        <v>0</v>
      </c>
      <c r="BO232" s="4438">
        <f t="shared" si="295"/>
        <v>0</v>
      </c>
      <c r="BP232" s="4438">
        <f t="shared" si="296"/>
        <v>0</v>
      </c>
      <c r="BQ232" s="4438">
        <f t="shared" si="297"/>
        <v>0</v>
      </c>
      <c r="BR232" s="4438">
        <f t="shared" si="298"/>
        <v>0</v>
      </c>
      <c r="BS232" s="4438">
        <f t="shared" si="299"/>
        <v>0</v>
      </c>
      <c r="BT232" s="4438">
        <f t="shared" si="300"/>
        <v>0</v>
      </c>
      <c r="BU232" s="4438">
        <f t="shared" si="301"/>
        <v>0</v>
      </c>
      <c r="BV232" s="4438">
        <f t="shared" si="302"/>
        <v>0</v>
      </c>
      <c r="BW232" s="4438">
        <f t="shared" si="303"/>
        <v>0</v>
      </c>
      <c r="BX232" s="4438">
        <f t="shared" si="304"/>
        <v>0</v>
      </c>
      <c r="BY232" s="4438">
        <f t="shared" si="305"/>
        <v>0</v>
      </c>
    </row>
    <row r="233" spans="1:77" s="1292" customFormat="1">
      <c r="A233" s="2573">
        <v>19</v>
      </c>
      <c r="B233" s="2516" t="s">
        <v>705</v>
      </c>
      <c r="C233" s="2517">
        <v>0.04</v>
      </c>
      <c r="D233" s="2552" t="s">
        <v>423</v>
      </c>
      <c r="E233" s="4387">
        <f>+'11.3. ДА Базова година'!F194</f>
        <v>6</v>
      </c>
      <c r="F233" s="2617">
        <f>$E233-SUMIF('11.2. ДА за периода'!$B$155:$B$175,$B233,'11.2. ДА за периода'!$E$155:$E$175)+SUMIF('11.2. ДА за периода'!$B$155:$B$175,$B233,'11.2. ДА за периода'!F$155:F$175)</f>
        <v>6</v>
      </c>
      <c r="G233" s="1110">
        <f>$E233-SUMIF('11.2. ДА за периода'!$B$155:$B$175,$B233,'11.2. ДА за периода'!$E$155:$E$175)+SUMIF('11.2. ДА за периода'!$B$155:$B$175,$B233,'11.2. ДА за периода'!G$155:G$175)</f>
        <v>6</v>
      </c>
      <c r="H233" s="1110">
        <f>$E233-SUMIF('11.2. ДА за периода'!$B$155:$B$175,$B233,'11.2. ДА за периода'!$E$155:$E$175)+SUMIF('11.2. ДА за периода'!$B$155:$B$175,$B233,'11.2. ДА за периода'!H$155:H$175)</f>
        <v>6</v>
      </c>
      <c r="I233" s="1110">
        <f>$E233-SUMIF('11.2. ДА за периода'!$B$155:$B$175,$B233,'11.2. ДА за периода'!$E$155:$E$175)+SUMIF('11.2. ДА за периода'!$B$155:$B$175,$B233,'11.2. ДА за периода'!I$155:I$175)</f>
        <v>6</v>
      </c>
      <c r="J233" s="1110">
        <f>$E233-SUMIF('11.2. ДА за периода'!$B$155:$B$175,$B233,'11.2. ДА за периода'!$E$155:$E$175)+SUMIF('11.2. ДА за периода'!$B$155:$B$175,$B233,'11.2. ДА за периода'!J$155:J$175)</f>
        <v>6</v>
      </c>
      <c r="K233" s="2618">
        <f>$E233-SUMIF('11.2. ДА за периода'!$B$155:$B$175,$B233,'11.2. ДА за периода'!$E$155:$E$175)+SUMIF('11.2. ДА за периода'!$B$155:$B$175,$B233,'11.2. ДА за периода'!K$155:K$175)</f>
        <v>6</v>
      </c>
      <c r="L233" s="4387">
        <f>+'11.3. ДА Базова година'!J194</f>
        <v>12</v>
      </c>
      <c r="M233" s="2617">
        <f>$L233-SUMIF('11.2. ДА за периода'!$B$155:$B$175,$B233,'11.2. ДА за периода'!$L$155:$L$175)+SUMIF('11.2. ДА за периода'!$B$155:$B$175,$B233,'11.2. ДА за периода'!M$155:M$175)</f>
        <v>12</v>
      </c>
      <c r="N233" s="1110">
        <f>$L233-SUMIF('11.2. ДА за периода'!$B$155:$B$175,$B233,'11.2. ДА за периода'!$L$155:$L$175)+SUMIF('11.2. ДА за периода'!$B$155:$B$175,$B233,'11.2. ДА за периода'!N$155:N$175)</f>
        <v>12</v>
      </c>
      <c r="O233" s="1110">
        <f>$L233-SUMIF('11.2. ДА за периода'!$B$155:$B$175,$B233,'11.2. ДА за периода'!$L$155:$L$175)+SUMIF('11.2. ДА за периода'!$B$155:$B$175,$B233,'11.2. ДА за периода'!O$155:O$175)</f>
        <v>12</v>
      </c>
      <c r="P233" s="1110">
        <f>$L233-SUMIF('11.2. ДА за периода'!$B$155:$B$175,$B233,'11.2. ДА за периода'!$L$155:$L$175)+SUMIF('11.2. ДА за периода'!$B$155:$B$175,$B233,'11.2. ДА за периода'!P$155:P$175)</f>
        <v>12</v>
      </c>
      <c r="Q233" s="1110">
        <f>$L233-SUMIF('11.2. ДА за периода'!$B$155:$B$175,$B233,'11.2. ДА за периода'!$L$155:$L$175)+SUMIF('11.2. ДА за периода'!$B$155:$B$175,$B233,'11.2. ДА за периода'!Q$155:Q$175)</f>
        <v>12</v>
      </c>
      <c r="R233" s="2618">
        <f>$L233-SUMIF('11.2. ДА за периода'!$B$155:$B$175,$B233,'11.2. ДА за периода'!$L$155:$L$175)+SUMIF('11.2. ДА за периода'!$B$155:$B$175,$B233,'11.2. ДА за периода'!R$155:R$175)</f>
        <v>12</v>
      </c>
      <c r="S233" s="4387">
        <f>+'11.3. ДА Базова година'!N194</f>
        <v>0</v>
      </c>
      <c r="T233" s="2617">
        <f>$S233-SUMIF('11.2. ДА за периода'!$B$155:$B$175,$B233,'11.2. ДА за периода'!$S$155:$S$175)+SUMIF('11.2. ДА за периода'!$B$155:$B$175,$B233,'11.2. ДА за периода'!T$155:T$175)</f>
        <v>0</v>
      </c>
      <c r="U233" s="1110">
        <f>$S233-SUMIF('11.2. ДА за периода'!$B$155:$B$175,$B233,'11.2. ДА за периода'!$S$155:$S$175)+SUMIF('11.2. ДА за периода'!$B$155:$B$175,$B233,'11.2. ДА за периода'!U$155:U$175)</f>
        <v>0</v>
      </c>
      <c r="V233" s="1110">
        <f>$S233-SUMIF('11.2. ДА за периода'!$B$155:$B$175,$B233,'11.2. ДА за периода'!$S$155:$S$175)+SUMIF('11.2. ДА за периода'!$B$155:$B$175,$B233,'11.2. ДА за периода'!V$155:V$175)</f>
        <v>0</v>
      </c>
      <c r="W233" s="1110">
        <f>$S233-SUMIF('11.2. ДА за периода'!$B$155:$B$175,$B233,'11.2. ДА за периода'!$S$155:$S$175)+SUMIF('11.2. ДА за периода'!$B$155:$B$175,$B233,'11.2. ДА за периода'!W$155:W$175)</f>
        <v>0</v>
      </c>
      <c r="X233" s="1110">
        <f>$S233-SUMIF('11.2. ДА за периода'!$B$155:$B$175,$B233,'11.2. ДА за периода'!$S$155:$S$175)+SUMIF('11.2. ДА за периода'!$B$155:$B$175,$B233,'11.2. ДА за периода'!X$155:X$175)</f>
        <v>0</v>
      </c>
      <c r="Y233" s="2618">
        <f>$S233-SUMIF('11.2. ДА за периода'!$B$155:$B$175,$B233,'11.2. ДА за периода'!$S$155:$S$175)+SUMIF('11.2. ДА за периода'!$B$155:$B$175,$B233,'11.2. ДА за периода'!Y$155:Y$175)</f>
        <v>0</v>
      </c>
      <c r="Z233" s="4387">
        <f>+'11.3. ДА Базова година'!R194</f>
        <v>0</v>
      </c>
      <c r="AA233" s="2617">
        <f>$Z233-SUMIF('11.2. ДА за периода'!$B$155:$B$175,$B233,'11.2. ДА за периода'!$Z$155:$Z$175)+SUMIF('11.2. ДА за периода'!$B$155:$B$175,$B233,'11.2. ДА за периода'!AA$155:AA$175)</f>
        <v>0</v>
      </c>
      <c r="AB233" s="1110">
        <f>$Z233-SUMIF('11.2. ДА за периода'!$B$155:$B$175,$B233,'11.2. ДА за периода'!$Z$155:$Z$175)+SUMIF('11.2. ДА за периода'!$B$155:$B$175,$B233,'11.2. ДА за периода'!AB$155:AB$175)</f>
        <v>0</v>
      </c>
      <c r="AC233" s="1110">
        <f>$Z233-SUMIF('11.2. ДА за периода'!$B$155:$B$175,$B233,'11.2. ДА за периода'!$Z$155:$Z$175)+SUMIF('11.2. ДА за периода'!$B$155:$B$175,$B233,'11.2. ДА за периода'!AC$155:AC$175)</f>
        <v>0</v>
      </c>
      <c r="AD233" s="1110">
        <f>$Z233-SUMIF('11.2. ДА за периода'!$B$155:$B$175,$B233,'11.2. ДА за периода'!$Z$155:$Z$175)+SUMIF('11.2. ДА за периода'!$B$155:$B$175,$B233,'11.2. ДА за периода'!AD$155:AD$175)</f>
        <v>0</v>
      </c>
      <c r="AE233" s="1110">
        <f>$Z233-SUMIF('11.2. ДА за периода'!$B$155:$B$175,$B233,'11.2. ДА за периода'!$Z$155:$Z$175)+SUMIF('11.2. ДА за периода'!$B$155:$B$175,$B233,'11.2. ДА за периода'!AE$155:AE$175)</f>
        <v>0</v>
      </c>
      <c r="AF233" s="2618">
        <f>$Z233-SUMIF('11.2. ДА за периода'!$B$155:$B$175,$B233,'11.2. ДА за периода'!$Z$155:$Z$175)+SUMIF('11.2. ДА за периода'!$B$155:$B$175,$B233,'11.2. ДА за периода'!AF$155:AF$175)</f>
        <v>0</v>
      </c>
      <c r="AG233" s="4387">
        <f>+'11.3. ДА Базова година'!V194</f>
        <v>0</v>
      </c>
      <c r="AH233" s="2617">
        <f>$AG233-SUMIF('11.2. ДА за периода'!$B$155:$B$175,$B233,'11.2. ДА за периода'!$AG$155:$AG$175)+SUMIF('11.2. ДА за периода'!$B$155:$B$175,$B233,'11.2. ДА за периода'!AH$155:AH$175)</f>
        <v>0</v>
      </c>
      <c r="AI233" s="1110">
        <f>$AG233-SUMIF('11.2. ДА за периода'!$B$155:$B$175,$B233,'11.2. ДА за периода'!$AG$155:$AG$175)+SUMIF('11.2. ДА за периода'!$B$155:$B$175,$B233,'11.2. ДА за периода'!AI$155:AI$175)</f>
        <v>0</v>
      </c>
      <c r="AJ233" s="1110">
        <f>$AG233-SUMIF('11.2. ДА за периода'!$B$155:$B$175,$B233,'11.2. ДА за периода'!$AG$155:$AG$175)+SUMIF('11.2. ДА за периода'!$B$155:$B$175,$B233,'11.2. ДА за периода'!AJ$155:AJ$175)</f>
        <v>0</v>
      </c>
      <c r="AK233" s="1110">
        <f>$AG233-SUMIF('11.2. ДА за периода'!$B$155:$B$175,$B233,'11.2. ДА за периода'!$AG$155:$AG$175)+SUMIF('11.2. ДА за периода'!$B$155:$B$175,$B233,'11.2. ДА за периода'!AK$155:AK$175)</f>
        <v>0</v>
      </c>
      <c r="AL233" s="1110">
        <f>$AG233-SUMIF('11.2. ДА за периода'!$B$155:$B$175,$B233,'11.2. ДА за периода'!$AG$155:$AG$175)+SUMIF('11.2. ДА за периода'!$B$155:$B$175,$B233,'11.2. ДА за периода'!AL$155:AL$175)</f>
        <v>0</v>
      </c>
      <c r="AM233" s="2618">
        <f>$AG233-SUMIF('11.2. ДА за периода'!$B$155:$B$175,$B233,'11.2. ДА за периода'!$AG$155:$AG$175)+SUMIF('11.2. ДА за периода'!$B$155:$B$175,$B233,'11.2. ДА за периода'!AM$155:AM$175)</f>
        <v>0</v>
      </c>
      <c r="AN233" s="2524"/>
      <c r="AO233" s="2551"/>
      <c r="AP233" s="4422"/>
      <c r="AQ233" s="4438">
        <f t="shared" si="271"/>
        <v>3.0677512871773112</v>
      </c>
      <c r="AR233" s="4438">
        <f t="shared" si="272"/>
        <v>3.0677512871773112</v>
      </c>
      <c r="AS233" s="4438">
        <f t="shared" si="273"/>
        <v>3.0677512871773112</v>
      </c>
      <c r="AT233" s="4438">
        <f t="shared" si="274"/>
        <v>3.0677512871773112</v>
      </c>
      <c r="AU233" s="4438">
        <f t="shared" si="275"/>
        <v>3.0677512871773112</v>
      </c>
      <c r="AV233" s="4438">
        <f t="shared" si="276"/>
        <v>3.0677512871773112</v>
      </c>
      <c r="AW233" s="4438">
        <f t="shared" si="277"/>
        <v>3.0677512871773112</v>
      </c>
      <c r="AX233" s="4438">
        <f t="shared" si="278"/>
        <v>6.1355025743546223</v>
      </c>
      <c r="AY233" s="4438">
        <f t="shared" si="279"/>
        <v>6.1355025743546223</v>
      </c>
      <c r="AZ233" s="4438">
        <f t="shared" si="280"/>
        <v>6.1355025743546223</v>
      </c>
      <c r="BA233" s="4438">
        <f t="shared" si="281"/>
        <v>6.1355025743546223</v>
      </c>
      <c r="BB233" s="4438">
        <f t="shared" si="282"/>
        <v>6.1355025743546223</v>
      </c>
      <c r="BC233" s="4438">
        <f t="shared" si="283"/>
        <v>6.1355025743546223</v>
      </c>
      <c r="BD233" s="4438">
        <f t="shared" si="284"/>
        <v>6.1355025743546223</v>
      </c>
      <c r="BE233" s="4438">
        <f t="shared" si="285"/>
        <v>0</v>
      </c>
      <c r="BF233" s="4438">
        <f t="shared" si="286"/>
        <v>0</v>
      </c>
      <c r="BG233" s="4438">
        <f t="shared" si="287"/>
        <v>0</v>
      </c>
      <c r="BH233" s="4438">
        <f t="shared" si="288"/>
        <v>0</v>
      </c>
      <c r="BI233" s="4438">
        <f t="shared" si="289"/>
        <v>0</v>
      </c>
      <c r="BJ233" s="4438">
        <f t="shared" si="290"/>
        <v>0</v>
      </c>
      <c r="BK233" s="4438">
        <f t="shared" si="291"/>
        <v>0</v>
      </c>
      <c r="BL233" s="4438">
        <f t="shared" si="292"/>
        <v>0</v>
      </c>
      <c r="BM233" s="4438">
        <f t="shared" si="293"/>
        <v>0</v>
      </c>
      <c r="BN233" s="4438">
        <f t="shared" si="294"/>
        <v>0</v>
      </c>
      <c r="BO233" s="4438">
        <f t="shared" si="295"/>
        <v>0</v>
      </c>
      <c r="BP233" s="4438">
        <f t="shared" si="296"/>
        <v>0</v>
      </c>
      <c r="BQ233" s="4438">
        <f t="shared" si="297"/>
        <v>0</v>
      </c>
      <c r="BR233" s="4438">
        <f t="shared" si="298"/>
        <v>0</v>
      </c>
      <c r="BS233" s="4438">
        <f t="shared" si="299"/>
        <v>0</v>
      </c>
      <c r="BT233" s="4438">
        <f t="shared" si="300"/>
        <v>0</v>
      </c>
      <c r="BU233" s="4438">
        <f t="shared" si="301"/>
        <v>0</v>
      </c>
      <c r="BV233" s="4438">
        <f t="shared" si="302"/>
        <v>0</v>
      </c>
      <c r="BW233" s="4438">
        <f t="shared" si="303"/>
        <v>0</v>
      </c>
      <c r="BX233" s="4438">
        <f t="shared" si="304"/>
        <v>0</v>
      </c>
      <c r="BY233" s="4438">
        <f t="shared" si="305"/>
        <v>0</v>
      </c>
    </row>
    <row r="234" spans="1:77" s="1292" customFormat="1">
      <c r="A234" s="2573">
        <v>20</v>
      </c>
      <c r="B234" s="2516" t="s">
        <v>717</v>
      </c>
      <c r="C234" s="2517">
        <v>0.04</v>
      </c>
      <c r="D234" s="2571" t="s">
        <v>434</v>
      </c>
      <c r="E234" s="4387">
        <f>+'11.3. ДА Базова година'!F195</f>
        <v>7</v>
      </c>
      <c r="F234" s="2617">
        <f>$E234-SUMIF('11.2. ДА за периода'!$B$155:$B$175,$B234,'11.2. ДА за периода'!$E$155:$E$175)+SUMIF('11.2. ДА за периода'!$B$155:$B$175,$B234,'11.2. ДА за периода'!F$155:F$175)</f>
        <v>7</v>
      </c>
      <c r="G234" s="1110">
        <f>$E234-SUMIF('11.2. ДА за периода'!$B$155:$B$175,$B234,'11.2. ДА за периода'!$E$155:$E$175)+SUMIF('11.2. ДА за периода'!$B$155:$B$175,$B234,'11.2. ДА за периода'!G$155:G$175)</f>
        <v>7</v>
      </c>
      <c r="H234" s="1110">
        <f>$E234-SUMIF('11.2. ДА за периода'!$B$155:$B$175,$B234,'11.2. ДА за периода'!$E$155:$E$175)+SUMIF('11.2. ДА за периода'!$B$155:$B$175,$B234,'11.2. ДА за периода'!H$155:H$175)</f>
        <v>7</v>
      </c>
      <c r="I234" s="1110">
        <f>$E234-SUMIF('11.2. ДА за периода'!$B$155:$B$175,$B234,'11.2. ДА за периода'!$E$155:$E$175)+SUMIF('11.2. ДА за периода'!$B$155:$B$175,$B234,'11.2. ДА за периода'!I$155:I$175)</f>
        <v>7</v>
      </c>
      <c r="J234" s="1110">
        <f>$E234-SUMIF('11.2. ДА за периода'!$B$155:$B$175,$B234,'11.2. ДА за периода'!$E$155:$E$175)+SUMIF('11.2. ДА за периода'!$B$155:$B$175,$B234,'11.2. ДА за периода'!J$155:J$175)</f>
        <v>7</v>
      </c>
      <c r="K234" s="2618">
        <f>$E234-SUMIF('11.2. ДА за периода'!$B$155:$B$175,$B234,'11.2. ДА за периода'!$E$155:$E$175)+SUMIF('11.2. ДА за периода'!$B$155:$B$175,$B234,'11.2. ДА за периода'!K$155:K$175)</f>
        <v>7</v>
      </c>
      <c r="L234" s="4387">
        <f>+'11.3. ДА Базова година'!J195</f>
        <v>0</v>
      </c>
      <c r="M234" s="2617">
        <f>$L234-SUMIF('11.2. ДА за периода'!$B$155:$B$175,$B234,'11.2. ДА за периода'!$L$155:$L$175)+SUMIF('11.2. ДА за периода'!$B$155:$B$175,$B234,'11.2. ДА за периода'!M$155:M$175)</f>
        <v>0</v>
      </c>
      <c r="N234" s="1110">
        <f>$L234-SUMIF('11.2. ДА за периода'!$B$155:$B$175,$B234,'11.2. ДА за периода'!$L$155:$L$175)+SUMIF('11.2. ДА за периода'!$B$155:$B$175,$B234,'11.2. ДА за периода'!N$155:N$175)</f>
        <v>0</v>
      </c>
      <c r="O234" s="1110">
        <f>$L234-SUMIF('11.2. ДА за периода'!$B$155:$B$175,$B234,'11.2. ДА за периода'!$L$155:$L$175)+SUMIF('11.2. ДА за периода'!$B$155:$B$175,$B234,'11.2. ДА за периода'!O$155:O$175)</f>
        <v>0</v>
      </c>
      <c r="P234" s="1110">
        <f>$L234-SUMIF('11.2. ДА за периода'!$B$155:$B$175,$B234,'11.2. ДА за периода'!$L$155:$L$175)+SUMIF('11.2. ДА за периода'!$B$155:$B$175,$B234,'11.2. ДА за периода'!P$155:P$175)</f>
        <v>0</v>
      </c>
      <c r="Q234" s="1110">
        <f>$L234-SUMIF('11.2. ДА за периода'!$B$155:$B$175,$B234,'11.2. ДА за периода'!$L$155:$L$175)+SUMIF('11.2. ДА за периода'!$B$155:$B$175,$B234,'11.2. ДА за периода'!Q$155:Q$175)</f>
        <v>0</v>
      </c>
      <c r="R234" s="2618">
        <f>$L234-SUMIF('11.2. ДА за периода'!$B$155:$B$175,$B234,'11.2. ДА за периода'!$L$155:$L$175)+SUMIF('11.2. ДА за периода'!$B$155:$B$175,$B234,'11.2. ДА за периода'!R$155:R$175)</f>
        <v>0</v>
      </c>
      <c r="S234" s="4387">
        <f>+'11.3. ДА Базова година'!N195</f>
        <v>28</v>
      </c>
      <c r="T234" s="2617">
        <f>$S234-SUMIF('11.2. ДА за периода'!$B$155:$B$175,$B234,'11.2. ДА за периода'!$S$155:$S$175)+SUMIF('11.2. ДА за периода'!$B$155:$B$175,$B234,'11.2. ДА за периода'!T$155:T$175)</f>
        <v>28</v>
      </c>
      <c r="U234" s="1110">
        <f>$S234-SUMIF('11.2. ДА за периода'!$B$155:$B$175,$B234,'11.2. ДА за периода'!$S$155:$S$175)+SUMIF('11.2. ДА за периода'!$B$155:$B$175,$B234,'11.2. ДА за периода'!U$155:U$175)</f>
        <v>28</v>
      </c>
      <c r="V234" s="1110">
        <f>$S234-SUMIF('11.2. ДА за периода'!$B$155:$B$175,$B234,'11.2. ДА за периода'!$S$155:$S$175)+SUMIF('11.2. ДА за периода'!$B$155:$B$175,$B234,'11.2. ДА за периода'!V$155:V$175)</f>
        <v>28</v>
      </c>
      <c r="W234" s="1110">
        <f>$S234-SUMIF('11.2. ДА за периода'!$B$155:$B$175,$B234,'11.2. ДА за периода'!$S$155:$S$175)+SUMIF('11.2. ДА за периода'!$B$155:$B$175,$B234,'11.2. ДА за периода'!W$155:W$175)</f>
        <v>28</v>
      </c>
      <c r="X234" s="1110">
        <f>$S234-SUMIF('11.2. ДА за периода'!$B$155:$B$175,$B234,'11.2. ДА за периода'!$S$155:$S$175)+SUMIF('11.2. ДА за периода'!$B$155:$B$175,$B234,'11.2. ДА за периода'!X$155:X$175)</f>
        <v>28</v>
      </c>
      <c r="Y234" s="2618">
        <f>$S234-SUMIF('11.2. ДА за периода'!$B$155:$B$175,$B234,'11.2. ДА за периода'!$S$155:$S$175)+SUMIF('11.2. ДА за периода'!$B$155:$B$175,$B234,'11.2. ДА за периода'!Y$155:Y$175)</f>
        <v>28</v>
      </c>
      <c r="Z234" s="4387">
        <f>+'11.3. ДА Базова година'!R195</f>
        <v>0</v>
      </c>
      <c r="AA234" s="2617">
        <f>$Z234-SUMIF('11.2. ДА за периода'!$B$155:$B$175,$B234,'11.2. ДА за периода'!$Z$155:$Z$175)+SUMIF('11.2. ДА за периода'!$B$155:$B$175,$B234,'11.2. ДА за периода'!AA$155:AA$175)</f>
        <v>0</v>
      </c>
      <c r="AB234" s="1110">
        <f>$Z234-SUMIF('11.2. ДА за периода'!$B$155:$B$175,$B234,'11.2. ДА за периода'!$Z$155:$Z$175)+SUMIF('11.2. ДА за периода'!$B$155:$B$175,$B234,'11.2. ДА за периода'!AB$155:AB$175)</f>
        <v>0</v>
      </c>
      <c r="AC234" s="1110">
        <f>$Z234-SUMIF('11.2. ДА за периода'!$B$155:$B$175,$B234,'11.2. ДА за периода'!$Z$155:$Z$175)+SUMIF('11.2. ДА за периода'!$B$155:$B$175,$B234,'11.2. ДА за периода'!AC$155:AC$175)</f>
        <v>0</v>
      </c>
      <c r="AD234" s="1110">
        <f>$Z234-SUMIF('11.2. ДА за периода'!$B$155:$B$175,$B234,'11.2. ДА за периода'!$Z$155:$Z$175)+SUMIF('11.2. ДА за периода'!$B$155:$B$175,$B234,'11.2. ДА за периода'!AD$155:AD$175)</f>
        <v>0</v>
      </c>
      <c r="AE234" s="1110">
        <f>$Z234-SUMIF('11.2. ДА за периода'!$B$155:$B$175,$B234,'11.2. ДА за периода'!$Z$155:$Z$175)+SUMIF('11.2. ДА за периода'!$B$155:$B$175,$B234,'11.2. ДА за периода'!AE$155:AE$175)</f>
        <v>0</v>
      </c>
      <c r="AF234" s="2618">
        <f>$Z234-SUMIF('11.2. ДА за периода'!$B$155:$B$175,$B234,'11.2. ДА за периода'!$Z$155:$Z$175)+SUMIF('11.2. ДА за периода'!$B$155:$B$175,$B234,'11.2. ДА за периода'!AF$155:AF$175)</f>
        <v>0</v>
      </c>
      <c r="AG234" s="4387">
        <f>+'11.3. ДА Базова година'!V195</f>
        <v>0</v>
      </c>
      <c r="AH234" s="2617">
        <f>$AG234-SUMIF('11.2. ДА за периода'!$B$155:$B$175,$B234,'11.2. ДА за периода'!$AG$155:$AG$175)+SUMIF('11.2. ДА за периода'!$B$155:$B$175,$B234,'11.2. ДА за периода'!AH$155:AH$175)</f>
        <v>0</v>
      </c>
      <c r="AI234" s="1110">
        <f>$AG234-SUMIF('11.2. ДА за периода'!$B$155:$B$175,$B234,'11.2. ДА за периода'!$AG$155:$AG$175)+SUMIF('11.2. ДА за периода'!$B$155:$B$175,$B234,'11.2. ДА за периода'!AI$155:AI$175)</f>
        <v>0</v>
      </c>
      <c r="AJ234" s="1110">
        <f>$AG234-SUMIF('11.2. ДА за периода'!$B$155:$B$175,$B234,'11.2. ДА за периода'!$AG$155:$AG$175)+SUMIF('11.2. ДА за периода'!$B$155:$B$175,$B234,'11.2. ДА за периода'!AJ$155:AJ$175)</f>
        <v>0</v>
      </c>
      <c r="AK234" s="1110">
        <f>$AG234-SUMIF('11.2. ДА за периода'!$B$155:$B$175,$B234,'11.2. ДА за периода'!$AG$155:$AG$175)+SUMIF('11.2. ДА за периода'!$B$155:$B$175,$B234,'11.2. ДА за периода'!AK$155:AK$175)</f>
        <v>0</v>
      </c>
      <c r="AL234" s="1110">
        <f>$AG234-SUMIF('11.2. ДА за периода'!$B$155:$B$175,$B234,'11.2. ДА за периода'!$AG$155:$AG$175)+SUMIF('11.2. ДА за периода'!$B$155:$B$175,$B234,'11.2. ДА за периода'!AL$155:AL$175)</f>
        <v>0</v>
      </c>
      <c r="AM234" s="2618">
        <f>$AG234-SUMIF('11.2. ДА за периода'!$B$155:$B$175,$B234,'11.2. ДА за периода'!$AG$155:$AG$175)+SUMIF('11.2. ДА за периода'!$B$155:$B$175,$B234,'11.2. ДА за периода'!AM$155:AM$175)</f>
        <v>0</v>
      </c>
      <c r="AN234" s="2524"/>
      <c r="AO234" s="2551"/>
      <c r="AP234" s="4422"/>
      <c r="AQ234" s="4438">
        <f t="shared" si="271"/>
        <v>3.5790431683735293</v>
      </c>
      <c r="AR234" s="4438">
        <f t="shared" si="272"/>
        <v>3.5790431683735293</v>
      </c>
      <c r="AS234" s="4438">
        <f t="shared" si="273"/>
        <v>3.5790431683735293</v>
      </c>
      <c r="AT234" s="4438">
        <f t="shared" si="274"/>
        <v>3.5790431683735293</v>
      </c>
      <c r="AU234" s="4438">
        <f t="shared" si="275"/>
        <v>3.5790431683735293</v>
      </c>
      <c r="AV234" s="4438">
        <f t="shared" si="276"/>
        <v>3.5790431683735293</v>
      </c>
      <c r="AW234" s="4438">
        <f t="shared" si="277"/>
        <v>3.5790431683735293</v>
      </c>
      <c r="AX234" s="4438">
        <f t="shared" si="278"/>
        <v>0</v>
      </c>
      <c r="AY234" s="4438">
        <f t="shared" si="279"/>
        <v>0</v>
      </c>
      <c r="AZ234" s="4438">
        <f t="shared" si="280"/>
        <v>0</v>
      </c>
      <c r="BA234" s="4438">
        <f t="shared" si="281"/>
        <v>0</v>
      </c>
      <c r="BB234" s="4438">
        <f t="shared" si="282"/>
        <v>0</v>
      </c>
      <c r="BC234" s="4438">
        <f t="shared" si="283"/>
        <v>0</v>
      </c>
      <c r="BD234" s="4438">
        <f t="shared" si="284"/>
        <v>0</v>
      </c>
      <c r="BE234" s="4438">
        <f t="shared" si="285"/>
        <v>14.316172673494117</v>
      </c>
      <c r="BF234" s="4438">
        <f t="shared" si="286"/>
        <v>14.316172673494117</v>
      </c>
      <c r="BG234" s="4438">
        <f t="shared" si="287"/>
        <v>14.316172673494117</v>
      </c>
      <c r="BH234" s="4438">
        <f t="shared" si="288"/>
        <v>14.316172673494117</v>
      </c>
      <c r="BI234" s="4438">
        <f t="shared" si="289"/>
        <v>14.316172673494117</v>
      </c>
      <c r="BJ234" s="4438">
        <f t="shared" si="290"/>
        <v>14.316172673494117</v>
      </c>
      <c r="BK234" s="4438">
        <f t="shared" si="291"/>
        <v>14.316172673494117</v>
      </c>
      <c r="BL234" s="4438">
        <f t="shared" si="292"/>
        <v>0</v>
      </c>
      <c r="BM234" s="4438">
        <f t="shared" si="293"/>
        <v>0</v>
      </c>
      <c r="BN234" s="4438">
        <f t="shared" si="294"/>
        <v>0</v>
      </c>
      <c r="BO234" s="4438">
        <f t="shared" si="295"/>
        <v>0</v>
      </c>
      <c r="BP234" s="4438">
        <f t="shared" si="296"/>
        <v>0</v>
      </c>
      <c r="BQ234" s="4438">
        <f t="shared" si="297"/>
        <v>0</v>
      </c>
      <c r="BR234" s="4438">
        <f t="shared" si="298"/>
        <v>0</v>
      </c>
      <c r="BS234" s="4438">
        <f t="shared" si="299"/>
        <v>0</v>
      </c>
      <c r="BT234" s="4438">
        <f t="shared" si="300"/>
        <v>0</v>
      </c>
      <c r="BU234" s="4438">
        <f t="shared" si="301"/>
        <v>0</v>
      </c>
      <c r="BV234" s="4438">
        <f t="shared" si="302"/>
        <v>0</v>
      </c>
      <c r="BW234" s="4438">
        <f t="shared" si="303"/>
        <v>0</v>
      </c>
      <c r="BX234" s="4438">
        <f t="shared" si="304"/>
        <v>0</v>
      </c>
      <c r="BY234" s="4438">
        <f t="shared" si="305"/>
        <v>0</v>
      </c>
    </row>
    <row r="235" spans="1:77" s="1292" customFormat="1" ht="24.75" thickBot="1">
      <c r="A235" s="2573">
        <v>21</v>
      </c>
      <c r="B235" s="2516" t="s">
        <v>707</v>
      </c>
      <c r="C235" s="2522">
        <v>0.2</v>
      </c>
      <c r="D235" s="2552" t="s">
        <v>679</v>
      </c>
      <c r="E235" s="4387">
        <f>+'11.3. ДА Базова година'!F196</f>
        <v>0</v>
      </c>
      <c r="F235" s="2634">
        <f>$E235-SUMIF('11.2. ДА за периода'!$B$155:$B$175,$B235,'11.2. ДА за периода'!$E$155:$E$175)+SUMIF('11.2. ДА за периода'!$B$155:$B$175,$B235,'11.2. ДА за периода'!F$155:F$175)</f>
        <v>0</v>
      </c>
      <c r="G235" s="1112">
        <f>$E235-SUMIF('11.2. ДА за периода'!$B$155:$B$175,$B235,'11.2. ДА за периода'!$E$155:$E$175)+SUMIF('11.2. ДА за периода'!$B$155:$B$175,$B235,'11.2. ДА за периода'!G$155:G$175)</f>
        <v>0</v>
      </c>
      <c r="H235" s="1112">
        <f>$E235-SUMIF('11.2. ДА за периода'!$B$155:$B$175,$B235,'11.2. ДА за периода'!$E$155:$E$175)+SUMIF('11.2. ДА за периода'!$B$155:$B$175,$B235,'11.2. ДА за периода'!H$155:H$175)</f>
        <v>0</v>
      </c>
      <c r="I235" s="1112">
        <f>$E235-SUMIF('11.2. ДА за периода'!$B$155:$B$175,$B235,'11.2. ДА за периода'!$E$155:$E$175)+SUMIF('11.2. ДА за периода'!$B$155:$B$175,$B235,'11.2. ДА за периода'!I$155:I$175)</f>
        <v>0</v>
      </c>
      <c r="J235" s="1112">
        <f>$E235-SUMIF('11.2. ДА за периода'!$B$155:$B$175,$B235,'11.2. ДА за периода'!$E$155:$E$175)+SUMIF('11.2. ДА за периода'!$B$155:$B$175,$B235,'11.2. ДА за периода'!J$155:J$175)</f>
        <v>0</v>
      </c>
      <c r="K235" s="2635">
        <f>$E235-SUMIF('11.2. ДА за периода'!$B$155:$B$175,$B235,'11.2. ДА за периода'!$E$155:$E$175)+SUMIF('11.2. ДА за периода'!$B$155:$B$175,$B235,'11.2. ДА за периода'!K$155:K$175)</f>
        <v>0</v>
      </c>
      <c r="L235" s="4387">
        <f>+'11.3. ДА Базова година'!J196</f>
        <v>0</v>
      </c>
      <c r="M235" s="2634">
        <f>$L235-SUMIF('11.2. ДА за периода'!$B$155:$B$175,$B235,'11.2. ДА за периода'!$L$155:$L$175)+SUMIF('11.2. ДА за периода'!$B$155:$B$175,$B235,'11.2. ДА за периода'!M$155:M$175)</f>
        <v>0</v>
      </c>
      <c r="N235" s="1112">
        <f>$L235-SUMIF('11.2. ДА за периода'!$B$155:$B$175,$B235,'11.2. ДА за периода'!$L$155:$L$175)+SUMIF('11.2. ДА за периода'!$B$155:$B$175,$B235,'11.2. ДА за периода'!N$155:N$175)</f>
        <v>0</v>
      </c>
      <c r="O235" s="1112">
        <f>$L235-SUMIF('11.2. ДА за периода'!$B$155:$B$175,$B235,'11.2. ДА за периода'!$L$155:$L$175)+SUMIF('11.2. ДА за периода'!$B$155:$B$175,$B235,'11.2. ДА за периода'!O$155:O$175)</f>
        <v>0</v>
      </c>
      <c r="P235" s="1112">
        <f>$L235-SUMIF('11.2. ДА за периода'!$B$155:$B$175,$B235,'11.2. ДА за периода'!$L$155:$L$175)+SUMIF('11.2. ДА за периода'!$B$155:$B$175,$B235,'11.2. ДА за периода'!P$155:P$175)</f>
        <v>0</v>
      </c>
      <c r="Q235" s="1112">
        <f>$L235-SUMIF('11.2. ДА за периода'!$B$155:$B$175,$B235,'11.2. ДА за периода'!$L$155:$L$175)+SUMIF('11.2. ДА за периода'!$B$155:$B$175,$B235,'11.2. ДА за периода'!Q$155:Q$175)</f>
        <v>0</v>
      </c>
      <c r="R235" s="2635">
        <f>$L235-SUMIF('11.2. ДА за периода'!$B$155:$B$175,$B235,'11.2. ДА за периода'!$L$155:$L$175)+SUMIF('11.2. ДА за периода'!$B$155:$B$175,$B235,'11.2. ДА за периода'!R$155:R$175)</f>
        <v>0</v>
      </c>
      <c r="S235" s="4387">
        <f>+'11.3. ДА Базова година'!N196</f>
        <v>4</v>
      </c>
      <c r="T235" s="2634">
        <f>$S235-SUMIF('11.2. ДА за периода'!$B$155:$B$175,$B235,'11.2. ДА за периода'!$S$155:$S$175)+SUMIF('11.2. ДА за периода'!$B$155:$B$175,$B235,'11.2. ДА за периода'!T$155:T$175)</f>
        <v>4</v>
      </c>
      <c r="U235" s="1112">
        <f>$S235-SUMIF('11.2. ДА за периода'!$B$155:$B$175,$B235,'11.2. ДА за периода'!$S$155:$S$175)+SUMIF('11.2. ДА за периода'!$B$155:$B$175,$B235,'11.2. ДА за периода'!U$155:U$175)</f>
        <v>4</v>
      </c>
      <c r="V235" s="1112">
        <f>$S235-SUMIF('11.2. ДА за периода'!$B$155:$B$175,$B235,'11.2. ДА за периода'!$S$155:$S$175)+SUMIF('11.2. ДА за периода'!$B$155:$B$175,$B235,'11.2. ДА за периода'!V$155:V$175)</f>
        <v>4</v>
      </c>
      <c r="W235" s="1112">
        <f>$S235-SUMIF('11.2. ДА за периода'!$B$155:$B$175,$B235,'11.2. ДА за периода'!$S$155:$S$175)+SUMIF('11.2. ДА за периода'!$B$155:$B$175,$B235,'11.2. ДА за периода'!W$155:W$175)</f>
        <v>4</v>
      </c>
      <c r="X235" s="1112">
        <f>$S235-SUMIF('11.2. ДА за периода'!$B$155:$B$175,$B235,'11.2. ДА за периода'!$S$155:$S$175)+SUMIF('11.2. ДА за периода'!$B$155:$B$175,$B235,'11.2. ДА за периода'!X$155:X$175)</f>
        <v>4</v>
      </c>
      <c r="Y235" s="2635">
        <f>$S235-SUMIF('11.2. ДА за периода'!$B$155:$B$175,$B235,'11.2. ДА за периода'!$S$155:$S$175)+SUMIF('11.2. ДА за периода'!$B$155:$B$175,$B235,'11.2. ДА за периода'!Y$155:Y$175)</f>
        <v>4</v>
      </c>
      <c r="Z235" s="4387">
        <f>+'11.3. ДА Базова година'!R196</f>
        <v>0</v>
      </c>
      <c r="AA235" s="2634">
        <f>$Z235-SUMIF('11.2. ДА за периода'!$B$155:$B$175,$B235,'11.2. ДА за периода'!$Z$155:$Z$175)+SUMIF('11.2. ДА за периода'!$B$155:$B$175,$B235,'11.2. ДА за периода'!AA$155:AA$175)</f>
        <v>0</v>
      </c>
      <c r="AB235" s="1112">
        <f>$Z235-SUMIF('11.2. ДА за периода'!$B$155:$B$175,$B235,'11.2. ДА за периода'!$Z$155:$Z$175)+SUMIF('11.2. ДА за периода'!$B$155:$B$175,$B235,'11.2. ДА за периода'!AB$155:AB$175)</f>
        <v>0</v>
      </c>
      <c r="AC235" s="1112">
        <f>$Z235-SUMIF('11.2. ДА за периода'!$B$155:$B$175,$B235,'11.2. ДА за периода'!$Z$155:$Z$175)+SUMIF('11.2. ДА за периода'!$B$155:$B$175,$B235,'11.2. ДА за периода'!AC$155:AC$175)</f>
        <v>0</v>
      </c>
      <c r="AD235" s="1112">
        <f>$Z235-SUMIF('11.2. ДА за периода'!$B$155:$B$175,$B235,'11.2. ДА за периода'!$Z$155:$Z$175)+SUMIF('11.2. ДА за периода'!$B$155:$B$175,$B235,'11.2. ДА за периода'!AD$155:AD$175)</f>
        <v>0</v>
      </c>
      <c r="AE235" s="1112">
        <f>$Z235-SUMIF('11.2. ДА за периода'!$B$155:$B$175,$B235,'11.2. ДА за периода'!$Z$155:$Z$175)+SUMIF('11.2. ДА за периода'!$B$155:$B$175,$B235,'11.2. ДА за периода'!AE$155:AE$175)</f>
        <v>0</v>
      </c>
      <c r="AF235" s="2635">
        <f>$Z235-SUMIF('11.2. ДА за периода'!$B$155:$B$175,$B235,'11.2. ДА за периода'!$Z$155:$Z$175)+SUMIF('11.2. ДА за периода'!$B$155:$B$175,$B235,'11.2. ДА за периода'!AF$155:AF$175)</f>
        <v>0</v>
      </c>
      <c r="AG235" s="4387">
        <f>+'11.3. ДА Базова година'!V196</f>
        <v>0</v>
      </c>
      <c r="AH235" s="2634">
        <f>$AG235-SUMIF('11.2. ДА за периода'!$B$155:$B$175,$B235,'11.2. ДА за периода'!$AG$155:$AG$175)+SUMIF('11.2. ДА за периода'!$B$155:$B$175,$B235,'11.2. ДА за периода'!AH$155:AH$175)</f>
        <v>0</v>
      </c>
      <c r="AI235" s="1112">
        <f>$AG235-SUMIF('11.2. ДА за периода'!$B$155:$B$175,$B235,'11.2. ДА за периода'!$AG$155:$AG$175)+SUMIF('11.2. ДА за периода'!$B$155:$B$175,$B235,'11.2. ДА за периода'!AI$155:AI$175)</f>
        <v>0</v>
      </c>
      <c r="AJ235" s="1112">
        <f>$AG235-SUMIF('11.2. ДА за периода'!$B$155:$B$175,$B235,'11.2. ДА за периода'!$AG$155:$AG$175)+SUMIF('11.2. ДА за периода'!$B$155:$B$175,$B235,'11.2. ДА за периода'!AJ$155:AJ$175)</f>
        <v>0</v>
      </c>
      <c r="AK235" s="1112">
        <f>$AG235-SUMIF('11.2. ДА за периода'!$B$155:$B$175,$B235,'11.2. ДА за периода'!$AG$155:$AG$175)+SUMIF('11.2. ДА за периода'!$B$155:$B$175,$B235,'11.2. ДА за периода'!AK$155:AK$175)</f>
        <v>0</v>
      </c>
      <c r="AL235" s="1112">
        <f>$AG235-SUMIF('11.2. ДА за периода'!$B$155:$B$175,$B235,'11.2. ДА за периода'!$AG$155:$AG$175)+SUMIF('11.2. ДА за периода'!$B$155:$B$175,$B235,'11.2. ДА за периода'!AL$155:AL$175)</f>
        <v>0</v>
      </c>
      <c r="AM235" s="2635">
        <f>$AG235-SUMIF('11.2. ДА за периода'!$B$155:$B$175,$B235,'11.2. ДА за периода'!$AG$155:$AG$175)+SUMIF('11.2. ДА за периода'!$B$155:$B$175,$B235,'11.2. ДА за периода'!AM$155:AM$175)</f>
        <v>0</v>
      </c>
      <c r="AN235" s="2524"/>
      <c r="AO235" s="2551"/>
      <c r="AP235" s="4422"/>
      <c r="AQ235" s="4438">
        <f t="shared" si="271"/>
        <v>0</v>
      </c>
      <c r="AR235" s="4438">
        <f t="shared" si="272"/>
        <v>0</v>
      </c>
      <c r="AS235" s="4438">
        <f t="shared" si="273"/>
        <v>0</v>
      </c>
      <c r="AT235" s="4438">
        <f t="shared" si="274"/>
        <v>0</v>
      </c>
      <c r="AU235" s="4438">
        <f t="shared" si="275"/>
        <v>0</v>
      </c>
      <c r="AV235" s="4438">
        <f t="shared" si="276"/>
        <v>0</v>
      </c>
      <c r="AW235" s="4438">
        <f t="shared" si="277"/>
        <v>0</v>
      </c>
      <c r="AX235" s="4438">
        <f t="shared" si="278"/>
        <v>0</v>
      </c>
      <c r="AY235" s="4438">
        <f t="shared" si="279"/>
        <v>0</v>
      </c>
      <c r="AZ235" s="4438">
        <f t="shared" si="280"/>
        <v>0</v>
      </c>
      <c r="BA235" s="4438">
        <f t="shared" si="281"/>
        <v>0</v>
      </c>
      <c r="BB235" s="4438">
        <f t="shared" si="282"/>
        <v>0</v>
      </c>
      <c r="BC235" s="4438">
        <f t="shared" si="283"/>
        <v>0</v>
      </c>
      <c r="BD235" s="4438">
        <f t="shared" si="284"/>
        <v>0</v>
      </c>
      <c r="BE235" s="4438">
        <f t="shared" si="285"/>
        <v>2.045167524784874</v>
      </c>
      <c r="BF235" s="4438">
        <f t="shared" si="286"/>
        <v>2.045167524784874</v>
      </c>
      <c r="BG235" s="4438">
        <f t="shared" si="287"/>
        <v>2.045167524784874</v>
      </c>
      <c r="BH235" s="4438">
        <f t="shared" si="288"/>
        <v>2.045167524784874</v>
      </c>
      <c r="BI235" s="4438">
        <f t="shared" si="289"/>
        <v>2.045167524784874</v>
      </c>
      <c r="BJ235" s="4438">
        <f t="shared" si="290"/>
        <v>2.045167524784874</v>
      </c>
      <c r="BK235" s="4438">
        <f t="shared" si="291"/>
        <v>2.045167524784874</v>
      </c>
      <c r="BL235" s="4438">
        <f t="shared" si="292"/>
        <v>0</v>
      </c>
      <c r="BM235" s="4438">
        <f t="shared" si="293"/>
        <v>0</v>
      </c>
      <c r="BN235" s="4438">
        <f t="shared" si="294"/>
        <v>0</v>
      </c>
      <c r="BO235" s="4438">
        <f t="shared" si="295"/>
        <v>0</v>
      </c>
      <c r="BP235" s="4438">
        <f t="shared" si="296"/>
        <v>0</v>
      </c>
      <c r="BQ235" s="4438">
        <f t="shared" si="297"/>
        <v>0</v>
      </c>
      <c r="BR235" s="4438">
        <f t="shared" si="298"/>
        <v>0</v>
      </c>
      <c r="BS235" s="4438">
        <f t="shared" si="299"/>
        <v>0</v>
      </c>
      <c r="BT235" s="4438">
        <f t="shared" si="300"/>
        <v>0</v>
      </c>
      <c r="BU235" s="4438">
        <f t="shared" si="301"/>
        <v>0</v>
      </c>
      <c r="BV235" s="4438">
        <f t="shared" si="302"/>
        <v>0</v>
      </c>
      <c r="BW235" s="4438">
        <f t="shared" si="303"/>
        <v>0</v>
      </c>
      <c r="BX235" s="4438">
        <f t="shared" si="304"/>
        <v>0</v>
      </c>
      <c r="BY235" s="4438">
        <f t="shared" si="305"/>
        <v>0</v>
      </c>
    </row>
    <row r="236" spans="1:77" s="1292" customFormat="1" ht="13.5" thickBot="1">
      <c r="A236" s="3685" t="s">
        <v>219</v>
      </c>
      <c r="B236" s="2539"/>
      <c r="C236" s="2539"/>
      <c r="D236" s="2502" t="s">
        <v>220</v>
      </c>
      <c r="E236" s="1220">
        <f t="shared" ref="E236" si="308">SUM(E237:E257)</f>
        <v>26448</v>
      </c>
      <c r="F236" s="2632">
        <f t="shared" ref="F236:AM236" si="309">SUM(F237:F257)</f>
        <v>28677</v>
      </c>
      <c r="G236" s="1121">
        <f t="shared" si="309"/>
        <v>30906</v>
      </c>
      <c r="H236" s="1121">
        <f t="shared" si="309"/>
        <v>33131.21</v>
      </c>
      <c r="I236" s="1121">
        <f t="shared" si="309"/>
        <v>35341.78</v>
      </c>
      <c r="J236" s="1121">
        <f t="shared" si="309"/>
        <v>37549.550000000003</v>
      </c>
      <c r="K236" s="2633">
        <f t="shared" si="309"/>
        <v>39757.320000000007</v>
      </c>
      <c r="L236" s="1220">
        <f t="shared" si="309"/>
        <v>15847</v>
      </c>
      <c r="M236" s="2632">
        <f t="shared" si="309"/>
        <v>17787</v>
      </c>
      <c r="N236" s="1121">
        <f t="shared" si="309"/>
        <v>19727</v>
      </c>
      <c r="O236" s="1121">
        <f t="shared" si="309"/>
        <v>21667</v>
      </c>
      <c r="P236" s="1122">
        <f t="shared" si="309"/>
        <v>23607</v>
      </c>
      <c r="Q236" s="1121">
        <f t="shared" si="309"/>
        <v>25547</v>
      </c>
      <c r="R236" s="1121">
        <f t="shared" si="309"/>
        <v>27487</v>
      </c>
      <c r="S236" s="1220">
        <f t="shared" si="309"/>
        <v>26724</v>
      </c>
      <c r="T236" s="2632">
        <f t="shared" si="309"/>
        <v>30559</v>
      </c>
      <c r="U236" s="1121">
        <f t="shared" si="309"/>
        <v>34394</v>
      </c>
      <c r="V236" s="1121">
        <f t="shared" si="309"/>
        <v>38229</v>
      </c>
      <c r="W236" s="1122">
        <f t="shared" si="309"/>
        <v>42064</v>
      </c>
      <c r="X236" s="1121">
        <f t="shared" si="309"/>
        <v>45899</v>
      </c>
      <c r="Y236" s="2633">
        <f t="shared" si="309"/>
        <v>49734</v>
      </c>
      <c r="Z236" s="1220">
        <f t="shared" si="309"/>
        <v>0</v>
      </c>
      <c r="AA236" s="2632">
        <f t="shared" si="309"/>
        <v>0</v>
      </c>
      <c r="AB236" s="1121">
        <f t="shared" si="309"/>
        <v>0</v>
      </c>
      <c r="AC236" s="1121">
        <f t="shared" si="309"/>
        <v>0</v>
      </c>
      <c r="AD236" s="1122">
        <f t="shared" si="309"/>
        <v>0</v>
      </c>
      <c r="AE236" s="1121">
        <f t="shared" si="309"/>
        <v>0</v>
      </c>
      <c r="AF236" s="2633">
        <f t="shared" si="309"/>
        <v>0</v>
      </c>
      <c r="AG236" s="1220">
        <f t="shared" si="309"/>
        <v>0</v>
      </c>
      <c r="AH236" s="2632">
        <f t="shared" si="309"/>
        <v>0</v>
      </c>
      <c r="AI236" s="1121">
        <f t="shared" si="309"/>
        <v>0</v>
      </c>
      <c r="AJ236" s="1121">
        <f t="shared" si="309"/>
        <v>0</v>
      </c>
      <c r="AK236" s="1122">
        <f t="shared" si="309"/>
        <v>0</v>
      </c>
      <c r="AL236" s="1121">
        <f t="shared" si="309"/>
        <v>0</v>
      </c>
      <c r="AM236" s="2633">
        <f t="shared" si="309"/>
        <v>0</v>
      </c>
      <c r="AN236" s="2513"/>
      <c r="AO236" s="2551"/>
      <c r="AP236" s="4422"/>
      <c r="AQ236" s="4438">
        <f t="shared" si="271"/>
        <v>13522.647673877587</v>
      </c>
      <c r="AR236" s="4438">
        <f t="shared" si="272"/>
        <v>14662.317277063958</v>
      </c>
      <c r="AS236" s="4438">
        <f t="shared" si="273"/>
        <v>15801.98688025033</v>
      </c>
      <c r="AT236" s="4438">
        <f t="shared" si="274"/>
        <v>16939.718687206965</v>
      </c>
      <c r="AU236" s="4438">
        <f t="shared" si="275"/>
        <v>18069.96518102289</v>
      </c>
      <c r="AV236" s="4438">
        <f t="shared" si="276"/>
        <v>19198.780057571468</v>
      </c>
      <c r="AW236" s="4438">
        <f t="shared" si="277"/>
        <v>20327.594934120047</v>
      </c>
      <c r="AX236" s="4438">
        <f t="shared" si="278"/>
        <v>8102.4424413164743</v>
      </c>
      <c r="AY236" s="4438">
        <f t="shared" si="279"/>
        <v>9094.3486908371378</v>
      </c>
      <c r="AZ236" s="4438">
        <f t="shared" si="280"/>
        <v>10086.254940357801</v>
      </c>
      <c r="BA236" s="4438">
        <f t="shared" si="281"/>
        <v>11078.161189878467</v>
      </c>
      <c r="BB236" s="4438">
        <f t="shared" si="282"/>
        <v>12070.06743939913</v>
      </c>
      <c r="BC236" s="4438">
        <f t="shared" si="283"/>
        <v>13061.973688919794</v>
      </c>
      <c r="BD236" s="4438">
        <f t="shared" si="284"/>
        <v>14053.879938440457</v>
      </c>
      <c r="BE236" s="4438">
        <f t="shared" si="285"/>
        <v>13663.764233087742</v>
      </c>
      <c r="BF236" s="4438">
        <f t="shared" si="286"/>
        <v>15624.568597475241</v>
      </c>
      <c r="BG236" s="4438">
        <f t="shared" si="287"/>
        <v>17585.37296186274</v>
      </c>
      <c r="BH236" s="4438">
        <f t="shared" si="288"/>
        <v>19546.177326250236</v>
      </c>
      <c r="BI236" s="4438">
        <f t="shared" si="289"/>
        <v>21506.981690637735</v>
      </c>
      <c r="BJ236" s="4438">
        <f t="shared" si="290"/>
        <v>23467.786055025234</v>
      </c>
      <c r="BK236" s="4438">
        <f t="shared" si="291"/>
        <v>25428.590419412732</v>
      </c>
      <c r="BL236" s="4438">
        <f t="shared" si="292"/>
        <v>0</v>
      </c>
      <c r="BM236" s="4438">
        <f t="shared" si="293"/>
        <v>0</v>
      </c>
      <c r="BN236" s="4438">
        <f t="shared" si="294"/>
        <v>0</v>
      </c>
      <c r="BO236" s="4438">
        <f t="shared" si="295"/>
        <v>0</v>
      </c>
      <c r="BP236" s="4438">
        <f t="shared" si="296"/>
        <v>0</v>
      </c>
      <c r="BQ236" s="4438">
        <f t="shared" si="297"/>
        <v>0</v>
      </c>
      <c r="BR236" s="4438">
        <f t="shared" si="298"/>
        <v>0</v>
      </c>
      <c r="BS236" s="4438">
        <f t="shared" si="299"/>
        <v>0</v>
      </c>
      <c r="BT236" s="4438">
        <f t="shared" si="300"/>
        <v>0</v>
      </c>
      <c r="BU236" s="4438">
        <f t="shared" si="301"/>
        <v>0</v>
      </c>
      <c r="BV236" s="4438">
        <f t="shared" si="302"/>
        <v>0</v>
      </c>
      <c r="BW236" s="4438">
        <f t="shared" si="303"/>
        <v>0</v>
      </c>
      <c r="BX236" s="4438">
        <f t="shared" si="304"/>
        <v>0</v>
      </c>
      <c r="BY236" s="4438">
        <f t="shared" si="305"/>
        <v>0</v>
      </c>
    </row>
    <row r="237" spans="1:77" s="1292" customFormat="1">
      <c r="A237" s="2515">
        <v>1</v>
      </c>
      <c r="B237" s="2576" t="s">
        <v>696</v>
      </c>
      <c r="C237" s="2533">
        <v>0</v>
      </c>
      <c r="D237" s="2563" t="s">
        <v>558</v>
      </c>
      <c r="E237" s="4387">
        <f>+'11.3. ДА Базова година'!H176</f>
        <v>0</v>
      </c>
      <c r="F237" s="2605">
        <f t="shared" ref="F237:K252" si="310">E237+F215</f>
        <v>0</v>
      </c>
      <c r="G237" s="2603">
        <f t="shared" si="310"/>
        <v>0</v>
      </c>
      <c r="H237" s="2603">
        <f t="shared" si="310"/>
        <v>0</v>
      </c>
      <c r="I237" s="2603">
        <f t="shared" si="310"/>
        <v>0</v>
      </c>
      <c r="J237" s="2603">
        <f t="shared" si="310"/>
        <v>0</v>
      </c>
      <c r="K237" s="2604">
        <f t="shared" si="310"/>
        <v>0</v>
      </c>
      <c r="L237" s="4387">
        <f>+'11.3. ДА Базова година'!L176</f>
        <v>0</v>
      </c>
      <c r="M237" s="2605">
        <f t="shared" ref="M237:R252" si="311">L237+M215</f>
        <v>0</v>
      </c>
      <c r="N237" s="2603">
        <f t="shared" si="311"/>
        <v>0</v>
      </c>
      <c r="O237" s="2603">
        <f t="shared" si="311"/>
        <v>0</v>
      </c>
      <c r="P237" s="2603">
        <f t="shared" si="311"/>
        <v>0</v>
      </c>
      <c r="Q237" s="2603">
        <f t="shared" si="311"/>
        <v>0</v>
      </c>
      <c r="R237" s="2604">
        <f t="shared" si="311"/>
        <v>0</v>
      </c>
      <c r="S237" s="4387">
        <f>+'11.3. ДА Базова година'!P176</f>
        <v>0</v>
      </c>
      <c r="T237" s="2605">
        <f t="shared" ref="T237:Y252" si="312">S237+T215</f>
        <v>0</v>
      </c>
      <c r="U237" s="2603">
        <f t="shared" si="312"/>
        <v>0</v>
      </c>
      <c r="V237" s="2603">
        <f t="shared" si="312"/>
        <v>0</v>
      </c>
      <c r="W237" s="2603">
        <f t="shared" si="312"/>
        <v>0</v>
      </c>
      <c r="X237" s="2603">
        <f t="shared" si="312"/>
        <v>0</v>
      </c>
      <c r="Y237" s="2604">
        <f t="shared" si="312"/>
        <v>0</v>
      </c>
      <c r="Z237" s="4387">
        <f>+'11.3. ДА Базова година'!T176</f>
        <v>0</v>
      </c>
      <c r="AA237" s="2605">
        <f t="shared" ref="AA237:AF252" si="313">Z237+AA215</f>
        <v>0</v>
      </c>
      <c r="AB237" s="2603">
        <f t="shared" si="313"/>
        <v>0</v>
      </c>
      <c r="AC237" s="2603">
        <f t="shared" si="313"/>
        <v>0</v>
      </c>
      <c r="AD237" s="2603">
        <f t="shared" si="313"/>
        <v>0</v>
      </c>
      <c r="AE237" s="2603">
        <f t="shared" si="313"/>
        <v>0</v>
      </c>
      <c r="AF237" s="2604">
        <f t="shared" si="313"/>
        <v>0</v>
      </c>
      <c r="AG237" s="4387">
        <f>+'11.3. ДА Базова година'!X176</f>
        <v>0</v>
      </c>
      <c r="AH237" s="2605">
        <f t="shared" ref="AH237:AM252" si="314">AG237+AH215</f>
        <v>0</v>
      </c>
      <c r="AI237" s="2603">
        <f t="shared" si="314"/>
        <v>0</v>
      </c>
      <c r="AJ237" s="2603">
        <f t="shared" si="314"/>
        <v>0</v>
      </c>
      <c r="AK237" s="2603">
        <f t="shared" si="314"/>
        <v>0</v>
      </c>
      <c r="AL237" s="2603">
        <f t="shared" si="314"/>
        <v>0</v>
      </c>
      <c r="AM237" s="2604">
        <f t="shared" si="314"/>
        <v>0</v>
      </c>
      <c r="AN237" s="2513"/>
      <c r="AO237" s="2551"/>
      <c r="AP237" s="4422"/>
      <c r="AQ237" s="4438">
        <f t="shared" si="271"/>
        <v>0</v>
      </c>
      <c r="AR237" s="4438">
        <f t="shared" si="272"/>
        <v>0</v>
      </c>
      <c r="AS237" s="4438">
        <f t="shared" si="273"/>
        <v>0</v>
      </c>
      <c r="AT237" s="4438">
        <f t="shared" si="274"/>
        <v>0</v>
      </c>
      <c r="AU237" s="4438">
        <f t="shared" si="275"/>
        <v>0</v>
      </c>
      <c r="AV237" s="4438">
        <f t="shared" si="276"/>
        <v>0</v>
      </c>
      <c r="AW237" s="4438">
        <f t="shared" si="277"/>
        <v>0</v>
      </c>
      <c r="AX237" s="4438">
        <f t="shared" si="278"/>
        <v>0</v>
      </c>
      <c r="AY237" s="4438">
        <f t="shared" si="279"/>
        <v>0</v>
      </c>
      <c r="AZ237" s="4438">
        <f t="shared" si="280"/>
        <v>0</v>
      </c>
      <c r="BA237" s="4438">
        <f t="shared" si="281"/>
        <v>0</v>
      </c>
      <c r="BB237" s="4438">
        <f t="shared" si="282"/>
        <v>0</v>
      </c>
      <c r="BC237" s="4438">
        <f t="shared" si="283"/>
        <v>0</v>
      </c>
      <c r="BD237" s="4438">
        <f t="shared" si="284"/>
        <v>0</v>
      </c>
      <c r="BE237" s="4438">
        <f t="shared" si="285"/>
        <v>0</v>
      </c>
      <c r="BF237" s="4438">
        <f t="shared" si="286"/>
        <v>0</v>
      </c>
      <c r="BG237" s="4438">
        <f t="shared" si="287"/>
        <v>0</v>
      </c>
      <c r="BH237" s="4438">
        <f t="shared" si="288"/>
        <v>0</v>
      </c>
      <c r="BI237" s="4438">
        <f t="shared" si="289"/>
        <v>0</v>
      </c>
      <c r="BJ237" s="4438">
        <f t="shared" si="290"/>
        <v>0</v>
      </c>
      <c r="BK237" s="4438">
        <f t="shared" si="291"/>
        <v>0</v>
      </c>
      <c r="BL237" s="4438">
        <f t="shared" si="292"/>
        <v>0</v>
      </c>
      <c r="BM237" s="4438">
        <f t="shared" si="293"/>
        <v>0</v>
      </c>
      <c r="BN237" s="4438">
        <f t="shared" si="294"/>
        <v>0</v>
      </c>
      <c r="BO237" s="4438">
        <f t="shared" si="295"/>
        <v>0</v>
      </c>
      <c r="BP237" s="4438">
        <f t="shared" si="296"/>
        <v>0</v>
      </c>
      <c r="BQ237" s="4438">
        <f t="shared" si="297"/>
        <v>0</v>
      </c>
      <c r="BR237" s="4438">
        <f t="shared" si="298"/>
        <v>0</v>
      </c>
      <c r="BS237" s="4438">
        <f t="shared" si="299"/>
        <v>0</v>
      </c>
      <c r="BT237" s="4438">
        <f t="shared" si="300"/>
        <v>0</v>
      </c>
      <c r="BU237" s="4438">
        <f t="shared" si="301"/>
        <v>0</v>
      </c>
      <c r="BV237" s="4438">
        <f t="shared" si="302"/>
        <v>0</v>
      </c>
      <c r="BW237" s="4438">
        <f t="shared" si="303"/>
        <v>0</v>
      </c>
      <c r="BX237" s="4438">
        <f t="shared" si="304"/>
        <v>0</v>
      </c>
      <c r="BY237" s="4438">
        <f t="shared" si="305"/>
        <v>0</v>
      </c>
    </row>
    <row r="238" spans="1:77" s="1292" customFormat="1">
      <c r="A238" s="2515">
        <v>2</v>
      </c>
      <c r="B238" s="2516" t="s">
        <v>697</v>
      </c>
      <c r="C238" s="2517">
        <v>0.03</v>
      </c>
      <c r="D238" s="2571" t="s">
        <v>426</v>
      </c>
      <c r="E238" s="4387">
        <f>+'11.3. ДА Базова година'!H177</f>
        <v>1622</v>
      </c>
      <c r="F238" s="1202">
        <f t="shared" si="310"/>
        <v>1687</v>
      </c>
      <c r="G238" s="1198">
        <f t="shared" si="310"/>
        <v>1752</v>
      </c>
      <c r="H238" s="1198">
        <f t="shared" si="310"/>
        <v>1816.91</v>
      </c>
      <c r="I238" s="1198">
        <f t="shared" si="310"/>
        <v>1881.8200000000002</v>
      </c>
      <c r="J238" s="1198">
        <f t="shared" si="310"/>
        <v>1946.7300000000002</v>
      </c>
      <c r="K238" s="1203">
        <f t="shared" si="310"/>
        <v>2011.6400000000003</v>
      </c>
      <c r="L238" s="4387">
        <f>+'11.3. ДА Базова година'!L177</f>
        <v>0</v>
      </c>
      <c r="M238" s="1202">
        <f t="shared" si="311"/>
        <v>0</v>
      </c>
      <c r="N238" s="1198">
        <f t="shared" si="311"/>
        <v>0</v>
      </c>
      <c r="O238" s="1198">
        <f t="shared" si="311"/>
        <v>0</v>
      </c>
      <c r="P238" s="1198">
        <f t="shared" si="311"/>
        <v>0</v>
      </c>
      <c r="Q238" s="1198">
        <f t="shared" si="311"/>
        <v>0</v>
      </c>
      <c r="R238" s="1203">
        <f t="shared" si="311"/>
        <v>0</v>
      </c>
      <c r="S238" s="4387">
        <f>+'11.3. ДА Базова година'!P177</f>
        <v>2246</v>
      </c>
      <c r="T238" s="1202">
        <f t="shared" si="312"/>
        <v>2597</v>
      </c>
      <c r="U238" s="1198">
        <f t="shared" si="312"/>
        <v>2948</v>
      </c>
      <c r="V238" s="1198">
        <f t="shared" si="312"/>
        <v>3299</v>
      </c>
      <c r="W238" s="1198">
        <f t="shared" si="312"/>
        <v>3650</v>
      </c>
      <c r="X238" s="1198">
        <f t="shared" si="312"/>
        <v>4001</v>
      </c>
      <c r="Y238" s="1203">
        <f t="shared" si="312"/>
        <v>4352</v>
      </c>
      <c r="Z238" s="4387">
        <f>+'11.3. ДА Базова година'!T177</f>
        <v>0</v>
      </c>
      <c r="AA238" s="1202">
        <f t="shared" si="313"/>
        <v>0</v>
      </c>
      <c r="AB238" s="1198">
        <f t="shared" si="313"/>
        <v>0</v>
      </c>
      <c r="AC238" s="1198">
        <f t="shared" si="313"/>
        <v>0</v>
      </c>
      <c r="AD238" s="1198">
        <f t="shared" si="313"/>
        <v>0</v>
      </c>
      <c r="AE238" s="1198">
        <f t="shared" si="313"/>
        <v>0</v>
      </c>
      <c r="AF238" s="1203">
        <f t="shared" si="313"/>
        <v>0</v>
      </c>
      <c r="AG238" s="4387">
        <f>+'11.3. ДА Базова година'!X177</f>
        <v>0</v>
      </c>
      <c r="AH238" s="1202">
        <f t="shared" si="314"/>
        <v>0</v>
      </c>
      <c r="AI238" s="1198">
        <f t="shared" si="314"/>
        <v>0</v>
      </c>
      <c r="AJ238" s="1198">
        <f t="shared" si="314"/>
        <v>0</v>
      </c>
      <c r="AK238" s="1198">
        <f t="shared" si="314"/>
        <v>0</v>
      </c>
      <c r="AL238" s="1198">
        <f t="shared" si="314"/>
        <v>0</v>
      </c>
      <c r="AM238" s="1203">
        <f t="shared" si="314"/>
        <v>0</v>
      </c>
      <c r="AN238" s="2513"/>
      <c r="AO238" s="2551"/>
      <c r="AP238" s="4422"/>
      <c r="AQ238" s="4438">
        <f t="shared" si="271"/>
        <v>829.31543130026637</v>
      </c>
      <c r="AR238" s="4438">
        <f t="shared" si="272"/>
        <v>862.54940357802059</v>
      </c>
      <c r="AS238" s="4438">
        <f t="shared" si="273"/>
        <v>895.78337585577481</v>
      </c>
      <c r="AT238" s="4438">
        <f t="shared" si="274"/>
        <v>928.97133186422138</v>
      </c>
      <c r="AU238" s="4438">
        <f t="shared" si="275"/>
        <v>962.15928787266796</v>
      </c>
      <c r="AV238" s="4438">
        <f t="shared" si="276"/>
        <v>995.34724388111454</v>
      </c>
      <c r="AW238" s="4438">
        <f t="shared" si="277"/>
        <v>1028.5351998895612</v>
      </c>
      <c r="AX238" s="4438">
        <f t="shared" si="278"/>
        <v>0</v>
      </c>
      <c r="AY238" s="4438">
        <f t="shared" si="279"/>
        <v>0</v>
      </c>
      <c r="AZ238" s="4438">
        <f t="shared" si="280"/>
        <v>0</v>
      </c>
      <c r="BA238" s="4438">
        <f t="shared" si="281"/>
        <v>0</v>
      </c>
      <c r="BB238" s="4438">
        <f t="shared" si="282"/>
        <v>0</v>
      </c>
      <c r="BC238" s="4438">
        <f t="shared" si="283"/>
        <v>0</v>
      </c>
      <c r="BD238" s="4438">
        <f t="shared" si="284"/>
        <v>0</v>
      </c>
      <c r="BE238" s="4438">
        <f t="shared" si="285"/>
        <v>1148.3615651667067</v>
      </c>
      <c r="BF238" s="4438">
        <f t="shared" si="286"/>
        <v>1327.8250154665795</v>
      </c>
      <c r="BG238" s="4438">
        <f t="shared" si="287"/>
        <v>1507.2884657664522</v>
      </c>
      <c r="BH238" s="4438">
        <f t="shared" si="288"/>
        <v>1686.7519160663248</v>
      </c>
      <c r="BI238" s="4438">
        <f t="shared" si="289"/>
        <v>1866.2153663661975</v>
      </c>
      <c r="BJ238" s="4438">
        <f t="shared" si="290"/>
        <v>2045.6788166660701</v>
      </c>
      <c r="BK238" s="4438">
        <f t="shared" si="291"/>
        <v>2225.1422669659428</v>
      </c>
      <c r="BL238" s="4438">
        <f t="shared" si="292"/>
        <v>0</v>
      </c>
      <c r="BM238" s="4438">
        <f t="shared" si="293"/>
        <v>0</v>
      </c>
      <c r="BN238" s="4438">
        <f t="shared" si="294"/>
        <v>0</v>
      </c>
      <c r="BO238" s="4438">
        <f t="shared" si="295"/>
        <v>0</v>
      </c>
      <c r="BP238" s="4438">
        <f t="shared" si="296"/>
        <v>0</v>
      </c>
      <c r="BQ238" s="4438">
        <f t="shared" si="297"/>
        <v>0</v>
      </c>
      <c r="BR238" s="4438">
        <f t="shared" si="298"/>
        <v>0</v>
      </c>
      <c r="BS238" s="4438">
        <f t="shared" si="299"/>
        <v>0</v>
      </c>
      <c r="BT238" s="4438">
        <f t="shared" si="300"/>
        <v>0</v>
      </c>
      <c r="BU238" s="4438">
        <f t="shared" si="301"/>
        <v>0</v>
      </c>
      <c r="BV238" s="4438">
        <f t="shared" si="302"/>
        <v>0</v>
      </c>
      <c r="BW238" s="4438">
        <f t="shared" si="303"/>
        <v>0</v>
      </c>
      <c r="BX238" s="4438">
        <f t="shared" si="304"/>
        <v>0</v>
      </c>
      <c r="BY238" s="4438">
        <f t="shared" si="305"/>
        <v>0</v>
      </c>
    </row>
    <row r="239" spans="1:77" s="1292" customFormat="1">
      <c r="A239" s="2515">
        <v>3</v>
      </c>
      <c r="B239" s="2516">
        <v>911301</v>
      </c>
      <c r="C239" s="2517">
        <v>0.1</v>
      </c>
      <c r="D239" s="2571" t="s">
        <v>427</v>
      </c>
      <c r="E239" s="4387">
        <f>+'11.3. ДА Базова година'!H178</f>
        <v>3321</v>
      </c>
      <c r="F239" s="1202">
        <f t="shared" si="310"/>
        <v>3376</v>
      </c>
      <c r="G239" s="1198">
        <f t="shared" si="310"/>
        <v>3431</v>
      </c>
      <c r="H239" s="1198">
        <f t="shared" si="310"/>
        <v>3486</v>
      </c>
      <c r="I239" s="1198">
        <f t="shared" si="310"/>
        <v>3541</v>
      </c>
      <c r="J239" s="1198">
        <f t="shared" si="310"/>
        <v>3596</v>
      </c>
      <c r="K239" s="1203">
        <f t="shared" si="310"/>
        <v>3651</v>
      </c>
      <c r="L239" s="4387">
        <f>+'11.3. ДА Базова година'!L178</f>
        <v>0</v>
      </c>
      <c r="M239" s="1202">
        <f t="shared" si="311"/>
        <v>0</v>
      </c>
      <c r="N239" s="1198">
        <f t="shared" si="311"/>
        <v>0</v>
      </c>
      <c r="O239" s="1198">
        <f t="shared" si="311"/>
        <v>0</v>
      </c>
      <c r="P239" s="1198">
        <f t="shared" si="311"/>
        <v>0</v>
      </c>
      <c r="Q239" s="1198">
        <f t="shared" si="311"/>
        <v>0</v>
      </c>
      <c r="R239" s="1203">
        <f t="shared" si="311"/>
        <v>0</v>
      </c>
      <c r="S239" s="4387">
        <f>+'11.3. ДА Базова година'!P178</f>
        <v>6</v>
      </c>
      <c r="T239" s="1202">
        <f t="shared" si="312"/>
        <v>6</v>
      </c>
      <c r="U239" s="1198">
        <f t="shared" si="312"/>
        <v>6</v>
      </c>
      <c r="V239" s="1198">
        <f t="shared" si="312"/>
        <v>6</v>
      </c>
      <c r="W239" s="1198">
        <f t="shared" si="312"/>
        <v>6</v>
      </c>
      <c r="X239" s="1198">
        <f t="shared" si="312"/>
        <v>6</v>
      </c>
      <c r="Y239" s="1203">
        <f t="shared" si="312"/>
        <v>6</v>
      </c>
      <c r="Z239" s="4387">
        <f>+'11.3. ДА Базова година'!T178</f>
        <v>0</v>
      </c>
      <c r="AA239" s="1202">
        <f t="shared" si="313"/>
        <v>0</v>
      </c>
      <c r="AB239" s="1198">
        <f t="shared" si="313"/>
        <v>0</v>
      </c>
      <c r="AC239" s="1198">
        <f t="shared" si="313"/>
        <v>0</v>
      </c>
      <c r="AD239" s="1198">
        <f t="shared" si="313"/>
        <v>0</v>
      </c>
      <c r="AE239" s="1198">
        <f t="shared" si="313"/>
        <v>0</v>
      </c>
      <c r="AF239" s="1203">
        <f t="shared" si="313"/>
        <v>0</v>
      </c>
      <c r="AG239" s="4387">
        <f>+'11.3. ДА Базова година'!X178</f>
        <v>0</v>
      </c>
      <c r="AH239" s="1202">
        <f t="shared" si="314"/>
        <v>0</v>
      </c>
      <c r="AI239" s="1198">
        <f t="shared" si="314"/>
        <v>0</v>
      </c>
      <c r="AJ239" s="1198">
        <f t="shared" si="314"/>
        <v>0</v>
      </c>
      <c r="AK239" s="1198">
        <f t="shared" si="314"/>
        <v>0</v>
      </c>
      <c r="AL239" s="1198">
        <f t="shared" si="314"/>
        <v>0</v>
      </c>
      <c r="AM239" s="1203">
        <f t="shared" si="314"/>
        <v>0</v>
      </c>
      <c r="AN239" s="2513"/>
      <c r="AO239" s="2551"/>
      <c r="AP239" s="4422"/>
      <c r="AQ239" s="4438">
        <f t="shared" si="271"/>
        <v>1698.0003374526416</v>
      </c>
      <c r="AR239" s="4438">
        <f t="shared" si="272"/>
        <v>1726.1213909184337</v>
      </c>
      <c r="AS239" s="4438">
        <f t="shared" si="273"/>
        <v>1754.2424443842256</v>
      </c>
      <c r="AT239" s="4438">
        <f t="shared" si="274"/>
        <v>1782.3634978500177</v>
      </c>
      <c r="AU239" s="4438">
        <f t="shared" si="275"/>
        <v>1810.4845513158098</v>
      </c>
      <c r="AV239" s="4438">
        <f t="shared" si="276"/>
        <v>1838.6056047816016</v>
      </c>
      <c r="AW239" s="4438">
        <f t="shared" si="277"/>
        <v>1866.7266582473937</v>
      </c>
      <c r="AX239" s="4438">
        <f t="shared" si="278"/>
        <v>0</v>
      </c>
      <c r="AY239" s="4438">
        <f t="shared" si="279"/>
        <v>0</v>
      </c>
      <c r="AZ239" s="4438">
        <f t="shared" si="280"/>
        <v>0</v>
      </c>
      <c r="BA239" s="4438">
        <f t="shared" si="281"/>
        <v>0</v>
      </c>
      <c r="BB239" s="4438">
        <f t="shared" si="282"/>
        <v>0</v>
      </c>
      <c r="BC239" s="4438">
        <f t="shared" si="283"/>
        <v>0</v>
      </c>
      <c r="BD239" s="4438">
        <f t="shared" si="284"/>
        <v>0</v>
      </c>
      <c r="BE239" s="4438">
        <f t="shared" si="285"/>
        <v>3.0677512871773112</v>
      </c>
      <c r="BF239" s="4438">
        <f t="shared" si="286"/>
        <v>3.0677512871773112</v>
      </c>
      <c r="BG239" s="4438">
        <f t="shared" si="287"/>
        <v>3.0677512871773112</v>
      </c>
      <c r="BH239" s="4438">
        <f t="shared" si="288"/>
        <v>3.0677512871773112</v>
      </c>
      <c r="BI239" s="4438">
        <f t="shared" si="289"/>
        <v>3.0677512871773112</v>
      </c>
      <c r="BJ239" s="4438">
        <f t="shared" si="290"/>
        <v>3.0677512871773112</v>
      </c>
      <c r="BK239" s="4438">
        <f t="shared" si="291"/>
        <v>3.0677512871773112</v>
      </c>
      <c r="BL239" s="4438">
        <f t="shared" si="292"/>
        <v>0</v>
      </c>
      <c r="BM239" s="4438">
        <f t="shared" si="293"/>
        <v>0</v>
      </c>
      <c r="BN239" s="4438">
        <f t="shared" si="294"/>
        <v>0</v>
      </c>
      <c r="BO239" s="4438">
        <f t="shared" si="295"/>
        <v>0</v>
      </c>
      <c r="BP239" s="4438">
        <f t="shared" si="296"/>
        <v>0</v>
      </c>
      <c r="BQ239" s="4438">
        <f t="shared" si="297"/>
        <v>0</v>
      </c>
      <c r="BR239" s="4438">
        <f t="shared" si="298"/>
        <v>0</v>
      </c>
      <c r="BS239" s="4438">
        <f t="shared" si="299"/>
        <v>0</v>
      </c>
      <c r="BT239" s="4438">
        <f t="shared" si="300"/>
        <v>0</v>
      </c>
      <c r="BU239" s="4438">
        <f t="shared" si="301"/>
        <v>0</v>
      </c>
      <c r="BV239" s="4438">
        <f t="shared" si="302"/>
        <v>0</v>
      </c>
      <c r="BW239" s="4438">
        <f t="shared" si="303"/>
        <v>0</v>
      </c>
      <c r="BX239" s="4438">
        <f t="shared" si="304"/>
        <v>0</v>
      </c>
      <c r="BY239" s="4438">
        <f t="shared" si="305"/>
        <v>0</v>
      </c>
    </row>
    <row r="240" spans="1:77" s="1292" customFormat="1">
      <c r="A240" s="2515">
        <v>4</v>
      </c>
      <c r="B240" s="2516">
        <v>911302</v>
      </c>
      <c r="C240" s="2517">
        <v>0.1</v>
      </c>
      <c r="D240" s="2571" t="s">
        <v>428</v>
      </c>
      <c r="E240" s="4387">
        <f>+'11.3. ДА Базова година'!H179</f>
        <v>296</v>
      </c>
      <c r="F240" s="1202">
        <f t="shared" si="310"/>
        <v>306</v>
      </c>
      <c r="G240" s="1198">
        <f t="shared" si="310"/>
        <v>316</v>
      </c>
      <c r="H240" s="1198">
        <f t="shared" si="310"/>
        <v>326</v>
      </c>
      <c r="I240" s="1198">
        <f t="shared" si="310"/>
        <v>336</v>
      </c>
      <c r="J240" s="1198">
        <f t="shared" si="310"/>
        <v>346</v>
      </c>
      <c r="K240" s="1203">
        <f t="shared" si="310"/>
        <v>356</v>
      </c>
      <c r="L240" s="4387">
        <f>+'11.3. ДА Базова година'!L179</f>
        <v>0</v>
      </c>
      <c r="M240" s="1202">
        <f t="shared" si="311"/>
        <v>0</v>
      </c>
      <c r="N240" s="1198">
        <f t="shared" si="311"/>
        <v>0</v>
      </c>
      <c r="O240" s="1198">
        <f t="shared" si="311"/>
        <v>0</v>
      </c>
      <c r="P240" s="1198">
        <f t="shared" si="311"/>
        <v>0</v>
      </c>
      <c r="Q240" s="1198">
        <f t="shared" si="311"/>
        <v>0</v>
      </c>
      <c r="R240" s="1203">
        <f t="shared" si="311"/>
        <v>0</v>
      </c>
      <c r="S240" s="4387">
        <f>+'11.3. ДА Базова година'!P179</f>
        <v>0</v>
      </c>
      <c r="T240" s="1202">
        <f t="shared" si="312"/>
        <v>0</v>
      </c>
      <c r="U240" s="1198">
        <f t="shared" si="312"/>
        <v>0</v>
      </c>
      <c r="V240" s="1198">
        <f t="shared" si="312"/>
        <v>0</v>
      </c>
      <c r="W240" s="1198">
        <f t="shared" si="312"/>
        <v>0</v>
      </c>
      <c r="X240" s="1198">
        <f t="shared" si="312"/>
        <v>0</v>
      </c>
      <c r="Y240" s="1203">
        <f t="shared" si="312"/>
        <v>0</v>
      </c>
      <c r="Z240" s="4387">
        <f>+'11.3. ДА Базова година'!T179</f>
        <v>0</v>
      </c>
      <c r="AA240" s="1202">
        <f t="shared" si="313"/>
        <v>0</v>
      </c>
      <c r="AB240" s="1198">
        <f t="shared" si="313"/>
        <v>0</v>
      </c>
      <c r="AC240" s="1198">
        <f t="shared" si="313"/>
        <v>0</v>
      </c>
      <c r="AD240" s="1198">
        <f t="shared" si="313"/>
        <v>0</v>
      </c>
      <c r="AE240" s="1198">
        <f t="shared" si="313"/>
        <v>0</v>
      </c>
      <c r="AF240" s="1203">
        <f t="shared" si="313"/>
        <v>0</v>
      </c>
      <c r="AG240" s="4387">
        <f>+'11.3. ДА Базова година'!X179</f>
        <v>0</v>
      </c>
      <c r="AH240" s="1202">
        <f t="shared" si="314"/>
        <v>0</v>
      </c>
      <c r="AI240" s="1198">
        <f t="shared" si="314"/>
        <v>0</v>
      </c>
      <c r="AJ240" s="1198">
        <f t="shared" si="314"/>
        <v>0</v>
      </c>
      <c r="AK240" s="1198">
        <f t="shared" si="314"/>
        <v>0</v>
      </c>
      <c r="AL240" s="1198">
        <f t="shared" si="314"/>
        <v>0</v>
      </c>
      <c r="AM240" s="1203">
        <f t="shared" si="314"/>
        <v>0</v>
      </c>
      <c r="AN240" s="2513"/>
      <c r="AO240" s="2551"/>
      <c r="AP240" s="4422"/>
      <c r="AQ240" s="4438">
        <f t="shared" si="271"/>
        <v>151.34239683408069</v>
      </c>
      <c r="AR240" s="4438">
        <f t="shared" si="272"/>
        <v>156.45531564604286</v>
      </c>
      <c r="AS240" s="4438">
        <f t="shared" si="273"/>
        <v>161.56823445800504</v>
      </c>
      <c r="AT240" s="4438">
        <f t="shared" si="274"/>
        <v>166.68115326996724</v>
      </c>
      <c r="AU240" s="4438">
        <f t="shared" si="275"/>
        <v>171.79407208192941</v>
      </c>
      <c r="AV240" s="4438">
        <f t="shared" si="276"/>
        <v>176.90699089389159</v>
      </c>
      <c r="AW240" s="4438">
        <f t="shared" si="277"/>
        <v>182.01990970585379</v>
      </c>
      <c r="AX240" s="4438">
        <f t="shared" si="278"/>
        <v>0</v>
      </c>
      <c r="AY240" s="4438">
        <f t="shared" si="279"/>
        <v>0</v>
      </c>
      <c r="AZ240" s="4438">
        <f t="shared" si="280"/>
        <v>0</v>
      </c>
      <c r="BA240" s="4438">
        <f t="shared" si="281"/>
        <v>0</v>
      </c>
      <c r="BB240" s="4438">
        <f t="shared" si="282"/>
        <v>0</v>
      </c>
      <c r="BC240" s="4438">
        <f t="shared" si="283"/>
        <v>0</v>
      </c>
      <c r="BD240" s="4438">
        <f t="shared" si="284"/>
        <v>0</v>
      </c>
      <c r="BE240" s="4438">
        <f t="shared" si="285"/>
        <v>0</v>
      </c>
      <c r="BF240" s="4438">
        <f t="shared" si="286"/>
        <v>0</v>
      </c>
      <c r="BG240" s="4438">
        <f t="shared" si="287"/>
        <v>0</v>
      </c>
      <c r="BH240" s="4438">
        <f t="shared" si="288"/>
        <v>0</v>
      </c>
      <c r="BI240" s="4438">
        <f t="shared" si="289"/>
        <v>0</v>
      </c>
      <c r="BJ240" s="4438">
        <f t="shared" si="290"/>
        <v>0</v>
      </c>
      <c r="BK240" s="4438">
        <f t="shared" si="291"/>
        <v>0</v>
      </c>
      <c r="BL240" s="4438">
        <f t="shared" si="292"/>
        <v>0</v>
      </c>
      <c r="BM240" s="4438">
        <f t="shared" si="293"/>
        <v>0</v>
      </c>
      <c r="BN240" s="4438">
        <f t="shared" si="294"/>
        <v>0</v>
      </c>
      <c r="BO240" s="4438">
        <f t="shared" si="295"/>
        <v>0</v>
      </c>
      <c r="BP240" s="4438">
        <f t="shared" si="296"/>
        <v>0</v>
      </c>
      <c r="BQ240" s="4438">
        <f t="shared" si="297"/>
        <v>0</v>
      </c>
      <c r="BR240" s="4438">
        <f t="shared" si="298"/>
        <v>0</v>
      </c>
      <c r="BS240" s="4438">
        <f t="shared" si="299"/>
        <v>0</v>
      </c>
      <c r="BT240" s="4438">
        <f t="shared" si="300"/>
        <v>0</v>
      </c>
      <c r="BU240" s="4438">
        <f t="shared" si="301"/>
        <v>0</v>
      </c>
      <c r="BV240" s="4438">
        <f t="shared" si="302"/>
        <v>0</v>
      </c>
      <c r="BW240" s="4438">
        <f t="shared" si="303"/>
        <v>0</v>
      </c>
      <c r="BX240" s="4438">
        <f t="shared" si="304"/>
        <v>0</v>
      </c>
      <c r="BY240" s="4438">
        <f t="shared" si="305"/>
        <v>0</v>
      </c>
    </row>
    <row r="241" spans="1:77" s="1292" customFormat="1">
      <c r="A241" s="2515">
        <v>5</v>
      </c>
      <c r="B241" s="2516" t="s">
        <v>714</v>
      </c>
      <c r="C241" s="2517">
        <v>0.1</v>
      </c>
      <c r="D241" s="2552" t="s">
        <v>407</v>
      </c>
      <c r="E241" s="4387">
        <f>+'11.3. ДА Базова година'!H180</f>
        <v>121</v>
      </c>
      <c r="F241" s="1202">
        <f t="shared" si="310"/>
        <v>121.7</v>
      </c>
      <c r="G241" s="1198">
        <f t="shared" si="310"/>
        <v>122.4</v>
      </c>
      <c r="H241" s="1198">
        <f t="shared" si="310"/>
        <v>119.4</v>
      </c>
      <c r="I241" s="1198">
        <f t="shared" si="310"/>
        <v>111.5</v>
      </c>
      <c r="J241" s="1198">
        <f t="shared" si="310"/>
        <v>101</v>
      </c>
      <c r="K241" s="1203">
        <f t="shared" si="310"/>
        <v>90.5</v>
      </c>
      <c r="L241" s="4387">
        <f>+'11.3. ДА Базова година'!L180</f>
        <v>19</v>
      </c>
      <c r="M241" s="1202">
        <f t="shared" si="311"/>
        <v>20</v>
      </c>
      <c r="N241" s="1198">
        <f t="shared" si="311"/>
        <v>21</v>
      </c>
      <c r="O241" s="1198">
        <f t="shared" si="311"/>
        <v>22</v>
      </c>
      <c r="P241" s="1198">
        <f t="shared" si="311"/>
        <v>23</v>
      </c>
      <c r="Q241" s="1198">
        <f t="shared" si="311"/>
        <v>24</v>
      </c>
      <c r="R241" s="1203">
        <f t="shared" si="311"/>
        <v>25</v>
      </c>
      <c r="S241" s="4387">
        <f>+'11.3. ДА Базова година'!P180</f>
        <v>0</v>
      </c>
      <c r="T241" s="1202">
        <f t="shared" si="312"/>
        <v>0</v>
      </c>
      <c r="U241" s="1198">
        <f t="shared" si="312"/>
        <v>0</v>
      </c>
      <c r="V241" s="1198">
        <f t="shared" si="312"/>
        <v>0</v>
      </c>
      <c r="W241" s="1198">
        <f t="shared" si="312"/>
        <v>0</v>
      </c>
      <c r="X241" s="1198">
        <f t="shared" si="312"/>
        <v>0</v>
      </c>
      <c r="Y241" s="1203">
        <f t="shared" si="312"/>
        <v>0</v>
      </c>
      <c r="Z241" s="4387">
        <f>+'11.3. ДА Базова година'!T180</f>
        <v>0</v>
      </c>
      <c r="AA241" s="1202">
        <f t="shared" si="313"/>
        <v>0</v>
      </c>
      <c r="AB241" s="1198">
        <f t="shared" si="313"/>
        <v>0</v>
      </c>
      <c r="AC241" s="1198">
        <f t="shared" si="313"/>
        <v>0</v>
      </c>
      <c r="AD241" s="1198">
        <f t="shared" si="313"/>
        <v>0</v>
      </c>
      <c r="AE241" s="1198">
        <f t="shared" si="313"/>
        <v>0</v>
      </c>
      <c r="AF241" s="1203">
        <f t="shared" si="313"/>
        <v>0</v>
      </c>
      <c r="AG241" s="4387">
        <f>+'11.3. ДА Базова година'!X180</f>
        <v>0</v>
      </c>
      <c r="AH241" s="1202">
        <f t="shared" si="314"/>
        <v>0</v>
      </c>
      <c r="AI241" s="1198">
        <f t="shared" si="314"/>
        <v>0</v>
      </c>
      <c r="AJ241" s="1198">
        <f t="shared" si="314"/>
        <v>0</v>
      </c>
      <c r="AK241" s="1198">
        <f t="shared" si="314"/>
        <v>0</v>
      </c>
      <c r="AL241" s="1198">
        <f t="shared" si="314"/>
        <v>0</v>
      </c>
      <c r="AM241" s="1203">
        <f t="shared" si="314"/>
        <v>0</v>
      </c>
      <c r="AN241" s="2513"/>
      <c r="AO241" s="2551"/>
      <c r="AP241" s="4422"/>
      <c r="AQ241" s="4438">
        <f t="shared" si="271"/>
        <v>61.866317624742436</v>
      </c>
      <c r="AR241" s="4438">
        <f t="shared" si="272"/>
        <v>62.224221941579792</v>
      </c>
      <c r="AS241" s="4438">
        <f t="shared" si="273"/>
        <v>62.582126258417148</v>
      </c>
      <c r="AT241" s="4438">
        <f t="shared" si="274"/>
        <v>61.04825061482849</v>
      </c>
      <c r="AU241" s="4438">
        <f t="shared" si="275"/>
        <v>57.009044753378362</v>
      </c>
      <c r="AV241" s="4438">
        <f t="shared" si="276"/>
        <v>51.640480000818066</v>
      </c>
      <c r="AW241" s="4438">
        <f t="shared" si="277"/>
        <v>46.271915248257777</v>
      </c>
      <c r="AX241" s="4438">
        <f t="shared" si="278"/>
        <v>9.7145457427281521</v>
      </c>
      <c r="AY241" s="4438">
        <f t="shared" si="279"/>
        <v>10.22583762392437</v>
      </c>
      <c r="AZ241" s="4438">
        <f t="shared" si="280"/>
        <v>10.737129505120588</v>
      </c>
      <c r="BA241" s="4438">
        <f t="shared" si="281"/>
        <v>11.248421386316807</v>
      </c>
      <c r="BB241" s="4438">
        <f t="shared" si="282"/>
        <v>11.759713267513025</v>
      </c>
      <c r="BC241" s="4438">
        <f t="shared" si="283"/>
        <v>12.271005148709245</v>
      </c>
      <c r="BD241" s="4438">
        <f t="shared" si="284"/>
        <v>12.782297029905463</v>
      </c>
      <c r="BE241" s="4438">
        <f t="shared" si="285"/>
        <v>0</v>
      </c>
      <c r="BF241" s="4438">
        <f t="shared" si="286"/>
        <v>0</v>
      </c>
      <c r="BG241" s="4438">
        <f t="shared" si="287"/>
        <v>0</v>
      </c>
      <c r="BH241" s="4438">
        <f t="shared" si="288"/>
        <v>0</v>
      </c>
      <c r="BI241" s="4438">
        <f t="shared" si="289"/>
        <v>0</v>
      </c>
      <c r="BJ241" s="4438">
        <f t="shared" si="290"/>
        <v>0</v>
      </c>
      <c r="BK241" s="4438">
        <f t="shared" si="291"/>
        <v>0</v>
      </c>
      <c r="BL241" s="4438">
        <f t="shared" si="292"/>
        <v>0</v>
      </c>
      <c r="BM241" s="4438">
        <f t="shared" si="293"/>
        <v>0</v>
      </c>
      <c r="BN241" s="4438">
        <f t="shared" si="294"/>
        <v>0</v>
      </c>
      <c r="BO241" s="4438">
        <f t="shared" si="295"/>
        <v>0</v>
      </c>
      <c r="BP241" s="4438">
        <f t="shared" si="296"/>
        <v>0</v>
      </c>
      <c r="BQ241" s="4438">
        <f t="shared" si="297"/>
        <v>0</v>
      </c>
      <c r="BR241" s="4438">
        <f t="shared" si="298"/>
        <v>0</v>
      </c>
      <c r="BS241" s="4438">
        <f t="shared" si="299"/>
        <v>0</v>
      </c>
      <c r="BT241" s="4438">
        <f t="shared" si="300"/>
        <v>0</v>
      </c>
      <c r="BU241" s="4438">
        <f t="shared" si="301"/>
        <v>0</v>
      </c>
      <c r="BV241" s="4438">
        <f t="shared" si="302"/>
        <v>0</v>
      </c>
      <c r="BW241" s="4438">
        <f t="shared" si="303"/>
        <v>0</v>
      </c>
      <c r="BX241" s="4438">
        <f t="shared" si="304"/>
        <v>0</v>
      </c>
      <c r="BY241" s="4438">
        <f t="shared" si="305"/>
        <v>0</v>
      </c>
    </row>
    <row r="242" spans="1:77" s="1292" customFormat="1">
      <c r="A242" s="2515">
        <v>6</v>
      </c>
      <c r="B242" s="2516" t="s">
        <v>715</v>
      </c>
      <c r="C242" s="2517">
        <v>0.1</v>
      </c>
      <c r="D242" s="2552" t="s">
        <v>1001</v>
      </c>
      <c r="E242" s="4387">
        <f>+'11.3. ДА Базова година'!H181</f>
        <v>198</v>
      </c>
      <c r="F242" s="1202">
        <f t="shared" si="310"/>
        <v>199.3</v>
      </c>
      <c r="G242" s="1198">
        <f t="shared" si="310"/>
        <v>200.60000000000002</v>
      </c>
      <c r="H242" s="1198">
        <f t="shared" si="310"/>
        <v>201.90000000000003</v>
      </c>
      <c r="I242" s="1198">
        <f t="shared" si="310"/>
        <v>202.00000000000003</v>
      </c>
      <c r="J242" s="1198">
        <f t="shared" si="310"/>
        <v>201.90000000000003</v>
      </c>
      <c r="K242" s="1203">
        <f t="shared" si="310"/>
        <v>201.80000000000004</v>
      </c>
      <c r="L242" s="4387">
        <f>+'11.3. ДА Базова година'!L181</f>
        <v>0</v>
      </c>
      <c r="M242" s="1202">
        <f t="shared" si="311"/>
        <v>0</v>
      </c>
      <c r="N242" s="1198">
        <f t="shared" si="311"/>
        <v>0</v>
      </c>
      <c r="O242" s="1198">
        <f t="shared" si="311"/>
        <v>0</v>
      </c>
      <c r="P242" s="1198">
        <f t="shared" si="311"/>
        <v>0</v>
      </c>
      <c r="Q242" s="1198">
        <f t="shared" si="311"/>
        <v>0</v>
      </c>
      <c r="R242" s="1203">
        <f t="shared" si="311"/>
        <v>0</v>
      </c>
      <c r="S242" s="4387">
        <f>+'11.3. ДА Базова година'!P181</f>
        <v>0</v>
      </c>
      <c r="T242" s="1202">
        <f t="shared" si="312"/>
        <v>0</v>
      </c>
      <c r="U242" s="1198">
        <f t="shared" si="312"/>
        <v>0</v>
      </c>
      <c r="V242" s="1198">
        <f t="shared" si="312"/>
        <v>0</v>
      </c>
      <c r="W242" s="1198">
        <f t="shared" si="312"/>
        <v>0</v>
      </c>
      <c r="X242" s="1198">
        <f t="shared" si="312"/>
        <v>0</v>
      </c>
      <c r="Y242" s="1203">
        <f t="shared" si="312"/>
        <v>0</v>
      </c>
      <c r="Z242" s="4387">
        <f>+'11.3. ДА Базова година'!T181</f>
        <v>0</v>
      </c>
      <c r="AA242" s="1202">
        <f t="shared" si="313"/>
        <v>0</v>
      </c>
      <c r="AB242" s="1198">
        <f t="shared" si="313"/>
        <v>0</v>
      </c>
      <c r="AC242" s="1198">
        <f t="shared" si="313"/>
        <v>0</v>
      </c>
      <c r="AD242" s="1198">
        <f t="shared" si="313"/>
        <v>0</v>
      </c>
      <c r="AE242" s="1198">
        <f t="shared" si="313"/>
        <v>0</v>
      </c>
      <c r="AF242" s="1203">
        <f t="shared" si="313"/>
        <v>0</v>
      </c>
      <c r="AG242" s="4387">
        <f>+'11.3. ДА Базова година'!X181</f>
        <v>0</v>
      </c>
      <c r="AH242" s="1202">
        <f t="shared" si="314"/>
        <v>0</v>
      </c>
      <c r="AI242" s="1198">
        <f t="shared" si="314"/>
        <v>0</v>
      </c>
      <c r="AJ242" s="1198">
        <f t="shared" si="314"/>
        <v>0</v>
      </c>
      <c r="AK242" s="1198">
        <f t="shared" si="314"/>
        <v>0</v>
      </c>
      <c r="AL242" s="1198">
        <f t="shared" si="314"/>
        <v>0</v>
      </c>
      <c r="AM242" s="1203">
        <f t="shared" si="314"/>
        <v>0</v>
      </c>
      <c r="AN242" s="2513"/>
      <c r="AO242" s="2551"/>
      <c r="AP242" s="4422"/>
      <c r="AQ242" s="4438">
        <f t="shared" si="271"/>
        <v>101.23579247685126</v>
      </c>
      <c r="AR242" s="4438">
        <f t="shared" si="272"/>
        <v>101.90047192240635</v>
      </c>
      <c r="AS242" s="4438">
        <f t="shared" si="273"/>
        <v>102.56515136796145</v>
      </c>
      <c r="AT242" s="4438">
        <f t="shared" si="274"/>
        <v>103.22983081351653</v>
      </c>
      <c r="AU242" s="4438">
        <f t="shared" si="275"/>
        <v>103.28096000163615</v>
      </c>
      <c r="AV242" s="4438">
        <f t="shared" si="276"/>
        <v>103.22983081351653</v>
      </c>
      <c r="AW242" s="4438">
        <f t="shared" si="277"/>
        <v>103.17870162539691</v>
      </c>
      <c r="AX242" s="4438">
        <f t="shared" si="278"/>
        <v>0</v>
      </c>
      <c r="AY242" s="4438">
        <f t="shared" si="279"/>
        <v>0</v>
      </c>
      <c r="AZ242" s="4438">
        <f t="shared" si="280"/>
        <v>0</v>
      </c>
      <c r="BA242" s="4438">
        <f t="shared" si="281"/>
        <v>0</v>
      </c>
      <c r="BB242" s="4438">
        <f t="shared" si="282"/>
        <v>0</v>
      </c>
      <c r="BC242" s="4438">
        <f t="shared" si="283"/>
        <v>0</v>
      </c>
      <c r="BD242" s="4438">
        <f t="shared" si="284"/>
        <v>0</v>
      </c>
      <c r="BE242" s="4438">
        <f t="shared" si="285"/>
        <v>0</v>
      </c>
      <c r="BF242" s="4438">
        <f t="shared" si="286"/>
        <v>0</v>
      </c>
      <c r="BG242" s="4438">
        <f t="shared" si="287"/>
        <v>0</v>
      </c>
      <c r="BH242" s="4438">
        <f t="shared" si="288"/>
        <v>0</v>
      </c>
      <c r="BI242" s="4438">
        <f t="shared" si="289"/>
        <v>0</v>
      </c>
      <c r="BJ242" s="4438">
        <f t="shared" si="290"/>
        <v>0</v>
      </c>
      <c r="BK242" s="4438">
        <f t="shared" si="291"/>
        <v>0</v>
      </c>
      <c r="BL242" s="4438">
        <f t="shared" si="292"/>
        <v>0</v>
      </c>
      <c r="BM242" s="4438">
        <f t="shared" si="293"/>
        <v>0</v>
      </c>
      <c r="BN242" s="4438">
        <f t="shared" si="294"/>
        <v>0</v>
      </c>
      <c r="BO242" s="4438">
        <f t="shared" si="295"/>
        <v>0</v>
      </c>
      <c r="BP242" s="4438">
        <f t="shared" si="296"/>
        <v>0</v>
      </c>
      <c r="BQ242" s="4438">
        <f t="shared" si="297"/>
        <v>0</v>
      </c>
      <c r="BR242" s="4438">
        <f t="shared" si="298"/>
        <v>0</v>
      </c>
      <c r="BS242" s="4438">
        <f t="shared" si="299"/>
        <v>0</v>
      </c>
      <c r="BT242" s="4438">
        <f t="shared" si="300"/>
        <v>0</v>
      </c>
      <c r="BU242" s="4438">
        <f t="shared" si="301"/>
        <v>0</v>
      </c>
      <c r="BV242" s="4438">
        <f t="shared" si="302"/>
        <v>0</v>
      </c>
      <c r="BW242" s="4438">
        <f t="shared" si="303"/>
        <v>0</v>
      </c>
      <c r="BX242" s="4438">
        <f t="shared" si="304"/>
        <v>0</v>
      </c>
      <c r="BY242" s="4438">
        <f t="shared" si="305"/>
        <v>0</v>
      </c>
    </row>
    <row r="243" spans="1:77" s="1292" customFormat="1" ht="24">
      <c r="A243" s="2515">
        <v>7</v>
      </c>
      <c r="B243" s="2516" t="s">
        <v>706</v>
      </c>
      <c r="C243" s="2517">
        <v>0.1</v>
      </c>
      <c r="D243" s="2552" t="s">
        <v>695</v>
      </c>
      <c r="E243" s="4387">
        <f>+'11.3. ДА Базова година'!H182</f>
        <v>305</v>
      </c>
      <c r="F243" s="1202">
        <f t="shared" si="310"/>
        <v>306</v>
      </c>
      <c r="G243" s="1198">
        <f t="shared" si="310"/>
        <v>307</v>
      </c>
      <c r="H243" s="1198">
        <f t="shared" si="310"/>
        <v>308</v>
      </c>
      <c r="I243" s="1198">
        <f t="shared" si="310"/>
        <v>308.60000000000002</v>
      </c>
      <c r="J243" s="1198">
        <f t="shared" si="310"/>
        <v>309.20000000000005</v>
      </c>
      <c r="K243" s="1203">
        <f t="shared" si="310"/>
        <v>309.80000000000007</v>
      </c>
      <c r="L243" s="4387">
        <f>+'11.3. ДА Базова година'!L182</f>
        <v>0</v>
      </c>
      <c r="M243" s="1202">
        <f t="shared" si="311"/>
        <v>0</v>
      </c>
      <c r="N243" s="1198">
        <f t="shared" si="311"/>
        <v>0</v>
      </c>
      <c r="O243" s="1198">
        <f t="shared" si="311"/>
        <v>0</v>
      </c>
      <c r="P243" s="1198">
        <f t="shared" si="311"/>
        <v>0</v>
      </c>
      <c r="Q243" s="1198">
        <f t="shared" si="311"/>
        <v>0</v>
      </c>
      <c r="R243" s="1203">
        <f t="shared" si="311"/>
        <v>0</v>
      </c>
      <c r="S243" s="4387">
        <f>+'11.3. ДА Базова година'!P182</f>
        <v>0</v>
      </c>
      <c r="T243" s="1202">
        <f t="shared" si="312"/>
        <v>0</v>
      </c>
      <c r="U243" s="1198">
        <f t="shared" si="312"/>
        <v>0</v>
      </c>
      <c r="V243" s="1198">
        <f t="shared" si="312"/>
        <v>0</v>
      </c>
      <c r="W243" s="1198">
        <f t="shared" si="312"/>
        <v>0</v>
      </c>
      <c r="X243" s="1198">
        <f t="shared" si="312"/>
        <v>0</v>
      </c>
      <c r="Y243" s="1203">
        <f t="shared" si="312"/>
        <v>0</v>
      </c>
      <c r="Z243" s="4387">
        <f>+'11.3. ДА Базова година'!T182</f>
        <v>0</v>
      </c>
      <c r="AA243" s="1202">
        <f t="shared" si="313"/>
        <v>0</v>
      </c>
      <c r="AB243" s="1198">
        <f t="shared" si="313"/>
        <v>0</v>
      </c>
      <c r="AC243" s="1198">
        <f t="shared" si="313"/>
        <v>0</v>
      </c>
      <c r="AD243" s="1198">
        <f t="shared" si="313"/>
        <v>0</v>
      </c>
      <c r="AE243" s="1198">
        <f t="shared" si="313"/>
        <v>0</v>
      </c>
      <c r="AF243" s="1203">
        <f t="shared" si="313"/>
        <v>0</v>
      </c>
      <c r="AG243" s="4387">
        <f>+'11.3. ДА Базова година'!X182</f>
        <v>0</v>
      </c>
      <c r="AH243" s="1202">
        <f t="shared" si="314"/>
        <v>0</v>
      </c>
      <c r="AI243" s="1198">
        <f t="shared" si="314"/>
        <v>0</v>
      </c>
      <c r="AJ243" s="1198">
        <f t="shared" si="314"/>
        <v>0</v>
      </c>
      <c r="AK243" s="1198">
        <f t="shared" si="314"/>
        <v>0</v>
      </c>
      <c r="AL243" s="1198">
        <f t="shared" si="314"/>
        <v>0</v>
      </c>
      <c r="AM243" s="1203">
        <f t="shared" si="314"/>
        <v>0</v>
      </c>
      <c r="AN243" s="2513"/>
      <c r="AO243" s="2551"/>
      <c r="AP243" s="4422"/>
      <c r="AQ243" s="4438">
        <f t="shared" si="271"/>
        <v>155.94402376484663</v>
      </c>
      <c r="AR243" s="4438">
        <f t="shared" si="272"/>
        <v>156.45531564604286</v>
      </c>
      <c r="AS243" s="4438">
        <f t="shared" si="273"/>
        <v>156.96660752723909</v>
      </c>
      <c r="AT243" s="4438">
        <f t="shared" si="274"/>
        <v>157.47789940843529</v>
      </c>
      <c r="AU243" s="4438">
        <f t="shared" si="275"/>
        <v>157.78467453715305</v>
      </c>
      <c r="AV243" s="4438">
        <f t="shared" si="276"/>
        <v>158.09144966587078</v>
      </c>
      <c r="AW243" s="4438">
        <f t="shared" si="277"/>
        <v>158.39822479458851</v>
      </c>
      <c r="AX243" s="4438">
        <f t="shared" si="278"/>
        <v>0</v>
      </c>
      <c r="AY243" s="4438">
        <f t="shared" si="279"/>
        <v>0</v>
      </c>
      <c r="AZ243" s="4438">
        <f t="shared" si="280"/>
        <v>0</v>
      </c>
      <c r="BA243" s="4438">
        <f t="shared" si="281"/>
        <v>0</v>
      </c>
      <c r="BB243" s="4438">
        <f t="shared" si="282"/>
        <v>0</v>
      </c>
      <c r="BC243" s="4438">
        <f t="shared" si="283"/>
        <v>0</v>
      </c>
      <c r="BD243" s="4438">
        <f t="shared" si="284"/>
        <v>0</v>
      </c>
      <c r="BE243" s="4438">
        <f t="shared" si="285"/>
        <v>0</v>
      </c>
      <c r="BF243" s="4438">
        <f t="shared" si="286"/>
        <v>0</v>
      </c>
      <c r="BG243" s="4438">
        <f t="shared" si="287"/>
        <v>0</v>
      </c>
      <c r="BH243" s="4438">
        <f t="shared" si="288"/>
        <v>0</v>
      </c>
      <c r="BI243" s="4438">
        <f t="shared" si="289"/>
        <v>0</v>
      </c>
      <c r="BJ243" s="4438">
        <f t="shared" si="290"/>
        <v>0</v>
      </c>
      <c r="BK243" s="4438">
        <f t="shared" si="291"/>
        <v>0</v>
      </c>
      <c r="BL243" s="4438">
        <f t="shared" si="292"/>
        <v>0</v>
      </c>
      <c r="BM243" s="4438">
        <f t="shared" si="293"/>
        <v>0</v>
      </c>
      <c r="BN243" s="4438">
        <f t="shared" si="294"/>
        <v>0</v>
      </c>
      <c r="BO243" s="4438">
        <f t="shared" si="295"/>
        <v>0</v>
      </c>
      <c r="BP243" s="4438">
        <f t="shared" si="296"/>
        <v>0</v>
      </c>
      <c r="BQ243" s="4438">
        <f t="shared" si="297"/>
        <v>0</v>
      </c>
      <c r="BR243" s="4438">
        <f t="shared" si="298"/>
        <v>0</v>
      </c>
      <c r="BS243" s="4438">
        <f t="shared" si="299"/>
        <v>0</v>
      </c>
      <c r="BT243" s="4438">
        <f t="shared" si="300"/>
        <v>0</v>
      </c>
      <c r="BU243" s="4438">
        <f t="shared" si="301"/>
        <v>0</v>
      </c>
      <c r="BV243" s="4438">
        <f t="shared" si="302"/>
        <v>0</v>
      </c>
      <c r="BW243" s="4438">
        <f t="shared" si="303"/>
        <v>0</v>
      </c>
      <c r="BX243" s="4438">
        <f t="shared" si="304"/>
        <v>0</v>
      </c>
      <c r="BY243" s="4438">
        <f t="shared" si="305"/>
        <v>0</v>
      </c>
    </row>
    <row r="244" spans="1:77" s="1292" customFormat="1">
      <c r="A244" s="2515">
        <v>8</v>
      </c>
      <c r="B244" s="2516" t="s">
        <v>716</v>
      </c>
      <c r="C244" s="2517">
        <v>0.1</v>
      </c>
      <c r="D244" s="2552" t="s">
        <v>713</v>
      </c>
      <c r="E244" s="4387">
        <f>+'11.3. ДА Базова година'!H183</f>
        <v>4083</v>
      </c>
      <c r="F244" s="1202">
        <f t="shared" si="310"/>
        <v>4712</v>
      </c>
      <c r="G244" s="1198">
        <f t="shared" si="310"/>
        <v>5341</v>
      </c>
      <c r="H244" s="1198">
        <f t="shared" si="310"/>
        <v>5970</v>
      </c>
      <c r="I244" s="1198">
        <f t="shared" si="310"/>
        <v>6599</v>
      </c>
      <c r="J244" s="1198">
        <f t="shared" si="310"/>
        <v>7228</v>
      </c>
      <c r="K244" s="1203">
        <f t="shared" si="310"/>
        <v>7857</v>
      </c>
      <c r="L244" s="4387">
        <f>+'11.3. ДА Базова година'!L183</f>
        <v>0</v>
      </c>
      <c r="M244" s="1202">
        <f t="shared" si="311"/>
        <v>0</v>
      </c>
      <c r="N244" s="1198">
        <f t="shared" si="311"/>
        <v>0</v>
      </c>
      <c r="O244" s="1198">
        <f t="shared" si="311"/>
        <v>0</v>
      </c>
      <c r="P244" s="1198">
        <f t="shared" si="311"/>
        <v>0</v>
      </c>
      <c r="Q244" s="1198">
        <f t="shared" si="311"/>
        <v>0</v>
      </c>
      <c r="R244" s="1203">
        <f t="shared" si="311"/>
        <v>0</v>
      </c>
      <c r="S244" s="4387">
        <f>+'11.3. ДА Базова година'!P183</f>
        <v>0</v>
      </c>
      <c r="T244" s="1202">
        <f t="shared" si="312"/>
        <v>0</v>
      </c>
      <c r="U244" s="1198">
        <f t="shared" si="312"/>
        <v>0</v>
      </c>
      <c r="V244" s="1198">
        <f t="shared" si="312"/>
        <v>0</v>
      </c>
      <c r="W244" s="1198">
        <f t="shared" si="312"/>
        <v>0</v>
      </c>
      <c r="X244" s="1198">
        <f t="shared" si="312"/>
        <v>0</v>
      </c>
      <c r="Y244" s="1203">
        <f t="shared" si="312"/>
        <v>0</v>
      </c>
      <c r="Z244" s="4387">
        <f>+'11.3. ДА Базова година'!T183</f>
        <v>0</v>
      </c>
      <c r="AA244" s="1202">
        <f t="shared" si="313"/>
        <v>0</v>
      </c>
      <c r="AB244" s="1198">
        <f t="shared" si="313"/>
        <v>0</v>
      </c>
      <c r="AC244" s="1198">
        <f t="shared" si="313"/>
        <v>0</v>
      </c>
      <c r="AD244" s="1198">
        <f t="shared" si="313"/>
        <v>0</v>
      </c>
      <c r="AE244" s="1198">
        <f t="shared" si="313"/>
        <v>0</v>
      </c>
      <c r="AF244" s="1203">
        <f t="shared" si="313"/>
        <v>0</v>
      </c>
      <c r="AG244" s="4387">
        <f>+'11.3. ДА Базова година'!X183</f>
        <v>0</v>
      </c>
      <c r="AH244" s="1202">
        <f t="shared" si="314"/>
        <v>0</v>
      </c>
      <c r="AI244" s="1198">
        <f t="shared" si="314"/>
        <v>0</v>
      </c>
      <c r="AJ244" s="1198">
        <f t="shared" si="314"/>
        <v>0</v>
      </c>
      <c r="AK244" s="1198">
        <f t="shared" si="314"/>
        <v>0</v>
      </c>
      <c r="AL244" s="1198">
        <f t="shared" si="314"/>
        <v>0</v>
      </c>
      <c r="AM244" s="1203">
        <f t="shared" si="314"/>
        <v>0</v>
      </c>
      <c r="AN244" s="2513"/>
      <c r="AO244" s="2551"/>
      <c r="AP244" s="4422"/>
      <c r="AQ244" s="4438">
        <f t="shared" si="271"/>
        <v>2087.6047509241603</v>
      </c>
      <c r="AR244" s="4438">
        <f t="shared" si="272"/>
        <v>2409.2073441965817</v>
      </c>
      <c r="AS244" s="4438">
        <f t="shared" si="273"/>
        <v>2730.8099374690028</v>
      </c>
      <c r="AT244" s="4438">
        <f t="shared" si="274"/>
        <v>3052.4125307414242</v>
      </c>
      <c r="AU244" s="4438">
        <f t="shared" si="275"/>
        <v>3374.0151240138457</v>
      </c>
      <c r="AV244" s="4438">
        <f t="shared" si="276"/>
        <v>3695.6177172862672</v>
      </c>
      <c r="AW244" s="4438">
        <f t="shared" si="277"/>
        <v>4017.2203105586887</v>
      </c>
      <c r="AX244" s="4438">
        <f t="shared" si="278"/>
        <v>0</v>
      </c>
      <c r="AY244" s="4438">
        <f t="shared" si="279"/>
        <v>0</v>
      </c>
      <c r="AZ244" s="4438">
        <f t="shared" si="280"/>
        <v>0</v>
      </c>
      <c r="BA244" s="4438">
        <f t="shared" si="281"/>
        <v>0</v>
      </c>
      <c r="BB244" s="4438">
        <f t="shared" si="282"/>
        <v>0</v>
      </c>
      <c r="BC244" s="4438">
        <f t="shared" si="283"/>
        <v>0</v>
      </c>
      <c r="BD244" s="4438">
        <f t="shared" si="284"/>
        <v>0</v>
      </c>
      <c r="BE244" s="4438">
        <f t="shared" si="285"/>
        <v>0</v>
      </c>
      <c r="BF244" s="4438">
        <f t="shared" si="286"/>
        <v>0</v>
      </c>
      <c r="BG244" s="4438">
        <f t="shared" si="287"/>
        <v>0</v>
      </c>
      <c r="BH244" s="4438">
        <f t="shared" si="288"/>
        <v>0</v>
      </c>
      <c r="BI244" s="4438">
        <f t="shared" si="289"/>
        <v>0</v>
      </c>
      <c r="BJ244" s="4438">
        <f t="shared" si="290"/>
        <v>0</v>
      </c>
      <c r="BK244" s="4438">
        <f t="shared" si="291"/>
        <v>0</v>
      </c>
      <c r="BL244" s="4438">
        <f t="shared" si="292"/>
        <v>0</v>
      </c>
      <c r="BM244" s="4438">
        <f t="shared" si="293"/>
        <v>0</v>
      </c>
      <c r="BN244" s="4438">
        <f t="shared" si="294"/>
        <v>0</v>
      </c>
      <c r="BO244" s="4438">
        <f t="shared" si="295"/>
        <v>0</v>
      </c>
      <c r="BP244" s="4438">
        <f t="shared" si="296"/>
        <v>0</v>
      </c>
      <c r="BQ244" s="4438">
        <f t="shared" si="297"/>
        <v>0</v>
      </c>
      <c r="BR244" s="4438">
        <f t="shared" si="298"/>
        <v>0</v>
      </c>
      <c r="BS244" s="4438">
        <f t="shared" si="299"/>
        <v>0</v>
      </c>
      <c r="BT244" s="4438">
        <f t="shared" si="300"/>
        <v>0</v>
      </c>
      <c r="BU244" s="4438">
        <f t="shared" si="301"/>
        <v>0</v>
      </c>
      <c r="BV244" s="4438">
        <f t="shared" si="302"/>
        <v>0</v>
      </c>
      <c r="BW244" s="4438">
        <f t="shared" si="303"/>
        <v>0</v>
      </c>
      <c r="BX244" s="4438">
        <f t="shared" si="304"/>
        <v>0</v>
      </c>
      <c r="BY244" s="4438">
        <f t="shared" si="305"/>
        <v>0</v>
      </c>
    </row>
    <row r="245" spans="1:77" s="1292" customFormat="1">
      <c r="A245" s="2573">
        <v>9</v>
      </c>
      <c r="B245" s="2516">
        <v>911306</v>
      </c>
      <c r="C245" s="2517">
        <v>0.1</v>
      </c>
      <c r="D245" s="2552" t="s">
        <v>1032</v>
      </c>
      <c r="E245" s="4387">
        <f>+'11.3. ДА Базова година'!H184</f>
        <v>166</v>
      </c>
      <c r="F245" s="1202">
        <f t="shared" si="310"/>
        <v>174</v>
      </c>
      <c r="G245" s="1198">
        <f t="shared" si="310"/>
        <v>182</v>
      </c>
      <c r="H245" s="1198">
        <f t="shared" si="310"/>
        <v>190</v>
      </c>
      <c r="I245" s="1198">
        <f t="shared" si="310"/>
        <v>197.7</v>
      </c>
      <c r="J245" s="1198">
        <f t="shared" si="310"/>
        <v>205.39999999999998</v>
      </c>
      <c r="K245" s="1203">
        <f t="shared" si="310"/>
        <v>213.09999999999997</v>
      </c>
      <c r="L245" s="4387">
        <f>+'11.3. ДА Базова година'!L184</f>
        <v>116</v>
      </c>
      <c r="M245" s="1202">
        <f t="shared" si="311"/>
        <v>147</v>
      </c>
      <c r="N245" s="1198">
        <f t="shared" si="311"/>
        <v>178</v>
      </c>
      <c r="O245" s="1198">
        <f t="shared" si="311"/>
        <v>209</v>
      </c>
      <c r="P245" s="1198">
        <f t="shared" si="311"/>
        <v>240</v>
      </c>
      <c r="Q245" s="1198">
        <f t="shared" si="311"/>
        <v>271</v>
      </c>
      <c r="R245" s="1203">
        <f t="shared" si="311"/>
        <v>302</v>
      </c>
      <c r="S245" s="4387">
        <f>+'11.3. ДА Базова година'!P184</f>
        <v>12968</v>
      </c>
      <c r="T245" s="1202">
        <f t="shared" si="312"/>
        <v>14728</v>
      </c>
      <c r="U245" s="1198">
        <f t="shared" si="312"/>
        <v>16488</v>
      </c>
      <c r="V245" s="1198">
        <f t="shared" si="312"/>
        <v>18248</v>
      </c>
      <c r="W245" s="1198">
        <f t="shared" si="312"/>
        <v>20008</v>
      </c>
      <c r="X245" s="1198">
        <f t="shared" si="312"/>
        <v>21768</v>
      </c>
      <c r="Y245" s="1203">
        <f t="shared" si="312"/>
        <v>23528</v>
      </c>
      <c r="Z245" s="4387">
        <f>+'11.3. ДА Базова година'!T184</f>
        <v>0</v>
      </c>
      <c r="AA245" s="1202">
        <f t="shared" si="313"/>
        <v>0</v>
      </c>
      <c r="AB245" s="1198">
        <f t="shared" si="313"/>
        <v>0</v>
      </c>
      <c r="AC245" s="1198">
        <f t="shared" si="313"/>
        <v>0</v>
      </c>
      <c r="AD245" s="1198">
        <f t="shared" si="313"/>
        <v>0</v>
      </c>
      <c r="AE245" s="1198">
        <f t="shared" si="313"/>
        <v>0</v>
      </c>
      <c r="AF245" s="1203">
        <f t="shared" si="313"/>
        <v>0</v>
      </c>
      <c r="AG245" s="4387">
        <f>+'11.3. ДА Базова година'!X184</f>
        <v>0</v>
      </c>
      <c r="AH245" s="1202">
        <f t="shared" si="314"/>
        <v>0</v>
      </c>
      <c r="AI245" s="1198">
        <f t="shared" si="314"/>
        <v>0</v>
      </c>
      <c r="AJ245" s="1198">
        <f t="shared" si="314"/>
        <v>0</v>
      </c>
      <c r="AK245" s="1198">
        <f t="shared" si="314"/>
        <v>0</v>
      </c>
      <c r="AL245" s="1198">
        <f t="shared" si="314"/>
        <v>0</v>
      </c>
      <c r="AM245" s="1203">
        <f t="shared" si="314"/>
        <v>0</v>
      </c>
      <c r="AN245" s="2513"/>
      <c r="AO245" s="2551"/>
      <c r="AP245" s="4422"/>
      <c r="AQ245" s="4438">
        <f t="shared" si="271"/>
        <v>84.874452278572264</v>
      </c>
      <c r="AR245" s="4438">
        <f t="shared" si="272"/>
        <v>88.964787328142023</v>
      </c>
      <c r="AS245" s="4438">
        <f t="shared" si="273"/>
        <v>93.055122377711768</v>
      </c>
      <c r="AT245" s="4438">
        <f t="shared" si="274"/>
        <v>97.145457427281514</v>
      </c>
      <c r="AU245" s="4438">
        <f t="shared" si="275"/>
        <v>101.08240491249239</v>
      </c>
      <c r="AV245" s="4438">
        <f t="shared" si="276"/>
        <v>105.01935239770327</v>
      </c>
      <c r="AW245" s="4438">
        <f t="shared" si="277"/>
        <v>108.95629988291414</v>
      </c>
      <c r="AX245" s="4438">
        <f t="shared" si="278"/>
        <v>59.309858218761349</v>
      </c>
      <c r="AY245" s="4438">
        <f t="shared" si="279"/>
        <v>75.159906535844115</v>
      </c>
      <c r="AZ245" s="4438">
        <f t="shared" si="280"/>
        <v>91.009954852926896</v>
      </c>
      <c r="BA245" s="4438">
        <f t="shared" si="281"/>
        <v>106.86000317000966</v>
      </c>
      <c r="BB245" s="4438">
        <f t="shared" si="282"/>
        <v>122.71005148709244</v>
      </c>
      <c r="BC245" s="4438">
        <f t="shared" si="283"/>
        <v>138.56009980417522</v>
      </c>
      <c r="BD245" s="4438">
        <f t="shared" si="284"/>
        <v>154.41014812125798</v>
      </c>
      <c r="BE245" s="4438">
        <f t="shared" si="285"/>
        <v>6630.4331153525618</v>
      </c>
      <c r="BF245" s="4438">
        <f t="shared" si="286"/>
        <v>7530.3068262579063</v>
      </c>
      <c r="BG245" s="4438">
        <f t="shared" si="287"/>
        <v>8430.1805371632508</v>
      </c>
      <c r="BH245" s="4438">
        <f t="shared" si="288"/>
        <v>9330.0542480685945</v>
      </c>
      <c r="BI245" s="4438">
        <f t="shared" si="289"/>
        <v>10229.92795897394</v>
      </c>
      <c r="BJ245" s="4438">
        <f t="shared" si="290"/>
        <v>11129.801669879284</v>
      </c>
      <c r="BK245" s="4438">
        <f t="shared" si="291"/>
        <v>12029.675380784629</v>
      </c>
      <c r="BL245" s="4438">
        <f t="shared" si="292"/>
        <v>0</v>
      </c>
      <c r="BM245" s="4438">
        <f t="shared" si="293"/>
        <v>0</v>
      </c>
      <c r="BN245" s="4438">
        <f t="shared" si="294"/>
        <v>0</v>
      </c>
      <c r="BO245" s="4438">
        <f t="shared" si="295"/>
        <v>0</v>
      </c>
      <c r="BP245" s="4438">
        <f t="shared" si="296"/>
        <v>0</v>
      </c>
      <c r="BQ245" s="4438">
        <f t="shared" si="297"/>
        <v>0</v>
      </c>
      <c r="BR245" s="4438">
        <f t="shared" si="298"/>
        <v>0</v>
      </c>
      <c r="BS245" s="4438">
        <f t="shared" si="299"/>
        <v>0</v>
      </c>
      <c r="BT245" s="4438">
        <f t="shared" si="300"/>
        <v>0</v>
      </c>
      <c r="BU245" s="4438">
        <f t="shared" si="301"/>
        <v>0</v>
      </c>
      <c r="BV245" s="4438">
        <f t="shared" si="302"/>
        <v>0</v>
      </c>
      <c r="BW245" s="4438">
        <f t="shared" si="303"/>
        <v>0</v>
      </c>
      <c r="BX245" s="4438">
        <f t="shared" si="304"/>
        <v>0</v>
      </c>
      <c r="BY245" s="4438">
        <f t="shared" si="305"/>
        <v>0</v>
      </c>
    </row>
    <row r="246" spans="1:77" s="1292" customFormat="1">
      <c r="A246" s="2573">
        <v>10</v>
      </c>
      <c r="B246" s="2516">
        <v>91140101</v>
      </c>
      <c r="C246" s="2572">
        <v>0.1</v>
      </c>
      <c r="D246" s="2546" t="s">
        <v>1016</v>
      </c>
      <c r="E246" s="4387">
        <f>+'11.3. ДА Базова година'!H185</f>
        <v>100</v>
      </c>
      <c r="F246" s="1202">
        <f t="shared" si="310"/>
        <v>109</v>
      </c>
      <c r="G246" s="1198">
        <f t="shared" si="310"/>
        <v>118</v>
      </c>
      <c r="H246" s="1198">
        <f t="shared" si="310"/>
        <v>127</v>
      </c>
      <c r="I246" s="1198">
        <f t="shared" si="310"/>
        <v>128.30000000000001</v>
      </c>
      <c r="J246" s="1198">
        <f t="shared" si="310"/>
        <v>129.60000000000002</v>
      </c>
      <c r="K246" s="1203">
        <f t="shared" si="310"/>
        <v>130.90000000000003</v>
      </c>
      <c r="L246" s="4387">
        <f>+'11.3. ДА Базова година'!L185</f>
        <v>0</v>
      </c>
      <c r="M246" s="1202">
        <f t="shared" si="311"/>
        <v>0</v>
      </c>
      <c r="N246" s="1198">
        <f t="shared" si="311"/>
        <v>0</v>
      </c>
      <c r="O246" s="1198">
        <f t="shared" si="311"/>
        <v>0</v>
      </c>
      <c r="P246" s="1198">
        <f t="shared" si="311"/>
        <v>0</v>
      </c>
      <c r="Q246" s="1198">
        <f t="shared" si="311"/>
        <v>0</v>
      </c>
      <c r="R246" s="1203">
        <f t="shared" si="311"/>
        <v>0</v>
      </c>
      <c r="S246" s="4387">
        <f>+'11.3. ДА Базова година'!P185</f>
        <v>0</v>
      </c>
      <c r="T246" s="1202">
        <f t="shared" si="312"/>
        <v>0</v>
      </c>
      <c r="U246" s="1198">
        <f t="shared" si="312"/>
        <v>0</v>
      </c>
      <c r="V246" s="1198">
        <f t="shared" si="312"/>
        <v>0</v>
      </c>
      <c r="W246" s="1198">
        <f t="shared" si="312"/>
        <v>0</v>
      </c>
      <c r="X246" s="1198">
        <f t="shared" si="312"/>
        <v>0</v>
      </c>
      <c r="Y246" s="1203">
        <f t="shared" si="312"/>
        <v>0</v>
      </c>
      <c r="Z246" s="4387">
        <f>+'11.3. ДА Базова година'!T185</f>
        <v>0</v>
      </c>
      <c r="AA246" s="1202">
        <f t="shared" si="313"/>
        <v>0</v>
      </c>
      <c r="AB246" s="1198">
        <f t="shared" si="313"/>
        <v>0</v>
      </c>
      <c r="AC246" s="1198">
        <f t="shared" si="313"/>
        <v>0</v>
      </c>
      <c r="AD246" s="1198">
        <f t="shared" si="313"/>
        <v>0</v>
      </c>
      <c r="AE246" s="1198">
        <f t="shared" si="313"/>
        <v>0</v>
      </c>
      <c r="AF246" s="1203">
        <f t="shared" si="313"/>
        <v>0</v>
      </c>
      <c r="AG246" s="4387">
        <f>+'11.3. ДА Базова година'!X185</f>
        <v>0</v>
      </c>
      <c r="AH246" s="1202">
        <f t="shared" si="314"/>
        <v>0</v>
      </c>
      <c r="AI246" s="1198">
        <f t="shared" si="314"/>
        <v>0</v>
      </c>
      <c r="AJ246" s="1198">
        <f t="shared" si="314"/>
        <v>0</v>
      </c>
      <c r="AK246" s="1198">
        <f t="shared" si="314"/>
        <v>0</v>
      </c>
      <c r="AL246" s="1198">
        <f t="shared" si="314"/>
        <v>0</v>
      </c>
      <c r="AM246" s="1203">
        <f t="shared" si="314"/>
        <v>0</v>
      </c>
      <c r="AN246" s="2513"/>
      <c r="AO246" s="2551"/>
      <c r="AP246" s="4422"/>
      <c r="AQ246" s="4438">
        <f t="shared" si="271"/>
        <v>51.129188119621851</v>
      </c>
      <c r="AR246" s="4438">
        <f t="shared" si="272"/>
        <v>55.730815050387818</v>
      </c>
      <c r="AS246" s="4438">
        <f t="shared" si="273"/>
        <v>60.332441981153785</v>
      </c>
      <c r="AT246" s="4438">
        <f t="shared" si="274"/>
        <v>64.934068911919752</v>
      </c>
      <c r="AU246" s="4438">
        <f t="shared" si="275"/>
        <v>65.598748357474832</v>
      </c>
      <c r="AV246" s="4438">
        <f t="shared" si="276"/>
        <v>66.263427803029927</v>
      </c>
      <c r="AW246" s="4438">
        <f t="shared" si="277"/>
        <v>66.928107248585022</v>
      </c>
      <c r="AX246" s="4438">
        <f t="shared" si="278"/>
        <v>0</v>
      </c>
      <c r="AY246" s="4438">
        <f t="shared" si="279"/>
        <v>0</v>
      </c>
      <c r="AZ246" s="4438">
        <f t="shared" si="280"/>
        <v>0</v>
      </c>
      <c r="BA246" s="4438">
        <f t="shared" si="281"/>
        <v>0</v>
      </c>
      <c r="BB246" s="4438">
        <f t="shared" si="282"/>
        <v>0</v>
      </c>
      <c r="BC246" s="4438">
        <f t="shared" si="283"/>
        <v>0</v>
      </c>
      <c r="BD246" s="4438">
        <f t="shared" si="284"/>
        <v>0</v>
      </c>
      <c r="BE246" s="4438">
        <f t="shared" si="285"/>
        <v>0</v>
      </c>
      <c r="BF246" s="4438">
        <f t="shared" si="286"/>
        <v>0</v>
      </c>
      <c r="BG246" s="4438">
        <f t="shared" si="287"/>
        <v>0</v>
      </c>
      <c r="BH246" s="4438">
        <f t="shared" si="288"/>
        <v>0</v>
      </c>
      <c r="BI246" s="4438">
        <f t="shared" si="289"/>
        <v>0</v>
      </c>
      <c r="BJ246" s="4438">
        <f t="shared" si="290"/>
        <v>0</v>
      </c>
      <c r="BK246" s="4438">
        <f t="shared" si="291"/>
        <v>0</v>
      </c>
      <c r="BL246" s="4438">
        <f t="shared" si="292"/>
        <v>0</v>
      </c>
      <c r="BM246" s="4438">
        <f t="shared" si="293"/>
        <v>0</v>
      </c>
      <c r="BN246" s="4438">
        <f t="shared" si="294"/>
        <v>0</v>
      </c>
      <c r="BO246" s="4438">
        <f t="shared" si="295"/>
        <v>0</v>
      </c>
      <c r="BP246" s="4438">
        <f t="shared" si="296"/>
        <v>0</v>
      </c>
      <c r="BQ246" s="4438">
        <f t="shared" si="297"/>
        <v>0</v>
      </c>
      <c r="BR246" s="4438">
        <f t="shared" si="298"/>
        <v>0</v>
      </c>
      <c r="BS246" s="4438">
        <f t="shared" si="299"/>
        <v>0</v>
      </c>
      <c r="BT246" s="4438">
        <f t="shared" si="300"/>
        <v>0</v>
      </c>
      <c r="BU246" s="4438">
        <f t="shared" si="301"/>
        <v>0</v>
      </c>
      <c r="BV246" s="4438">
        <f t="shared" si="302"/>
        <v>0</v>
      </c>
      <c r="BW246" s="4438">
        <f t="shared" si="303"/>
        <v>0</v>
      </c>
      <c r="BX246" s="4438">
        <f t="shared" si="304"/>
        <v>0</v>
      </c>
      <c r="BY246" s="4438">
        <f t="shared" si="305"/>
        <v>0</v>
      </c>
    </row>
    <row r="247" spans="1:77" s="1292" customFormat="1">
      <c r="A247" s="2573">
        <v>11</v>
      </c>
      <c r="B247" s="2516">
        <v>91140102</v>
      </c>
      <c r="C247" s="2572">
        <v>0.04</v>
      </c>
      <c r="D247" s="2546" t="s">
        <v>432</v>
      </c>
      <c r="E247" s="4387">
        <f>+'11.3. ДА Базова година'!H186</f>
        <v>0</v>
      </c>
      <c r="F247" s="1202">
        <f t="shared" si="310"/>
        <v>0</v>
      </c>
      <c r="G247" s="1198">
        <f t="shared" si="310"/>
        <v>0</v>
      </c>
      <c r="H247" s="1198">
        <f t="shared" si="310"/>
        <v>0</v>
      </c>
      <c r="I247" s="1198">
        <f t="shared" si="310"/>
        <v>0</v>
      </c>
      <c r="J247" s="1198">
        <f t="shared" si="310"/>
        <v>0</v>
      </c>
      <c r="K247" s="1203">
        <f t="shared" si="310"/>
        <v>0</v>
      </c>
      <c r="L247" s="4387">
        <f>+'11.3. ДА Базова година'!L186</f>
        <v>0</v>
      </c>
      <c r="M247" s="1202">
        <f t="shared" si="311"/>
        <v>0</v>
      </c>
      <c r="N247" s="1198">
        <f t="shared" si="311"/>
        <v>0</v>
      </c>
      <c r="O247" s="1198">
        <f t="shared" si="311"/>
        <v>0</v>
      </c>
      <c r="P247" s="1198">
        <f t="shared" si="311"/>
        <v>0</v>
      </c>
      <c r="Q247" s="1198">
        <f t="shared" si="311"/>
        <v>0</v>
      </c>
      <c r="R247" s="1203">
        <f t="shared" si="311"/>
        <v>0</v>
      </c>
      <c r="S247" s="4387">
        <f>+'11.3. ДА Базова година'!P186</f>
        <v>0</v>
      </c>
      <c r="T247" s="1202">
        <f t="shared" si="312"/>
        <v>0</v>
      </c>
      <c r="U247" s="1198">
        <f t="shared" si="312"/>
        <v>0</v>
      </c>
      <c r="V247" s="1198">
        <f t="shared" si="312"/>
        <v>0</v>
      </c>
      <c r="W247" s="1198">
        <f t="shared" si="312"/>
        <v>0</v>
      </c>
      <c r="X247" s="1198">
        <f t="shared" si="312"/>
        <v>0</v>
      </c>
      <c r="Y247" s="1203">
        <f t="shared" si="312"/>
        <v>0</v>
      </c>
      <c r="Z247" s="4387">
        <f>+'11.3. ДА Базова година'!T186</f>
        <v>0</v>
      </c>
      <c r="AA247" s="1202">
        <f t="shared" si="313"/>
        <v>0</v>
      </c>
      <c r="AB247" s="1198">
        <f t="shared" si="313"/>
        <v>0</v>
      </c>
      <c r="AC247" s="1198">
        <f t="shared" si="313"/>
        <v>0</v>
      </c>
      <c r="AD247" s="1198">
        <f t="shared" si="313"/>
        <v>0</v>
      </c>
      <c r="AE247" s="1198">
        <f t="shared" si="313"/>
        <v>0</v>
      </c>
      <c r="AF247" s="1203">
        <f t="shared" si="313"/>
        <v>0</v>
      </c>
      <c r="AG247" s="4387">
        <f>+'11.3. ДА Базова година'!X186</f>
        <v>0</v>
      </c>
      <c r="AH247" s="1202">
        <f t="shared" si="314"/>
        <v>0</v>
      </c>
      <c r="AI247" s="1198">
        <f t="shared" si="314"/>
        <v>0</v>
      </c>
      <c r="AJ247" s="1198">
        <f t="shared" si="314"/>
        <v>0</v>
      </c>
      <c r="AK247" s="1198">
        <f t="shared" si="314"/>
        <v>0</v>
      </c>
      <c r="AL247" s="1198">
        <f t="shared" si="314"/>
        <v>0</v>
      </c>
      <c r="AM247" s="1203">
        <f t="shared" si="314"/>
        <v>0</v>
      </c>
      <c r="AN247" s="2513"/>
      <c r="AO247" s="2551"/>
      <c r="AP247" s="4422"/>
      <c r="AQ247" s="4438">
        <f t="shared" si="271"/>
        <v>0</v>
      </c>
      <c r="AR247" s="4438">
        <f t="shared" si="272"/>
        <v>0</v>
      </c>
      <c r="AS247" s="4438">
        <f t="shared" si="273"/>
        <v>0</v>
      </c>
      <c r="AT247" s="4438">
        <f t="shared" si="274"/>
        <v>0</v>
      </c>
      <c r="AU247" s="4438">
        <f t="shared" si="275"/>
        <v>0</v>
      </c>
      <c r="AV247" s="4438">
        <f t="shared" si="276"/>
        <v>0</v>
      </c>
      <c r="AW247" s="4438">
        <f t="shared" si="277"/>
        <v>0</v>
      </c>
      <c r="AX247" s="4438">
        <f t="shared" si="278"/>
        <v>0</v>
      </c>
      <c r="AY247" s="4438">
        <f t="shared" si="279"/>
        <v>0</v>
      </c>
      <c r="AZ247" s="4438">
        <f t="shared" si="280"/>
        <v>0</v>
      </c>
      <c r="BA247" s="4438">
        <f t="shared" si="281"/>
        <v>0</v>
      </c>
      <c r="BB247" s="4438">
        <f t="shared" si="282"/>
        <v>0</v>
      </c>
      <c r="BC247" s="4438">
        <f t="shared" si="283"/>
        <v>0</v>
      </c>
      <c r="BD247" s="4438">
        <f t="shared" si="284"/>
        <v>0</v>
      </c>
      <c r="BE247" s="4438">
        <f t="shared" si="285"/>
        <v>0</v>
      </c>
      <c r="BF247" s="4438">
        <f t="shared" si="286"/>
        <v>0</v>
      </c>
      <c r="BG247" s="4438">
        <f t="shared" si="287"/>
        <v>0</v>
      </c>
      <c r="BH247" s="4438">
        <f t="shared" si="288"/>
        <v>0</v>
      </c>
      <c r="BI247" s="4438">
        <f t="shared" si="289"/>
        <v>0</v>
      </c>
      <c r="BJ247" s="4438">
        <f t="shared" si="290"/>
        <v>0</v>
      </c>
      <c r="BK247" s="4438">
        <f t="shared" si="291"/>
        <v>0</v>
      </c>
      <c r="BL247" s="4438">
        <f t="shared" si="292"/>
        <v>0</v>
      </c>
      <c r="BM247" s="4438">
        <f t="shared" si="293"/>
        <v>0</v>
      </c>
      <c r="BN247" s="4438">
        <f t="shared" si="294"/>
        <v>0</v>
      </c>
      <c r="BO247" s="4438">
        <f t="shared" si="295"/>
        <v>0</v>
      </c>
      <c r="BP247" s="4438">
        <f t="shared" si="296"/>
        <v>0</v>
      </c>
      <c r="BQ247" s="4438">
        <f t="shared" si="297"/>
        <v>0</v>
      </c>
      <c r="BR247" s="4438">
        <f t="shared" si="298"/>
        <v>0</v>
      </c>
      <c r="BS247" s="4438">
        <f t="shared" si="299"/>
        <v>0</v>
      </c>
      <c r="BT247" s="4438">
        <f t="shared" si="300"/>
        <v>0</v>
      </c>
      <c r="BU247" s="4438">
        <f t="shared" si="301"/>
        <v>0</v>
      </c>
      <c r="BV247" s="4438">
        <f t="shared" si="302"/>
        <v>0</v>
      </c>
      <c r="BW247" s="4438">
        <f t="shared" si="303"/>
        <v>0</v>
      </c>
      <c r="BX247" s="4438">
        <f t="shared" si="304"/>
        <v>0</v>
      </c>
      <c r="BY247" s="4438">
        <f t="shared" si="305"/>
        <v>0</v>
      </c>
    </row>
    <row r="248" spans="1:77" s="1292" customFormat="1">
      <c r="A248" s="2573">
        <v>12</v>
      </c>
      <c r="B248" s="2516" t="s">
        <v>698</v>
      </c>
      <c r="C248" s="2517">
        <v>0.02</v>
      </c>
      <c r="D248" s="2547" t="s">
        <v>738</v>
      </c>
      <c r="E248" s="4387">
        <f>+'11.3. ДА Базова година'!H187</f>
        <v>0</v>
      </c>
      <c r="F248" s="1202">
        <f t="shared" si="310"/>
        <v>0</v>
      </c>
      <c r="G248" s="1198">
        <f t="shared" si="310"/>
        <v>0</v>
      </c>
      <c r="H248" s="1198">
        <f t="shared" si="310"/>
        <v>0</v>
      </c>
      <c r="I248" s="1198">
        <f t="shared" si="310"/>
        <v>0</v>
      </c>
      <c r="J248" s="1198">
        <f t="shared" si="310"/>
        <v>0</v>
      </c>
      <c r="K248" s="1203">
        <f t="shared" si="310"/>
        <v>0</v>
      </c>
      <c r="L248" s="4387">
        <f>+'11.3. ДА Базова година'!L187</f>
        <v>10</v>
      </c>
      <c r="M248" s="1202">
        <f t="shared" si="311"/>
        <v>11</v>
      </c>
      <c r="N248" s="1198">
        <f t="shared" si="311"/>
        <v>12</v>
      </c>
      <c r="O248" s="1198">
        <f t="shared" si="311"/>
        <v>13</v>
      </c>
      <c r="P248" s="1198">
        <f t="shared" si="311"/>
        <v>14</v>
      </c>
      <c r="Q248" s="1198">
        <f t="shared" si="311"/>
        <v>15</v>
      </c>
      <c r="R248" s="1203">
        <f t="shared" si="311"/>
        <v>16</v>
      </c>
      <c r="S248" s="4387">
        <f>+'11.3. ДА Базова година'!P187</f>
        <v>0</v>
      </c>
      <c r="T248" s="1202">
        <f t="shared" si="312"/>
        <v>0</v>
      </c>
      <c r="U248" s="1198">
        <f t="shared" si="312"/>
        <v>0</v>
      </c>
      <c r="V248" s="1198">
        <f t="shared" si="312"/>
        <v>0</v>
      </c>
      <c r="W248" s="1198">
        <f t="shared" si="312"/>
        <v>0</v>
      </c>
      <c r="X248" s="1198">
        <f t="shared" si="312"/>
        <v>0</v>
      </c>
      <c r="Y248" s="1203">
        <f t="shared" si="312"/>
        <v>0</v>
      </c>
      <c r="Z248" s="4387">
        <f>+'11.3. ДА Базова година'!T187</f>
        <v>0</v>
      </c>
      <c r="AA248" s="1202">
        <f t="shared" si="313"/>
        <v>0</v>
      </c>
      <c r="AB248" s="1198">
        <f t="shared" si="313"/>
        <v>0</v>
      </c>
      <c r="AC248" s="1198">
        <f t="shared" si="313"/>
        <v>0</v>
      </c>
      <c r="AD248" s="1198">
        <f t="shared" si="313"/>
        <v>0</v>
      </c>
      <c r="AE248" s="1198">
        <f t="shared" si="313"/>
        <v>0</v>
      </c>
      <c r="AF248" s="1203">
        <f t="shared" si="313"/>
        <v>0</v>
      </c>
      <c r="AG248" s="4387">
        <f>+'11.3. ДА Базова година'!X187</f>
        <v>0</v>
      </c>
      <c r="AH248" s="1202">
        <f t="shared" si="314"/>
        <v>0</v>
      </c>
      <c r="AI248" s="1198">
        <f t="shared" si="314"/>
        <v>0</v>
      </c>
      <c r="AJ248" s="1198">
        <f t="shared" si="314"/>
        <v>0</v>
      </c>
      <c r="AK248" s="1198">
        <f t="shared" si="314"/>
        <v>0</v>
      </c>
      <c r="AL248" s="1198">
        <f t="shared" si="314"/>
        <v>0</v>
      </c>
      <c r="AM248" s="1203">
        <f t="shared" si="314"/>
        <v>0</v>
      </c>
      <c r="AN248" s="2513"/>
      <c r="AO248" s="2551"/>
      <c r="AP248" s="4422"/>
      <c r="AQ248" s="4438">
        <f t="shared" si="271"/>
        <v>0</v>
      </c>
      <c r="AR248" s="4438">
        <f t="shared" si="272"/>
        <v>0</v>
      </c>
      <c r="AS248" s="4438">
        <f t="shared" si="273"/>
        <v>0</v>
      </c>
      <c r="AT248" s="4438">
        <f t="shared" si="274"/>
        <v>0</v>
      </c>
      <c r="AU248" s="4438">
        <f t="shared" si="275"/>
        <v>0</v>
      </c>
      <c r="AV248" s="4438">
        <f t="shared" si="276"/>
        <v>0</v>
      </c>
      <c r="AW248" s="4438">
        <f t="shared" si="277"/>
        <v>0</v>
      </c>
      <c r="AX248" s="4438">
        <f t="shared" si="278"/>
        <v>5.1129188119621851</v>
      </c>
      <c r="AY248" s="4438">
        <f t="shared" si="279"/>
        <v>5.6242106931584033</v>
      </c>
      <c r="AZ248" s="4438">
        <f t="shared" si="280"/>
        <v>6.1355025743546223</v>
      </c>
      <c r="BA248" s="4438">
        <f t="shared" si="281"/>
        <v>6.6467944555508405</v>
      </c>
      <c r="BB248" s="4438">
        <f t="shared" si="282"/>
        <v>7.1580863367470586</v>
      </c>
      <c r="BC248" s="4438">
        <f t="shared" si="283"/>
        <v>7.6693782179432777</v>
      </c>
      <c r="BD248" s="4438">
        <f t="shared" si="284"/>
        <v>8.1806700991394958</v>
      </c>
      <c r="BE248" s="4438">
        <f t="shared" si="285"/>
        <v>0</v>
      </c>
      <c r="BF248" s="4438">
        <f t="shared" si="286"/>
        <v>0</v>
      </c>
      <c r="BG248" s="4438">
        <f t="shared" si="287"/>
        <v>0</v>
      </c>
      <c r="BH248" s="4438">
        <f t="shared" si="288"/>
        <v>0</v>
      </c>
      <c r="BI248" s="4438">
        <f t="shared" si="289"/>
        <v>0</v>
      </c>
      <c r="BJ248" s="4438">
        <f t="shared" si="290"/>
        <v>0</v>
      </c>
      <c r="BK248" s="4438">
        <f t="shared" si="291"/>
        <v>0</v>
      </c>
      <c r="BL248" s="4438">
        <f t="shared" si="292"/>
        <v>0</v>
      </c>
      <c r="BM248" s="4438">
        <f t="shared" si="293"/>
        <v>0</v>
      </c>
      <c r="BN248" s="4438">
        <f t="shared" si="294"/>
        <v>0</v>
      </c>
      <c r="BO248" s="4438">
        <f t="shared" si="295"/>
        <v>0</v>
      </c>
      <c r="BP248" s="4438">
        <f t="shared" si="296"/>
        <v>0</v>
      </c>
      <c r="BQ248" s="4438">
        <f t="shared" si="297"/>
        <v>0</v>
      </c>
      <c r="BR248" s="4438">
        <f t="shared" si="298"/>
        <v>0</v>
      </c>
      <c r="BS248" s="4438">
        <f t="shared" si="299"/>
        <v>0</v>
      </c>
      <c r="BT248" s="4438">
        <f t="shared" si="300"/>
        <v>0</v>
      </c>
      <c r="BU248" s="4438">
        <f t="shared" si="301"/>
        <v>0</v>
      </c>
      <c r="BV248" s="4438">
        <f t="shared" si="302"/>
        <v>0</v>
      </c>
      <c r="BW248" s="4438">
        <f t="shared" si="303"/>
        <v>0</v>
      </c>
      <c r="BX248" s="4438">
        <f t="shared" si="304"/>
        <v>0</v>
      </c>
      <c r="BY248" s="4438">
        <f t="shared" si="305"/>
        <v>0</v>
      </c>
    </row>
    <row r="249" spans="1:77" s="1292" customFormat="1">
      <c r="A249" s="2573">
        <v>13</v>
      </c>
      <c r="B249" s="2516" t="s">
        <v>699</v>
      </c>
      <c r="C249" s="2517">
        <v>0.02</v>
      </c>
      <c r="D249" s="2547" t="s">
        <v>739</v>
      </c>
      <c r="E249" s="4387">
        <f>+'11.3. ДА Базова година'!H188</f>
        <v>794</v>
      </c>
      <c r="F249" s="1202">
        <f t="shared" si="310"/>
        <v>817</v>
      </c>
      <c r="G249" s="1198">
        <f t="shared" si="310"/>
        <v>840</v>
      </c>
      <c r="H249" s="1198">
        <f t="shared" si="310"/>
        <v>863</v>
      </c>
      <c r="I249" s="1198">
        <f t="shared" si="310"/>
        <v>886</v>
      </c>
      <c r="J249" s="1198">
        <f t="shared" si="310"/>
        <v>909</v>
      </c>
      <c r="K249" s="1203">
        <f t="shared" si="310"/>
        <v>932</v>
      </c>
      <c r="L249" s="4387">
        <f>+'11.3. ДА Базова година'!L188</f>
        <v>0</v>
      </c>
      <c r="M249" s="1202">
        <f t="shared" si="311"/>
        <v>0</v>
      </c>
      <c r="N249" s="1198">
        <f t="shared" si="311"/>
        <v>0</v>
      </c>
      <c r="O249" s="1198">
        <f t="shared" si="311"/>
        <v>0</v>
      </c>
      <c r="P249" s="1198">
        <f t="shared" si="311"/>
        <v>0</v>
      </c>
      <c r="Q249" s="1198">
        <f t="shared" si="311"/>
        <v>0</v>
      </c>
      <c r="R249" s="1203">
        <f t="shared" si="311"/>
        <v>0</v>
      </c>
      <c r="S249" s="4387">
        <f>+'11.3. ДА Базова година'!P188</f>
        <v>0</v>
      </c>
      <c r="T249" s="1202">
        <f t="shared" si="312"/>
        <v>0</v>
      </c>
      <c r="U249" s="1198">
        <f t="shared" si="312"/>
        <v>0</v>
      </c>
      <c r="V249" s="1198">
        <f t="shared" si="312"/>
        <v>0</v>
      </c>
      <c r="W249" s="1198">
        <f t="shared" si="312"/>
        <v>0</v>
      </c>
      <c r="X249" s="1198">
        <f t="shared" si="312"/>
        <v>0</v>
      </c>
      <c r="Y249" s="1203">
        <f t="shared" si="312"/>
        <v>0</v>
      </c>
      <c r="Z249" s="4387">
        <f>+'11.3. ДА Базова година'!T188</f>
        <v>0</v>
      </c>
      <c r="AA249" s="1202">
        <f t="shared" si="313"/>
        <v>0</v>
      </c>
      <c r="AB249" s="1198">
        <f t="shared" si="313"/>
        <v>0</v>
      </c>
      <c r="AC249" s="1198">
        <f t="shared" si="313"/>
        <v>0</v>
      </c>
      <c r="AD249" s="1198">
        <f t="shared" si="313"/>
        <v>0</v>
      </c>
      <c r="AE249" s="1198">
        <f t="shared" si="313"/>
        <v>0</v>
      </c>
      <c r="AF249" s="1203">
        <f t="shared" si="313"/>
        <v>0</v>
      </c>
      <c r="AG249" s="4387">
        <f>+'11.3. ДА Базова година'!X188</f>
        <v>0</v>
      </c>
      <c r="AH249" s="1202">
        <f t="shared" si="314"/>
        <v>0</v>
      </c>
      <c r="AI249" s="1198">
        <f t="shared" si="314"/>
        <v>0</v>
      </c>
      <c r="AJ249" s="1198">
        <f t="shared" si="314"/>
        <v>0</v>
      </c>
      <c r="AK249" s="1198">
        <f t="shared" si="314"/>
        <v>0</v>
      </c>
      <c r="AL249" s="1198">
        <f t="shared" si="314"/>
        <v>0</v>
      </c>
      <c r="AM249" s="1203">
        <f t="shared" si="314"/>
        <v>0</v>
      </c>
      <c r="AN249" s="2513"/>
      <c r="AO249" s="2551"/>
      <c r="AP249" s="4422"/>
      <c r="AQ249" s="4438">
        <f t="shared" si="271"/>
        <v>405.96575366979749</v>
      </c>
      <c r="AR249" s="4438">
        <f t="shared" si="272"/>
        <v>417.7254669373105</v>
      </c>
      <c r="AS249" s="4438">
        <f t="shared" si="273"/>
        <v>429.48518020482356</v>
      </c>
      <c r="AT249" s="4438">
        <f t="shared" si="274"/>
        <v>441.24489347233657</v>
      </c>
      <c r="AU249" s="4438">
        <f t="shared" si="275"/>
        <v>453.00460673984958</v>
      </c>
      <c r="AV249" s="4438">
        <f t="shared" si="276"/>
        <v>464.76432000736258</v>
      </c>
      <c r="AW249" s="4438">
        <f t="shared" si="277"/>
        <v>476.52403327487565</v>
      </c>
      <c r="AX249" s="4438">
        <f t="shared" si="278"/>
        <v>0</v>
      </c>
      <c r="AY249" s="4438">
        <f t="shared" si="279"/>
        <v>0</v>
      </c>
      <c r="AZ249" s="4438">
        <f t="shared" si="280"/>
        <v>0</v>
      </c>
      <c r="BA249" s="4438">
        <f t="shared" si="281"/>
        <v>0</v>
      </c>
      <c r="BB249" s="4438">
        <f t="shared" si="282"/>
        <v>0</v>
      </c>
      <c r="BC249" s="4438">
        <f t="shared" si="283"/>
        <v>0</v>
      </c>
      <c r="BD249" s="4438">
        <f t="shared" si="284"/>
        <v>0</v>
      </c>
      <c r="BE249" s="4438">
        <f t="shared" si="285"/>
        <v>0</v>
      </c>
      <c r="BF249" s="4438">
        <f t="shared" si="286"/>
        <v>0</v>
      </c>
      <c r="BG249" s="4438">
        <f t="shared" si="287"/>
        <v>0</v>
      </c>
      <c r="BH249" s="4438">
        <f t="shared" si="288"/>
        <v>0</v>
      </c>
      <c r="BI249" s="4438">
        <f t="shared" si="289"/>
        <v>0</v>
      </c>
      <c r="BJ249" s="4438">
        <f t="shared" si="290"/>
        <v>0</v>
      </c>
      <c r="BK249" s="4438">
        <f t="shared" si="291"/>
        <v>0</v>
      </c>
      <c r="BL249" s="4438">
        <f t="shared" si="292"/>
        <v>0</v>
      </c>
      <c r="BM249" s="4438">
        <f t="shared" si="293"/>
        <v>0</v>
      </c>
      <c r="BN249" s="4438">
        <f t="shared" si="294"/>
        <v>0</v>
      </c>
      <c r="BO249" s="4438">
        <f t="shared" si="295"/>
        <v>0</v>
      </c>
      <c r="BP249" s="4438">
        <f t="shared" si="296"/>
        <v>0</v>
      </c>
      <c r="BQ249" s="4438">
        <f t="shared" si="297"/>
        <v>0</v>
      </c>
      <c r="BR249" s="4438">
        <f t="shared" si="298"/>
        <v>0</v>
      </c>
      <c r="BS249" s="4438">
        <f t="shared" si="299"/>
        <v>0</v>
      </c>
      <c r="BT249" s="4438">
        <f t="shared" si="300"/>
        <v>0</v>
      </c>
      <c r="BU249" s="4438">
        <f t="shared" si="301"/>
        <v>0</v>
      </c>
      <c r="BV249" s="4438">
        <f t="shared" si="302"/>
        <v>0</v>
      </c>
      <c r="BW249" s="4438">
        <f t="shared" si="303"/>
        <v>0</v>
      </c>
      <c r="BX249" s="4438">
        <f t="shared" si="304"/>
        <v>0</v>
      </c>
      <c r="BY249" s="4438">
        <f t="shared" si="305"/>
        <v>0</v>
      </c>
    </row>
    <row r="250" spans="1:77" s="1292" customFormat="1">
      <c r="A250" s="2573">
        <v>14</v>
      </c>
      <c r="B250" s="2516" t="s">
        <v>700</v>
      </c>
      <c r="C250" s="2517">
        <v>0.02</v>
      </c>
      <c r="D250" s="2547" t="s">
        <v>418</v>
      </c>
      <c r="E250" s="4387">
        <f>+'11.3. ДА Базова година'!H189</f>
        <v>43</v>
      </c>
      <c r="F250" s="1202">
        <f t="shared" si="310"/>
        <v>44</v>
      </c>
      <c r="G250" s="1198">
        <f t="shared" si="310"/>
        <v>45</v>
      </c>
      <c r="H250" s="1198">
        <f t="shared" si="310"/>
        <v>46</v>
      </c>
      <c r="I250" s="1198">
        <f t="shared" si="310"/>
        <v>47</v>
      </c>
      <c r="J250" s="1198">
        <f t="shared" si="310"/>
        <v>48</v>
      </c>
      <c r="K250" s="1203">
        <f t="shared" si="310"/>
        <v>49</v>
      </c>
      <c r="L250" s="4387">
        <f>+'11.3. ДА Базова година'!L189</f>
        <v>0</v>
      </c>
      <c r="M250" s="1202">
        <f t="shared" si="311"/>
        <v>0</v>
      </c>
      <c r="N250" s="1198">
        <f t="shared" si="311"/>
        <v>0</v>
      </c>
      <c r="O250" s="1198">
        <f t="shared" si="311"/>
        <v>0</v>
      </c>
      <c r="P250" s="1198">
        <f t="shared" si="311"/>
        <v>0</v>
      </c>
      <c r="Q250" s="1198">
        <f t="shared" si="311"/>
        <v>0</v>
      </c>
      <c r="R250" s="1203">
        <f t="shared" si="311"/>
        <v>0</v>
      </c>
      <c r="S250" s="4387">
        <f>+'11.3. ДА Базова година'!P189</f>
        <v>0</v>
      </c>
      <c r="T250" s="1202">
        <f t="shared" si="312"/>
        <v>0</v>
      </c>
      <c r="U250" s="1198">
        <f t="shared" si="312"/>
        <v>0</v>
      </c>
      <c r="V250" s="1198">
        <f t="shared" si="312"/>
        <v>0</v>
      </c>
      <c r="W250" s="1198">
        <f t="shared" si="312"/>
        <v>0</v>
      </c>
      <c r="X250" s="1198">
        <f t="shared" si="312"/>
        <v>0</v>
      </c>
      <c r="Y250" s="1203">
        <f t="shared" si="312"/>
        <v>0</v>
      </c>
      <c r="Z250" s="4387">
        <f>+'11.3. ДА Базова година'!T189</f>
        <v>0</v>
      </c>
      <c r="AA250" s="1202">
        <f t="shared" si="313"/>
        <v>0</v>
      </c>
      <c r="AB250" s="1198">
        <f t="shared" si="313"/>
        <v>0</v>
      </c>
      <c r="AC250" s="1198">
        <f t="shared" si="313"/>
        <v>0</v>
      </c>
      <c r="AD250" s="1198">
        <f t="shared" si="313"/>
        <v>0</v>
      </c>
      <c r="AE250" s="1198">
        <f t="shared" si="313"/>
        <v>0</v>
      </c>
      <c r="AF250" s="1203">
        <f t="shared" si="313"/>
        <v>0</v>
      </c>
      <c r="AG250" s="4387">
        <f>+'11.3. ДА Базова година'!X189</f>
        <v>0</v>
      </c>
      <c r="AH250" s="1202">
        <f t="shared" si="314"/>
        <v>0</v>
      </c>
      <c r="AI250" s="1198">
        <f t="shared" si="314"/>
        <v>0</v>
      </c>
      <c r="AJ250" s="1198">
        <f t="shared" si="314"/>
        <v>0</v>
      </c>
      <c r="AK250" s="1198">
        <f t="shared" si="314"/>
        <v>0</v>
      </c>
      <c r="AL250" s="1198">
        <f t="shared" si="314"/>
        <v>0</v>
      </c>
      <c r="AM250" s="1203">
        <f t="shared" si="314"/>
        <v>0</v>
      </c>
      <c r="AN250" s="2513"/>
      <c r="AO250" s="2551"/>
      <c r="AP250" s="4422"/>
      <c r="AQ250" s="4438">
        <f t="shared" si="271"/>
        <v>21.985550891437395</v>
      </c>
      <c r="AR250" s="4438">
        <f t="shared" si="272"/>
        <v>22.496842772633613</v>
      </c>
      <c r="AS250" s="4438">
        <f t="shared" si="273"/>
        <v>23.008134653829831</v>
      </c>
      <c r="AT250" s="4438">
        <f t="shared" si="274"/>
        <v>23.519426535026049</v>
      </c>
      <c r="AU250" s="4438">
        <f t="shared" si="275"/>
        <v>24.030718416222268</v>
      </c>
      <c r="AV250" s="4438">
        <f t="shared" si="276"/>
        <v>24.542010297418489</v>
      </c>
      <c r="AW250" s="4438">
        <f t="shared" si="277"/>
        <v>25.053302178614707</v>
      </c>
      <c r="AX250" s="4438">
        <f t="shared" si="278"/>
        <v>0</v>
      </c>
      <c r="AY250" s="4438">
        <f t="shared" si="279"/>
        <v>0</v>
      </c>
      <c r="AZ250" s="4438">
        <f t="shared" si="280"/>
        <v>0</v>
      </c>
      <c r="BA250" s="4438">
        <f t="shared" si="281"/>
        <v>0</v>
      </c>
      <c r="BB250" s="4438">
        <f t="shared" si="282"/>
        <v>0</v>
      </c>
      <c r="BC250" s="4438">
        <f t="shared" si="283"/>
        <v>0</v>
      </c>
      <c r="BD250" s="4438">
        <f t="shared" si="284"/>
        <v>0</v>
      </c>
      <c r="BE250" s="4438">
        <f t="shared" si="285"/>
        <v>0</v>
      </c>
      <c r="BF250" s="4438">
        <f t="shared" si="286"/>
        <v>0</v>
      </c>
      <c r="BG250" s="4438">
        <f t="shared" si="287"/>
        <v>0</v>
      </c>
      <c r="BH250" s="4438">
        <f t="shared" si="288"/>
        <v>0</v>
      </c>
      <c r="BI250" s="4438">
        <f t="shared" si="289"/>
        <v>0</v>
      </c>
      <c r="BJ250" s="4438">
        <f t="shared" si="290"/>
        <v>0</v>
      </c>
      <c r="BK250" s="4438">
        <f t="shared" si="291"/>
        <v>0</v>
      </c>
      <c r="BL250" s="4438">
        <f t="shared" si="292"/>
        <v>0</v>
      </c>
      <c r="BM250" s="4438">
        <f t="shared" si="293"/>
        <v>0</v>
      </c>
      <c r="BN250" s="4438">
        <f t="shared" si="294"/>
        <v>0</v>
      </c>
      <c r="BO250" s="4438">
        <f t="shared" si="295"/>
        <v>0</v>
      </c>
      <c r="BP250" s="4438">
        <f t="shared" si="296"/>
        <v>0</v>
      </c>
      <c r="BQ250" s="4438">
        <f t="shared" si="297"/>
        <v>0</v>
      </c>
      <c r="BR250" s="4438">
        <f t="shared" si="298"/>
        <v>0</v>
      </c>
      <c r="BS250" s="4438">
        <f t="shared" si="299"/>
        <v>0</v>
      </c>
      <c r="BT250" s="4438">
        <f t="shared" si="300"/>
        <v>0</v>
      </c>
      <c r="BU250" s="4438">
        <f t="shared" si="301"/>
        <v>0</v>
      </c>
      <c r="BV250" s="4438">
        <f t="shared" si="302"/>
        <v>0</v>
      </c>
      <c r="BW250" s="4438">
        <f t="shared" si="303"/>
        <v>0</v>
      </c>
      <c r="BX250" s="4438">
        <f t="shared" si="304"/>
        <v>0</v>
      </c>
      <c r="BY250" s="4438">
        <f t="shared" si="305"/>
        <v>0</v>
      </c>
    </row>
    <row r="251" spans="1:77" s="1292" customFormat="1">
      <c r="A251" s="2573">
        <v>15</v>
      </c>
      <c r="B251" s="2516" t="s">
        <v>701</v>
      </c>
      <c r="C251" s="2517">
        <v>0.02</v>
      </c>
      <c r="D251" s="2546" t="s">
        <v>419</v>
      </c>
      <c r="E251" s="4387">
        <f>+'11.3. ДА Базова година'!H190</f>
        <v>444</v>
      </c>
      <c r="F251" s="1202">
        <f t="shared" si="310"/>
        <v>467</v>
      </c>
      <c r="G251" s="1198">
        <f t="shared" si="310"/>
        <v>490</v>
      </c>
      <c r="H251" s="1198">
        <f t="shared" si="310"/>
        <v>513</v>
      </c>
      <c r="I251" s="1198">
        <f t="shared" si="310"/>
        <v>535.86</v>
      </c>
      <c r="J251" s="1198">
        <f t="shared" si="310"/>
        <v>558.72</v>
      </c>
      <c r="K251" s="1203">
        <f t="shared" si="310"/>
        <v>581.58000000000004</v>
      </c>
      <c r="L251" s="4387">
        <f>+'11.3. ДА Базова година'!L190</f>
        <v>0</v>
      </c>
      <c r="M251" s="1202">
        <f t="shared" si="311"/>
        <v>0</v>
      </c>
      <c r="N251" s="1198">
        <f t="shared" si="311"/>
        <v>0</v>
      </c>
      <c r="O251" s="1198">
        <f t="shared" si="311"/>
        <v>0</v>
      </c>
      <c r="P251" s="1198">
        <f t="shared" si="311"/>
        <v>0</v>
      </c>
      <c r="Q251" s="1198">
        <f t="shared" si="311"/>
        <v>0</v>
      </c>
      <c r="R251" s="1203">
        <f t="shared" si="311"/>
        <v>0</v>
      </c>
      <c r="S251" s="4387">
        <f>+'11.3. ДА Базова година'!P190</f>
        <v>0</v>
      </c>
      <c r="T251" s="1202">
        <f t="shared" si="312"/>
        <v>0</v>
      </c>
      <c r="U251" s="1198">
        <f t="shared" si="312"/>
        <v>0</v>
      </c>
      <c r="V251" s="1198">
        <f t="shared" si="312"/>
        <v>0</v>
      </c>
      <c r="W251" s="1198">
        <f t="shared" si="312"/>
        <v>0</v>
      </c>
      <c r="X251" s="1198">
        <f t="shared" si="312"/>
        <v>0</v>
      </c>
      <c r="Y251" s="1203">
        <f t="shared" si="312"/>
        <v>0</v>
      </c>
      <c r="Z251" s="4387">
        <f>+'11.3. ДА Базова година'!T190</f>
        <v>0</v>
      </c>
      <c r="AA251" s="1202">
        <f t="shared" si="313"/>
        <v>0</v>
      </c>
      <c r="AB251" s="1198">
        <f t="shared" si="313"/>
        <v>0</v>
      </c>
      <c r="AC251" s="1198">
        <f t="shared" si="313"/>
        <v>0</v>
      </c>
      <c r="AD251" s="1198">
        <f t="shared" si="313"/>
        <v>0</v>
      </c>
      <c r="AE251" s="1198">
        <f t="shared" si="313"/>
        <v>0</v>
      </c>
      <c r="AF251" s="1203">
        <f t="shared" si="313"/>
        <v>0</v>
      </c>
      <c r="AG251" s="4387">
        <f>+'11.3. ДА Базова година'!X190</f>
        <v>0</v>
      </c>
      <c r="AH251" s="1202">
        <f t="shared" si="314"/>
        <v>0</v>
      </c>
      <c r="AI251" s="1198">
        <f t="shared" si="314"/>
        <v>0</v>
      </c>
      <c r="AJ251" s="1198">
        <f t="shared" si="314"/>
        <v>0</v>
      </c>
      <c r="AK251" s="1198">
        <f t="shared" si="314"/>
        <v>0</v>
      </c>
      <c r="AL251" s="1198">
        <f t="shared" si="314"/>
        <v>0</v>
      </c>
      <c r="AM251" s="1203">
        <f t="shared" si="314"/>
        <v>0</v>
      </c>
      <c r="AN251" s="2513"/>
      <c r="AO251" s="2551"/>
      <c r="AP251" s="4422"/>
      <c r="AQ251" s="4438">
        <f t="shared" si="271"/>
        <v>227.01359525112102</v>
      </c>
      <c r="AR251" s="4438">
        <f t="shared" si="272"/>
        <v>238.77330851863402</v>
      </c>
      <c r="AS251" s="4438">
        <f t="shared" si="273"/>
        <v>250.53302178614706</v>
      </c>
      <c r="AT251" s="4438">
        <f t="shared" si="274"/>
        <v>262.29273505366007</v>
      </c>
      <c r="AU251" s="4438">
        <f t="shared" si="275"/>
        <v>273.98086745780563</v>
      </c>
      <c r="AV251" s="4438">
        <f t="shared" si="276"/>
        <v>285.66899986195119</v>
      </c>
      <c r="AW251" s="4438">
        <f t="shared" si="277"/>
        <v>297.35713226609676</v>
      </c>
      <c r="AX251" s="4438">
        <f t="shared" si="278"/>
        <v>0</v>
      </c>
      <c r="AY251" s="4438">
        <f t="shared" si="279"/>
        <v>0</v>
      </c>
      <c r="AZ251" s="4438">
        <f t="shared" si="280"/>
        <v>0</v>
      </c>
      <c r="BA251" s="4438">
        <f t="shared" si="281"/>
        <v>0</v>
      </c>
      <c r="BB251" s="4438">
        <f t="shared" si="282"/>
        <v>0</v>
      </c>
      <c r="BC251" s="4438">
        <f t="shared" si="283"/>
        <v>0</v>
      </c>
      <c r="BD251" s="4438">
        <f t="shared" si="284"/>
        <v>0</v>
      </c>
      <c r="BE251" s="4438">
        <f t="shared" si="285"/>
        <v>0</v>
      </c>
      <c r="BF251" s="4438">
        <f t="shared" si="286"/>
        <v>0</v>
      </c>
      <c r="BG251" s="4438">
        <f t="shared" si="287"/>
        <v>0</v>
      </c>
      <c r="BH251" s="4438">
        <f t="shared" si="288"/>
        <v>0</v>
      </c>
      <c r="BI251" s="4438">
        <f t="shared" si="289"/>
        <v>0</v>
      </c>
      <c r="BJ251" s="4438">
        <f t="shared" si="290"/>
        <v>0</v>
      </c>
      <c r="BK251" s="4438">
        <f t="shared" si="291"/>
        <v>0</v>
      </c>
      <c r="BL251" s="4438">
        <f t="shared" si="292"/>
        <v>0</v>
      </c>
      <c r="BM251" s="4438">
        <f t="shared" si="293"/>
        <v>0</v>
      </c>
      <c r="BN251" s="4438">
        <f t="shared" si="294"/>
        <v>0</v>
      </c>
      <c r="BO251" s="4438">
        <f t="shared" si="295"/>
        <v>0</v>
      </c>
      <c r="BP251" s="4438">
        <f t="shared" si="296"/>
        <v>0</v>
      </c>
      <c r="BQ251" s="4438">
        <f t="shared" si="297"/>
        <v>0</v>
      </c>
      <c r="BR251" s="4438">
        <f t="shared" si="298"/>
        <v>0</v>
      </c>
      <c r="BS251" s="4438">
        <f t="shared" si="299"/>
        <v>0</v>
      </c>
      <c r="BT251" s="4438">
        <f t="shared" si="300"/>
        <v>0</v>
      </c>
      <c r="BU251" s="4438">
        <f t="shared" si="301"/>
        <v>0</v>
      </c>
      <c r="BV251" s="4438">
        <f t="shared" si="302"/>
        <v>0</v>
      </c>
      <c r="BW251" s="4438">
        <f t="shared" si="303"/>
        <v>0</v>
      </c>
      <c r="BX251" s="4438">
        <f t="shared" si="304"/>
        <v>0</v>
      </c>
      <c r="BY251" s="4438">
        <f t="shared" si="305"/>
        <v>0</v>
      </c>
    </row>
    <row r="252" spans="1:77" s="1292" customFormat="1">
      <c r="A252" s="2573">
        <v>16</v>
      </c>
      <c r="B252" s="2516" t="s">
        <v>702</v>
      </c>
      <c r="C252" s="2517">
        <v>0.02</v>
      </c>
      <c r="D252" s="2547" t="s">
        <v>420</v>
      </c>
      <c r="E252" s="4387">
        <f>+'11.3. ДА Базова година'!H191</f>
        <v>14584</v>
      </c>
      <c r="F252" s="1202">
        <f t="shared" si="310"/>
        <v>15956</v>
      </c>
      <c r="G252" s="1198">
        <f t="shared" si="310"/>
        <v>17328</v>
      </c>
      <c r="H252" s="1198">
        <f t="shared" si="310"/>
        <v>18700</v>
      </c>
      <c r="I252" s="1198">
        <f t="shared" si="310"/>
        <v>20072</v>
      </c>
      <c r="J252" s="1198">
        <f t="shared" si="310"/>
        <v>21444</v>
      </c>
      <c r="K252" s="1203">
        <f t="shared" si="310"/>
        <v>22816</v>
      </c>
      <c r="L252" s="4387">
        <f>+'11.3. ДА Базова година'!L191</f>
        <v>0</v>
      </c>
      <c r="M252" s="1202">
        <f t="shared" si="311"/>
        <v>0</v>
      </c>
      <c r="N252" s="1198">
        <f t="shared" si="311"/>
        <v>0</v>
      </c>
      <c r="O252" s="1198">
        <f t="shared" si="311"/>
        <v>0</v>
      </c>
      <c r="P252" s="1198">
        <f t="shared" si="311"/>
        <v>0</v>
      </c>
      <c r="Q252" s="1198">
        <f t="shared" si="311"/>
        <v>0</v>
      </c>
      <c r="R252" s="1203">
        <f t="shared" si="311"/>
        <v>0</v>
      </c>
      <c r="S252" s="4387">
        <f>+'11.3. ДА Базова година'!P191</f>
        <v>0</v>
      </c>
      <c r="T252" s="1202">
        <f t="shared" si="312"/>
        <v>0</v>
      </c>
      <c r="U252" s="1198">
        <f t="shared" si="312"/>
        <v>0</v>
      </c>
      <c r="V252" s="1198">
        <f t="shared" si="312"/>
        <v>0</v>
      </c>
      <c r="W252" s="1198">
        <f t="shared" si="312"/>
        <v>0</v>
      </c>
      <c r="X252" s="1198">
        <f t="shared" si="312"/>
        <v>0</v>
      </c>
      <c r="Y252" s="1203">
        <f t="shared" si="312"/>
        <v>0</v>
      </c>
      <c r="Z252" s="4387">
        <f>+'11.3. ДА Базова година'!T191</f>
        <v>0</v>
      </c>
      <c r="AA252" s="1202">
        <f t="shared" si="313"/>
        <v>0</v>
      </c>
      <c r="AB252" s="1198">
        <f t="shared" si="313"/>
        <v>0</v>
      </c>
      <c r="AC252" s="1198">
        <f t="shared" si="313"/>
        <v>0</v>
      </c>
      <c r="AD252" s="1198">
        <f t="shared" si="313"/>
        <v>0</v>
      </c>
      <c r="AE252" s="1198">
        <f t="shared" si="313"/>
        <v>0</v>
      </c>
      <c r="AF252" s="1203">
        <f t="shared" si="313"/>
        <v>0</v>
      </c>
      <c r="AG252" s="4387">
        <f>+'11.3. ДА Базова година'!X191</f>
        <v>0</v>
      </c>
      <c r="AH252" s="1202">
        <f t="shared" si="314"/>
        <v>0</v>
      </c>
      <c r="AI252" s="1198">
        <f t="shared" si="314"/>
        <v>0</v>
      </c>
      <c r="AJ252" s="1198">
        <f t="shared" si="314"/>
        <v>0</v>
      </c>
      <c r="AK252" s="1198">
        <f t="shared" si="314"/>
        <v>0</v>
      </c>
      <c r="AL252" s="1198">
        <f t="shared" si="314"/>
        <v>0</v>
      </c>
      <c r="AM252" s="1203">
        <f t="shared" si="314"/>
        <v>0</v>
      </c>
      <c r="AN252" s="2513"/>
      <c r="AO252" s="2551"/>
      <c r="AP252" s="4422"/>
      <c r="AQ252" s="4438">
        <f t="shared" si="271"/>
        <v>7456.6807953656507</v>
      </c>
      <c r="AR252" s="4438">
        <f t="shared" si="272"/>
        <v>8158.173256366862</v>
      </c>
      <c r="AS252" s="4438">
        <f t="shared" si="273"/>
        <v>8859.6657173680742</v>
      </c>
      <c r="AT252" s="4438">
        <f t="shared" si="274"/>
        <v>9561.1581783692855</v>
      </c>
      <c r="AU252" s="4438">
        <f t="shared" si="275"/>
        <v>10262.650639370499</v>
      </c>
      <c r="AV252" s="4438">
        <f t="shared" si="276"/>
        <v>10964.14310037171</v>
      </c>
      <c r="AW252" s="4438">
        <f t="shared" si="277"/>
        <v>11665.635561372921</v>
      </c>
      <c r="AX252" s="4438">
        <f t="shared" si="278"/>
        <v>0</v>
      </c>
      <c r="AY252" s="4438">
        <f t="shared" si="279"/>
        <v>0</v>
      </c>
      <c r="AZ252" s="4438">
        <f t="shared" si="280"/>
        <v>0</v>
      </c>
      <c r="BA252" s="4438">
        <f t="shared" si="281"/>
        <v>0</v>
      </c>
      <c r="BB252" s="4438">
        <f t="shared" si="282"/>
        <v>0</v>
      </c>
      <c r="BC252" s="4438">
        <f t="shared" si="283"/>
        <v>0</v>
      </c>
      <c r="BD252" s="4438">
        <f t="shared" si="284"/>
        <v>0</v>
      </c>
      <c r="BE252" s="4438">
        <f t="shared" si="285"/>
        <v>0</v>
      </c>
      <c r="BF252" s="4438">
        <f t="shared" si="286"/>
        <v>0</v>
      </c>
      <c r="BG252" s="4438">
        <f t="shared" si="287"/>
        <v>0</v>
      </c>
      <c r="BH252" s="4438">
        <f t="shared" si="288"/>
        <v>0</v>
      </c>
      <c r="BI252" s="4438">
        <f t="shared" si="289"/>
        <v>0</v>
      </c>
      <c r="BJ252" s="4438">
        <f t="shared" si="290"/>
        <v>0</v>
      </c>
      <c r="BK252" s="4438">
        <f t="shared" si="291"/>
        <v>0</v>
      </c>
      <c r="BL252" s="4438">
        <f t="shared" si="292"/>
        <v>0</v>
      </c>
      <c r="BM252" s="4438">
        <f t="shared" si="293"/>
        <v>0</v>
      </c>
      <c r="BN252" s="4438">
        <f t="shared" si="294"/>
        <v>0</v>
      </c>
      <c r="BO252" s="4438">
        <f t="shared" si="295"/>
        <v>0</v>
      </c>
      <c r="BP252" s="4438">
        <f t="shared" si="296"/>
        <v>0</v>
      </c>
      <c r="BQ252" s="4438">
        <f t="shared" si="297"/>
        <v>0</v>
      </c>
      <c r="BR252" s="4438">
        <f t="shared" si="298"/>
        <v>0</v>
      </c>
      <c r="BS252" s="4438">
        <f t="shared" si="299"/>
        <v>0</v>
      </c>
      <c r="BT252" s="4438">
        <f t="shared" si="300"/>
        <v>0</v>
      </c>
      <c r="BU252" s="4438">
        <f t="shared" si="301"/>
        <v>0</v>
      </c>
      <c r="BV252" s="4438">
        <f t="shared" si="302"/>
        <v>0</v>
      </c>
      <c r="BW252" s="4438">
        <f t="shared" si="303"/>
        <v>0</v>
      </c>
      <c r="BX252" s="4438">
        <f t="shared" si="304"/>
        <v>0</v>
      </c>
      <c r="BY252" s="4438">
        <f t="shared" si="305"/>
        <v>0</v>
      </c>
    </row>
    <row r="253" spans="1:77" s="1292" customFormat="1">
      <c r="A253" s="2573">
        <v>17</v>
      </c>
      <c r="B253" s="2516" t="s">
        <v>703</v>
      </c>
      <c r="C253" s="2517">
        <v>0.02</v>
      </c>
      <c r="D253" s="2552" t="s">
        <v>421</v>
      </c>
      <c r="E253" s="4387">
        <f>+'11.3. ДА Базова година'!H192</f>
        <v>0</v>
      </c>
      <c r="F253" s="1202">
        <f t="shared" ref="F253:K257" si="315">E253+F231</f>
        <v>0</v>
      </c>
      <c r="G253" s="1198">
        <f t="shared" si="315"/>
        <v>0</v>
      </c>
      <c r="H253" s="1198">
        <f t="shared" si="315"/>
        <v>0</v>
      </c>
      <c r="I253" s="1198">
        <f t="shared" si="315"/>
        <v>0</v>
      </c>
      <c r="J253" s="1198">
        <f t="shared" si="315"/>
        <v>0</v>
      </c>
      <c r="K253" s="1203">
        <f t="shared" si="315"/>
        <v>0</v>
      </c>
      <c r="L253" s="4387">
        <f>+'11.3. ДА Базова година'!L192</f>
        <v>15603</v>
      </c>
      <c r="M253" s="1202">
        <f t="shared" ref="M253:R257" si="316">L253+M231</f>
        <v>17498</v>
      </c>
      <c r="N253" s="1198">
        <f t="shared" si="316"/>
        <v>19393</v>
      </c>
      <c r="O253" s="1198">
        <f t="shared" si="316"/>
        <v>21288</v>
      </c>
      <c r="P253" s="1198">
        <f t="shared" si="316"/>
        <v>23183</v>
      </c>
      <c r="Q253" s="1198">
        <f t="shared" si="316"/>
        <v>25078</v>
      </c>
      <c r="R253" s="1203">
        <f t="shared" si="316"/>
        <v>26973</v>
      </c>
      <c r="S253" s="4387">
        <f>+'11.3. ДА Базова година'!P192</f>
        <v>11319</v>
      </c>
      <c r="T253" s="1202">
        <f t="shared" ref="T253:Y257" si="317">S253+T231</f>
        <v>13011</v>
      </c>
      <c r="U253" s="1198">
        <f t="shared" si="317"/>
        <v>14703</v>
      </c>
      <c r="V253" s="1198">
        <f t="shared" si="317"/>
        <v>16395</v>
      </c>
      <c r="W253" s="1198">
        <f t="shared" si="317"/>
        <v>18087</v>
      </c>
      <c r="X253" s="1198">
        <f t="shared" si="317"/>
        <v>19779</v>
      </c>
      <c r="Y253" s="1203">
        <f t="shared" si="317"/>
        <v>21471</v>
      </c>
      <c r="Z253" s="4387">
        <f>+'11.3. ДА Базова година'!T192</f>
        <v>0</v>
      </c>
      <c r="AA253" s="1202">
        <f t="shared" ref="AA253:AF257" si="318">Z253+AA231</f>
        <v>0</v>
      </c>
      <c r="AB253" s="1198">
        <f t="shared" si="318"/>
        <v>0</v>
      </c>
      <c r="AC253" s="1198">
        <f t="shared" si="318"/>
        <v>0</v>
      </c>
      <c r="AD253" s="1198">
        <f t="shared" si="318"/>
        <v>0</v>
      </c>
      <c r="AE253" s="1198">
        <f t="shared" si="318"/>
        <v>0</v>
      </c>
      <c r="AF253" s="1203">
        <f t="shared" si="318"/>
        <v>0</v>
      </c>
      <c r="AG253" s="4387">
        <f>+'11.3. ДА Базова година'!X192</f>
        <v>0</v>
      </c>
      <c r="AH253" s="1202">
        <f t="shared" ref="AH253:AM257" si="319">AG253+AH231</f>
        <v>0</v>
      </c>
      <c r="AI253" s="1198">
        <f t="shared" si="319"/>
        <v>0</v>
      </c>
      <c r="AJ253" s="1198">
        <f t="shared" si="319"/>
        <v>0</v>
      </c>
      <c r="AK253" s="1198">
        <f t="shared" si="319"/>
        <v>0</v>
      </c>
      <c r="AL253" s="1198">
        <f t="shared" si="319"/>
        <v>0</v>
      </c>
      <c r="AM253" s="1203">
        <f t="shared" si="319"/>
        <v>0</v>
      </c>
      <c r="AN253" s="2513"/>
      <c r="AO253" s="2551"/>
      <c r="AP253" s="4422"/>
      <c r="AQ253" s="4438">
        <f t="shared" si="271"/>
        <v>0</v>
      </c>
      <c r="AR253" s="4438">
        <f t="shared" si="272"/>
        <v>0</v>
      </c>
      <c r="AS253" s="4438">
        <f t="shared" si="273"/>
        <v>0</v>
      </c>
      <c r="AT253" s="4438">
        <f t="shared" si="274"/>
        <v>0</v>
      </c>
      <c r="AU253" s="4438">
        <f t="shared" si="275"/>
        <v>0</v>
      </c>
      <c r="AV253" s="4438">
        <f t="shared" si="276"/>
        <v>0</v>
      </c>
      <c r="AW253" s="4438">
        <f t="shared" si="277"/>
        <v>0</v>
      </c>
      <c r="AX253" s="4438">
        <f t="shared" si="278"/>
        <v>7977.6872223045975</v>
      </c>
      <c r="AY253" s="4438">
        <f t="shared" si="279"/>
        <v>8946.5853371714311</v>
      </c>
      <c r="AZ253" s="4438">
        <f t="shared" si="280"/>
        <v>9915.4834520382647</v>
      </c>
      <c r="BA253" s="4438">
        <f t="shared" si="281"/>
        <v>10884.3815669051</v>
      </c>
      <c r="BB253" s="4438">
        <f t="shared" si="282"/>
        <v>11853.279681771934</v>
      </c>
      <c r="BC253" s="4438">
        <f t="shared" si="283"/>
        <v>12822.177796638767</v>
      </c>
      <c r="BD253" s="4438">
        <f t="shared" si="284"/>
        <v>13791.075911505601</v>
      </c>
      <c r="BE253" s="4438">
        <f t="shared" si="285"/>
        <v>5787.3128032599971</v>
      </c>
      <c r="BF253" s="4438">
        <f t="shared" si="286"/>
        <v>6652.4186662439988</v>
      </c>
      <c r="BG253" s="4438">
        <f t="shared" si="287"/>
        <v>7517.5245292280006</v>
      </c>
      <c r="BH253" s="4438">
        <f t="shared" si="288"/>
        <v>8382.6303922120023</v>
      </c>
      <c r="BI253" s="4438">
        <f t="shared" si="289"/>
        <v>9247.7362551960032</v>
      </c>
      <c r="BJ253" s="4438">
        <f t="shared" si="290"/>
        <v>10112.842118180006</v>
      </c>
      <c r="BK253" s="4438">
        <f t="shared" si="291"/>
        <v>10977.947981164007</v>
      </c>
      <c r="BL253" s="4438">
        <f t="shared" si="292"/>
        <v>0</v>
      </c>
      <c r="BM253" s="4438">
        <f t="shared" si="293"/>
        <v>0</v>
      </c>
      <c r="BN253" s="4438">
        <f t="shared" si="294"/>
        <v>0</v>
      </c>
      <c r="BO253" s="4438">
        <f t="shared" si="295"/>
        <v>0</v>
      </c>
      <c r="BP253" s="4438">
        <f t="shared" si="296"/>
        <v>0</v>
      </c>
      <c r="BQ253" s="4438">
        <f t="shared" si="297"/>
        <v>0</v>
      </c>
      <c r="BR253" s="4438">
        <f t="shared" si="298"/>
        <v>0</v>
      </c>
      <c r="BS253" s="4438">
        <f t="shared" si="299"/>
        <v>0</v>
      </c>
      <c r="BT253" s="4438">
        <f t="shared" si="300"/>
        <v>0</v>
      </c>
      <c r="BU253" s="4438">
        <f t="shared" si="301"/>
        <v>0</v>
      </c>
      <c r="BV253" s="4438">
        <f t="shared" si="302"/>
        <v>0</v>
      </c>
      <c r="BW253" s="4438">
        <f t="shared" si="303"/>
        <v>0</v>
      </c>
      <c r="BX253" s="4438">
        <f t="shared" si="304"/>
        <v>0</v>
      </c>
      <c r="BY253" s="4438">
        <f t="shared" si="305"/>
        <v>0</v>
      </c>
    </row>
    <row r="254" spans="1:77" s="1292" customFormat="1" ht="24">
      <c r="A254" s="2573">
        <v>18</v>
      </c>
      <c r="B254" s="2516" t="s">
        <v>704</v>
      </c>
      <c r="C254" s="2517">
        <v>0.04</v>
      </c>
      <c r="D254" s="2552" t="s">
        <v>422</v>
      </c>
      <c r="E254" s="4387">
        <f>+'11.3. ДА Базова година'!H193</f>
        <v>188</v>
      </c>
      <c r="F254" s="1202">
        <f t="shared" si="315"/>
        <v>206</v>
      </c>
      <c r="G254" s="1198">
        <f t="shared" si="315"/>
        <v>224</v>
      </c>
      <c r="H254" s="1198">
        <f t="shared" si="315"/>
        <v>242</v>
      </c>
      <c r="I254" s="1198">
        <f t="shared" si="315"/>
        <v>260</v>
      </c>
      <c r="J254" s="1198">
        <f t="shared" si="315"/>
        <v>278</v>
      </c>
      <c r="K254" s="1203">
        <f t="shared" si="315"/>
        <v>296</v>
      </c>
      <c r="L254" s="4387">
        <f>+'11.3. ДА Базова година'!L193</f>
        <v>0</v>
      </c>
      <c r="M254" s="1202">
        <f t="shared" si="316"/>
        <v>0</v>
      </c>
      <c r="N254" s="1198">
        <f t="shared" si="316"/>
        <v>0</v>
      </c>
      <c r="O254" s="1198">
        <f t="shared" si="316"/>
        <v>0</v>
      </c>
      <c r="P254" s="1198">
        <f t="shared" si="316"/>
        <v>0</v>
      </c>
      <c r="Q254" s="1198">
        <f t="shared" si="316"/>
        <v>0</v>
      </c>
      <c r="R254" s="1203">
        <f t="shared" si="316"/>
        <v>0</v>
      </c>
      <c r="S254" s="4387">
        <f>+'11.3. ДА Базова година'!P193</f>
        <v>0</v>
      </c>
      <c r="T254" s="1202">
        <f t="shared" si="317"/>
        <v>0</v>
      </c>
      <c r="U254" s="1198">
        <f t="shared" si="317"/>
        <v>0</v>
      </c>
      <c r="V254" s="1198">
        <f t="shared" si="317"/>
        <v>0</v>
      </c>
      <c r="W254" s="1198">
        <f t="shared" si="317"/>
        <v>0</v>
      </c>
      <c r="X254" s="1198">
        <f t="shared" si="317"/>
        <v>0</v>
      </c>
      <c r="Y254" s="1203">
        <f t="shared" si="317"/>
        <v>0</v>
      </c>
      <c r="Z254" s="4387">
        <f>+'11.3. ДА Базова година'!T193</f>
        <v>0</v>
      </c>
      <c r="AA254" s="1202">
        <f t="shared" si="318"/>
        <v>0</v>
      </c>
      <c r="AB254" s="1198">
        <f t="shared" si="318"/>
        <v>0</v>
      </c>
      <c r="AC254" s="1198">
        <f t="shared" si="318"/>
        <v>0</v>
      </c>
      <c r="AD254" s="1198">
        <f t="shared" si="318"/>
        <v>0</v>
      </c>
      <c r="AE254" s="1198">
        <f t="shared" si="318"/>
        <v>0</v>
      </c>
      <c r="AF254" s="1203">
        <f t="shared" si="318"/>
        <v>0</v>
      </c>
      <c r="AG254" s="4387">
        <f>+'11.3. ДА Базова година'!X193</f>
        <v>0</v>
      </c>
      <c r="AH254" s="1202">
        <f t="shared" si="319"/>
        <v>0</v>
      </c>
      <c r="AI254" s="1198">
        <f t="shared" si="319"/>
        <v>0</v>
      </c>
      <c r="AJ254" s="1198">
        <f t="shared" si="319"/>
        <v>0</v>
      </c>
      <c r="AK254" s="1198">
        <f t="shared" si="319"/>
        <v>0</v>
      </c>
      <c r="AL254" s="1198">
        <f t="shared" si="319"/>
        <v>0</v>
      </c>
      <c r="AM254" s="1203">
        <f t="shared" si="319"/>
        <v>0</v>
      </c>
      <c r="AN254" s="2513"/>
      <c r="AO254" s="2551"/>
      <c r="AP254" s="4422"/>
      <c r="AQ254" s="4438">
        <f t="shared" si="271"/>
        <v>96.12287366488907</v>
      </c>
      <c r="AR254" s="4438">
        <f t="shared" si="272"/>
        <v>105.326127526421</v>
      </c>
      <c r="AS254" s="4438">
        <f t="shared" si="273"/>
        <v>114.52938138795294</v>
      </c>
      <c r="AT254" s="4438">
        <f t="shared" si="274"/>
        <v>123.73263524948487</v>
      </c>
      <c r="AU254" s="4438">
        <f t="shared" si="275"/>
        <v>132.93588911101682</v>
      </c>
      <c r="AV254" s="4438">
        <f t="shared" si="276"/>
        <v>142.13914297254874</v>
      </c>
      <c r="AW254" s="4438">
        <f t="shared" si="277"/>
        <v>151.34239683408069</v>
      </c>
      <c r="AX254" s="4438">
        <f t="shared" si="278"/>
        <v>0</v>
      </c>
      <c r="AY254" s="4438">
        <f t="shared" si="279"/>
        <v>0</v>
      </c>
      <c r="AZ254" s="4438">
        <f t="shared" si="280"/>
        <v>0</v>
      </c>
      <c r="BA254" s="4438">
        <f t="shared" si="281"/>
        <v>0</v>
      </c>
      <c r="BB254" s="4438">
        <f t="shared" si="282"/>
        <v>0</v>
      </c>
      <c r="BC254" s="4438">
        <f t="shared" si="283"/>
        <v>0</v>
      </c>
      <c r="BD254" s="4438">
        <f t="shared" si="284"/>
        <v>0</v>
      </c>
      <c r="BE254" s="4438">
        <f t="shared" si="285"/>
        <v>0</v>
      </c>
      <c r="BF254" s="4438">
        <f t="shared" si="286"/>
        <v>0</v>
      </c>
      <c r="BG254" s="4438">
        <f t="shared" si="287"/>
        <v>0</v>
      </c>
      <c r="BH254" s="4438">
        <f t="shared" si="288"/>
        <v>0</v>
      </c>
      <c r="BI254" s="4438">
        <f t="shared" si="289"/>
        <v>0</v>
      </c>
      <c r="BJ254" s="4438">
        <f t="shared" si="290"/>
        <v>0</v>
      </c>
      <c r="BK254" s="4438">
        <f t="shared" si="291"/>
        <v>0</v>
      </c>
      <c r="BL254" s="4438">
        <f t="shared" si="292"/>
        <v>0</v>
      </c>
      <c r="BM254" s="4438">
        <f t="shared" si="293"/>
        <v>0</v>
      </c>
      <c r="BN254" s="4438">
        <f t="shared" si="294"/>
        <v>0</v>
      </c>
      <c r="BO254" s="4438">
        <f t="shared" si="295"/>
        <v>0</v>
      </c>
      <c r="BP254" s="4438">
        <f t="shared" si="296"/>
        <v>0</v>
      </c>
      <c r="BQ254" s="4438">
        <f t="shared" si="297"/>
        <v>0</v>
      </c>
      <c r="BR254" s="4438">
        <f t="shared" si="298"/>
        <v>0</v>
      </c>
      <c r="BS254" s="4438">
        <f t="shared" si="299"/>
        <v>0</v>
      </c>
      <c r="BT254" s="4438">
        <f t="shared" si="300"/>
        <v>0</v>
      </c>
      <c r="BU254" s="4438">
        <f t="shared" si="301"/>
        <v>0</v>
      </c>
      <c r="BV254" s="4438">
        <f t="shared" si="302"/>
        <v>0</v>
      </c>
      <c r="BW254" s="4438">
        <f t="shared" si="303"/>
        <v>0</v>
      </c>
      <c r="BX254" s="4438">
        <f t="shared" si="304"/>
        <v>0</v>
      </c>
      <c r="BY254" s="4438">
        <f t="shared" si="305"/>
        <v>0</v>
      </c>
    </row>
    <row r="255" spans="1:77" s="1292" customFormat="1">
      <c r="A255" s="2573">
        <v>19</v>
      </c>
      <c r="B255" s="2516" t="s">
        <v>705</v>
      </c>
      <c r="C255" s="2517">
        <v>0.04</v>
      </c>
      <c r="D255" s="2552" t="s">
        <v>423</v>
      </c>
      <c r="E255" s="4387">
        <f>+'11.3. ДА Базова година'!H194</f>
        <v>56</v>
      </c>
      <c r="F255" s="1202">
        <f t="shared" si="315"/>
        <v>62</v>
      </c>
      <c r="G255" s="1198">
        <f t="shared" si="315"/>
        <v>68</v>
      </c>
      <c r="H255" s="1198">
        <f t="shared" si="315"/>
        <v>74</v>
      </c>
      <c r="I255" s="1198">
        <f t="shared" si="315"/>
        <v>80</v>
      </c>
      <c r="J255" s="1198">
        <f t="shared" si="315"/>
        <v>86</v>
      </c>
      <c r="K255" s="1203">
        <f t="shared" si="315"/>
        <v>92</v>
      </c>
      <c r="L255" s="4387">
        <f>+'11.3. ДА Базова година'!L194</f>
        <v>99</v>
      </c>
      <c r="M255" s="1202">
        <f t="shared" si="316"/>
        <v>111</v>
      </c>
      <c r="N255" s="1198">
        <f t="shared" si="316"/>
        <v>123</v>
      </c>
      <c r="O255" s="1198">
        <f t="shared" si="316"/>
        <v>135</v>
      </c>
      <c r="P255" s="1198">
        <f t="shared" si="316"/>
        <v>147</v>
      </c>
      <c r="Q255" s="1198">
        <f t="shared" si="316"/>
        <v>159</v>
      </c>
      <c r="R255" s="1203">
        <f t="shared" si="316"/>
        <v>171</v>
      </c>
      <c r="S255" s="4387">
        <f>+'11.3. ДА Базова година'!P194</f>
        <v>0</v>
      </c>
      <c r="T255" s="1202">
        <f t="shared" si="317"/>
        <v>0</v>
      </c>
      <c r="U255" s="1198">
        <f t="shared" si="317"/>
        <v>0</v>
      </c>
      <c r="V255" s="1198">
        <f t="shared" si="317"/>
        <v>0</v>
      </c>
      <c r="W255" s="1198">
        <f t="shared" si="317"/>
        <v>0</v>
      </c>
      <c r="X255" s="1198">
        <f t="shared" si="317"/>
        <v>0</v>
      </c>
      <c r="Y255" s="1203">
        <f t="shared" si="317"/>
        <v>0</v>
      </c>
      <c r="Z255" s="4387">
        <f>+'11.3. ДА Базова година'!T194</f>
        <v>0</v>
      </c>
      <c r="AA255" s="1202">
        <f t="shared" si="318"/>
        <v>0</v>
      </c>
      <c r="AB255" s="1198">
        <f t="shared" si="318"/>
        <v>0</v>
      </c>
      <c r="AC255" s="1198">
        <f t="shared" si="318"/>
        <v>0</v>
      </c>
      <c r="AD255" s="1198">
        <f t="shared" si="318"/>
        <v>0</v>
      </c>
      <c r="AE255" s="1198">
        <f t="shared" si="318"/>
        <v>0</v>
      </c>
      <c r="AF255" s="1203">
        <f t="shared" si="318"/>
        <v>0</v>
      </c>
      <c r="AG255" s="4387">
        <f>+'11.3. ДА Базова година'!X194</f>
        <v>0</v>
      </c>
      <c r="AH255" s="1202">
        <f t="shared" si="319"/>
        <v>0</v>
      </c>
      <c r="AI255" s="1198">
        <f t="shared" si="319"/>
        <v>0</v>
      </c>
      <c r="AJ255" s="1198">
        <f t="shared" si="319"/>
        <v>0</v>
      </c>
      <c r="AK255" s="1198">
        <f t="shared" si="319"/>
        <v>0</v>
      </c>
      <c r="AL255" s="1198">
        <f t="shared" si="319"/>
        <v>0</v>
      </c>
      <c r="AM255" s="1203">
        <f t="shared" si="319"/>
        <v>0</v>
      </c>
      <c r="AN255" s="2513"/>
      <c r="AO255" s="2551"/>
      <c r="AP255" s="4422"/>
      <c r="AQ255" s="4438">
        <f t="shared" si="271"/>
        <v>28.632345346988235</v>
      </c>
      <c r="AR255" s="4438">
        <f t="shared" si="272"/>
        <v>31.700096634165547</v>
      </c>
      <c r="AS255" s="4438">
        <f t="shared" si="273"/>
        <v>34.767847921342856</v>
      </c>
      <c r="AT255" s="4438">
        <f t="shared" si="274"/>
        <v>37.835599208520172</v>
      </c>
      <c r="AU255" s="4438">
        <f t="shared" si="275"/>
        <v>40.903350495697481</v>
      </c>
      <c r="AV255" s="4438">
        <f t="shared" si="276"/>
        <v>43.97110178287479</v>
      </c>
      <c r="AW255" s="4438">
        <f t="shared" si="277"/>
        <v>47.038853070052099</v>
      </c>
      <c r="AX255" s="4438">
        <f t="shared" si="278"/>
        <v>50.617896238425629</v>
      </c>
      <c r="AY255" s="4438">
        <f t="shared" si="279"/>
        <v>56.753398812780254</v>
      </c>
      <c r="AZ255" s="4438">
        <f t="shared" si="280"/>
        <v>62.888901387134872</v>
      </c>
      <c r="BA255" s="4438">
        <f t="shared" si="281"/>
        <v>69.024403961489497</v>
      </c>
      <c r="BB255" s="4438">
        <f t="shared" si="282"/>
        <v>75.159906535844115</v>
      </c>
      <c r="BC255" s="4438">
        <f t="shared" si="283"/>
        <v>81.295409110198747</v>
      </c>
      <c r="BD255" s="4438">
        <f t="shared" si="284"/>
        <v>87.430911684553365</v>
      </c>
      <c r="BE255" s="4438">
        <f t="shared" si="285"/>
        <v>0</v>
      </c>
      <c r="BF255" s="4438">
        <f t="shared" si="286"/>
        <v>0</v>
      </c>
      <c r="BG255" s="4438">
        <f t="shared" si="287"/>
        <v>0</v>
      </c>
      <c r="BH255" s="4438">
        <f t="shared" si="288"/>
        <v>0</v>
      </c>
      <c r="BI255" s="4438">
        <f t="shared" si="289"/>
        <v>0</v>
      </c>
      <c r="BJ255" s="4438">
        <f t="shared" si="290"/>
        <v>0</v>
      </c>
      <c r="BK255" s="4438">
        <f t="shared" si="291"/>
        <v>0</v>
      </c>
      <c r="BL255" s="4438">
        <f t="shared" si="292"/>
        <v>0</v>
      </c>
      <c r="BM255" s="4438">
        <f t="shared" si="293"/>
        <v>0</v>
      </c>
      <c r="BN255" s="4438">
        <f t="shared" si="294"/>
        <v>0</v>
      </c>
      <c r="BO255" s="4438">
        <f t="shared" si="295"/>
        <v>0</v>
      </c>
      <c r="BP255" s="4438">
        <f t="shared" si="296"/>
        <v>0</v>
      </c>
      <c r="BQ255" s="4438">
        <f t="shared" si="297"/>
        <v>0</v>
      </c>
      <c r="BR255" s="4438">
        <f t="shared" si="298"/>
        <v>0</v>
      </c>
      <c r="BS255" s="4438">
        <f t="shared" si="299"/>
        <v>0</v>
      </c>
      <c r="BT255" s="4438">
        <f t="shared" si="300"/>
        <v>0</v>
      </c>
      <c r="BU255" s="4438">
        <f t="shared" si="301"/>
        <v>0</v>
      </c>
      <c r="BV255" s="4438">
        <f t="shared" si="302"/>
        <v>0</v>
      </c>
      <c r="BW255" s="4438">
        <f t="shared" si="303"/>
        <v>0</v>
      </c>
      <c r="BX255" s="4438">
        <f t="shared" si="304"/>
        <v>0</v>
      </c>
      <c r="BY255" s="4438">
        <f t="shared" si="305"/>
        <v>0</v>
      </c>
    </row>
    <row r="256" spans="1:77" s="1292" customFormat="1">
      <c r="A256" s="2573">
        <v>20</v>
      </c>
      <c r="B256" s="2516" t="s">
        <v>717</v>
      </c>
      <c r="C256" s="2517">
        <v>0.04</v>
      </c>
      <c r="D256" s="2571" t="s">
        <v>434</v>
      </c>
      <c r="E256" s="4387">
        <f>+'11.3. ДА Базова година'!H195</f>
        <v>127</v>
      </c>
      <c r="F256" s="1202">
        <f t="shared" si="315"/>
        <v>134</v>
      </c>
      <c r="G256" s="1198">
        <f t="shared" si="315"/>
        <v>141</v>
      </c>
      <c r="H256" s="1198">
        <f t="shared" si="315"/>
        <v>148</v>
      </c>
      <c r="I256" s="1198">
        <f t="shared" si="315"/>
        <v>155</v>
      </c>
      <c r="J256" s="1198">
        <f t="shared" si="315"/>
        <v>162</v>
      </c>
      <c r="K256" s="1203">
        <f t="shared" si="315"/>
        <v>169</v>
      </c>
      <c r="L256" s="4387">
        <f>+'11.3. ДА Базова година'!L195</f>
        <v>0</v>
      </c>
      <c r="M256" s="1202">
        <f t="shared" si="316"/>
        <v>0</v>
      </c>
      <c r="N256" s="1198">
        <f t="shared" si="316"/>
        <v>0</v>
      </c>
      <c r="O256" s="1198">
        <f t="shared" si="316"/>
        <v>0</v>
      </c>
      <c r="P256" s="1198">
        <f t="shared" si="316"/>
        <v>0</v>
      </c>
      <c r="Q256" s="1198">
        <f t="shared" si="316"/>
        <v>0</v>
      </c>
      <c r="R256" s="1203">
        <f t="shared" si="316"/>
        <v>0</v>
      </c>
      <c r="S256" s="4387">
        <f>+'11.3. ДА Базова година'!P195</f>
        <v>170</v>
      </c>
      <c r="T256" s="1202">
        <f t="shared" si="317"/>
        <v>198</v>
      </c>
      <c r="U256" s="1198">
        <f t="shared" si="317"/>
        <v>226</v>
      </c>
      <c r="V256" s="1198">
        <f t="shared" si="317"/>
        <v>254</v>
      </c>
      <c r="W256" s="1198">
        <f t="shared" si="317"/>
        <v>282</v>
      </c>
      <c r="X256" s="1198">
        <f t="shared" si="317"/>
        <v>310</v>
      </c>
      <c r="Y256" s="1203">
        <f t="shared" si="317"/>
        <v>338</v>
      </c>
      <c r="Z256" s="4387">
        <f>+'11.3. ДА Базова година'!T195</f>
        <v>0</v>
      </c>
      <c r="AA256" s="1202">
        <f t="shared" si="318"/>
        <v>0</v>
      </c>
      <c r="AB256" s="1198">
        <f t="shared" si="318"/>
        <v>0</v>
      </c>
      <c r="AC256" s="1198">
        <f t="shared" si="318"/>
        <v>0</v>
      </c>
      <c r="AD256" s="1198">
        <f t="shared" si="318"/>
        <v>0</v>
      </c>
      <c r="AE256" s="1198">
        <f t="shared" si="318"/>
        <v>0</v>
      </c>
      <c r="AF256" s="1203">
        <f t="shared" si="318"/>
        <v>0</v>
      </c>
      <c r="AG256" s="4387">
        <f>+'11.3. ДА Базова година'!X195</f>
        <v>0</v>
      </c>
      <c r="AH256" s="1202">
        <f t="shared" si="319"/>
        <v>0</v>
      </c>
      <c r="AI256" s="1198">
        <f t="shared" si="319"/>
        <v>0</v>
      </c>
      <c r="AJ256" s="1198">
        <f t="shared" si="319"/>
        <v>0</v>
      </c>
      <c r="AK256" s="1198">
        <f t="shared" si="319"/>
        <v>0</v>
      </c>
      <c r="AL256" s="1198">
        <f t="shared" si="319"/>
        <v>0</v>
      </c>
      <c r="AM256" s="1203">
        <f t="shared" si="319"/>
        <v>0</v>
      </c>
      <c r="AN256" s="2513"/>
      <c r="AO256" s="2551"/>
      <c r="AP256" s="4422"/>
      <c r="AQ256" s="4438">
        <f t="shared" ref="AQ256:AQ283" si="320">IFERROR(E256/$D$1,0)</f>
        <v>64.934068911919752</v>
      </c>
      <c r="AR256" s="4438">
        <f t="shared" ref="AR256:AR283" si="321">IFERROR(F256/$D$1,0)</f>
        <v>68.513112080293283</v>
      </c>
      <c r="AS256" s="4438">
        <f t="shared" ref="AS256:AS283" si="322">IFERROR(G256/$D$1,0)</f>
        <v>72.092155248666813</v>
      </c>
      <c r="AT256" s="4438">
        <f t="shared" ref="AT256:AT283" si="323">IFERROR(H256/$D$1,0)</f>
        <v>75.671198417040344</v>
      </c>
      <c r="AU256" s="4438">
        <f t="shared" ref="AU256:AU283" si="324">IFERROR(I256/$D$1,0)</f>
        <v>79.25024158541386</v>
      </c>
      <c r="AV256" s="4438">
        <f t="shared" ref="AV256:AV283" si="325">IFERROR(J256/$D$1,0)</f>
        <v>82.829284753787391</v>
      </c>
      <c r="AW256" s="4438">
        <f t="shared" ref="AW256:AW283" si="326">IFERROR(K256/$D$1,0)</f>
        <v>86.408327922160922</v>
      </c>
      <c r="AX256" s="4438">
        <f t="shared" ref="AX256:AX283" si="327">IFERROR(L256/$D$1,0)</f>
        <v>0</v>
      </c>
      <c r="AY256" s="4438">
        <f t="shared" ref="AY256:AY283" si="328">IFERROR(M256/$D$1,0)</f>
        <v>0</v>
      </c>
      <c r="AZ256" s="4438">
        <f t="shared" ref="AZ256:AZ283" si="329">IFERROR(N256/$D$1,0)</f>
        <v>0</v>
      </c>
      <c r="BA256" s="4438">
        <f t="shared" ref="BA256:BA283" si="330">IFERROR(O256/$D$1,0)</f>
        <v>0</v>
      </c>
      <c r="BB256" s="4438">
        <f t="shared" ref="BB256:BB283" si="331">IFERROR(P256/$D$1,0)</f>
        <v>0</v>
      </c>
      <c r="BC256" s="4438">
        <f t="shared" ref="BC256:BC283" si="332">IFERROR(Q256/$D$1,0)</f>
        <v>0</v>
      </c>
      <c r="BD256" s="4438">
        <f t="shared" ref="BD256:BD283" si="333">IFERROR(R256/$D$1,0)</f>
        <v>0</v>
      </c>
      <c r="BE256" s="4438">
        <f t="shared" ref="BE256:BE283" si="334">IFERROR(S256/$D$1,0)</f>
        <v>86.919619803357151</v>
      </c>
      <c r="BF256" s="4438">
        <f t="shared" ref="BF256:BF283" si="335">IFERROR(T256/$D$1,0)</f>
        <v>101.23579247685126</v>
      </c>
      <c r="BG256" s="4438">
        <f t="shared" ref="BG256:BG283" si="336">IFERROR(U256/$D$1,0)</f>
        <v>115.55196515034538</v>
      </c>
      <c r="BH256" s="4438">
        <f t="shared" ref="BH256:BH283" si="337">IFERROR(V256/$D$1,0)</f>
        <v>129.8681378238395</v>
      </c>
      <c r="BI256" s="4438">
        <f t="shared" ref="BI256:BI283" si="338">IFERROR(W256/$D$1,0)</f>
        <v>144.18431049733363</v>
      </c>
      <c r="BJ256" s="4438">
        <f t="shared" ref="BJ256:BJ283" si="339">IFERROR(X256/$D$1,0)</f>
        <v>158.50048317082772</v>
      </c>
      <c r="BK256" s="4438">
        <f t="shared" ref="BK256:BK283" si="340">IFERROR(Y256/$D$1,0)</f>
        <v>172.81665584432184</v>
      </c>
      <c r="BL256" s="4438">
        <f t="shared" ref="BL256:BL283" si="341">IFERROR(Z256/$D$1,0)</f>
        <v>0</v>
      </c>
      <c r="BM256" s="4438">
        <f t="shared" ref="BM256:BM283" si="342">IFERROR(AA256/$D$1,0)</f>
        <v>0</v>
      </c>
      <c r="BN256" s="4438">
        <f t="shared" ref="BN256:BN283" si="343">IFERROR(AB256/$D$1,0)</f>
        <v>0</v>
      </c>
      <c r="BO256" s="4438">
        <f t="shared" ref="BO256:BO283" si="344">IFERROR(AC256/$D$1,0)</f>
        <v>0</v>
      </c>
      <c r="BP256" s="4438">
        <f t="shared" ref="BP256:BP283" si="345">IFERROR(AD256/$D$1,0)</f>
        <v>0</v>
      </c>
      <c r="BQ256" s="4438">
        <f t="shared" ref="BQ256:BQ283" si="346">IFERROR(AE256/$D$1,0)</f>
        <v>0</v>
      </c>
      <c r="BR256" s="4438">
        <f t="shared" ref="BR256:BR283" si="347">IFERROR(AF256/$D$1,0)</f>
        <v>0</v>
      </c>
      <c r="BS256" s="4438">
        <f t="shared" ref="BS256:BS283" si="348">IFERROR(AG256/$D$1,0)</f>
        <v>0</v>
      </c>
      <c r="BT256" s="4438">
        <f t="shared" ref="BT256:BT283" si="349">IFERROR(AH256/$D$1,0)</f>
        <v>0</v>
      </c>
      <c r="BU256" s="4438">
        <f t="shared" ref="BU256:BU283" si="350">IFERROR(AI256/$D$1,0)</f>
        <v>0</v>
      </c>
      <c r="BV256" s="4438">
        <f t="shared" ref="BV256:BV283" si="351">IFERROR(AJ256/$D$1,0)</f>
        <v>0</v>
      </c>
      <c r="BW256" s="4438">
        <f t="shared" ref="BW256:BW283" si="352">IFERROR(AK256/$D$1,0)</f>
        <v>0</v>
      </c>
      <c r="BX256" s="4438">
        <f t="shared" ref="BX256:BX283" si="353">IFERROR(AL256/$D$1,0)</f>
        <v>0</v>
      </c>
      <c r="BY256" s="4438">
        <f t="shared" ref="BY256:BY283" si="354">IFERROR(AM256/$D$1,0)</f>
        <v>0</v>
      </c>
    </row>
    <row r="257" spans="1:77" s="1292" customFormat="1" ht="24.75" thickBot="1">
      <c r="A257" s="2573">
        <v>21</v>
      </c>
      <c r="B257" s="2516" t="s">
        <v>707</v>
      </c>
      <c r="C257" s="2522">
        <v>0.2</v>
      </c>
      <c r="D257" s="2552" t="s">
        <v>679</v>
      </c>
      <c r="E257" s="4387">
        <f>+'11.3. ДА Базова година'!H196</f>
        <v>0</v>
      </c>
      <c r="F257" s="2636">
        <f t="shared" si="315"/>
        <v>0</v>
      </c>
      <c r="G257" s="2637">
        <f t="shared" si="315"/>
        <v>0</v>
      </c>
      <c r="H257" s="2637">
        <f t="shared" si="315"/>
        <v>0</v>
      </c>
      <c r="I257" s="2637">
        <f t="shared" si="315"/>
        <v>0</v>
      </c>
      <c r="J257" s="2637">
        <f t="shared" si="315"/>
        <v>0</v>
      </c>
      <c r="K257" s="2638">
        <f t="shared" si="315"/>
        <v>0</v>
      </c>
      <c r="L257" s="4387">
        <f>+'11.3. ДА Базова година'!L196</f>
        <v>0</v>
      </c>
      <c r="M257" s="2636">
        <f t="shared" si="316"/>
        <v>0</v>
      </c>
      <c r="N257" s="2637">
        <f t="shared" si="316"/>
        <v>0</v>
      </c>
      <c r="O257" s="2637">
        <f t="shared" si="316"/>
        <v>0</v>
      </c>
      <c r="P257" s="2637">
        <f t="shared" si="316"/>
        <v>0</v>
      </c>
      <c r="Q257" s="2637">
        <f t="shared" si="316"/>
        <v>0</v>
      </c>
      <c r="R257" s="2638">
        <f t="shared" si="316"/>
        <v>0</v>
      </c>
      <c r="S257" s="4387">
        <f>+'11.3. ДА Базова година'!P196</f>
        <v>15</v>
      </c>
      <c r="T257" s="2636">
        <f t="shared" si="317"/>
        <v>19</v>
      </c>
      <c r="U257" s="2637">
        <f t="shared" si="317"/>
        <v>23</v>
      </c>
      <c r="V257" s="2637">
        <f t="shared" si="317"/>
        <v>27</v>
      </c>
      <c r="W257" s="2637">
        <f t="shared" si="317"/>
        <v>31</v>
      </c>
      <c r="X257" s="2637">
        <f t="shared" si="317"/>
        <v>35</v>
      </c>
      <c r="Y257" s="2638">
        <f t="shared" si="317"/>
        <v>39</v>
      </c>
      <c r="Z257" s="4387">
        <f>+'11.3. ДА Базова година'!T196</f>
        <v>0</v>
      </c>
      <c r="AA257" s="2636">
        <f t="shared" si="318"/>
        <v>0</v>
      </c>
      <c r="AB257" s="2637">
        <f t="shared" si="318"/>
        <v>0</v>
      </c>
      <c r="AC257" s="2637">
        <f t="shared" si="318"/>
        <v>0</v>
      </c>
      <c r="AD257" s="2637">
        <f t="shared" si="318"/>
        <v>0</v>
      </c>
      <c r="AE257" s="2637">
        <f t="shared" si="318"/>
        <v>0</v>
      </c>
      <c r="AF257" s="2638">
        <f t="shared" si="318"/>
        <v>0</v>
      </c>
      <c r="AG257" s="4387">
        <f>+'11.3. ДА Базова година'!X196</f>
        <v>0</v>
      </c>
      <c r="AH257" s="2636">
        <f t="shared" si="319"/>
        <v>0</v>
      </c>
      <c r="AI257" s="2637">
        <f t="shared" si="319"/>
        <v>0</v>
      </c>
      <c r="AJ257" s="2637">
        <f t="shared" si="319"/>
        <v>0</v>
      </c>
      <c r="AK257" s="2637">
        <f t="shared" si="319"/>
        <v>0</v>
      </c>
      <c r="AL257" s="2637">
        <f t="shared" si="319"/>
        <v>0</v>
      </c>
      <c r="AM257" s="2638">
        <f t="shared" si="319"/>
        <v>0</v>
      </c>
      <c r="AN257" s="2513"/>
      <c r="AO257" s="2551"/>
      <c r="AP257" s="4422"/>
      <c r="AQ257" s="4438">
        <f t="shared" si="320"/>
        <v>0</v>
      </c>
      <c r="AR257" s="4438">
        <f t="shared" si="321"/>
        <v>0</v>
      </c>
      <c r="AS257" s="4438">
        <f t="shared" si="322"/>
        <v>0</v>
      </c>
      <c r="AT257" s="4438">
        <f t="shared" si="323"/>
        <v>0</v>
      </c>
      <c r="AU257" s="4438">
        <f t="shared" si="324"/>
        <v>0</v>
      </c>
      <c r="AV257" s="4438">
        <f t="shared" si="325"/>
        <v>0</v>
      </c>
      <c r="AW257" s="4438">
        <f t="shared" si="326"/>
        <v>0</v>
      </c>
      <c r="AX257" s="4438">
        <f t="shared" si="327"/>
        <v>0</v>
      </c>
      <c r="AY257" s="4438">
        <f t="shared" si="328"/>
        <v>0</v>
      </c>
      <c r="AZ257" s="4438">
        <f t="shared" si="329"/>
        <v>0</v>
      </c>
      <c r="BA257" s="4438">
        <f t="shared" si="330"/>
        <v>0</v>
      </c>
      <c r="BB257" s="4438">
        <f t="shared" si="331"/>
        <v>0</v>
      </c>
      <c r="BC257" s="4438">
        <f t="shared" si="332"/>
        <v>0</v>
      </c>
      <c r="BD257" s="4438">
        <f t="shared" si="333"/>
        <v>0</v>
      </c>
      <c r="BE257" s="4438">
        <f t="shared" si="334"/>
        <v>7.6693782179432777</v>
      </c>
      <c r="BF257" s="4438">
        <f t="shared" si="335"/>
        <v>9.7145457427281521</v>
      </c>
      <c r="BG257" s="4438">
        <f t="shared" si="336"/>
        <v>11.759713267513025</v>
      </c>
      <c r="BH257" s="4438">
        <f t="shared" si="337"/>
        <v>13.804880792297899</v>
      </c>
      <c r="BI257" s="4438">
        <f t="shared" si="338"/>
        <v>15.850048317082774</v>
      </c>
      <c r="BJ257" s="4438">
        <f t="shared" si="339"/>
        <v>17.895215841867646</v>
      </c>
      <c r="BK257" s="4438">
        <f t="shared" si="340"/>
        <v>19.940383366652522</v>
      </c>
      <c r="BL257" s="4438">
        <f t="shared" si="341"/>
        <v>0</v>
      </c>
      <c r="BM257" s="4438">
        <f t="shared" si="342"/>
        <v>0</v>
      </c>
      <c r="BN257" s="4438">
        <f t="shared" si="343"/>
        <v>0</v>
      </c>
      <c r="BO257" s="4438">
        <f t="shared" si="344"/>
        <v>0</v>
      </c>
      <c r="BP257" s="4438">
        <f t="shared" si="345"/>
        <v>0</v>
      </c>
      <c r="BQ257" s="4438">
        <f t="shared" si="346"/>
        <v>0</v>
      </c>
      <c r="BR257" s="4438">
        <f t="shared" si="347"/>
        <v>0</v>
      </c>
      <c r="BS257" s="4438">
        <f t="shared" si="348"/>
        <v>0</v>
      </c>
      <c r="BT257" s="4438">
        <f t="shared" si="349"/>
        <v>0</v>
      </c>
      <c r="BU257" s="4438">
        <f t="shared" si="350"/>
        <v>0</v>
      </c>
      <c r="BV257" s="4438">
        <f t="shared" si="351"/>
        <v>0</v>
      </c>
      <c r="BW257" s="4438">
        <f t="shared" si="352"/>
        <v>0</v>
      </c>
      <c r="BX257" s="4438">
        <f t="shared" si="353"/>
        <v>0</v>
      </c>
      <c r="BY257" s="4438">
        <f t="shared" si="354"/>
        <v>0</v>
      </c>
    </row>
    <row r="258" spans="1:77" s="1292" customFormat="1" ht="13.5" thickBot="1">
      <c r="A258" s="3685" t="s">
        <v>221</v>
      </c>
      <c r="B258" s="2539"/>
      <c r="C258" s="2539"/>
      <c r="D258" s="2502" t="s">
        <v>222</v>
      </c>
      <c r="E258" s="1220">
        <f t="shared" ref="E258" si="355">SUM(E259:E279)</f>
        <v>70382</v>
      </c>
      <c r="F258" s="2632">
        <f t="shared" ref="F258:AM258" si="356">SUM(F259:F279)</f>
        <v>68153</v>
      </c>
      <c r="G258" s="1121">
        <f t="shared" si="356"/>
        <v>65924</v>
      </c>
      <c r="H258" s="1121">
        <f t="shared" si="356"/>
        <v>63698.79</v>
      </c>
      <c r="I258" s="1122">
        <f t="shared" si="356"/>
        <v>61488.22</v>
      </c>
      <c r="J258" s="1121">
        <f t="shared" si="356"/>
        <v>59280.45</v>
      </c>
      <c r="K258" s="1121">
        <f t="shared" si="356"/>
        <v>57072.68</v>
      </c>
      <c r="L258" s="1220">
        <f t="shared" si="356"/>
        <v>82993</v>
      </c>
      <c r="M258" s="2632">
        <f t="shared" si="356"/>
        <v>81053</v>
      </c>
      <c r="N258" s="1121">
        <f t="shared" si="356"/>
        <v>79113</v>
      </c>
      <c r="O258" s="1121">
        <f t="shared" si="356"/>
        <v>77173</v>
      </c>
      <c r="P258" s="1122">
        <f t="shared" si="356"/>
        <v>75233</v>
      </c>
      <c r="Q258" s="1121">
        <f t="shared" si="356"/>
        <v>73293</v>
      </c>
      <c r="R258" s="1121">
        <f t="shared" si="356"/>
        <v>71353</v>
      </c>
      <c r="S258" s="1220">
        <f t="shared" si="356"/>
        <v>45592</v>
      </c>
      <c r="T258" s="2632">
        <f t="shared" si="356"/>
        <v>41757</v>
      </c>
      <c r="U258" s="1121">
        <f t="shared" si="356"/>
        <v>37922</v>
      </c>
      <c r="V258" s="1121">
        <f t="shared" si="356"/>
        <v>34087</v>
      </c>
      <c r="W258" s="1122">
        <f t="shared" si="356"/>
        <v>30252</v>
      </c>
      <c r="X258" s="1121">
        <f t="shared" si="356"/>
        <v>26417</v>
      </c>
      <c r="Y258" s="2633">
        <f t="shared" si="356"/>
        <v>22582</v>
      </c>
      <c r="Z258" s="1220">
        <f t="shared" si="356"/>
        <v>0</v>
      </c>
      <c r="AA258" s="2632">
        <f t="shared" si="356"/>
        <v>0</v>
      </c>
      <c r="AB258" s="1121">
        <f t="shared" si="356"/>
        <v>0</v>
      </c>
      <c r="AC258" s="1121">
        <f t="shared" si="356"/>
        <v>0</v>
      </c>
      <c r="AD258" s="1122">
        <f t="shared" si="356"/>
        <v>0</v>
      </c>
      <c r="AE258" s="1121">
        <f t="shared" si="356"/>
        <v>0</v>
      </c>
      <c r="AF258" s="2633">
        <f t="shared" si="356"/>
        <v>0</v>
      </c>
      <c r="AG258" s="1220">
        <f t="shared" si="356"/>
        <v>0</v>
      </c>
      <c r="AH258" s="2632">
        <f t="shared" si="356"/>
        <v>0</v>
      </c>
      <c r="AI258" s="1121">
        <f t="shared" si="356"/>
        <v>0</v>
      </c>
      <c r="AJ258" s="1121">
        <f t="shared" si="356"/>
        <v>0</v>
      </c>
      <c r="AK258" s="1122">
        <f t="shared" si="356"/>
        <v>0</v>
      </c>
      <c r="AL258" s="1121">
        <f t="shared" si="356"/>
        <v>0</v>
      </c>
      <c r="AM258" s="2633">
        <f t="shared" si="356"/>
        <v>0</v>
      </c>
      <c r="AN258" s="2513"/>
      <c r="AO258" s="2551"/>
      <c r="AP258" s="4422"/>
      <c r="AQ258" s="4438">
        <f t="shared" si="320"/>
        <v>35985.74518235225</v>
      </c>
      <c r="AR258" s="4438">
        <f t="shared" si="321"/>
        <v>34846.075579165881</v>
      </c>
      <c r="AS258" s="4438">
        <f t="shared" si="322"/>
        <v>33706.405975979505</v>
      </c>
      <c r="AT258" s="4438">
        <f t="shared" si="323"/>
        <v>32568.67416902287</v>
      </c>
      <c r="AU258" s="4438">
        <f t="shared" si="324"/>
        <v>31438.427675206945</v>
      </c>
      <c r="AV258" s="4438">
        <f t="shared" si="325"/>
        <v>30309.612798658371</v>
      </c>
      <c r="AW258" s="4438">
        <f t="shared" si="326"/>
        <v>29180.797922109796</v>
      </c>
      <c r="AX258" s="4438">
        <f t="shared" si="327"/>
        <v>42433.647096117762</v>
      </c>
      <c r="AY258" s="4438">
        <f t="shared" si="328"/>
        <v>41441.740846597095</v>
      </c>
      <c r="AZ258" s="4438">
        <f t="shared" si="329"/>
        <v>40449.834597076435</v>
      </c>
      <c r="BA258" s="4438">
        <f t="shared" si="330"/>
        <v>39457.928347555768</v>
      </c>
      <c r="BB258" s="4438">
        <f t="shared" si="331"/>
        <v>38466.022098035108</v>
      </c>
      <c r="BC258" s="4438">
        <f t="shared" si="332"/>
        <v>37474.115848514441</v>
      </c>
      <c r="BD258" s="4438">
        <f t="shared" si="333"/>
        <v>36482.209598993781</v>
      </c>
      <c r="BE258" s="4438">
        <f t="shared" si="334"/>
        <v>23310.819447497994</v>
      </c>
      <c r="BF258" s="4438">
        <f t="shared" si="335"/>
        <v>21350.015083110495</v>
      </c>
      <c r="BG258" s="4438">
        <f t="shared" si="336"/>
        <v>19389.210718722999</v>
      </c>
      <c r="BH258" s="4438">
        <f t="shared" si="337"/>
        <v>17428.406354335501</v>
      </c>
      <c r="BI258" s="4438">
        <f t="shared" si="338"/>
        <v>15467.601989948002</v>
      </c>
      <c r="BJ258" s="4438">
        <f t="shared" si="339"/>
        <v>13506.797625560504</v>
      </c>
      <c r="BK258" s="4438">
        <f t="shared" si="340"/>
        <v>11545.993261173006</v>
      </c>
      <c r="BL258" s="4438">
        <f t="shared" si="341"/>
        <v>0</v>
      </c>
      <c r="BM258" s="4438">
        <f t="shared" si="342"/>
        <v>0</v>
      </c>
      <c r="BN258" s="4438">
        <f t="shared" si="343"/>
        <v>0</v>
      </c>
      <c r="BO258" s="4438">
        <f t="shared" si="344"/>
        <v>0</v>
      </c>
      <c r="BP258" s="4438">
        <f t="shared" si="345"/>
        <v>0</v>
      </c>
      <c r="BQ258" s="4438">
        <f t="shared" si="346"/>
        <v>0</v>
      </c>
      <c r="BR258" s="4438">
        <f t="shared" si="347"/>
        <v>0</v>
      </c>
      <c r="BS258" s="4438">
        <f t="shared" si="348"/>
        <v>0</v>
      </c>
      <c r="BT258" s="4438">
        <f t="shared" si="349"/>
        <v>0</v>
      </c>
      <c r="BU258" s="4438">
        <f t="shared" si="350"/>
        <v>0</v>
      </c>
      <c r="BV258" s="4438">
        <f t="shared" si="351"/>
        <v>0</v>
      </c>
      <c r="BW258" s="4438">
        <f t="shared" si="352"/>
        <v>0</v>
      </c>
      <c r="BX258" s="4438">
        <f t="shared" si="353"/>
        <v>0</v>
      </c>
      <c r="BY258" s="4438">
        <f t="shared" si="354"/>
        <v>0</v>
      </c>
    </row>
    <row r="259" spans="1:77">
      <c r="A259" s="2515">
        <v>1</v>
      </c>
      <c r="B259" s="2576" t="s">
        <v>696</v>
      </c>
      <c r="C259" s="2533">
        <v>0</v>
      </c>
      <c r="D259" s="2563" t="s">
        <v>558</v>
      </c>
      <c r="E259" s="1223">
        <f>E193-E237</f>
        <v>167</v>
      </c>
      <c r="F259" s="2605">
        <f t="shared" ref="F259:L274" si="357">F193-F237</f>
        <v>167</v>
      </c>
      <c r="G259" s="2603">
        <f t="shared" si="357"/>
        <v>167</v>
      </c>
      <c r="H259" s="2603">
        <f t="shared" si="357"/>
        <v>167</v>
      </c>
      <c r="I259" s="2603">
        <f t="shared" si="357"/>
        <v>167</v>
      </c>
      <c r="J259" s="2603">
        <f t="shared" si="357"/>
        <v>167</v>
      </c>
      <c r="K259" s="2604">
        <f t="shared" si="357"/>
        <v>167</v>
      </c>
      <c r="L259" s="2639">
        <f>L193-L237</f>
        <v>7</v>
      </c>
      <c r="M259" s="2602">
        <f t="shared" ref="M259:S274" si="358">M193-M237</f>
        <v>7</v>
      </c>
      <c r="N259" s="2603">
        <f t="shared" si="358"/>
        <v>7</v>
      </c>
      <c r="O259" s="2603">
        <f t="shared" si="358"/>
        <v>7</v>
      </c>
      <c r="P259" s="2603">
        <f t="shared" si="358"/>
        <v>7</v>
      </c>
      <c r="Q259" s="2603">
        <f t="shared" si="358"/>
        <v>7</v>
      </c>
      <c r="R259" s="2604">
        <f t="shared" si="358"/>
        <v>7</v>
      </c>
      <c r="S259" s="1223">
        <f>S193-S237</f>
        <v>0</v>
      </c>
      <c r="T259" s="2605">
        <f t="shared" ref="T259:Z274" si="359">T193-T237</f>
        <v>0</v>
      </c>
      <c r="U259" s="2603">
        <f t="shared" si="359"/>
        <v>0</v>
      </c>
      <c r="V259" s="2603">
        <f t="shared" si="359"/>
        <v>0</v>
      </c>
      <c r="W259" s="2603">
        <f t="shared" si="359"/>
        <v>0</v>
      </c>
      <c r="X259" s="2603">
        <f t="shared" si="359"/>
        <v>0</v>
      </c>
      <c r="Y259" s="2604">
        <f t="shared" si="359"/>
        <v>0</v>
      </c>
      <c r="Z259" s="1223">
        <f>Z193-Z237</f>
        <v>0</v>
      </c>
      <c r="AA259" s="2605">
        <f t="shared" ref="AA259:AM274" si="360">AA193-AA237</f>
        <v>0</v>
      </c>
      <c r="AB259" s="2603">
        <f t="shared" si="360"/>
        <v>0</v>
      </c>
      <c r="AC259" s="2603">
        <f t="shared" si="360"/>
        <v>0</v>
      </c>
      <c r="AD259" s="2603">
        <f t="shared" si="360"/>
        <v>0</v>
      </c>
      <c r="AE259" s="2603">
        <f t="shared" si="360"/>
        <v>0</v>
      </c>
      <c r="AF259" s="2604">
        <f t="shared" si="360"/>
        <v>0</v>
      </c>
      <c r="AG259" s="1223">
        <f>AG193-AG237</f>
        <v>0</v>
      </c>
      <c r="AH259" s="2605">
        <f t="shared" ref="AH259:AM261" si="361">AH193-AH237</f>
        <v>0</v>
      </c>
      <c r="AI259" s="2603">
        <f t="shared" si="361"/>
        <v>0</v>
      </c>
      <c r="AJ259" s="2603">
        <f t="shared" si="361"/>
        <v>0</v>
      </c>
      <c r="AK259" s="2603">
        <f t="shared" si="361"/>
        <v>0</v>
      </c>
      <c r="AL259" s="2603">
        <f t="shared" si="361"/>
        <v>0</v>
      </c>
      <c r="AM259" s="2604">
        <f t="shared" si="361"/>
        <v>0</v>
      </c>
      <c r="AN259" s="2513"/>
      <c r="AO259" s="2551"/>
      <c r="AP259" s="4422"/>
      <c r="AQ259" s="4438">
        <f t="shared" si="320"/>
        <v>85.385744159768493</v>
      </c>
      <c r="AR259" s="4438">
        <f t="shared" si="321"/>
        <v>85.385744159768493</v>
      </c>
      <c r="AS259" s="4438">
        <f t="shared" si="322"/>
        <v>85.385744159768493</v>
      </c>
      <c r="AT259" s="4438">
        <f t="shared" si="323"/>
        <v>85.385744159768493</v>
      </c>
      <c r="AU259" s="4438">
        <f t="shared" si="324"/>
        <v>85.385744159768493</v>
      </c>
      <c r="AV259" s="4438">
        <f t="shared" si="325"/>
        <v>85.385744159768493</v>
      </c>
      <c r="AW259" s="4438">
        <f t="shared" si="326"/>
        <v>85.385744159768493</v>
      </c>
      <c r="AX259" s="4438">
        <f t="shared" si="327"/>
        <v>3.5790431683735293</v>
      </c>
      <c r="AY259" s="4438">
        <f t="shared" si="328"/>
        <v>3.5790431683735293</v>
      </c>
      <c r="AZ259" s="4438">
        <f t="shared" si="329"/>
        <v>3.5790431683735293</v>
      </c>
      <c r="BA259" s="4438">
        <f t="shared" si="330"/>
        <v>3.5790431683735293</v>
      </c>
      <c r="BB259" s="4438">
        <f t="shared" si="331"/>
        <v>3.5790431683735293</v>
      </c>
      <c r="BC259" s="4438">
        <f t="shared" si="332"/>
        <v>3.5790431683735293</v>
      </c>
      <c r="BD259" s="4438">
        <f t="shared" si="333"/>
        <v>3.5790431683735293</v>
      </c>
      <c r="BE259" s="4438">
        <f t="shared" si="334"/>
        <v>0</v>
      </c>
      <c r="BF259" s="4438">
        <f t="shared" si="335"/>
        <v>0</v>
      </c>
      <c r="BG259" s="4438">
        <f t="shared" si="336"/>
        <v>0</v>
      </c>
      <c r="BH259" s="4438">
        <f t="shared" si="337"/>
        <v>0</v>
      </c>
      <c r="BI259" s="4438">
        <f t="shared" si="338"/>
        <v>0</v>
      </c>
      <c r="BJ259" s="4438">
        <f t="shared" si="339"/>
        <v>0</v>
      </c>
      <c r="BK259" s="4438">
        <f t="shared" si="340"/>
        <v>0</v>
      </c>
      <c r="BL259" s="4438">
        <f t="shared" si="341"/>
        <v>0</v>
      </c>
      <c r="BM259" s="4438">
        <f t="shared" si="342"/>
        <v>0</v>
      </c>
      <c r="BN259" s="4438">
        <f t="shared" si="343"/>
        <v>0</v>
      </c>
      <c r="BO259" s="4438">
        <f t="shared" si="344"/>
        <v>0</v>
      </c>
      <c r="BP259" s="4438">
        <f t="shared" si="345"/>
        <v>0</v>
      </c>
      <c r="BQ259" s="4438">
        <f t="shared" si="346"/>
        <v>0</v>
      </c>
      <c r="BR259" s="4438">
        <f t="shared" si="347"/>
        <v>0</v>
      </c>
      <c r="BS259" s="4438">
        <f t="shared" si="348"/>
        <v>0</v>
      </c>
      <c r="BT259" s="4438">
        <f t="shared" si="349"/>
        <v>0</v>
      </c>
      <c r="BU259" s="4438">
        <f t="shared" si="350"/>
        <v>0</v>
      </c>
      <c r="BV259" s="4438">
        <f t="shared" si="351"/>
        <v>0</v>
      </c>
      <c r="BW259" s="4438">
        <f t="shared" si="352"/>
        <v>0</v>
      </c>
      <c r="BX259" s="4438">
        <f t="shared" si="353"/>
        <v>0</v>
      </c>
      <c r="BY259" s="4438">
        <f t="shared" si="354"/>
        <v>0</v>
      </c>
    </row>
    <row r="260" spans="1:77">
      <c r="A260" s="2515">
        <v>2</v>
      </c>
      <c r="B260" s="2516" t="s">
        <v>697</v>
      </c>
      <c r="C260" s="2517">
        <v>0.03</v>
      </c>
      <c r="D260" s="2571" t="s">
        <v>426</v>
      </c>
      <c r="E260" s="1223">
        <f>E194-E238</f>
        <v>1377</v>
      </c>
      <c r="F260" s="1202">
        <f t="shared" si="357"/>
        <v>1312</v>
      </c>
      <c r="G260" s="1198">
        <f t="shared" si="357"/>
        <v>1247</v>
      </c>
      <c r="H260" s="1198">
        <f t="shared" si="357"/>
        <v>1182.0899999999999</v>
      </c>
      <c r="I260" s="1198">
        <f t="shared" si="357"/>
        <v>1117.1799999999998</v>
      </c>
      <c r="J260" s="1198">
        <f t="shared" si="357"/>
        <v>1052.2699999999998</v>
      </c>
      <c r="K260" s="1203">
        <f t="shared" si="357"/>
        <v>987.35999999999967</v>
      </c>
      <c r="L260" s="2641">
        <f>L194-L238</f>
        <v>0</v>
      </c>
      <c r="M260" s="883">
        <f t="shared" si="358"/>
        <v>0</v>
      </c>
      <c r="N260" s="1198">
        <f t="shared" si="358"/>
        <v>0</v>
      </c>
      <c r="O260" s="1198">
        <f t="shared" si="358"/>
        <v>0</v>
      </c>
      <c r="P260" s="1198">
        <f t="shared" si="358"/>
        <v>0</v>
      </c>
      <c r="Q260" s="1198">
        <f t="shared" si="358"/>
        <v>0</v>
      </c>
      <c r="R260" s="1203">
        <f t="shared" si="358"/>
        <v>0</v>
      </c>
      <c r="S260" s="1223">
        <f>S194-S238</f>
        <v>9448</v>
      </c>
      <c r="T260" s="1202">
        <f t="shared" si="359"/>
        <v>9097</v>
      </c>
      <c r="U260" s="1198">
        <f t="shared" si="359"/>
        <v>8746</v>
      </c>
      <c r="V260" s="1198">
        <f t="shared" si="359"/>
        <v>8395</v>
      </c>
      <c r="W260" s="1198">
        <f t="shared" si="359"/>
        <v>8044</v>
      </c>
      <c r="X260" s="1198">
        <f t="shared" si="359"/>
        <v>7693</v>
      </c>
      <c r="Y260" s="1203">
        <f t="shared" si="359"/>
        <v>7342</v>
      </c>
      <c r="Z260" s="1223">
        <f>Z194-Z238</f>
        <v>0</v>
      </c>
      <c r="AA260" s="1202">
        <f t="shared" si="360"/>
        <v>0</v>
      </c>
      <c r="AB260" s="1198">
        <f t="shared" si="360"/>
        <v>0</v>
      </c>
      <c r="AC260" s="1198">
        <f t="shared" si="360"/>
        <v>0</v>
      </c>
      <c r="AD260" s="1198">
        <f t="shared" si="360"/>
        <v>0</v>
      </c>
      <c r="AE260" s="1198">
        <f t="shared" si="360"/>
        <v>0</v>
      </c>
      <c r="AF260" s="1203">
        <f t="shared" si="360"/>
        <v>0</v>
      </c>
      <c r="AG260" s="1223">
        <f>AG194-AG238</f>
        <v>0</v>
      </c>
      <c r="AH260" s="1202">
        <f t="shared" si="361"/>
        <v>0</v>
      </c>
      <c r="AI260" s="1198">
        <f t="shared" si="361"/>
        <v>0</v>
      </c>
      <c r="AJ260" s="1198">
        <f t="shared" si="361"/>
        <v>0</v>
      </c>
      <c r="AK260" s="1198">
        <f t="shared" si="361"/>
        <v>0</v>
      </c>
      <c r="AL260" s="1198">
        <f t="shared" si="361"/>
        <v>0</v>
      </c>
      <c r="AM260" s="1203">
        <f t="shared" si="361"/>
        <v>0</v>
      </c>
      <c r="AN260" s="2513"/>
      <c r="AO260" s="2551"/>
      <c r="AP260" s="4422"/>
      <c r="AQ260" s="4438">
        <f t="shared" si="320"/>
        <v>704.0489204071929</v>
      </c>
      <c r="AR260" s="4438">
        <f t="shared" si="321"/>
        <v>670.81494812943868</v>
      </c>
      <c r="AS260" s="4438">
        <f t="shared" si="322"/>
        <v>637.58097585168446</v>
      </c>
      <c r="AT260" s="4438">
        <f t="shared" si="323"/>
        <v>604.39301984323788</v>
      </c>
      <c r="AU260" s="4438">
        <f t="shared" si="324"/>
        <v>571.2050638347913</v>
      </c>
      <c r="AV260" s="4438">
        <f t="shared" si="325"/>
        <v>538.01710782634473</v>
      </c>
      <c r="AW260" s="4438">
        <f t="shared" si="326"/>
        <v>504.82915181789815</v>
      </c>
      <c r="AX260" s="4438">
        <f t="shared" si="327"/>
        <v>0</v>
      </c>
      <c r="AY260" s="4438">
        <f t="shared" si="328"/>
        <v>0</v>
      </c>
      <c r="AZ260" s="4438">
        <f t="shared" si="329"/>
        <v>0</v>
      </c>
      <c r="BA260" s="4438">
        <f t="shared" si="330"/>
        <v>0</v>
      </c>
      <c r="BB260" s="4438">
        <f t="shared" si="331"/>
        <v>0</v>
      </c>
      <c r="BC260" s="4438">
        <f t="shared" si="332"/>
        <v>0</v>
      </c>
      <c r="BD260" s="4438">
        <f t="shared" si="333"/>
        <v>0</v>
      </c>
      <c r="BE260" s="4438">
        <f t="shared" si="334"/>
        <v>4830.6856935418728</v>
      </c>
      <c r="BF260" s="4438">
        <f t="shared" si="335"/>
        <v>4651.2222432419994</v>
      </c>
      <c r="BG260" s="4438">
        <f t="shared" si="336"/>
        <v>4471.758792942127</v>
      </c>
      <c r="BH260" s="4438">
        <f t="shared" si="337"/>
        <v>4292.2953426422546</v>
      </c>
      <c r="BI260" s="4438">
        <f t="shared" si="338"/>
        <v>4112.8318923423813</v>
      </c>
      <c r="BJ260" s="4438">
        <f t="shared" si="339"/>
        <v>3933.3684420425088</v>
      </c>
      <c r="BK260" s="4438">
        <f t="shared" si="340"/>
        <v>3753.9049917426364</v>
      </c>
      <c r="BL260" s="4438">
        <f t="shared" si="341"/>
        <v>0</v>
      </c>
      <c r="BM260" s="4438">
        <f t="shared" si="342"/>
        <v>0</v>
      </c>
      <c r="BN260" s="4438">
        <f t="shared" si="343"/>
        <v>0</v>
      </c>
      <c r="BO260" s="4438">
        <f t="shared" si="344"/>
        <v>0</v>
      </c>
      <c r="BP260" s="4438">
        <f t="shared" si="345"/>
        <v>0</v>
      </c>
      <c r="BQ260" s="4438">
        <f t="shared" si="346"/>
        <v>0</v>
      </c>
      <c r="BR260" s="4438">
        <f t="shared" si="347"/>
        <v>0</v>
      </c>
      <c r="BS260" s="4438">
        <f t="shared" si="348"/>
        <v>0</v>
      </c>
      <c r="BT260" s="4438">
        <f t="shared" si="349"/>
        <v>0</v>
      </c>
      <c r="BU260" s="4438">
        <f t="shared" si="350"/>
        <v>0</v>
      </c>
      <c r="BV260" s="4438">
        <f t="shared" si="351"/>
        <v>0</v>
      </c>
      <c r="BW260" s="4438">
        <f t="shared" si="352"/>
        <v>0</v>
      </c>
      <c r="BX260" s="4438">
        <f t="shared" si="353"/>
        <v>0</v>
      </c>
      <c r="BY260" s="4438">
        <f t="shared" si="354"/>
        <v>0</v>
      </c>
    </row>
    <row r="261" spans="1:77">
      <c r="A261" s="2515">
        <v>3</v>
      </c>
      <c r="B261" s="2516">
        <v>911301</v>
      </c>
      <c r="C261" s="2517">
        <v>0.1</v>
      </c>
      <c r="D261" s="2571" t="s">
        <v>427</v>
      </c>
      <c r="E261" s="1223">
        <f>E195-E239</f>
        <v>108</v>
      </c>
      <c r="F261" s="1202">
        <f t="shared" si="357"/>
        <v>53</v>
      </c>
      <c r="G261" s="1198">
        <f t="shared" si="357"/>
        <v>-2</v>
      </c>
      <c r="H261" s="1198">
        <f t="shared" si="357"/>
        <v>-57</v>
      </c>
      <c r="I261" s="1198">
        <f t="shared" si="357"/>
        <v>-112</v>
      </c>
      <c r="J261" s="1198">
        <f t="shared" si="357"/>
        <v>-167</v>
      </c>
      <c r="K261" s="1203">
        <f t="shared" si="357"/>
        <v>-222</v>
      </c>
      <c r="L261" s="2641">
        <f>L195-L239</f>
        <v>0</v>
      </c>
      <c r="M261" s="883">
        <f t="shared" si="358"/>
        <v>0</v>
      </c>
      <c r="N261" s="1198">
        <f t="shared" si="358"/>
        <v>0</v>
      </c>
      <c r="O261" s="1198">
        <f t="shared" si="358"/>
        <v>0</v>
      </c>
      <c r="P261" s="1198">
        <f t="shared" si="358"/>
        <v>0</v>
      </c>
      <c r="Q261" s="1198">
        <f t="shared" si="358"/>
        <v>0</v>
      </c>
      <c r="R261" s="1203">
        <f t="shared" si="358"/>
        <v>0</v>
      </c>
      <c r="S261" s="1223">
        <f>S195-S239</f>
        <v>0</v>
      </c>
      <c r="T261" s="1202">
        <f t="shared" si="359"/>
        <v>0</v>
      </c>
      <c r="U261" s="1198">
        <f t="shared" si="359"/>
        <v>0</v>
      </c>
      <c r="V261" s="1198">
        <f t="shared" si="359"/>
        <v>0</v>
      </c>
      <c r="W261" s="1198">
        <f t="shared" si="359"/>
        <v>0</v>
      </c>
      <c r="X261" s="1198">
        <f t="shared" si="359"/>
        <v>0</v>
      </c>
      <c r="Y261" s="1203">
        <f t="shared" si="359"/>
        <v>0</v>
      </c>
      <c r="Z261" s="1223">
        <f>Z195-Z239</f>
        <v>0</v>
      </c>
      <c r="AA261" s="1202">
        <f t="shared" si="360"/>
        <v>0</v>
      </c>
      <c r="AB261" s="1198">
        <f t="shared" si="360"/>
        <v>0</v>
      </c>
      <c r="AC261" s="1198">
        <f t="shared" si="360"/>
        <v>0</v>
      </c>
      <c r="AD261" s="1198">
        <f t="shared" si="360"/>
        <v>0</v>
      </c>
      <c r="AE261" s="1198">
        <f t="shared" si="360"/>
        <v>0</v>
      </c>
      <c r="AF261" s="1203">
        <f t="shared" si="360"/>
        <v>0</v>
      </c>
      <c r="AG261" s="1223">
        <f>AG195-AG239</f>
        <v>0</v>
      </c>
      <c r="AH261" s="1202">
        <f t="shared" si="361"/>
        <v>0</v>
      </c>
      <c r="AI261" s="1198">
        <f t="shared" si="361"/>
        <v>0</v>
      </c>
      <c r="AJ261" s="1198">
        <f t="shared" si="361"/>
        <v>0</v>
      </c>
      <c r="AK261" s="1198">
        <f t="shared" si="361"/>
        <v>0</v>
      </c>
      <c r="AL261" s="1198">
        <f t="shared" si="361"/>
        <v>0</v>
      </c>
      <c r="AM261" s="1203">
        <f t="shared" si="361"/>
        <v>0</v>
      </c>
      <c r="AN261" s="2513"/>
      <c r="AO261" s="2551"/>
      <c r="AP261" s="4422"/>
      <c r="AQ261" s="4438">
        <f t="shared" si="320"/>
        <v>55.219523169191596</v>
      </c>
      <c r="AR261" s="4438">
        <f t="shared" si="321"/>
        <v>27.09846970339958</v>
      </c>
      <c r="AS261" s="4438">
        <f t="shared" si="322"/>
        <v>-1.022583762392437</v>
      </c>
      <c r="AT261" s="4438">
        <f t="shared" si="323"/>
        <v>-29.143637228184453</v>
      </c>
      <c r="AU261" s="4438">
        <f t="shared" si="324"/>
        <v>-57.264690693976469</v>
      </c>
      <c r="AV261" s="4438">
        <f t="shared" si="325"/>
        <v>-85.385744159768493</v>
      </c>
      <c r="AW261" s="4438">
        <f t="shared" si="326"/>
        <v>-113.50679762556051</v>
      </c>
      <c r="AX261" s="4438">
        <f t="shared" si="327"/>
        <v>0</v>
      </c>
      <c r="AY261" s="4438">
        <f t="shared" si="328"/>
        <v>0</v>
      </c>
      <c r="AZ261" s="4438">
        <f t="shared" si="329"/>
        <v>0</v>
      </c>
      <c r="BA261" s="4438">
        <f t="shared" si="330"/>
        <v>0</v>
      </c>
      <c r="BB261" s="4438">
        <f t="shared" si="331"/>
        <v>0</v>
      </c>
      <c r="BC261" s="4438">
        <f t="shared" si="332"/>
        <v>0</v>
      </c>
      <c r="BD261" s="4438">
        <f t="shared" si="333"/>
        <v>0</v>
      </c>
      <c r="BE261" s="4438">
        <f t="shared" si="334"/>
        <v>0</v>
      </c>
      <c r="BF261" s="4438">
        <f t="shared" si="335"/>
        <v>0</v>
      </c>
      <c r="BG261" s="4438">
        <f t="shared" si="336"/>
        <v>0</v>
      </c>
      <c r="BH261" s="4438">
        <f t="shared" si="337"/>
        <v>0</v>
      </c>
      <c r="BI261" s="4438">
        <f t="shared" si="338"/>
        <v>0</v>
      </c>
      <c r="BJ261" s="4438">
        <f t="shared" si="339"/>
        <v>0</v>
      </c>
      <c r="BK261" s="4438">
        <f t="shared" si="340"/>
        <v>0</v>
      </c>
      <c r="BL261" s="4438">
        <f t="shared" si="341"/>
        <v>0</v>
      </c>
      <c r="BM261" s="4438">
        <f t="shared" si="342"/>
        <v>0</v>
      </c>
      <c r="BN261" s="4438">
        <f t="shared" si="343"/>
        <v>0</v>
      </c>
      <c r="BO261" s="4438">
        <f t="shared" si="344"/>
        <v>0</v>
      </c>
      <c r="BP261" s="4438">
        <f t="shared" si="345"/>
        <v>0</v>
      </c>
      <c r="BQ261" s="4438">
        <f t="shared" si="346"/>
        <v>0</v>
      </c>
      <c r="BR261" s="4438">
        <f t="shared" si="347"/>
        <v>0</v>
      </c>
      <c r="BS261" s="4438">
        <f t="shared" si="348"/>
        <v>0</v>
      </c>
      <c r="BT261" s="4438">
        <f t="shared" si="349"/>
        <v>0</v>
      </c>
      <c r="BU261" s="4438">
        <f t="shared" si="350"/>
        <v>0</v>
      </c>
      <c r="BV261" s="4438">
        <f t="shared" si="351"/>
        <v>0</v>
      </c>
      <c r="BW261" s="4438">
        <f t="shared" si="352"/>
        <v>0</v>
      </c>
      <c r="BX261" s="4438">
        <f t="shared" si="353"/>
        <v>0</v>
      </c>
      <c r="BY261" s="4438">
        <f t="shared" si="354"/>
        <v>0</v>
      </c>
    </row>
    <row r="262" spans="1:77">
      <c r="A262" s="2515">
        <v>4</v>
      </c>
      <c r="B262" s="2516">
        <v>911302</v>
      </c>
      <c r="C262" s="2517">
        <v>0.1</v>
      </c>
      <c r="D262" s="2571" t="s">
        <v>428</v>
      </c>
      <c r="E262" s="1223">
        <f t="shared" ref="E262:E279" si="362">E196-E240</f>
        <v>10</v>
      </c>
      <c r="F262" s="1202">
        <f t="shared" si="357"/>
        <v>0</v>
      </c>
      <c r="G262" s="1198">
        <f t="shared" si="357"/>
        <v>-10</v>
      </c>
      <c r="H262" s="1198">
        <f t="shared" si="357"/>
        <v>-20</v>
      </c>
      <c r="I262" s="1198">
        <f t="shared" si="357"/>
        <v>-30</v>
      </c>
      <c r="J262" s="1198">
        <f t="shared" si="357"/>
        <v>-40</v>
      </c>
      <c r="K262" s="1203">
        <f t="shared" si="357"/>
        <v>-50</v>
      </c>
      <c r="L262" s="2641">
        <f t="shared" si="357"/>
        <v>0</v>
      </c>
      <c r="M262" s="883">
        <f t="shared" si="358"/>
        <v>0</v>
      </c>
      <c r="N262" s="1198">
        <f t="shared" si="358"/>
        <v>0</v>
      </c>
      <c r="O262" s="1198">
        <f t="shared" si="358"/>
        <v>0</v>
      </c>
      <c r="P262" s="1198">
        <f t="shared" si="358"/>
        <v>0</v>
      </c>
      <c r="Q262" s="1198">
        <f t="shared" si="358"/>
        <v>0</v>
      </c>
      <c r="R262" s="1203">
        <f t="shared" si="358"/>
        <v>0</v>
      </c>
      <c r="S262" s="1223">
        <f t="shared" si="358"/>
        <v>0</v>
      </c>
      <c r="T262" s="1202">
        <f t="shared" si="359"/>
        <v>0</v>
      </c>
      <c r="U262" s="1198">
        <f t="shared" si="359"/>
        <v>0</v>
      </c>
      <c r="V262" s="1198">
        <f t="shared" si="359"/>
        <v>0</v>
      </c>
      <c r="W262" s="1198">
        <f t="shared" si="359"/>
        <v>0</v>
      </c>
      <c r="X262" s="1198">
        <f t="shared" si="359"/>
        <v>0</v>
      </c>
      <c r="Y262" s="1203">
        <f t="shared" si="359"/>
        <v>0</v>
      </c>
      <c r="Z262" s="1223">
        <f t="shared" si="359"/>
        <v>0</v>
      </c>
      <c r="AA262" s="1202">
        <f t="shared" si="360"/>
        <v>0</v>
      </c>
      <c r="AB262" s="1198">
        <f t="shared" si="360"/>
        <v>0</v>
      </c>
      <c r="AC262" s="1198">
        <f t="shared" si="360"/>
        <v>0</v>
      </c>
      <c r="AD262" s="1198">
        <f t="shared" si="360"/>
        <v>0</v>
      </c>
      <c r="AE262" s="1198">
        <f t="shared" si="360"/>
        <v>0</v>
      </c>
      <c r="AF262" s="1203">
        <f t="shared" si="360"/>
        <v>0</v>
      </c>
      <c r="AG262" s="1223">
        <f t="shared" si="360"/>
        <v>0</v>
      </c>
      <c r="AH262" s="1202">
        <f t="shared" si="360"/>
        <v>0</v>
      </c>
      <c r="AI262" s="1198">
        <f t="shared" si="360"/>
        <v>0</v>
      </c>
      <c r="AJ262" s="1198">
        <f t="shared" si="360"/>
        <v>0</v>
      </c>
      <c r="AK262" s="1198">
        <f t="shared" si="360"/>
        <v>0</v>
      </c>
      <c r="AL262" s="1198">
        <f t="shared" si="360"/>
        <v>0</v>
      </c>
      <c r="AM262" s="1203">
        <f t="shared" si="360"/>
        <v>0</v>
      </c>
      <c r="AN262" s="2513"/>
      <c r="AO262" s="2551"/>
      <c r="AP262" s="4422"/>
      <c r="AQ262" s="4438">
        <f t="shared" si="320"/>
        <v>5.1129188119621851</v>
      </c>
      <c r="AR262" s="4438">
        <f t="shared" si="321"/>
        <v>0</v>
      </c>
      <c r="AS262" s="4438">
        <f t="shared" si="322"/>
        <v>-5.1129188119621851</v>
      </c>
      <c r="AT262" s="4438">
        <f t="shared" si="323"/>
        <v>-10.22583762392437</v>
      </c>
      <c r="AU262" s="4438">
        <f t="shared" si="324"/>
        <v>-15.338756435886555</v>
      </c>
      <c r="AV262" s="4438">
        <f t="shared" si="325"/>
        <v>-20.45167524784874</v>
      </c>
      <c r="AW262" s="4438">
        <f t="shared" si="326"/>
        <v>-25.564594059810926</v>
      </c>
      <c r="AX262" s="4438">
        <f t="shared" si="327"/>
        <v>0</v>
      </c>
      <c r="AY262" s="4438">
        <f t="shared" si="328"/>
        <v>0</v>
      </c>
      <c r="AZ262" s="4438">
        <f t="shared" si="329"/>
        <v>0</v>
      </c>
      <c r="BA262" s="4438">
        <f t="shared" si="330"/>
        <v>0</v>
      </c>
      <c r="BB262" s="4438">
        <f t="shared" si="331"/>
        <v>0</v>
      </c>
      <c r="BC262" s="4438">
        <f t="shared" si="332"/>
        <v>0</v>
      </c>
      <c r="BD262" s="4438">
        <f t="shared" si="333"/>
        <v>0</v>
      </c>
      <c r="BE262" s="4438">
        <f t="shared" si="334"/>
        <v>0</v>
      </c>
      <c r="BF262" s="4438">
        <f t="shared" si="335"/>
        <v>0</v>
      </c>
      <c r="BG262" s="4438">
        <f t="shared" si="336"/>
        <v>0</v>
      </c>
      <c r="BH262" s="4438">
        <f t="shared" si="337"/>
        <v>0</v>
      </c>
      <c r="BI262" s="4438">
        <f t="shared" si="338"/>
        <v>0</v>
      </c>
      <c r="BJ262" s="4438">
        <f t="shared" si="339"/>
        <v>0</v>
      </c>
      <c r="BK262" s="4438">
        <f t="shared" si="340"/>
        <v>0</v>
      </c>
      <c r="BL262" s="4438">
        <f t="shared" si="341"/>
        <v>0</v>
      </c>
      <c r="BM262" s="4438">
        <f t="shared" si="342"/>
        <v>0</v>
      </c>
      <c r="BN262" s="4438">
        <f t="shared" si="343"/>
        <v>0</v>
      </c>
      <c r="BO262" s="4438">
        <f t="shared" si="344"/>
        <v>0</v>
      </c>
      <c r="BP262" s="4438">
        <f t="shared" si="345"/>
        <v>0</v>
      </c>
      <c r="BQ262" s="4438">
        <f t="shared" si="346"/>
        <v>0</v>
      </c>
      <c r="BR262" s="4438">
        <f t="shared" si="347"/>
        <v>0</v>
      </c>
      <c r="BS262" s="4438">
        <f t="shared" si="348"/>
        <v>0</v>
      </c>
      <c r="BT262" s="4438">
        <f t="shared" si="349"/>
        <v>0</v>
      </c>
      <c r="BU262" s="4438">
        <f t="shared" si="350"/>
        <v>0</v>
      </c>
      <c r="BV262" s="4438">
        <f t="shared" si="351"/>
        <v>0</v>
      </c>
      <c r="BW262" s="4438">
        <f t="shared" si="352"/>
        <v>0</v>
      </c>
      <c r="BX262" s="4438">
        <f t="shared" si="353"/>
        <v>0</v>
      </c>
      <c r="BY262" s="4438">
        <f t="shared" si="354"/>
        <v>0</v>
      </c>
    </row>
    <row r="263" spans="1:77">
      <c r="A263" s="2515">
        <v>5</v>
      </c>
      <c r="B263" s="2516" t="s">
        <v>714</v>
      </c>
      <c r="C263" s="2517">
        <v>0.1</v>
      </c>
      <c r="D263" s="2552" t="s">
        <v>407</v>
      </c>
      <c r="E263" s="1223">
        <f t="shared" si="362"/>
        <v>6</v>
      </c>
      <c r="F263" s="1202">
        <f t="shared" si="357"/>
        <v>5.2999999999999972</v>
      </c>
      <c r="G263" s="1198">
        <f t="shared" si="357"/>
        <v>4.5999999999999943</v>
      </c>
      <c r="H263" s="1198">
        <f t="shared" si="357"/>
        <v>7.5999999999999943</v>
      </c>
      <c r="I263" s="1198">
        <f t="shared" si="357"/>
        <v>15.5</v>
      </c>
      <c r="J263" s="1198">
        <f t="shared" si="357"/>
        <v>26</v>
      </c>
      <c r="K263" s="1203">
        <f t="shared" si="357"/>
        <v>36.5</v>
      </c>
      <c r="L263" s="2641">
        <f t="shared" si="357"/>
        <v>0</v>
      </c>
      <c r="M263" s="883">
        <f t="shared" si="358"/>
        <v>-1</v>
      </c>
      <c r="N263" s="1198">
        <f t="shared" si="358"/>
        <v>-2</v>
      </c>
      <c r="O263" s="1198">
        <f t="shared" si="358"/>
        <v>-3</v>
      </c>
      <c r="P263" s="1198">
        <f t="shared" si="358"/>
        <v>-4</v>
      </c>
      <c r="Q263" s="1198">
        <f t="shared" si="358"/>
        <v>-5</v>
      </c>
      <c r="R263" s="1203">
        <f t="shared" si="358"/>
        <v>-6</v>
      </c>
      <c r="S263" s="1223">
        <f t="shared" si="358"/>
        <v>0</v>
      </c>
      <c r="T263" s="1202">
        <f t="shared" si="359"/>
        <v>0</v>
      </c>
      <c r="U263" s="1198">
        <f t="shared" si="359"/>
        <v>0</v>
      </c>
      <c r="V263" s="1198">
        <f t="shared" si="359"/>
        <v>0</v>
      </c>
      <c r="W263" s="1198">
        <f t="shared" si="359"/>
        <v>0</v>
      </c>
      <c r="X263" s="1198">
        <f t="shared" si="359"/>
        <v>0</v>
      </c>
      <c r="Y263" s="1203">
        <f t="shared" si="359"/>
        <v>0</v>
      </c>
      <c r="Z263" s="1223">
        <f t="shared" si="359"/>
        <v>0</v>
      </c>
      <c r="AA263" s="1202">
        <f t="shared" si="360"/>
        <v>0</v>
      </c>
      <c r="AB263" s="1198">
        <f t="shared" si="360"/>
        <v>0</v>
      </c>
      <c r="AC263" s="1198">
        <f t="shared" si="360"/>
        <v>0</v>
      </c>
      <c r="AD263" s="1198">
        <f t="shared" si="360"/>
        <v>0</v>
      </c>
      <c r="AE263" s="1198">
        <f t="shared" si="360"/>
        <v>0</v>
      </c>
      <c r="AF263" s="1203">
        <f t="shared" si="360"/>
        <v>0</v>
      </c>
      <c r="AG263" s="1223">
        <f t="shared" si="360"/>
        <v>0</v>
      </c>
      <c r="AH263" s="1202">
        <f t="shared" si="360"/>
        <v>0</v>
      </c>
      <c r="AI263" s="1198">
        <f t="shared" si="360"/>
        <v>0</v>
      </c>
      <c r="AJ263" s="1198">
        <f t="shared" si="360"/>
        <v>0</v>
      </c>
      <c r="AK263" s="1198">
        <f t="shared" si="360"/>
        <v>0</v>
      </c>
      <c r="AL263" s="1198">
        <f t="shared" si="360"/>
        <v>0</v>
      </c>
      <c r="AM263" s="1203">
        <f t="shared" si="360"/>
        <v>0</v>
      </c>
      <c r="AN263" s="2513"/>
      <c r="AO263" s="2551"/>
      <c r="AP263" s="4422"/>
      <c r="AQ263" s="4438">
        <f t="shared" si="320"/>
        <v>3.0677512871773112</v>
      </c>
      <c r="AR263" s="4438">
        <f t="shared" si="321"/>
        <v>2.7098469703399566</v>
      </c>
      <c r="AS263" s="4438">
        <f t="shared" si="322"/>
        <v>2.351942653502602</v>
      </c>
      <c r="AT263" s="4438">
        <f t="shared" si="323"/>
        <v>3.8858182970912578</v>
      </c>
      <c r="AU263" s="4438">
        <f t="shared" si="324"/>
        <v>7.9250241585413868</v>
      </c>
      <c r="AV263" s="4438">
        <f t="shared" si="325"/>
        <v>13.293588911101681</v>
      </c>
      <c r="AW263" s="4438">
        <f t="shared" si="326"/>
        <v>18.662153663661975</v>
      </c>
      <c r="AX263" s="4438">
        <f t="shared" si="327"/>
        <v>0</v>
      </c>
      <c r="AY263" s="4438">
        <f t="shared" si="328"/>
        <v>-0.51129188119621849</v>
      </c>
      <c r="AZ263" s="4438">
        <f t="shared" si="329"/>
        <v>-1.022583762392437</v>
      </c>
      <c r="BA263" s="4438">
        <f t="shared" si="330"/>
        <v>-1.5338756435886556</v>
      </c>
      <c r="BB263" s="4438">
        <f t="shared" si="331"/>
        <v>-2.045167524784874</v>
      </c>
      <c r="BC263" s="4438">
        <f t="shared" si="332"/>
        <v>-2.5564594059810926</v>
      </c>
      <c r="BD263" s="4438">
        <f t="shared" si="333"/>
        <v>-3.0677512871773112</v>
      </c>
      <c r="BE263" s="4438">
        <f t="shared" si="334"/>
        <v>0</v>
      </c>
      <c r="BF263" s="4438">
        <f t="shared" si="335"/>
        <v>0</v>
      </c>
      <c r="BG263" s="4438">
        <f t="shared" si="336"/>
        <v>0</v>
      </c>
      <c r="BH263" s="4438">
        <f t="shared" si="337"/>
        <v>0</v>
      </c>
      <c r="BI263" s="4438">
        <f t="shared" si="338"/>
        <v>0</v>
      </c>
      <c r="BJ263" s="4438">
        <f t="shared" si="339"/>
        <v>0</v>
      </c>
      <c r="BK263" s="4438">
        <f t="shared" si="340"/>
        <v>0</v>
      </c>
      <c r="BL263" s="4438">
        <f t="shared" si="341"/>
        <v>0</v>
      </c>
      <c r="BM263" s="4438">
        <f t="shared" si="342"/>
        <v>0</v>
      </c>
      <c r="BN263" s="4438">
        <f t="shared" si="343"/>
        <v>0</v>
      </c>
      <c r="BO263" s="4438">
        <f t="shared" si="344"/>
        <v>0</v>
      </c>
      <c r="BP263" s="4438">
        <f t="shared" si="345"/>
        <v>0</v>
      </c>
      <c r="BQ263" s="4438">
        <f t="shared" si="346"/>
        <v>0</v>
      </c>
      <c r="BR263" s="4438">
        <f t="shared" si="347"/>
        <v>0</v>
      </c>
      <c r="BS263" s="4438">
        <f t="shared" si="348"/>
        <v>0</v>
      </c>
      <c r="BT263" s="4438">
        <f t="shared" si="349"/>
        <v>0</v>
      </c>
      <c r="BU263" s="4438">
        <f t="shared" si="350"/>
        <v>0</v>
      </c>
      <c r="BV263" s="4438">
        <f t="shared" si="351"/>
        <v>0</v>
      </c>
      <c r="BW263" s="4438">
        <f t="shared" si="352"/>
        <v>0</v>
      </c>
      <c r="BX263" s="4438">
        <f t="shared" si="353"/>
        <v>0</v>
      </c>
      <c r="BY263" s="4438">
        <f t="shared" si="354"/>
        <v>0</v>
      </c>
    </row>
    <row r="264" spans="1:77">
      <c r="A264" s="2515">
        <v>6</v>
      </c>
      <c r="B264" s="2516" t="s">
        <v>715</v>
      </c>
      <c r="C264" s="2517">
        <v>0.1</v>
      </c>
      <c r="D264" s="2552" t="s">
        <v>1001</v>
      </c>
      <c r="E264" s="1223">
        <f t="shared" si="362"/>
        <v>6</v>
      </c>
      <c r="F264" s="1202">
        <f t="shared" si="357"/>
        <v>4.6999999999999886</v>
      </c>
      <c r="G264" s="1198">
        <f t="shared" si="357"/>
        <v>3.3999999999999773</v>
      </c>
      <c r="H264" s="1198">
        <f t="shared" si="357"/>
        <v>2.0999999999999659</v>
      </c>
      <c r="I264" s="1198">
        <f t="shared" si="357"/>
        <v>1.9999999999999716</v>
      </c>
      <c r="J264" s="1198">
        <f t="shared" si="357"/>
        <v>2.0999999999999659</v>
      </c>
      <c r="K264" s="1203">
        <f t="shared" si="357"/>
        <v>2.1999999999999602</v>
      </c>
      <c r="L264" s="2641">
        <f t="shared" si="357"/>
        <v>0</v>
      </c>
      <c r="M264" s="883">
        <f t="shared" si="358"/>
        <v>0</v>
      </c>
      <c r="N264" s="1198">
        <f t="shared" si="358"/>
        <v>0</v>
      </c>
      <c r="O264" s="1198">
        <f t="shared" si="358"/>
        <v>0</v>
      </c>
      <c r="P264" s="1198">
        <f t="shared" si="358"/>
        <v>0</v>
      </c>
      <c r="Q264" s="1198">
        <f t="shared" si="358"/>
        <v>0</v>
      </c>
      <c r="R264" s="1203">
        <f t="shared" si="358"/>
        <v>0</v>
      </c>
      <c r="S264" s="1223">
        <f t="shared" si="358"/>
        <v>0</v>
      </c>
      <c r="T264" s="1202">
        <f t="shared" si="359"/>
        <v>0</v>
      </c>
      <c r="U264" s="1198">
        <f t="shared" si="359"/>
        <v>0</v>
      </c>
      <c r="V264" s="1198">
        <f t="shared" si="359"/>
        <v>0</v>
      </c>
      <c r="W264" s="1198">
        <f t="shared" si="359"/>
        <v>0</v>
      </c>
      <c r="X264" s="1198">
        <f t="shared" si="359"/>
        <v>0</v>
      </c>
      <c r="Y264" s="1203">
        <f t="shared" si="359"/>
        <v>0</v>
      </c>
      <c r="Z264" s="1223">
        <f t="shared" si="359"/>
        <v>0</v>
      </c>
      <c r="AA264" s="1202">
        <f t="shared" si="360"/>
        <v>0</v>
      </c>
      <c r="AB264" s="1198">
        <f t="shared" si="360"/>
        <v>0</v>
      </c>
      <c r="AC264" s="1198">
        <f t="shared" si="360"/>
        <v>0</v>
      </c>
      <c r="AD264" s="1198">
        <f t="shared" si="360"/>
        <v>0</v>
      </c>
      <c r="AE264" s="1198">
        <f t="shared" si="360"/>
        <v>0</v>
      </c>
      <c r="AF264" s="1203">
        <f t="shared" si="360"/>
        <v>0</v>
      </c>
      <c r="AG264" s="1223">
        <f t="shared" si="360"/>
        <v>0</v>
      </c>
      <c r="AH264" s="1202">
        <f t="shared" si="360"/>
        <v>0</v>
      </c>
      <c r="AI264" s="1198">
        <f t="shared" si="360"/>
        <v>0</v>
      </c>
      <c r="AJ264" s="1198">
        <f t="shared" si="360"/>
        <v>0</v>
      </c>
      <c r="AK264" s="1198">
        <f t="shared" si="360"/>
        <v>0</v>
      </c>
      <c r="AL264" s="1198">
        <f t="shared" si="360"/>
        <v>0</v>
      </c>
      <c r="AM264" s="1203">
        <f t="shared" si="360"/>
        <v>0</v>
      </c>
      <c r="AN264" s="2513"/>
      <c r="AO264" s="2551"/>
      <c r="AP264" s="4422"/>
      <c r="AQ264" s="4438">
        <f t="shared" si="320"/>
        <v>3.0677512871773112</v>
      </c>
      <c r="AR264" s="4438">
        <f t="shared" si="321"/>
        <v>2.403071841622221</v>
      </c>
      <c r="AS264" s="4438">
        <f t="shared" si="322"/>
        <v>1.7383923960671313</v>
      </c>
      <c r="AT264" s="4438">
        <f t="shared" si="323"/>
        <v>1.0737129505120413</v>
      </c>
      <c r="AU264" s="4438">
        <f t="shared" si="324"/>
        <v>1.0225837623924225</v>
      </c>
      <c r="AV264" s="4438">
        <f t="shared" si="325"/>
        <v>1.0737129505120413</v>
      </c>
      <c r="AW264" s="4438">
        <f t="shared" si="326"/>
        <v>1.1248421386316603</v>
      </c>
      <c r="AX264" s="4438">
        <f t="shared" si="327"/>
        <v>0</v>
      </c>
      <c r="AY264" s="4438">
        <f t="shared" si="328"/>
        <v>0</v>
      </c>
      <c r="AZ264" s="4438">
        <f t="shared" si="329"/>
        <v>0</v>
      </c>
      <c r="BA264" s="4438">
        <f t="shared" si="330"/>
        <v>0</v>
      </c>
      <c r="BB264" s="4438">
        <f t="shared" si="331"/>
        <v>0</v>
      </c>
      <c r="BC264" s="4438">
        <f t="shared" si="332"/>
        <v>0</v>
      </c>
      <c r="BD264" s="4438">
        <f t="shared" si="333"/>
        <v>0</v>
      </c>
      <c r="BE264" s="4438">
        <f t="shared" si="334"/>
        <v>0</v>
      </c>
      <c r="BF264" s="4438">
        <f t="shared" si="335"/>
        <v>0</v>
      </c>
      <c r="BG264" s="4438">
        <f t="shared" si="336"/>
        <v>0</v>
      </c>
      <c r="BH264" s="4438">
        <f t="shared" si="337"/>
        <v>0</v>
      </c>
      <c r="BI264" s="4438">
        <f t="shared" si="338"/>
        <v>0</v>
      </c>
      <c r="BJ264" s="4438">
        <f t="shared" si="339"/>
        <v>0</v>
      </c>
      <c r="BK264" s="4438">
        <f t="shared" si="340"/>
        <v>0</v>
      </c>
      <c r="BL264" s="4438">
        <f t="shared" si="341"/>
        <v>0</v>
      </c>
      <c r="BM264" s="4438">
        <f t="shared" si="342"/>
        <v>0</v>
      </c>
      <c r="BN264" s="4438">
        <f t="shared" si="343"/>
        <v>0</v>
      </c>
      <c r="BO264" s="4438">
        <f t="shared" si="344"/>
        <v>0</v>
      </c>
      <c r="BP264" s="4438">
        <f t="shared" si="345"/>
        <v>0</v>
      </c>
      <c r="BQ264" s="4438">
        <f t="shared" si="346"/>
        <v>0</v>
      </c>
      <c r="BR264" s="4438">
        <f t="shared" si="347"/>
        <v>0</v>
      </c>
      <c r="BS264" s="4438">
        <f t="shared" si="348"/>
        <v>0</v>
      </c>
      <c r="BT264" s="4438">
        <f t="shared" si="349"/>
        <v>0</v>
      </c>
      <c r="BU264" s="4438">
        <f t="shared" si="350"/>
        <v>0</v>
      </c>
      <c r="BV264" s="4438">
        <f t="shared" si="351"/>
        <v>0</v>
      </c>
      <c r="BW264" s="4438">
        <f t="shared" si="352"/>
        <v>0</v>
      </c>
      <c r="BX264" s="4438">
        <f t="shared" si="353"/>
        <v>0</v>
      </c>
      <c r="BY264" s="4438">
        <f t="shared" si="354"/>
        <v>0</v>
      </c>
    </row>
    <row r="265" spans="1:77" ht="24">
      <c r="A265" s="2515">
        <v>7</v>
      </c>
      <c r="B265" s="2516" t="s">
        <v>706</v>
      </c>
      <c r="C265" s="2517">
        <v>0.1</v>
      </c>
      <c r="D265" s="2552" t="s">
        <v>695</v>
      </c>
      <c r="E265" s="1223">
        <f t="shared" si="362"/>
        <v>1</v>
      </c>
      <c r="F265" s="1202">
        <f t="shared" si="357"/>
        <v>0</v>
      </c>
      <c r="G265" s="1198">
        <f t="shared" si="357"/>
        <v>-1</v>
      </c>
      <c r="H265" s="1198">
        <f t="shared" si="357"/>
        <v>-2</v>
      </c>
      <c r="I265" s="1198">
        <f t="shared" si="357"/>
        <v>-2.6000000000000227</v>
      </c>
      <c r="J265" s="1198">
        <f t="shared" si="357"/>
        <v>-3.2000000000000455</v>
      </c>
      <c r="K265" s="1203">
        <f t="shared" si="357"/>
        <v>-3.8000000000000682</v>
      </c>
      <c r="L265" s="2641">
        <f t="shared" si="357"/>
        <v>0</v>
      </c>
      <c r="M265" s="883">
        <f t="shared" si="358"/>
        <v>0</v>
      </c>
      <c r="N265" s="1198">
        <f t="shared" si="358"/>
        <v>0</v>
      </c>
      <c r="O265" s="1198">
        <f t="shared" si="358"/>
        <v>0</v>
      </c>
      <c r="P265" s="1198">
        <f t="shared" si="358"/>
        <v>0</v>
      </c>
      <c r="Q265" s="1198">
        <f t="shared" si="358"/>
        <v>0</v>
      </c>
      <c r="R265" s="1203">
        <f t="shared" si="358"/>
        <v>0</v>
      </c>
      <c r="S265" s="1223">
        <f t="shared" si="358"/>
        <v>0</v>
      </c>
      <c r="T265" s="1202">
        <f t="shared" si="359"/>
        <v>0</v>
      </c>
      <c r="U265" s="1198">
        <f t="shared" si="359"/>
        <v>0</v>
      </c>
      <c r="V265" s="1198">
        <f t="shared" si="359"/>
        <v>0</v>
      </c>
      <c r="W265" s="1198">
        <f t="shared" si="359"/>
        <v>0</v>
      </c>
      <c r="X265" s="1198">
        <f t="shared" si="359"/>
        <v>0</v>
      </c>
      <c r="Y265" s="1203">
        <f t="shared" si="359"/>
        <v>0</v>
      </c>
      <c r="Z265" s="1223">
        <f t="shared" si="359"/>
        <v>0</v>
      </c>
      <c r="AA265" s="1202">
        <f t="shared" si="360"/>
        <v>0</v>
      </c>
      <c r="AB265" s="1198">
        <f t="shared" si="360"/>
        <v>0</v>
      </c>
      <c r="AC265" s="1198">
        <f t="shared" si="360"/>
        <v>0</v>
      </c>
      <c r="AD265" s="1198">
        <f t="shared" si="360"/>
        <v>0</v>
      </c>
      <c r="AE265" s="1198">
        <f t="shared" si="360"/>
        <v>0</v>
      </c>
      <c r="AF265" s="1203">
        <f t="shared" si="360"/>
        <v>0</v>
      </c>
      <c r="AG265" s="1223">
        <f t="shared" si="360"/>
        <v>0</v>
      </c>
      <c r="AH265" s="1202">
        <f t="shared" si="360"/>
        <v>0</v>
      </c>
      <c r="AI265" s="1198">
        <f t="shared" si="360"/>
        <v>0</v>
      </c>
      <c r="AJ265" s="1198">
        <f t="shared" si="360"/>
        <v>0</v>
      </c>
      <c r="AK265" s="1198">
        <f t="shared" si="360"/>
        <v>0</v>
      </c>
      <c r="AL265" s="1198">
        <f t="shared" si="360"/>
        <v>0</v>
      </c>
      <c r="AM265" s="1203">
        <f t="shared" si="360"/>
        <v>0</v>
      </c>
      <c r="AN265" s="2513"/>
      <c r="AO265" s="2551"/>
      <c r="AP265" s="4422"/>
      <c r="AQ265" s="4438">
        <f t="shared" si="320"/>
        <v>0.51129188119621849</v>
      </c>
      <c r="AR265" s="4438">
        <f t="shared" si="321"/>
        <v>0</v>
      </c>
      <c r="AS265" s="4438">
        <f t="shared" si="322"/>
        <v>-0.51129188119621849</v>
      </c>
      <c r="AT265" s="4438">
        <f t="shared" si="323"/>
        <v>-1.022583762392437</v>
      </c>
      <c r="AU265" s="4438">
        <f t="shared" si="324"/>
        <v>-1.3293588911101797</v>
      </c>
      <c r="AV265" s="4438">
        <f t="shared" si="325"/>
        <v>-1.6361340198279224</v>
      </c>
      <c r="AW265" s="4438">
        <f t="shared" si="326"/>
        <v>-1.9429091485456651</v>
      </c>
      <c r="AX265" s="4438">
        <f t="shared" si="327"/>
        <v>0</v>
      </c>
      <c r="AY265" s="4438">
        <f t="shared" si="328"/>
        <v>0</v>
      </c>
      <c r="AZ265" s="4438">
        <f t="shared" si="329"/>
        <v>0</v>
      </c>
      <c r="BA265" s="4438">
        <f t="shared" si="330"/>
        <v>0</v>
      </c>
      <c r="BB265" s="4438">
        <f t="shared" si="331"/>
        <v>0</v>
      </c>
      <c r="BC265" s="4438">
        <f t="shared" si="332"/>
        <v>0</v>
      </c>
      <c r="BD265" s="4438">
        <f t="shared" si="333"/>
        <v>0</v>
      </c>
      <c r="BE265" s="4438">
        <f t="shared" si="334"/>
        <v>0</v>
      </c>
      <c r="BF265" s="4438">
        <f t="shared" si="335"/>
        <v>0</v>
      </c>
      <c r="BG265" s="4438">
        <f t="shared" si="336"/>
        <v>0</v>
      </c>
      <c r="BH265" s="4438">
        <f t="shared" si="337"/>
        <v>0</v>
      </c>
      <c r="BI265" s="4438">
        <f t="shared" si="338"/>
        <v>0</v>
      </c>
      <c r="BJ265" s="4438">
        <f t="shared" si="339"/>
        <v>0</v>
      </c>
      <c r="BK265" s="4438">
        <f t="shared" si="340"/>
        <v>0</v>
      </c>
      <c r="BL265" s="4438">
        <f t="shared" si="341"/>
        <v>0</v>
      </c>
      <c r="BM265" s="4438">
        <f t="shared" si="342"/>
        <v>0</v>
      </c>
      <c r="BN265" s="4438">
        <f t="shared" si="343"/>
        <v>0</v>
      </c>
      <c r="BO265" s="4438">
        <f t="shared" si="344"/>
        <v>0</v>
      </c>
      <c r="BP265" s="4438">
        <f t="shared" si="345"/>
        <v>0</v>
      </c>
      <c r="BQ265" s="4438">
        <f t="shared" si="346"/>
        <v>0</v>
      </c>
      <c r="BR265" s="4438">
        <f t="shared" si="347"/>
        <v>0</v>
      </c>
      <c r="BS265" s="4438">
        <f t="shared" si="348"/>
        <v>0</v>
      </c>
      <c r="BT265" s="4438">
        <f t="shared" si="349"/>
        <v>0</v>
      </c>
      <c r="BU265" s="4438">
        <f t="shared" si="350"/>
        <v>0</v>
      </c>
      <c r="BV265" s="4438">
        <f t="shared" si="351"/>
        <v>0</v>
      </c>
      <c r="BW265" s="4438">
        <f t="shared" si="352"/>
        <v>0</v>
      </c>
      <c r="BX265" s="4438">
        <f t="shared" si="353"/>
        <v>0</v>
      </c>
      <c r="BY265" s="4438">
        <f t="shared" si="354"/>
        <v>0</v>
      </c>
    </row>
    <row r="266" spans="1:77">
      <c r="A266" s="2515">
        <v>8</v>
      </c>
      <c r="B266" s="2516" t="s">
        <v>716</v>
      </c>
      <c r="C266" s="2517">
        <v>0.1</v>
      </c>
      <c r="D266" s="2552" t="s">
        <v>713</v>
      </c>
      <c r="E266" s="1223">
        <f t="shared" si="362"/>
        <v>2516</v>
      </c>
      <c r="F266" s="1202">
        <f t="shared" si="357"/>
        <v>1887</v>
      </c>
      <c r="G266" s="1198">
        <f t="shared" si="357"/>
        <v>1258</v>
      </c>
      <c r="H266" s="1198">
        <f t="shared" si="357"/>
        <v>629</v>
      </c>
      <c r="I266" s="1198">
        <f t="shared" si="357"/>
        <v>0</v>
      </c>
      <c r="J266" s="1198">
        <f t="shared" si="357"/>
        <v>-629</v>
      </c>
      <c r="K266" s="1203">
        <f t="shared" si="357"/>
        <v>-1258</v>
      </c>
      <c r="L266" s="2641">
        <f t="shared" si="357"/>
        <v>0</v>
      </c>
      <c r="M266" s="883">
        <f t="shared" si="358"/>
        <v>0</v>
      </c>
      <c r="N266" s="1198">
        <f t="shared" si="358"/>
        <v>0</v>
      </c>
      <c r="O266" s="1198">
        <f t="shared" si="358"/>
        <v>0</v>
      </c>
      <c r="P266" s="1198">
        <f t="shared" si="358"/>
        <v>0</v>
      </c>
      <c r="Q266" s="1198">
        <f t="shared" si="358"/>
        <v>0</v>
      </c>
      <c r="R266" s="1203">
        <f t="shared" si="358"/>
        <v>0</v>
      </c>
      <c r="S266" s="1223">
        <f t="shared" si="358"/>
        <v>0</v>
      </c>
      <c r="T266" s="1202">
        <f t="shared" si="359"/>
        <v>0</v>
      </c>
      <c r="U266" s="1198">
        <f t="shared" si="359"/>
        <v>0</v>
      </c>
      <c r="V266" s="1198">
        <f t="shared" si="359"/>
        <v>0</v>
      </c>
      <c r="W266" s="1198">
        <f t="shared" si="359"/>
        <v>0</v>
      </c>
      <c r="X266" s="1198">
        <f t="shared" si="359"/>
        <v>0</v>
      </c>
      <c r="Y266" s="1203">
        <f t="shared" si="359"/>
        <v>0</v>
      </c>
      <c r="Z266" s="1223">
        <f t="shared" si="359"/>
        <v>0</v>
      </c>
      <c r="AA266" s="1202">
        <f t="shared" si="360"/>
        <v>0</v>
      </c>
      <c r="AB266" s="1198">
        <f t="shared" si="360"/>
        <v>0</v>
      </c>
      <c r="AC266" s="1198">
        <f t="shared" si="360"/>
        <v>0</v>
      </c>
      <c r="AD266" s="1198">
        <f t="shared" si="360"/>
        <v>0</v>
      </c>
      <c r="AE266" s="1198">
        <f t="shared" si="360"/>
        <v>0</v>
      </c>
      <c r="AF266" s="1203">
        <f t="shared" si="360"/>
        <v>0</v>
      </c>
      <c r="AG266" s="1223">
        <f t="shared" si="360"/>
        <v>0</v>
      </c>
      <c r="AH266" s="1202">
        <f t="shared" si="360"/>
        <v>0</v>
      </c>
      <c r="AI266" s="1198">
        <f t="shared" si="360"/>
        <v>0</v>
      </c>
      <c r="AJ266" s="1198">
        <f t="shared" si="360"/>
        <v>0</v>
      </c>
      <c r="AK266" s="1198">
        <f t="shared" si="360"/>
        <v>0</v>
      </c>
      <c r="AL266" s="1198">
        <f t="shared" si="360"/>
        <v>0</v>
      </c>
      <c r="AM266" s="1203">
        <f t="shared" si="360"/>
        <v>0</v>
      </c>
      <c r="AN266" s="2513"/>
      <c r="AO266" s="2551"/>
      <c r="AP266" s="4422"/>
      <c r="AQ266" s="4438">
        <f t="shared" si="320"/>
        <v>1286.4103730896857</v>
      </c>
      <c r="AR266" s="4438">
        <f t="shared" si="321"/>
        <v>964.8077798172643</v>
      </c>
      <c r="AS266" s="4438">
        <f t="shared" si="322"/>
        <v>643.20518654484283</v>
      </c>
      <c r="AT266" s="4438">
        <f t="shared" si="323"/>
        <v>321.60259327242142</v>
      </c>
      <c r="AU266" s="4438">
        <f t="shared" si="324"/>
        <v>0</v>
      </c>
      <c r="AV266" s="4438">
        <f t="shared" si="325"/>
        <v>-321.60259327242142</v>
      </c>
      <c r="AW266" s="4438">
        <f t="shared" si="326"/>
        <v>-643.20518654484283</v>
      </c>
      <c r="AX266" s="4438">
        <f t="shared" si="327"/>
        <v>0</v>
      </c>
      <c r="AY266" s="4438">
        <f t="shared" si="328"/>
        <v>0</v>
      </c>
      <c r="AZ266" s="4438">
        <f t="shared" si="329"/>
        <v>0</v>
      </c>
      <c r="BA266" s="4438">
        <f t="shared" si="330"/>
        <v>0</v>
      </c>
      <c r="BB266" s="4438">
        <f t="shared" si="331"/>
        <v>0</v>
      </c>
      <c r="BC266" s="4438">
        <f t="shared" si="332"/>
        <v>0</v>
      </c>
      <c r="BD266" s="4438">
        <f t="shared" si="333"/>
        <v>0</v>
      </c>
      <c r="BE266" s="4438">
        <f t="shared" si="334"/>
        <v>0</v>
      </c>
      <c r="BF266" s="4438">
        <f t="shared" si="335"/>
        <v>0</v>
      </c>
      <c r="BG266" s="4438">
        <f t="shared" si="336"/>
        <v>0</v>
      </c>
      <c r="BH266" s="4438">
        <f t="shared" si="337"/>
        <v>0</v>
      </c>
      <c r="BI266" s="4438">
        <f t="shared" si="338"/>
        <v>0</v>
      </c>
      <c r="BJ266" s="4438">
        <f t="shared" si="339"/>
        <v>0</v>
      </c>
      <c r="BK266" s="4438">
        <f t="shared" si="340"/>
        <v>0</v>
      </c>
      <c r="BL266" s="4438">
        <f t="shared" si="341"/>
        <v>0</v>
      </c>
      <c r="BM266" s="4438">
        <f t="shared" si="342"/>
        <v>0</v>
      </c>
      <c r="BN266" s="4438">
        <f t="shared" si="343"/>
        <v>0</v>
      </c>
      <c r="BO266" s="4438">
        <f t="shared" si="344"/>
        <v>0</v>
      </c>
      <c r="BP266" s="4438">
        <f t="shared" si="345"/>
        <v>0</v>
      </c>
      <c r="BQ266" s="4438">
        <f t="shared" si="346"/>
        <v>0</v>
      </c>
      <c r="BR266" s="4438">
        <f t="shared" si="347"/>
        <v>0</v>
      </c>
      <c r="BS266" s="4438">
        <f t="shared" si="348"/>
        <v>0</v>
      </c>
      <c r="BT266" s="4438">
        <f t="shared" si="349"/>
        <v>0</v>
      </c>
      <c r="BU266" s="4438">
        <f t="shared" si="350"/>
        <v>0</v>
      </c>
      <c r="BV266" s="4438">
        <f t="shared" si="351"/>
        <v>0</v>
      </c>
      <c r="BW266" s="4438">
        <f t="shared" si="352"/>
        <v>0</v>
      </c>
      <c r="BX266" s="4438">
        <f t="shared" si="353"/>
        <v>0</v>
      </c>
      <c r="BY266" s="4438">
        <f t="shared" si="354"/>
        <v>0</v>
      </c>
    </row>
    <row r="267" spans="1:77">
      <c r="A267" s="2573">
        <v>9</v>
      </c>
      <c r="B267" s="2516">
        <v>911306</v>
      </c>
      <c r="C267" s="2517">
        <v>0.1</v>
      </c>
      <c r="D267" s="2552" t="s">
        <v>1032</v>
      </c>
      <c r="E267" s="1223">
        <f t="shared" si="362"/>
        <v>33</v>
      </c>
      <c r="F267" s="1202">
        <f t="shared" si="357"/>
        <v>25</v>
      </c>
      <c r="G267" s="1198">
        <f t="shared" si="357"/>
        <v>17</v>
      </c>
      <c r="H267" s="1198">
        <f t="shared" si="357"/>
        <v>9</v>
      </c>
      <c r="I267" s="1198">
        <f t="shared" si="357"/>
        <v>1.3000000000000114</v>
      </c>
      <c r="J267" s="1198">
        <f t="shared" si="357"/>
        <v>-6.3999999999999773</v>
      </c>
      <c r="K267" s="1203">
        <f t="shared" si="357"/>
        <v>-14.099999999999966</v>
      </c>
      <c r="L267" s="2641">
        <f t="shared" si="357"/>
        <v>193</v>
      </c>
      <c r="M267" s="883">
        <f t="shared" si="358"/>
        <v>162</v>
      </c>
      <c r="N267" s="1198">
        <f t="shared" si="358"/>
        <v>131</v>
      </c>
      <c r="O267" s="1198">
        <f t="shared" si="358"/>
        <v>100</v>
      </c>
      <c r="P267" s="1198">
        <f t="shared" si="358"/>
        <v>69</v>
      </c>
      <c r="Q267" s="1198">
        <f t="shared" si="358"/>
        <v>38</v>
      </c>
      <c r="R267" s="1203">
        <f t="shared" si="358"/>
        <v>7</v>
      </c>
      <c r="S267" s="1223">
        <f t="shared" si="358"/>
        <v>4629</v>
      </c>
      <c r="T267" s="1202">
        <f t="shared" si="359"/>
        <v>2869</v>
      </c>
      <c r="U267" s="1198">
        <f t="shared" si="359"/>
        <v>1109</v>
      </c>
      <c r="V267" s="1198">
        <f t="shared" si="359"/>
        <v>-651</v>
      </c>
      <c r="W267" s="1198">
        <f t="shared" si="359"/>
        <v>-2411</v>
      </c>
      <c r="X267" s="1198">
        <f t="shared" si="359"/>
        <v>-4171</v>
      </c>
      <c r="Y267" s="1203">
        <f t="shared" si="359"/>
        <v>-5931</v>
      </c>
      <c r="Z267" s="1223">
        <f t="shared" si="359"/>
        <v>0</v>
      </c>
      <c r="AA267" s="1202">
        <f t="shared" si="360"/>
        <v>0</v>
      </c>
      <c r="AB267" s="1198">
        <f t="shared" si="360"/>
        <v>0</v>
      </c>
      <c r="AC267" s="1198">
        <f t="shared" si="360"/>
        <v>0</v>
      </c>
      <c r="AD267" s="1198">
        <f t="shared" si="360"/>
        <v>0</v>
      </c>
      <c r="AE267" s="1198">
        <f t="shared" si="360"/>
        <v>0</v>
      </c>
      <c r="AF267" s="1203">
        <f t="shared" si="360"/>
        <v>0</v>
      </c>
      <c r="AG267" s="1223">
        <f t="shared" si="360"/>
        <v>0</v>
      </c>
      <c r="AH267" s="1202">
        <f t="shared" si="360"/>
        <v>0</v>
      </c>
      <c r="AI267" s="1198">
        <f t="shared" si="360"/>
        <v>0</v>
      </c>
      <c r="AJ267" s="1198">
        <f t="shared" si="360"/>
        <v>0</v>
      </c>
      <c r="AK267" s="1198">
        <f t="shared" si="360"/>
        <v>0</v>
      </c>
      <c r="AL267" s="1198">
        <f t="shared" si="360"/>
        <v>0</v>
      </c>
      <c r="AM267" s="1203">
        <f t="shared" si="360"/>
        <v>0</v>
      </c>
      <c r="AN267" s="2513"/>
      <c r="AO267" s="2551"/>
      <c r="AP267" s="4422"/>
      <c r="AQ267" s="4438">
        <f t="shared" si="320"/>
        <v>16.87263207947521</v>
      </c>
      <c r="AR267" s="4438">
        <f t="shared" si="321"/>
        <v>12.782297029905463</v>
      </c>
      <c r="AS267" s="4438">
        <f t="shared" si="322"/>
        <v>8.691961980335714</v>
      </c>
      <c r="AT267" s="4438">
        <f t="shared" si="323"/>
        <v>4.6016269307659661</v>
      </c>
      <c r="AU267" s="4438">
        <f t="shared" si="324"/>
        <v>0.66467944555508984</v>
      </c>
      <c r="AV267" s="4438">
        <f t="shared" si="325"/>
        <v>-3.2722680396557866</v>
      </c>
      <c r="AW267" s="4438">
        <f t="shared" si="326"/>
        <v>-7.2092155248666634</v>
      </c>
      <c r="AX267" s="4438">
        <f t="shared" si="327"/>
        <v>98.679333070870172</v>
      </c>
      <c r="AY267" s="4438">
        <f t="shared" si="328"/>
        <v>82.829284753787391</v>
      </c>
      <c r="AZ267" s="4438">
        <f t="shared" si="329"/>
        <v>66.979236436704625</v>
      </c>
      <c r="BA267" s="4438">
        <f t="shared" si="330"/>
        <v>51.129188119621851</v>
      </c>
      <c r="BB267" s="4438">
        <f t="shared" si="331"/>
        <v>35.279139802539078</v>
      </c>
      <c r="BC267" s="4438">
        <f t="shared" si="332"/>
        <v>19.429091485456304</v>
      </c>
      <c r="BD267" s="4438">
        <f t="shared" si="333"/>
        <v>3.5790431683735293</v>
      </c>
      <c r="BE267" s="4438">
        <f t="shared" si="334"/>
        <v>2366.7701180572953</v>
      </c>
      <c r="BF267" s="4438">
        <f t="shared" si="335"/>
        <v>1466.8964071519508</v>
      </c>
      <c r="BG267" s="4438">
        <f t="shared" si="336"/>
        <v>567.0226962466063</v>
      </c>
      <c r="BH267" s="4438">
        <f t="shared" si="337"/>
        <v>-332.85101465873822</v>
      </c>
      <c r="BI267" s="4438">
        <f t="shared" si="338"/>
        <v>-1232.7247255640827</v>
      </c>
      <c r="BJ267" s="4438">
        <f t="shared" si="339"/>
        <v>-2132.5984364694273</v>
      </c>
      <c r="BK267" s="4438">
        <f t="shared" si="340"/>
        <v>-3032.4721473747718</v>
      </c>
      <c r="BL267" s="4438">
        <f t="shared" si="341"/>
        <v>0</v>
      </c>
      <c r="BM267" s="4438">
        <f t="shared" si="342"/>
        <v>0</v>
      </c>
      <c r="BN267" s="4438">
        <f t="shared" si="343"/>
        <v>0</v>
      </c>
      <c r="BO267" s="4438">
        <f t="shared" si="344"/>
        <v>0</v>
      </c>
      <c r="BP267" s="4438">
        <f t="shared" si="345"/>
        <v>0</v>
      </c>
      <c r="BQ267" s="4438">
        <f t="shared" si="346"/>
        <v>0</v>
      </c>
      <c r="BR267" s="4438">
        <f t="shared" si="347"/>
        <v>0</v>
      </c>
      <c r="BS267" s="4438">
        <f t="shared" si="348"/>
        <v>0</v>
      </c>
      <c r="BT267" s="4438">
        <f t="shared" si="349"/>
        <v>0</v>
      </c>
      <c r="BU267" s="4438">
        <f t="shared" si="350"/>
        <v>0</v>
      </c>
      <c r="BV267" s="4438">
        <f t="shared" si="351"/>
        <v>0</v>
      </c>
      <c r="BW267" s="4438">
        <f t="shared" si="352"/>
        <v>0</v>
      </c>
      <c r="BX267" s="4438">
        <f t="shared" si="353"/>
        <v>0</v>
      </c>
      <c r="BY267" s="4438">
        <f t="shared" si="354"/>
        <v>0</v>
      </c>
    </row>
    <row r="268" spans="1:77">
      <c r="A268" s="2573">
        <v>10</v>
      </c>
      <c r="B268" s="2516">
        <v>91140101</v>
      </c>
      <c r="C268" s="2572">
        <v>0.1</v>
      </c>
      <c r="D268" s="2546" t="s">
        <v>1016</v>
      </c>
      <c r="E268" s="1223">
        <f t="shared" si="362"/>
        <v>145</v>
      </c>
      <c r="F268" s="1202">
        <f t="shared" si="357"/>
        <v>136</v>
      </c>
      <c r="G268" s="1198">
        <f t="shared" si="357"/>
        <v>127</v>
      </c>
      <c r="H268" s="1198">
        <f t="shared" si="357"/>
        <v>118</v>
      </c>
      <c r="I268" s="1198">
        <f t="shared" si="357"/>
        <v>116.69999999999999</v>
      </c>
      <c r="J268" s="1198">
        <f t="shared" si="357"/>
        <v>115.39999999999998</v>
      </c>
      <c r="K268" s="1203">
        <f t="shared" si="357"/>
        <v>114.09999999999997</v>
      </c>
      <c r="L268" s="2641">
        <f t="shared" si="357"/>
        <v>0</v>
      </c>
      <c r="M268" s="883">
        <f t="shared" si="358"/>
        <v>0</v>
      </c>
      <c r="N268" s="1198">
        <f t="shared" si="358"/>
        <v>0</v>
      </c>
      <c r="O268" s="1198">
        <f t="shared" si="358"/>
        <v>0</v>
      </c>
      <c r="P268" s="1198">
        <f t="shared" si="358"/>
        <v>0</v>
      </c>
      <c r="Q268" s="1198">
        <f t="shared" si="358"/>
        <v>0</v>
      </c>
      <c r="R268" s="1203">
        <f t="shared" si="358"/>
        <v>0</v>
      </c>
      <c r="S268" s="1223">
        <f t="shared" si="358"/>
        <v>0</v>
      </c>
      <c r="T268" s="1202">
        <f t="shared" si="359"/>
        <v>0</v>
      </c>
      <c r="U268" s="1198">
        <f t="shared" si="359"/>
        <v>0</v>
      </c>
      <c r="V268" s="1198">
        <f t="shared" si="359"/>
        <v>0</v>
      </c>
      <c r="W268" s="1198">
        <f t="shared" si="359"/>
        <v>0</v>
      </c>
      <c r="X268" s="1198">
        <f t="shared" si="359"/>
        <v>0</v>
      </c>
      <c r="Y268" s="1203">
        <f t="shared" si="359"/>
        <v>0</v>
      </c>
      <c r="Z268" s="1223">
        <f t="shared" si="359"/>
        <v>0</v>
      </c>
      <c r="AA268" s="1202">
        <f t="shared" si="360"/>
        <v>0</v>
      </c>
      <c r="AB268" s="1198">
        <f t="shared" si="360"/>
        <v>0</v>
      </c>
      <c r="AC268" s="1198">
        <f t="shared" si="360"/>
        <v>0</v>
      </c>
      <c r="AD268" s="1198">
        <f t="shared" si="360"/>
        <v>0</v>
      </c>
      <c r="AE268" s="1198">
        <f t="shared" si="360"/>
        <v>0</v>
      </c>
      <c r="AF268" s="1203">
        <f t="shared" si="360"/>
        <v>0</v>
      </c>
      <c r="AG268" s="1223">
        <f t="shared" si="360"/>
        <v>0</v>
      </c>
      <c r="AH268" s="1202">
        <f t="shared" si="360"/>
        <v>0</v>
      </c>
      <c r="AI268" s="1198">
        <f t="shared" si="360"/>
        <v>0</v>
      </c>
      <c r="AJ268" s="1198">
        <f t="shared" si="360"/>
        <v>0</v>
      </c>
      <c r="AK268" s="1198">
        <f t="shared" si="360"/>
        <v>0</v>
      </c>
      <c r="AL268" s="1198">
        <f t="shared" si="360"/>
        <v>0</v>
      </c>
      <c r="AM268" s="1203">
        <f t="shared" si="360"/>
        <v>0</v>
      </c>
      <c r="AN268" s="2513"/>
      <c r="AO268" s="2551"/>
      <c r="AP268" s="4422"/>
      <c r="AQ268" s="4438">
        <f t="shared" si="320"/>
        <v>74.137322773451686</v>
      </c>
      <c r="AR268" s="4438">
        <f t="shared" si="321"/>
        <v>69.535695842685712</v>
      </c>
      <c r="AS268" s="4438">
        <f t="shared" si="322"/>
        <v>64.934068911919752</v>
      </c>
      <c r="AT268" s="4438">
        <f t="shared" si="323"/>
        <v>60.332441981153785</v>
      </c>
      <c r="AU268" s="4438">
        <f t="shared" si="324"/>
        <v>59.66776253559869</v>
      </c>
      <c r="AV268" s="4438">
        <f t="shared" si="325"/>
        <v>59.003083090043603</v>
      </c>
      <c r="AW268" s="4438">
        <f t="shared" si="326"/>
        <v>58.338403644488515</v>
      </c>
      <c r="AX268" s="4438">
        <f t="shared" si="327"/>
        <v>0</v>
      </c>
      <c r="AY268" s="4438">
        <f t="shared" si="328"/>
        <v>0</v>
      </c>
      <c r="AZ268" s="4438">
        <f t="shared" si="329"/>
        <v>0</v>
      </c>
      <c r="BA268" s="4438">
        <f t="shared" si="330"/>
        <v>0</v>
      </c>
      <c r="BB268" s="4438">
        <f t="shared" si="331"/>
        <v>0</v>
      </c>
      <c r="BC268" s="4438">
        <f t="shared" si="332"/>
        <v>0</v>
      </c>
      <c r="BD268" s="4438">
        <f t="shared" si="333"/>
        <v>0</v>
      </c>
      <c r="BE268" s="4438">
        <f t="shared" si="334"/>
        <v>0</v>
      </c>
      <c r="BF268" s="4438">
        <f t="shared" si="335"/>
        <v>0</v>
      </c>
      <c r="BG268" s="4438">
        <f t="shared" si="336"/>
        <v>0</v>
      </c>
      <c r="BH268" s="4438">
        <f t="shared" si="337"/>
        <v>0</v>
      </c>
      <c r="BI268" s="4438">
        <f t="shared" si="338"/>
        <v>0</v>
      </c>
      <c r="BJ268" s="4438">
        <f t="shared" si="339"/>
        <v>0</v>
      </c>
      <c r="BK268" s="4438">
        <f t="shared" si="340"/>
        <v>0</v>
      </c>
      <c r="BL268" s="4438">
        <f t="shared" si="341"/>
        <v>0</v>
      </c>
      <c r="BM268" s="4438">
        <f t="shared" si="342"/>
        <v>0</v>
      </c>
      <c r="BN268" s="4438">
        <f t="shared" si="343"/>
        <v>0</v>
      </c>
      <c r="BO268" s="4438">
        <f t="shared" si="344"/>
        <v>0</v>
      </c>
      <c r="BP268" s="4438">
        <f t="shared" si="345"/>
        <v>0</v>
      </c>
      <c r="BQ268" s="4438">
        <f t="shared" si="346"/>
        <v>0</v>
      </c>
      <c r="BR268" s="4438">
        <f t="shared" si="347"/>
        <v>0</v>
      </c>
      <c r="BS268" s="4438">
        <f t="shared" si="348"/>
        <v>0</v>
      </c>
      <c r="BT268" s="4438">
        <f t="shared" si="349"/>
        <v>0</v>
      </c>
      <c r="BU268" s="4438">
        <f t="shared" si="350"/>
        <v>0</v>
      </c>
      <c r="BV268" s="4438">
        <f t="shared" si="351"/>
        <v>0</v>
      </c>
      <c r="BW268" s="4438">
        <f t="shared" si="352"/>
        <v>0</v>
      </c>
      <c r="BX268" s="4438">
        <f t="shared" si="353"/>
        <v>0</v>
      </c>
      <c r="BY268" s="4438">
        <f t="shared" si="354"/>
        <v>0</v>
      </c>
    </row>
    <row r="269" spans="1:77">
      <c r="A269" s="2573">
        <v>11</v>
      </c>
      <c r="B269" s="2516">
        <v>91140102</v>
      </c>
      <c r="C269" s="2572">
        <v>0.04</v>
      </c>
      <c r="D269" s="2546" t="s">
        <v>432</v>
      </c>
      <c r="E269" s="1223">
        <f t="shared" si="362"/>
        <v>0</v>
      </c>
      <c r="F269" s="1202">
        <f t="shared" si="357"/>
        <v>0</v>
      </c>
      <c r="G269" s="1198">
        <f t="shared" si="357"/>
        <v>0</v>
      </c>
      <c r="H269" s="1198">
        <f t="shared" si="357"/>
        <v>0</v>
      </c>
      <c r="I269" s="1198">
        <f t="shared" si="357"/>
        <v>0</v>
      </c>
      <c r="J269" s="1198">
        <f t="shared" si="357"/>
        <v>0</v>
      </c>
      <c r="K269" s="1203">
        <f t="shared" si="357"/>
        <v>0</v>
      </c>
      <c r="L269" s="2641">
        <f t="shared" si="357"/>
        <v>0</v>
      </c>
      <c r="M269" s="883">
        <f t="shared" si="358"/>
        <v>0</v>
      </c>
      <c r="N269" s="1198">
        <f t="shared" si="358"/>
        <v>0</v>
      </c>
      <c r="O269" s="1198">
        <f t="shared" si="358"/>
        <v>0</v>
      </c>
      <c r="P269" s="1198">
        <f t="shared" si="358"/>
        <v>0</v>
      </c>
      <c r="Q269" s="1198">
        <f t="shared" si="358"/>
        <v>0</v>
      </c>
      <c r="R269" s="1203">
        <f t="shared" si="358"/>
        <v>0</v>
      </c>
      <c r="S269" s="1223">
        <f t="shared" si="358"/>
        <v>0</v>
      </c>
      <c r="T269" s="1202">
        <f t="shared" si="359"/>
        <v>0</v>
      </c>
      <c r="U269" s="1198">
        <f t="shared" si="359"/>
        <v>0</v>
      </c>
      <c r="V269" s="1198">
        <f t="shared" si="359"/>
        <v>0</v>
      </c>
      <c r="W269" s="1198">
        <f t="shared" si="359"/>
        <v>0</v>
      </c>
      <c r="X269" s="1198">
        <f t="shared" si="359"/>
        <v>0</v>
      </c>
      <c r="Y269" s="1203">
        <f t="shared" si="359"/>
        <v>0</v>
      </c>
      <c r="Z269" s="1223">
        <f t="shared" si="359"/>
        <v>0</v>
      </c>
      <c r="AA269" s="1202">
        <f t="shared" si="360"/>
        <v>0</v>
      </c>
      <c r="AB269" s="1198">
        <f t="shared" si="360"/>
        <v>0</v>
      </c>
      <c r="AC269" s="1198">
        <f t="shared" si="360"/>
        <v>0</v>
      </c>
      <c r="AD269" s="1198">
        <f t="shared" si="360"/>
        <v>0</v>
      </c>
      <c r="AE269" s="1198">
        <f t="shared" si="360"/>
        <v>0</v>
      </c>
      <c r="AF269" s="1203">
        <f t="shared" si="360"/>
        <v>0</v>
      </c>
      <c r="AG269" s="1223">
        <f t="shared" si="360"/>
        <v>0</v>
      </c>
      <c r="AH269" s="1202">
        <f t="shared" si="360"/>
        <v>0</v>
      </c>
      <c r="AI269" s="1198">
        <f t="shared" si="360"/>
        <v>0</v>
      </c>
      <c r="AJ269" s="1198">
        <f t="shared" si="360"/>
        <v>0</v>
      </c>
      <c r="AK269" s="1198">
        <f t="shared" si="360"/>
        <v>0</v>
      </c>
      <c r="AL269" s="1198">
        <f t="shared" si="360"/>
        <v>0</v>
      </c>
      <c r="AM269" s="1203">
        <f t="shared" si="360"/>
        <v>0</v>
      </c>
      <c r="AN269" s="2513"/>
      <c r="AO269" s="2551"/>
      <c r="AP269" s="4422"/>
      <c r="AQ269" s="4438">
        <f t="shared" si="320"/>
        <v>0</v>
      </c>
      <c r="AR269" s="4438">
        <f t="shared" si="321"/>
        <v>0</v>
      </c>
      <c r="AS269" s="4438">
        <f t="shared" si="322"/>
        <v>0</v>
      </c>
      <c r="AT269" s="4438">
        <f t="shared" si="323"/>
        <v>0</v>
      </c>
      <c r="AU269" s="4438">
        <f t="shared" si="324"/>
        <v>0</v>
      </c>
      <c r="AV269" s="4438">
        <f t="shared" si="325"/>
        <v>0</v>
      </c>
      <c r="AW269" s="4438">
        <f t="shared" si="326"/>
        <v>0</v>
      </c>
      <c r="AX269" s="4438">
        <f t="shared" si="327"/>
        <v>0</v>
      </c>
      <c r="AY269" s="4438">
        <f t="shared" si="328"/>
        <v>0</v>
      </c>
      <c r="AZ269" s="4438">
        <f t="shared" si="329"/>
        <v>0</v>
      </c>
      <c r="BA269" s="4438">
        <f t="shared" si="330"/>
        <v>0</v>
      </c>
      <c r="BB269" s="4438">
        <f t="shared" si="331"/>
        <v>0</v>
      </c>
      <c r="BC269" s="4438">
        <f t="shared" si="332"/>
        <v>0</v>
      </c>
      <c r="BD269" s="4438">
        <f t="shared" si="333"/>
        <v>0</v>
      </c>
      <c r="BE269" s="4438">
        <f t="shared" si="334"/>
        <v>0</v>
      </c>
      <c r="BF269" s="4438">
        <f t="shared" si="335"/>
        <v>0</v>
      </c>
      <c r="BG269" s="4438">
        <f t="shared" si="336"/>
        <v>0</v>
      </c>
      <c r="BH269" s="4438">
        <f t="shared" si="337"/>
        <v>0</v>
      </c>
      <c r="BI269" s="4438">
        <f t="shared" si="338"/>
        <v>0</v>
      </c>
      <c r="BJ269" s="4438">
        <f t="shared" si="339"/>
        <v>0</v>
      </c>
      <c r="BK269" s="4438">
        <f t="shared" si="340"/>
        <v>0</v>
      </c>
      <c r="BL269" s="4438">
        <f t="shared" si="341"/>
        <v>0</v>
      </c>
      <c r="BM269" s="4438">
        <f t="shared" si="342"/>
        <v>0</v>
      </c>
      <c r="BN269" s="4438">
        <f t="shared" si="343"/>
        <v>0</v>
      </c>
      <c r="BO269" s="4438">
        <f t="shared" si="344"/>
        <v>0</v>
      </c>
      <c r="BP269" s="4438">
        <f t="shared" si="345"/>
        <v>0</v>
      </c>
      <c r="BQ269" s="4438">
        <f t="shared" si="346"/>
        <v>0</v>
      </c>
      <c r="BR269" s="4438">
        <f t="shared" si="347"/>
        <v>0</v>
      </c>
      <c r="BS269" s="4438">
        <f t="shared" si="348"/>
        <v>0</v>
      </c>
      <c r="BT269" s="4438">
        <f t="shared" si="349"/>
        <v>0</v>
      </c>
      <c r="BU269" s="4438">
        <f t="shared" si="350"/>
        <v>0</v>
      </c>
      <c r="BV269" s="4438">
        <f t="shared" si="351"/>
        <v>0</v>
      </c>
      <c r="BW269" s="4438">
        <f t="shared" si="352"/>
        <v>0</v>
      </c>
      <c r="BX269" s="4438">
        <f t="shared" si="353"/>
        <v>0</v>
      </c>
      <c r="BY269" s="4438">
        <f t="shared" si="354"/>
        <v>0</v>
      </c>
    </row>
    <row r="270" spans="1:77">
      <c r="A270" s="2573">
        <v>12</v>
      </c>
      <c r="B270" s="2516" t="s">
        <v>698</v>
      </c>
      <c r="C270" s="2517">
        <v>0.02</v>
      </c>
      <c r="D270" s="2547" t="s">
        <v>738</v>
      </c>
      <c r="E270" s="1223">
        <f t="shared" si="362"/>
        <v>0</v>
      </c>
      <c r="F270" s="1202">
        <f t="shared" si="357"/>
        <v>0</v>
      </c>
      <c r="G270" s="1198">
        <f t="shared" si="357"/>
        <v>0</v>
      </c>
      <c r="H270" s="1198">
        <f t="shared" si="357"/>
        <v>0</v>
      </c>
      <c r="I270" s="1198">
        <f t="shared" si="357"/>
        <v>0</v>
      </c>
      <c r="J270" s="1198">
        <f t="shared" si="357"/>
        <v>0</v>
      </c>
      <c r="K270" s="1203">
        <f t="shared" si="357"/>
        <v>0</v>
      </c>
      <c r="L270" s="2641">
        <f t="shared" si="357"/>
        <v>63</v>
      </c>
      <c r="M270" s="883">
        <f t="shared" si="358"/>
        <v>62</v>
      </c>
      <c r="N270" s="1198">
        <f t="shared" si="358"/>
        <v>61</v>
      </c>
      <c r="O270" s="1198">
        <f t="shared" si="358"/>
        <v>60</v>
      </c>
      <c r="P270" s="1198">
        <f t="shared" si="358"/>
        <v>59</v>
      </c>
      <c r="Q270" s="1198">
        <f t="shared" si="358"/>
        <v>58</v>
      </c>
      <c r="R270" s="1203">
        <f t="shared" si="358"/>
        <v>57</v>
      </c>
      <c r="S270" s="1223">
        <f t="shared" si="358"/>
        <v>0</v>
      </c>
      <c r="T270" s="1202">
        <f t="shared" si="359"/>
        <v>0</v>
      </c>
      <c r="U270" s="1198">
        <f t="shared" si="359"/>
        <v>0</v>
      </c>
      <c r="V270" s="1198">
        <f t="shared" si="359"/>
        <v>0</v>
      </c>
      <c r="W270" s="1198">
        <f t="shared" si="359"/>
        <v>0</v>
      </c>
      <c r="X270" s="1198">
        <f t="shared" si="359"/>
        <v>0</v>
      </c>
      <c r="Y270" s="1203">
        <f t="shared" si="359"/>
        <v>0</v>
      </c>
      <c r="Z270" s="1223">
        <f t="shared" si="359"/>
        <v>0</v>
      </c>
      <c r="AA270" s="1202">
        <f t="shared" si="360"/>
        <v>0</v>
      </c>
      <c r="AB270" s="1198">
        <f t="shared" si="360"/>
        <v>0</v>
      </c>
      <c r="AC270" s="1198">
        <f t="shared" si="360"/>
        <v>0</v>
      </c>
      <c r="AD270" s="1198">
        <f t="shared" si="360"/>
        <v>0</v>
      </c>
      <c r="AE270" s="1198">
        <f t="shared" si="360"/>
        <v>0</v>
      </c>
      <c r="AF270" s="1203">
        <f t="shared" si="360"/>
        <v>0</v>
      </c>
      <c r="AG270" s="1223">
        <f t="shared" si="360"/>
        <v>0</v>
      </c>
      <c r="AH270" s="1202">
        <f t="shared" si="360"/>
        <v>0</v>
      </c>
      <c r="AI270" s="1198">
        <f t="shared" si="360"/>
        <v>0</v>
      </c>
      <c r="AJ270" s="1198">
        <f t="shared" si="360"/>
        <v>0</v>
      </c>
      <c r="AK270" s="1198">
        <f t="shared" si="360"/>
        <v>0</v>
      </c>
      <c r="AL270" s="1198">
        <f t="shared" si="360"/>
        <v>0</v>
      </c>
      <c r="AM270" s="1203">
        <f t="shared" si="360"/>
        <v>0</v>
      </c>
      <c r="AN270" s="2513"/>
      <c r="AO270" s="2551"/>
      <c r="AP270" s="4422"/>
      <c r="AQ270" s="4438">
        <f t="shared" si="320"/>
        <v>0</v>
      </c>
      <c r="AR270" s="4438">
        <f t="shared" si="321"/>
        <v>0</v>
      </c>
      <c r="AS270" s="4438">
        <f t="shared" si="322"/>
        <v>0</v>
      </c>
      <c r="AT270" s="4438">
        <f t="shared" si="323"/>
        <v>0</v>
      </c>
      <c r="AU270" s="4438">
        <f t="shared" si="324"/>
        <v>0</v>
      </c>
      <c r="AV270" s="4438">
        <f t="shared" si="325"/>
        <v>0</v>
      </c>
      <c r="AW270" s="4438">
        <f t="shared" si="326"/>
        <v>0</v>
      </c>
      <c r="AX270" s="4438">
        <f t="shared" si="327"/>
        <v>32.211388515361769</v>
      </c>
      <c r="AY270" s="4438">
        <f t="shared" si="328"/>
        <v>31.700096634165547</v>
      </c>
      <c r="AZ270" s="4438">
        <f t="shared" si="329"/>
        <v>31.188804752969329</v>
      </c>
      <c r="BA270" s="4438">
        <f t="shared" si="330"/>
        <v>30.677512871773111</v>
      </c>
      <c r="BB270" s="4438">
        <f t="shared" si="331"/>
        <v>30.166220990576893</v>
      </c>
      <c r="BC270" s="4438">
        <f t="shared" si="332"/>
        <v>29.654929109380674</v>
      </c>
      <c r="BD270" s="4438">
        <f t="shared" si="333"/>
        <v>29.143637228184453</v>
      </c>
      <c r="BE270" s="4438">
        <f t="shared" si="334"/>
        <v>0</v>
      </c>
      <c r="BF270" s="4438">
        <f t="shared" si="335"/>
        <v>0</v>
      </c>
      <c r="BG270" s="4438">
        <f t="shared" si="336"/>
        <v>0</v>
      </c>
      <c r="BH270" s="4438">
        <f t="shared" si="337"/>
        <v>0</v>
      </c>
      <c r="BI270" s="4438">
        <f t="shared" si="338"/>
        <v>0</v>
      </c>
      <c r="BJ270" s="4438">
        <f t="shared" si="339"/>
        <v>0</v>
      </c>
      <c r="BK270" s="4438">
        <f t="shared" si="340"/>
        <v>0</v>
      </c>
      <c r="BL270" s="4438">
        <f t="shared" si="341"/>
        <v>0</v>
      </c>
      <c r="BM270" s="4438">
        <f t="shared" si="342"/>
        <v>0</v>
      </c>
      <c r="BN270" s="4438">
        <f t="shared" si="343"/>
        <v>0</v>
      </c>
      <c r="BO270" s="4438">
        <f t="shared" si="344"/>
        <v>0</v>
      </c>
      <c r="BP270" s="4438">
        <f t="shared" si="345"/>
        <v>0</v>
      </c>
      <c r="BQ270" s="4438">
        <f t="shared" si="346"/>
        <v>0</v>
      </c>
      <c r="BR270" s="4438">
        <f t="shared" si="347"/>
        <v>0</v>
      </c>
      <c r="BS270" s="4438">
        <f t="shared" si="348"/>
        <v>0</v>
      </c>
      <c r="BT270" s="4438">
        <f t="shared" si="349"/>
        <v>0</v>
      </c>
      <c r="BU270" s="4438">
        <f t="shared" si="350"/>
        <v>0</v>
      </c>
      <c r="BV270" s="4438">
        <f t="shared" si="351"/>
        <v>0</v>
      </c>
      <c r="BW270" s="4438">
        <f t="shared" si="352"/>
        <v>0</v>
      </c>
      <c r="BX270" s="4438">
        <f t="shared" si="353"/>
        <v>0</v>
      </c>
      <c r="BY270" s="4438">
        <f t="shared" si="354"/>
        <v>0</v>
      </c>
    </row>
    <row r="271" spans="1:77">
      <c r="A271" s="2573">
        <v>13</v>
      </c>
      <c r="B271" s="2516" t="s">
        <v>699</v>
      </c>
      <c r="C271" s="2517">
        <v>0.02</v>
      </c>
      <c r="D271" s="2547" t="s">
        <v>739</v>
      </c>
      <c r="E271" s="1223">
        <f t="shared" si="362"/>
        <v>823</v>
      </c>
      <c r="F271" s="1202">
        <f t="shared" si="357"/>
        <v>800</v>
      </c>
      <c r="G271" s="1198">
        <f t="shared" si="357"/>
        <v>777</v>
      </c>
      <c r="H271" s="1198">
        <f t="shared" si="357"/>
        <v>754</v>
      </c>
      <c r="I271" s="1198">
        <f t="shared" si="357"/>
        <v>731</v>
      </c>
      <c r="J271" s="1198">
        <f t="shared" si="357"/>
        <v>708</v>
      </c>
      <c r="K271" s="1203">
        <f t="shared" si="357"/>
        <v>685</v>
      </c>
      <c r="L271" s="2641">
        <f t="shared" si="357"/>
        <v>0</v>
      </c>
      <c r="M271" s="883">
        <f t="shared" si="358"/>
        <v>0</v>
      </c>
      <c r="N271" s="1198">
        <f t="shared" si="358"/>
        <v>0</v>
      </c>
      <c r="O271" s="1198">
        <f t="shared" si="358"/>
        <v>0</v>
      </c>
      <c r="P271" s="1198">
        <f t="shared" si="358"/>
        <v>0</v>
      </c>
      <c r="Q271" s="1198">
        <f t="shared" si="358"/>
        <v>0</v>
      </c>
      <c r="R271" s="1203">
        <f t="shared" si="358"/>
        <v>0</v>
      </c>
      <c r="S271" s="1223">
        <f t="shared" si="358"/>
        <v>0</v>
      </c>
      <c r="T271" s="1202">
        <f t="shared" si="359"/>
        <v>0</v>
      </c>
      <c r="U271" s="1198">
        <f t="shared" si="359"/>
        <v>0</v>
      </c>
      <c r="V271" s="1198">
        <f t="shared" si="359"/>
        <v>0</v>
      </c>
      <c r="W271" s="1198">
        <f t="shared" si="359"/>
        <v>0</v>
      </c>
      <c r="X271" s="1198">
        <f t="shared" si="359"/>
        <v>0</v>
      </c>
      <c r="Y271" s="1203">
        <f t="shared" si="359"/>
        <v>0</v>
      </c>
      <c r="Z271" s="1223">
        <f t="shared" si="359"/>
        <v>0</v>
      </c>
      <c r="AA271" s="1202">
        <f t="shared" si="360"/>
        <v>0</v>
      </c>
      <c r="AB271" s="1198">
        <f t="shared" si="360"/>
        <v>0</v>
      </c>
      <c r="AC271" s="1198">
        <f t="shared" si="360"/>
        <v>0</v>
      </c>
      <c r="AD271" s="1198">
        <f t="shared" si="360"/>
        <v>0</v>
      </c>
      <c r="AE271" s="1198">
        <f t="shared" si="360"/>
        <v>0</v>
      </c>
      <c r="AF271" s="1203">
        <f t="shared" si="360"/>
        <v>0</v>
      </c>
      <c r="AG271" s="1223">
        <f t="shared" si="360"/>
        <v>0</v>
      </c>
      <c r="AH271" s="1202">
        <f t="shared" si="360"/>
        <v>0</v>
      </c>
      <c r="AI271" s="1198">
        <f t="shared" si="360"/>
        <v>0</v>
      </c>
      <c r="AJ271" s="1198">
        <f t="shared" si="360"/>
        <v>0</v>
      </c>
      <c r="AK271" s="1198">
        <f t="shared" si="360"/>
        <v>0</v>
      </c>
      <c r="AL271" s="1198">
        <f t="shared" si="360"/>
        <v>0</v>
      </c>
      <c r="AM271" s="1203">
        <f t="shared" si="360"/>
        <v>0</v>
      </c>
      <c r="AN271" s="2513"/>
      <c r="AO271" s="2551"/>
      <c r="AP271" s="4422"/>
      <c r="AQ271" s="4438">
        <f t="shared" si="320"/>
        <v>420.79321822448782</v>
      </c>
      <c r="AR271" s="4438">
        <f t="shared" si="321"/>
        <v>409.03350495697481</v>
      </c>
      <c r="AS271" s="4438">
        <f t="shared" si="322"/>
        <v>397.27379168946175</v>
      </c>
      <c r="AT271" s="4438">
        <f t="shared" si="323"/>
        <v>385.51407842194874</v>
      </c>
      <c r="AU271" s="4438">
        <f t="shared" si="324"/>
        <v>373.75436515443573</v>
      </c>
      <c r="AV271" s="4438">
        <f t="shared" si="325"/>
        <v>361.99465188692267</v>
      </c>
      <c r="AW271" s="4438">
        <f t="shared" si="326"/>
        <v>350.23493861940966</v>
      </c>
      <c r="AX271" s="4438">
        <f t="shared" si="327"/>
        <v>0</v>
      </c>
      <c r="AY271" s="4438">
        <f t="shared" si="328"/>
        <v>0</v>
      </c>
      <c r="AZ271" s="4438">
        <f t="shared" si="329"/>
        <v>0</v>
      </c>
      <c r="BA271" s="4438">
        <f t="shared" si="330"/>
        <v>0</v>
      </c>
      <c r="BB271" s="4438">
        <f t="shared" si="331"/>
        <v>0</v>
      </c>
      <c r="BC271" s="4438">
        <f t="shared" si="332"/>
        <v>0</v>
      </c>
      <c r="BD271" s="4438">
        <f t="shared" si="333"/>
        <v>0</v>
      </c>
      <c r="BE271" s="4438">
        <f t="shared" si="334"/>
        <v>0</v>
      </c>
      <c r="BF271" s="4438">
        <f t="shared" si="335"/>
        <v>0</v>
      </c>
      <c r="BG271" s="4438">
        <f t="shared" si="336"/>
        <v>0</v>
      </c>
      <c r="BH271" s="4438">
        <f t="shared" si="337"/>
        <v>0</v>
      </c>
      <c r="BI271" s="4438">
        <f t="shared" si="338"/>
        <v>0</v>
      </c>
      <c r="BJ271" s="4438">
        <f t="shared" si="339"/>
        <v>0</v>
      </c>
      <c r="BK271" s="4438">
        <f t="shared" si="340"/>
        <v>0</v>
      </c>
      <c r="BL271" s="4438">
        <f t="shared" si="341"/>
        <v>0</v>
      </c>
      <c r="BM271" s="4438">
        <f t="shared" si="342"/>
        <v>0</v>
      </c>
      <c r="BN271" s="4438">
        <f t="shared" si="343"/>
        <v>0</v>
      </c>
      <c r="BO271" s="4438">
        <f t="shared" si="344"/>
        <v>0</v>
      </c>
      <c r="BP271" s="4438">
        <f t="shared" si="345"/>
        <v>0</v>
      </c>
      <c r="BQ271" s="4438">
        <f t="shared" si="346"/>
        <v>0</v>
      </c>
      <c r="BR271" s="4438">
        <f t="shared" si="347"/>
        <v>0</v>
      </c>
      <c r="BS271" s="4438">
        <f t="shared" si="348"/>
        <v>0</v>
      </c>
      <c r="BT271" s="4438">
        <f t="shared" si="349"/>
        <v>0</v>
      </c>
      <c r="BU271" s="4438">
        <f t="shared" si="350"/>
        <v>0</v>
      </c>
      <c r="BV271" s="4438">
        <f t="shared" si="351"/>
        <v>0</v>
      </c>
      <c r="BW271" s="4438">
        <f t="shared" si="352"/>
        <v>0</v>
      </c>
      <c r="BX271" s="4438">
        <f t="shared" si="353"/>
        <v>0</v>
      </c>
      <c r="BY271" s="4438">
        <f t="shared" si="354"/>
        <v>0</v>
      </c>
    </row>
    <row r="272" spans="1:77">
      <c r="A272" s="2573">
        <v>14</v>
      </c>
      <c r="B272" s="2516" t="s">
        <v>700</v>
      </c>
      <c r="C272" s="2517">
        <v>0.02</v>
      </c>
      <c r="D272" s="2547" t="s">
        <v>418</v>
      </c>
      <c r="E272" s="1223">
        <f t="shared" si="362"/>
        <v>14</v>
      </c>
      <c r="F272" s="1202">
        <f t="shared" si="357"/>
        <v>13</v>
      </c>
      <c r="G272" s="1198">
        <f t="shared" si="357"/>
        <v>12</v>
      </c>
      <c r="H272" s="1198">
        <f t="shared" si="357"/>
        <v>11</v>
      </c>
      <c r="I272" s="1198">
        <f t="shared" si="357"/>
        <v>10</v>
      </c>
      <c r="J272" s="1198">
        <f t="shared" si="357"/>
        <v>9</v>
      </c>
      <c r="K272" s="1203">
        <f t="shared" si="357"/>
        <v>8</v>
      </c>
      <c r="L272" s="2641">
        <f t="shared" si="357"/>
        <v>0</v>
      </c>
      <c r="M272" s="883">
        <f t="shared" si="358"/>
        <v>0</v>
      </c>
      <c r="N272" s="1198">
        <f t="shared" si="358"/>
        <v>0</v>
      </c>
      <c r="O272" s="1198">
        <f t="shared" si="358"/>
        <v>0</v>
      </c>
      <c r="P272" s="1198">
        <f t="shared" si="358"/>
        <v>0</v>
      </c>
      <c r="Q272" s="1198">
        <f t="shared" si="358"/>
        <v>0</v>
      </c>
      <c r="R272" s="1203">
        <f t="shared" si="358"/>
        <v>0</v>
      </c>
      <c r="S272" s="1223">
        <f t="shared" si="358"/>
        <v>0</v>
      </c>
      <c r="T272" s="1202">
        <f t="shared" si="359"/>
        <v>0</v>
      </c>
      <c r="U272" s="1198">
        <f t="shared" si="359"/>
        <v>0</v>
      </c>
      <c r="V272" s="1198">
        <f t="shared" si="359"/>
        <v>0</v>
      </c>
      <c r="W272" s="1198">
        <f t="shared" si="359"/>
        <v>0</v>
      </c>
      <c r="X272" s="1198">
        <f t="shared" si="359"/>
        <v>0</v>
      </c>
      <c r="Y272" s="1203">
        <f t="shared" si="359"/>
        <v>0</v>
      </c>
      <c r="Z272" s="1223">
        <f t="shared" si="359"/>
        <v>0</v>
      </c>
      <c r="AA272" s="1202">
        <f t="shared" si="360"/>
        <v>0</v>
      </c>
      <c r="AB272" s="1198">
        <f t="shared" si="360"/>
        <v>0</v>
      </c>
      <c r="AC272" s="1198">
        <f t="shared" si="360"/>
        <v>0</v>
      </c>
      <c r="AD272" s="1198">
        <f t="shared" si="360"/>
        <v>0</v>
      </c>
      <c r="AE272" s="1198">
        <f t="shared" si="360"/>
        <v>0</v>
      </c>
      <c r="AF272" s="1203">
        <f t="shared" si="360"/>
        <v>0</v>
      </c>
      <c r="AG272" s="1223">
        <f t="shared" si="360"/>
        <v>0</v>
      </c>
      <c r="AH272" s="1202">
        <f t="shared" si="360"/>
        <v>0</v>
      </c>
      <c r="AI272" s="1198">
        <f t="shared" si="360"/>
        <v>0</v>
      </c>
      <c r="AJ272" s="1198">
        <f t="shared" si="360"/>
        <v>0</v>
      </c>
      <c r="AK272" s="1198">
        <f t="shared" si="360"/>
        <v>0</v>
      </c>
      <c r="AL272" s="1198">
        <f t="shared" si="360"/>
        <v>0</v>
      </c>
      <c r="AM272" s="1203">
        <f t="shared" si="360"/>
        <v>0</v>
      </c>
      <c r="AN272" s="2513"/>
      <c r="AO272" s="2551"/>
      <c r="AP272" s="4422"/>
      <c r="AQ272" s="4438">
        <f t="shared" si="320"/>
        <v>7.1580863367470586</v>
      </c>
      <c r="AR272" s="4438">
        <f t="shared" si="321"/>
        <v>6.6467944555508405</v>
      </c>
      <c r="AS272" s="4438">
        <f t="shared" si="322"/>
        <v>6.1355025743546223</v>
      </c>
      <c r="AT272" s="4438">
        <f t="shared" si="323"/>
        <v>5.6242106931584033</v>
      </c>
      <c r="AU272" s="4438">
        <f t="shared" si="324"/>
        <v>5.1129188119621851</v>
      </c>
      <c r="AV272" s="4438">
        <f t="shared" si="325"/>
        <v>4.6016269307659661</v>
      </c>
      <c r="AW272" s="4438">
        <f t="shared" si="326"/>
        <v>4.0903350495697479</v>
      </c>
      <c r="AX272" s="4438">
        <f t="shared" si="327"/>
        <v>0</v>
      </c>
      <c r="AY272" s="4438">
        <f t="shared" si="328"/>
        <v>0</v>
      </c>
      <c r="AZ272" s="4438">
        <f t="shared" si="329"/>
        <v>0</v>
      </c>
      <c r="BA272" s="4438">
        <f t="shared" si="330"/>
        <v>0</v>
      </c>
      <c r="BB272" s="4438">
        <f t="shared" si="331"/>
        <v>0</v>
      </c>
      <c r="BC272" s="4438">
        <f t="shared" si="332"/>
        <v>0</v>
      </c>
      <c r="BD272" s="4438">
        <f t="shared" si="333"/>
        <v>0</v>
      </c>
      <c r="BE272" s="4438">
        <f t="shared" si="334"/>
        <v>0</v>
      </c>
      <c r="BF272" s="4438">
        <f t="shared" si="335"/>
        <v>0</v>
      </c>
      <c r="BG272" s="4438">
        <f t="shared" si="336"/>
        <v>0</v>
      </c>
      <c r="BH272" s="4438">
        <f t="shared" si="337"/>
        <v>0</v>
      </c>
      <c r="BI272" s="4438">
        <f t="shared" si="338"/>
        <v>0</v>
      </c>
      <c r="BJ272" s="4438">
        <f t="shared" si="339"/>
        <v>0</v>
      </c>
      <c r="BK272" s="4438">
        <f t="shared" si="340"/>
        <v>0</v>
      </c>
      <c r="BL272" s="4438">
        <f t="shared" si="341"/>
        <v>0</v>
      </c>
      <c r="BM272" s="4438">
        <f t="shared" si="342"/>
        <v>0</v>
      </c>
      <c r="BN272" s="4438">
        <f t="shared" si="343"/>
        <v>0</v>
      </c>
      <c r="BO272" s="4438">
        <f t="shared" si="344"/>
        <v>0</v>
      </c>
      <c r="BP272" s="4438">
        <f t="shared" si="345"/>
        <v>0</v>
      </c>
      <c r="BQ272" s="4438">
        <f t="shared" si="346"/>
        <v>0</v>
      </c>
      <c r="BR272" s="4438">
        <f t="shared" si="347"/>
        <v>0</v>
      </c>
      <c r="BS272" s="4438">
        <f t="shared" si="348"/>
        <v>0</v>
      </c>
      <c r="BT272" s="4438">
        <f t="shared" si="349"/>
        <v>0</v>
      </c>
      <c r="BU272" s="4438">
        <f t="shared" si="350"/>
        <v>0</v>
      </c>
      <c r="BV272" s="4438">
        <f t="shared" si="351"/>
        <v>0</v>
      </c>
      <c r="BW272" s="4438">
        <f t="shared" si="352"/>
        <v>0</v>
      </c>
      <c r="BX272" s="4438">
        <f t="shared" si="353"/>
        <v>0</v>
      </c>
      <c r="BY272" s="4438">
        <f t="shared" si="354"/>
        <v>0</v>
      </c>
    </row>
    <row r="273" spans="1:77">
      <c r="A273" s="2573">
        <v>15</v>
      </c>
      <c r="B273" s="2516" t="s">
        <v>701</v>
      </c>
      <c r="C273" s="2517">
        <v>0.02</v>
      </c>
      <c r="D273" s="2546" t="s">
        <v>419</v>
      </c>
      <c r="E273" s="1223">
        <f t="shared" si="362"/>
        <v>694</v>
      </c>
      <c r="F273" s="1202">
        <f t="shared" si="357"/>
        <v>671</v>
      </c>
      <c r="G273" s="1198">
        <f t="shared" si="357"/>
        <v>648</v>
      </c>
      <c r="H273" s="1198">
        <f t="shared" si="357"/>
        <v>625</v>
      </c>
      <c r="I273" s="1198">
        <f t="shared" si="357"/>
        <v>602.14</v>
      </c>
      <c r="J273" s="1198">
        <f t="shared" si="357"/>
        <v>579.28</v>
      </c>
      <c r="K273" s="1203">
        <f t="shared" si="357"/>
        <v>556.41999999999996</v>
      </c>
      <c r="L273" s="2641">
        <f t="shared" si="357"/>
        <v>0</v>
      </c>
      <c r="M273" s="883">
        <f t="shared" si="358"/>
        <v>0</v>
      </c>
      <c r="N273" s="1198">
        <f t="shared" si="358"/>
        <v>0</v>
      </c>
      <c r="O273" s="1198">
        <f t="shared" si="358"/>
        <v>0</v>
      </c>
      <c r="P273" s="1198">
        <f t="shared" si="358"/>
        <v>0</v>
      </c>
      <c r="Q273" s="1198">
        <f t="shared" si="358"/>
        <v>0</v>
      </c>
      <c r="R273" s="1203">
        <f t="shared" si="358"/>
        <v>0</v>
      </c>
      <c r="S273" s="1223">
        <f t="shared" si="358"/>
        <v>0</v>
      </c>
      <c r="T273" s="1202">
        <f t="shared" si="359"/>
        <v>0</v>
      </c>
      <c r="U273" s="1198">
        <f t="shared" si="359"/>
        <v>0</v>
      </c>
      <c r="V273" s="1198">
        <f t="shared" si="359"/>
        <v>0</v>
      </c>
      <c r="W273" s="1198">
        <f t="shared" si="359"/>
        <v>0</v>
      </c>
      <c r="X273" s="1198">
        <f t="shared" si="359"/>
        <v>0</v>
      </c>
      <c r="Y273" s="1203">
        <f t="shared" si="359"/>
        <v>0</v>
      </c>
      <c r="Z273" s="1223">
        <f t="shared" si="359"/>
        <v>0</v>
      </c>
      <c r="AA273" s="1202">
        <f t="shared" si="360"/>
        <v>0</v>
      </c>
      <c r="AB273" s="1198">
        <f t="shared" si="360"/>
        <v>0</v>
      </c>
      <c r="AC273" s="1198">
        <f t="shared" si="360"/>
        <v>0</v>
      </c>
      <c r="AD273" s="1198">
        <f t="shared" si="360"/>
        <v>0</v>
      </c>
      <c r="AE273" s="1198">
        <f t="shared" si="360"/>
        <v>0</v>
      </c>
      <c r="AF273" s="1203">
        <f t="shared" si="360"/>
        <v>0</v>
      </c>
      <c r="AG273" s="1223">
        <f t="shared" si="360"/>
        <v>0</v>
      </c>
      <c r="AH273" s="1202">
        <f t="shared" si="360"/>
        <v>0</v>
      </c>
      <c r="AI273" s="1198">
        <f t="shared" si="360"/>
        <v>0</v>
      </c>
      <c r="AJ273" s="1198">
        <f t="shared" si="360"/>
        <v>0</v>
      </c>
      <c r="AK273" s="1198">
        <f t="shared" si="360"/>
        <v>0</v>
      </c>
      <c r="AL273" s="1198">
        <f t="shared" si="360"/>
        <v>0</v>
      </c>
      <c r="AM273" s="1203">
        <f t="shared" si="360"/>
        <v>0</v>
      </c>
      <c r="AN273" s="2513"/>
      <c r="AO273" s="2551"/>
      <c r="AP273" s="4422"/>
      <c r="AQ273" s="4438">
        <f t="shared" si="320"/>
        <v>354.83656555017564</v>
      </c>
      <c r="AR273" s="4438">
        <f t="shared" si="321"/>
        <v>343.07685228266263</v>
      </c>
      <c r="AS273" s="4438">
        <f t="shared" si="322"/>
        <v>331.31713901514956</v>
      </c>
      <c r="AT273" s="4438">
        <f t="shared" si="323"/>
        <v>319.55742574763656</v>
      </c>
      <c r="AU273" s="4438">
        <f t="shared" si="324"/>
        <v>307.86929334349099</v>
      </c>
      <c r="AV273" s="4438">
        <f t="shared" si="325"/>
        <v>296.18116093934543</v>
      </c>
      <c r="AW273" s="4438">
        <f t="shared" si="326"/>
        <v>284.49302853519987</v>
      </c>
      <c r="AX273" s="4438">
        <f t="shared" si="327"/>
        <v>0</v>
      </c>
      <c r="AY273" s="4438">
        <f t="shared" si="328"/>
        <v>0</v>
      </c>
      <c r="AZ273" s="4438">
        <f t="shared" si="329"/>
        <v>0</v>
      </c>
      <c r="BA273" s="4438">
        <f t="shared" si="330"/>
        <v>0</v>
      </c>
      <c r="BB273" s="4438">
        <f t="shared" si="331"/>
        <v>0</v>
      </c>
      <c r="BC273" s="4438">
        <f t="shared" si="332"/>
        <v>0</v>
      </c>
      <c r="BD273" s="4438">
        <f t="shared" si="333"/>
        <v>0</v>
      </c>
      <c r="BE273" s="4438">
        <f t="shared" si="334"/>
        <v>0</v>
      </c>
      <c r="BF273" s="4438">
        <f t="shared" si="335"/>
        <v>0</v>
      </c>
      <c r="BG273" s="4438">
        <f t="shared" si="336"/>
        <v>0</v>
      </c>
      <c r="BH273" s="4438">
        <f t="shared" si="337"/>
        <v>0</v>
      </c>
      <c r="BI273" s="4438">
        <f t="shared" si="338"/>
        <v>0</v>
      </c>
      <c r="BJ273" s="4438">
        <f t="shared" si="339"/>
        <v>0</v>
      </c>
      <c r="BK273" s="4438">
        <f t="shared" si="340"/>
        <v>0</v>
      </c>
      <c r="BL273" s="4438">
        <f t="shared" si="341"/>
        <v>0</v>
      </c>
      <c r="BM273" s="4438">
        <f t="shared" si="342"/>
        <v>0</v>
      </c>
      <c r="BN273" s="4438">
        <f t="shared" si="343"/>
        <v>0</v>
      </c>
      <c r="BO273" s="4438">
        <f t="shared" si="344"/>
        <v>0</v>
      </c>
      <c r="BP273" s="4438">
        <f t="shared" si="345"/>
        <v>0</v>
      </c>
      <c r="BQ273" s="4438">
        <f t="shared" si="346"/>
        <v>0</v>
      </c>
      <c r="BR273" s="4438">
        <f t="shared" si="347"/>
        <v>0</v>
      </c>
      <c r="BS273" s="4438">
        <f t="shared" si="348"/>
        <v>0</v>
      </c>
      <c r="BT273" s="4438">
        <f t="shared" si="349"/>
        <v>0</v>
      </c>
      <c r="BU273" s="4438">
        <f t="shared" si="350"/>
        <v>0</v>
      </c>
      <c r="BV273" s="4438">
        <f t="shared" si="351"/>
        <v>0</v>
      </c>
      <c r="BW273" s="4438">
        <f t="shared" si="352"/>
        <v>0</v>
      </c>
      <c r="BX273" s="4438">
        <f t="shared" si="353"/>
        <v>0</v>
      </c>
      <c r="BY273" s="4438">
        <f t="shared" si="354"/>
        <v>0</v>
      </c>
    </row>
    <row r="274" spans="1:77">
      <c r="A274" s="2573">
        <v>16</v>
      </c>
      <c r="B274" s="2516" t="s">
        <v>702</v>
      </c>
      <c r="C274" s="2517">
        <v>0.02</v>
      </c>
      <c r="D274" s="2547" t="s">
        <v>420</v>
      </c>
      <c r="E274" s="1223">
        <f t="shared" si="362"/>
        <v>63970</v>
      </c>
      <c r="F274" s="1202">
        <f t="shared" si="357"/>
        <v>62598</v>
      </c>
      <c r="G274" s="1198">
        <f t="shared" si="357"/>
        <v>61226</v>
      </c>
      <c r="H274" s="1198">
        <f t="shared" si="357"/>
        <v>59854</v>
      </c>
      <c r="I274" s="1198">
        <f t="shared" si="357"/>
        <v>58482</v>
      </c>
      <c r="J274" s="1198">
        <f t="shared" si="357"/>
        <v>57110</v>
      </c>
      <c r="K274" s="1203">
        <f t="shared" si="357"/>
        <v>55738</v>
      </c>
      <c r="L274" s="2641">
        <f t="shared" si="357"/>
        <v>1</v>
      </c>
      <c r="M274" s="883">
        <f t="shared" si="358"/>
        <v>1</v>
      </c>
      <c r="N274" s="1198">
        <f t="shared" si="358"/>
        <v>1</v>
      </c>
      <c r="O274" s="1198">
        <f t="shared" si="358"/>
        <v>1</v>
      </c>
      <c r="P274" s="1198">
        <f t="shared" si="358"/>
        <v>1</v>
      </c>
      <c r="Q274" s="1198">
        <f t="shared" si="358"/>
        <v>1</v>
      </c>
      <c r="R274" s="1203">
        <f t="shared" si="358"/>
        <v>1</v>
      </c>
      <c r="S274" s="1223">
        <f t="shared" si="358"/>
        <v>0</v>
      </c>
      <c r="T274" s="1202">
        <f t="shared" si="359"/>
        <v>0</v>
      </c>
      <c r="U274" s="1198">
        <f t="shared" si="359"/>
        <v>0</v>
      </c>
      <c r="V274" s="1198">
        <f t="shared" si="359"/>
        <v>0</v>
      </c>
      <c r="W274" s="1198">
        <f t="shared" si="359"/>
        <v>0</v>
      </c>
      <c r="X274" s="1198">
        <f t="shared" si="359"/>
        <v>0</v>
      </c>
      <c r="Y274" s="1203">
        <f t="shared" si="359"/>
        <v>0</v>
      </c>
      <c r="Z274" s="1223">
        <f t="shared" si="359"/>
        <v>0</v>
      </c>
      <c r="AA274" s="1202">
        <f t="shared" si="360"/>
        <v>0</v>
      </c>
      <c r="AB274" s="1198">
        <f t="shared" si="360"/>
        <v>0</v>
      </c>
      <c r="AC274" s="1198">
        <f t="shared" si="360"/>
        <v>0</v>
      </c>
      <c r="AD274" s="1198">
        <f t="shared" si="360"/>
        <v>0</v>
      </c>
      <c r="AE274" s="1198">
        <f t="shared" si="360"/>
        <v>0</v>
      </c>
      <c r="AF274" s="1203">
        <f t="shared" si="360"/>
        <v>0</v>
      </c>
      <c r="AG274" s="1223">
        <f t="shared" si="360"/>
        <v>0</v>
      </c>
      <c r="AH274" s="1202">
        <f t="shared" si="360"/>
        <v>0</v>
      </c>
      <c r="AI274" s="1198">
        <f t="shared" si="360"/>
        <v>0</v>
      </c>
      <c r="AJ274" s="1198">
        <f t="shared" si="360"/>
        <v>0</v>
      </c>
      <c r="AK274" s="1198">
        <f t="shared" si="360"/>
        <v>0</v>
      </c>
      <c r="AL274" s="1198">
        <f t="shared" si="360"/>
        <v>0</v>
      </c>
      <c r="AM274" s="1203">
        <f t="shared" si="360"/>
        <v>0</v>
      </c>
      <c r="AN274" s="2513"/>
      <c r="AO274" s="2551"/>
      <c r="AP274" s="4422"/>
      <c r="AQ274" s="4438">
        <f t="shared" si="320"/>
        <v>32707.341640122097</v>
      </c>
      <c r="AR274" s="4438">
        <f t="shared" si="321"/>
        <v>32005.849179120887</v>
      </c>
      <c r="AS274" s="4438">
        <f t="shared" si="322"/>
        <v>31304.356718119674</v>
      </c>
      <c r="AT274" s="4438">
        <f t="shared" si="323"/>
        <v>30602.864257118461</v>
      </c>
      <c r="AU274" s="4438">
        <f t="shared" si="324"/>
        <v>29901.371796117252</v>
      </c>
      <c r="AV274" s="4438">
        <f t="shared" si="325"/>
        <v>29199.879335116038</v>
      </c>
      <c r="AW274" s="4438">
        <f t="shared" si="326"/>
        <v>28498.386874114825</v>
      </c>
      <c r="AX274" s="4438">
        <f t="shared" si="327"/>
        <v>0.51129188119621849</v>
      </c>
      <c r="AY274" s="4438">
        <f t="shared" si="328"/>
        <v>0.51129188119621849</v>
      </c>
      <c r="AZ274" s="4438">
        <f t="shared" si="329"/>
        <v>0.51129188119621849</v>
      </c>
      <c r="BA274" s="4438">
        <f t="shared" si="330"/>
        <v>0.51129188119621849</v>
      </c>
      <c r="BB274" s="4438">
        <f t="shared" si="331"/>
        <v>0.51129188119621849</v>
      </c>
      <c r="BC274" s="4438">
        <f t="shared" si="332"/>
        <v>0.51129188119621849</v>
      </c>
      <c r="BD274" s="4438">
        <f t="shared" si="333"/>
        <v>0.51129188119621849</v>
      </c>
      <c r="BE274" s="4438">
        <f t="shared" si="334"/>
        <v>0</v>
      </c>
      <c r="BF274" s="4438">
        <f t="shared" si="335"/>
        <v>0</v>
      </c>
      <c r="BG274" s="4438">
        <f t="shared" si="336"/>
        <v>0</v>
      </c>
      <c r="BH274" s="4438">
        <f t="shared" si="337"/>
        <v>0</v>
      </c>
      <c r="BI274" s="4438">
        <f t="shared" si="338"/>
        <v>0</v>
      </c>
      <c r="BJ274" s="4438">
        <f t="shared" si="339"/>
        <v>0</v>
      </c>
      <c r="BK274" s="4438">
        <f t="shared" si="340"/>
        <v>0</v>
      </c>
      <c r="BL274" s="4438">
        <f t="shared" si="341"/>
        <v>0</v>
      </c>
      <c r="BM274" s="4438">
        <f t="shared" si="342"/>
        <v>0</v>
      </c>
      <c r="BN274" s="4438">
        <f t="shared" si="343"/>
        <v>0</v>
      </c>
      <c r="BO274" s="4438">
        <f t="shared" si="344"/>
        <v>0</v>
      </c>
      <c r="BP274" s="4438">
        <f t="shared" si="345"/>
        <v>0</v>
      </c>
      <c r="BQ274" s="4438">
        <f t="shared" si="346"/>
        <v>0</v>
      </c>
      <c r="BR274" s="4438">
        <f t="shared" si="347"/>
        <v>0</v>
      </c>
      <c r="BS274" s="4438">
        <f t="shared" si="348"/>
        <v>0</v>
      </c>
      <c r="BT274" s="4438">
        <f t="shared" si="349"/>
        <v>0</v>
      </c>
      <c r="BU274" s="4438">
        <f t="shared" si="350"/>
        <v>0</v>
      </c>
      <c r="BV274" s="4438">
        <f t="shared" si="351"/>
        <v>0</v>
      </c>
      <c r="BW274" s="4438">
        <f t="shared" si="352"/>
        <v>0</v>
      </c>
      <c r="BX274" s="4438">
        <f t="shared" si="353"/>
        <v>0</v>
      </c>
      <c r="BY274" s="4438">
        <f t="shared" si="354"/>
        <v>0</v>
      </c>
    </row>
    <row r="275" spans="1:77">
      <c r="A275" s="2573">
        <v>17</v>
      </c>
      <c r="B275" s="2516" t="s">
        <v>703</v>
      </c>
      <c r="C275" s="2517">
        <v>0.02</v>
      </c>
      <c r="D275" s="2552" t="s">
        <v>421</v>
      </c>
      <c r="E275" s="1223">
        <f t="shared" si="362"/>
        <v>0</v>
      </c>
      <c r="F275" s="1202">
        <f t="shared" ref="F275:T277" si="363">F209-F253</f>
        <v>0</v>
      </c>
      <c r="G275" s="1198">
        <f t="shared" si="363"/>
        <v>0</v>
      </c>
      <c r="H275" s="1198">
        <f t="shared" si="363"/>
        <v>0</v>
      </c>
      <c r="I275" s="1198">
        <f t="shared" si="363"/>
        <v>0</v>
      </c>
      <c r="J275" s="1198">
        <f t="shared" si="363"/>
        <v>0</v>
      </c>
      <c r="K275" s="1203">
        <f t="shared" si="363"/>
        <v>0</v>
      </c>
      <c r="L275" s="2641">
        <f t="shared" si="363"/>
        <v>82537</v>
      </c>
      <c r="M275" s="883">
        <f t="shared" si="363"/>
        <v>80642</v>
      </c>
      <c r="N275" s="1198">
        <f t="shared" si="363"/>
        <v>78747</v>
      </c>
      <c r="O275" s="1198">
        <f t="shared" si="363"/>
        <v>76852</v>
      </c>
      <c r="P275" s="1198">
        <f t="shared" si="363"/>
        <v>74957</v>
      </c>
      <c r="Q275" s="1198">
        <f t="shared" si="363"/>
        <v>73062</v>
      </c>
      <c r="R275" s="1203">
        <f t="shared" si="363"/>
        <v>71167</v>
      </c>
      <c r="S275" s="1223">
        <f t="shared" si="363"/>
        <v>30972</v>
      </c>
      <c r="T275" s="1202">
        <f t="shared" si="363"/>
        <v>29280</v>
      </c>
      <c r="U275" s="1198">
        <f t="shared" ref="U275:AM279" si="364">U209-U253</f>
        <v>27588</v>
      </c>
      <c r="V275" s="1198">
        <f t="shared" si="364"/>
        <v>25896</v>
      </c>
      <c r="W275" s="1198">
        <f t="shared" si="364"/>
        <v>24204</v>
      </c>
      <c r="X275" s="1198">
        <f t="shared" si="364"/>
        <v>22512</v>
      </c>
      <c r="Y275" s="1203">
        <f t="shared" si="364"/>
        <v>20820</v>
      </c>
      <c r="Z275" s="1223">
        <f t="shared" si="364"/>
        <v>0</v>
      </c>
      <c r="AA275" s="1202">
        <f t="shared" si="364"/>
        <v>0</v>
      </c>
      <c r="AB275" s="1198">
        <f t="shared" si="364"/>
        <v>0</v>
      </c>
      <c r="AC275" s="1198">
        <f t="shared" si="364"/>
        <v>0</v>
      </c>
      <c r="AD275" s="1198">
        <f t="shared" si="364"/>
        <v>0</v>
      </c>
      <c r="AE275" s="1198">
        <f t="shared" si="364"/>
        <v>0</v>
      </c>
      <c r="AF275" s="1203">
        <f t="shared" si="364"/>
        <v>0</v>
      </c>
      <c r="AG275" s="1223">
        <f t="shared" si="364"/>
        <v>0</v>
      </c>
      <c r="AH275" s="1202">
        <f t="shared" si="364"/>
        <v>0</v>
      </c>
      <c r="AI275" s="1198">
        <f t="shared" si="364"/>
        <v>0</v>
      </c>
      <c r="AJ275" s="1198">
        <f t="shared" si="364"/>
        <v>0</v>
      </c>
      <c r="AK275" s="1198">
        <f t="shared" si="364"/>
        <v>0</v>
      </c>
      <c r="AL275" s="1198">
        <f t="shared" si="364"/>
        <v>0</v>
      </c>
      <c r="AM275" s="1203">
        <f t="shared" si="364"/>
        <v>0</v>
      </c>
      <c r="AN275" s="2513"/>
      <c r="AO275" s="2551"/>
      <c r="AP275" s="4422"/>
      <c r="AQ275" s="4438">
        <f t="shared" si="320"/>
        <v>0</v>
      </c>
      <c r="AR275" s="4438">
        <f t="shared" si="321"/>
        <v>0</v>
      </c>
      <c r="AS275" s="4438">
        <f t="shared" si="322"/>
        <v>0</v>
      </c>
      <c r="AT275" s="4438">
        <f t="shared" si="323"/>
        <v>0</v>
      </c>
      <c r="AU275" s="4438">
        <f t="shared" si="324"/>
        <v>0</v>
      </c>
      <c r="AV275" s="4438">
        <f t="shared" si="325"/>
        <v>0</v>
      </c>
      <c r="AW275" s="4438">
        <f t="shared" si="326"/>
        <v>0</v>
      </c>
      <c r="AX275" s="4438">
        <f t="shared" si="327"/>
        <v>42200.497998292289</v>
      </c>
      <c r="AY275" s="4438">
        <f t="shared" si="328"/>
        <v>41231.59988342545</v>
      </c>
      <c r="AZ275" s="4438">
        <f t="shared" si="329"/>
        <v>40262.701768558618</v>
      </c>
      <c r="BA275" s="4438">
        <f t="shared" si="330"/>
        <v>39293.803653691786</v>
      </c>
      <c r="BB275" s="4438">
        <f t="shared" si="331"/>
        <v>38324.905538824947</v>
      </c>
      <c r="BC275" s="4438">
        <f t="shared" si="332"/>
        <v>37356.007423958115</v>
      </c>
      <c r="BD275" s="4438">
        <f t="shared" si="333"/>
        <v>36387.109309091284</v>
      </c>
      <c r="BE275" s="4438">
        <f t="shared" si="334"/>
        <v>15835.732144409279</v>
      </c>
      <c r="BF275" s="4438">
        <f t="shared" si="335"/>
        <v>14970.626281425277</v>
      </c>
      <c r="BG275" s="4438">
        <f t="shared" si="336"/>
        <v>14105.520418441276</v>
      </c>
      <c r="BH275" s="4438">
        <f t="shared" si="337"/>
        <v>13240.414555457273</v>
      </c>
      <c r="BI275" s="4438">
        <f t="shared" si="338"/>
        <v>12375.308692473272</v>
      </c>
      <c r="BJ275" s="4438">
        <f t="shared" si="339"/>
        <v>11510.202829489272</v>
      </c>
      <c r="BK275" s="4438">
        <f t="shared" si="340"/>
        <v>10645.096966505269</v>
      </c>
      <c r="BL275" s="4438">
        <f t="shared" si="341"/>
        <v>0</v>
      </c>
      <c r="BM275" s="4438">
        <f t="shared" si="342"/>
        <v>0</v>
      </c>
      <c r="BN275" s="4438">
        <f t="shared" si="343"/>
        <v>0</v>
      </c>
      <c r="BO275" s="4438">
        <f t="shared" si="344"/>
        <v>0</v>
      </c>
      <c r="BP275" s="4438">
        <f t="shared" si="345"/>
        <v>0</v>
      </c>
      <c r="BQ275" s="4438">
        <f t="shared" si="346"/>
        <v>0</v>
      </c>
      <c r="BR275" s="4438">
        <f t="shared" si="347"/>
        <v>0</v>
      </c>
      <c r="BS275" s="4438">
        <f t="shared" si="348"/>
        <v>0</v>
      </c>
      <c r="BT275" s="4438">
        <f t="shared" si="349"/>
        <v>0</v>
      </c>
      <c r="BU275" s="4438">
        <f t="shared" si="350"/>
        <v>0</v>
      </c>
      <c r="BV275" s="4438">
        <f t="shared" si="351"/>
        <v>0</v>
      </c>
      <c r="BW275" s="4438">
        <f t="shared" si="352"/>
        <v>0</v>
      </c>
      <c r="BX275" s="4438">
        <f t="shared" si="353"/>
        <v>0</v>
      </c>
      <c r="BY275" s="4438">
        <f t="shared" si="354"/>
        <v>0</v>
      </c>
    </row>
    <row r="276" spans="1:77" ht="24">
      <c r="A276" s="2573">
        <v>18</v>
      </c>
      <c r="B276" s="2516" t="s">
        <v>704</v>
      </c>
      <c r="C276" s="2517">
        <v>0.04</v>
      </c>
      <c r="D276" s="2552" t="s">
        <v>422</v>
      </c>
      <c r="E276" s="1223">
        <f t="shared" si="362"/>
        <v>294</v>
      </c>
      <c r="F276" s="1202">
        <f t="shared" si="363"/>
        <v>276</v>
      </c>
      <c r="G276" s="1198">
        <f t="shared" si="363"/>
        <v>258</v>
      </c>
      <c r="H276" s="1198">
        <f t="shared" si="363"/>
        <v>240</v>
      </c>
      <c r="I276" s="1198">
        <f t="shared" si="363"/>
        <v>222</v>
      </c>
      <c r="J276" s="1198">
        <f t="shared" si="363"/>
        <v>204</v>
      </c>
      <c r="K276" s="1203">
        <f t="shared" si="363"/>
        <v>186</v>
      </c>
      <c r="L276" s="2641">
        <f t="shared" si="363"/>
        <v>0</v>
      </c>
      <c r="M276" s="883">
        <f t="shared" si="363"/>
        <v>0</v>
      </c>
      <c r="N276" s="1198">
        <f t="shared" si="363"/>
        <v>0</v>
      </c>
      <c r="O276" s="1198">
        <f t="shared" si="363"/>
        <v>0</v>
      </c>
      <c r="P276" s="1198">
        <f t="shared" si="363"/>
        <v>0</v>
      </c>
      <c r="Q276" s="1198">
        <f t="shared" si="363"/>
        <v>0</v>
      </c>
      <c r="R276" s="1203">
        <f t="shared" si="363"/>
        <v>0</v>
      </c>
      <c r="S276" s="1223">
        <f t="shared" si="363"/>
        <v>0</v>
      </c>
      <c r="T276" s="1202">
        <f t="shared" si="363"/>
        <v>0</v>
      </c>
      <c r="U276" s="1198">
        <f t="shared" si="364"/>
        <v>0</v>
      </c>
      <c r="V276" s="1198">
        <f t="shared" si="364"/>
        <v>0</v>
      </c>
      <c r="W276" s="1198">
        <f t="shared" si="364"/>
        <v>0</v>
      </c>
      <c r="X276" s="1198">
        <f t="shared" si="364"/>
        <v>0</v>
      </c>
      <c r="Y276" s="1203">
        <f t="shared" si="364"/>
        <v>0</v>
      </c>
      <c r="Z276" s="1223">
        <f t="shared" si="364"/>
        <v>0</v>
      </c>
      <c r="AA276" s="1202">
        <f t="shared" si="364"/>
        <v>0</v>
      </c>
      <c r="AB276" s="1198">
        <f t="shared" si="364"/>
        <v>0</v>
      </c>
      <c r="AC276" s="1198">
        <f t="shared" si="364"/>
        <v>0</v>
      </c>
      <c r="AD276" s="1198">
        <f t="shared" si="364"/>
        <v>0</v>
      </c>
      <c r="AE276" s="1198">
        <f t="shared" si="364"/>
        <v>0</v>
      </c>
      <c r="AF276" s="1203">
        <f t="shared" si="364"/>
        <v>0</v>
      </c>
      <c r="AG276" s="1223">
        <f t="shared" si="364"/>
        <v>0</v>
      </c>
      <c r="AH276" s="1202">
        <f t="shared" si="364"/>
        <v>0</v>
      </c>
      <c r="AI276" s="1198">
        <f t="shared" si="364"/>
        <v>0</v>
      </c>
      <c r="AJ276" s="1198">
        <f t="shared" si="364"/>
        <v>0</v>
      </c>
      <c r="AK276" s="1198">
        <f t="shared" si="364"/>
        <v>0</v>
      </c>
      <c r="AL276" s="1198">
        <f t="shared" si="364"/>
        <v>0</v>
      </c>
      <c r="AM276" s="1203">
        <f t="shared" si="364"/>
        <v>0</v>
      </c>
      <c r="AN276" s="2513"/>
      <c r="AO276" s="2551"/>
      <c r="AP276" s="4422"/>
      <c r="AQ276" s="4438">
        <f t="shared" si="320"/>
        <v>150.31981307168823</v>
      </c>
      <c r="AR276" s="4438">
        <f t="shared" si="321"/>
        <v>141.11655921015631</v>
      </c>
      <c r="AS276" s="4438">
        <f t="shared" si="322"/>
        <v>131.91330534862436</v>
      </c>
      <c r="AT276" s="4438">
        <f t="shared" si="323"/>
        <v>122.71005148709244</v>
      </c>
      <c r="AU276" s="4438">
        <f t="shared" si="324"/>
        <v>113.50679762556051</v>
      </c>
      <c r="AV276" s="4438">
        <f t="shared" si="325"/>
        <v>104.30354376402857</v>
      </c>
      <c r="AW276" s="4438">
        <f t="shared" si="326"/>
        <v>95.100289902496641</v>
      </c>
      <c r="AX276" s="4438">
        <f t="shared" si="327"/>
        <v>0</v>
      </c>
      <c r="AY276" s="4438">
        <f t="shared" si="328"/>
        <v>0</v>
      </c>
      <c r="AZ276" s="4438">
        <f t="shared" si="329"/>
        <v>0</v>
      </c>
      <c r="BA276" s="4438">
        <f t="shared" si="330"/>
        <v>0</v>
      </c>
      <c r="BB276" s="4438">
        <f t="shared" si="331"/>
        <v>0</v>
      </c>
      <c r="BC276" s="4438">
        <f t="shared" si="332"/>
        <v>0</v>
      </c>
      <c r="BD276" s="4438">
        <f t="shared" si="333"/>
        <v>0</v>
      </c>
      <c r="BE276" s="4438">
        <f t="shared" si="334"/>
        <v>0</v>
      </c>
      <c r="BF276" s="4438">
        <f t="shared" si="335"/>
        <v>0</v>
      </c>
      <c r="BG276" s="4438">
        <f t="shared" si="336"/>
        <v>0</v>
      </c>
      <c r="BH276" s="4438">
        <f t="shared" si="337"/>
        <v>0</v>
      </c>
      <c r="BI276" s="4438">
        <f t="shared" si="338"/>
        <v>0</v>
      </c>
      <c r="BJ276" s="4438">
        <f t="shared" si="339"/>
        <v>0</v>
      </c>
      <c r="BK276" s="4438">
        <f t="shared" si="340"/>
        <v>0</v>
      </c>
      <c r="BL276" s="4438">
        <f t="shared" si="341"/>
        <v>0</v>
      </c>
      <c r="BM276" s="4438">
        <f t="shared" si="342"/>
        <v>0</v>
      </c>
      <c r="BN276" s="4438">
        <f t="shared" si="343"/>
        <v>0</v>
      </c>
      <c r="BO276" s="4438">
        <f t="shared" si="344"/>
        <v>0</v>
      </c>
      <c r="BP276" s="4438">
        <f t="shared" si="345"/>
        <v>0</v>
      </c>
      <c r="BQ276" s="4438">
        <f t="shared" si="346"/>
        <v>0</v>
      </c>
      <c r="BR276" s="4438">
        <f t="shared" si="347"/>
        <v>0</v>
      </c>
      <c r="BS276" s="4438">
        <f t="shared" si="348"/>
        <v>0</v>
      </c>
      <c r="BT276" s="4438">
        <f t="shared" si="349"/>
        <v>0</v>
      </c>
      <c r="BU276" s="4438">
        <f t="shared" si="350"/>
        <v>0</v>
      </c>
      <c r="BV276" s="4438">
        <f t="shared" si="351"/>
        <v>0</v>
      </c>
      <c r="BW276" s="4438">
        <f t="shared" si="352"/>
        <v>0</v>
      </c>
      <c r="BX276" s="4438">
        <f t="shared" si="353"/>
        <v>0</v>
      </c>
      <c r="BY276" s="4438">
        <f t="shared" si="354"/>
        <v>0</v>
      </c>
    </row>
    <row r="277" spans="1:77">
      <c r="A277" s="2573">
        <v>19</v>
      </c>
      <c r="B277" s="2516" t="s">
        <v>705</v>
      </c>
      <c r="C277" s="2517">
        <v>0.04</v>
      </c>
      <c r="D277" s="2552" t="s">
        <v>423</v>
      </c>
      <c r="E277" s="1223">
        <f t="shared" si="362"/>
        <v>109</v>
      </c>
      <c r="F277" s="1202">
        <f t="shared" si="363"/>
        <v>103</v>
      </c>
      <c r="G277" s="1198">
        <f t="shared" si="363"/>
        <v>97</v>
      </c>
      <c r="H277" s="1198">
        <f t="shared" si="363"/>
        <v>91</v>
      </c>
      <c r="I277" s="1198">
        <f t="shared" si="363"/>
        <v>85</v>
      </c>
      <c r="J277" s="1198">
        <f t="shared" si="363"/>
        <v>79</v>
      </c>
      <c r="K277" s="1203">
        <f t="shared" si="363"/>
        <v>73</v>
      </c>
      <c r="L277" s="2641">
        <f t="shared" si="363"/>
        <v>192</v>
      </c>
      <c r="M277" s="883">
        <f t="shared" si="363"/>
        <v>180</v>
      </c>
      <c r="N277" s="1198">
        <f t="shared" si="363"/>
        <v>168</v>
      </c>
      <c r="O277" s="1198">
        <f t="shared" si="363"/>
        <v>156</v>
      </c>
      <c r="P277" s="1198">
        <f t="shared" si="363"/>
        <v>144</v>
      </c>
      <c r="Q277" s="1198">
        <f t="shared" si="363"/>
        <v>132</v>
      </c>
      <c r="R277" s="1203">
        <f t="shared" si="363"/>
        <v>120</v>
      </c>
      <c r="S277" s="1223">
        <f t="shared" si="363"/>
        <v>0</v>
      </c>
      <c r="T277" s="1202">
        <f t="shared" si="363"/>
        <v>0</v>
      </c>
      <c r="U277" s="1198">
        <f t="shared" si="364"/>
        <v>0</v>
      </c>
      <c r="V277" s="1198">
        <f t="shared" si="364"/>
        <v>0</v>
      </c>
      <c r="W277" s="1198">
        <f t="shared" si="364"/>
        <v>0</v>
      </c>
      <c r="X277" s="1198">
        <f t="shared" si="364"/>
        <v>0</v>
      </c>
      <c r="Y277" s="1203">
        <f t="shared" si="364"/>
        <v>0</v>
      </c>
      <c r="Z277" s="1223">
        <f t="shared" si="364"/>
        <v>0</v>
      </c>
      <c r="AA277" s="1202">
        <f t="shared" si="364"/>
        <v>0</v>
      </c>
      <c r="AB277" s="1198">
        <f t="shared" si="364"/>
        <v>0</v>
      </c>
      <c r="AC277" s="1198">
        <f t="shared" si="364"/>
        <v>0</v>
      </c>
      <c r="AD277" s="1198">
        <f t="shared" si="364"/>
        <v>0</v>
      </c>
      <c r="AE277" s="1198">
        <f t="shared" si="364"/>
        <v>0</v>
      </c>
      <c r="AF277" s="1203">
        <f t="shared" si="364"/>
        <v>0</v>
      </c>
      <c r="AG277" s="1223">
        <f t="shared" si="364"/>
        <v>0</v>
      </c>
      <c r="AH277" s="1202">
        <f t="shared" si="364"/>
        <v>0</v>
      </c>
      <c r="AI277" s="1198">
        <f t="shared" si="364"/>
        <v>0</v>
      </c>
      <c r="AJ277" s="1198">
        <f t="shared" si="364"/>
        <v>0</v>
      </c>
      <c r="AK277" s="1198">
        <f t="shared" si="364"/>
        <v>0</v>
      </c>
      <c r="AL277" s="1198">
        <f t="shared" si="364"/>
        <v>0</v>
      </c>
      <c r="AM277" s="1203">
        <f t="shared" si="364"/>
        <v>0</v>
      </c>
      <c r="AN277" s="2513"/>
      <c r="AO277" s="2551"/>
      <c r="AP277" s="4422"/>
      <c r="AQ277" s="4438">
        <f t="shared" si="320"/>
        <v>55.730815050387818</v>
      </c>
      <c r="AR277" s="4438">
        <f t="shared" si="321"/>
        <v>52.663063763210502</v>
      </c>
      <c r="AS277" s="4438">
        <f t="shared" si="322"/>
        <v>49.595312476033193</v>
      </c>
      <c r="AT277" s="4438">
        <f t="shared" si="323"/>
        <v>46.527561188855884</v>
      </c>
      <c r="AU277" s="4438">
        <f t="shared" si="324"/>
        <v>43.459809901678575</v>
      </c>
      <c r="AV277" s="4438">
        <f t="shared" si="325"/>
        <v>40.392058614501259</v>
      </c>
      <c r="AW277" s="4438">
        <f t="shared" si="326"/>
        <v>37.32430732732395</v>
      </c>
      <c r="AX277" s="4438">
        <f t="shared" si="327"/>
        <v>98.168041189673957</v>
      </c>
      <c r="AY277" s="4438">
        <f t="shared" si="328"/>
        <v>92.032538615319325</v>
      </c>
      <c r="AZ277" s="4438">
        <f t="shared" si="329"/>
        <v>85.897036040964707</v>
      </c>
      <c r="BA277" s="4438">
        <f t="shared" si="330"/>
        <v>79.761533466610089</v>
      </c>
      <c r="BB277" s="4438">
        <f t="shared" si="331"/>
        <v>73.626030892255457</v>
      </c>
      <c r="BC277" s="4438">
        <f t="shared" si="332"/>
        <v>67.490528317900839</v>
      </c>
      <c r="BD277" s="4438">
        <f t="shared" si="333"/>
        <v>61.355025743546221</v>
      </c>
      <c r="BE277" s="4438">
        <f t="shared" si="334"/>
        <v>0</v>
      </c>
      <c r="BF277" s="4438">
        <f t="shared" si="335"/>
        <v>0</v>
      </c>
      <c r="BG277" s="4438">
        <f t="shared" si="336"/>
        <v>0</v>
      </c>
      <c r="BH277" s="4438">
        <f t="shared" si="337"/>
        <v>0</v>
      </c>
      <c r="BI277" s="4438">
        <f t="shared" si="338"/>
        <v>0</v>
      </c>
      <c r="BJ277" s="4438">
        <f t="shared" si="339"/>
        <v>0</v>
      </c>
      <c r="BK277" s="4438">
        <f t="shared" si="340"/>
        <v>0</v>
      </c>
      <c r="BL277" s="4438">
        <f t="shared" si="341"/>
        <v>0</v>
      </c>
      <c r="BM277" s="4438">
        <f t="shared" si="342"/>
        <v>0</v>
      </c>
      <c r="BN277" s="4438">
        <f t="shared" si="343"/>
        <v>0</v>
      </c>
      <c r="BO277" s="4438">
        <f t="shared" si="344"/>
        <v>0</v>
      </c>
      <c r="BP277" s="4438">
        <f t="shared" si="345"/>
        <v>0</v>
      </c>
      <c r="BQ277" s="4438">
        <f t="shared" si="346"/>
        <v>0</v>
      </c>
      <c r="BR277" s="4438">
        <f t="shared" si="347"/>
        <v>0</v>
      </c>
      <c r="BS277" s="4438">
        <f t="shared" si="348"/>
        <v>0</v>
      </c>
      <c r="BT277" s="4438">
        <f t="shared" si="349"/>
        <v>0</v>
      </c>
      <c r="BU277" s="4438">
        <f t="shared" si="350"/>
        <v>0</v>
      </c>
      <c r="BV277" s="4438">
        <f t="shared" si="351"/>
        <v>0</v>
      </c>
      <c r="BW277" s="4438">
        <f t="shared" si="352"/>
        <v>0</v>
      </c>
      <c r="BX277" s="4438">
        <f t="shared" si="353"/>
        <v>0</v>
      </c>
      <c r="BY277" s="4438">
        <f t="shared" si="354"/>
        <v>0</v>
      </c>
    </row>
    <row r="278" spans="1:77">
      <c r="A278" s="2573">
        <v>20</v>
      </c>
      <c r="B278" s="2516" t="s">
        <v>717</v>
      </c>
      <c r="C278" s="2517">
        <v>0.04</v>
      </c>
      <c r="D278" s="2571" t="s">
        <v>434</v>
      </c>
      <c r="E278" s="1223">
        <f t="shared" si="362"/>
        <v>109</v>
      </c>
      <c r="F278" s="1202">
        <f t="shared" ref="F278:Y279" si="365">F212-F256</f>
        <v>102</v>
      </c>
      <c r="G278" s="1198">
        <f t="shared" si="365"/>
        <v>95</v>
      </c>
      <c r="H278" s="1198">
        <f t="shared" si="365"/>
        <v>88</v>
      </c>
      <c r="I278" s="1198">
        <f t="shared" si="365"/>
        <v>81</v>
      </c>
      <c r="J278" s="1198">
        <f t="shared" si="365"/>
        <v>74</v>
      </c>
      <c r="K278" s="1203">
        <f t="shared" si="365"/>
        <v>67</v>
      </c>
      <c r="L278" s="2641">
        <f t="shared" si="365"/>
        <v>0</v>
      </c>
      <c r="M278" s="883">
        <f t="shared" si="365"/>
        <v>0</v>
      </c>
      <c r="N278" s="1198">
        <f t="shared" si="365"/>
        <v>0</v>
      </c>
      <c r="O278" s="1198">
        <f t="shared" si="365"/>
        <v>0</v>
      </c>
      <c r="P278" s="1198">
        <f t="shared" si="365"/>
        <v>0</v>
      </c>
      <c r="Q278" s="1198">
        <f t="shared" si="365"/>
        <v>0</v>
      </c>
      <c r="R278" s="1203">
        <f t="shared" si="365"/>
        <v>0</v>
      </c>
      <c r="S278" s="1223">
        <f t="shared" si="365"/>
        <v>538</v>
      </c>
      <c r="T278" s="1202">
        <f t="shared" si="365"/>
        <v>510</v>
      </c>
      <c r="U278" s="1198">
        <f t="shared" si="365"/>
        <v>482</v>
      </c>
      <c r="V278" s="1198">
        <f t="shared" si="365"/>
        <v>454</v>
      </c>
      <c r="W278" s="1198">
        <f t="shared" si="365"/>
        <v>426</v>
      </c>
      <c r="X278" s="1198">
        <f t="shared" si="365"/>
        <v>398</v>
      </c>
      <c r="Y278" s="1203">
        <f t="shared" si="365"/>
        <v>370</v>
      </c>
      <c r="Z278" s="1223">
        <f t="shared" si="364"/>
        <v>0</v>
      </c>
      <c r="AA278" s="1202">
        <f t="shared" si="364"/>
        <v>0</v>
      </c>
      <c r="AB278" s="1198">
        <f t="shared" si="364"/>
        <v>0</v>
      </c>
      <c r="AC278" s="1198">
        <f t="shared" si="364"/>
        <v>0</v>
      </c>
      <c r="AD278" s="1198">
        <f t="shared" si="364"/>
        <v>0</v>
      </c>
      <c r="AE278" s="1198">
        <f t="shared" si="364"/>
        <v>0</v>
      </c>
      <c r="AF278" s="1203">
        <f t="shared" si="364"/>
        <v>0</v>
      </c>
      <c r="AG278" s="1223">
        <f t="shared" si="364"/>
        <v>0</v>
      </c>
      <c r="AH278" s="1202">
        <f t="shared" si="364"/>
        <v>0</v>
      </c>
      <c r="AI278" s="1198">
        <f t="shared" si="364"/>
        <v>0</v>
      </c>
      <c r="AJ278" s="1198">
        <f t="shared" si="364"/>
        <v>0</v>
      </c>
      <c r="AK278" s="1198">
        <f t="shared" si="364"/>
        <v>0</v>
      </c>
      <c r="AL278" s="1198">
        <f t="shared" si="364"/>
        <v>0</v>
      </c>
      <c r="AM278" s="1203">
        <f t="shared" si="364"/>
        <v>0</v>
      </c>
      <c r="AN278" s="2513"/>
      <c r="AO278" s="2551"/>
      <c r="AP278" s="4422"/>
      <c r="AQ278" s="4438">
        <f t="shared" si="320"/>
        <v>55.730815050387818</v>
      </c>
      <c r="AR278" s="4438">
        <f t="shared" si="321"/>
        <v>52.151771882014287</v>
      </c>
      <c r="AS278" s="4438">
        <f t="shared" si="322"/>
        <v>48.572728713640757</v>
      </c>
      <c r="AT278" s="4438">
        <f t="shared" si="323"/>
        <v>44.993685545267226</v>
      </c>
      <c r="AU278" s="4438">
        <f t="shared" si="324"/>
        <v>41.414642376893696</v>
      </c>
      <c r="AV278" s="4438">
        <f t="shared" si="325"/>
        <v>37.835599208520172</v>
      </c>
      <c r="AW278" s="4438">
        <f t="shared" si="326"/>
        <v>34.256556040146641</v>
      </c>
      <c r="AX278" s="4438">
        <f t="shared" si="327"/>
        <v>0</v>
      </c>
      <c r="AY278" s="4438">
        <f t="shared" si="328"/>
        <v>0</v>
      </c>
      <c r="AZ278" s="4438">
        <f t="shared" si="329"/>
        <v>0</v>
      </c>
      <c r="BA278" s="4438">
        <f t="shared" si="330"/>
        <v>0</v>
      </c>
      <c r="BB278" s="4438">
        <f t="shared" si="331"/>
        <v>0</v>
      </c>
      <c r="BC278" s="4438">
        <f t="shared" si="332"/>
        <v>0</v>
      </c>
      <c r="BD278" s="4438">
        <f t="shared" si="333"/>
        <v>0</v>
      </c>
      <c r="BE278" s="4438">
        <f t="shared" si="334"/>
        <v>275.07503208356553</v>
      </c>
      <c r="BF278" s="4438">
        <f t="shared" si="335"/>
        <v>260.75885941007141</v>
      </c>
      <c r="BG278" s="4438">
        <f t="shared" si="336"/>
        <v>246.44268673657731</v>
      </c>
      <c r="BH278" s="4438">
        <f t="shared" si="337"/>
        <v>232.12651406308319</v>
      </c>
      <c r="BI278" s="4438">
        <f t="shared" si="338"/>
        <v>217.81034138958907</v>
      </c>
      <c r="BJ278" s="4438">
        <f t="shared" si="339"/>
        <v>203.49416871609498</v>
      </c>
      <c r="BK278" s="4438">
        <f t="shared" si="340"/>
        <v>189.17799604260085</v>
      </c>
      <c r="BL278" s="4438">
        <f t="shared" si="341"/>
        <v>0</v>
      </c>
      <c r="BM278" s="4438">
        <f t="shared" si="342"/>
        <v>0</v>
      </c>
      <c r="BN278" s="4438">
        <f t="shared" si="343"/>
        <v>0</v>
      </c>
      <c r="BO278" s="4438">
        <f t="shared" si="344"/>
        <v>0</v>
      </c>
      <c r="BP278" s="4438">
        <f t="shared" si="345"/>
        <v>0</v>
      </c>
      <c r="BQ278" s="4438">
        <f t="shared" si="346"/>
        <v>0</v>
      </c>
      <c r="BR278" s="4438">
        <f t="shared" si="347"/>
        <v>0</v>
      </c>
      <c r="BS278" s="4438">
        <f t="shared" si="348"/>
        <v>0</v>
      </c>
      <c r="BT278" s="4438">
        <f t="shared" si="349"/>
        <v>0</v>
      </c>
      <c r="BU278" s="4438">
        <f t="shared" si="350"/>
        <v>0</v>
      </c>
      <c r="BV278" s="4438">
        <f t="shared" si="351"/>
        <v>0</v>
      </c>
      <c r="BW278" s="4438">
        <f t="shared" si="352"/>
        <v>0</v>
      </c>
      <c r="BX278" s="4438">
        <f t="shared" si="353"/>
        <v>0</v>
      </c>
      <c r="BY278" s="4438">
        <f t="shared" si="354"/>
        <v>0</v>
      </c>
    </row>
    <row r="279" spans="1:77" ht="24.75" thickBot="1">
      <c r="A279" s="2573">
        <v>21</v>
      </c>
      <c r="B279" s="2516" t="s">
        <v>707</v>
      </c>
      <c r="C279" s="2522">
        <v>0.2</v>
      </c>
      <c r="D279" s="2552" t="s">
        <v>679</v>
      </c>
      <c r="E279" s="1223">
        <f t="shared" si="362"/>
        <v>0</v>
      </c>
      <c r="F279" s="1202">
        <f t="shared" si="365"/>
        <v>0</v>
      </c>
      <c r="G279" s="1198">
        <f t="shared" si="365"/>
        <v>0</v>
      </c>
      <c r="H279" s="1198">
        <f t="shared" si="365"/>
        <v>0</v>
      </c>
      <c r="I279" s="1198">
        <f t="shared" si="365"/>
        <v>0</v>
      </c>
      <c r="J279" s="1198">
        <f t="shared" si="365"/>
        <v>0</v>
      </c>
      <c r="K279" s="1203">
        <f t="shared" si="365"/>
        <v>0</v>
      </c>
      <c r="L279" s="2641">
        <f t="shared" si="365"/>
        <v>0</v>
      </c>
      <c r="M279" s="1210">
        <f t="shared" si="365"/>
        <v>0</v>
      </c>
      <c r="N279" s="1199">
        <f t="shared" si="365"/>
        <v>0</v>
      </c>
      <c r="O279" s="1199">
        <f t="shared" si="365"/>
        <v>0</v>
      </c>
      <c r="P279" s="1199">
        <f t="shared" si="365"/>
        <v>0</v>
      </c>
      <c r="Q279" s="1199">
        <f t="shared" si="365"/>
        <v>0</v>
      </c>
      <c r="R279" s="1205">
        <f t="shared" si="365"/>
        <v>0</v>
      </c>
      <c r="S279" s="1223">
        <f t="shared" si="365"/>
        <v>5</v>
      </c>
      <c r="T279" s="1204">
        <f t="shared" si="365"/>
        <v>1</v>
      </c>
      <c r="U279" s="1199">
        <f t="shared" si="365"/>
        <v>-3</v>
      </c>
      <c r="V279" s="1199">
        <f t="shared" si="365"/>
        <v>-7</v>
      </c>
      <c r="W279" s="1199">
        <f t="shared" si="365"/>
        <v>-11</v>
      </c>
      <c r="X279" s="1199">
        <f t="shared" si="365"/>
        <v>-15</v>
      </c>
      <c r="Y279" s="1205">
        <f t="shared" si="365"/>
        <v>-19</v>
      </c>
      <c r="Z279" s="1223">
        <f t="shared" si="364"/>
        <v>0</v>
      </c>
      <c r="AA279" s="1204">
        <f t="shared" si="364"/>
        <v>0</v>
      </c>
      <c r="AB279" s="1199">
        <f t="shared" si="364"/>
        <v>0</v>
      </c>
      <c r="AC279" s="1199">
        <f t="shared" si="364"/>
        <v>0</v>
      </c>
      <c r="AD279" s="1199">
        <f t="shared" si="364"/>
        <v>0</v>
      </c>
      <c r="AE279" s="1199">
        <f t="shared" si="364"/>
        <v>0</v>
      </c>
      <c r="AF279" s="1205">
        <f t="shared" si="364"/>
        <v>0</v>
      </c>
      <c r="AG279" s="1223">
        <f t="shared" si="364"/>
        <v>0</v>
      </c>
      <c r="AH279" s="1204">
        <f t="shared" si="364"/>
        <v>0</v>
      </c>
      <c r="AI279" s="1199">
        <f t="shared" si="364"/>
        <v>0</v>
      </c>
      <c r="AJ279" s="1199">
        <f t="shared" si="364"/>
        <v>0</v>
      </c>
      <c r="AK279" s="1199">
        <f t="shared" si="364"/>
        <v>0</v>
      </c>
      <c r="AL279" s="1199">
        <f t="shared" si="364"/>
        <v>0</v>
      </c>
      <c r="AM279" s="1205">
        <f t="shared" si="364"/>
        <v>0</v>
      </c>
      <c r="AN279" s="2513"/>
      <c r="AO279" s="2551"/>
      <c r="AP279" s="4422"/>
      <c r="AQ279" s="4438">
        <f t="shared" si="320"/>
        <v>0</v>
      </c>
      <c r="AR279" s="4438">
        <f t="shared" si="321"/>
        <v>0</v>
      </c>
      <c r="AS279" s="4438">
        <f t="shared" si="322"/>
        <v>0</v>
      </c>
      <c r="AT279" s="4438">
        <f t="shared" si="323"/>
        <v>0</v>
      </c>
      <c r="AU279" s="4438">
        <f t="shared" si="324"/>
        <v>0</v>
      </c>
      <c r="AV279" s="4438">
        <f t="shared" si="325"/>
        <v>0</v>
      </c>
      <c r="AW279" s="4438">
        <f t="shared" si="326"/>
        <v>0</v>
      </c>
      <c r="AX279" s="4438">
        <f t="shared" si="327"/>
        <v>0</v>
      </c>
      <c r="AY279" s="4438">
        <f t="shared" si="328"/>
        <v>0</v>
      </c>
      <c r="AZ279" s="4438">
        <f t="shared" si="329"/>
        <v>0</v>
      </c>
      <c r="BA279" s="4438">
        <f t="shared" si="330"/>
        <v>0</v>
      </c>
      <c r="BB279" s="4438">
        <f t="shared" si="331"/>
        <v>0</v>
      </c>
      <c r="BC279" s="4438">
        <f t="shared" si="332"/>
        <v>0</v>
      </c>
      <c r="BD279" s="4438">
        <f t="shared" si="333"/>
        <v>0</v>
      </c>
      <c r="BE279" s="4438">
        <f t="shared" si="334"/>
        <v>2.5564594059810926</v>
      </c>
      <c r="BF279" s="4438">
        <f t="shared" si="335"/>
        <v>0.51129188119621849</v>
      </c>
      <c r="BG279" s="4438">
        <f t="shared" si="336"/>
        <v>-1.5338756435886556</v>
      </c>
      <c r="BH279" s="4438">
        <f t="shared" si="337"/>
        <v>-3.5790431683735293</v>
      </c>
      <c r="BI279" s="4438">
        <f t="shared" si="338"/>
        <v>-5.6242106931584033</v>
      </c>
      <c r="BJ279" s="4438">
        <f t="shared" si="339"/>
        <v>-7.6693782179432777</v>
      </c>
      <c r="BK279" s="4438">
        <f t="shared" si="340"/>
        <v>-9.7145457427281521</v>
      </c>
      <c r="BL279" s="4438">
        <f t="shared" si="341"/>
        <v>0</v>
      </c>
      <c r="BM279" s="4438">
        <f t="shared" si="342"/>
        <v>0</v>
      </c>
      <c r="BN279" s="4438">
        <f t="shared" si="343"/>
        <v>0</v>
      </c>
      <c r="BO279" s="4438">
        <f t="shared" si="344"/>
        <v>0</v>
      </c>
      <c r="BP279" s="4438">
        <f t="shared" si="345"/>
        <v>0</v>
      </c>
      <c r="BQ279" s="4438">
        <f t="shared" si="346"/>
        <v>0</v>
      </c>
      <c r="BR279" s="4438">
        <f t="shared" si="347"/>
        <v>0</v>
      </c>
      <c r="BS279" s="4438">
        <f t="shared" si="348"/>
        <v>0</v>
      </c>
      <c r="BT279" s="4438">
        <f t="shared" si="349"/>
        <v>0</v>
      </c>
      <c r="BU279" s="4438">
        <f t="shared" si="350"/>
        <v>0</v>
      </c>
      <c r="BV279" s="4438">
        <f t="shared" si="351"/>
        <v>0</v>
      </c>
      <c r="BW279" s="4438">
        <f t="shared" si="352"/>
        <v>0</v>
      </c>
      <c r="BX279" s="4438">
        <f t="shared" si="353"/>
        <v>0</v>
      </c>
      <c r="BY279" s="4438">
        <f t="shared" si="354"/>
        <v>0</v>
      </c>
    </row>
    <row r="280" spans="1:77" ht="13.5" thickBot="1">
      <c r="A280" s="2578"/>
      <c r="B280" s="2578"/>
      <c r="C280" s="2578"/>
      <c r="D280" s="2579" t="s">
        <v>559</v>
      </c>
      <c r="E280" s="2642">
        <f>E10+E111+E192</f>
        <v>114194</v>
      </c>
      <c r="F280" s="2643">
        <f t="shared" ref="F280:AM280" si="366">F10+F111+F192</f>
        <v>115878.66666666667</v>
      </c>
      <c r="G280" s="2644">
        <f t="shared" si="366"/>
        <v>121859.81253666666</v>
      </c>
      <c r="H280" s="2644">
        <f t="shared" si="366"/>
        <v>131329.10427666668</v>
      </c>
      <c r="I280" s="2644">
        <f t="shared" si="366"/>
        <v>140797.72935000001</v>
      </c>
      <c r="J280" s="2644">
        <f t="shared" si="366"/>
        <v>142496.12935</v>
      </c>
      <c r="K280" s="2645">
        <f t="shared" si="366"/>
        <v>144164.46268333335</v>
      </c>
      <c r="L280" s="2642">
        <f t="shared" si="366"/>
        <v>101243</v>
      </c>
      <c r="M280" s="2643">
        <f t="shared" si="366"/>
        <v>101635.66666666667</v>
      </c>
      <c r="N280" s="2644">
        <f t="shared" si="366"/>
        <v>103088.93502666667</v>
      </c>
      <c r="O280" s="2644">
        <f t="shared" si="366"/>
        <v>105510.47174666666</v>
      </c>
      <c r="P280" s="2644">
        <f t="shared" si="366"/>
        <v>107750.34179999999</v>
      </c>
      <c r="Q280" s="2644">
        <f t="shared" si="366"/>
        <v>108089.7418</v>
      </c>
      <c r="R280" s="2645">
        <f t="shared" si="366"/>
        <v>108443.07513333333</v>
      </c>
      <c r="S280" s="2642">
        <f t="shared" si="366"/>
        <v>74591</v>
      </c>
      <c r="T280" s="2643">
        <f t="shared" si="366"/>
        <v>74762.666666666672</v>
      </c>
      <c r="U280" s="2644">
        <f t="shared" si="366"/>
        <v>76242.556210666662</v>
      </c>
      <c r="V280" s="2644">
        <f t="shared" si="366"/>
        <v>78836.335298666672</v>
      </c>
      <c r="W280" s="2644">
        <f t="shared" si="366"/>
        <v>81320.447719999996</v>
      </c>
      <c r="X280" s="2644">
        <f t="shared" si="366"/>
        <v>81641.847720000005</v>
      </c>
      <c r="Y280" s="2646">
        <f t="shared" si="366"/>
        <v>81970.181053333334</v>
      </c>
      <c r="Z280" s="2642">
        <f t="shared" si="366"/>
        <v>0</v>
      </c>
      <c r="AA280" s="2643">
        <f t="shared" si="366"/>
        <v>0</v>
      </c>
      <c r="AB280" s="2644">
        <f t="shared" si="366"/>
        <v>0</v>
      </c>
      <c r="AC280" s="2644">
        <f t="shared" si="366"/>
        <v>0</v>
      </c>
      <c r="AD280" s="2644">
        <f t="shared" si="366"/>
        <v>0</v>
      </c>
      <c r="AE280" s="2644">
        <f t="shared" si="366"/>
        <v>0</v>
      </c>
      <c r="AF280" s="2646">
        <f t="shared" si="366"/>
        <v>0</v>
      </c>
      <c r="AG280" s="2642">
        <f t="shared" si="366"/>
        <v>0</v>
      </c>
      <c r="AH280" s="2643">
        <f t="shared" si="366"/>
        <v>0</v>
      </c>
      <c r="AI280" s="2644">
        <f t="shared" si="366"/>
        <v>0</v>
      </c>
      <c r="AJ280" s="2644">
        <f t="shared" si="366"/>
        <v>0</v>
      </c>
      <c r="AK280" s="2644">
        <f t="shared" si="366"/>
        <v>0</v>
      </c>
      <c r="AL280" s="2644">
        <f t="shared" si="366"/>
        <v>0</v>
      </c>
      <c r="AM280" s="2646">
        <f t="shared" si="366"/>
        <v>0</v>
      </c>
      <c r="AN280" s="2570"/>
      <c r="AO280" s="2549"/>
      <c r="AP280" s="4422"/>
      <c r="AQ280" s="4438">
        <f t="shared" si="320"/>
        <v>58386.465081320974</v>
      </c>
      <c r="AR280" s="4438">
        <f t="shared" si="321"/>
        <v>59247.821470509538</v>
      </c>
      <c r="AS280" s="4438">
        <f t="shared" si="322"/>
        <v>62305.932794090826</v>
      </c>
      <c r="AT280" s="4438">
        <f t="shared" si="323"/>
        <v>67147.504781431257</v>
      </c>
      <c r="AU280" s="4438">
        <f t="shared" si="324"/>
        <v>71988.735907517534</v>
      </c>
      <c r="AV280" s="4438">
        <f t="shared" si="325"/>
        <v>72857.114038541185</v>
      </c>
      <c r="AW280" s="4438">
        <f t="shared" si="326"/>
        <v>73710.119327003544</v>
      </c>
      <c r="AX280" s="4438">
        <f t="shared" si="327"/>
        <v>51764.723927948748</v>
      </c>
      <c r="AY280" s="4438">
        <f t="shared" si="328"/>
        <v>51965.491206631799</v>
      </c>
      <c r="AZ280" s="4438">
        <f t="shared" si="329"/>
        <v>52708.535520299141</v>
      </c>
      <c r="BA280" s="4438">
        <f t="shared" si="330"/>
        <v>53946.647585253661</v>
      </c>
      <c r="BB280" s="4438">
        <f t="shared" si="331"/>
        <v>55091.874958457534</v>
      </c>
      <c r="BC280" s="4438">
        <f t="shared" si="332"/>
        <v>55265.407422935532</v>
      </c>
      <c r="BD280" s="4438">
        <f t="shared" si="333"/>
        <v>55446.063887624863</v>
      </c>
      <c r="BE280" s="4438">
        <f t="shared" si="334"/>
        <v>38137.772710307137</v>
      </c>
      <c r="BF280" s="4438">
        <f t="shared" si="335"/>
        <v>38225.544483245823</v>
      </c>
      <c r="BG280" s="4438">
        <f t="shared" si="336"/>
        <v>38982.199992160189</v>
      </c>
      <c r="BH280" s="4438">
        <f t="shared" si="337"/>
        <v>40308.378181471126</v>
      </c>
      <c r="BI280" s="4438">
        <f t="shared" si="338"/>
        <v>41578.484694477535</v>
      </c>
      <c r="BJ280" s="4438">
        <f t="shared" si="339"/>
        <v>41742.813905094008</v>
      </c>
      <c r="BK280" s="4438">
        <f t="shared" si="340"/>
        <v>41910.68807275343</v>
      </c>
      <c r="BL280" s="4438">
        <f t="shared" si="341"/>
        <v>0</v>
      </c>
      <c r="BM280" s="4438">
        <f t="shared" si="342"/>
        <v>0</v>
      </c>
      <c r="BN280" s="4438">
        <f t="shared" si="343"/>
        <v>0</v>
      </c>
      <c r="BO280" s="4438">
        <f t="shared" si="344"/>
        <v>0</v>
      </c>
      <c r="BP280" s="4438">
        <f t="shared" si="345"/>
        <v>0</v>
      </c>
      <c r="BQ280" s="4438">
        <f t="shared" si="346"/>
        <v>0</v>
      </c>
      <c r="BR280" s="4438">
        <f t="shared" si="347"/>
        <v>0</v>
      </c>
      <c r="BS280" s="4438">
        <f t="shared" si="348"/>
        <v>0</v>
      </c>
      <c r="BT280" s="4438">
        <f t="shared" si="349"/>
        <v>0</v>
      </c>
      <c r="BU280" s="4438">
        <f t="shared" si="350"/>
        <v>0</v>
      </c>
      <c r="BV280" s="4438">
        <f t="shared" si="351"/>
        <v>0</v>
      </c>
      <c r="BW280" s="4438">
        <f t="shared" si="352"/>
        <v>0</v>
      </c>
      <c r="BX280" s="4438">
        <f t="shared" si="353"/>
        <v>0</v>
      </c>
      <c r="BY280" s="4438">
        <f t="shared" si="354"/>
        <v>0</v>
      </c>
    </row>
    <row r="281" spans="1:77" ht="13.5" thickBot="1">
      <c r="A281" s="2578"/>
      <c r="B281" s="2578"/>
      <c r="C281" s="2578"/>
      <c r="D281" s="2579" t="s">
        <v>560</v>
      </c>
      <c r="E281" s="2642">
        <f t="shared" ref="E281" si="367">E35+E131+E214</f>
        <v>2879</v>
      </c>
      <c r="F281" s="2643">
        <f t="shared" ref="F281:AM281" si="368">F35+F131+F214</f>
        <v>3018.4112109375001</v>
      </c>
      <c r="G281" s="2644">
        <f t="shared" si="368"/>
        <v>3232.3373550697934</v>
      </c>
      <c r="H281" s="2644">
        <f t="shared" si="368"/>
        <v>3553.8141908205516</v>
      </c>
      <c r="I281" s="2644">
        <f t="shared" si="368"/>
        <v>3897.15974406754</v>
      </c>
      <c r="J281" s="2644">
        <f t="shared" si="368"/>
        <v>4130.9677679811721</v>
      </c>
      <c r="K281" s="2645">
        <f t="shared" si="368"/>
        <v>4254.9875683772998</v>
      </c>
      <c r="L281" s="2642">
        <f t="shared" si="368"/>
        <v>1998</v>
      </c>
      <c r="M281" s="2643">
        <f t="shared" si="368"/>
        <v>2020.3833593750001</v>
      </c>
      <c r="N281" s="2644">
        <f t="shared" si="368"/>
        <v>2054.6264595287589</v>
      </c>
      <c r="O281" s="2644">
        <f t="shared" si="368"/>
        <v>2096.9160283245569</v>
      </c>
      <c r="P281" s="2644">
        <f t="shared" si="368"/>
        <v>2077.1442912070243</v>
      </c>
      <c r="Q281" s="2644">
        <f t="shared" si="368"/>
        <v>2103.2849460056327</v>
      </c>
      <c r="R281" s="2645">
        <f t="shared" si="368"/>
        <v>2107.0258422109077</v>
      </c>
      <c r="S281" s="2642">
        <f t="shared" si="368"/>
        <v>3933</v>
      </c>
      <c r="T281" s="2643">
        <f t="shared" si="368"/>
        <v>3945.9504296875002</v>
      </c>
      <c r="U281" s="2644">
        <f t="shared" si="368"/>
        <v>3977.8088077614475</v>
      </c>
      <c r="V281" s="2644">
        <f t="shared" si="368"/>
        <v>4066.1152702948912</v>
      </c>
      <c r="W281" s="2644">
        <f t="shared" si="368"/>
        <v>4178.0519436054356</v>
      </c>
      <c r="X281" s="2644">
        <f t="shared" si="368"/>
        <v>4237.1785096131944</v>
      </c>
      <c r="Y281" s="2646">
        <f t="shared" si="368"/>
        <v>4247.8078130117919</v>
      </c>
      <c r="Z281" s="2642">
        <f t="shared" si="368"/>
        <v>0</v>
      </c>
      <c r="AA281" s="2643">
        <f t="shared" si="368"/>
        <v>0</v>
      </c>
      <c r="AB281" s="2644">
        <f t="shared" si="368"/>
        <v>0</v>
      </c>
      <c r="AC281" s="2644">
        <f t="shared" si="368"/>
        <v>0</v>
      </c>
      <c r="AD281" s="2644">
        <f t="shared" si="368"/>
        <v>0</v>
      </c>
      <c r="AE281" s="2644">
        <f t="shared" si="368"/>
        <v>0</v>
      </c>
      <c r="AF281" s="2646">
        <f t="shared" si="368"/>
        <v>0</v>
      </c>
      <c r="AG281" s="2642">
        <f t="shared" si="368"/>
        <v>0</v>
      </c>
      <c r="AH281" s="2643">
        <f t="shared" si="368"/>
        <v>0</v>
      </c>
      <c r="AI281" s="2644">
        <f t="shared" si="368"/>
        <v>0</v>
      </c>
      <c r="AJ281" s="2644">
        <f t="shared" si="368"/>
        <v>0</v>
      </c>
      <c r="AK281" s="2644">
        <f t="shared" si="368"/>
        <v>0</v>
      </c>
      <c r="AL281" s="2644">
        <f t="shared" si="368"/>
        <v>0</v>
      </c>
      <c r="AM281" s="2646">
        <f t="shared" si="368"/>
        <v>0</v>
      </c>
      <c r="AN281" s="2570"/>
      <c r="AO281" s="2549"/>
      <c r="AP281" s="4422"/>
      <c r="AQ281" s="4438">
        <f t="shared" si="320"/>
        <v>1472.0093259639129</v>
      </c>
      <c r="AR281" s="4438">
        <f t="shared" si="321"/>
        <v>1543.2891462639902</v>
      </c>
      <c r="AS281" s="4438">
        <f t="shared" si="322"/>
        <v>1652.667846934444</v>
      </c>
      <c r="AT281" s="4438">
        <f t="shared" si="323"/>
        <v>1817.0363430464568</v>
      </c>
      <c r="AU281" s="4438">
        <f t="shared" si="324"/>
        <v>1992.5861368664659</v>
      </c>
      <c r="AV281" s="4438">
        <f t="shared" si="325"/>
        <v>2112.1302812520375</v>
      </c>
      <c r="AW281" s="4438">
        <f t="shared" si="326"/>
        <v>2175.5405983021528</v>
      </c>
      <c r="AX281" s="4438">
        <f t="shared" si="327"/>
        <v>1021.5611786300445</v>
      </c>
      <c r="AY281" s="4438">
        <f t="shared" si="328"/>
        <v>1033.0056085523793</v>
      </c>
      <c r="AZ281" s="4438">
        <f t="shared" si="329"/>
        <v>1050.5138276479852</v>
      </c>
      <c r="BA281" s="4438">
        <f t="shared" si="330"/>
        <v>1072.1361408325656</v>
      </c>
      <c r="BB281" s="4438">
        <f t="shared" si="331"/>
        <v>1062.0270121672254</v>
      </c>
      <c r="BC281" s="4438">
        <f t="shared" si="332"/>
        <v>1075.3925167349068</v>
      </c>
      <c r="BD281" s="4438">
        <f t="shared" si="333"/>
        <v>1077.3052065930617</v>
      </c>
      <c r="BE281" s="4438">
        <f t="shared" si="334"/>
        <v>2010.9109687447274</v>
      </c>
      <c r="BF281" s="4438">
        <f t="shared" si="335"/>
        <v>2017.5324183019486</v>
      </c>
      <c r="BG281" s="4438">
        <f t="shared" si="336"/>
        <v>2033.8213483592376</v>
      </c>
      <c r="BH281" s="4438">
        <f t="shared" si="337"/>
        <v>2078.9717257097454</v>
      </c>
      <c r="BI281" s="4438">
        <f t="shared" si="338"/>
        <v>2136.2040379815403</v>
      </c>
      <c r="BJ281" s="4438">
        <f t="shared" si="339"/>
        <v>2166.4349711443197</v>
      </c>
      <c r="BK281" s="4438">
        <f t="shared" si="340"/>
        <v>2171.8696476747937</v>
      </c>
      <c r="BL281" s="4438">
        <f t="shared" si="341"/>
        <v>0</v>
      </c>
      <c r="BM281" s="4438">
        <f t="shared" si="342"/>
        <v>0</v>
      </c>
      <c r="BN281" s="4438">
        <f t="shared" si="343"/>
        <v>0</v>
      </c>
      <c r="BO281" s="4438">
        <f t="shared" si="344"/>
        <v>0</v>
      </c>
      <c r="BP281" s="4438">
        <f t="shared" si="345"/>
        <v>0</v>
      </c>
      <c r="BQ281" s="4438">
        <f t="shared" si="346"/>
        <v>0</v>
      </c>
      <c r="BR281" s="4438">
        <f t="shared" si="347"/>
        <v>0</v>
      </c>
      <c r="BS281" s="4438">
        <f t="shared" si="348"/>
        <v>0</v>
      </c>
      <c r="BT281" s="4438">
        <f t="shared" si="349"/>
        <v>0</v>
      </c>
      <c r="BU281" s="4438">
        <f t="shared" si="350"/>
        <v>0</v>
      </c>
      <c r="BV281" s="4438">
        <f t="shared" si="351"/>
        <v>0</v>
      </c>
      <c r="BW281" s="4438">
        <f t="shared" si="352"/>
        <v>0</v>
      </c>
      <c r="BX281" s="4438">
        <f t="shared" si="353"/>
        <v>0</v>
      </c>
      <c r="BY281" s="4438">
        <f t="shared" si="354"/>
        <v>0</v>
      </c>
    </row>
    <row r="282" spans="1:77" ht="13.5" thickBot="1">
      <c r="A282" s="2578"/>
      <c r="B282" s="2578"/>
      <c r="C282" s="2578"/>
      <c r="D282" s="2579" t="s">
        <v>561</v>
      </c>
      <c r="E282" s="2642">
        <f t="shared" ref="E282" si="369">E60+E151+E236</f>
        <v>33697</v>
      </c>
      <c r="F282" s="2643">
        <f t="shared" ref="F282:AM282" si="370">F60+F151+F236</f>
        <v>36715.411210937498</v>
      </c>
      <c r="G282" s="2644">
        <f t="shared" si="370"/>
        <v>39947.748566007293</v>
      </c>
      <c r="H282" s="2644">
        <f t="shared" si="370"/>
        <v>43501.562756827843</v>
      </c>
      <c r="I282" s="2644">
        <f t="shared" si="370"/>
        <v>47398.722500895383</v>
      </c>
      <c r="J282" s="2644">
        <f t="shared" si="370"/>
        <v>51529.690268876562</v>
      </c>
      <c r="K282" s="2645">
        <f t="shared" si="370"/>
        <v>55784.677837253868</v>
      </c>
      <c r="L282" s="2642">
        <f t="shared" si="370"/>
        <v>17613</v>
      </c>
      <c r="M282" s="2643">
        <f t="shared" si="370"/>
        <v>19633.383359374999</v>
      </c>
      <c r="N282" s="2644">
        <f t="shared" si="370"/>
        <v>21688.00981890376</v>
      </c>
      <c r="O282" s="2644">
        <f t="shared" si="370"/>
        <v>23784.925847228315</v>
      </c>
      <c r="P282" s="2644">
        <f t="shared" si="370"/>
        <v>25862.070138435342</v>
      </c>
      <c r="Q282" s="2644">
        <f t="shared" si="370"/>
        <v>27965.355084440973</v>
      </c>
      <c r="R282" s="2645">
        <f t="shared" si="370"/>
        <v>30072.38092665188</v>
      </c>
      <c r="S282" s="2642">
        <f t="shared" si="370"/>
        <v>27923</v>
      </c>
      <c r="T282" s="2643">
        <f t="shared" si="370"/>
        <v>31868.950429687498</v>
      </c>
      <c r="U282" s="2644">
        <f t="shared" si="370"/>
        <v>35846.759237448947</v>
      </c>
      <c r="V282" s="2644">
        <f t="shared" si="370"/>
        <v>39912.874507743836</v>
      </c>
      <c r="W282" s="2644">
        <f t="shared" si="370"/>
        <v>44090.926451349274</v>
      </c>
      <c r="X282" s="2644">
        <f t="shared" si="370"/>
        <v>48328.104960962468</v>
      </c>
      <c r="Y282" s="2646">
        <f t="shared" si="370"/>
        <v>52575.912773974262</v>
      </c>
      <c r="Z282" s="2642">
        <f t="shared" si="370"/>
        <v>0</v>
      </c>
      <c r="AA282" s="2643">
        <f t="shared" si="370"/>
        <v>0</v>
      </c>
      <c r="AB282" s="2644">
        <f t="shared" si="370"/>
        <v>0</v>
      </c>
      <c r="AC282" s="2644">
        <f t="shared" si="370"/>
        <v>0</v>
      </c>
      <c r="AD282" s="2644">
        <f t="shared" si="370"/>
        <v>0</v>
      </c>
      <c r="AE282" s="2644">
        <f t="shared" si="370"/>
        <v>0</v>
      </c>
      <c r="AF282" s="2646">
        <f t="shared" si="370"/>
        <v>0</v>
      </c>
      <c r="AG282" s="2642">
        <f t="shared" si="370"/>
        <v>0</v>
      </c>
      <c r="AH282" s="2643">
        <f t="shared" si="370"/>
        <v>0</v>
      </c>
      <c r="AI282" s="2644">
        <f t="shared" si="370"/>
        <v>0</v>
      </c>
      <c r="AJ282" s="2644">
        <f t="shared" si="370"/>
        <v>0</v>
      </c>
      <c r="AK282" s="2644">
        <f t="shared" si="370"/>
        <v>0</v>
      </c>
      <c r="AL282" s="2644">
        <f t="shared" si="370"/>
        <v>0</v>
      </c>
      <c r="AM282" s="2646">
        <f t="shared" si="370"/>
        <v>0</v>
      </c>
      <c r="AN282" s="2570"/>
      <c r="AO282" s="2549"/>
      <c r="AP282" s="4422"/>
      <c r="AQ282" s="4438">
        <f t="shared" si="320"/>
        <v>17229.002520668975</v>
      </c>
      <c r="AR282" s="4438">
        <f t="shared" si="321"/>
        <v>18772.291666932964</v>
      </c>
      <c r="AS282" s="4438">
        <f t="shared" si="322"/>
        <v>20424.959513867409</v>
      </c>
      <c r="AT282" s="4438">
        <f t="shared" si="323"/>
        <v>22241.995856913865</v>
      </c>
      <c r="AU282" s="4438">
        <f t="shared" si="324"/>
        <v>24234.581993780332</v>
      </c>
      <c r="AV282" s="4438">
        <f t="shared" si="325"/>
        <v>26346.712275032372</v>
      </c>
      <c r="AW282" s="4438">
        <f t="shared" si="326"/>
        <v>28522.252873334528</v>
      </c>
      <c r="AX282" s="4438">
        <f t="shared" si="327"/>
        <v>9005.3839035089968</v>
      </c>
      <c r="AY282" s="4438">
        <f t="shared" si="328"/>
        <v>10038.389512061374</v>
      </c>
      <c r="AZ282" s="4438">
        <f t="shared" si="329"/>
        <v>11088.903339709361</v>
      </c>
      <c r="BA282" s="4438">
        <f t="shared" si="330"/>
        <v>12161.039480541926</v>
      </c>
      <c r="BB282" s="4438">
        <f t="shared" si="331"/>
        <v>13223.066492709153</v>
      </c>
      <c r="BC282" s="4438">
        <f t="shared" si="332"/>
        <v>14298.459009444059</v>
      </c>
      <c r="BD282" s="4438">
        <f t="shared" si="333"/>
        <v>15375.76421603712</v>
      </c>
      <c r="BE282" s="4438">
        <f t="shared" si="334"/>
        <v>14276.803198642008</v>
      </c>
      <c r="BF282" s="4438">
        <f t="shared" si="335"/>
        <v>16294.335616943958</v>
      </c>
      <c r="BG282" s="4438">
        <f t="shared" si="336"/>
        <v>18328.156965303195</v>
      </c>
      <c r="BH282" s="4438">
        <f t="shared" si="337"/>
        <v>20407.128691012938</v>
      </c>
      <c r="BI282" s="4438">
        <f t="shared" si="338"/>
        <v>22543.332728994479</v>
      </c>
      <c r="BJ282" s="4438">
        <f t="shared" si="339"/>
        <v>24709.7677001388</v>
      </c>
      <c r="BK282" s="4438">
        <f t="shared" si="340"/>
        <v>26881.637347813594</v>
      </c>
      <c r="BL282" s="4438">
        <f t="shared" si="341"/>
        <v>0</v>
      </c>
      <c r="BM282" s="4438">
        <f t="shared" si="342"/>
        <v>0</v>
      </c>
      <c r="BN282" s="4438">
        <f t="shared" si="343"/>
        <v>0</v>
      </c>
      <c r="BO282" s="4438">
        <f t="shared" si="344"/>
        <v>0</v>
      </c>
      <c r="BP282" s="4438">
        <f t="shared" si="345"/>
        <v>0</v>
      </c>
      <c r="BQ282" s="4438">
        <f t="shared" si="346"/>
        <v>0</v>
      </c>
      <c r="BR282" s="4438">
        <f t="shared" si="347"/>
        <v>0</v>
      </c>
      <c r="BS282" s="4438">
        <f t="shared" si="348"/>
        <v>0</v>
      </c>
      <c r="BT282" s="4438">
        <f t="shared" si="349"/>
        <v>0</v>
      </c>
      <c r="BU282" s="4438">
        <f t="shared" si="350"/>
        <v>0</v>
      </c>
      <c r="BV282" s="4438">
        <f t="shared" si="351"/>
        <v>0</v>
      </c>
      <c r="BW282" s="4438">
        <f t="shared" si="352"/>
        <v>0</v>
      </c>
      <c r="BX282" s="4438">
        <f t="shared" si="353"/>
        <v>0</v>
      </c>
      <c r="BY282" s="4438">
        <f t="shared" si="354"/>
        <v>0</v>
      </c>
    </row>
    <row r="283" spans="1:77" ht="13.5" thickBot="1">
      <c r="A283" s="2578"/>
      <c r="B283" s="2578"/>
      <c r="C283" s="2578"/>
      <c r="D283" s="2579" t="s">
        <v>562</v>
      </c>
      <c r="E283" s="2642">
        <f t="shared" ref="E283" si="371">E85+E171+E258</f>
        <v>80497</v>
      </c>
      <c r="F283" s="2643">
        <f>F85+F171+F258</f>
        <v>79163.255455729173</v>
      </c>
      <c r="G283" s="2644">
        <f t="shared" ref="G283:AM283" si="372">G85+G171+G258</f>
        <v>81912.063970659379</v>
      </c>
      <c r="H283" s="2644">
        <f t="shared" si="372"/>
        <v>87827.541519838822</v>
      </c>
      <c r="I283" s="2644">
        <f t="shared" si="372"/>
        <v>93399.006849104626</v>
      </c>
      <c r="J283" s="2644">
        <f t="shared" si="372"/>
        <v>90966.439081123448</v>
      </c>
      <c r="K283" s="2645">
        <f t="shared" si="372"/>
        <v>88379.784846079478</v>
      </c>
      <c r="L283" s="2642">
        <f t="shared" si="372"/>
        <v>83630</v>
      </c>
      <c r="M283" s="2643">
        <f t="shared" si="372"/>
        <v>82002.283307291669</v>
      </c>
      <c r="N283" s="2644">
        <f t="shared" si="372"/>
        <v>81400.925207762906</v>
      </c>
      <c r="O283" s="2644">
        <f t="shared" si="372"/>
        <v>81725.545899438352</v>
      </c>
      <c r="P283" s="2644">
        <f t="shared" si="372"/>
        <v>81888.271661564664</v>
      </c>
      <c r="Q283" s="2644">
        <f t="shared" si="372"/>
        <v>80124.386715559027</v>
      </c>
      <c r="R283" s="2645">
        <f t="shared" si="372"/>
        <v>78370.694206681452</v>
      </c>
      <c r="S283" s="2642">
        <f t="shared" si="372"/>
        <v>46668</v>
      </c>
      <c r="T283" s="2643">
        <f t="shared" si="372"/>
        <v>42893.716236979169</v>
      </c>
      <c r="U283" s="2644">
        <f t="shared" si="372"/>
        <v>40395.796973217715</v>
      </c>
      <c r="V283" s="2644">
        <f t="shared" si="372"/>
        <v>38923.460790922829</v>
      </c>
      <c r="W283" s="2644">
        <f t="shared" si="372"/>
        <v>37229.521268650729</v>
      </c>
      <c r="X283" s="2644">
        <f t="shared" si="372"/>
        <v>33313.74275903753</v>
      </c>
      <c r="Y283" s="2646">
        <f t="shared" si="372"/>
        <v>29394.268279359072</v>
      </c>
      <c r="Z283" s="2642">
        <f t="shared" si="372"/>
        <v>0</v>
      </c>
      <c r="AA283" s="2643">
        <f t="shared" si="372"/>
        <v>0</v>
      </c>
      <c r="AB283" s="2644">
        <f t="shared" si="372"/>
        <v>0</v>
      </c>
      <c r="AC283" s="2644">
        <f t="shared" si="372"/>
        <v>0</v>
      </c>
      <c r="AD283" s="2644">
        <f t="shared" si="372"/>
        <v>0</v>
      </c>
      <c r="AE283" s="2644">
        <f t="shared" si="372"/>
        <v>0</v>
      </c>
      <c r="AF283" s="2646">
        <f t="shared" si="372"/>
        <v>0</v>
      </c>
      <c r="AG283" s="2642">
        <f t="shared" si="372"/>
        <v>0</v>
      </c>
      <c r="AH283" s="2643">
        <f t="shared" si="372"/>
        <v>0</v>
      </c>
      <c r="AI283" s="2644">
        <f t="shared" si="372"/>
        <v>0</v>
      </c>
      <c r="AJ283" s="2644">
        <f t="shared" si="372"/>
        <v>0</v>
      </c>
      <c r="AK283" s="2644">
        <f t="shared" si="372"/>
        <v>0</v>
      </c>
      <c r="AL283" s="2644">
        <f t="shared" si="372"/>
        <v>0</v>
      </c>
      <c r="AM283" s="2646">
        <f t="shared" si="372"/>
        <v>0</v>
      </c>
      <c r="AN283" s="2570"/>
      <c r="AO283" s="2580"/>
      <c r="AP283" s="4422"/>
      <c r="AQ283" s="4438">
        <f t="shared" si="320"/>
        <v>41157.462560651999</v>
      </c>
      <c r="AR283" s="4438">
        <f t="shared" si="321"/>
        <v>40475.529803576574</v>
      </c>
      <c r="AS283" s="4438">
        <f t="shared" si="322"/>
        <v>41880.973280223428</v>
      </c>
      <c r="AT283" s="4438">
        <f t="shared" si="323"/>
        <v>44905.50892451738</v>
      </c>
      <c r="AU283" s="4438">
        <f t="shared" si="324"/>
        <v>47754.153913737202</v>
      </c>
      <c r="AV283" s="4438">
        <f t="shared" si="325"/>
        <v>46510.401763508817</v>
      </c>
      <c r="AW283" s="4438">
        <f t="shared" si="326"/>
        <v>45187.866453669019</v>
      </c>
      <c r="AX283" s="4438">
        <f t="shared" si="327"/>
        <v>42759.340024439756</v>
      </c>
      <c r="AY283" s="4438">
        <f t="shared" si="328"/>
        <v>41927.101694570425</v>
      </c>
      <c r="AZ283" s="4438">
        <f t="shared" si="329"/>
        <v>41619.632180589782</v>
      </c>
      <c r="BA283" s="4438">
        <f t="shared" si="330"/>
        <v>41785.608104711733</v>
      </c>
      <c r="BB283" s="4438">
        <f t="shared" si="331"/>
        <v>41868.808465748385</v>
      </c>
      <c r="BC283" s="4438">
        <f t="shared" si="332"/>
        <v>40966.948413491475</v>
      </c>
      <c r="BD283" s="4438">
        <f t="shared" si="333"/>
        <v>40070.299671587745</v>
      </c>
      <c r="BE283" s="4438">
        <f t="shared" si="334"/>
        <v>23860.969511665124</v>
      </c>
      <c r="BF283" s="4438">
        <f t="shared" si="335"/>
        <v>21931.208866301862</v>
      </c>
      <c r="BG283" s="4438">
        <f t="shared" si="336"/>
        <v>20654.043026856994</v>
      </c>
      <c r="BH283" s="4438">
        <f t="shared" si="337"/>
        <v>19901.249490458184</v>
      </c>
      <c r="BI283" s="4438">
        <f t="shared" si="338"/>
        <v>19035.151965483059</v>
      </c>
      <c r="BJ283" s="4438">
        <f t="shared" si="339"/>
        <v>17033.046204955201</v>
      </c>
      <c r="BK283" s="4438">
        <f t="shared" si="340"/>
        <v>15029.050724939832</v>
      </c>
      <c r="BL283" s="4438">
        <f t="shared" si="341"/>
        <v>0</v>
      </c>
      <c r="BM283" s="4438">
        <f t="shared" si="342"/>
        <v>0</v>
      </c>
      <c r="BN283" s="4438">
        <f t="shared" si="343"/>
        <v>0</v>
      </c>
      <c r="BO283" s="4438">
        <f t="shared" si="344"/>
        <v>0</v>
      </c>
      <c r="BP283" s="4438">
        <f t="shared" si="345"/>
        <v>0</v>
      </c>
      <c r="BQ283" s="4438">
        <f t="shared" si="346"/>
        <v>0</v>
      </c>
      <c r="BR283" s="4438">
        <f t="shared" si="347"/>
        <v>0</v>
      </c>
      <c r="BS283" s="4438">
        <f t="shared" si="348"/>
        <v>0</v>
      </c>
      <c r="BT283" s="4438">
        <f t="shared" si="349"/>
        <v>0</v>
      </c>
      <c r="BU283" s="4438">
        <f t="shared" si="350"/>
        <v>0</v>
      </c>
      <c r="BV283" s="4438">
        <f t="shared" si="351"/>
        <v>0</v>
      </c>
      <c r="BW283" s="4438">
        <f t="shared" si="352"/>
        <v>0</v>
      </c>
      <c r="BX283" s="4438">
        <f t="shared" si="353"/>
        <v>0</v>
      </c>
      <c r="BY283" s="4438">
        <f t="shared" si="354"/>
        <v>0</v>
      </c>
    </row>
    <row r="284" spans="1:77" ht="13.5" thickBot="1">
      <c r="A284" s="174"/>
      <c r="B284" s="31"/>
      <c r="C284" s="31"/>
      <c r="D284" s="2581"/>
      <c r="E284" s="346"/>
      <c r="F284" s="345"/>
      <c r="G284" s="345"/>
      <c r="H284" s="345"/>
      <c r="I284" s="345"/>
      <c r="J284" s="345"/>
      <c r="K284" s="345"/>
      <c r="L284" s="346"/>
      <c r="M284" s="345"/>
      <c r="N284" s="345"/>
      <c r="O284" s="345"/>
      <c r="P284" s="345"/>
      <c r="Q284" s="345"/>
      <c r="R284" s="345"/>
      <c r="S284" s="346"/>
      <c r="T284" s="345"/>
      <c r="U284" s="345"/>
      <c r="V284" s="345"/>
      <c r="W284" s="345"/>
      <c r="X284" s="345"/>
      <c r="Y284" s="345"/>
      <c r="Z284" s="346"/>
      <c r="AA284" s="345"/>
      <c r="AB284" s="345"/>
      <c r="AC284" s="345"/>
      <c r="AD284" s="345"/>
      <c r="AE284" s="345"/>
      <c r="AF284" s="345"/>
      <c r="AG284" s="346"/>
      <c r="AH284" s="345"/>
      <c r="AI284" s="345"/>
      <c r="AJ284" s="345"/>
      <c r="AK284" s="345"/>
      <c r="AL284" s="345"/>
      <c r="AM284" s="345"/>
      <c r="AP284" s="4422"/>
    </row>
    <row r="285" spans="1:77" ht="13.5" thickBot="1">
      <c r="D285" s="260" t="s">
        <v>1039</v>
      </c>
      <c r="E285" s="261">
        <f>E280-E282-E283</f>
        <v>0</v>
      </c>
      <c r="F285" s="261">
        <f t="shared" ref="F285:AM285" si="373">F280-F282-F283</f>
        <v>0</v>
      </c>
      <c r="G285" s="261">
        <f t="shared" si="373"/>
        <v>0</v>
      </c>
      <c r="H285" s="261">
        <f t="shared" si="373"/>
        <v>0</v>
      </c>
      <c r="I285" s="261">
        <f t="shared" si="373"/>
        <v>0</v>
      </c>
      <c r="J285" s="261">
        <f t="shared" si="373"/>
        <v>0</v>
      </c>
      <c r="K285" s="261">
        <f t="shared" si="373"/>
        <v>0</v>
      </c>
      <c r="L285" s="261">
        <f t="shared" si="373"/>
        <v>0</v>
      </c>
      <c r="M285" s="261">
        <f t="shared" si="373"/>
        <v>0</v>
      </c>
      <c r="N285" s="261">
        <f t="shared" si="373"/>
        <v>0</v>
      </c>
      <c r="O285" s="261">
        <f t="shared" si="373"/>
        <v>0</v>
      </c>
      <c r="P285" s="261">
        <f t="shared" si="373"/>
        <v>0</v>
      </c>
      <c r="Q285" s="261">
        <f t="shared" si="373"/>
        <v>0</v>
      </c>
      <c r="R285" s="261">
        <f t="shared" si="373"/>
        <v>0</v>
      </c>
      <c r="S285" s="261">
        <f t="shared" si="373"/>
        <v>0</v>
      </c>
      <c r="T285" s="261">
        <f t="shared" si="373"/>
        <v>0</v>
      </c>
      <c r="U285" s="261">
        <f t="shared" si="373"/>
        <v>0</v>
      </c>
      <c r="V285" s="261">
        <f t="shared" si="373"/>
        <v>0</v>
      </c>
      <c r="W285" s="261">
        <f t="shared" si="373"/>
        <v>0</v>
      </c>
      <c r="X285" s="261">
        <f t="shared" si="373"/>
        <v>0</v>
      </c>
      <c r="Y285" s="261">
        <f t="shared" si="373"/>
        <v>0</v>
      </c>
      <c r="Z285" s="261">
        <f t="shared" si="373"/>
        <v>0</v>
      </c>
      <c r="AA285" s="261">
        <f t="shared" si="373"/>
        <v>0</v>
      </c>
      <c r="AB285" s="261">
        <f t="shared" si="373"/>
        <v>0</v>
      </c>
      <c r="AC285" s="261">
        <f t="shared" si="373"/>
        <v>0</v>
      </c>
      <c r="AD285" s="261">
        <f t="shared" si="373"/>
        <v>0</v>
      </c>
      <c r="AE285" s="261">
        <f t="shared" si="373"/>
        <v>0</v>
      </c>
      <c r="AF285" s="261">
        <f t="shared" si="373"/>
        <v>0</v>
      </c>
      <c r="AG285" s="261">
        <f t="shared" si="373"/>
        <v>0</v>
      </c>
      <c r="AH285" s="261">
        <f t="shared" si="373"/>
        <v>0</v>
      </c>
      <c r="AI285" s="261">
        <f t="shared" si="373"/>
        <v>0</v>
      </c>
      <c r="AJ285" s="261">
        <f t="shared" si="373"/>
        <v>0</v>
      </c>
      <c r="AK285" s="261">
        <f t="shared" si="373"/>
        <v>0</v>
      </c>
      <c r="AL285" s="261">
        <f t="shared" si="373"/>
        <v>0</v>
      </c>
      <c r="AM285" s="261">
        <f t="shared" si="373"/>
        <v>0</v>
      </c>
      <c r="AP285" s="4422"/>
      <c r="AQ285" s="4444">
        <f t="shared" ref="AQ285" si="374">IFERROR(E285/$D$1,0)</f>
        <v>0</v>
      </c>
      <c r="AR285" s="4444">
        <f t="shared" ref="AR285" si="375">IFERROR(F285/$D$1,0)</f>
        <v>0</v>
      </c>
      <c r="AS285" s="4444">
        <f t="shared" ref="AS285" si="376">IFERROR(G285/$D$1,0)</f>
        <v>0</v>
      </c>
      <c r="AT285" s="4444">
        <f t="shared" ref="AT285" si="377">IFERROR(H285/$D$1,0)</f>
        <v>0</v>
      </c>
      <c r="AU285" s="4444">
        <f t="shared" ref="AU285" si="378">IFERROR(I285/$D$1,0)</f>
        <v>0</v>
      </c>
      <c r="AV285" s="4444">
        <f t="shared" ref="AV285" si="379">IFERROR(J285/$D$1,0)</f>
        <v>0</v>
      </c>
      <c r="AW285" s="4444">
        <f t="shared" ref="AW285" si="380">IFERROR(K285/$D$1,0)</f>
        <v>0</v>
      </c>
      <c r="AX285" s="4444">
        <f t="shared" ref="AX285" si="381">IFERROR(L285/$D$1,0)</f>
        <v>0</v>
      </c>
      <c r="AY285" s="4444">
        <f t="shared" ref="AY285" si="382">IFERROR(M285/$D$1,0)</f>
        <v>0</v>
      </c>
      <c r="AZ285" s="4444">
        <f t="shared" ref="AZ285" si="383">IFERROR(N285/$D$1,0)</f>
        <v>0</v>
      </c>
      <c r="BA285" s="4444">
        <f t="shared" ref="BA285" si="384">IFERROR(O285/$D$1,0)</f>
        <v>0</v>
      </c>
      <c r="BB285" s="4444">
        <f t="shared" ref="BB285" si="385">IFERROR(P285/$D$1,0)</f>
        <v>0</v>
      </c>
      <c r="BC285" s="4444">
        <f t="shared" ref="BC285" si="386">IFERROR(Q285/$D$1,0)</f>
        <v>0</v>
      </c>
      <c r="BD285" s="4444">
        <f t="shared" ref="BD285" si="387">IFERROR(R285/$D$1,0)</f>
        <v>0</v>
      </c>
      <c r="BE285" s="4444">
        <f t="shared" ref="BE285" si="388">IFERROR(S285/$D$1,0)</f>
        <v>0</v>
      </c>
      <c r="BF285" s="4444">
        <f t="shared" ref="BF285" si="389">IFERROR(T285/$D$1,0)</f>
        <v>0</v>
      </c>
      <c r="BG285" s="4444">
        <f t="shared" ref="BG285" si="390">IFERROR(U285/$D$1,0)</f>
        <v>0</v>
      </c>
      <c r="BH285" s="4444">
        <f t="shared" ref="BH285" si="391">IFERROR(V285/$D$1,0)</f>
        <v>0</v>
      </c>
      <c r="BI285" s="4444">
        <f t="shared" ref="BI285" si="392">IFERROR(W285/$D$1,0)</f>
        <v>0</v>
      </c>
      <c r="BJ285" s="4444">
        <f t="shared" ref="BJ285" si="393">IFERROR(X285/$D$1,0)</f>
        <v>0</v>
      </c>
      <c r="BK285" s="4444">
        <f t="shared" ref="BK285" si="394">IFERROR(Y285/$D$1,0)</f>
        <v>0</v>
      </c>
      <c r="BL285" s="4444">
        <f t="shared" ref="BL285" si="395">IFERROR(Z285/$D$1,0)</f>
        <v>0</v>
      </c>
      <c r="BM285" s="4444">
        <f t="shared" ref="BM285" si="396">IFERROR(AA285/$D$1,0)</f>
        <v>0</v>
      </c>
      <c r="BN285" s="4444">
        <f t="shared" ref="BN285" si="397">IFERROR(AB285/$D$1,0)</f>
        <v>0</v>
      </c>
      <c r="BO285" s="4444">
        <f t="shared" ref="BO285" si="398">IFERROR(AC285/$D$1,0)</f>
        <v>0</v>
      </c>
      <c r="BP285" s="4444">
        <f t="shared" ref="BP285" si="399">IFERROR(AD285/$D$1,0)</f>
        <v>0</v>
      </c>
      <c r="BQ285" s="4444">
        <f t="shared" ref="BQ285" si="400">IFERROR(AE285/$D$1,0)</f>
        <v>0</v>
      </c>
      <c r="BR285" s="4444">
        <f t="shared" ref="BR285" si="401">IFERROR(AF285/$D$1,0)</f>
        <v>0</v>
      </c>
      <c r="BS285" s="4444">
        <f t="shared" ref="BS285" si="402">IFERROR(AG285/$D$1,0)</f>
        <v>0</v>
      </c>
      <c r="BT285" s="4444">
        <f t="shared" ref="BT285" si="403">IFERROR(AH285/$D$1,0)</f>
        <v>0</v>
      </c>
      <c r="BU285" s="4444">
        <f t="shared" ref="BU285" si="404">IFERROR(AI285/$D$1,0)</f>
        <v>0</v>
      </c>
      <c r="BV285" s="4444">
        <f t="shared" ref="BV285" si="405">IFERROR(AJ285/$D$1,0)</f>
        <v>0</v>
      </c>
      <c r="BW285" s="4444">
        <f t="shared" ref="BW285" si="406">IFERROR(AK285/$D$1,0)</f>
        <v>0</v>
      </c>
      <c r="BX285" s="4444">
        <f t="shared" ref="BX285" si="407">IFERROR(AL285/$D$1,0)</f>
        <v>0</v>
      </c>
      <c r="BY285" s="4444">
        <f t="shared" ref="BY285" si="408">IFERROR(AM285/$D$1,0)</f>
        <v>0</v>
      </c>
    </row>
    <row r="286" spans="1:77">
      <c r="D286" s="1404"/>
      <c r="E286" s="1405"/>
      <c r="F286" s="1405"/>
      <c r="G286" s="1405"/>
      <c r="H286" s="1405"/>
      <c r="I286" s="1405"/>
      <c r="J286" s="1405"/>
      <c r="K286" s="1405"/>
      <c r="L286" s="1405"/>
      <c r="M286" s="1405"/>
      <c r="N286" s="1405"/>
      <c r="O286" s="1405"/>
      <c r="P286" s="1405"/>
      <c r="Q286" s="1405"/>
      <c r="R286" s="1405"/>
      <c r="S286" s="1405"/>
      <c r="T286" s="1405"/>
      <c r="U286" s="1405"/>
      <c r="V286" s="1405"/>
      <c r="W286" s="1405"/>
      <c r="X286" s="1405"/>
      <c r="Y286" s="1405"/>
      <c r="Z286" s="1405"/>
      <c r="AA286" s="1405"/>
      <c r="AB286" s="1405"/>
      <c r="AC286" s="1405"/>
      <c r="AD286" s="1405"/>
      <c r="AE286" s="1405"/>
      <c r="AF286" s="1405"/>
      <c r="AG286" s="1405"/>
      <c r="AH286" s="1405"/>
      <c r="AI286" s="1405"/>
      <c r="AJ286" s="1405"/>
      <c r="AK286" s="1405"/>
      <c r="AL286" s="1405"/>
      <c r="AM286" s="1405"/>
    </row>
    <row r="287" spans="1:77">
      <c r="D287" s="2585" t="str">
        <f>'Приложение '!B82</f>
        <v>Дата: 29.06.2026</v>
      </c>
      <c r="E287" s="1405"/>
      <c r="F287" s="1405"/>
      <c r="G287" s="1405"/>
      <c r="H287" s="1405"/>
      <c r="I287" s="1405"/>
      <c r="J287" s="1405"/>
      <c r="K287" s="1405"/>
      <c r="L287" s="1405"/>
      <c r="M287" s="1405"/>
      <c r="N287" s="1405"/>
      <c r="O287" s="1405"/>
      <c r="P287" s="1405"/>
      <c r="Q287" s="1405"/>
      <c r="R287" s="1405"/>
      <c r="S287" s="1405"/>
      <c r="T287" s="1405"/>
      <c r="U287" s="1405"/>
      <c r="V287" s="1405"/>
      <c r="W287" s="1405"/>
      <c r="X287" s="1405"/>
      <c r="Y287" s="1405"/>
      <c r="Z287" s="1405"/>
      <c r="AA287" s="1405"/>
      <c r="AB287" s="1405"/>
      <c r="AC287" s="1405"/>
      <c r="AD287" s="1405"/>
      <c r="AE287" s="1405"/>
      <c r="AF287" s="1405"/>
      <c r="AG287" s="1405"/>
      <c r="AH287" s="1405"/>
      <c r="AI287" s="1405"/>
      <c r="AJ287" s="1405"/>
      <c r="AK287" s="1405"/>
      <c r="AL287" s="1405"/>
      <c r="AM287" s="1405"/>
    </row>
    <row r="288" spans="1:77">
      <c r="A288" s="174"/>
      <c r="B288" s="31"/>
      <c r="C288" s="31"/>
      <c r="D288" s="2581"/>
      <c r="E288" s="3835"/>
      <c r="F288" s="345"/>
      <c r="G288" s="345"/>
      <c r="H288" s="345"/>
      <c r="I288" s="345"/>
      <c r="J288" s="345"/>
      <c r="K288" s="345"/>
      <c r="L288" s="346"/>
      <c r="M288" s="345"/>
      <c r="N288" s="345"/>
      <c r="O288" s="345"/>
      <c r="P288" s="345"/>
      <c r="Q288" s="345"/>
      <c r="R288" s="345"/>
      <c r="S288" s="346"/>
      <c r="T288" s="345"/>
      <c r="U288" s="345"/>
      <c r="V288" s="345"/>
      <c r="W288" s="345"/>
      <c r="X288" s="345"/>
      <c r="Y288" s="345"/>
      <c r="Z288" s="346"/>
      <c r="AA288" s="345"/>
      <c r="AB288" s="345"/>
      <c r="AC288" s="345"/>
      <c r="AD288" s="345"/>
      <c r="AE288" s="345"/>
      <c r="AF288" s="345"/>
      <c r="AG288" s="346"/>
      <c r="AH288" s="345"/>
      <c r="AI288" s="345"/>
      <c r="AJ288" s="345"/>
      <c r="AK288" s="345"/>
      <c r="AL288" s="345"/>
      <c r="AM288" s="345"/>
    </row>
    <row r="289" spans="2:38">
      <c r="C289" s="2582"/>
      <c r="E289" s="2592"/>
      <c r="K289" s="2583"/>
      <c r="M289" s="2583"/>
      <c r="Z289" s="2584"/>
      <c r="AC289" s="2586"/>
      <c r="AD289" s="2587"/>
      <c r="AE289" s="2587"/>
      <c r="AF289" s="2587"/>
      <c r="AG289" s="2588"/>
      <c r="AH289" s="2584"/>
      <c r="AI289" s="2483"/>
      <c r="AJ289" s="684"/>
      <c r="AK289" s="2589"/>
      <c r="AL289" s="1293"/>
    </row>
    <row r="290" spans="2:38" ht="27" customHeight="1">
      <c r="D290" s="3837" t="s">
        <v>187</v>
      </c>
      <c r="E290" s="5149"/>
      <c r="F290" s="5149"/>
      <c r="G290" s="5149"/>
      <c r="H290" s="5149"/>
      <c r="I290" s="5149"/>
      <c r="J290" s="5149"/>
      <c r="K290" s="5149"/>
      <c r="L290" s="5149"/>
      <c r="M290" s="5149"/>
      <c r="N290" s="5149"/>
      <c r="O290" s="5149"/>
      <c r="P290" s="5149"/>
      <c r="Q290" s="5149"/>
      <c r="R290" s="5149"/>
      <c r="S290" s="5149"/>
      <c r="T290" s="5149"/>
      <c r="U290" s="5149"/>
      <c r="V290" s="5149"/>
      <c r="W290" s="5149"/>
      <c r="X290" s="5149"/>
      <c r="Y290" s="5149"/>
      <c r="Z290" s="2584"/>
      <c r="AD290" s="2588"/>
      <c r="AE290" s="2590"/>
      <c r="AF290" s="2587"/>
      <c r="AG290" s="2591"/>
      <c r="AH290" s="2584"/>
      <c r="AI290" s="2483"/>
      <c r="AJ290" s="2483"/>
      <c r="AL290" s="2592"/>
    </row>
    <row r="291" spans="2:38" ht="27" customHeight="1">
      <c r="D291" s="3838" t="s">
        <v>1480</v>
      </c>
      <c r="E291" s="5149"/>
      <c r="F291" s="5149"/>
      <c r="G291" s="5149"/>
      <c r="H291" s="5149"/>
      <c r="I291" s="5149"/>
      <c r="J291" s="5149"/>
      <c r="K291" s="5149"/>
      <c r="L291" s="5149"/>
      <c r="M291" s="5149"/>
      <c r="N291" s="5149"/>
      <c r="O291" s="5149"/>
      <c r="P291" s="5149"/>
      <c r="Q291" s="5149"/>
      <c r="R291" s="5149"/>
      <c r="S291" s="5149"/>
      <c r="T291" s="5149"/>
      <c r="U291" s="5149"/>
      <c r="V291" s="5149"/>
      <c r="W291" s="5149"/>
      <c r="X291" s="5149"/>
      <c r="Y291" s="5149"/>
      <c r="Z291" s="2584"/>
      <c r="AD291" s="2588"/>
      <c r="AE291" s="2590"/>
      <c r="AF291" s="2593"/>
      <c r="AG291" s="2591"/>
      <c r="AH291" s="2584"/>
      <c r="AI291" s="2483"/>
      <c r="AJ291" s="2483"/>
      <c r="AL291" s="678"/>
    </row>
    <row r="292" spans="2:38" ht="27" customHeight="1">
      <c r="E292" s="5149"/>
      <c r="F292" s="5149"/>
      <c r="G292" s="5149"/>
      <c r="H292" s="5149"/>
      <c r="I292" s="5149"/>
      <c r="J292" s="5149"/>
      <c r="K292" s="5149"/>
      <c r="L292" s="5149"/>
      <c r="M292" s="5149"/>
      <c r="N292" s="5149"/>
      <c r="O292" s="5149"/>
      <c r="P292" s="5149"/>
      <c r="Q292" s="5149"/>
      <c r="R292" s="5149"/>
      <c r="S292" s="5149"/>
      <c r="T292" s="5149"/>
      <c r="U292" s="5149"/>
      <c r="V292" s="5149"/>
      <c r="W292" s="5149"/>
      <c r="X292" s="5149"/>
      <c r="Y292" s="5149"/>
      <c r="Z292" s="2584"/>
      <c r="AD292" s="2588"/>
      <c r="AE292" s="2590"/>
      <c r="AF292" s="2593"/>
      <c r="AG292" s="2591"/>
      <c r="AH292" s="2584"/>
      <c r="AI292" s="2483"/>
      <c r="AJ292" s="2483"/>
      <c r="AL292" s="678"/>
    </row>
    <row r="293" spans="2:38" ht="27" customHeight="1">
      <c r="E293" s="5149"/>
      <c r="F293" s="5149"/>
      <c r="G293" s="5149"/>
      <c r="H293" s="5149"/>
      <c r="I293" s="5149"/>
      <c r="J293" s="5149"/>
      <c r="K293" s="5149"/>
      <c r="L293" s="5149"/>
      <c r="M293" s="5149"/>
      <c r="N293" s="5149"/>
      <c r="O293" s="5149"/>
      <c r="P293" s="5149"/>
      <c r="Q293" s="5149"/>
      <c r="R293" s="5149"/>
      <c r="S293" s="5149"/>
      <c r="T293" s="5149"/>
      <c r="U293" s="5149"/>
      <c r="V293" s="5149"/>
      <c r="W293" s="5149"/>
      <c r="X293" s="5149"/>
      <c r="Y293" s="5149"/>
      <c r="Z293" s="2584"/>
      <c r="AD293" s="1685"/>
      <c r="AE293" s="2594"/>
      <c r="AF293" s="2595"/>
      <c r="AG293" s="2588"/>
      <c r="AH293" s="2584"/>
      <c r="AI293" s="2483"/>
      <c r="AJ293" s="2483"/>
      <c r="AK293" s="2589"/>
      <c r="AL293" s="1293"/>
    </row>
    <row r="294" spans="2:38" ht="27" customHeight="1">
      <c r="E294" s="5151"/>
      <c r="F294" s="5151"/>
      <c r="G294" s="5151"/>
      <c r="H294" s="5151"/>
      <c r="I294" s="5151"/>
      <c r="J294" s="5151"/>
      <c r="K294" s="5151"/>
      <c r="L294" s="5151"/>
      <c r="M294" s="5151"/>
      <c r="N294" s="5151"/>
      <c r="O294" s="5151"/>
      <c r="P294" s="5151"/>
      <c r="Q294" s="5151"/>
      <c r="R294" s="5151"/>
      <c r="S294" s="5151"/>
      <c r="T294" s="5151"/>
      <c r="U294" s="5151"/>
      <c r="V294" s="5151"/>
      <c r="W294" s="5151"/>
      <c r="X294" s="5151"/>
      <c r="Y294" s="5151"/>
      <c r="Z294" s="2596"/>
      <c r="AD294" s="2588"/>
      <c r="AE294" s="2597"/>
      <c r="AF294" s="2587"/>
      <c r="AG294" s="682"/>
      <c r="AH294" s="2596"/>
      <c r="AL294" s="2592"/>
    </row>
    <row r="295" spans="2:38" ht="12.75" customHeight="1">
      <c r="B295" s="3834"/>
      <c r="C295" s="3834"/>
      <c r="D295" s="3834"/>
      <c r="E295" s="3834"/>
      <c r="F295" s="3834"/>
      <c r="G295" s="2598"/>
      <c r="H295" s="2598"/>
      <c r="I295" s="2598"/>
      <c r="J295" s="2598"/>
      <c r="K295" s="2599"/>
      <c r="L295" s="2599"/>
      <c r="M295" s="2599"/>
      <c r="N295" s="2599"/>
      <c r="O295" s="2599"/>
      <c r="P295" s="2599"/>
      <c r="Q295" s="2599"/>
      <c r="R295" s="2599"/>
      <c r="S295" s="2599"/>
      <c r="T295" s="2599"/>
    </row>
    <row r="296" spans="2:38" ht="12.75" customHeight="1">
      <c r="B296" s="3686"/>
      <c r="C296" s="3686"/>
      <c r="D296" s="3686"/>
      <c r="E296" s="3686"/>
      <c r="F296" s="3686"/>
      <c r="G296" s="2598"/>
      <c r="H296" s="2598"/>
      <c r="I296" s="2598"/>
      <c r="J296" s="2598"/>
      <c r="K296" s="2599"/>
      <c r="L296" s="2599"/>
      <c r="M296" s="2599"/>
      <c r="N296" s="2599"/>
      <c r="O296" s="2599"/>
      <c r="P296" s="2599"/>
      <c r="Q296" s="2599"/>
      <c r="R296" s="2599"/>
      <c r="S296" s="2599"/>
      <c r="T296" s="2599"/>
    </row>
    <row r="297" spans="2:38" ht="25.5" customHeight="1">
      <c r="B297" s="3686"/>
      <c r="C297" s="3686"/>
      <c r="D297" s="3686"/>
      <c r="E297" s="3686"/>
      <c r="F297" s="3686"/>
      <c r="G297" s="3686"/>
      <c r="H297" s="3686"/>
      <c r="I297" s="3686"/>
      <c r="J297" s="3686"/>
      <c r="K297" s="3686"/>
      <c r="L297" s="3686"/>
      <c r="M297" s="3686"/>
      <c r="N297" s="3686"/>
      <c r="O297" s="3686"/>
      <c r="P297" s="3686"/>
      <c r="Q297" s="3686"/>
      <c r="R297" s="3686"/>
      <c r="S297" s="3686"/>
      <c r="T297" s="3686"/>
    </row>
    <row r="298" spans="2:38" ht="27.75" customHeight="1">
      <c r="B298" s="3686"/>
      <c r="C298" s="3686"/>
      <c r="D298" s="3686"/>
      <c r="E298" s="3686"/>
      <c r="F298" s="3686"/>
      <c r="G298" s="3686"/>
      <c r="H298" s="3686"/>
      <c r="I298" s="3686"/>
      <c r="J298" s="3686"/>
      <c r="K298" s="3686"/>
      <c r="L298" s="3686"/>
      <c r="M298" s="3686"/>
      <c r="N298" s="3686"/>
      <c r="O298" s="3686"/>
      <c r="P298" s="3686"/>
      <c r="Q298" s="3686"/>
      <c r="R298" s="3686"/>
      <c r="S298" s="3686"/>
      <c r="T298" s="3686"/>
    </row>
    <row r="299" spans="2:38" ht="31.5" customHeight="1">
      <c r="B299" s="3686"/>
      <c r="C299" s="3686"/>
      <c r="D299" s="3686"/>
      <c r="E299" s="3686"/>
      <c r="F299" s="3686"/>
      <c r="G299" s="3686"/>
      <c r="H299" s="3686"/>
      <c r="I299" s="3686"/>
      <c r="J299" s="3686"/>
      <c r="K299" s="3686"/>
      <c r="L299" s="3686"/>
      <c r="M299" s="3686"/>
      <c r="N299" s="3686"/>
      <c r="O299" s="3686"/>
      <c r="P299" s="3686"/>
      <c r="Q299" s="3686"/>
      <c r="R299" s="3686"/>
      <c r="S299" s="3686"/>
      <c r="T299" s="3686"/>
    </row>
    <row r="300" spans="2:38" ht="30.75" customHeight="1">
      <c r="B300" s="3686"/>
      <c r="C300" s="3686"/>
      <c r="D300" s="3686"/>
      <c r="E300" s="3686"/>
      <c r="F300" s="3686"/>
      <c r="G300" s="3686"/>
      <c r="H300" s="3686"/>
      <c r="I300" s="3686"/>
      <c r="J300" s="3686"/>
      <c r="K300" s="3686"/>
      <c r="L300" s="3686"/>
      <c r="M300" s="3686"/>
      <c r="N300" s="3686"/>
      <c r="O300" s="3686"/>
      <c r="P300" s="3686"/>
      <c r="Q300" s="3686"/>
      <c r="R300" s="3686"/>
      <c r="S300" s="3686"/>
      <c r="T300" s="3686"/>
    </row>
    <row r="301" spans="2:38">
      <c r="B301" s="3686"/>
      <c r="C301" s="3686"/>
      <c r="D301" s="3686"/>
      <c r="E301" s="3686"/>
      <c r="F301" s="3686"/>
      <c r="G301" s="3686"/>
      <c r="H301" s="3686"/>
      <c r="I301" s="3686"/>
      <c r="J301" s="3686"/>
      <c r="K301" s="3686"/>
      <c r="L301" s="3686"/>
      <c r="M301" s="3686"/>
      <c r="N301" s="3686"/>
      <c r="O301" s="3686"/>
      <c r="P301" s="3686"/>
      <c r="Q301" s="3686"/>
      <c r="R301" s="3686"/>
      <c r="S301" s="3686"/>
      <c r="T301" s="3686"/>
    </row>
  </sheetData>
  <sheetProtection algorithmName="SHA-512" hashValue="uv/f6V5hbxxdmYO4KOAuwNJbL4ama/uCKQyRaRW9cHn0vnoCwDyCumPjYJ6+k5zSPD+VOBug2TRmV3qcf6Mkeg==" saltValue="SNTZtpZtEiG+ifU4znCfZw==" spinCount="100000" sheet="1" formatCells="0" formatColumns="0" formatRows="0"/>
  <mergeCells count="25">
    <mergeCell ref="BL7:BR7"/>
    <mergeCell ref="BS7:BY7"/>
    <mergeCell ref="A1:C1"/>
    <mergeCell ref="AQ7:AW7"/>
    <mergeCell ref="A2:Y2"/>
    <mergeCell ref="A7:A8"/>
    <mergeCell ref="D7:D8"/>
    <mergeCell ref="E7:K7"/>
    <mergeCell ref="L7:R7"/>
    <mergeCell ref="S7:Y7"/>
    <mergeCell ref="B7:B8"/>
    <mergeCell ref="C7:C8"/>
    <mergeCell ref="A3:Y3"/>
    <mergeCell ref="AO7:AO8"/>
    <mergeCell ref="A4:Y4"/>
    <mergeCell ref="A5:Y5"/>
    <mergeCell ref="E292:Y292"/>
    <mergeCell ref="AX7:BD7"/>
    <mergeCell ref="BE7:BK7"/>
    <mergeCell ref="E293:Y293"/>
    <mergeCell ref="E294:Y294"/>
    <mergeCell ref="Z7:AF7"/>
    <mergeCell ref="AG7:AM7"/>
    <mergeCell ref="E290:Y290"/>
    <mergeCell ref="E291:Y291"/>
  </mergeCells>
  <printOptions horizontalCentered="1" verticalCentered="1"/>
  <pageMargins left="0" right="0" top="0.59055118110236227" bottom="0.31496062992125984" header="0.31496062992125984" footer="0"/>
  <pageSetup paperSize="9" scale="70" orientation="landscape" r:id="rId1"/>
  <headerFooter alignWithMargins="0">
    <oddFooter>&amp;C&amp;A&amp;RСтр. &amp;P от &amp;N</oddFooter>
  </headerFooter>
  <rowBreaks count="2" manualBreakCount="2">
    <brk id="201" max="40" man="1"/>
    <brk id="252" max="40" man="1"/>
  </rowBreaks>
  <colBreaks count="1" manualBreakCount="1">
    <brk id="25" max="293"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CF6C6"/>
  </sheetPr>
  <dimension ref="A1:CK131"/>
  <sheetViews>
    <sheetView showGridLines="0" zoomScale="85" zoomScaleNormal="85" zoomScaleSheetLayoutView="100" workbookViewId="0">
      <pane xSplit="4" ySplit="10" topLeftCell="E19" activePane="bottomRight" state="frozen"/>
      <selection pane="topRight" activeCell="E1" sqref="E1"/>
      <selection pane="bottomLeft" activeCell="A11" sqref="A11"/>
      <selection pane="bottomRight" activeCell="H20" sqref="H20"/>
    </sheetView>
  </sheetViews>
  <sheetFormatPr defaultColWidth="9.140625" defaultRowHeight="12.75"/>
  <cols>
    <col min="1" max="1" width="3.140625" style="68" customWidth="1"/>
    <col min="2" max="2" width="8.85546875" style="28" customWidth="1"/>
    <col min="3" max="3" width="7" style="28" customWidth="1"/>
    <col min="4" max="4" width="46.5703125" style="28" customWidth="1"/>
    <col min="5" max="11" width="9" style="28" customWidth="1"/>
    <col min="12" max="12" width="9.140625" style="28" customWidth="1"/>
    <col min="13" max="18" width="8.5703125" style="28" customWidth="1"/>
    <col min="19" max="19" width="9.5703125" style="28" customWidth="1"/>
    <col min="20" max="25" width="7.5703125" style="28" customWidth="1"/>
    <col min="26" max="26" width="9.5703125" style="28" customWidth="1"/>
    <col min="27" max="32" width="7.5703125" style="28" customWidth="1"/>
    <col min="33" max="33" width="9.5703125" style="28" customWidth="1"/>
    <col min="34" max="39" width="7.5703125" style="28" customWidth="1"/>
    <col min="40" max="40" width="9.140625" style="28" customWidth="1"/>
    <col min="41" max="46" width="7.5703125" style="28" customWidth="1"/>
    <col min="47" max="47" width="1.5703125" style="42" customWidth="1"/>
    <col min="48" max="16384" width="9.140625" style="42"/>
  </cols>
  <sheetData>
    <row r="1" spans="1:89" ht="25.35" customHeight="1" thickBot="1">
      <c r="A1" s="5121" t="str">
        <f>+'1. Обща информация'!B40</f>
        <v>Фиксиран курс на лева към 1 евро</v>
      </c>
      <c r="B1" s="5122"/>
      <c r="C1" s="5123"/>
      <c r="D1" s="4442">
        <f>+'1. Обща информация'!$C$40</f>
        <v>1.95583</v>
      </c>
      <c r="E1" s="2647"/>
      <c r="F1" s="2647"/>
      <c r="G1" s="2647"/>
      <c r="H1" s="2647"/>
      <c r="I1" s="2647"/>
      <c r="J1" s="2647"/>
      <c r="K1" s="2647"/>
      <c r="L1" s="2647"/>
      <c r="M1" s="2647"/>
      <c r="N1" s="2647"/>
      <c r="O1" s="2647"/>
      <c r="P1" s="2647"/>
      <c r="R1" s="2647"/>
      <c r="S1" s="2649"/>
      <c r="T1" s="2650"/>
      <c r="U1" s="2650"/>
      <c r="V1" s="2650"/>
      <c r="W1" s="2650"/>
      <c r="X1" s="2650"/>
      <c r="Y1" s="2648" t="s">
        <v>189</v>
      </c>
      <c r="Z1" s="2649"/>
      <c r="AA1" s="2650"/>
      <c r="AB1" s="2650"/>
      <c r="AC1" s="2650"/>
      <c r="AD1" s="2650"/>
      <c r="AE1" s="2650"/>
      <c r="AF1" s="2650"/>
      <c r="AG1" s="2649"/>
      <c r="AH1" s="2650"/>
      <c r="AI1" s="2650"/>
      <c r="AJ1" s="2650"/>
      <c r="AK1" s="2650"/>
      <c r="AL1" s="2650"/>
      <c r="AM1" s="2650"/>
      <c r="AN1" s="2651"/>
      <c r="AO1" s="2650"/>
      <c r="AP1" s="2650"/>
      <c r="AQ1" s="2650"/>
      <c r="AR1" s="2650"/>
      <c r="AS1" s="2650"/>
      <c r="AT1" s="2648"/>
      <c r="AU1" s="2652"/>
    </row>
    <row r="2" spans="1:89" s="659" customFormat="1" ht="22.5" customHeight="1">
      <c r="A2" s="5168" t="s">
        <v>1484</v>
      </c>
      <c r="B2" s="5168"/>
      <c r="C2" s="5168"/>
      <c r="D2" s="5168"/>
      <c r="E2" s="5168"/>
      <c r="F2" s="5168"/>
      <c r="G2" s="5168"/>
      <c r="H2" s="5168"/>
      <c r="I2" s="5168"/>
      <c r="J2" s="5168"/>
      <c r="K2" s="5168"/>
      <c r="L2" s="5168"/>
      <c r="M2" s="5168"/>
      <c r="N2" s="5168"/>
      <c r="O2" s="5168"/>
      <c r="P2" s="5168"/>
      <c r="Q2" s="5168"/>
      <c r="R2" s="5168"/>
      <c r="S2" s="5168"/>
      <c r="T2" s="5168"/>
      <c r="U2" s="5168"/>
      <c r="V2" s="5168"/>
      <c r="W2" s="5168"/>
      <c r="X2" s="5168"/>
      <c r="Y2" s="5168"/>
      <c r="Z2" s="2653"/>
      <c r="AA2" s="2653"/>
      <c r="AB2" s="2653"/>
      <c r="AC2" s="2653"/>
      <c r="AD2" s="2653"/>
      <c r="AE2" s="2653"/>
      <c r="AF2" s="2653"/>
      <c r="AG2" s="2653"/>
      <c r="AH2" s="2653"/>
      <c r="AI2" s="2653"/>
      <c r="AJ2" s="2653"/>
      <c r="AK2" s="2653"/>
      <c r="AL2" s="2653"/>
      <c r="AM2" s="2653"/>
      <c r="AN2" s="2653"/>
      <c r="AO2" s="2653"/>
      <c r="AP2" s="2653"/>
      <c r="AQ2" s="2653"/>
      <c r="AR2" s="2653"/>
      <c r="AS2" s="2653"/>
      <c r="AT2" s="2653"/>
      <c r="AU2" s="2654"/>
    </row>
    <row r="3" spans="1:89" ht="27" customHeight="1">
      <c r="A3" s="5168" t="s">
        <v>1483</v>
      </c>
      <c r="B3" s="5168"/>
      <c r="C3" s="5168"/>
      <c r="D3" s="5168"/>
      <c r="E3" s="5168"/>
      <c r="F3" s="5168"/>
      <c r="G3" s="5168"/>
      <c r="H3" s="5168"/>
      <c r="I3" s="5168"/>
      <c r="J3" s="5168"/>
      <c r="K3" s="5168"/>
      <c r="L3" s="5168"/>
      <c r="M3" s="5168"/>
      <c r="N3" s="5168"/>
      <c r="O3" s="5168"/>
      <c r="P3" s="5168"/>
      <c r="Q3" s="5168"/>
      <c r="R3" s="5168"/>
      <c r="S3" s="5168"/>
      <c r="T3" s="5168"/>
      <c r="U3" s="5168"/>
      <c r="V3" s="5168"/>
      <c r="W3" s="5168"/>
      <c r="X3" s="5168"/>
      <c r="Y3" s="5168"/>
      <c r="Z3" s="2655"/>
      <c r="AA3" s="2655"/>
      <c r="AB3" s="2655"/>
      <c r="AC3" s="2655"/>
      <c r="AD3" s="2655"/>
      <c r="AE3" s="2655"/>
      <c r="AF3" s="2655"/>
      <c r="AG3" s="2655"/>
      <c r="AH3" s="2655"/>
      <c r="AI3" s="2655"/>
      <c r="AJ3" s="2655"/>
      <c r="AK3" s="2655"/>
      <c r="AL3" s="2655"/>
      <c r="AM3" s="2655"/>
      <c r="AN3" s="2655"/>
      <c r="AO3" s="2655"/>
      <c r="AP3" s="2655"/>
      <c r="AQ3" s="2655"/>
      <c r="AR3" s="2655"/>
      <c r="AS3" s="2655"/>
      <c r="AT3" s="2655"/>
      <c r="AU3" s="2652"/>
    </row>
    <row r="4" spans="1:89" ht="15.75">
      <c r="A4" s="5169" t="str">
        <f>'1. Обща информация'!A4:D4</f>
        <v>на ВОДОСНАБДЯВАНЕ И КАНАЛИЗАЦИЯ ЕООД, гр. ХАСКОВО</v>
      </c>
      <c r="B4" s="5169"/>
      <c r="C4" s="5169"/>
      <c r="D4" s="5169"/>
      <c r="E4" s="5169"/>
      <c r="F4" s="5169"/>
      <c r="G4" s="5169"/>
      <c r="H4" s="5169"/>
      <c r="I4" s="5169"/>
      <c r="J4" s="5169"/>
      <c r="K4" s="5169"/>
      <c r="L4" s="5169"/>
      <c r="M4" s="5169"/>
      <c r="N4" s="5169"/>
      <c r="O4" s="5169"/>
      <c r="P4" s="5169"/>
      <c r="Q4" s="5169"/>
      <c r="R4" s="5169"/>
      <c r="S4" s="5169"/>
      <c r="T4" s="5169"/>
      <c r="U4" s="5169"/>
      <c r="V4" s="5169"/>
      <c r="W4" s="5169"/>
      <c r="X4" s="5169"/>
      <c r="Y4" s="5169"/>
      <c r="Z4" s="2656"/>
      <c r="AA4" s="2656"/>
      <c r="AB4" s="2656"/>
      <c r="AC4" s="2656"/>
      <c r="AD4" s="2656"/>
      <c r="AE4" s="2656"/>
      <c r="AF4" s="2656"/>
      <c r="AG4" s="2656"/>
      <c r="AH4" s="2656"/>
      <c r="AI4" s="2656"/>
      <c r="AJ4" s="2656"/>
      <c r="AK4" s="2656"/>
      <c r="AL4" s="2656"/>
      <c r="AM4" s="2656"/>
      <c r="AN4" s="2656"/>
      <c r="AO4" s="2656"/>
      <c r="AP4" s="2656"/>
      <c r="AQ4" s="2656"/>
      <c r="AR4" s="2656"/>
      <c r="AS4" s="2656"/>
      <c r="AT4" s="2656"/>
      <c r="AU4" s="2652"/>
    </row>
    <row r="5" spans="1:89" ht="16.5" thickBot="1">
      <c r="A5" s="5169" t="str">
        <f>'1. Обща информация'!A5:D5</f>
        <v>ЕИК по БУЛСТАТ: 126004284</v>
      </c>
      <c r="B5" s="5169"/>
      <c r="C5" s="5169"/>
      <c r="D5" s="5169"/>
      <c r="E5" s="5169"/>
      <c r="F5" s="5169"/>
      <c r="G5" s="5169"/>
      <c r="H5" s="5169"/>
      <c r="I5" s="5169"/>
      <c r="J5" s="5169"/>
      <c r="K5" s="5169"/>
      <c r="L5" s="5169"/>
      <c r="M5" s="5169"/>
      <c r="N5" s="5169"/>
      <c r="O5" s="5169"/>
      <c r="P5" s="5169"/>
      <c r="Q5" s="5169"/>
      <c r="R5" s="5169"/>
      <c r="S5" s="5169"/>
      <c r="T5" s="5169"/>
      <c r="U5" s="5169"/>
      <c r="V5" s="5169"/>
      <c r="W5" s="5169"/>
      <c r="X5" s="5169"/>
      <c r="Y5" s="5169"/>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2"/>
    </row>
    <row r="6" spans="1:89" ht="16.5" thickBot="1">
      <c r="A6" s="2657"/>
      <c r="B6" s="2652"/>
      <c r="C6" s="2658"/>
      <c r="D6" s="2659" t="s">
        <v>627</v>
      </c>
      <c r="E6" s="2660">
        <v>1</v>
      </c>
      <c r="F6" s="2661"/>
      <c r="G6" s="2657"/>
      <c r="H6" s="2662"/>
      <c r="I6" s="2657"/>
      <c r="J6" s="2657"/>
      <c r="K6" s="2657"/>
      <c r="L6" s="2657"/>
      <c r="M6" s="2657"/>
      <c r="N6" s="2657"/>
      <c r="O6" s="2657"/>
      <c r="P6" s="2657"/>
      <c r="Q6" s="2657"/>
      <c r="R6" s="2657"/>
      <c r="S6" s="2657"/>
      <c r="T6" s="2657"/>
      <c r="U6" s="2657"/>
      <c r="V6" s="2657"/>
      <c r="W6" s="2657"/>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2"/>
    </row>
    <row r="7" spans="1:89" ht="16.5" thickBot="1">
      <c r="A7" s="2657"/>
      <c r="B7" s="2652"/>
      <c r="C7" s="2663"/>
      <c r="D7" s="2659" t="s">
        <v>643</v>
      </c>
      <c r="E7" s="2660">
        <f>12/6</f>
        <v>2</v>
      </c>
      <c r="F7" s="2657"/>
      <c r="G7" s="2657"/>
      <c r="H7" s="2662"/>
      <c r="I7" s="2657"/>
      <c r="J7" s="2657"/>
      <c r="K7" s="2657"/>
      <c r="L7" s="2657"/>
      <c r="M7" s="2657"/>
      <c r="N7" s="2657"/>
      <c r="O7" s="2657"/>
      <c r="P7" s="2657"/>
      <c r="Q7" s="2657"/>
      <c r="R7" s="2657"/>
      <c r="S7" s="2657"/>
      <c r="T7" s="2657"/>
      <c r="U7" s="2657"/>
      <c r="V7" s="2657"/>
      <c r="W7" s="2657"/>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2"/>
    </row>
    <row r="8" spans="1:89" ht="13.5" thickBot="1">
      <c r="A8" s="2647"/>
      <c r="B8" s="2650"/>
      <c r="C8" s="2650"/>
      <c r="D8" s="2650"/>
      <c r="E8" s="2650"/>
      <c r="F8" s="2650"/>
      <c r="G8" s="2650"/>
      <c r="H8" s="2664"/>
      <c r="I8" s="2650"/>
      <c r="J8" s="2650"/>
      <c r="K8" s="2650"/>
      <c r="L8" s="2650"/>
      <c r="M8" s="2650"/>
      <c r="N8" s="2650"/>
      <c r="O8" s="2650"/>
      <c r="P8" s="2650"/>
      <c r="Q8" s="2650"/>
      <c r="R8" s="2650"/>
      <c r="S8" s="2650"/>
      <c r="T8" s="2650"/>
      <c r="U8" s="2650"/>
      <c r="V8" s="2650"/>
      <c r="W8" s="2650"/>
      <c r="X8" s="2650"/>
      <c r="Y8" s="2650"/>
      <c r="Z8" s="2650"/>
      <c r="AA8" s="2650"/>
      <c r="AB8" s="2650"/>
      <c r="AC8" s="2650"/>
      <c r="AD8" s="2650"/>
      <c r="AE8" s="2650"/>
      <c r="AF8" s="2650"/>
      <c r="AG8" s="2650"/>
      <c r="AH8" s="2650"/>
      <c r="AI8" s="2650"/>
      <c r="AJ8" s="2650"/>
      <c r="AK8" s="2650"/>
      <c r="AL8" s="2650"/>
      <c r="AM8" s="2650"/>
      <c r="AN8" s="2650"/>
      <c r="AO8" s="2647"/>
      <c r="AP8" s="2650"/>
      <c r="AQ8" s="2650"/>
      <c r="AR8" s="2650"/>
      <c r="AS8" s="2650"/>
      <c r="AT8" s="650" t="s">
        <v>190</v>
      </c>
      <c r="AU8" s="2652"/>
      <c r="CK8" s="650" t="s">
        <v>1892</v>
      </c>
    </row>
    <row r="9" spans="1:89" ht="13.5" customHeight="1" thickBot="1">
      <c r="A9" s="5162" t="s">
        <v>1</v>
      </c>
      <c r="B9" s="5165" t="s">
        <v>1044</v>
      </c>
      <c r="C9" s="5165" t="s">
        <v>1043</v>
      </c>
      <c r="D9" s="5162" t="s">
        <v>87</v>
      </c>
      <c r="E9" s="5162" t="s">
        <v>210</v>
      </c>
      <c r="F9" s="5163"/>
      <c r="G9" s="5163"/>
      <c r="H9" s="5163"/>
      <c r="I9" s="5163"/>
      <c r="J9" s="5163"/>
      <c r="K9" s="5164"/>
      <c r="L9" s="5162" t="s">
        <v>174</v>
      </c>
      <c r="M9" s="5163"/>
      <c r="N9" s="5163"/>
      <c r="O9" s="5163"/>
      <c r="P9" s="5163"/>
      <c r="Q9" s="5163"/>
      <c r="R9" s="5164"/>
      <c r="S9" s="5162" t="s">
        <v>184</v>
      </c>
      <c r="T9" s="5163"/>
      <c r="U9" s="5163"/>
      <c r="V9" s="5163"/>
      <c r="W9" s="5163"/>
      <c r="X9" s="5163"/>
      <c r="Y9" s="5164"/>
      <c r="Z9" s="5162" t="s">
        <v>1029</v>
      </c>
      <c r="AA9" s="5163"/>
      <c r="AB9" s="5163"/>
      <c r="AC9" s="5163"/>
      <c r="AD9" s="5163"/>
      <c r="AE9" s="5163"/>
      <c r="AF9" s="5164"/>
      <c r="AG9" s="5162" t="s">
        <v>1092</v>
      </c>
      <c r="AH9" s="5163"/>
      <c r="AI9" s="5163"/>
      <c r="AJ9" s="5163"/>
      <c r="AK9" s="5163"/>
      <c r="AL9" s="5163"/>
      <c r="AM9" s="5164"/>
      <c r="AN9" s="5162" t="s">
        <v>662</v>
      </c>
      <c r="AO9" s="5163"/>
      <c r="AP9" s="5163"/>
      <c r="AQ9" s="5163"/>
      <c r="AR9" s="5163"/>
      <c r="AS9" s="5163"/>
      <c r="AT9" s="5164"/>
      <c r="AU9" s="4422"/>
      <c r="AV9" s="5150" t="s">
        <v>210</v>
      </c>
      <c r="AW9" s="5150"/>
      <c r="AX9" s="5150"/>
      <c r="AY9" s="5150"/>
      <c r="AZ9" s="5150"/>
      <c r="BA9" s="5150"/>
      <c r="BB9" s="5150"/>
      <c r="BC9" s="5150" t="s">
        <v>174</v>
      </c>
      <c r="BD9" s="5150"/>
      <c r="BE9" s="5150"/>
      <c r="BF9" s="5150"/>
      <c r="BG9" s="5150"/>
      <c r="BH9" s="5150"/>
      <c r="BI9" s="5150"/>
      <c r="BJ9" s="5150" t="s">
        <v>184</v>
      </c>
      <c r="BK9" s="5150"/>
      <c r="BL9" s="5150"/>
      <c r="BM9" s="5150"/>
      <c r="BN9" s="5150"/>
      <c r="BO9" s="5150"/>
      <c r="BP9" s="5150"/>
      <c r="BQ9" s="5150" t="s">
        <v>1029</v>
      </c>
      <c r="BR9" s="5150"/>
      <c r="BS9" s="5150"/>
      <c r="BT9" s="5150"/>
      <c r="BU9" s="5150"/>
      <c r="BV9" s="5150"/>
      <c r="BW9" s="5150"/>
      <c r="BX9" s="5150" t="s">
        <v>1092</v>
      </c>
      <c r="BY9" s="5150"/>
      <c r="BZ9" s="5150"/>
      <c r="CA9" s="5150"/>
      <c r="CB9" s="5150"/>
      <c r="CC9" s="5150"/>
      <c r="CD9" s="5150"/>
      <c r="CE9" s="5150" t="s">
        <v>662</v>
      </c>
      <c r="CF9" s="5150"/>
      <c r="CG9" s="5150"/>
      <c r="CH9" s="5150"/>
      <c r="CI9" s="5150"/>
      <c r="CJ9" s="5150"/>
      <c r="CK9" s="5150"/>
    </row>
    <row r="10" spans="1:89" ht="20.25" customHeight="1" thickBot="1">
      <c r="A10" s="5167"/>
      <c r="B10" s="5166"/>
      <c r="C10" s="5166"/>
      <c r="D10" s="5167"/>
      <c r="E10" s="2665" t="str">
        <f>+'11.3. ДА Базова година'!H8</f>
        <v>2025 г.</v>
      </c>
      <c r="F10" s="2666" t="str">
        <f>'Приложение '!C13</f>
        <v>2026 г.</v>
      </c>
      <c r="G10" s="2667" t="str">
        <f>'Приложение '!C14</f>
        <v>2027 г.</v>
      </c>
      <c r="H10" s="2667" t="str">
        <f>'Приложение '!C15</f>
        <v>2028 г.</v>
      </c>
      <c r="I10" s="2667" t="str">
        <f>'Приложение '!C16</f>
        <v>2029 г.</v>
      </c>
      <c r="J10" s="2667" t="str">
        <f>'Приложение '!C17</f>
        <v>2030 г.</v>
      </c>
      <c r="K10" s="2668" t="str">
        <f>'Приложение '!C18</f>
        <v>2031 г.</v>
      </c>
      <c r="L10" s="2665" t="str">
        <f t="shared" ref="L10:AM10" si="0">E10</f>
        <v>2025 г.</v>
      </c>
      <c r="M10" s="2666" t="str">
        <f t="shared" si="0"/>
        <v>2026 г.</v>
      </c>
      <c r="N10" s="2667" t="str">
        <f t="shared" si="0"/>
        <v>2027 г.</v>
      </c>
      <c r="O10" s="2667" t="str">
        <f t="shared" si="0"/>
        <v>2028 г.</v>
      </c>
      <c r="P10" s="2667" t="str">
        <f t="shared" si="0"/>
        <v>2029 г.</v>
      </c>
      <c r="Q10" s="2667" t="str">
        <f t="shared" si="0"/>
        <v>2030 г.</v>
      </c>
      <c r="R10" s="2668" t="str">
        <f t="shared" si="0"/>
        <v>2031 г.</v>
      </c>
      <c r="S10" s="2669" t="str">
        <f t="shared" si="0"/>
        <v>2025 г.</v>
      </c>
      <c r="T10" s="2670" t="str">
        <f t="shared" si="0"/>
        <v>2026 г.</v>
      </c>
      <c r="U10" s="2667" t="str">
        <f t="shared" si="0"/>
        <v>2027 г.</v>
      </c>
      <c r="V10" s="2667" t="str">
        <f t="shared" si="0"/>
        <v>2028 г.</v>
      </c>
      <c r="W10" s="2670" t="str">
        <f t="shared" si="0"/>
        <v>2029 г.</v>
      </c>
      <c r="X10" s="2667" t="str">
        <f t="shared" si="0"/>
        <v>2030 г.</v>
      </c>
      <c r="Y10" s="2668" t="str">
        <f t="shared" si="0"/>
        <v>2031 г.</v>
      </c>
      <c r="Z10" s="2669" t="str">
        <f t="shared" si="0"/>
        <v>2025 г.</v>
      </c>
      <c r="AA10" s="2670" t="str">
        <f t="shared" si="0"/>
        <v>2026 г.</v>
      </c>
      <c r="AB10" s="2667" t="str">
        <f t="shared" si="0"/>
        <v>2027 г.</v>
      </c>
      <c r="AC10" s="2667" t="str">
        <f t="shared" si="0"/>
        <v>2028 г.</v>
      </c>
      <c r="AD10" s="2670" t="str">
        <f t="shared" si="0"/>
        <v>2029 г.</v>
      </c>
      <c r="AE10" s="2667" t="str">
        <f t="shared" si="0"/>
        <v>2030 г.</v>
      </c>
      <c r="AF10" s="2668" t="str">
        <f t="shared" si="0"/>
        <v>2031 г.</v>
      </c>
      <c r="AG10" s="2669" t="str">
        <f t="shared" si="0"/>
        <v>2025 г.</v>
      </c>
      <c r="AH10" s="2670" t="str">
        <f t="shared" si="0"/>
        <v>2026 г.</v>
      </c>
      <c r="AI10" s="2667" t="str">
        <f t="shared" si="0"/>
        <v>2027 г.</v>
      </c>
      <c r="AJ10" s="2667" t="str">
        <f t="shared" si="0"/>
        <v>2028 г.</v>
      </c>
      <c r="AK10" s="2670" t="str">
        <f t="shared" si="0"/>
        <v>2029 г.</v>
      </c>
      <c r="AL10" s="2667" t="str">
        <f t="shared" si="0"/>
        <v>2030 г.</v>
      </c>
      <c r="AM10" s="2668" t="str">
        <f t="shared" si="0"/>
        <v>2031 г.</v>
      </c>
      <c r="AN10" s="2669" t="str">
        <f t="shared" ref="AN10:AT10" si="1">S10</f>
        <v>2025 г.</v>
      </c>
      <c r="AO10" s="2670" t="str">
        <f t="shared" si="1"/>
        <v>2026 г.</v>
      </c>
      <c r="AP10" s="2667" t="str">
        <f t="shared" si="1"/>
        <v>2027 г.</v>
      </c>
      <c r="AQ10" s="2667" t="str">
        <f t="shared" si="1"/>
        <v>2028 г.</v>
      </c>
      <c r="AR10" s="2667" t="str">
        <f t="shared" si="1"/>
        <v>2029 г.</v>
      </c>
      <c r="AS10" s="2667" t="str">
        <f t="shared" si="1"/>
        <v>2030 г.</v>
      </c>
      <c r="AT10" s="2668" t="str">
        <f t="shared" si="1"/>
        <v>2031 г.</v>
      </c>
      <c r="AU10" s="4422"/>
      <c r="AV10" s="4443" t="str">
        <f>+E10</f>
        <v>2025 г.</v>
      </c>
      <c r="AW10" s="4443" t="str">
        <f t="shared" ref="AW10:BB10" si="2">+F10</f>
        <v>2026 г.</v>
      </c>
      <c r="AX10" s="4443" t="str">
        <f t="shared" si="2"/>
        <v>2027 г.</v>
      </c>
      <c r="AY10" s="4443" t="str">
        <f t="shared" si="2"/>
        <v>2028 г.</v>
      </c>
      <c r="AZ10" s="4443" t="str">
        <f t="shared" si="2"/>
        <v>2029 г.</v>
      </c>
      <c r="BA10" s="4443" t="str">
        <f t="shared" si="2"/>
        <v>2030 г.</v>
      </c>
      <c r="BB10" s="4443" t="str">
        <f t="shared" si="2"/>
        <v>2031 г.</v>
      </c>
      <c r="BC10" s="4443" t="str">
        <f t="shared" ref="BC10" si="3">AV10</f>
        <v>2025 г.</v>
      </c>
      <c r="BD10" s="4443" t="str">
        <f t="shared" ref="BD10" si="4">AW10</f>
        <v>2026 г.</v>
      </c>
      <c r="BE10" s="4443" t="str">
        <f t="shared" ref="BE10" si="5">AX10</f>
        <v>2027 г.</v>
      </c>
      <c r="BF10" s="4443" t="str">
        <f t="shared" ref="BF10" si="6">AY10</f>
        <v>2028 г.</v>
      </c>
      <c r="BG10" s="4443" t="str">
        <f t="shared" ref="BG10" si="7">AZ10</f>
        <v>2029 г.</v>
      </c>
      <c r="BH10" s="4443" t="str">
        <f t="shared" ref="BH10" si="8">BA10</f>
        <v>2030 г.</v>
      </c>
      <c r="BI10" s="4443" t="str">
        <f t="shared" ref="BI10" si="9">BB10</f>
        <v>2031 г.</v>
      </c>
      <c r="BJ10" s="4443" t="str">
        <f t="shared" ref="BJ10" si="10">BC10</f>
        <v>2025 г.</v>
      </c>
      <c r="BK10" s="4443" t="str">
        <f t="shared" ref="BK10" si="11">BD10</f>
        <v>2026 г.</v>
      </c>
      <c r="BL10" s="4443" t="str">
        <f t="shared" ref="BL10" si="12">BE10</f>
        <v>2027 г.</v>
      </c>
      <c r="BM10" s="4443" t="str">
        <f t="shared" ref="BM10" si="13">BF10</f>
        <v>2028 г.</v>
      </c>
      <c r="BN10" s="4443" t="str">
        <f t="shared" ref="BN10" si="14">BG10</f>
        <v>2029 г.</v>
      </c>
      <c r="BO10" s="4443" t="str">
        <f t="shared" ref="BO10" si="15">BH10</f>
        <v>2030 г.</v>
      </c>
      <c r="BP10" s="4443" t="str">
        <f t="shared" ref="BP10" si="16">BI10</f>
        <v>2031 г.</v>
      </c>
      <c r="BQ10" s="4443" t="str">
        <f t="shared" ref="BQ10" si="17">BJ10</f>
        <v>2025 г.</v>
      </c>
      <c r="BR10" s="4443" t="str">
        <f t="shared" ref="BR10" si="18">BK10</f>
        <v>2026 г.</v>
      </c>
      <c r="BS10" s="4443" t="str">
        <f t="shared" ref="BS10" si="19">BL10</f>
        <v>2027 г.</v>
      </c>
      <c r="BT10" s="4443" t="str">
        <f t="shared" ref="BT10" si="20">BM10</f>
        <v>2028 г.</v>
      </c>
      <c r="BU10" s="4443" t="str">
        <f t="shared" ref="BU10" si="21">BN10</f>
        <v>2029 г.</v>
      </c>
      <c r="BV10" s="4443" t="str">
        <f t="shared" ref="BV10" si="22">BO10</f>
        <v>2030 г.</v>
      </c>
      <c r="BW10" s="4443" t="str">
        <f t="shared" ref="BW10" si="23">BP10</f>
        <v>2031 г.</v>
      </c>
      <c r="BX10" s="4443" t="str">
        <f t="shared" ref="BX10" si="24">BQ10</f>
        <v>2025 г.</v>
      </c>
      <c r="BY10" s="4443" t="str">
        <f t="shared" ref="BY10" si="25">BR10</f>
        <v>2026 г.</v>
      </c>
      <c r="BZ10" s="4443" t="str">
        <f t="shared" ref="BZ10" si="26">BS10</f>
        <v>2027 г.</v>
      </c>
      <c r="CA10" s="4443" t="str">
        <f t="shared" ref="CA10" si="27">BT10</f>
        <v>2028 г.</v>
      </c>
      <c r="CB10" s="4443" t="str">
        <f t="shared" ref="CB10" si="28">BU10</f>
        <v>2029 г.</v>
      </c>
      <c r="CC10" s="4443" t="str">
        <f t="shared" ref="CC10" si="29">BV10</f>
        <v>2030 г.</v>
      </c>
      <c r="CD10" s="4443" t="str">
        <f t="shared" ref="CD10" si="30">BW10</f>
        <v>2031 г.</v>
      </c>
      <c r="CE10" s="4443" t="str">
        <f t="shared" ref="CE10" si="31">BJ10</f>
        <v>2025 г.</v>
      </c>
      <c r="CF10" s="4443" t="str">
        <f t="shared" ref="CF10" si="32">BK10</f>
        <v>2026 г.</v>
      </c>
      <c r="CG10" s="4443" t="str">
        <f t="shared" ref="CG10" si="33">BL10</f>
        <v>2027 г.</v>
      </c>
      <c r="CH10" s="4443" t="str">
        <f t="shared" ref="CH10" si="34">BM10</f>
        <v>2028 г.</v>
      </c>
      <c r="CI10" s="4443" t="str">
        <f t="shared" ref="CI10" si="35">BN10</f>
        <v>2029 г.</v>
      </c>
      <c r="CJ10" s="4443" t="str">
        <f t="shared" ref="CJ10" si="36">BO10</f>
        <v>2030 г.</v>
      </c>
      <c r="CK10" s="4443" t="str">
        <f t="shared" ref="CK10" si="37">BP10</f>
        <v>2031 г.</v>
      </c>
    </row>
    <row r="11" spans="1:89" s="39" customFormat="1" ht="17.25" customHeight="1" thickBot="1">
      <c r="A11" s="2671" t="s">
        <v>205</v>
      </c>
      <c r="B11" s="2672"/>
      <c r="C11" s="2672"/>
      <c r="D11" s="2672" t="s">
        <v>334</v>
      </c>
      <c r="E11" s="2673">
        <f t="shared" ref="E11:AT11" si="38">E12+E15+E18+E30+E45+E50+SUM(E54:E59)</f>
        <v>2327</v>
      </c>
      <c r="F11" s="2674">
        <f t="shared" si="38"/>
        <v>1549</v>
      </c>
      <c r="G11" s="2675">
        <f t="shared" si="38"/>
        <v>5553.1458700000003</v>
      </c>
      <c r="H11" s="2675">
        <f t="shared" si="38"/>
        <v>8975.2917400000006</v>
      </c>
      <c r="I11" s="2675">
        <f t="shared" si="38"/>
        <v>9101.2917400000006</v>
      </c>
      <c r="J11" s="2675">
        <f t="shared" si="38"/>
        <v>1379</v>
      </c>
      <c r="K11" s="2676">
        <f t="shared" si="38"/>
        <v>1340</v>
      </c>
      <c r="L11" s="2673">
        <f t="shared" si="38"/>
        <v>115</v>
      </c>
      <c r="M11" s="2674">
        <f t="shared" si="38"/>
        <v>257</v>
      </c>
      <c r="N11" s="2675">
        <f t="shared" si="38"/>
        <v>1025.26836</v>
      </c>
      <c r="O11" s="2675">
        <f t="shared" si="38"/>
        <v>1927.5367200000001</v>
      </c>
      <c r="P11" s="2675">
        <f t="shared" si="38"/>
        <v>1872.5367200000001</v>
      </c>
      <c r="Q11" s="2675">
        <f t="shared" si="38"/>
        <v>20</v>
      </c>
      <c r="R11" s="2676">
        <f t="shared" si="38"/>
        <v>25</v>
      </c>
      <c r="S11" s="2677">
        <f t="shared" si="38"/>
        <v>235</v>
      </c>
      <c r="T11" s="2678">
        <f t="shared" si="38"/>
        <v>36</v>
      </c>
      <c r="U11" s="2675">
        <f t="shared" si="38"/>
        <v>1051.8895439999999</v>
      </c>
      <c r="V11" s="2675">
        <f t="shared" si="38"/>
        <v>2099.7790879999998</v>
      </c>
      <c r="W11" s="2675">
        <f t="shared" si="38"/>
        <v>2116.7790879999998</v>
      </c>
      <c r="X11" s="2675">
        <f t="shared" si="38"/>
        <v>2</v>
      </c>
      <c r="Y11" s="2676">
        <f t="shared" si="38"/>
        <v>0</v>
      </c>
      <c r="Z11" s="2677">
        <f t="shared" ref="Z11:AM11" si="39">Z12+Z15+Z18+Z30+Z45+Z50+SUM(Z54:Z59)</f>
        <v>0</v>
      </c>
      <c r="AA11" s="2678">
        <f t="shared" si="39"/>
        <v>0</v>
      </c>
      <c r="AB11" s="2675">
        <f t="shared" si="39"/>
        <v>0</v>
      </c>
      <c r="AC11" s="2675">
        <f t="shared" si="39"/>
        <v>0</v>
      </c>
      <c r="AD11" s="2675">
        <f t="shared" si="39"/>
        <v>0</v>
      </c>
      <c r="AE11" s="2675">
        <f t="shared" si="39"/>
        <v>0</v>
      </c>
      <c r="AF11" s="2676">
        <f t="shared" si="39"/>
        <v>0</v>
      </c>
      <c r="AG11" s="2677">
        <f t="shared" si="39"/>
        <v>0</v>
      </c>
      <c r="AH11" s="2678">
        <f t="shared" si="39"/>
        <v>0</v>
      </c>
      <c r="AI11" s="2675">
        <f t="shared" si="39"/>
        <v>0</v>
      </c>
      <c r="AJ11" s="2675">
        <f t="shared" si="39"/>
        <v>0</v>
      </c>
      <c r="AK11" s="2675">
        <f t="shared" si="39"/>
        <v>0</v>
      </c>
      <c r="AL11" s="2675">
        <f t="shared" si="39"/>
        <v>0</v>
      </c>
      <c r="AM11" s="2676">
        <f t="shared" si="39"/>
        <v>0</v>
      </c>
      <c r="AN11" s="2677">
        <f t="shared" si="38"/>
        <v>0</v>
      </c>
      <c r="AO11" s="2678">
        <f t="shared" si="38"/>
        <v>407</v>
      </c>
      <c r="AP11" s="2675">
        <f t="shared" si="38"/>
        <v>1284</v>
      </c>
      <c r="AQ11" s="2675">
        <f t="shared" si="38"/>
        <v>1482</v>
      </c>
      <c r="AR11" s="2675">
        <f t="shared" si="38"/>
        <v>1102</v>
      </c>
      <c r="AS11" s="2675">
        <f t="shared" si="38"/>
        <v>958.2</v>
      </c>
      <c r="AT11" s="2676">
        <f t="shared" si="38"/>
        <v>985</v>
      </c>
      <c r="AU11" s="4422"/>
      <c r="AV11" s="4438">
        <f>IFERROR(E11/$D$1,0)</f>
        <v>1189.7762075436005</v>
      </c>
      <c r="AW11" s="4438">
        <f t="shared" ref="AW11:CJ11" si="40">IFERROR(F11/$D$1,0)</f>
        <v>791.99112397294243</v>
      </c>
      <c r="AX11" s="4438">
        <f t="shared" si="40"/>
        <v>2839.2783984293114</v>
      </c>
      <c r="AY11" s="4438">
        <f t="shared" si="40"/>
        <v>4588.9937980294817</v>
      </c>
      <c r="AZ11" s="4438">
        <f t="shared" si="40"/>
        <v>4653.4165750602051</v>
      </c>
      <c r="BA11" s="4438">
        <f t="shared" si="40"/>
        <v>705.0715041695853</v>
      </c>
      <c r="BB11" s="4438">
        <f t="shared" si="40"/>
        <v>685.13112080293274</v>
      </c>
      <c r="BC11" s="4438">
        <f t="shared" si="40"/>
        <v>58.798566337565127</v>
      </c>
      <c r="BD11" s="4438">
        <f t="shared" si="40"/>
        <v>131.40201346742816</v>
      </c>
      <c r="BE11" s="4438">
        <f t="shared" si="40"/>
        <v>524.21138851536182</v>
      </c>
      <c r="BF11" s="4438">
        <f t="shared" si="40"/>
        <v>985.53387564358866</v>
      </c>
      <c r="BG11" s="4438">
        <f t="shared" si="40"/>
        <v>957.41282217779667</v>
      </c>
      <c r="BH11" s="4438">
        <f t="shared" si="40"/>
        <v>10.22583762392437</v>
      </c>
      <c r="BI11" s="4438">
        <f t="shared" si="40"/>
        <v>12.782297029905463</v>
      </c>
      <c r="BJ11" s="4438">
        <f t="shared" si="40"/>
        <v>120.15359208111134</v>
      </c>
      <c r="BK11" s="4438">
        <f t="shared" si="40"/>
        <v>18.406507723063864</v>
      </c>
      <c r="BL11" s="4438">
        <f t="shared" si="40"/>
        <v>537.82258376239236</v>
      </c>
      <c r="BM11" s="4438">
        <f t="shared" si="40"/>
        <v>1073.5999999999999</v>
      </c>
      <c r="BN11" s="4438">
        <f t="shared" si="40"/>
        <v>1082.2919619803356</v>
      </c>
      <c r="BO11" s="4438">
        <f t="shared" si="40"/>
        <v>1.022583762392437</v>
      </c>
      <c r="BP11" s="4438">
        <f t="shared" si="40"/>
        <v>0</v>
      </c>
      <c r="BQ11" s="4438">
        <f t="shared" si="40"/>
        <v>0</v>
      </c>
      <c r="BR11" s="4438">
        <f t="shared" si="40"/>
        <v>0</v>
      </c>
      <c r="BS11" s="4438">
        <f t="shared" si="40"/>
        <v>0</v>
      </c>
      <c r="BT11" s="4438">
        <f t="shared" si="40"/>
        <v>0</v>
      </c>
      <c r="BU11" s="4438">
        <f t="shared" si="40"/>
        <v>0</v>
      </c>
      <c r="BV11" s="4438">
        <f t="shared" si="40"/>
        <v>0</v>
      </c>
      <c r="BW11" s="4438">
        <f t="shared" si="40"/>
        <v>0</v>
      </c>
      <c r="BX11" s="4438">
        <f t="shared" si="40"/>
        <v>0</v>
      </c>
      <c r="BY11" s="4438">
        <f t="shared" si="40"/>
        <v>0</v>
      </c>
      <c r="BZ11" s="4438">
        <f t="shared" si="40"/>
        <v>0</v>
      </c>
      <c r="CA11" s="4438">
        <f t="shared" si="40"/>
        <v>0</v>
      </c>
      <c r="CB11" s="4438">
        <f t="shared" si="40"/>
        <v>0</v>
      </c>
      <c r="CC11" s="4438">
        <f t="shared" si="40"/>
        <v>0</v>
      </c>
      <c r="CD11" s="4438">
        <f t="shared" si="40"/>
        <v>0</v>
      </c>
      <c r="CE11" s="4438">
        <f t="shared" si="40"/>
        <v>0</v>
      </c>
      <c r="CF11" s="4438">
        <f t="shared" si="40"/>
        <v>208.09579564686092</v>
      </c>
      <c r="CG11" s="4438">
        <f t="shared" si="40"/>
        <v>656.4987754559445</v>
      </c>
      <c r="CH11" s="4438">
        <f t="shared" si="40"/>
        <v>757.73456793279581</v>
      </c>
      <c r="CI11" s="4438">
        <f t="shared" si="40"/>
        <v>563.44365307823273</v>
      </c>
      <c r="CJ11" s="4438">
        <f t="shared" si="40"/>
        <v>489.91988056221658</v>
      </c>
      <c r="CK11" s="4438">
        <f>IFERROR(AT11/$D$1,0)</f>
        <v>503.62250297827524</v>
      </c>
    </row>
    <row r="12" spans="1:89" s="30" customFormat="1">
      <c r="A12" s="2679">
        <v>1</v>
      </c>
      <c r="B12" s="3559">
        <v>201</v>
      </c>
      <c r="C12" s="3542">
        <v>0</v>
      </c>
      <c r="D12" s="2680" t="s">
        <v>217</v>
      </c>
      <c r="E12" s="2681">
        <f>SUM(E13:E14)</f>
        <v>0</v>
      </c>
      <c r="F12" s="2682">
        <f>SUM(F13:F14)</f>
        <v>0</v>
      </c>
      <c r="G12" s="2683">
        <f>SUM(G13:G14)</f>
        <v>0</v>
      </c>
      <c r="H12" s="2683">
        <f>SUM(H13:H14)</f>
        <v>0</v>
      </c>
      <c r="I12" s="2683">
        <f t="shared" ref="I12:K12" si="41">SUM(I13:I14)</f>
        <v>0</v>
      </c>
      <c r="J12" s="2683">
        <f t="shared" si="41"/>
        <v>0</v>
      </c>
      <c r="K12" s="2684">
        <f t="shared" si="41"/>
        <v>0</v>
      </c>
      <c r="L12" s="2681">
        <f>SUM(L13:L14)</f>
        <v>0</v>
      </c>
      <c r="M12" s="2682">
        <f>SUM(M13:M14)</f>
        <v>0</v>
      </c>
      <c r="N12" s="2683">
        <f>SUM(N13:N14)</f>
        <v>0</v>
      </c>
      <c r="O12" s="2683">
        <f>SUM(O13:O14)</f>
        <v>0</v>
      </c>
      <c r="P12" s="2683">
        <f t="shared" ref="P12:R12" si="42">SUM(P13:P14)</f>
        <v>0</v>
      </c>
      <c r="Q12" s="2683">
        <f t="shared" si="42"/>
        <v>0</v>
      </c>
      <c r="R12" s="2684">
        <f t="shared" si="42"/>
        <v>0</v>
      </c>
      <c r="S12" s="2685">
        <f>SUM(S13:S14)</f>
        <v>0</v>
      </c>
      <c r="T12" s="2686">
        <f>SUM(T13:T14)</f>
        <v>0</v>
      </c>
      <c r="U12" s="2683">
        <f>SUM(U13:U14)</f>
        <v>0</v>
      </c>
      <c r="V12" s="2683">
        <f>SUM(V13:V14)</f>
        <v>0</v>
      </c>
      <c r="W12" s="2683">
        <f t="shared" ref="W12:Y12" si="43">SUM(W13:W14)</f>
        <v>0</v>
      </c>
      <c r="X12" s="2683">
        <f t="shared" si="43"/>
        <v>0</v>
      </c>
      <c r="Y12" s="2684">
        <f t="shared" si="43"/>
        <v>0</v>
      </c>
      <c r="Z12" s="2685">
        <f>SUM(Z13:Z14)</f>
        <v>0</v>
      </c>
      <c r="AA12" s="2686">
        <f>SUM(AA13:AA14)</f>
        <v>0</v>
      </c>
      <c r="AB12" s="2683">
        <f>SUM(AB13:AB14)</f>
        <v>0</v>
      </c>
      <c r="AC12" s="2683">
        <f>SUM(AC13:AC14)</f>
        <v>0</v>
      </c>
      <c r="AD12" s="2683">
        <f t="shared" ref="AD12:AF12" si="44">SUM(AD13:AD14)</f>
        <v>0</v>
      </c>
      <c r="AE12" s="2683">
        <f t="shared" si="44"/>
        <v>0</v>
      </c>
      <c r="AF12" s="2684">
        <f t="shared" si="44"/>
        <v>0</v>
      </c>
      <c r="AG12" s="2685">
        <f>SUM(AG13:AG14)</f>
        <v>0</v>
      </c>
      <c r="AH12" s="2686">
        <f>SUM(AH13:AH14)</f>
        <v>0</v>
      </c>
      <c r="AI12" s="2683">
        <f>SUM(AI13:AI14)</f>
        <v>0</v>
      </c>
      <c r="AJ12" s="2683">
        <f>SUM(AJ13:AJ14)</f>
        <v>0</v>
      </c>
      <c r="AK12" s="2683">
        <f t="shared" ref="AK12:AM12" si="45">SUM(AK13:AK14)</f>
        <v>0</v>
      </c>
      <c r="AL12" s="2683">
        <f t="shared" si="45"/>
        <v>0</v>
      </c>
      <c r="AM12" s="2684">
        <f t="shared" si="45"/>
        <v>0</v>
      </c>
      <c r="AN12" s="2685">
        <f>SUM(AN13:AN14)</f>
        <v>0</v>
      </c>
      <c r="AO12" s="2682">
        <f>SUM(AO13:AO14)</f>
        <v>0</v>
      </c>
      <c r="AP12" s="2683">
        <f>SUM(AP13:AP14)</f>
        <v>0</v>
      </c>
      <c r="AQ12" s="2683">
        <f>SUM(AQ13:AQ14)</f>
        <v>0</v>
      </c>
      <c r="AR12" s="2683">
        <f t="shared" ref="AR12:AT12" si="46">SUM(AR13:AR14)</f>
        <v>0</v>
      </c>
      <c r="AS12" s="2683">
        <f t="shared" si="46"/>
        <v>0</v>
      </c>
      <c r="AT12" s="2684">
        <f t="shared" si="46"/>
        <v>0</v>
      </c>
      <c r="AU12" s="4422"/>
      <c r="AV12" s="4438">
        <f t="shared" ref="AV12:AV75" si="47">IFERROR(E12/$D$1,0)</f>
        <v>0</v>
      </c>
      <c r="AW12" s="4438">
        <f t="shared" ref="AW12:AW75" si="48">IFERROR(F12/$D$1,0)</f>
        <v>0</v>
      </c>
      <c r="AX12" s="4438">
        <f t="shared" ref="AX12:AX75" si="49">IFERROR(G12/$D$1,0)</f>
        <v>0</v>
      </c>
      <c r="AY12" s="4438">
        <f t="shared" ref="AY12:AY75" si="50">IFERROR(H12/$D$1,0)</f>
        <v>0</v>
      </c>
      <c r="AZ12" s="4438">
        <f t="shared" ref="AZ12:AZ75" si="51">IFERROR(I12/$D$1,0)</f>
        <v>0</v>
      </c>
      <c r="BA12" s="4438">
        <f t="shared" ref="BA12:BA75" si="52">IFERROR(J12/$D$1,0)</f>
        <v>0</v>
      </c>
      <c r="BB12" s="4438">
        <f t="shared" ref="BB12:BB75" si="53">IFERROR(K12/$D$1,0)</f>
        <v>0</v>
      </c>
      <c r="BC12" s="4438">
        <f t="shared" ref="BC12:BC75" si="54">IFERROR(L12/$D$1,0)</f>
        <v>0</v>
      </c>
      <c r="BD12" s="4438">
        <f t="shared" ref="BD12:BD75" si="55">IFERROR(M12/$D$1,0)</f>
        <v>0</v>
      </c>
      <c r="BE12" s="4438">
        <f t="shared" ref="BE12:BE75" si="56">IFERROR(N12/$D$1,0)</f>
        <v>0</v>
      </c>
      <c r="BF12" s="4438">
        <f t="shared" ref="BF12:BF75" si="57">IFERROR(O12/$D$1,0)</f>
        <v>0</v>
      </c>
      <c r="BG12" s="4438">
        <f t="shared" ref="BG12:BG75" si="58">IFERROR(P12/$D$1,0)</f>
        <v>0</v>
      </c>
      <c r="BH12" s="4438">
        <f t="shared" ref="BH12:BH75" si="59">IFERROR(Q12/$D$1,0)</f>
        <v>0</v>
      </c>
      <c r="BI12" s="4438">
        <f t="shared" ref="BI12:BI75" si="60">IFERROR(R12/$D$1,0)</f>
        <v>0</v>
      </c>
      <c r="BJ12" s="4438">
        <f t="shared" ref="BJ12:BJ75" si="61">IFERROR(S12/$D$1,0)</f>
        <v>0</v>
      </c>
      <c r="BK12" s="4438">
        <f t="shared" ref="BK12:BK75" si="62">IFERROR(T12/$D$1,0)</f>
        <v>0</v>
      </c>
      <c r="BL12" s="4438">
        <f t="shared" ref="BL12:BL75" si="63">IFERROR(U12/$D$1,0)</f>
        <v>0</v>
      </c>
      <c r="BM12" s="4438">
        <f t="shared" ref="BM12:BM75" si="64">IFERROR(V12/$D$1,0)</f>
        <v>0</v>
      </c>
      <c r="BN12" s="4438">
        <f t="shared" ref="BN12:BN75" si="65">IFERROR(W12/$D$1,0)</f>
        <v>0</v>
      </c>
      <c r="BO12" s="4438">
        <f t="shared" ref="BO12:BO75" si="66">IFERROR(X12/$D$1,0)</f>
        <v>0</v>
      </c>
      <c r="BP12" s="4438">
        <f t="shared" ref="BP12:BP75" si="67">IFERROR(Y12/$D$1,0)</f>
        <v>0</v>
      </c>
      <c r="BQ12" s="4438">
        <f t="shared" ref="BQ12:BQ75" si="68">IFERROR(Z12/$D$1,0)</f>
        <v>0</v>
      </c>
      <c r="BR12" s="4438">
        <f t="shared" ref="BR12:BR75" si="69">IFERROR(AA12/$D$1,0)</f>
        <v>0</v>
      </c>
      <c r="BS12" s="4438">
        <f t="shared" ref="BS12:BS75" si="70">IFERROR(AB12/$D$1,0)</f>
        <v>0</v>
      </c>
      <c r="BT12" s="4438">
        <f t="shared" ref="BT12:BT75" si="71">IFERROR(AC12/$D$1,0)</f>
        <v>0</v>
      </c>
      <c r="BU12" s="4438">
        <f t="shared" ref="BU12:BU75" si="72">IFERROR(AD12/$D$1,0)</f>
        <v>0</v>
      </c>
      <c r="BV12" s="4438">
        <f t="shared" ref="BV12:BV75" si="73">IFERROR(AE12/$D$1,0)</f>
        <v>0</v>
      </c>
      <c r="BW12" s="4438">
        <f t="shared" ref="BW12:BW75" si="74">IFERROR(AF12/$D$1,0)</f>
        <v>0</v>
      </c>
      <c r="BX12" s="4438">
        <f t="shared" ref="BX12:BX75" si="75">IFERROR(AG12/$D$1,0)</f>
        <v>0</v>
      </c>
      <c r="BY12" s="4438">
        <f t="shared" ref="BY12:BY75" si="76">IFERROR(AH12/$D$1,0)</f>
        <v>0</v>
      </c>
      <c r="BZ12" s="4438">
        <f t="shared" ref="BZ12:BZ75" si="77">IFERROR(AI12/$D$1,0)</f>
        <v>0</v>
      </c>
      <c r="CA12" s="4438">
        <f t="shared" ref="CA12:CA75" si="78">IFERROR(AJ12/$D$1,0)</f>
        <v>0</v>
      </c>
      <c r="CB12" s="4438">
        <f t="shared" ref="CB12:CB75" si="79">IFERROR(AK12/$D$1,0)</f>
        <v>0</v>
      </c>
      <c r="CC12" s="4438">
        <f t="shared" ref="CC12:CC75" si="80">IFERROR(AL12/$D$1,0)</f>
        <v>0</v>
      </c>
      <c r="CD12" s="4438">
        <f t="shared" ref="CD12:CD75" si="81">IFERROR(AM12/$D$1,0)</f>
        <v>0</v>
      </c>
      <c r="CE12" s="4438">
        <f t="shared" ref="CE12:CE75" si="82">IFERROR(AN12/$D$1,0)</f>
        <v>0</v>
      </c>
      <c r="CF12" s="4438">
        <f t="shared" ref="CF12:CF75" si="83">IFERROR(AO12/$D$1,0)</f>
        <v>0</v>
      </c>
      <c r="CG12" s="4438">
        <f t="shared" ref="CG12:CG75" si="84">IFERROR(AP12/$D$1,0)</f>
        <v>0</v>
      </c>
      <c r="CH12" s="4438">
        <f t="shared" ref="CH12:CH75" si="85">IFERROR(AQ12/$D$1,0)</f>
        <v>0</v>
      </c>
      <c r="CI12" s="4438">
        <f t="shared" ref="CI12:CI75" si="86">IFERROR(AR12/$D$1,0)</f>
        <v>0</v>
      </c>
      <c r="CJ12" s="4438">
        <f t="shared" ref="CJ12:CJ75" si="87">IFERROR(AS12/$D$1,0)</f>
        <v>0</v>
      </c>
      <c r="CK12" s="4438">
        <f t="shared" ref="CK12:CK75" si="88">IFERROR(AT12/$D$1,0)</f>
        <v>0</v>
      </c>
    </row>
    <row r="13" spans="1:89" s="38" customFormat="1">
      <c r="A13" s="2687"/>
      <c r="B13" s="3560">
        <v>20101</v>
      </c>
      <c r="C13" s="3543">
        <v>0</v>
      </c>
      <c r="D13" s="2688" t="s">
        <v>556</v>
      </c>
      <c r="E13" s="2689">
        <f>'11.2. ДА за периода'!E13</f>
        <v>0</v>
      </c>
      <c r="F13" s="2617">
        <f>SUMIF('9.Инвестиционна програма'!$B$12:$B$35,$B13,'9.Инвестиционна програма'!H$12:H$35)*$E$6</f>
        <v>0</v>
      </c>
      <c r="G13" s="1198">
        <f>SUMIF('9.Инвестиционна програма'!$B$12:$B$35,$B13,'9.Инвестиционна програма'!I$12:I$35)*$E$6</f>
        <v>0</v>
      </c>
      <c r="H13" s="1198">
        <f>SUMIF('9.Инвестиционна програма'!$B$12:$B$35,$B13,'9.Инвестиционна програма'!J$12:J$35)*$E$6</f>
        <v>0</v>
      </c>
      <c r="I13" s="1198">
        <f>SUMIF('9.Инвестиционна програма'!$B$12:$B$35,$B13,'9.Инвестиционна програма'!K$12:K$35)*$E$6</f>
        <v>0</v>
      </c>
      <c r="J13" s="1198">
        <f>SUMIF('9.Инвестиционна програма'!$B$12:$B$35,$B13,'9.Инвестиционна програма'!L$12:L$35)*$E$6</f>
        <v>0</v>
      </c>
      <c r="K13" s="1203">
        <f>SUMIF('9.Инвестиционна програма'!$B$12:$B$35,$B13,'9.Инвестиционна програма'!M$12:M$35)*$E$6</f>
        <v>0</v>
      </c>
      <c r="L13" s="2689">
        <f>'11.2. ДА за периода'!L13</f>
        <v>0</v>
      </c>
      <c r="M13" s="1202">
        <f>SUMIF('9.Инвестиционна програма'!$B$37:$B$47,$B13,'9.Инвестиционна програма'!H$37:H$47)*$E$6</f>
        <v>0</v>
      </c>
      <c r="N13" s="1198">
        <f>SUMIF('9.Инвестиционна програма'!$B$37:$B$47,$B13,'9.Инвестиционна програма'!I$37:I$47)*$E$6</f>
        <v>0</v>
      </c>
      <c r="O13" s="1198">
        <f>SUMIF('9.Инвестиционна програма'!$B$37:$B$47,$B13,'9.Инвестиционна програма'!J$37:J$47)*$E$6</f>
        <v>0</v>
      </c>
      <c r="P13" s="1198">
        <f>SUMIF('9.Инвестиционна програма'!$B$37:$B$47,$B13,'9.Инвестиционна програма'!K$37:K$47)*$E$6</f>
        <v>0</v>
      </c>
      <c r="Q13" s="1198">
        <f>SUMIF('9.Инвестиционна програма'!$B$37:$B$47,$B13,'9.Инвестиционна програма'!L$37:L$47)*$E$6</f>
        <v>0</v>
      </c>
      <c r="R13" s="1203">
        <f>SUMIF('9.Инвестиционна програма'!$B$37:$B$47,$B13,'9.Инвестиционна програма'!M$37:M$47)*$E$6</f>
        <v>0</v>
      </c>
      <c r="S13" s="1087">
        <f>'11.2. ДА за периода'!S13</f>
        <v>0</v>
      </c>
      <c r="T13" s="881">
        <f>SUMIF('9.Инвестиционна програма'!$B$49:$B$56,$B13,'9.Инвестиционна програма'!H$49:H$56)*$E$6</f>
        <v>0</v>
      </c>
      <c r="U13" s="881">
        <f>SUMIF('9.Инвестиционна програма'!$B$49:$B$56,$B13,'9.Инвестиционна програма'!I$49:I$56)*$E$6</f>
        <v>0</v>
      </c>
      <c r="V13" s="881">
        <f>SUMIF('9.Инвестиционна програма'!$B$49:$B$56,$B13,'9.Инвестиционна програма'!J$49:J$56)*$E$6</f>
        <v>0</v>
      </c>
      <c r="W13" s="881">
        <f>SUMIF('9.Инвестиционна програма'!$B$49:$B$56,$B13,'9.Инвестиционна програма'!K$49:K$56)*$E$6</f>
        <v>0</v>
      </c>
      <c r="X13" s="881">
        <f>SUMIF('9.Инвестиционна програма'!$B$49:$B$56,$B13,'9.Инвестиционна програма'!L$49:L$56)*$E$6</f>
        <v>0</v>
      </c>
      <c r="Y13" s="2690">
        <f>SUMIF('9.Инвестиционна програма'!$B$49:$B$56,$B13,'9.Инвестиционна програма'!M$49:M$56)*$E$6</f>
        <v>0</v>
      </c>
      <c r="Z13" s="1087">
        <f>'11.2. ДА за периода'!Z13</f>
        <v>0</v>
      </c>
      <c r="AA13" s="2691">
        <f>SUMIF('9.Инвестиционна програма'!$B$74:$B$97,$B13,'9.Инвестиционна програма'!H$74:H$97)*$E$6</f>
        <v>0</v>
      </c>
      <c r="AB13" s="881">
        <f>SUMIF('9.Инвестиционна програма'!$B$74:$B$97,$B13,'9.Инвестиционна програма'!I$74:I$97)*$E$6</f>
        <v>0</v>
      </c>
      <c r="AC13" s="881">
        <f>SUMIF('9.Инвестиционна програма'!$B$74:$B$97,$B13,'9.Инвестиционна програма'!J$74:J$97)*$E$6</f>
        <v>0</v>
      </c>
      <c r="AD13" s="881">
        <f>SUMIF('9.Инвестиционна програма'!$B$74:$B$97,$B13,'9.Инвестиционна програма'!K$74:K$97)*$E$6</f>
        <v>0</v>
      </c>
      <c r="AE13" s="881">
        <f>SUMIF('9.Инвестиционна програма'!$B$74:$B$97,$B13,'9.Инвестиционна програма'!L$74:L$97)*$E$6</f>
        <v>0</v>
      </c>
      <c r="AF13" s="881">
        <f>SUMIF('9.Инвестиционна програма'!$B$74:$B$97,$B13,'9.Инвестиционна програма'!M$74:M$97)*$E$6</f>
        <v>0</v>
      </c>
      <c r="AG13" s="1087">
        <f>'11.2. ДА за периода'!AG13</f>
        <v>0</v>
      </c>
      <c r="AH13" s="881">
        <f>SUMIF('9.Инвестиционна програма'!$B$100:$B$123,$B13,'9.Инвестиционна програма'!H$100:H$123)*$E$6</f>
        <v>0</v>
      </c>
      <c r="AI13" s="881">
        <f>SUMIF('9.Инвестиционна програма'!$B$100:$B$123,$B13,'9.Инвестиционна програма'!I$100:I$123)*$E$6</f>
        <v>0</v>
      </c>
      <c r="AJ13" s="881">
        <f>SUMIF('9.Инвестиционна програма'!$B$100:$B$123,$B13,'9.Инвестиционна програма'!J$100:J$123)*$E$6</f>
        <v>0</v>
      </c>
      <c r="AK13" s="881">
        <f>SUMIF('9.Инвестиционна програма'!$B$100:$B$123,$B13,'9.Инвестиционна програма'!K$100:K$123)*$E$6</f>
        <v>0</v>
      </c>
      <c r="AL13" s="881">
        <f>SUMIF('9.Инвестиционна програма'!$B$100:$B$123,$B13,'9.Инвестиционна програма'!L$100:L$123)*$E$6</f>
        <v>0</v>
      </c>
      <c r="AM13" s="881">
        <f>SUMIF('9.Инвестиционна програма'!$B$100:$B$123,$B13,'9.Инвестиционна програма'!M$100:M$123)*$E$6</f>
        <v>0</v>
      </c>
      <c r="AN13" s="1087">
        <f>'11.2. ДА за периода'!AN13</f>
        <v>0</v>
      </c>
      <c r="AO13" s="1202">
        <f>(SUMIF('9.Инвестиционна програма'!$B$58:$B$59,$B13,'9.Инвестиционна програма'!H$58:H$59)+SUMIF('9.Инвестиционна програма'!$B$61:$B$71,$B13,'9.Инвестиционна програма'!H$61:H$71))*$E$6</f>
        <v>0</v>
      </c>
      <c r="AP13" s="883">
        <f>(SUMIF('9.Инвестиционна програма'!$B$58:$B$59,$B13,'9.Инвестиционна програма'!I$58:I$59)+SUMIF('9.Инвестиционна програма'!$B$61:$B$71,$B13,'9.Инвестиционна програма'!I$61:I$71))*$E$6</f>
        <v>0</v>
      </c>
      <c r="AQ13" s="883">
        <f>(SUMIF('9.Инвестиционна програма'!$B$58:$B$59,$B13,'9.Инвестиционна програма'!J$58:J$59)+SUMIF('9.Инвестиционна програма'!$B$61:$B$71,$B13,'9.Инвестиционна програма'!J$61:J$71))*$E$6</f>
        <v>0</v>
      </c>
      <c r="AR13" s="883">
        <f>(SUMIF('9.Инвестиционна програма'!$B$58:$B$59,$B13,'9.Инвестиционна програма'!K$58:K$59)+SUMIF('9.Инвестиционна програма'!$B$61:$B$71,$B13,'9.Инвестиционна програма'!K$61:K$71))*$E$6</f>
        <v>0</v>
      </c>
      <c r="AS13" s="883">
        <f>(SUMIF('9.Инвестиционна програма'!$B$58:$B$59,$B13,'9.Инвестиционна програма'!L$58:L$59)+SUMIF('9.Инвестиционна програма'!$B$61:$B$71,$B13,'9.Инвестиционна програма'!L$61:L$71))*$E$6</f>
        <v>0</v>
      </c>
      <c r="AT13" s="2692">
        <f>(SUMIF('9.Инвестиционна програма'!$B$58:$B$59,$B13,'9.Инвестиционна програма'!M$58:M$59)+SUMIF('9.Инвестиционна програма'!$B$61:$B$71,$B13,'9.Инвестиционна програма'!M$61:M$71))*$E$6</f>
        <v>0</v>
      </c>
      <c r="AU13" s="4422"/>
      <c r="AV13" s="4438">
        <f t="shared" si="47"/>
        <v>0</v>
      </c>
      <c r="AW13" s="4438">
        <f t="shared" si="48"/>
        <v>0</v>
      </c>
      <c r="AX13" s="4438">
        <f t="shared" si="49"/>
        <v>0</v>
      </c>
      <c r="AY13" s="4438">
        <f t="shared" si="50"/>
        <v>0</v>
      </c>
      <c r="AZ13" s="4438">
        <f t="shared" si="51"/>
        <v>0</v>
      </c>
      <c r="BA13" s="4438">
        <f t="shared" si="52"/>
        <v>0</v>
      </c>
      <c r="BB13" s="4438">
        <f t="shared" si="53"/>
        <v>0</v>
      </c>
      <c r="BC13" s="4438">
        <f t="shared" si="54"/>
        <v>0</v>
      </c>
      <c r="BD13" s="4438">
        <f t="shared" si="55"/>
        <v>0</v>
      </c>
      <c r="BE13" s="4438">
        <f t="shared" si="56"/>
        <v>0</v>
      </c>
      <c r="BF13" s="4438">
        <f t="shared" si="57"/>
        <v>0</v>
      </c>
      <c r="BG13" s="4438">
        <f t="shared" si="58"/>
        <v>0</v>
      </c>
      <c r="BH13" s="4438">
        <f t="shared" si="59"/>
        <v>0</v>
      </c>
      <c r="BI13" s="4438">
        <f t="shared" si="60"/>
        <v>0</v>
      </c>
      <c r="BJ13" s="4438">
        <f t="shared" si="61"/>
        <v>0</v>
      </c>
      <c r="BK13" s="4438">
        <f t="shared" si="62"/>
        <v>0</v>
      </c>
      <c r="BL13" s="4438">
        <f t="shared" si="63"/>
        <v>0</v>
      </c>
      <c r="BM13" s="4438">
        <f t="shared" si="64"/>
        <v>0</v>
      </c>
      <c r="BN13" s="4438">
        <f t="shared" si="65"/>
        <v>0</v>
      </c>
      <c r="BO13" s="4438">
        <f t="shared" si="66"/>
        <v>0</v>
      </c>
      <c r="BP13" s="4438">
        <f t="shared" si="67"/>
        <v>0</v>
      </c>
      <c r="BQ13" s="4438">
        <f t="shared" si="68"/>
        <v>0</v>
      </c>
      <c r="BR13" s="4438">
        <f t="shared" si="69"/>
        <v>0</v>
      </c>
      <c r="BS13" s="4438">
        <f t="shared" si="70"/>
        <v>0</v>
      </c>
      <c r="BT13" s="4438">
        <f t="shared" si="71"/>
        <v>0</v>
      </c>
      <c r="BU13" s="4438">
        <f t="shared" si="72"/>
        <v>0</v>
      </c>
      <c r="BV13" s="4438">
        <f t="shared" si="73"/>
        <v>0</v>
      </c>
      <c r="BW13" s="4438">
        <f t="shared" si="74"/>
        <v>0</v>
      </c>
      <c r="BX13" s="4438">
        <f t="shared" si="75"/>
        <v>0</v>
      </c>
      <c r="BY13" s="4438">
        <f t="shared" si="76"/>
        <v>0</v>
      </c>
      <c r="BZ13" s="4438">
        <f t="shared" si="77"/>
        <v>0</v>
      </c>
      <c r="CA13" s="4438">
        <f t="shared" si="78"/>
        <v>0</v>
      </c>
      <c r="CB13" s="4438">
        <f t="shared" si="79"/>
        <v>0</v>
      </c>
      <c r="CC13" s="4438">
        <f t="shared" si="80"/>
        <v>0</v>
      </c>
      <c r="CD13" s="4438">
        <f t="shared" si="81"/>
        <v>0</v>
      </c>
      <c r="CE13" s="4438">
        <f t="shared" si="82"/>
        <v>0</v>
      </c>
      <c r="CF13" s="4438">
        <f t="shared" si="83"/>
        <v>0</v>
      </c>
      <c r="CG13" s="4438">
        <f t="shared" si="84"/>
        <v>0</v>
      </c>
      <c r="CH13" s="4438">
        <f t="shared" si="85"/>
        <v>0</v>
      </c>
      <c r="CI13" s="4438">
        <f t="shared" si="86"/>
        <v>0</v>
      </c>
      <c r="CJ13" s="4438">
        <f t="shared" si="87"/>
        <v>0</v>
      </c>
      <c r="CK13" s="4438">
        <f t="shared" si="88"/>
        <v>0</v>
      </c>
    </row>
    <row r="14" spans="1:89" s="38" customFormat="1">
      <c r="A14" s="2687"/>
      <c r="B14" s="3561">
        <v>20102</v>
      </c>
      <c r="C14" s="3544">
        <v>0</v>
      </c>
      <c r="D14" s="2693" t="s">
        <v>558</v>
      </c>
      <c r="E14" s="2689">
        <f>'11.2. ДА за периода'!E14</f>
        <v>0</v>
      </c>
      <c r="F14" s="1202">
        <f>SUMIF('9.Инвестиционна програма'!$B$12:$B$35,$B14,'9.Инвестиционна програма'!H$12:H$35)*$E$6</f>
        <v>0</v>
      </c>
      <c r="G14" s="1198">
        <f>SUMIF('9.Инвестиционна програма'!$B$12:$B$35,$B14,'9.Инвестиционна програма'!I$12:I$35)*$E$6</f>
        <v>0</v>
      </c>
      <c r="H14" s="1198">
        <f>SUMIF('9.Инвестиционна програма'!$B$12:$B$35,$B14,'9.Инвестиционна програма'!J$12:J$35)*$E$6</f>
        <v>0</v>
      </c>
      <c r="I14" s="1198">
        <f>SUMIF('9.Инвестиционна програма'!$B$12:$B$35,$B14,'9.Инвестиционна програма'!K$12:K$35)*$E$6</f>
        <v>0</v>
      </c>
      <c r="J14" s="1198">
        <f>SUMIF('9.Инвестиционна програма'!$B$12:$B$35,$B14,'9.Инвестиционна програма'!L$12:L$35)*$E$6</f>
        <v>0</v>
      </c>
      <c r="K14" s="1203">
        <f>SUMIF('9.Инвестиционна програма'!$B$12:$B$35,$B14,'9.Инвестиционна програма'!M$12:M$35)*$E$6</f>
        <v>0</v>
      </c>
      <c r="L14" s="2689">
        <f>'11.2. ДА за периода'!L14</f>
        <v>0</v>
      </c>
      <c r="M14" s="1206">
        <f>SUMIF('9.Инвестиционна програма'!$B$37:$B$47,$B14,'9.Инвестиционна програма'!H$37:H$47)*$E$6</f>
        <v>0</v>
      </c>
      <c r="N14" s="1200">
        <f>SUMIF('9.Инвестиционна програма'!$B$37:$B$47,$B14,'9.Инвестиционна програма'!I$37:I$47)*$E$6</f>
        <v>0</v>
      </c>
      <c r="O14" s="1200">
        <f>SUMIF('9.Инвестиционна програма'!$B$37:$B$47,$B14,'9.Инвестиционна програма'!J$37:J$47)*$E$6</f>
        <v>0</v>
      </c>
      <c r="P14" s="1200">
        <f>SUMIF('9.Инвестиционна програма'!$B$37:$B$47,$B14,'9.Инвестиционна програма'!K$37:K$47)*$E$6</f>
        <v>0</v>
      </c>
      <c r="Q14" s="1200">
        <f>SUMIF('9.Инвестиционна програма'!$B$37:$B$47,$B14,'9.Инвестиционна програма'!L$37:L$47)*$E$6</f>
        <v>0</v>
      </c>
      <c r="R14" s="1201">
        <f>SUMIF('9.Инвестиционна програма'!$B$37:$B$47,$B14,'9.Инвестиционна програма'!M$37:M$47)*$E$6</f>
        <v>0</v>
      </c>
      <c r="S14" s="1087">
        <f>'11.2. ДА за периода'!S14</f>
        <v>0</v>
      </c>
      <c r="T14" s="881">
        <f>SUMIF('9.Инвестиционна програма'!$B$49:$B$56,$B14,'9.Инвестиционна програма'!H$49:H$56)*$E$6</f>
        <v>0</v>
      </c>
      <c r="U14" s="881">
        <f>SUMIF('9.Инвестиционна програма'!$B$49:$B$56,$B14,'9.Инвестиционна програма'!I$49:I$56)*$E$6</f>
        <v>0</v>
      </c>
      <c r="V14" s="881">
        <f>SUMIF('9.Инвестиционна програма'!$B$49:$B$56,$B14,'9.Инвестиционна програма'!J$49:J$56)*$E$6</f>
        <v>0</v>
      </c>
      <c r="W14" s="881">
        <f>SUMIF('9.Инвестиционна програма'!$B$49:$B$56,$B14,'9.Инвестиционна програма'!K$49:K$56)*$E$6</f>
        <v>0</v>
      </c>
      <c r="X14" s="881">
        <f>SUMIF('9.Инвестиционна програма'!$B$49:$B$56,$B14,'9.Инвестиционна програма'!L$49:L$56)*$E$6</f>
        <v>0</v>
      </c>
      <c r="Y14" s="2690">
        <f>SUMIF('9.Инвестиционна програма'!$B$49:$B$56,$B14,'9.Инвестиционна програма'!M$49:M$56)*$E$6</f>
        <v>0</v>
      </c>
      <c r="Z14" s="1087">
        <f>'11.2. ДА за периода'!Z14</f>
        <v>0</v>
      </c>
      <c r="AA14" s="881">
        <f>SUMIF('9.Инвестиционна програма'!$B$74:$B$97,$B14,'9.Инвестиционна програма'!H$74:H$97)*$E$6</f>
        <v>0</v>
      </c>
      <c r="AB14" s="881">
        <f>SUMIF('9.Инвестиционна програма'!$B$74:$B$97,$B14,'9.Инвестиционна програма'!I$74:I$97)*$E$6</f>
        <v>0</v>
      </c>
      <c r="AC14" s="881">
        <f>SUMIF('9.Инвестиционна програма'!$B$74:$B$97,$B14,'9.Инвестиционна програма'!J$74:J$97)*$E$6</f>
        <v>0</v>
      </c>
      <c r="AD14" s="881">
        <f>SUMIF('9.Инвестиционна програма'!$B$74:$B$97,$B14,'9.Инвестиционна програма'!K$74:K$97)*$E$6</f>
        <v>0</v>
      </c>
      <c r="AE14" s="881">
        <f>SUMIF('9.Инвестиционна програма'!$B$74:$B$97,$B14,'9.Инвестиционна програма'!L$74:L$97)*$E$6</f>
        <v>0</v>
      </c>
      <c r="AF14" s="881">
        <f>SUMIF('9.Инвестиционна програма'!$B$74:$B$97,$B14,'9.Инвестиционна програма'!M$74:M$97)*$E$6</f>
        <v>0</v>
      </c>
      <c r="AG14" s="1087">
        <f>'11.2. ДА за периода'!AG14</f>
        <v>0</v>
      </c>
      <c r="AH14" s="881">
        <f>SUMIF('9.Инвестиционна програма'!$B$100:$B$123,$B14,'9.Инвестиционна програма'!H$100:H$123)*$E$6</f>
        <v>0</v>
      </c>
      <c r="AI14" s="881">
        <f>SUMIF('9.Инвестиционна програма'!$B$100:$B$123,$B14,'9.Инвестиционна програма'!I$100:I$123)*$E$6</f>
        <v>0</v>
      </c>
      <c r="AJ14" s="881">
        <f>SUMIF('9.Инвестиционна програма'!$B$100:$B$123,$B14,'9.Инвестиционна програма'!J$100:J$123)*$E$6</f>
        <v>0</v>
      </c>
      <c r="AK14" s="881">
        <f>SUMIF('9.Инвестиционна програма'!$B$100:$B$123,$B14,'9.Инвестиционна програма'!K$100:K$123)*$E$6</f>
        <v>0</v>
      </c>
      <c r="AL14" s="881">
        <f>SUMIF('9.Инвестиционна програма'!$B$100:$B$123,$B14,'9.Инвестиционна програма'!L$100:L$123)*$E$6</f>
        <v>0</v>
      </c>
      <c r="AM14" s="881">
        <f>SUMIF('9.Инвестиционна програма'!$B$100:$B$123,$B14,'9.Инвестиционна програма'!M$100:M$123)*$E$6</f>
        <v>0</v>
      </c>
      <c r="AN14" s="1087">
        <f>'11.2. ДА за периода'!AN14</f>
        <v>0</v>
      </c>
      <c r="AO14" s="1206">
        <f>(SUMIF('9.Инвестиционна програма'!$B$58:$B$59,$B14,'9.Инвестиционна програма'!H$58:H$59)+SUMIF('9.Инвестиционна програма'!$B$61:$B$71,$B14,'9.Инвестиционна програма'!H$61:H$71))*$E$6</f>
        <v>0</v>
      </c>
      <c r="AP14" s="881">
        <f>(SUMIF('9.Инвестиционна програма'!$B$58:$B$59,$B14,'9.Инвестиционна програма'!I$58:I$59)+SUMIF('9.Инвестиционна програма'!$B$61:$B$71,$B14,'9.Инвестиционна програма'!I$61:I$71))*$E$6</f>
        <v>0</v>
      </c>
      <c r="AQ14" s="881">
        <f>(SUMIF('9.Инвестиционна програма'!$B$58:$B$59,$B14,'9.Инвестиционна програма'!J$58:J$59)+SUMIF('9.Инвестиционна програма'!$B$61:$B$71,$B14,'9.Инвестиционна програма'!J$61:J$71))*$E$6</f>
        <v>0</v>
      </c>
      <c r="AR14" s="881">
        <f>(SUMIF('9.Инвестиционна програма'!$B$58:$B$59,$B14,'9.Инвестиционна програма'!K$58:K$59)+SUMIF('9.Инвестиционна програма'!$B$61:$B$71,$B14,'9.Инвестиционна програма'!K$61:K$71))*$E$6</f>
        <v>0</v>
      </c>
      <c r="AS14" s="881">
        <f>(SUMIF('9.Инвестиционна програма'!$B$58:$B$59,$B14,'9.Инвестиционна програма'!L$58:L$59)+SUMIF('9.Инвестиционна програма'!$B$61:$B$71,$B14,'9.Инвестиционна програма'!L$61:L$71))*$E$6</f>
        <v>0</v>
      </c>
      <c r="AT14" s="2690">
        <f>(SUMIF('9.Инвестиционна програма'!$B$58:$B$59,$B14,'9.Инвестиционна програма'!M$58:M$59)+SUMIF('9.Инвестиционна програма'!$B$61:$B$71,$B14,'9.Инвестиционна програма'!M$61:M$71))*$E$6</f>
        <v>0</v>
      </c>
      <c r="AU14" s="4422"/>
      <c r="AV14" s="4438">
        <f t="shared" si="47"/>
        <v>0</v>
      </c>
      <c r="AW14" s="4438">
        <f t="shared" si="48"/>
        <v>0</v>
      </c>
      <c r="AX14" s="4438">
        <f t="shared" si="49"/>
        <v>0</v>
      </c>
      <c r="AY14" s="4438">
        <f t="shared" si="50"/>
        <v>0</v>
      </c>
      <c r="AZ14" s="4438">
        <f t="shared" si="51"/>
        <v>0</v>
      </c>
      <c r="BA14" s="4438">
        <f t="shared" si="52"/>
        <v>0</v>
      </c>
      <c r="BB14" s="4438">
        <f t="shared" si="53"/>
        <v>0</v>
      </c>
      <c r="BC14" s="4438">
        <f t="shared" si="54"/>
        <v>0</v>
      </c>
      <c r="BD14" s="4438">
        <f t="shared" si="55"/>
        <v>0</v>
      </c>
      <c r="BE14" s="4438">
        <f t="shared" si="56"/>
        <v>0</v>
      </c>
      <c r="BF14" s="4438">
        <f t="shared" si="57"/>
        <v>0</v>
      </c>
      <c r="BG14" s="4438">
        <f t="shared" si="58"/>
        <v>0</v>
      </c>
      <c r="BH14" s="4438">
        <f t="shared" si="59"/>
        <v>0</v>
      </c>
      <c r="BI14" s="4438">
        <f t="shared" si="60"/>
        <v>0</v>
      </c>
      <c r="BJ14" s="4438">
        <f t="shared" si="61"/>
        <v>0</v>
      </c>
      <c r="BK14" s="4438">
        <f t="shared" si="62"/>
        <v>0</v>
      </c>
      <c r="BL14" s="4438">
        <f t="shared" si="63"/>
        <v>0</v>
      </c>
      <c r="BM14" s="4438">
        <f t="shared" si="64"/>
        <v>0</v>
      </c>
      <c r="BN14" s="4438">
        <f t="shared" si="65"/>
        <v>0</v>
      </c>
      <c r="BO14" s="4438">
        <f t="shared" si="66"/>
        <v>0</v>
      </c>
      <c r="BP14" s="4438">
        <f t="shared" si="67"/>
        <v>0</v>
      </c>
      <c r="BQ14" s="4438">
        <f t="shared" si="68"/>
        <v>0</v>
      </c>
      <c r="BR14" s="4438">
        <f t="shared" si="69"/>
        <v>0</v>
      </c>
      <c r="BS14" s="4438">
        <f t="shared" si="70"/>
        <v>0</v>
      </c>
      <c r="BT14" s="4438">
        <f t="shared" si="71"/>
        <v>0</v>
      </c>
      <c r="BU14" s="4438">
        <f t="shared" si="72"/>
        <v>0</v>
      </c>
      <c r="BV14" s="4438">
        <f t="shared" si="73"/>
        <v>0</v>
      </c>
      <c r="BW14" s="4438">
        <f t="shared" si="74"/>
        <v>0</v>
      </c>
      <c r="BX14" s="4438">
        <f t="shared" si="75"/>
        <v>0</v>
      </c>
      <c r="BY14" s="4438">
        <f t="shared" si="76"/>
        <v>0</v>
      </c>
      <c r="BZ14" s="4438">
        <f t="shared" si="77"/>
        <v>0</v>
      </c>
      <c r="CA14" s="4438">
        <f t="shared" si="78"/>
        <v>0</v>
      </c>
      <c r="CB14" s="4438">
        <f t="shared" si="79"/>
        <v>0</v>
      </c>
      <c r="CC14" s="4438">
        <f t="shared" si="80"/>
        <v>0</v>
      </c>
      <c r="CD14" s="4438">
        <f t="shared" si="81"/>
        <v>0</v>
      </c>
      <c r="CE14" s="4438">
        <f t="shared" si="82"/>
        <v>0</v>
      </c>
      <c r="CF14" s="4438">
        <f t="shared" si="83"/>
        <v>0</v>
      </c>
      <c r="CG14" s="4438">
        <f t="shared" si="84"/>
        <v>0</v>
      </c>
      <c r="CH14" s="4438">
        <f t="shared" si="85"/>
        <v>0</v>
      </c>
      <c r="CI14" s="4438">
        <f t="shared" si="86"/>
        <v>0</v>
      </c>
      <c r="CJ14" s="4438">
        <f t="shared" si="87"/>
        <v>0</v>
      </c>
      <c r="CK14" s="4438">
        <f t="shared" si="88"/>
        <v>0</v>
      </c>
    </row>
    <row r="15" spans="1:89" s="30" customFormat="1">
      <c r="A15" s="2694">
        <v>2</v>
      </c>
      <c r="B15" s="3562">
        <v>202</v>
      </c>
      <c r="C15" s="3545">
        <v>0.03</v>
      </c>
      <c r="D15" s="2695" t="s">
        <v>404</v>
      </c>
      <c r="E15" s="2696">
        <f>SUM(E16:E17)</f>
        <v>7</v>
      </c>
      <c r="F15" s="2697">
        <f>SUM(F16:F17)</f>
        <v>20</v>
      </c>
      <c r="G15" s="2698">
        <f t="shared" ref="G15:AT15" si="89">SUM(G16:G17)</f>
        <v>0</v>
      </c>
      <c r="H15" s="2698">
        <f t="shared" si="89"/>
        <v>0</v>
      </c>
      <c r="I15" s="2698">
        <f t="shared" si="89"/>
        <v>0</v>
      </c>
      <c r="J15" s="2698">
        <f t="shared" si="89"/>
        <v>0</v>
      </c>
      <c r="K15" s="2699">
        <f t="shared" si="89"/>
        <v>0</v>
      </c>
      <c r="L15" s="2696">
        <f t="shared" si="89"/>
        <v>0</v>
      </c>
      <c r="M15" s="2697">
        <f t="shared" si="89"/>
        <v>0</v>
      </c>
      <c r="N15" s="2698">
        <f t="shared" si="89"/>
        <v>0</v>
      </c>
      <c r="O15" s="2698">
        <f t="shared" si="89"/>
        <v>0</v>
      </c>
      <c r="P15" s="2698">
        <f t="shared" si="89"/>
        <v>0</v>
      </c>
      <c r="Q15" s="2698">
        <f t="shared" si="89"/>
        <v>0</v>
      </c>
      <c r="R15" s="2699">
        <f t="shared" si="89"/>
        <v>0</v>
      </c>
      <c r="S15" s="2694">
        <f t="shared" si="89"/>
        <v>0</v>
      </c>
      <c r="T15" s="2700">
        <f t="shared" si="89"/>
        <v>0</v>
      </c>
      <c r="U15" s="2698">
        <f t="shared" si="89"/>
        <v>0</v>
      </c>
      <c r="V15" s="2698">
        <f t="shared" si="89"/>
        <v>0</v>
      </c>
      <c r="W15" s="2698">
        <f t="shared" si="89"/>
        <v>0</v>
      </c>
      <c r="X15" s="2698">
        <f t="shared" si="89"/>
        <v>0</v>
      </c>
      <c r="Y15" s="2699">
        <f t="shared" si="89"/>
        <v>0</v>
      </c>
      <c r="Z15" s="2694">
        <f t="shared" si="89"/>
        <v>0</v>
      </c>
      <c r="AA15" s="2700">
        <f t="shared" si="89"/>
        <v>0</v>
      </c>
      <c r="AB15" s="2698">
        <f t="shared" si="89"/>
        <v>0</v>
      </c>
      <c r="AC15" s="2698">
        <f t="shared" si="89"/>
        <v>0</v>
      </c>
      <c r="AD15" s="2698">
        <f t="shared" si="89"/>
        <v>0</v>
      </c>
      <c r="AE15" s="2698">
        <f t="shared" si="89"/>
        <v>0</v>
      </c>
      <c r="AF15" s="2699">
        <f t="shared" si="89"/>
        <v>0</v>
      </c>
      <c r="AG15" s="2694">
        <f t="shared" si="89"/>
        <v>0</v>
      </c>
      <c r="AH15" s="2700">
        <f t="shared" si="89"/>
        <v>0</v>
      </c>
      <c r="AI15" s="2698">
        <f t="shared" si="89"/>
        <v>0</v>
      </c>
      <c r="AJ15" s="2698">
        <f t="shared" si="89"/>
        <v>0</v>
      </c>
      <c r="AK15" s="2698">
        <f t="shared" si="89"/>
        <v>0</v>
      </c>
      <c r="AL15" s="2698">
        <f t="shared" si="89"/>
        <v>0</v>
      </c>
      <c r="AM15" s="2699">
        <f t="shared" si="89"/>
        <v>0</v>
      </c>
      <c r="AN15" s="2694">
        <f t="shared" si="89"/>
        <v>0</v>
      </c>
      <c r="AO15" s="2700">
        <f t="shared" si="89"/>
        <v>50</v>
      </c>
      <c r="AP15" s="2698">
        <f t="shared" si="89"/>
        <v>0</v>
      </c>
      <c r="AQ15" s="2698">
        <f t="shared" si="89"/>
        <v>0</v>
      </c>
      <c r="AR15" s="2698">
        <f t="shared" si="89"/>
        <v>0</v>
      </c>
      <c r="AS15" s="2698">
        <f t="shared" si="89"/>
        <v>0</v>
      </c>
      <c r="AT15" s="2699">
        <f t="shared" si="89"/>
        <v>0</v>
      </c>
      <c r="AU15" s="4422"/>
      <c r="AV15" s="4438">
        <f t="shared" si="47"/>
        <v>3.5790431683735293</v>
      </c>
      <c r="AW15" s="4438">
        <f t="shared" si="48"/>
        <v>10.22583762392437</v>
      </c>
      <c r="AX15" s="4438">
        <f t="shared" si="49"/>
        <v>0</v>
      </c>
      <c r="AY15" s="4438">
        <f t="shared" si="50"/>
        <v>0</v>
      </c>
      <c r="AZ15" s="4438">
        <f t="shared" si="51"/>
        <v>0</v>
      </c>
      <c r="BA15" s="4438">
        <f t="shared" si="52"/>
        <v>0</v>
      </c>
      <c r="BB15" s="4438">
        <f t="shared" si="53"/>
        <v>0</v>
      </c>
      <c r="BC15" s="4438">
        <f t="shared" si="54"/>
        <v>0</v>
      </c>
      <c r="BD15" s="4438">
        <f t="shared" si="55"/>
        <v>0</v>
      </c>
      <c r="BE15" s="4438">
        <f t="shared" si="56"/>
        <v>0</v>
      </c>
      <c r="BF15" s="4438">
        <f t="shared" si="57"/>
        <v>0</v>
      </c>
      <c r="BG15" s="4438">
        <f t="shared" si="58"/>
        <v>0</v>
      </c>
      <c r="BH15" s="4438">
        <f t="shared" si="59"/>
        <v>0</v>
      </c>
      <c r="BI15" s="4438">
        <f t="shared" si="60"/>
        <v>0</v>
      </c>
      <c r="BJ15" s="4438">
        <f t="shared" si="61"/>
        <v>0</v>
      </c>
      <c r="BK15" s="4438">
        <f t="shared" si="62"/>
        <v>0</v>
      </c>
      <c r="BL15" s="4438">
        <f t="shared" si="63"/>
        <v>0</v>
      </c>
      <c r="BM15" s="4438">
        <f t="shared" si="64"/>
        <v>0</v>
      </c>
      <c r="BN15" s="4438">
        <f t="shared" si="65"/>
        <v>0</v>
      </c>
      <c r="BO15" s="4438">
        <f t="shared" si="66"/>
        <v>0</v>
      </c>
      <c r="BP15" s="4438">
        <f t="shared" si="67"/>
        <v>0</v>
      </c>
      <c r="BQ15" s="4438">
        <f t="shared" si="68"/>
        <v>0</v>
      </c>
      <c r="BR15" s="4438">
        <f t="shared" si="69"/>
        <v>0</v>
      </c>
      <c r="BS15" s="4438">
        <f t="shared" si="70"/>
        <v>0</v>
      </c>
      <c r="BT15" s="4438">
        <f t="shared" si="71"/>
        <v>0</v>
      </c>
      <c r="BU15" s="4438">
        <f t="shared" si="72"/>
        <v>0</v>
      </c>
      <c r="BV15" s="4438">
        <f t="shared" si="73"/>
        <v>0</v>
      </c>
      <c r="BW15" s="4438">
        <f t="shared" si="74"/>
        <v>0</v>
      </c>
      <c r="BX15" s="4438">
        <f t="shared" si="75"/>
        <v>0</v>
      </c>
      <c r="BY15" s="4438">
        <f t="shared" si="76"/>
        <v>0</v>
      </c>
      <c r="BZ15" s="4438">
        <f t="shared" si="77"/>
        <v>0</v>
      </c>
      <c r="CA15" s="4438">
        <f t="shared" si="78"/>
        <v>0</v>
      </c>
      <c r="CB15" s="4438">
        <f t="shared" si="79"/>
        <v>0</v>
      </c>
      <c r="CC15" s="4438">
        <f t="shared" si="80"/>
        <v>0</v>
      </c>
      <c r="CD15" s="4438">
        <f t="shared" si="81"/>
        <v>0</v>
      </c>
      <c r="CE15" s="4438">
        <f t="shared" si="82"/>
        <v>0</v>
      </c>
      <c r="CF15" s="4438">
        <f t="shared" si="83"/>
        <v>25.564594059810926</v>
      </c>
      <c r="CG15" s="4438">
        <f t="shared" si="84"/>
        <v>0</v>
      </c>
      <c r="CH15" s="4438">
        <f t="shared" si="85"/>
        <v>0</v>
      </c>
      <c r="CI15" s="4438">
        <f t="shared" si="86"/>
        <v>0</v>
      </c>
      <c r="CJ15" s="4438">
        <f t="shared" si="87"/>
        <v>0</v>
      </c>
      <c r="CK15" s="4438">
        <f t="shared" si="88"/>
        <v>0</v>
      </c>
    </row>
    <row r="16" spans="1:89">
      <c r="A16" s="2701"/>
      <c r="B16" s="3563">
        <v>20201</v>
      </c>
      <c r="C16" s="3546">
        <v>0.03</v>
      </c>
      <c r="D16" s="2702" t="s">
        <v>425</v>
      </c>
      <c r="E16" s="2689">
        <f>'11.2. ДА за периода'!E16</f>
        <v>0</v>
      </c>
      <c r="F16" s="1202">
        <f>SUMIF('9.Инвестиционна програма'!$B$12:$B$35,$B16,'9.Инвестиционна програма'!H$12:H$35)*$E$6</f>
        <v>0</v>
      </c>
      <c r="G16" s="1198">
        <f>SUMIF('9.Инвестиционна програма'!$B$12:$B$35,$B16,'9.Инвестиционна програма'!I$12:I$35)*$E$6</f>
        <v>0</v>
      </c>
      <c r="H16" s="1198">
        <f>SUMIF('9.Инвестиционна програма'!$B$12:$B$35,$B16,'9.Инвестиционна програма'!J$12:J$35)*$E$6</f>
        <v>0</v>
      </c>
      <c r="I16" s="1198">
        <f>SUMIF('9.Инвестиционна програма'!$B$12:$B$35,$B16,'9.Инвестиционна програма'!K$12:K$35)*$E$6</f>
        <v>0</v>
      </c>
      <c r="J16" s="1198">
        <f>SUMIF('9.Инвестиционна програма'!$B$12:$B$35,$B16,'9.Инвестиционна програма'!L$12:L$35)*$E$6</f>
        <v>0</v>
      </c>
      <c r="K16" s="1203">
        <f>SUMIF('9.Инвестиционна програма'!$B$12:$B$35,$B16,'9.Инвестиционна програма'!M$12:M$35)*$E$6</f>
        <v>0</v>
      </c>
      <c r="L16" s="2689">
        <f>'11.2. ДА за периода'!L16</f>
        <v>0</v>
      </c>
      <c r="M16" s="1206">
        <f>SUMIF('9.Инвестиционна програма'!$B$37:$B$47,$B16,'9.Инвестиционна програма'!H$37:H$47)*$E$6</f>
        <v>0</v>
      </c>
      <c r="N16" s="1200">
        <f>SUMIF('9.Инвестиционна програма'!$B$37:$B$47,$B16,'9.Инвестиционна програма'!I$37:I$47)*$E$6</f>
        <v>0</v>
      </c>
      <c r="O16" s="1200">
        <f>SUMIF('9.Инвестиционна програма'!$B$37:$B$47,$B16,'9.Инвестиционна програма'!J$37:J$47)*$E$6</f>
        <v>0</v>
      </c>
      <c r="P16" s="1200">
        <f>SUMIF('9.Инвестиционна програма'!$B$37:$B$47,$B16,'9.Инвестиционна програма'!K$37:K$47)*$E$6</f>
        <v>0</v>
      </c>
      <c r="Q16" s="1200">
        <f>SUMIF('9.Инвестиционна програма'!$B$37:$B$47,$B16,'9.Инвестиционна програма'!L$37:L$47)*$E$6</f>
        <v>0</v>
      </c>
      <c r="R16" s="1201">
        <f>SUMIF('9.Инвестиционна програма'!$B$37:$B$47,$B16,'9.Инвестиционна програма'!M$37:M$47)*$E$6</f>
        <v>0</v>
      </c>
      <c r="S16" s="1087">
        <f>'11.2. ДА за периода'!S16</f>
        <v>0</v>
      </c>
      <c r="T16" s="881">
        <f>SUMIF('9.Инвестиционна програма'!$B$49:$B$56,$B16,'9.Инвестиционна програма'!H$49:H$56)*$E$6</f>
        <v>0</v>
      </c>
      <c r="U16" s="881">
        <f>SUMIF('9.Инвестиционна програма'!$B$49:$B$56,$B16,'9.Инвестиционна програма'!I$49:I$56)*$E$6</f>
        <v>0</v>
      </c>
      <c r="V16" s="881">
        <f>SUMIF('9.Инвестиционна програма'!$B$49:$B$56,$B16,'9.Инвестиционна програма'!J$49:J$56)*$E$6</f>
        <v>0</v>
      </c>
      <c r="W16" s="881">
        <f>SUMIF('9.Инвестиционна програма'!$B$49:$B$56,$B16,'9.Инвестиционна програма'!K$49:K$56)*$E$6</f>
        <v>0</v>
      </c>
      <c r="X16" s="881">
        <f>SUMIF('9.Инвестиционна програма'!$B$49:$B$56,$B16,'9.Инвестиционна програма'!L$49:L$56)*$E$6</f>
        <v>0</v>
      </c>
      <c r="Y16" s="2690">
        <f>SUMIF('9.Инвестиционна програма'!$B$49:$B$56,$B16,'9.Инвестиционна програма'!M$49:M$56)*$E$6</f>
        <v>0</v>
      </c>
      <c r="Z16" s="1087">
        <f>'11.2. ДА за периода'!Z16</f>
        <v>0</v>
      </c>
      <c r="AA16" s="881">
        <f>SUMIF('9.Инвестиционна програма'!$B$74:$B$97,$B16,'9.Инвестиционна програма'!H$74:H$97)*$E$6</f>
        <v>0</v>
      </c>
      <c r="AB16" s="881">
        <f>SUMIF('9.Инвестиционна програма'!$B$74:$B$97,$B16,'9.Инвестиционна програма'!I$74:I$97)*$E$6</f>
        <v>0</v>
      </c>
      <c r="AC16" s="881">
        <f>SUMIF('9.Инвестиционна програма'!$B$74:$B$97,$B16,'9.Инвестиционна програма'!J$74:J$97)*$E$6</f>
        <v>0</v>
      </c>
      <c r="AD16" s="881">
        <f>SUMIF('9.Инвестиционна програма'!$B$74:$B$97,$B16,'9.Инвестиционна програма'!K$74:K$97)*$E$6</f>
        <v>0</v>
      </c>
      <c r="AE16" s="881">
        <f>SUMIF('9.Инвестиционна програма'!$B$74:$B$97,$B16,'9.Инвестиционна програма'!L$74:L$97)*$E$6</f>
        <v>0</v>
      </c>
      <c r="AF16" s="881">
        <f>SUMIF('9.Инвестиционна програма'!$B$74:$B$97,$B16,'9.Инвестиционна програма'!M$74:M$97)*$E$6</f>
        <v>0</v>
      </c>
      <c r="AG16" s="1087">
        <f>'11.2. ДА за периода'!AG16</f>
        <v>0</v>
      </c>
      <c r="AH16" s="881">
        <f>SUMIF('9.Инвестиционна програма'!$B$100:$B$123,$B16,'9.Инвестиционна програма'!H$100:H$123)*$E$6</f>
        <v>0</v>
      </c>
      <c r="AI16" s="881">
        <f>SUMIF('9.Инвестиционна програма'!$B$100:$B$123,$B16,'9.Инвестиционна програма'!I$100:I$123)*$E$6</f>
        <v>0</v>
      </c>
      <c r="AJ16" s="881">
        <f>SUMIF('9.Инвестиционна програма'!$B$100:$B$123,$B16,'9.Инвестиционна програма'!J$100:J$123)*$E$6</f>
        <v>0</v>
      </c>
      <c r="AK16" s="881">
        <f>SUMIF('9.Инвестиционна програма'!$B$100:$B$123,$B16,'9.Инвестиционна програма'!K$100:K$123)*$E$6</f>
        <v>0</v>
      </c>
      <c r="AL16" s="881">
        <f>SUMIF('9.Инвестиционна програма'!$B$100:$B$123,$B16,'9.Инвестиционна програма'!L$100:L$123)*$E$6</f>
        <v>0</v>
      </c>
      <c r="AM16" s="881">
        <f>SUMIF('9.Инвестиционна програма'!$B$100:$B$123,$B16,'9.Инвестиционна програма'!M$100:M$123)*$E$6</f>
        <v>0</v>
      </c>
      <c r="AN16" s="1087">
        <f>'11.2. ДА за периода'!AN16</f>
        <v>0</v>
      </c>
      <c r="AO16" s="1206">
        <f>(SUMIF('9.Инвестиционна програма'!$B$58:$B$59,$B16,'9.Инвестиционна програма'!H$58:H$59)+SUMIF('9.Инвестиционна програма'!$B$61:$B$71,$B16,'9.Инвестиционна програма'!H$61:H$71))*$E$6</f>
        <v>50</v>
      </c>
      <c r="AP16" s="881">
        <f>(SUMIF('9.Инвестиционна програма'!$B$58:$B$59,$B16,'9.Инвестиционна програма'!I$58:I$59)+SUMIF('9.Инвестиционна програма'!$B$61:$B$71,$B16,'9.Инвестиционна програма'!I$61:I$71))*$E$6</f>
        <v>0</v>
      </c>
      <c r="AQ16" s="881">
        <f>(SUMIF('9.Инвестиционна програма'!$B$58:$B$59,$B16,'9.Инвестиционна програма'!J$58:J$59)+SUMIF('9.Инвестиционна програма'!$B$61:$B$71,$B16,'9.Инвестиционна програма'!J$61:J$71))*$E$6</f>
        <v>0</v>
      </c>
      <c r="AR16" s="881">
        <f>(SUMIF('9.Инвестиционна програма'!$B$58:$B$59,$B16,'9.Инвестиционна програма'!K$58:K$59)+SUMIF('9.Инвестиционна програма'!$B$61:$B$71,$B16,'9.Инвестиционна програма'!K$61:K$71))*$E$6</f>
        <v>0</v>
      </c>
      <c r="AS16" s="881">
        <f>(SUMIF('9.Инвестиционна програма'!$B$58:$B$59,$B16,'9.Инвестиционна програма'!L$58:L$59)+SUMIF('9.Инвестиционна програма'!$B$61:$B$71,$B16,'9.Инвестиционна програма'!L$61:L$71))*$E$6</f>
        <v>0</v>
      </c>
      <c r="AT16" s="2690">
        <f>(SUMIF('9.Инвестиционна програма'!$B$58:$B$59,$B16,'9.Инвестиционна програма'!M$58:M$59)+SUMIF('9.Инвестиционна програма'!$B$61:$B$71,$B16,'9.Инвестиционна програма'!M$61:M$71))*$E$6</f>
        <v>0</v>
      </c>
      <c r="AU16" s="4422"/>
      <c r="AV16" s="4438">
        <f t="shared" si="47"/>
        <v>0</v>
      </c>
      <c r="AW16" s="4438">
        <f t="shared" si="48"/>
        <v>0</v>
      </c>
      <c r="AX16" s="4438">
        <f t="shared" si="49"/>
        <v>0</v>
      </c>
      <c r="AY16" s="4438">
        <f t="shared" si="50"/>
        <v>0</v>
      </c>
      <c r="AZ16" s="4438">
        <f t="shared" si="51"/>
        <v>0</v>
      </c>
      <c r="BA16" s="4438">
        <f t="shared" si="52"/>
        <v>0</v>
      </c>
      <c r="BB16" s="4438">
        <f t="shared" si="53"/>
        <v>0</v>
      </c>
      <c r="BC16" s="4438">
        <f t="shared" si="54"/>
        <v>0</v>
      </c>
      <c r="BD16" s="4438">
        <f t="shared" si="55"/>
        <v>0</v>
      </c>
      <c r="BE16" s="4438">
        <f t="shared" si="56"/>
        <v>0</v>
      </c>
      <c r="BF16" s="4438">
        <f t="shared" si="57"/>
        <v>0</v>
      </c>
      <c r="BG16" s="4438">
        <f t="shared" si="58"/>
        <v>0</v>
      </c>
      <c r="BH16" s="4438">
        <f t="shared" si="59"/>
        <v>0</v>
      </c>
      <c r="BI16" s="4438">
        <f t="shared" si="60"/>
        <v>0</v>
      </c>
      <c r="BJ16" s="4438">
        <f t="shared" si="61"/>
        <v>0</v>
      </c>
      <c r="BK16" s="4438">
        <f t="shared" si="62"/>
        <v>0</v>
      </c>
      <c r="BL16" s="4438">
        <f t="shared" si="63"/>
        <v>0</v>
      </c>
      <c r="BM16" s="4438">
        <f t="shared" si="64"/>
        <v>0</v>
      </c>
      <c r="BN16" s="4438">
        <f t="shared" si="65"/>
        <v>0</v>
      </c>
      <c r="BO16" s="4438">
        <f t="shared" si="66"/>
        <v>0</v>
      </c>
      <c r="BP16" s="4438">
        <f t="shared" si="67"/>
        <v>0</v>
      </c>
      <c r="BQ16" s="4438">
        <f t="shared" si="68"/>
        <v>0</v>
      </c>
      <c r="BR16" s="4438">
        <f t="shared" si="69"/>
        <v>0</v>
      </c>
      <c r="BS16" s="4438">
        <f t="shared" si="70"/>
        <v>0</v>
      </c>
      <c r="BT16" s="4438">
        <f t="shared" si="71"/>
        <v>0</v>
      </c>
      <c r="BU16" s="4438">
        <f t="shared" si="72"/>
        <v>0</v>
      </c>
      <c r="BV16" s="4438">
        <f t="shared" si="73"/>
        <v>0</v>
      </c>
      <c r="BW16" s="4438">
        <f t="shared" si="74"/>
        <v>0</v>
      </c>
      <c r="BX16" s="4438">
        <f t="shared" si="75"/>
        <v>0</v>
      </c>
      <c r="BY16" s="4438">
        <f t="shared" si="76"/>
        <v>0</v>
      </c>
      <c r="BZ16" s="4438">
        <f t="shared" si="77"/>
        <v>0</v>
      </c>
      <c r="CA16" s="4438">
        <f t="shared" si="78"/>
        <v>0</v>
      </c>
      <c r="CB16" s="4438">
        <f t="shared" si="79"/>
        <v>0</v>
      </c>
      <c r="CC16" s="4438">
        <f t="shared" si="80"/>
        <v>0</v>
      </c>
      <c r="CD16" s="4438">
        <f t="shared" si="81"/>
        <v>0</v>
      </c>
      <c r="CE16" s="4438">
        <f t="shared" si="82"/>
        <v>0</v>
      </c>
      <c r="CF16" s="4438">
        <f t="shared" si="83"/>
        <v>25.564594059810926</v>
      </c>
      <c r="CG16" s="4438">
        <f t="shared" si="84"/>
        <v>0</v>
      </c>
      <c r="CH16" s="4438">
        <f t="shared" si="85"/>
        <v>0</v>
      </c>
      <c r="CI16" s="4438">
        <f t="shared" si="86"/>
        <v>0</v>
      </c>
      <c r="CJ16" s="4438">
        <f t="shared" si="87"/>
        <v>0</v>
      </c>
      <c r="CK16" s="4438">
        <f t="shared" si="88"/>
        <v>0</v>
      </c>
    </row>
    <row r="17" spans="1:89">
      <c r="A17" s="2701"/>
      <c r="B17" s="3563">
        <v>20202</v>
      </c>
      <c r="C17" s="3546">
        <v>0.03</v>
      </c>
      <c r="D17" s="2702" t="s">
        <v>426</v>
      </c>
      <c r="E17" s="2689">
        <f>'11.2. ДА за периода'!E17</f>
        <v>7</v>
      </c>
      <c r="F17" s="1202">
        <f>SUMIF('9.Инвестиционна програма'!$B$12:$B$35,$B17,'9.Инвестиционна програма'!H$12:H$35)*$E$6</f>
        <v>20</v>
      </c>
      <c r="G17" s="1198">
        <f>SUMIF('9.Инвестиционна програма'!$B$12:$B$35,$B17,'9.Инвестиционна програма'!I$12:I$35)*$E$6</f>
        <v>0</v>
      </c>
      <c r="H17" s="1198">
        <f>SUMIF('9.Инвестиционна програма'!$B$12:$B$35,$B17,'9.Инвестиционна програма'!J$12:J$35)*$E$6</f>
        <v>0</v>
      </c>
      <c r="I17" s="1198">
        <f>SUMIF('9.Инвестиционна програма'!$B$12:$B$35,$B17,'9.Инвестиционна програма'!K$12:K$35)*$E$6</f>
        <v>0</v>
      </c>
      <c r="J17" s="1198">
        <f>SUMIF('9.Инвестиционна програма'!$B$12:$B$35,$B17,'9.Инвестиционна програма'!L$12:L$35)*$E$6</f>
        <v>0</v>
      </c>
      <c r="K17" s="1203">
        <f>SUMIF('9.Инвестиционна програма'!$B$12:$B$35,$B17,'9.Инвестиционна програма'!M$12:M$35)*$E$6</f>
        <v>0</v>
      </c>
      <c r="L17" s="2689">
        <f>'11.2. ДА за периода'!L17</f>
        <v>0</v>
      </c>
      <c r="M17" s="1206">
        <f>SUMIF('9.Инвестиционна програма'!$B$37:$B$47,$B17,'9.Инвестиционна програма'!H$37:H$47)*$E$6</f>
        <v>0</v>
      </c>
      <c r="N17" s="1200">
        <f>SUMIF('9.Инвестиционна програма'!$B$37:$B$47,$B17,'9.Инвестиционна програма'!I$37:I$47)*$E$6</f>
        <v>0</v>
      </c>
      <c r="O17" s="1200">
        <f>SUMIF('9.Инвестиционна програма'!$B$37:$B$47,$B17,'9.Инвестиционна програма'!J$37:J$47)*$E$6</f>
        <v>0</v>
      </c>
      <c r="P17" s="1200">
        <f>SUMIF('9.Инвестиционна програма'!$B$37:$B$47,$B17,'9.Инвестиционна програма'!K$37:K$47)*$E$6</f>
        <v>0</v>
      </c>
      <c r="Q17" s="1200">
        <f>SUMIF('9.Инвестиционна програма'!$B$37:$B$47,$B17,'9.Инвестиционна програма'!L$37:L$47)*$E$6</f>
        <v>0</v>
      </c>
      <c r="R17" s="1201">
        <f>SUMIF('9.Инвестиционна програма'!$B$37:$B$47,$B17,'9.Инвестиционна програма'!M$37:M$47)*$E$6</f>
        <v>0</v>
      </c>
      <c r="S17" s="1087">
        <f>'11.2. ДА за периода'!S17</f>
        <v>0</v>
      </c>
      <c r="T17" s="881">
        <f>SUMIF('9.Инвестиционна програма'!$B$49:$B$56,$B17,'9.Инвестиционна програма'!H$49:H$56)*$E$6</f>
        <v>0</v>
      </c>
      <c r="U17" s="881">
        <f>SUMIF('9.Инвестиционна програма'!$B$49:$B$56,$B17,'9.Инвестиционна програма'!I$49:I$56)*$E$6</f>
        <v>0</v>
      </c>
      <c r="V17" s="881">
        <f>SUMIF('9.Инвестиционна програма'!$B$49:$B$56,$B17,'9.Инвестиционна програма'!J$49:J$56)*$E$6</f>
        <v>0</v>
      </c>
      <c r="W17" s="881">
        <f>SUMIF('9.Инвестиционна програма'!$B$49:$B$56,$B17,'9.Инвестиционна програма'!K$49:K$56)*$E$6</f>
        <v>0</v>
      </c>
      <c r="X17" s="881">
        <f>SUMIF('9.Инвестиционна програма'!$B$49:$B$56,$B17,'9.Инвестиционна програма'!L$49:L$56)*$E$6</f>
        <v>0</v>
      </c>
      <c r="Y17" s="2690">
        <f>SUMIF('9.Инвестиционна програма'!$B$49:$B$56,$B17,'9.Инвестиционна програма'!M$49:M$56)*$E$6</f>
        <v>0</v>
      </c>
      <c r="Z17" s="1087">
        <f>'11.2. ДА за периода'!Z17</f>
        <v>0</v>
      </c>
      <c r="AA17" s="881">
        <f>SUMIF('9.Инвестиционна програма'!$B$74:$B$97,$B17,'9.Инвестиционна програма'!H$74:H$97)*$E$6</f>
        <v>0</v>
      </c>
      <c r="AB17" s="881">
        <f>SUMIF('9.Инвестиционна програма'!$B$74:$B$97,$B17,'9.Инвестиционна програма'!I$74:I$97)*$E$6</f>
        <v>0</v>
      </c>
      <c r="AC17" s="881">
        <f>SUMIF('9.Инвестиционна програма'!$B$74:$B$97,$B17,'9.Инвестиционна програма'!J$74:J$97)*$E$6</f>
        <v>0</v>
      </c>
      <c r="AD17" s="881">
        <f>SUMIF('9.Инвестиционна програма'!$B$74:$B$97,$B17,'9.Инвестиционна програма'!K$74:K$97)*$E$6</f>
        <v>0</v>
      </c>
      <c r="AE17" s="881">
        <f>SUMIF('9.Инвестиционна програма'!$B$74:$B$97,$B17,'9.Инвестиционна програма'!L$74:L$97)*$E$6</f>
        <v>0</v>
      </c>
      <c r="AF17" s="881">
        <f>SUMIF('9.Инвестиционна програма'!$B$74:$B$97,$B17,'9.Инвестиционна програма'!M$74:M$97)*$E$6</f>
        <v>0</v>
      </c>
      <c r="AG17" s="1087">
        <f>'11.2. ДА за периода'!AG17</f>
        <v>0</v>
      </c>
      <c r="AH17" s="881">
        <f>SUMIF('9.Инвестиционна програма'!$B$100:$B$123,$B17,'9.Инвестиционна програма'!H$100:H$123)*$E$6</f>
        <v>0</v>
      </c>
      <c r="AI17" s="881">
        <f>SUMIF('9.Инвестиционна програма'!$B$100:$B$123,$B17,'9.Инвестиционна програма'!I$100:I$123)*$E$6</f>
        <v>0</v>
      </c>
      <c r="AJ17" s="881">
        <f>SUMIF('9.Инвестиционна програма'!$B$100:$B$123,$B17,'9.Инвестиционна програма'!J$100:J$123)*$E$6</f>
        <v>0</v>
      </c>
      <c r="AK17" s="881">
        <f>SUMIF('9.Инвестиционна програма'!$B$100:$B$123,$B17,'9.Инвестиционна програма'!K$100:K$123)*$E$6</f>
        <v>0</v>
      </c>
      <c r="AL17" s="881">
        <f>SUMIF('9.Инвестиционна програма'!$B$100:$B$123,$B17,'9.Инвестиционна програма'!L$100:L$123)*$E$6</f>
        <v>0</v>
      </c>
      <c r="AM17" s="881">
        <f>SUMIF('9.Инвестиционна програма'!$B$100:$B$123,$B17,'9.Инвестиционна програма'!M$100:M$123)*$E$6</f>
        <v>0</v>
      </c>
      <c r="AN17" s="1087">
        <f>'11.2. ДА за периода'!AN17</f>
        <v>0</v>
      </c>
      <c r="AO17" s="1206">
        <f>(SUMIF('9.Инвестиционна програма'!$B$58:$B$59,$B17,'9.Инвестиционна програма'!H$58:H$59)+SUMIF('9.Инвестиционна програма'!$B$61:$B$71,$B17,'9.Инвестиционна програма'!H$61:H$71))*$E$6</f>
        <v>0</v>
      </c>
      <c r="AP17" s="881">
        <f>(SUMIF('9.Инвестиционна програма'!$B$58:$B$59,$B17,'9.Инвестиционна програма'!I$58:I$59)+SUMIF('9.Инвестиционна програма'!$B$61:$B$71,$B17,'9.Инвестиционна програма'!I$61:I$71))*$E$6</f>
        <v>0</v>
      </c>
      <c r="AQ17" s="881">
        <f>(SUMIF('9.Инвестиционна програма'!$B$58:$B$59,$B17,'9.Инвестиционна програма'!J$58:J$59)+SUMIF('9.Инвестиционна програма'!$B$61:$B$71,$B17,'9.Инвестиционна програма'!J$61:J$71))*$E$6</f>
        <v>0</v>
      </c>
      <c r="AR17" s="881">
        <f>(SUMIF('9.Инвестиционна програма'!$B$58:$B$59,$B17,'9.Инвестиционна програма'!K$58:K$59)+SUMIF('9.Инвестиционна програма'!$B$61:$B$71,$B17,'9.Инвестиционна програма'!K$61:K$71))*$E$6</f>
        <v>0</v>
      </c>
      <c r="AS17" s="881">
        <f>(SUMIF('9.Инвестиционна програма'!$B$58:$B$59,$B17,'9.Инвестиционна програма'!L$58:L$59)+SUMIF('9.Инвестиционна програма'!$B$61:$B$71,$B17,'9.Инвестиционна програма'!L$61:L$71))*$E$6</f>
        <v>0</v>
      </c>
      <c r="AT17" s="2690">
        <f>(SUMIF('9.Инвестиционна програма'!$B$58:$B$59,$B17,'9.Инвестиционна програма'!M$58:M$59)+SUMIF('9.Инвестиционна програма'!$B$61:$B$71,$B17,'9.Инвестиционна програма'!M$61:M$71))*$E$6</f>
        <v>0</v>
      </c>
      <c r="AU17" s="4422"/>
      <c r="AV17" s="4438">
        <f t="shared" si="47"/>
        <v>3.5790431683735293</v>
      </c>
      <c r="AW17" s="4438">
        <f t="shared" si="48"/>
        <v>10.22583762392437</v>
      </c>
      <c r="AX17" s="4438">
        <f t="shared" si="49"/>
        <v>0</v>
      </c>
      <c r="AY17" s="4438">
        <f t="shared" si="50"/>
        <v>0</v>
      </c>
      <c r="AZ17" s="4438">
        <f t="shared" si="51"/>
        <v>0</v>
      </c>
      <c r="BA17" s="4438">
        <f t="shared" si="52"/>
        <v>0</v>
      </c>
      <c r="BB17" s="4438">
        <f t="shared" si="53"/>
        <v>0</v>
      </c>
      <c r="BC17" s="4438">
        <f t="shared" si="54"/>
        <v>0</v>
      </c>
      <c r="BD17" s="4438">
        <f t="shared" si="55"/>
        <v>0</v>
      </c>
      <c r="BE17" s="4438">
        <f t="shared" si="56"/>
        <v>0</v>
      </c>
      <c r="BF17" s="4438">
        <f t="shared" si="57"/>
        <v>0</v>
      </c>
      <c r="BG17" s="4438">
        <f t="shared" si="58"/>
        <v>0</v>
      </c>
      <c r="BH17" s="4438">
        <f t="shared" si="59"/>
        <v>0</v>
      </c>
      <c r="BI17" s="4438">
        <f t="shared" si="60"/>
        <v>0</v>
      </c>
      <c r="BJ17" s="4438">
        <f t="shared" si="61"/>
        <v>0</v>
      </c>
      <c r="BK17" s="4438">
        <f t="shared" si="62"/>
        <v>0</v>
      </c>
      <c r="BL17" s="4438">
        <f t="shared" si="63"/>
        <v>0</v>
      </c>
      <c r="BM17" s="4438">
        <f t="shared" si="64"/>
        <v>0</v>
      </c>
      <c r="BN17" s="4438">
        <f t="shared" si="65"/>
        <v>0</v>
      </c>
      <c r="BO17" s="4438">
        <f t="shared" si="66"/>
        <v>0</v>
      </c>
      <c r="BP17" s="4438">
        <f t="shared" si="67"/>
        <v>0</v>
      </c>
      <c r="BQ17" s="4438">
        <f t="shared" si="68"/>
        <v>0</v>
      </c>
      <c r="BR17" s="4438">
        <f t="shared" si="69"/>
        <v>0</v>
      </c>
      <c r="BS17" s="4438">
        <f t="shared" si="70"/>
        <v>0</v>
      </c>
      <c r="BT17" s="4438">
        <f t="shared" si="71"/>
        <v>0</v>
      </c>
      <c r="BU17" s="4438">
        <f t="shared" si="72"/>
        <v>0</v>
      </c>
      <c r="BV17" s="4438">
        <f t="shared" si="73"/>
        <v>0</v>
      </c>
      <c r="BW17" s="4438">
        <f t="shared" si="74"/>
        <v>0</v>
      </c>
      <c r="BX17" s="4438">
        <f t="shared" si="75"/>
        <v>0</v>
      </c>
      <c r="BY17" s="4438">
        <f t="shared" si="76"/>
        <v>0</v>
      </c>
      <c r="BZ17" s="4438">
        <f t="shared" si="77"/>
        <v>0</v>
      </c>
      <c r="CA17" s="4438">
        <f t="shared" si="78"/>
        <v>0</v>
      </c>
      <c r="CB17" s="4438">
        <f t="shared" si="79"/>
        <v>0</v>
      </c>
      <c r="CC17" s="4438">
        <f t="shared" si="80"/>
        <v>0</v>
      </c>
      <c r="CD17" s="4438">
        <f t="shared" si="81"/>
        <v>0</v>
      </c>
      <c r="CE17" s="4438">
        <f t="shared" si="82"/>
        <v>0</v>
      </c>
      <c r="CF17" s="4438">
        <f t="shared" si="83"/>
        <v>0</v>
      </c>
      <c r="CG17" s="4438">
        <f t="shared" si="84"/>
        <v>0</v>
      </c>
      <c r="CH17" s="4438">
        <f t="shared" si="85"/>
        <v>0</v>
      </c>
      <c r="CI17" s="4438">
        <f t="shared" si="86"/>
        <v>0</v>
      </c>
      <c r="CJ17" s="4438">
        <f t="shared" si="87"/>
        <v>0</v>
      </c>
      <c r="CK17" s="4438">
        <f t="shared" si="88"/>
        <v>0</v>
      </c>
    </row>
    <row r="18" spans="1:89" s="40" customFormat="1" ht="12.75" customHeight="1">
      <c r="A18" s="2703">
        <v>3</v>
      </c>
      <c r="B18" s="3562">
        <v>203</v>
      </c>
      <c r="C18" s="3545"/>
      <c r="D18" s="2695" t="s">
        <v>405</v>
      </c>
      <c r="E18" s="2696">
        <f t="shared" ref="E18:AT18" si="90">SUM(E19:E29)-E22-E25</f>
        <v>1588</v>
      </c>
      <c r="F18" s="2697">
        <f t="shared" si="90"/>
        <v>729</v>
      </c>
      <c r="G18" s="2698">
        <f t="shared" si="90"/>
        <v>125</v>
      </c>
      <c r="H18" s="2698">
        <f t="shared" si="90"/>
        <v>87</v>
      </c>
      <c r="I18" s="2698">
        <f t="shared" si="90"/>
        <v>189</v>
      </c>
      <c r="J18" s="2698">
        <f t="shared" si="90"/>
        <v>282</v>
      </c>
      <c r="K18" s="2699">
        <f t="shared" si="90"/>
        <v>226</v>
      </c>
      <c r="L18" s="2696">
        <f t="shared" si="90"/>
        <v>78</v>
      </c>
      <c r="M18" s="2697">
        <f t="shared" si="90"/>
        <v>202</v>
      </c>
      <c r="N18" s="2698">
        <f t="shared" si="90"/>
        <v>4</v>
      </c>
      <c r="O18" s="2698">
        <f t="shared" si="90"/>
        <v>0</v>
      </c>
      <c r="P18" s="2698">
        <f t="shared" si="90"/>
        <v>0</v>
      </c>
      <c r="Q18" s="2698">
        <f t="shared" si="90"/>
        <v>0</v>
      </c>
      <c r="R18" s="2699">
        <f t="shared" si="90"/>
        <v>0</v>
      </c>
      <c r="S18" s="2694">
        <f t="shared" si="90"/>
        <v>153</v>
      </c>
      <c r="T18" s="2700">
        <f t="shared" si="90"/>
        <v>31</v>
      </c>
      <c r="U18" s="2698">
        <f t="shared" si="90"/>
        <v>0</v>
      </c>
      <c r="V18" s="2698">
        <f t="shared" si="90"/>
        <v>0</v>
      </c>
      <c r="W18" s="2698">
        <f t="shared" si="90"/>
        <v>0</v>
      </c>
      <c r="X18" s="2698">
        <f t="shared" si="90"/>
        <v>0</v>
      </c>
      <c r="Y18" s="2699">
        <f t="shared" si="90"/>
        <v>0</v>
      </c>
      <c r="Z18" s="2694">
        <f t="shared" ref="Z18:AM18" si="91">SUM(Z19:Z29)-Z22-Z25</f>
        <v>0</v>
      </c>
      <c r="AA18" s="2700">
        <f t="shared" si="91"/>
        <v>0</v>
      </c>
      <c r="AB18" s="2698">
        <f t="shared" si="91"/>
        <v>0</v>
      </c>
      <c r="AC18" s="2698">
        <f t="shared" si="91"/>
        <v>0</v>
      </c>
      <c r="AD18" s="2698">
        <f t="shared" si="91"/>
        <v>0</v>
      </c>
      <c r="AE18" s="2698">
        <f t="shared" si="91"/>
        <v>0</v>
      </c>
      <c r="AF18" s="2699">
        <f t="shared" si="91"/>
        <v>0</v>
      </c>
      <c r="AG18" s="2694">
        <f t="shared" si="91"/>
        <v>0</v>
      </c>
      <c r="AH18" s="2700">
        <f t="shared" si="91"/>
        <v>0</v>
      </c>
      <c r="AI18" s="2698">
        <f t="shared" si="91"/>
        <v>0</v>
      </c>
      <c r="AJ18" s="2698">
        <f t="shared" si="91"/>
        <v>0</v>
      </c>
      <c r="AK18" s="2698">
        <f t="shared" si="91"/>
        <v>0</v>
      </c>
      <c r="AL18" s="2698">
        <f t="shared" si="91"/>
        <v>0</v>
      </c>
      <c r="AM18" s="2699">
        <f t="shared" si="91"/>
        <v>0</v>
      </c>
      <c r="AN18" s="2694">
        <f t="shared" si="90"/>
        <v>0</v>
      </c>
      <c r="AO18" s="2700">
        <f t="shared" si="90"/>
        <v>252</v>
      </c>
      <c r="AP18" s="2698">
        <f t="shared" si="90"/>
        <v>1269</v>
      </c>
      <c r="AQ18" s="2698">
        <f t="shared" si="90"/>
        <v>1467</v>
      </c>
      <c r="AR18" s="2698">
        <f t="shared" si="90"/>
        <v>1087</v>
      </c>
      <c r="AS18" s="2698">
        <f t="shared" si="90"/>
        <v>943.2</v>
      </c>
      <c r="AT18" s="2699">
        <f t="shared" si="90"/>
        <v>970</v>
      </c>
      <c r="AU18" s="4422"/>
      <c r="AV18" s="4438">
        <f t="shared" si="47"/>
        <v>811.93150733959499</v>
      </c>
      <c r="AW18" s="4438">
        <f t="shared" si="48"/>
        <v>372.73178139204327</v>
      </c>
      <c r="AX18" s="4438">
        <f t="shared" si="49"/>
        <v>63.911485149527309</v>
      </c>
      <c r="AY18" s="4438">
        <f t="shared" si="50"/>
        <v>44.482393664071012</v>
      </c>
      <c r="AZ18" s="4438">
        <f t="shared" si="51"/>
        <v>96.634165546085299</v>
      </c>
      <c r="BA18" s="4438">
        <f t="shared" si="52"/>
        <v>144.18431049733363</v>
      </c>
      <c r="BB18" s="4438">
        <f t="shared" si="53"/>
        <v>115.55196515034538</v>
      </c>
      <c r="BC18" s="4438">
        <f t="shared" si="54"/>
        <v>39.880766733305045</v>
      </c>
      <c r="BD18" s="4438">
        <f t="shared" si="55"/>
        <v>103.28096000163613</v>
      </c>
      <c r="BE18" s="4438">
        <f t="shared" si="56"/>
        <v>2.045167524784874</v>
      </c>
      <c r="BF18" s="4438">
        <f t="shared" si="57"/>
        <v>0</v>
      </c>
      <c r="BG18" s="4438">
        <f t="shared" si="58"/>
        <v>0</v>
      </c>
      <c r="BH18" s="4438">
        <f t="shared" si="59"/>
        <v>0</v>
      </c>
      <c r="BI18" s="4438">
        <f t="shared" si="60"/>
        <v>0</v>
      </c>
      <c r="BJ18" s="4438">
        <f t="shared" si="61"/>
        <v>78.227657823021431</v>
      </c>
      <c r="BK18" s="4438">
        <f t="shared" si="62"/>
        <v>15.850048317082774</v>
      </c>
      <c r="BL18" s="4438">
        <f t="shared" si="63"/>
        <v>0</v>
      </c>
      <c r="BM18" s="4438">
        <f t="shared" si="64"/>
        <v>0</v>
      </c>
      <c r="BN18" s="4438">
        <f t="shared" si="65"/>
        <v>0</v>
      </c>
      <c r="BO18" s="4438">
        <f t="shared" si="66"/>
        <v>0</v>
      </c>
      <c r="BP18" s="4438">
        <f t="shared" si="67"/>
        <v>0</v>
      </c>
      <c r="BQ18" s="4438">
        <f t="shared" si="68"/>
        <v>0</v>
      </c>
      <c r="BR18" s="4438">
        <f t="shared" si="69"/>
        <v>0</v>
      </c>
      <c r="BS18" s="4438">
        <f t="shared" si="70"/>
        <v>0</v>
      </c>
      <c r="BT18" s="4438">
        <f t="shared" si="71"/>
        <v>0</v>
      </c>
      <c r="BU18" s="4438">
        <f t="shared" si="72"/>
        <v>0</v>
      </c>
      <c r="BV18" s="4438">
        <f t="shared" si="73"/>
        <v>0</v>
      </c>
      <c r="BW18" s="4438">
        <f t="shared" si="74"/>
        <v>0</v>
      </c>
      <c r="BX18" s="4438">
        <f t="shared" si="75"/>
        <v>0</v>
      </c>
      <c r="BY18" s="4438">
        <f t="shared" si="76"/>
        <v>0</v>
      </c>
      <c r="BZ18" s="4438">
        <f t="shared" si="77"/>
        <v>0</v>
      </c>
      <c r="CA18" s="4438">
        <f t="shared" si="78"/>
        <v>0</v>
      </c>
      <c r="CB18" s="4438">
        <f t="shared" si="79"/>
        <v>0</v>
      </c>
      <c r="CC18" s="4438">
        <f t="shared" si="80"/>
        <v>0</v>
      </c>
      <c r="CD18" s="4438">
        <f t="shared" si="81"/>
        <v>0</v>
      </c>
      <c r="CE18" s="4438">
        <f t="shared" si="82"/>
        <v>0</v>
      </c>
      <c r="CF18" s="4438">
        <f t="shared" si="83"/>
        <v>128.84555406144707</v>
      </c>
      <c r="CG18" s="4438">
        <f t="shared" si="84"/>
        <v>648.82939723800132</v>
      </c>
      <c r="CH18" s="4438">
        <f t="shared" si="85"/>
        <v>750.06518971485252</v>
      </c>
      <c r="CI18" s="4438">
        <f t="shared" si="86"/>
        <v>555.77427486028955</v>
      </c>
      <c r="CJ18" s="4438">
        <f t="shared" si="87"/>
        <v>482.25050234427329</v>
      </c>
      <c r="CK18" s="4438">
        <f t="shared" si="88"/>
        <v>495.95312476033195</v>
      </c>
    </row>
    <row r="19" spans="1:89">
      <c r="A19" s="2701"/>
      <c r="B19" s="3563">
        <v>20301</v>
      </c>
      <c r="C19" s="3546">
        <v>0.1</v>
      </c>
      <c r="D19" s="2704" t="s">
        <v>427</v>
      </c>
      <c r="E19" s="2689">
        <f>'11.2. ДА за периода'!E19</f>
        <v>4</v>
      </c>
      <c r="F19" s="1202">
        <f>SUMIF('9.Инвестиционна програма'!$B$12:$B$35,$B19,'9.Инвестиционна програма'!H$12:H$35)*$E$6</f>
        <v>0</v>
      </c>
      <c r="G19" s="1198">
        <f>SUMIF('9.Инвестиционна програма'!$B$12:$B$35,$B19,'9.Инвестиционна програма'!I$12:I$35)*$E$6</f>
        <v>0</v>
      </c>
      <c r="H19" s="1198">
        <f>SUMIF('9.Инвестиционна програма'!$B$12:$B$35,$B19,'9.Инвестиционна програма'!J$12:J$35)*$E$6</f>
        <v>0</v>
      </c>
      <c r="I19" s="1198">
        <f>SUMIF('9.Инвестиционна програма'!$B$12:$B$35,$B19,'9.Инвестиционна програма'!K$12:K$35)*$E$6</f>
        <v>0</v>
      </c>
      <c r="J19" s="1198">
        <f>SUMIF('9.Инвестиционна програма'!$B$12:$B$35,$B19,'9.Инвестиционна програма'!L$12:L$35)*$E$6</f>
        <v>0</v>
      </c>
      <c r="K19" s="1203">
        <f>SUMIF('9.Инвестиционна програма'!$B$12:$B$35,$B19,'9.Инвестиционна програма'!M$12:M$35)*$E$6</f>
        <v>0</v>
      </c>
      <c r="L19" s="2689">
        <f>'11.2. ДА за периода'!L19</f>
        <v>0</v>
      </c>
      <c r="M19" s="1206">
        <f>SUMIF('9.Инвестиционна програма'!$B$37:$B$47,$B19,'9.Инвестиционна програма'!H$37:H$47)*$E$6</f>
        <v>0</v>
      </c>
      <c r="N19" s="1200">
        <f>SUMIF('9.Инвестиционна програма'!$B$37:$B$47,$B19,'9.Инвестиционна програма'!I$37:I$47)*$E$6</f>
        <v>0</v>
      </c>
      <c r="O19" s="1200">
        <f>SUMIF('9.Инвестиционна програма'!$B$37:$B$47,$B19,'9.Инвестиционна програма'!J$37:J$47)*$E$6</f>
        <v>0</v>
      </c>
      <c r="P19" s="1200">
        <f>SUMIF('9.Инвестиционна програма'!$B$37:$B$47,$B19,'9.Инвестиционна програма'!K$37:K$47)*$E$6</f>
        <v>0</v>
      </c>
      <c r="Q19" s="1200">
        <f>SUMIF('9.Инвестиционна програма'!$B$37:$B$47,$B19,'9.Инвестиционна програма'!L$37:L$47)*$E$6</f>
        <v>0</v>
      </c>
      <c r="R19" s="1201">
        <f>SUMIF('9.Инвестиционна програма'!$B$37:$B$47,$B19,'9.Инвестиционна програма'!M$37:M$47)*$E$6</f>
        <v>0</v>
      </c>
      <c r="S19" s="1087">
        <f>'11.2. ДА за периода'!S19</f>
        <v>0</v>
      </c>
      <c r="T19" s="881">
        <f>SUMIF('9.Инвестиционна програма'!$B$49:$B$56,$B19,'9.Инвестиционна програма'!H$49:H$56)*$E$6</f>
        <v>0</v>
      </c>
      <c r="U19" s="881">
        <f>SUMIF('9.Инвестиционна програма'!$B$49:$B$56,$B19,'9.Инвестиционна програма'!I$49:I$56)*$E$6</f>
        <v>0</v>
      </c>
      <c r="V19" s="881">
        <f>SUMIF('9.Инвестиционна програма'!$B$49:$B$56,$B19,'9.Инвестиционна програма'!J$49:J$56)*$E$6</f>
        <v>0</v>
      </c>
      <c r="W19" s="881">
        <f>SUMIF('9.Инвестиционна програма'!$B$49:$B$56,$B19,'9.Инвестиционна програма'!K$49:K$56)*$E$6</f>
        <v>0</v>
      </c>
      <c r="X19" s="881">
        <f>SUMIF('9.Инвестиционна програма'!$B$49:$B$56,$B19,'9.Инвестиционна програма'!L$49:L$56)*$E$6</f>
        <v>0</v>
      </c>
      <c r="Y19" s="2690">
        <f>SUMIF('9.Инвестиционна програма'!$B$49:$B$56,$B19,'9.Инвестиционна програма'!M$49:M$56)*$E$6</f>
        <v>0</v>
      </c>
      <c r="Z19" s="1087">
        <f>'11.2. ДА за периода'!Z19</f>
        <v>0</v>
      </c>
      <c r="AA19" s="881">
        <f>SUMIF('9.Инвестиционна програма'!$B$74:$B$97,$B19,'9.Инвестиционна програма'!H$74:H$97)*$E$6</f>
        <v>0</v>
      </c>
      <c r="AB19" s="881">
        <f>SUMIF('9.Инвестиционна програма'!$B$74:$B$97,$B19,'9.Инвестиционна програма'!I$74:I$97)*$E$6</f>
        <v>0</v>
      </c>
      <c r="AC19" s="881">
        <f>SUMIF('9.Инвестиционна програма'!$B$74:$B$97,$B19,'9.Инвестиционна програма'!J$74:J$97)*$E$6</f>
        <v>0</v>
      </c>
      <c r="AD19" s="881">
        <f>SUMIF('9.Инвестиционна програма'!$B$74:$B$97,$B19,'9.Инвестиционна програма'!K$74:K$97)*$E$6</f>
        <v>0</v>
      </c>
      <c r="AE19" s="881">
        <f>SUMIF('9.Инвестиционна програма'!$B$74:$B$97,$B19,'9.Инвестиционна програма'!L$74:L$97)*$E$6</f>
        <v>0</v>
      </c>
      <c r="AF19" s="881">
        <f>SUMIF('9.Инвестиционна програма'!$B$74:$B$97,$B19,'9.Инвестиционна програма'!M$74:M$97)*$E$6</f>
        <v>0</v>
      </c>
      <c r="AG19" s="1087">
        <f>'11.2. ДА за периода'!AG19</f>
        <v>0</v>
      </c>
      <c r="AH19" s="881">
        <f>SUMIF('9.Инвестиционна програма'!$B$100:$B$123,$B19,'9.Инвестиционна програма'!H$100:H$123)*$E$6</f>
        <v>0</v>
      </c>
      <c r="AI19" s="881">
        <f>SUMIF('9.Инвестиционна програма'!$B$100:$B$123,$B19,'9.Инвестиционна програма'!I$100:I$123)*$E$6</f>
        <v>0</v>
      </c>
      <c r="AJ19" s="881">
        <f>SUMIF('9.Инвестиционна програма'!$B$100:$B$123,$B19,'9.Инвестиционна програма'!J$100:J$123)*$E$6</f>
        <v>0</v>
      </c>
      <c r="AK19" s="881">
        <f>SUMIF('9.Инвестиционна програма'!$B$100:$B$123,$B19,'9.Инвестиционна програма'!K$100:K$123)*$E$6</f>
        <v>0</v>
      </c>
      <c r="AL19" s="881">
        <f>SUMIF('9.Инвестиционна програма'!$B$100:$B$123,$B19,'9.Инвестиционна програма'!L$100:L$123)*$E$6</f>
        <v>0</v>
      </c>
      <c r="AM19" s="881">
        <f>SUMIF('9.Инвестиционна програма'!$B$100:$B$123,$B19,'9.Инвестиционна програма'!M$100:M$123)*$E$6</f>
        <v>0</v>
      </c>
      <c r="AN19" s="1087">
        <f>'11.2. ДА за периода'!AN19</f>
        <v>0</v>
      </c>
      <c r="AO19" s="1206">
        <f>(SUMIF('9.Инвестиционна програма'!$B$58:$B$59,$B19,'9.Инвестиционна програма'!H$58:H$59)+SUMIF('9.Инвестиционна програма'!$B$61:$B$71,$B19,'9.Инвестиционна програма'!H$61:H$71))*$E$6</f>
        <v>0</v>
      </c>
      <c r="AP19" s="881">
        <f>(SUMIF('9.Инвестиционна програма'!$B$58:$B$59,$B19,'9.Инвестиционна програма'!I$58:I$59)+SUMIF('9.Инвестиционна програма'!$B$61:$B$71,$B19,'9.Инвестиционна програма'!I$61:I$71))*$E$6</f>
        <v>0</v>
      </c>
      <c r="AQ19" s="881">
        <f>(SUMIF('9.Инвестиционна програма'!$B$58:$B$59,$B19,'9.Инвестиционна програма'!J$58:J$59)+SUMIF('9.Инвестиционна програма'!$B$61:$B$71,$B19,'9.Инвестиционна програма'!J$61:J$71))*$E$6</f>
        <v>0</v>
      </c>
      <c r="AR19" s="881">
        <f>(SUMIF('9.Инвестиционна програма'!$B$58:$B$59,$B19,'9.Инвестиционна програма'!K$58:K$59)+SUMIF('9.Инвестиционна програма'!$B$61:$B$71,$B19,'9.Инвестиционна програма'!K$61:K$71))*$E$6</f>
        <v>0</v>
      </c>
      <c r="AS19" s="881">
        <f>(SUMIF('9.Инвестиционна програма'!$B$58:$B$59,$B19,'9.Инвестиционна програма'!L$58:L$59)+SUMIF('9.Инвестиционна програма'!$B$61:$B$71,$B19,'9.Инвестиционна програма'!L$61:L$71))*$E$6</f>
        <v>0</v>
      </c>
      <c r="AT19" s="2690">
        <f>(SUMIF('9.Инвестиционна програма'!$B$58:$B$59,$B19,'9.Инвестиционна програма'!M$58:M$59)+SUMIF('9.Инвестиционна програма'!$B$61:$B$71,$B19,'9.Инвестиционна програма'!M$61:M$71))*$E$6</f>
        <v>0</v>
      </c>
      <c r="AU19" s="4422"/>
      <c r="AV19" s="4438">
        <f t="shared" si="47"/>
        <v>2.045167524784874</v>
      </c>
      <c r="AW19" s="4438">
        <f t="shared" si="48"/>
        <v>0</v>
      </c>
      <c r="AX19" s="4438">
        <f t="shared" si="49"/>
        <v>0</v>
      </c>
      <c r="AY19" s="4438">
        <f t="shared" si="50"/>
        <v>0</v>
      </c>
      <c r="AZ19" s="4438">
        <f t="shared" si="51"/>
        <v>0</v>
      </c>
      <c r="BA19" s="4438">
        <f t="shared" si="52"/>
        <v>0</v>
      </c>
      <c r="BB19" s="4438">
        <f t="shared" si="53"/>
        <v>0</v>
      </c>
      <c r="BC19" s="4438">
        <f t="shared" si="54"/>
        <v>0</v>
      </c>
      <c r="BD19" s="4438">
        <f t="shared" si="55"/>
        <v>0</v>
      </c>
      <c r="BE19" s="4438">
        <f t="shared" si="56"/>
        <v>0</v>
      </c>
      <c r="BF19" s="4438">
        <f t="shared" si="57"/>
        <v>0</v>
      </c>
      <c r="BG19" s="4438">
        <f t="shared" si="58"/>
        <v>0</v>
      </c>
      <c r="BH19" s="4438">
        <f t="shared" si="59"/>
        <v>0</v>
      </c>
      <c r="BI19" s="4438">
        <f t="shared" si="60"/>
        <v>0</v>
      </c>
      <c r="BJ19" s="4438">
        <f t="shared" si="61"/>
        <v>0</v>
      </c>
      <c r="BK19" s="4438">
        <f t="shared" si="62"/>
        <v>0</v>
      </c>
      <c r="BL19" s="4438">
        <f t="shared" si="63"/>
        <v>0</v>
      </c>
      <c r="BM19" s="4438">
        <f t="shared" si="64"/>
        <v>0</v>
      </c>
      <c r="BN19" s="4438">
        <f t="shared" si="65"/>
        <v>0</v>
      </c>
      <c r="BO19" s="4438">
        <f t="shared" si="66"/>
        <v>0</v>
      </c>
      <c r="BP19" s="4438">
        <f t="shared" si="67"/>
        <v>0</v>
      </c>
      <c r="BQ19" s="4438">
        <f t="shared" si="68"/>
        <v>0</v>
      </c>
      <c r="BR19" s="4438">
        <f t="shared" si="69"/>
        <v>0</v>
      </c>
      <c r="BS19" s="4438">
        <f t="shared" si="70"/>
        <v>0</v>
      </c>
      <c r="BT19" s="4438">
        <f t="shared" si="71"/>
        <v>0</v>
      </c>
      <c r="BU19" s="4438">
        <f t="shared" si="72"/>
        <v>0</v>
      </c>
      <c r="BV19" s="4438">
        <f t="shared" si="73"/>
        <v>0</v>
      </c>
      <c r="BW19" s="4438">
        <f t="shared" si="74"/>
        <v>0</v>
      </c>
      <c r="BX19" s="4438">
        <f t="shared" si="75"/>
        <v>0</v>
      </c>
      <c r="BY19" s="4438">
        <f t="shared" si="76"/>
        <v>0</v>
      </c>
      <c r="BZ19" s="4438">
        <f t="shared" si="77"/>
        <v>0</v>
      </c>
      <c r="CA19" s="4438">
        <f t="shared" si="78"/>
        <v>0</v>
      </c>
      <c r="CB19" s="4438">
        <f t="shared" si="79"/>
        <v>0</v>
      </c>
      <c r="CC19" s="4438">
        <f t="shared" si="80"/>
        <v>0</v>
      </c>
      <c r="CD19" s="4438">
        <f t="shared" si="81"/>
        <v>0</v>
      </c>
      <c r="CE19" s="4438">
        <f t="shared" si="82"/>
        <v>0</v>
      </c>
      <c r="CF19" s="4438">
        <f t="shared" si="83"/>
        <v>0</v>
      </c>
      <c r="CG19" s="4438">
        <f t="shared" si="84"/>
        <v>0</v>
      </c>
      <c r="CH19" s="4438">
        <f t="shared" si="85"/>
        <v>0</v>
      </c>
      <c r="CI19" s="4438">
        <f t="shared" si="86"/>
        <v>0</v>
      </c>
      <c r="CJ19" s="4438">
        <f t="shared" si="87"/>
        <v>0</v>
      </c>
      <c r="CK19" s="4438">
        <f t="shared" si="88"/>
        <v>0</v>
      </c>
    </row>
    <row r="20" spans="1:89">
      <c r="A20" s="2701"/>
      <c r="B20" s="3563">
        <v>20302</v>
      </c>
      <c r="C20" s="3546">
        <v>0.1</v>
      </c>
      <c r="D20" s="2704" t="s">
        <v>428</v>
      </c>
      <c r="E20" s="2689">
        <f>'11.2. ДА за периода'!E20</f>
        <v>23</v>
      </c>
      <c r="F20" s="1202">
        <f>SUMIF('9.Инвестиционна програма'!$B$12:$B$35,$B20,'9.Инвестиционна програма'!H$12:H$35)*$E$6</f>
        <v>20</v>
      </c>
      <c r="G20" s="1198">
        <f>SUMIF('9.Инвестиционна програма'!$B$12:$B$35,$B20,'9.Инвестиционна програма'!I$12:I$35)*$E$6</f>
        <v>0</v>
      </c>
      <c r="H20" s="1198">
        <f>SUMIF('9.Инвестиционна програма'!$B$12:$B$35,$B20,'9.Инвестиционна програма'!J$12:J$35)*$E$6</f>
        <v>0</v>
      </c>
      <c r="I20" s="1198">
        <f>SUMIF('9.Инвестиционна програма'!$B$12:$B$35,$B20,'9.Инвестиционна програма'!K$12:K$35)*$E$6</f>
        <v>0</v>
      </c>
      <c r="J20" s="1198">
        <f>SUMIF('9.Инвестиционна програма'!$B$12:$B$35,$B20,'9.Инвестиционна програма'!L$12:L$35)*$E$6</f>
        <v>0</v>
      </c>
      <c r="K20" s="1203">
        <f>SUMIF('9.Инвестиционна програма'!$B$12:$B$35,$B20,'9.Инвестиционна програма'!M$12:M$35)*$E$6</f>
        <v>0</v>
      </c>
      <c r="L20" s="2689">
        <f>'11.2. ДА за периода'!L20</f>
        <v>0</v>
      </c>
      <c r="M20" s="1206">
        <f>SUMIF('9.Инвестиционна програма'!$B$37:$B$47,$B20,'9.Инвестиционна програма'!H$37:H$47)*$E$6</f>
        <v>0</v>
      </c>
      <c r="N20" s="1200">
        <f>SUMIF('9.Инвестиционна програма'!$B$37:$B$47,$B20,'9.Инвестиционна програма'!I$37:I$47)*$E$6</f>
        <v>0</v>
      </c>
      <c r="O20" s="1200">
        <f>SUMIF('9.Инвестиционна програма'!$B$37:$B$47,$B20,'9.Инвестиционна програма'!J$37:J$47)*$E$6</f>
        <v>0</v>
      </c>
      <c r="P20" s="1200">
        <f>SUMIF('9.Инвестиционна програма'!$B$37:$B$47,$B20,'9.Инвестиционна програма'!K$37:K$47)*$E$6</f>
        <v>0</v>
      </c>
      <c r="Q20" s="1200">
        <f>SUMIF('9.Инвестиционна програма'!$B$37:$B$47,$B20,'9.Инвестиционна програма'!L$37:L$47)*$E$6</f>
        <v>0</v>
      </c>
      <c r="R20" s="1201">
        <f>SUMIF('9.Инвестиционна програма'!$B$37:$B$47,$B20,'9.Инвестиционна програма'!M$37:M$47)*$E$6</f>
        <v>0</v>
      </c>
      <c r="S20" s="1087">
        <f>'11.2. ДА за периода'!S20</f>
        <v>0</v>
      </c>
      <c r="T20" s="881">
        <f>SUMIF('9.Инвестиционна програма'!$B$49:$B$56,$B20,'9.Инвестиционна програма'!H$49:H$56)*$E$6</f>
        <v>20</v>
      </c>
      <c r="U20" s="881">
        <f>SUMIF('9.Инвестиционна програма'!$B$49:$B$56,$B20,'9.Инвестиционна програма'!I$49:I$56)*$E$6</f>
        <v>0</v>
      </c>
      <c r="V20" s="881">
        <f>SUMIF('9.Инвестиционна програма'!$B$49:$B$56,$B20,'9.Инвестиционна програма'!J$49:J$56)*$E$6</f>
        <v>0</v>
      </c>
      <c r="W20" s="881">
        <f>SUMIF('9.Инвестиционна програма'!$B$49:$B$56,$B20,'9.Инвестиционна програма'!K$49:K$56)*$E$6</f>
        <v>0</v>
      </c>
      <c r="X20" s="881">
        <f>SUMIF('9.Инвестиционна програма'!$B$49:$B$56,$B20,'9.Инвестиционна програма'!L$49:L$56)*$E$6</f>
        <v>0</v>
      </c>
      <c r="Y20" s="2690">
        <f>SUMIF('9.Инвестиционна програма'!$B$49:$B$56,$B20,'9.Инвестиционна програма'!M$49:M$56)*$E$6</f>
        <v>0</v>
      </c>
      <c r="Z20" s="1087">
        <f>'11.2. ДА за периода'!Z20</f>
        <v>0</v>
      </c>
      <c r="AA20" s="881">
        <f>SUMIF('9.Инвестиционна програма'!$B$74:$B$97,$B20,'9.Инвестиционна програма'!H$74:H$97)*$E$6</f>
        <v>0</v>
      </c>
      <c r="AB20" s="881">
        <f>SUMIF('9.Инвестиционна програма'!$B$74:$B$97,$B20,'9.Инвестиционна програма'!I$74:I$97)*$E$6</f>
        <v>0</v>
      </c>
      <c r="AC20" s="881">
        <f>SUMIF('9.Инвестиционна програма'!$B$74:$B$97,$B20,'9.Инвестиционна програма'!J$74:J$97)*$E$6</f>
        <v>0</v>
      </c>
      <c r="AD20" s="881">
        <f>SUMIF('9.Инвестиционна програма'!$B$74:$B$97,$B20,'9.Инвестиционна програма'!K$74:K$97)*$E$6</f>
        <v>0</v>
      </c>
      <c r="AE20" s="881">
        <f>SUMIF('9.Инвестиционна програма'!$B$74:$B$97,$B20,'9.Инвестиционна програма'!L$74:L$97)*$E$6</f>
        <v>0</v>
      </c>
      <c r="AF20" s="881">
        <f>SUMIF('9.Инвестиционна програма'!$B$74:$B$97,$B20,'9.Инвестиционна програма'!M$74:M$97)*$E$6</f>
        <v>0</v>
      </c>
      <c r="AG20" s="1087">
        <f>'11.2. ДА за периода'!AG20</f>
        <v>0</v>
      </c>
      <c r="AH20" s="881">
        <f>SUMIF('9.Инвестиционна програма'!$B$100:$B$123,$B20,'9.Инвестиционна програма'!H$100:H$123)*$E$6</f>
        <v>0</v>
      </c>
      <c r="AI20" s="881">
        <f>SUMIF('9.Инвестиционна програма'!$B$100:$B$123,$B20,'9.Инвестиционна програма'!I$100:I$123)*$E$6</f>
        <v>0</v>
      </c>
      <c r="AJ20" s="881">
        <f>SUMIF('9.Инвестиционна програма'!$B$100:$B$123,$B20,'9.Инвестиционна програма'!J$100:J$123)*$E$6</f>
        <v>0</v>
      </c>
      <c r="AK20" s="881">
        <f>SUMIF('9.Инвестиционна програма'!$B$100:$B$123,$B20,'9.Инвестиционна програма'!K$100:K$123)*$E$6</f>
        <v>0</v>
      </c>
      <c r="AL20" s="881">
        <f>SUMIF('9.Инвестиционна програма'!$B$100:$B$123,$B20,'9.Инвестиционна програма'!L$100:L$123)*$E$6</f>
        <v>0</v>
      </c>
      <c r="AM20" s="881">
        <f>SUMIF('9.Инвестиционна програма'!$B$100:$B$123,$B20,'9.Инвестиционна програма'!M$100:M$123)*$E$6</f>
        <v>0</v>
      </c>
      <c r="AN20" s="1087">
        <f>'11.2. ДА за периода'!AN20</f>
        <v>0</v>
      </c>
      <c r="AO20" s="1206">
        <f>(SUMIF('9.Инвестиционна програма'!$B$58:$B$59,$B20,'9.Инвестиционна програма'!H$58:H$59)+SUMIF('9.Инвестиционна програма'!$B$61:$B$71,$B20,'9.Инвестиционна програма'!H$61:H$71))*$E$6</f>
        <v>0</v>
      </c>
      <c r="AP20" s="881">
        <f>(SUMIF('9.Инвестиционна програма'!$B$58:$B$59,$B20,'9.Инвестиционна програма'!I$58:I$59)+SUMIF('9.Инвестиционна програма'!$B$61:$B$71,$B20,'9.Инвестиционна програма'!I$61:I$71))*$E$6</f>
        <v>0</v>
      </c>
      <c r="AQ20" s="881">
        <f>(SUMIF('9.Инвестиционна програма'!$B$58:$B$59,$B20,'9.Инвестиционна програма'!J$58:J$59)+SUMIF('9.Инвестиционна програма'!$B$61:$B$71,$B20,'9.Инвестиционна програма'!J$61:J$71))*$E$6</f>
        <v>0</v>
      </c>
      <c r="AR20" s="881">
        <f>(SUMIF('9.Инвестиционна програма'!$B$58:$B$59,$B20,'9.Инвестиционна програма'!K$58:K$59)+SUMIF('9.Инвестиционна програма'!$B$61:$B$71,$B20,'9.Инвестиционна програма'!K$61:K$71))*$E$6</f>
        <v>0</v>
      </c>
      <c r="AS20" s="881">
        <f>(SUMIF('9.Инвестиционна програма'!$B$58:$B$59,$B20,'9.Инвестиционна програма'!L$58:L$59)+SUMIF('9.Инвестиционна програма'!$B$61:$B$71,$B20,'9.Инвестиционна програма'!L$61:L$71))*$E$6</f>
        <v>0</v>
      </c>
      <c r="AT20" s="2690">
        <f>(SUMIF('9.Инвестиционна програма'!$B$58:$B$59,$B20,'9.Инвестиционна програма'!M$58:M$59)+SUMIF('9.Инвестиционна програма'!$B$61:$B$71,$B20,'9.Инвестиционна програма'!M$61:M$71))*$E$6</f>
        <v>0</v>
      </c>
      <c r="AU20" s="4422"/>
      <c r="AV20" s="4438">
        <f t="shared" si="47"/>
        <v>11.759713267513025</v>
      </c>
      <c r="AW20" s="4438">
        <f t="shared" si="48"/>
        <v>10.22583762392437</v>
      </c>
      <c r="AX20" s="4438">
        <f t="shared" si="49"/>
        <v>0</v>
      </c>
      <c r="AY20" s="4438">
        <f t="shared" si="50"/>
        <v>0</v>
      </c>
      <c r="AZ20" s="4438">
        <f t="shared" si="51"/>
        <v>0</v>
      </c>
      <c r="BA20" s="4438">
        <f t="shared" si="52"/>
        <v>0</v>
      </c>
      <c r="BB20" s="4438">
        <f t="shared" si="53"/>
        <v>0</v>
      </c>
      <c r="BC20" s="4438">
        <f t="shared" si="54"/>
        <v>0</v>
      </c>
      <c r="BD20" s="4438">
        <f t="shared" si="55"/>
        <v>0</v>
      </c>
      <c r="BE20" s="4438">
        <f t="shared" si="56"/>
        <v>0</v>
      </c>
      <c r="BF20" s="4438">
        <f t="shared" si="57"/>
        <v>0</v>
      </c>
      <c r="BG20" s="4438">
        <f t="shared" si="58"/>
        <v>0</v>
      </c>
      <c r="BH20" s="4438">
        <f t="shared" si="59"/>
        <v>0</v>
      </c>
      <c r="BI20" s="4438">
        <f t="shared" si="60"/>
        <v>0</v>
      </c>
      <c r="BJ20" s="4438">
        <f t="shared" si="61"/>
        <v>0</v>
      </c>
      <c r="BK20" s="4438">
        <f t="shared" si="62"/>
        <v>10.22583762392437</v>
      </c>
      <c r="BL20" s="4438">
        <f t="shared" si="63"/>
        <v>0</v>
      </c>
      <c r="BM20" s="4438">
        <f t="shared" si="64"/>
        <v>0</v>
      </c>
      <c r="BN20" s="4438">
        <f t="shared" si="65"/>
        <v>0</v>
      </c>
      <c r="BO20" s="4438">
        <f t="shared" si="66"/>
        <v>0</v>
      </c>
      <c r="BP20" s="4438">
        <f t="shared" si="67"/>
        <v>0</v>
      </c>
      <c r="BQ20" s="4438">
        <f t="shared" si="68"/>
        <v>0</v>
      </c>
      <c r="BR20" s="4438">
        <f t="shared" si="69"/>
        <v>0</v>
      </c>
      <c r="BS20" s="4438">
        <f t="shared" si="70"/>
        <v>0</v>
      </c>
      <c r="BT20" s="4438">
        <f t="shared" si="71"/>
        <v>0</v>
      </c>
      <c r="BU20" s="4438">
        <f t="shared" si="72"/>
        <v>0</v>
      </c>
      <c r="BV20" s="4438">
        <f t="shared" si="73"/>
        <v>0</v>
      </c>
      <c r="BW20" s="4438">
        <f t="shared" si="74"/>
        <v>0</v>
      </c>
      <c r="BX20" s="4438">
        <f t="shared" si="75"/>
        <v>0</v>
      </c>
      <c r="BY20" s="4438">
        <f t="shared" si="76"/>
        <v>0</v>
      </c>
      <c r="BZ20" s="4438">
        <f t="shared" si="77"/>
        <v>0</v>
      </c>
      <c r="CA20" s="4438">
        <f t="shared" si="78"/>
        <v>0</v>
      </c>
      <c r="CB20" s="4438">
        <f t="shared" si="79"/>
        <v>0</v>
      </c>
      <c r="CC20" s="4438">
        <f t="shared" si="80"/>
        <v>0</v>
      </c>
      <c r="CD20" s="4438">
        <f t="shared" si="81"/>
        <v>0</v>
      </c>
      <c r="CE20" s="4438">
        <f t="shared" si="82"/>
        <v>0</v>
      </c>
      <c r="CF20" s="4438">
        <f t="shared" si="83"/>
        <v>0</v>
      </c>
      <c r="CG20" s="4438">
        <f t="shared" si="84"/>
        <v>0</v>
      </c>
      <c r="CH20" s="4438">
        <f t="shared" si="85"/>
        <v>0</v>
      </c>
      <c r="CI20" s="4438">
        <f t="shared" si="86"/>
        <v>0</v>
      </c>
      <c r="CJ20" s="4438">
        <f t="shared" si="87"/>
        <v>0</v>
      </c>
      <c r="CK20" s="4438">
        <f t="shared" si="88"/>
        <v>0</v>
      </c>
    </row>
    <row r="21" spans="1:89">
      <c r="A21" s="2701"/>
      <c r="B21" s="3563">
        <v>20303</v>
      </c>
      <c r="C21" s="3546">
        <v>0.1</v>
      </c>
      <c r="D21" s="2704" t="s">
        <v>406</v>
      </c>
      <c r="E21" s="2689">
        <f>'11.2. ДА за периода'!E21</f>
        <v>801</v>
      </c>
      <c r="F21" s="1202">
        <f>SUMIF('9.Инвестиционна програма'!$B$12:$B$35,$B21,'9.Инвестиционна програма'!H$12:H$35)*$E$6</f>
        <v>176</v>
      </c>
      <c r="G21" s="1198">
        <f>SUMIF('9.Инвестиционна програма'!$B$12:$B$35,$B21,'9.Инвестиционна програма'!I$12:I$35)*$E$6</f>
        <v>0</v>
      </c>
      <c r="H21" s="1198">
        <f>SUMIF('9.Инвестиционна програма'!$B$12:$B$35,$B21,'9.Инвестиционна програма'!J$12:J$35)*$E$6</f>
        <v>0</v>
      </c>
      <c r="I21" s="1198">
        <f>SUMIF('9.Инвестиционна програма'!$B$12:$B$35,$B21,'9.Инвестиционна програма'!K$12:K$35)*$E$6</f>
        <v>0</v>
      </c>
      <c r="J21" s="1198">
        <f>SUMIF('9.Инвестиционна програма'!$B$12:$B$35,$B21,'9.Инвестиционна програма'!L$12:L$35)*$E$6</f>
        <v>0</v>
      </c>
      <c r="K21" s="1203">
        <f>SUMIF('9.Инвестиционна програма'!$B$12:$B$35,$B21,'9.Инвестиционна програма'!M$12:M$35)*$E$6</f>
        <v>0</v>
      </c>
      <c r="L21" s="2689">
        <f>'11.2. ДА за периода'!L21</f>
        <v>0</v>
      </c>
      <c r="M21" s="1206">
        <f>SUMIF('9.Инвестиционна програма'!$B$37:$B$47,$B21,'9.Инвестиционна програма'!H$37:H$47)*$E$6</f>
        <v>200</v>
      </c>
      <c r="N21" s="1200">
        <f>SUMIF('9.Инвестиционна програма'!$B$37:$B$47,$B21,'9.Инвестиционна програма'!I$37:I$47)*$E$6</f>
        <v>0</v>
      </c>
      <c r="O21" s="1200">
        <f>SUMIF('9.Инвестиционна програма'!$B$37:$B$47,$B21,'9.Инвестиционна програма'!J$37:J$47)*$E$6</f>
        <v>0</v>
      </c>
      <c r="P21" s="1200">
        <f>SUMIF('9.Инвестиционна програма'!$B$37:$B$47,$B21,'9.Инвестиционна програма'!K$37:K$47)*$E$6</f>
        <v>0</v>
      </c>
      <c r="Q21" s="1200">
        <f>SUMIF('9.Инвестиционна програма'!$B$37:$B$47,$B21,'9.Инвестиционна програма'!L$37:L$47)*$E$6</f>
        <v>0</v>
      </c>
      <c r="R21" s="1201">
        <f>SUMIF('9.Инвестиционна програма'!$B$37:$B$47,$B21,'9.Инвестиционна програма'!M$37:M$47)*$E$6</f>
        <v>0</v>
      </c>
      <c r="S21" s="1087">
        <f>'11.2. ДА за периода'!S21</f>
        <v>0</v>
      </c>
      <c r="T21" s="881">
        <f>SUMIF('9.Инвестиционна програма'!$B$49:$B$56,$B21,'9.Инвестиционна програма'!H$49:H$56)*$E$6</f>
        <v>0</v>
      </c>
      <c r="U21" s="881">
        <f>SUMIF('9.Инвестиционна програма'!$B$49:$B$56,$B21,'9.Инвестиционна програма'!I$49:I$56)*$E$6</f>
        <v>0</v>
      </c>
      <c r="V21" s="881">
        <f>SUMIF('9.Инвестиционна програма'!$B$49:$B$56,$B21,'9.Инвестиционна програма'!J$49:J$56)*$E$6</f>
        <v>0</v>
      </c>
      <c r="W21" s="881">
        <f>SUMIF('9.Инвестиционна програма'!$B$49:$B$56,$B21,'9.Инвестиционна програма'!K$49:K$56)*$E$6</f>
        <v>0</v>
      </c>
      <c r="X21" s="881">
        <f>SUMIF('9.Инвестиционна програма'!$B$49:$B$56,$B21,'9.Инвестиционна програма'!L$49:L$56)*$E$6</f>
        <v>0</v>
      </c>
      <c r="Y21" s="2690">
        <f>SUMIF('9.Инвестиционна програма'!$B$49:$B$56,$B21,'9.Инвестиционна програма'!M$49:M$56)*$E$6</f>
        <v>0</v>
      </c>
      <c r="Z21" s="1087">
        <f>'11.2. ДА за периода'!Z21</f>
        <v>0</v>
      </c>
      <c r="AA21" s="881">
        <f>SUMIF('9.Инвестиционна програма'!$B$74:$B$97,$B21,'9.Инвестиционна програма'!H$74:H$97)*$E$6</f>
        <v>0</v>
      </c>
      <c r="AB21" s="881">
        <f>SUMIF('9.Инвестиционна програма'!$B$74:$B$97,$B21,'9.Инвестиционна програма'!I$74:I$97)*$E$6</f>
        <v>0</v>
      </c>
      <c r="AC21" s="881">
        <f>SUMIF('9.Инвестиционна програма'!$B$74:$B$97,$B21,'9.Инвестиционна програма'!J$74:J$97)*$E$6</f>
        <v>0</v>
      </c>
      <c r="AD21" s="881">
        <f>SUMIF('9.Инвестиционна програма'!$B$74:$B$97,$B21,'9.Инвестиционна програма'!K$74:K$97)*$E$6</f>
        <v>0</v>
      </c>
      <c r="AE21" s="881">
        <f>SUMIF('9.Инвестиционна програма'!$B$74:$B$97,$B21,'9.Инвестиционна програма'!L$74:L$97)*$E$6</f>
        <v>0</v>
      </c>
      <c r="AF21" s="881">
        <f>SUMIF('9.Инвестиционна програма'!$B$74:$B$97,$B21,'9.Инвестиционна програма'!M$74:M$97)*$E$6</f>
        <v>0</v>
      </c>
      <c r="AG21" s="1087">
        <f>'11.2. ДА за периода'!AG21</f>
        <v>0</v>
      </c>
      <c r="AH21" s="881">
        <f>SUMIF('9.Инвестиционна програма'!$B$100:$B$123,$B21,'9.Инвестиционна програма'!H$100:H$123)*$E$6</f>
        <v>0</v>
      </c>
      <c r="AI21" s="881">
        <f>SUMIF('9.Инвестиционна програма'!$B$100:$B$123,$B21,'9.Инвестиционна програма'!I$100:I$123)*$E$6</f>
        <v>0</v>
      </c>
      <c r="AJ21" s="881">
        <f>SUMIF('9.Инвестиционна програма'!$B$100:$B$123,$B21,'9.Инвестиционна програма'!J$100:J$123)*$E$6</f>
        <v>0</v>
      </c>
      <c r="AK21" s="881">
        <f>SUMIF('9.Инвестиционна програма'!$B$100:$B$123,$B21,'9.Инвестиционна програма'!K$100:K$123)*$E$6</f>
        <v>0</v>
      </c>
      <c r="AL21" s="881">
        <f>SUMIF('9.Инвестиционна програма'!$B$100:$B$123,$B21,'9.Инвестиционна програма'!L$100:L$123)*$E$6</f>
        <v>0</v>
      </c>
      <c r="AM21" s="881">
        <f>SUMIF('9.Инвестиционна програма'!$B$100:$B$123,$B21,'9.Инвестиционна програма'!M$100:M$123)*$E$6</f>
        <v>0</v>
      </c>
      <c r="AN21" s="1087">
        <f>'11.2. ДА за периода'!AN21</f>
        <v>0</v>
      </c>
      <c r="AO21" s="1206">
        <f>(SUMIF('9.Инвестиционна програма'!$B$58:$B$59,$B21,'9.Инвестиционна програма'!H$58:H$59)+SUMIF('9.Инвестиционна програма'!$B$61:$B$71,$B21,'9.Инвестиционна програма'!H$61:H$71))*$E$6</f>
        <v>0</v>
      </c>
      <c r="AP21" s="881">
        <f>(SUMIF('9.Инвестиционна програма'!$B$58:$B$59,$B21,'9.Инвестиционна програма'!I$58:I$59)+SUMIF('9.Инвестиционна програма'!$B$61:$B$71,$B21,'9.Инвестиционна програма'!I$61:I$71))*$E$6</f>
        <v>0</v>
      </c>
      <c r="AQ21" s="881">
        <f>(SUMIF('9.Инвестиционна програма'!$B$58:$B$59,$B21,'9.Инвестиционна програма'!J$58:J$59)+SUMIF('9.Инвестиционна програма'!$B$61:$B$71,$B21,'9.Инвестиционна програма'!J$61:J$71))*$E$6</f>
        <v>0</v>
      </c>
      <c r="AR21" s="881">
        <f>(SUMIF('9.Инвестиционна програма'!$B$58:$B$59,$B21,'9.Инвестиционна програма'!K$58:K$59)+SUMIF('9.Инвестиционна програма'!$B$61:$B$71,$B21,'9.Инвестиционна програма'!K$61:K$71))*$E$6</f>
        <v>0</v>
      </c>
      <c r="AS21" s="881">
        <f>(SUMIF('9.Инвестиционна програма'!$B$58:$B$59,$B21,'9.Инвестиционна програма'!L$58:L$59)+SUMIF('9.Инвестиционна програма'!$B$61:$B$71,$B21,'9.Инвестиционна програма'!L$61:L$71))*$E$6</f>
        <v>0</v>
      </c>
      <c r="AT21" s="2690">
        <f>(SUMIF('9.Инвестиционна програма'!$B$58:$B$59,$B21,'9.Инвестиционна програма'!M$58:M$59)+SUMIF('9.Инвестиционна програма'!$B$61:$B$71,$B21,'9.Инвестиционна програма'!M$61:M$71))*$E$6</f>
        <v>0</v>
      </c>
      <c r="AU21" s="4422"/>
      <c r="AV21" s="4438">
        <f t="shared" si="47"/>
        <v>409.54479683817101</v>
      </c>
      <c r="AW21" s="4438">
        <f t="shared" si="48"/>
        <v>89.987371090534452</v>
      </c>
      <c r="AX21" s="4438">
        <f t="shared" si="49"/>
        <v>0</v>
      </c>
      <c r="AY21" s="4438">
        <f t="shared" si="50"/>
        <v>0</v>
      </c>
      <c r="AZ21" s="4438">
        <f t="shared" si="51"/>
        <v>0</v>
      </c>
      <c r="BA21" s="4438">
        <f t="shared" si="52"/>
        <v>0</v>
      </c>
      <c r="BB21" s="4438">
        <f t="shared" si="53"/>
        <v>0</v>
      </c>
      <c r="BC21" s="4438">
        <f t="shared" si="54"/>
        <v>0</v>
      </c>
      <c r="BD21" s="4438">
        <f t="shared" si="55"/>
        <v>102.2583762392437</v>
      </c>
      <c r="BE21" s="4438">
        <f t="shared" si="56"/>
        <v>0</v>
      </c>
      <c r="BF21" s="4438">
        <f t="shared" si="57"/>
        <v>0</v>
      </c>
      <c r="BG21" s="4438">
        <f t="shared" si="58"/>
        <v>0</v>
      </c>
      <c r="BH21" s="4438">
        <f t="shared" si="59"/>
        <v>0</v>
      </c>
      <c r="BI21" s="4438">
        <f t="shared" si="60"/>
        <v>0</v>
      </c>
      <c r="BJ21" s="4438">
        <f t="shared" si="61"/>
        <v>0</v>
      </c>
      <c r="BK21" s="4438">
        <f t="shared" si="62"/>
        <v>0</v>
      </c>
      <c r="BL21" s="4438">
        <f t="shared" si="63"/>
        <v>0</v>
      </c>
      <c r="BM21" s="4438">
        <f t="shared" si="64"/>
        <v>0</v>
      </c>
      <c r="BN21" s="4438">
        <f t="shared" si="65"/>
        <v>0</v>
      </c>
      <c r="BO21" s="4438">
        <f t="shared" si="66"/>
        <v>0</v>
      </c>
      <c r="BP21" s="4438">
        <f t="shared" si="67"/>
        <v>0</v>
      </c>
      <c r="BQ21" s="4438">
        <f t="shared" si="68"/>
        <v>0</v>
      </c>
      <c r="BR21" s="4438">
        <f t="shared" si="69"/>
        <v>0</v>
      </c>
      <c r="BS21" s="4438">
        <f t="shared" si="70"/>
        <v>0</v>
      </c>
      <c r="BT21" s="4438">
        <f t="shared" si="71"/>
        <v>0</v>
      </c>
      <c r="BU21" s="4438">
        <f t="shared" si="72"/>
        <v>0</v>
      </c>
      <c r="BV21" s="4438">
        <f t="shared" si="73"/>
        <v>0</v>
      </c>
      <c r="BW21" s="4438">
        <f t="shared" si="74"/>
        <v>0</v>
      </c>
      <c r="BX21" s="4438">
        <f t="shared" si="75"/>
        <v>0</v>
      </c>
      <c r="BY21" s="4438">
        <f t="shared" si="76"/>
        <v>0</v>
      </c>
      <c r="BZ21" s="4438">
        <f t="shared" si="77"/>
        <v>0</v>
      </c>
      <c r="CA21" s="4438">
        <f t="shared" si="78"/>
        <v>0</v>
      </c>
      <c r="CB21" s="4438">
        <f t="shared" si="79"/>
        <v>0</v>
      </c>
      <c r="CC21" s="4438">
        <f t="shared" si="80"/>
        <v>0</v>
      </c>
      <c r="CD21" s="4438">
        <f t="shared" si="81"/>
        <v>0</v>
      </c>
      <c r="CE21" s="4438">
        <f t="shared" si="82"/>
        <v>0</v>
      </c>
      <c r="CF21" s="4438">
        <f t="shared" si="83"/>
        <v>0</v>
      </c>
      <c r="CG21" s="4438">
        <f t="shared" si="84"/>
        <v>0</v>
      </c>
      <c r="CH21" s="4438">
        <f t="shared" si="85"/>
        <v>0</v>
      </c>
      <c r="CI21" s="4438">
        <f t="shared" si="86"/>
        <v>0</v>
      </c>
      <c r="CJ21" s="4438">
        <f t="shared" si="87"/>
        <v>0</v>
      </c>
      <c r="CK21" s="4438">
        <f t="shared" si="88"/>
        <v>0</v>
      </c>
    </row>
    <row r="22" spans="1:89">
      <c r="A22" s="2701"/>
      <c r="B22" s="3563">
        <v>20304</v>
      </c>
      <c r="C22" s="3546">
        <v>0.1</v>
      </c>
      <c r="D22" s="2704" t="s">
        <v>407</v>
      </c>
      <c r="E22" s="2705">
        <f t="shared" ref="E22:AT22" si="92">SUM(E23:E24)</f>
        <v>289</v>
      </c>
      <c r="F22" s="2706">
        <f t="shared" si="92"/>
        <v>200</v>
      </c>
      <c r="G22" s="2707">
        <f t="shared" si="92"/>
        <v>101</v>
      </c>
      <c r="H22" s="2707">
        <f t="shared" si="92"/>
        <v>38</v>
      </c>
      <c r="I22" s="2707">
        <f t="shared" si="92"/>
        <v>121</v>
      </c>
      <c r="J22" s="2707">
        <f t="shared" si="92"/>
        <v>120</v>
      </c>
      <c r="K22" s="2708">
        <f t="shared" si="92"/>
        <v>120</v>
      </c>
      <c r="L22" s="2705">
        <f t="shared" si="92"/>
        <v>0</v>
      </c>
      <c r="M22" s="2706">
        <f t="shared" si="92"/>
        <v>0</v>
      </c>
      <c r="N22" s="2707">
        <f t="shared" si="92"/>
        <v>0</v>
      </c>
      <c r="O22" s="2707">
        <f t="shared" si="92"/>
        <v>0</v>
      </c>
      <c r="P22" s="2707">
        <f t="shared" si="92"/>
        <v>0</v>
      </c>
      <c r="Q22" s="2707">
        <f t="shared" si="92"/>
        <v>0</v>
      </c>
      <c r="R22" s="2708">
        <f t="shared" si="92"/>
        <v>0</v>
      </c>
      <c r="S22" s="2709">
        <f t="shared" si="92"/>
        <v>0</v>
      </c>
      <c r="T22" s="2710">
        <f t="shared" si="92"/>
        <v>0</v>
      </c>
      <c r="U22" s="2707">
        <f t="shared" si="92"/>
        <v>0</v>
      </c>
      <c r="V22" s="2707">
        <f t="shared" si="92"/>
        <v>0</v>
      </c>
      <c r="W22" s="2707">
        <f t="shared" si="92"/>
        <v>0</v>
      </c>
      <c r="X22" s="2707">
        <f t="shared" si="92"/>
        <v>0</v>
      </c>
      <c r="Y22" s="2708">
        <f t="shared" si="92"/>
        <v>0</v>
      </c>
      <c r="Z22" s="2709">
        <f t="shared" ref="Z22:AM22" si="93">SUM(Z23:Z24)</f>
        <v>0</v>
      </c>
      <c r="AA22" s="2710">
        <f t="shared" si="93"/>
        <v>0</v>
      </c>
      <c r="AB22" s="2707">
        <f t="shared" si="93"/>
        <v>0</v>
      </c>
      <c r="AC22" s="2707">
        <f t="shared" si="93"/>
        <v>0</v>
      </c>
      <c r="AD22" s="2707">
        <f t="shared" si="93"/>
        <v>0</v>
      </c>
      <c r="AE22" s="2707">
        <f t="shared" si="93"/>
        <v>0</v>
      </c>
      <c r="AF22" s="2708">
        <f t="shared" si="93"/>
        <v>0</v>
      </c>
      <c r="AG22" s="2709">
        <f t="shared" si="93"/>
        <v>0</v>
      </c>
      <c r="AH22" s="2710">
        <f t="shared" si="93"/>
        <v>0</v>
      </c>
      <c r="AI22" s="2707">
        <f t="shared" si="93"/>
        <v>0</v>
      </c>
      <c r="AJ22" s="2707">
        <f t="shared" si="93"/>
        <v>0</v>
      </c>
      <c r="AK22" s="2707">
        <f t="shared" si="93"/>
        <v>0</v>
      </c>
      <c r="AL22" s="2707">
        <f t="shared" si="93"/>
        <v>0</v>
      </c>
      <c r="AM22" s="2708">
        <f t="shared" si="93"/>
        <v>0</v>
      </c>
      <c r="AN22" s="2709">
        <f t="shared" si="92"/>
        <v>0</v>
      </c>
      <c r="AO22" s="2710">
        <f t="shared" si="92"/>
        <v>0</v>
      </c>
      <c r="AP22" s="2707">
        <f t="shared" si="92"/>
        <v>0</v>
      </c>
      <c r="AQ22" s="2707">
        <f t="shared" si="92"/>
        <v>0</v>
      </c>
      <c r="AR22" s="2707">
        <f t="shared" si="92"/>
        <v>0</v>
      </c>
      <c r="AS22" s="2707">
        <f t="shared" si="92"/>
        <v>0</v>
      </c>
      <c r="AT22" s="2708">
        <f t="shared" si="92"/>
        <v>0</v>
      </c>
      <c r="AU22" s="4422"/>
      <c r="AV22" s="4438">
        <f t="shared" si="47"/>
        <v>147.76335366570714</v>
      </c>
      <c r="AW22" s="4438">
        <f t="shared" si="48"/>
        <v>102.2583762392437</v>
      </c>
      <c r="AX22" s="4438">
        <f t="shared" si="49"/>
        <v>51.640480000818066</v>
      </c>
      <c r="AY22" s="4438">
        <f t="shared" si="50"/>
        <v>19.429091485456304</v>
      </c>
      <c r="AZ22" s="4438">
        <f t="shared" si="51"/>
        <v>61.866317624742436</v>
      </c>
      <c r="BA22" s="4438">
        <f t="shared" si="52"/>
        <v>61.355025743546221</v>
      </c>
      <c r="BB22" s="4438">
        <f t="shared" si="53"/>
        <v>61.355025743546221</v>
      </c>
      <c r="BC22" s="4438">
        <f t="shared" si="54"/>
        <v>0</v>
      </c>
      <c r="BD22" s="4438">
        <f t="shared" si="55"/>
        <v>0</v>
      </c>
      <c r="BE22" s="4438">
        <f t="shared" si="56"/>
        <v>0</v>
      </c>
      <c r="BF22" s="4438">
        <f t="shared" si="57"/>
        <v>0</v>
      </c>
      <c r="BG22" s="4438">
        <f t="shared" si="58"/>
        <v>0</v>
      </c>
      <c r="BH22" s="4438">
        <f t="shared" si="59"/>
        <v>0</v>
      </c>
      <c r="BI22" s="4438">
        <f t="shared" si="60"/>
        <v>0</v>
      </c>
      <c r="BJ22" s="4438">
        <f t="shared" si="61"/>
        <v>0</v>
      </c>
      <c r="BK22" s="4438">
        <f t="shared" si="62"/>
        <v>0</v>
      </c>
      <c r="BL22" s="4438">
        <f t="shared" si="63"/>
        <v>0</v>
      </c>
      <c r="BM22" s="4438">
        <f t="shared" si="64"/>
        <v>0</v>
      </c>
      <c r="BN22" s="4438">
        <f t="shared" si="65"/>
        <v>0</v>
      </c>
      <c r="BO22" s="4438">
        <f t="shared" si="66"/>
        <v>0</v>
      </c>
      <c r="BP22" s="4438">
        <f t="shared" si="67"/>
        <v>0</v>
      </c>
      <c r="BQ22" s="4438">
        <f t="shared" si="68"/>
        <v>0</v>
      </c>
      <c r="BR22" s="4438">
        <f t="shared" si="69"/>
        <v>0</v>
      </c>
      <c r="BS22" s="4438">
        <f t="shared" si="70"/>
        <v>0</v>
      </c>
      <c r="BT22" s="4438">
        <f t="shared" si="71"/>
        <v>0</v>
      </c>
      <c r="BU22" s="4438">
        <f t="shared" si="72"/>
        <v>0</v>
      </c>
      <c r="BV22" s="4438">
        <f t="shared" si="73"/>
        <v>0</v>
      </c>
      <c r="BW22" s="4438">
        <f t="shared" si="74"/>
        <v>0</v>
      </c>
      <c r="BX22" s="4438">
        <f t="shared" si="75"/>
        <v>0</v>
      </c>
      <c r="BY22" s="4438">
        <f t="shared" si="76"/>
        <v>0</v>
      </c>
      <c r="BZ22" s="4438">
        <f t="shared" si="77"/>
        <v>0</v>
      </c>
      <c r="CA22" s="4438">
        <f t="shared" si="78"/>
        <v>0</v>
      </c>
      <c r="CB22" s="4438">
        <f t="shared" si="79"/>
        <v>0</v>
      </c>
      <c r="CC22" s="4438">
        <f t="shared" si="80"/>
        <v>0</v>
      </c>
      <c r="CD22" s="4438">
        <f t="shared" si="81"/>
        <v>0</v>
      </c>
      <c r="CE22" s="4438">
        <f t="shared" si="82"/>
        <v>0</v>
      </c>
      <c r="CF22" s="4438">
        <f t="shared" si="83"/>
        <v>0</v>
      </c>
      <c r="CG22" s="4438">
        <f t="shared" si="84"/>
        <v>0</v>
      </c>
      <c r="CH22" s="4438">
        <f t="shared" si="85"/>
        <v>0</v>
      </c>
      <c r="CI22" s="4438">
        <f t="shared" si="86"/>
        <v>0</v>
      </c>
      <c r="CJ22" s="4438">
        <f t="shared" si="87"/>
        <v>0</v>
      </c>
      <c r="CK22" s="4438">
        <f t="shared" si="88"/>
        <v>0</v>
      </c>
    </row>
    <row r="23" spans="1:89">
      <c r="A23" s="2701"/>
      <c r="B23" s="3564">
        <v>2030401</v>
      </c>
      <c r="C23" s="3547">
        <v>0.1</v>
      </c>
      <c r="D23" s="2711" t="s">
        <v>991</v>
      </c>
      <c r="E23" s="2689">
        <f>'11.2. ДА за периода'!E23</f>
        <v>235</v>
      </c>
      <c r="F23" s="1202">
        <f>SUMIF('9.Инвестиционна програма'!$B$12:$B$35,$B23,'9.Инвестиционна програма'!H$12:H$35)*$E$6</f>
        <v>200</v>
      </c>
      <c r="G23" s="1198">
        <f>SUMIF('9.Инвестиционна програма'!$B$12:$B$35,$B23,'9.Инвестиционна програма'!I$12:I$35)*$E$6</f>
        <v>101</v>
      </c>
      <c r="H23" s="1198">
        <f>SUMIF('9.Инвестиционна програма'!$B$12:$B$35,$B23,'9.Инвестиционна програма'!J$12:J$35)*$E$6</f>
        <v>38</v>
      </c>
      <c r="I23" s="1198">
        <f>SUMIF('9.Инвестиционна програма'!$B$12:$B$35,$B23,'9.Инвестиционна програма'!K$12:K$35)*$E$6</f>
        <v>121</v>
      </c>
      <c r="J23" s="1198">
        <f>SUMIF('9.Инвестиционна програма'!$B$12:$B$35,$B23,'9.Инвестиционна програма'!L$12:L$35)*$E$6</f>
        <v>120</v>
      </c>
      <c r="K23" s="1203">
        <f>SUMIF('9.Инвестиционна програма'!$B$12:$B$35,$B23,'9.Инвестиционна програма'!M$12:M$35)*$E$6</f>
        <v>120</v>
      </c>
      <c r="L23" s="2689">
        <f>'11.2. ДА за периода'!L23</f>
        <v>0</v>
      </c>
      <c r="M23" s="1206">
        <f>SUMIF('9.Инвестиционна програма'!$B$37:$B$47,$B23,'9.Инвестиционна програма'!H$37:H$47)*$E$6</f>
        <v>0</v>
      </c>
      <c r="N23" s="1200">
        <f>SUMIF('9.Инвестиционна програма'!$B$37:$B$47,$B23,'9.Инвестиционна програма'!I$37:I$47)*$E$6</f>
        <v>0</v>
      </c>
      <c r="O23" s="1200">
        <f>SUMIF('9.Инвестиционна програма'!$B$37:$B$47,$B23,'9.Инвестиционна програма'!J$37:J$47)*$E$6</f>
        <v>0</v>
      </c>
      <c r="P23" s="1200">
        <f>SUMIF('9.Инвестиционна програма'!$B$37:$B$47,$B23,'9.Инвестиционна програма'!K$37:K$47)*$E$6</f>
        <v>0</v>
      </c>
      <c r="Q23" s="1200">
        <f>SUMIF('9.Инвестиционна програма'!$B$37:$B$47,$B23,'9.Инвестиционна програма'!L$37:L$47)*$E$6</f>
        <v>0</v>
      </c>
      <c r="R23" s="1201">
        <f>SUMIF('9.Инвестиционна програма'!$B$37:$B$47,$B23,'9.Инвестиционна програма'!M$37:M$47)*$E$6</f>
        <v>0</v>
      </c>
      <c r="S23" s="1087">
        <f>'11.2. ДА за периода'!S23</f>
        <v>0</v>
      </c>
      <c r="T23" s="881">
        <f>SUMIF('9.Инвестиционна програма'!$B$49:$B$56,$B23,'9.Инвестиционна програма'!H$49:H$56)*$E$6</f>
        <v>0</v>
      </c>
      <c r="U23" s="881">
        <f>SUMIF('9.Инвестиционна програма'!$B$49:$B$56,$B23,'9.Инвестиционна програма'!I$49:I$56)*$E$6</f>
        <v>0</v>
      </c>
      <c r="V23" s="881">
        <f>SUMIF('9.Инвестиционна програма'!$B$49:$B$56,$B23,'9.Инвестиционна програма'!J$49:J$56)*$E$6</f>
        <v>0</v>
      </c>
      <c r="W23" s="881">
        <f>SUMIF('9.Инвестиционна програма'!$B$49:$B$56,$B23,'9.Инвестиционна програма'!K$49:K$56)*$E$6</f>
        <v>0</v>
      </c>
      <c r="X23" s="881">
        <f>SUMIF('9.Инвестиционна програма'!$B$49:$B$56,$B23,'9.Инвестиционна програма'!L$49:L$56)*$E$6</f>
        <v>0</v>
      </c>
      <c r="Y23" s="2690">
        <f>SUMIF('9.Инвестиционна програма'!$B$49:$B$56,$B23,'9.Инвестиционна програма'!M$49:M$56)*$E$6</f>
        <v>0</v>
      </c>
      <c r="Z23" s="1087">
        <f>'11.2. ДА за периода'!Z23</f>
        <v>0</v>
      </c>
      <c r="AA23" s="881">
        <f>SUMIF('9.Инвестиционна програма'!$B$74:$B$97,$B23,'9.Инвестиционна програма'!H$74:H$97)*$E$6</f>
        <v>0</v>
      </c>
      <c r="AB23" s="881">
        <f>SUMIF('9.Инвестиционна програма'!$B$74:$B$97,$B23,'9.Инвестиционна програма'!I$74:I$97)*$E$6</f>
        <v>0</v>
      </c>
      <c r="AC23" s="881">
        <f>SUMIF('9.Инвестиционна програма'!$B$74:$B$97,$B23,'9.Инвестиционна програма'!J$74:J$97)*$E$6</f>
        <v>0</v>
      </c>
      <c r="AD23" s="881">
        <f>SUMIF('9.Инвестиционна програма'!$B$74:$B$97,$B23,'9.Инвестиционна програма'!K$74:K$97)*$E$6</f>
        <v>0</v>
      </c>
      <c r="AE23" s="881">
        <f>SUMIF('9.Инвестиционна програма'!$B$74:$B$97,$B23,'9.Инвестиционна програма'!L$74:L$97)*$E$6</f>
        <v>0</v>
      </c>
      <c r="AF23" s="881">
        <f>SUMIF('9.Инвестиционна програма'!$B$74:$B$97,$B23,'9.Инвестиционна програма'!M$74:M$97)*$E$6</f>
        <v>0</v>
      </c>
      <c r="AG23" s="1087">
        <f>'11.2. ДА за периода'!AG23</f>
        <v>0</v>
      </c>
      <c r="AH23" s="881">
        <f>SUMIF('9.Инвестиционна програма'!$B$100:$B$123,$B23,'9.Инвестиционна програма'!H$100:H$123)*$E$6</f>
        <v>0</v>
      </c>
      <c r="AI23" s="881">
        <f>SUMIF('9.Инвестиционна програма'!$B$100:$B$123,$B23,'9.Инвестиционна програма'!I$100:I$123)*$E$6</f>
        <v>0</v>
      </c>
      <c r="AJ23" s="881">
        <f>SUMIF('9.Инвестиционна програма'!$B$100:$B$123,$B23,'9.Инвестиционна програма'!J$100:J$123)*$E$6</f>
        <v>0</v>
      </c>
      <c r="AK23" s="881">
        <f>SUMIF('9.Инвестиционна програма'!$B$100:$B$123,$B23,'9.Инвестиционна програма'!K$100:K$123)*$E$6</f>
        <v>0</v>
      </c>
      <c r="AL23" s="881">
        <f>SUMIF('9.Инвестиционна програма'!$B$100:$B$123,$B23,'9.Инвестиционна програма'!L$100:L$123)*$E$6</f>
        <v>0</v>
      </c>
      <c r="AM23" s="881">
        <f>SUMIF('9.Инвестиционна програма'!$B$100:$B$123,$B23,'9.Инвестиционна програма'!M$100:M$123)*$E$6</f>
        <v>0</v>
      </c>
      <c r="AN23" s="1087">
        <f>'11.2. ДА за периода'!AN23</f>
        <v>0</v>
      </c>
      <c r="AO23" s="1206">
        <f>(SUMIF('9.Инвестиционна програма'!$B$58:$B$59,$B23,'9.Инвестиционна програма'!H$58:H$59)+SUMIF('9.Инвестиционна програма'!$B$61:$B$71,$B23,'9.Инвестиционна програма'!H$61:H$71))*$E$6</f>
        <v>0</v>
      </c>
      <c r="AP23" s="881">
        <f>(SUMIF('9.Инвестиционна програма'!$B$58:$B$59,$B23,'9.Инвестиционна програма'!I$58:I$59)+SUMIF('9.Инвестиционна програма'!$B$61:$B$71,$B23,'9.Инвестиционна програма'!I$61:I$71))*$E$6</f>
        <v>0</v>
      </c>
      <c r="AQ23" s="881">
        <f>(SUMIF('9.Инвестиционна програма'!$B$58:$B$59,$B23,'9.Инвестиционна програма'!J$58:J$59)+SUMIF('9.Инвестиционна програма'!$B$61:$B$71,$B23,'9.Инвестиционна програма'!J$61:J$71))*$E$6</f>
        <v>0</v>
      </c>
      <c r="AR23" s="881">
        <f>(SUMIF('9.Инвестиционна програма'!$B$58:$B$59,$B23,'9.Инвестиционна програма'!K$58:K$59)+SUMIF('9.Инвестиционна програма'!$B$61:$B$71,$B23,'9.Инвестиционна програма'!K$61:K$71))*$E$6</f>
        <v>0</v>
      </c>
      <c r="AS23" s="881">
        <f>(SUMIF('9.Инвестиционна програма'!$B$58:$B$59,$B23,'9.Инвестиционна програма'!L$58:L$59)+SUMIF('9.Инвестиционна програма'!$B$61:$B$71,$B23,'9.Инвестиционна програма'!L$61:L$71))*$E$6</f>
        <v>0</v>
      </c>
      <c r="AT23" s="2690">
        <f>(SUMIF('9.Инвестиционна програма'!$B$58:$B$59,$B23,'9.Инвестиционна програма'!M$58:M$59)+SUMIF('9.Инвестиционна програма'!$B$61:$B$71,$B23,'9.Инвестиционна програма'!M$61:M$71))*$E$6</f>
        <v>0</v>
      </c>
      <c r="AU23" s="4422"/>
      <c r="AV23" s="4438">
        <f t="shared" si="47"/>
        <v>120.15359208111134</v>
      </c>
      <c r="AW23" s="4438">
        <f t="shared" si="48"/>
        <v>102.2583762392437</v>
      </c>
      <c r="AX23" s="4438">
        <f t="shared" si="49"/>
        <v>51.640480000818066</v>
      </c>
      <c r="AY23" s="4438">
        <f t="shared" si="50"/>
        <v>19.429091485456304</v>
      </c>
      <c r="AZ23" s="4438">
        <f t="shared" si="51"/>
        <v>61.866317624742436</v>
      </c>
      <c r="BA23" s="4438">
        <f t="shared" si="52"/>
        <v>61.355025743546221</v>
      </c>
      <c r="BB23" s="4438">
        <f t="shared" si="53"/>
        <v>61.355025743546221</v>
      </c>
      <c r="BC23" s="4438">
        <f t="shared" si="54"/>
        <v>0</v>
      </c>
      <c r="BD23" s="4438">
        <f t="shared" si="55"/>
        <v>0</v>
      </c>
      <c r="BE23" s="4438">
        <f t="shared" si="56"/>
        <v>0</v>
      </c>
      <c r="BF23" s="4438">
        <f t="shared" si="57"/>
        <v>0</v>
      </c>
      <c r="BG23" s="4438">
        <f t="shared" si="58"/>
        <v>0</v>
      </c>
      <c r="BH23" s="4438">
        <f t="shared" si="59"/>
        <v>0</v>
      </c>
      <c r="BI23" s="4438">
        <f t="shared" si="60"/>
        <v>0</v>
      </c>
      <c r="BJ23" s="4438">
        <f t="shared" si="61"/>
        <v>0</v>
      </c>
      <c r="BK23" s="4438">
        <f t="shared" si="62"/>
        <v>0</v>
      </c>
      <c r="BL23" s="4438">
        <f t="shared" si="63"/>
        <v>0</v>
      </c>
      <c r="BM23" s="4438">
        <f t="shared" si="64"/>
        <v>0</v>
      </c>
      <c r="BN23" s="4438">
        <f t="shared" si="65"/>
        <v>0</v>
      </c>
      <c r="BO23" s="4438">
        <f t="shared" si="66"/>
        <v>0</v>
      </c>
      <c r="BP23" s="4438">
        <f t="shared" si="67"/>
        <v>0</v>
      </c>
      <c r="BQ23" s="4438">
        <f t="shared" si="68"/>
        <v>0</v>
      </c>
      <c r="BR23" s="4438">
        <f t="shared" si="69"/>
        <v>0</v>
      </c>
      <c r="BS23" s="4438">
        <f t="shared" si="70"/>
        <v>0</v>
      </c>
      <c r="BT23" s="4438">
        <f t="shared" si="71"/>
        <v>0</v>
      </c>
      <c r="BU23" s="4438">
        <f t="shared" si="72"/>
        <v>0</v>
      </c>
      <c r="BV23" s="4438">
        <f t="shared" si="73"/>
        <v>0</v>
      </c>
      <c r="BW23" s="4438">
        <f t="shared" si="74"/>
        <v>0</v>
      </c>
      <c r="BX23" s="4438">
        <f t="shared" si="75"/>
        <v>0</v>
      </c>
      <c r="BY23" s="4438">
        <f t="shared" si="76"/>
        <v>0</v>
      </c>
      <c r="BZ23" s="4438">
        <f t="shared" si="77"/>
        <v>0</v>
      </c>
      <c r="CA23" s="4438">
        <f t="shared" si="78"/>
        <v>0</v>
      </c>
      <c r="CB23" s="4438">
        <f t="shared" si="79"/>
        <v>0</v>
      </c>
      <c r="CC23" s="4438">
        <f t="shared" si="80"/>
        <v>0</v>
      </c>
      <c r="CD23" s="4438">
        <f t="shared" si="81"/>
        <v>0</v>
      </c>
      <c r="CE23" s="4438">
        <f t="shared" si="82"/>
        <v>0</v>
      </c>
      <c r="CF23" s="4438">
        <f t="shared" si="83"/>
        <v>0</v>
      </c>
      <c r="CG23" s="4438">
        <f t="shared" si="84"/>
        <v>0</v>
      </c>
      <c r="CH23" s="4438">
        <f t="shared" si="85"/>
        <v>0</v>
      </c>
      <c r="CI23" s="4438">
        <f t="shared" si="86"/>
        <v>0</v>
      </c>
      <c r="CJ23" s="4438">
        <f t="shared" si="87"/>
        <v>0</v>
      </c>
      <c r="CK23" s="4438">
        <f t="shared" si="88"/>
        <v>0</v>
      </c>
    </row>
    <row r="24" spans="1:89">
      <c r="A24" s="2701"/>
      <c r="B24" s="3564">
        <v>2030402</v>
      </c>
      <c r="C24" s="3547">
        <v>0.1</v>
      </c>
      <c r="D24" s="2711" t="s">
        <v>429</v>
      </c>
      <c r="E24" s="2689">
        <f>'11.2. ДА за периода'!E24</f>
        <v>54</v>
      </c>
      <c r="F24" s="1202">
        <f>SUMIF('9.Инвестиционна програма'!$B$12:$B$35,$B24,'9.Инвестиционна програма'!H$12:H$35)*$E$6</f>
        <v>0</v>
      </c>
      <c r="G24" s="1198">
        <f>SUMIF('9.Инвестиционна програма'!$B$12:$B$35,$B24,'9.Инвестиционна програма'!I$12:I$35)*$E$6</f>
        <v>0</v>
      </c>
      <c r="H24" s="1198">
        <f>SUMIF('9.Инвестиционна програма'!$B$12:$B$35,$B24,'9.Инвестиционна програма'!J$12:J$35)*$E$6</f>
        <v>0</v>
      </c>
      <c r="I24" s="1198">
        <f>SUMIF('9.Инвестиционна програма'!$B$12:$B$35,$B24,'9.Инвестиционна програма'!K$12:K$35)*$E$6</f>
        <v>0</v>
      </c>
      <c r="J24" s="1198">
        <f>SUMIF('9.Инвестиционна програма'!$B$12:$B$35,$B24,'9.Инвестиционна програма'!L$12:L$35)*$E$6</f>
        <v>0</v>
      </c>
      <c r="K24" s="1203">
        <f>SUMIF('9.Инвестиционна програма'!$B$12:$B$35,$B24,'9.Инвестиционна програма'!M$12:M$35)*$E$6</f>
        <v>0</v>
      </c>
      <c r="L24" s="2689">
        <f>'11.2. ДА за периода'!L24</f>
        <v>0</v>
      </c>
      <c r="M24" s="1206">
        <f>SUMIF('9.Инвестиционна програма'!$B$37:$B$47,$B24,'9.Инвестиционна програма'!H$37:H$47)*$E$6</f>
        <v>0</v>
      </c>
      <c r="N24" s="1200">
        <f>SUMIF('9.Инвестиционна програма'!$B$37:$B$47,$B24,'9.Инвестиционна програма'!I$37:I$47)*$E$6</f>
        <v>0</v>
      </c>
      <c r="O24" s="1200">
        <f>SUMIF('9.Инвестиционна програма'!$B$37:$B$47,$B24,'9.Инвестиционна програма'!J$37:J$47)*$E$6</f>
        <v>0</v>
      </c>
      <c r="P24" s="1200">
        <f>SUMIF('9.Инвестиционна програма'!$B$37:$B$47,$B24,'9.Инвестиционна програма'!K$37:K$47)*$E$6</f>
        <v>0</v>
      </c>
      <c r="Q24" s="1200">
        <f>SUMIF('9.Инвестиционна програма'!$B$37:$B$47,$B24,'9.Инвестиционна програма'!L$37:L$47)*$E$6</f>
        <v>0</v>
      </c>
      <c r="R24" s="1201">
        <f>SUMIF('9.Инвестиционна програма'!$B$37:$B$47,$B24,'9.Инвестиционна програма'!M$37:M$47)*$E$6</f>
        <v>0</v>
      </c>
      <c r="S24" s="1087">
        <f>'11.2. ДА за периода'!S24</f>
        <v>0</v>
      </c>
      <c r="T24" s="881">
        <f>SUMIF('9.Инвестиционна програма'!$B$49:$B$56,$B24,'9.Инвестиционна програма'!H$49:H$56)*$E$6</f>
        <v>0</v>
      </c>
      <c r="U24" s="881">
        <f>SUMIF('9.Инвестиционна програма'!$B$49:$B$56,$B24,'9.Инвестиционна програма'!I$49:I$56)*$E$6</f>
        <v>0</v>
      </c>
      <c r="V24" s="881">
        <f>SUMIF('9.Инвестиционна програма'!$B$49:$B$56,$B24,'9.Инвестиционна програма'!J$49:J$56)*$E$6</f>
        <v>0</v>
      </c>
      <c r="W24" s="881">
        <f>SUMIF('9.Инвестиционна програма'!$B$49:$B$56,$B24,'9.Инвестиционна програма'!K$49:K$56)*$E$6</f>
        <v>0</v>
      </c>
      <c r="X24" s="881">
        <f>SUMIF('9.Инвестиционна програма'!$B$49:$B$56,$B24,'9.Инвестиционна програма'!L$49:L$56)*$E$6</f>
        <v>0</v>
      </c>
      <c r="Y24" s="2690">
        <f>SUMIF('9.Инвестиционна програма'!$B$49:$B$56,$B24,'9.Инвестиционна програма'!M$49:M$56)*$E$6</f>
        <v>0</v>
      </c>
      <c r="Z24" s="1087">
        <f>'11.2. ДА за периода'!Z24</f>
        <v>0</v>
      </c>
      <c r="AA24" s="881">
        <f>SUMIF('9.Инвестиционна програма'!$B$74:$B$97,$B24,'9.Инвестиционна програма'!H$74:H$97)*$E$6</f>
        <v>0</v>
      </c>
      <c r="AB24" s="881">
        <f>SUMIF('9.Инвестиционна програма'!$B$74:$B$97,$B24,'9.Инвестиционна програма'!I$74:I$97)*$E$6</f>
        <v>0</v>
      </c>
      <c r="AC24" s="881">
        <f>SUMIF('9.Инвестиционна програма'!$B$74:$B$97,$B24,'9.Инвестиционна програма'!J$74:J$97)*$E$6</f>
        <v>0</v>
      </c>
      <c r="AD24" s="881">
        <f>SUMIF('9.Инвестиционна програма'!$B$74:$B$97,$B24,'9.Инвестиционна програма'!K$74:K$97)*$E$6</f>
        <v>0</v>
      </c>
      <c r="AE24" s="881">
        <f>SUMIF('9.Инвестиционна програма'!$B$74:$B$97,$B24,'9.Инвестиционна програма'!L$74:L$97)*$E$6</f>
        <v>0</v>
      </c>
      <c r="AF24" s="881">
        <f>SUMIF('9.Инвестиционна програма'!$B$74:$B$97,$B24,'9.Инвестиционна програма'!M$74:M$97)*$E$6</f>
        <v>0</v>
      </c>
      <c r="AG24" s="1087">
        <f>'11.2. ДА за периода'!AG24</f>
        <v>0</v>
      </c>
      <c r="AH24" s="881">
        <f>SUMIF('9.Инвестиционна програма'!$B$100:$B$123,$B24,'9.Инвестиционна програма'!H$100:H$123)*$E$6</f>
        <v>0</v>
      </c>
      <c r="AI24" s="881">
        <f>SUMIF('9.Инвестиционна програма'!$B$100:$B$123,$B24,'9.Инвестиционна програма'!I$100:I$123)*$E$6</f>
        <v>0</v>
      </c>
      <c r="AJ24" s="881">
        <f>SUMIF('9.Инвестиционна програма'!$B$100:$B$123,$B24,'9.Инвестиционна програма'!J$100:J$123)*$E$6</f>
        <v>0</v>
      </c>
      <c r="AK24" s="881">
        <f>SUMIF('9.Инвестиционна програма'!$B$100:$B$123,$B24,'9.Инвестиционна програма'!K$100:K$123)*$E$6</f>
        <v>0</v>
      </c>
      <c r="AL24" s="881">
        <f>SUMIF('9.Инвестиционна програма'!$B$100:$B$123,$B24,'9.Инвестиционна програма'!L$100:L$123)*$E$6</f>
        <v>0</v>
      </c>
      <c r="AM24" s="881">
        <f>SUMIF('9.Инвестиционна програма'!$B$100:$B$123,$B24,'9.Инвестиционна програма'!M$100:M$123)*$E$6</f>
        <v>0</v>
      </c>
      <c r="AN24" s="1087">
        <f>'11.2. ДА за периода'!AN24</f>
        <v>0</v>
      </c>
      <c r="AO24" s="1206">
        <f>(SUMIF('9.Инвестиционна програма'!$B$58:$B$59,$B24,'9.Инвестиционна програма'!H$58:H$59)+SUMIF('9.Инвестиционна програма'!$B$61:$B$71,$B24,'9.Инвестиционна програма'!H$61:H$71))*$E$6</f>
        <v>0</v>
      </c>
      <c r="AP24" s="881">
        <f>(SUMIF('9.Инвестиционна програма'!$B$58:$B$59,$B24,'9.Инвестиционна програма'!I$58:I$59)+SUMIF('9.Инвестиционна програма'!$B$61:$B$71,$B24,'9.Инвестиционна програма'!I$61:I$71))*$E$6</f>
        <v>0</v>
      </c>
      <c r="AQ24" s="881">
        <f>(SUMIF('9.Инвестиционна програма'!$B$58:$B$59,$B24,'9.Инвестиционна програма'!J$58:J$59)+SUMIF('9.Инвестиционна програма'!$B$61:$B$71,$B24,'9.Инвестиционна програма'!J$61:J$71))*$E$6</f>
        <v>0</v>
      </c>
      <c r="AR24" s="881">
        <f>(SUMIF('9.Инвестиционна програма'!$B$58:$B$59,$B24,'9.Инвестиционна програма'!K$58:K$59)+SUMIF('9.Инвестиционна програма'!$B$61:$B$71,$B24,'9.Инвестиционна програма'!K$61:K$71))*$E$6</f>
        <v>0</v>
      </c>
      <c r="AS24" s="881">
        <f>(SUMIF('9.Инвестиционна програма'!$B$58:$B$59,$B24,'9.Инвестиционна програма'!L$58:L$59)+SUMIF('9.Инвестиционна програма'!$B$61:$B$71,$B24,'9.Инвестиционна програма'!L$61:L$71))*$E$6</f>
        <v>0</v>
      </c>
      <c r="AT24" s="2690">
        <f>(SUMIF('9.Инвестиционна програма'!$B$58:$B$59,$B24,'9.Инвестиционна програма'!M$58:M$59)+SUMIF('9.Инвестиционна програма'!$B$61:$B$71,$B24,'9.Инвестиционна програма'!M$61:M$71))*$E$6</f>
        <v>0</v>
      </c>
      <c r="AU24" s="4422"/>
      <c r="AV24" s="4438">
        <f t="shared" si="47"/>
        <v>27.609761584595798</v>
      </c>
      <c r="AW24" s="4438">
        <f t="shared" si="48"/>
        <v>0</v>
      </c>
      <c r="AX24" s="4438">
        <f t="shared" si="49"/>
        <v>0</v>
      </c>
      <c r="AY24" s="4438">
        <f t="shared" si="50"/>
        <v>0</v>
      </c>
      <c r="AZ24" s="4438">
        <f t="shared" si="51"/>
        <v>0</v>
      </c>
      <c r="BA24" s="4438">
        <f t="shared" si="52"/>
        <v>0</v>
      </c>
      <c r="BB24" s="4438">
        <f t="shared" si="53"/>
        <v>0</v>
      </c>
      <c r="BC24" s="4438">
        <f t="shared" si="54"/>
        <v>0</v>
      </c>
      <c r="BD24" s="4438">
        <f t="shared" si="55"/>
        <v>0</v>
      </c>
      <c r="BE24" s="4438">
        <f t="shared" si="56"/>
        <v>0</v>
      </c>
      <c r="BF24" s="4438">
        <f t="shared" si="57"/>
        <v>0</v>
      </c>
      <c r="BG24" s="4438">
        <f t="shared" si="58"/>
        <v>0</v>
      </c>
      <c r="BH24" s="4438">
        <f t="shared" si="59"/>
        <v>0</v>
      </c>
      <c r="BI24" s="4438">
        <f t="shared" si="60"/>
        <v>0</v>
      </c>
      <c r="BJ24" s="4438">
        <f t="shared" si="61"/>
        <v>0</v>
      </c>
      <c r="BK24" s="4438">
        <f t="shared" si="62"/>
        <v>0</v>
      </c>
      <c r="BL24" s="4438">
        <f t="shared" si="63"/>
        <v>0</v>
      </c>
      <c r="BM24" s="4438">
        <f t="shared" si="64"/>
        <v>0</v>
      </c>
      <c r="BN24" s="4438">
        <f t="shared" si="65"/>
        <v>0</v>
      </c>
      <c r="BO24" s="4438">
        <f t="shared" si="66"/>
        <v>0</v>
      </c>
      <c r="BP24" s="4438">
        <f t="shared" si="67"/>
        <v>0</v>
      </c>
      <c r="BQ24" s="4438">
        <f t="shared" si="68"/>
        <v>0</v>
      </c>
      <c r="BR24" s="4438">
        <f t="shared" si="69"/>
        <v>0</v>
      </c>
      <c r="BS24" s="4438">
        <f t="shared" si="70"/>
        <v>0</v>
      </c>
      <c r="BT24" s="4438">
        <f t="shared" si="71"/>
        <v>0</v>
      </c>
      <c r="BU24" s="4438">
        <f t="shared" si="72"/>
        <v>0</v>
      </c>
      <c r="BV24" s="4438">
        <f t="shared" si="73"/>
        <v>0</v>
      </c>
      <c r="BW24" s="4438">
        <f t="shared" si="74"/>
        <v>0</v>
      </c>
      <c r="BX24" s="4438">
        <f t="shared" si="75"/>
        <v>0</v>
      </c>
      <c r="BY24" s="4438">
        <f t="shared" si="76"/>
        <v>0</v>
      </c>
      <c r="BZ24" s="4438">
        <f t="shared" si="77"/>
        <v>0</v>
      </c>
      <c r="CA24" s="4438">
        <f t="shared" si="78"/>
        <v>0</v>
      </c>
      <c r="CB24" s="4438">
        <f t="shared" si="79"/>
        <v>0</v>
      </c>
      <c r="CC24" s="4438">
        <f t="shared" si="80"/>
        <v>0</v>
      </c>
      <c r="CD24" s="4438">
        <f t="shared" si="81"/>
        <v>0</v>
      </c>
      <c r="CE24" s="4438">
        <f t="shared" si="82"/>
        <v>0</v>
      </c>
      <c r="CF24" s="4438">
        <f t="shared" si="83"/>
        <v>0</v>
      </c>
      <c r="CG24" s="4438">
        <f t="shared" si="84"/>
        <v>0</v>
      </c>
      <c r="CH24" s="4438">
        <f t="shared" si="85"/>
        <v>0</v>
      </c>
      <c r="CI24" s="4438">
        <f t="shared" si="86"/>
        <v>0</v>
      </c>
      <c r="CJ24" s="4438">
        <f t="shared" si="87"/>
        <v>0</v>
      </c>
      <c r="CK24" s="4438">
        <f t="shared" si="88"/>
        <v>0</v>
      </c>
    </row>
    <row r="25" spans="1:89">
      <c r="A25" s="2701"/>
      <c r="B25" s="3563">
        <v>20305</v>
      </c>
      <c r="C25" s="3546"/>
      <c r="D25" s="2704" t="s">
        <v>430</v>
      </c>
      <c r="E25" s="2705">
        <f>SUM(E26:E28)</f>
        <v>433</v>
      </c>
      <c r="F25" s="2706">
        <f t="shared" ref="F25:AT25" si="94">SUM(F26:F28)</f>
        <v>330</v>
      </c>
      <c r="G25" s="2707">
        <f t="shared" si="94"/>
        <v>24</v>
      </c>
      <c r="H25" s="2707">
        <f t="shared" si="94"/>
        <v>49</v>
      </c>
      <c r="I25" s="2707">
        <f t="shared" si="94"/>
        <v>68</v>
      </c>
      <c r="J25" s="2707">
        <f t="shared" si="94"/>
        <v>162</v>
      </c>
      <c r="K25" s="2708">
        <f t="shared" si="94"/>
        <v>106</v>
      </c>
      <c r="L25" s="2705">
        <f t="shared" si="94"/>
        <v>78</v>
      </c>
      <c r="M25" s="2706">
        <f t="shared" si="94"/>
        <v>2</v>
      </c>
      <c r="N25" s="2707">
        <f t="shared" si="94"/>
        <v>0</v>
      </c>
      <c r="O25" s="2707">
        <f t="shared" si="94"/>
        <v>0</v>
      </c>
      <c r="P25" s="2707">
        <f t="shared" si="94"/>
        <v>0</v>
      </c>
      <c r="Q25" s="2707">
        <f t="shared" si="94"/>
        <v>0</v>
      </c>
      <c r="R25" s="2708">
        <f t="shared" si="94"/>
        <v>0</v>
      </c>
      <c r="S25" s="2709">
        <f t="shared" si="94"/>
        <v>153</v>
      </c>
      <c r="T25" s="2710">
        <f t="shared" si="94"/>
        <v>10</v>
      </c>
      <c r="U25" s="2707">
        <f t="shared" si="94"/>
        <v>0</v>
      </c>
      <c r="V25" s="2707">
        <f t="shared" si="94"/>
        <v>0</v>
      </c>
      <c r="W25" s="2707">
        <f t="shared" si="94"/>
        <v>0</v>
      </c>
      <c r="X25" s="2707">
        <f t="shared" si="94"/>
        <v>0</v>
      </c>
      <c r="Y25" s="2708">
        <f t="shared" si="94"/>
        <v>0</v>
      </c>
      <c r="Z25" s="2709">
        <f t="shared" si="94"/>
        <v>0</v>
      </c>
      <c r="AA25" s="2710">
        <f t="shared" si="94"/>
        <v>0</v>
      </c>
      <c r="AB25" s="2707">
        <f t="shared" si="94"/>
        <v>0</v>
      </c>
      <c r="AC25" s="2707">
        <f t="shared" si="94"/>
        <v>0</v>
      </c>
      <c r="AD25" s="2707">
        <f t="shared" si="94"/>
        <v>0</v>
      </c>
      <c r="AE25" s="2707">
        <f t="shared" si="94"/>
        <v>0</v>
      </c>
      <c r="AF25" s="2708">
        <f t="shared" si="94"/>
        <v>0</v>
      </c>
      <c r="AG25" s="2709">
        <f t="shared" si="94"/>
        <v>0</v>
      </c>
      <c r="AH25" s="2710">
        <f t="shared" si="94"/>
        <v>0</v>
      </c>
      <c r="AI25" s="2707">
        <f t="shared" si="94"/>
        <v>0</v>
      </c>
      <c r="AJ25" s="2707">
        <f t="shared" si="94"/>
        <v>0</v>
      </c>
      <c r="AK25" s="2707">
        <f t="shared" si="94"/>
        <v>0</v>
      </c>
      <c r="AL25" s="2707">
        <f t="shared" si="94"/>
        <v>0</v>
      </c>
      <c r="AM25" s="2708">
        <f t="shared" si="94"/>
        <v>0</v>
      </c>
      <c r="AN25" s="2709">
        <f t="shared" si="94"/>
        <v>0</v>
      </c>
      <c r="AO25" s="2710">
        <f t="shared" si="94"/>
        <v>252</v>
      </c>
      <c r="AP25" s="2707">
        <f t="shared" si="94"/>
        <v>1216</v>
      </c>
      <c r="AQ25" s="2707">
        <f t="shared" si="94"/>
        <v>1459</v>
      </c>
      <c r="AR25" s="2707">
        <f t="shared" si="94"/>
        <v>1079</v>
      </c>
      <c r="AS25" s="2707">
        <f t="shared" si="94"/>
        <v>935.2</v>
      </c>
      <c r="AT25" s="2708">
        <f t="shared" si="94"/>
        <v>962</v>
      </c>
      <c r="AU25" s="4422"/>
      <c r="AV25" s="4438">
        <f t="shared" si="47"/>
        <v>221.38938455796261</v>
      </c>
      <c r="AW25" s="4438">
        <f t="shared" si="48"/>
        <v>168.7263207947521</v>
      </c>
      <c r="AX25" s="4438">
        <f t="shared" si="49"/>
        <v>12.271005148709245</v>
      </c>
      <c r="AY25" s="4438">
        <f t="shared" si="50"/>
        <v>25.053302178614707</v>
      </c>
      <c r="AZ25" s="4438">
        <f t="shared" si="51"/>
        <v>34.767847921342856</v>
      </c>
      <c r="BA25" s="4438">
        <f t="shared" si="52"/>
        <v>82.829284753787391</v>
      </c>
      <c r="BB25" s="4438">
        <f t="shared" si="53"/>
        <v>54.19693940679916</v>
      </c>
      <c r="BC25" s="4438">
        <f t="shared" si="54"/>
        <v>39.880766733305045</v>
      </c>
      <c r="BD25" s="4438">
        <f t="shared" si="55"/>
        <v>1.022583762392437</v>
      </c>
      <c r="BE25" s="4438">
        <f t="shared" si="56"/>
        <v>0</v>
      </c>
      <c r="BF25" s="4438">
        <f t="shared" si="57"/>
        <v>0</v>
      </c>
      <c r="BG25" s="4438">
        <f t="shared" si="58"/>
        <v>0</v>
      </c>
      <c r="BH25" s="4438">
        <f t="shared" si="59"/>
        <v>0</v>
      </c>
      <c r="BI25" s="4438">
        <f t="shared" si="60"/>
        <v>0</v>
      </c>
      <c r="BJ25" s="4438">
        <f t="shared" si="61"/>
        <v>78.227657823021431</v>
      </c>
      <c r="BK25" s="4438">
        <f t="shared" si="62"/>
        <v>5.1129188119621851</v>
      </c>
      <c r="BL25" s="4438">
        <f t="shared" si="63"/>
        <v>0</v>
      </c>
      <c r="BM25" s="4438">
        <f t="shared" si="64"/>
        <v>0</v>
      </c>
      <c r="BN25" s="4438">
        <f t="shared" si="65"/>
        <v>0</v>
      </c>
      <c r="BO25" s="4438">
        <f t="shared" si="66"/>
        <v>0</v>
      </c>
      <c r="BP25" s="4438">
        <f t="shared" si="67"/>
        <v>0</v>
      </c>
      <c r="BQ25" s="4438">
        <f t="shared" si="68"/>
        <v>0</v>
      </c>
      <c r="BR25" s="4438">
        <f t="shared" si="69"/>
        <v>0</v>
      </c>
      <c r="BS25" s="4438">
        <f t="shared" si="70"/>
        <v>0</v>
      </c>
      <c r="BT25" s="4438">
        <f t="shared" si="71"/>
        <v>0</v>
      </c>
      <c r="BU25" s="4438">
        <f t="shared" si="72"/>
        <v>0</v>
      </c>
      <c r="BV25" s="4438">
        <f t="shared" si="73"/>
        <v>0</v>
      </c>
      <c r="BW25" s="4438">
        <f t="shared" si="74"/>
        <v>0</v>
      </c>
      <c r="BX25" s="4438">
        <f t="shared" si="75"/>
        <v>0</v>
      </c>
      <c r="BY25" s="4438">
        <f t="shared" si="76"/>
        <v>0</v>
      </c>
      <c r="BZ25" s="4438">
        <f t="shared" si="77"/>
        <v>0</v>
      </c>
      <c r="CA25" s="4438">
        <f t="shared" si="78"/>
        <v>0</v>
      </c>
      <c r="CB25" s="4438">
        <f t="shared" si="79"/>
        <v>0</v>
      </c>
      <c r="CC25" s="4438">
        <f t="shared" si="80"/>
        <v>0</v>
      </c>
      <c r="CD25" s="4438">
        <f t="shared" si="81"/>
        <v>0</v>
      </c>
      <c r="CE25" s="4438">
        <f t="shared" si="82"/>
        <v>0</v>
      </c>
      <c r="CF25" s="4438">
        <f t="shared" si="83"/>
        <v>128.84555406144707</v>
      </c>
      <c r="CG25" s="4438">
        <f t="shared" si="84"/>
        <v>621.73092753460173</v>
      </c>
      <c r="CH25" s="4438">
        <f t="shared" si="85"/>
        <v>745.97485466528281</v>
      </c>
      <c r="CI25" s="4438">
        <f t="shared" si="86"/>
        <v>551.68393981071972</v>
      </c>
      <c r="CJ25" s="4438">
        <f t="shared" si="87"/>
        <v>478.16016729470357</v>
      </c>
      <c r="CK25" s="4438">
        <f t="shared" si="88"/>
        <v>491.86278971076217</v>
      </c>
    </row>
    <row r="26" spans="1:89">
      <c r="A26" s="2701"/>
      <c r="B26" s="3563">
        <v>2030501</v>
      </c>
      <c r="C26" s="3547">
        <v>0.1</v>
      </c>
      <c r="D26" s="2711" t="s">
        <v>1001</v>
      </c>
      <c r="E26" s="2689">
        <f>'11.2. ДА за периода'!E26</f>
        <v>291</v>
      </c>
      <c r="F26" s="1202">
        <f>SUMIF('9.Инвестиционна програма'!$B$12:$B$35,$B26,'9.Инвестиционна програма'!H$12:H$35)*$E$6</f>
        <v>80</v>
      </c>
      <c r="G26" s="1198">
        <f>SUMIF('9.Инвестиционна програма'!$B$12:$B$35,$B26,'9.Инвестиционна програма'!I$12:I$35)*$E$6</f>
        <v>4</v>
      </c>
      <c r="H26" s="1198">
        <f>SUMIF('9.Инвестиционна програма'!$B$12:$B$35,$B26,'9.Инвестиционна програма'!J$12:J$35)*$E$6</f>
        <v>7</v>
      </c>
      <c r="I26" s="1198">
        <f>SUMIF('9.Инвестиционна програма'!$B$12:$B$35,$B26,'9.Инвестиционна програма'!K$12:K$35)*$E$6</f>
        <v>18</v>
      </c>
      <c r="J26" s="1198">
        <f>SUMIF('9.Инвестиционна програма'!$B$12:$B$35,$B26,'9.Инвестиционна програма'!L$12:L$35)*$E$6</f>
        <v>17</v>
      </c>
      <c r="K26" s="1203">
        <f>SUMIF('9.Инвестиционна програма'!$B$12:$B$35,$B26,'9.Инвестиционна програма'!M$12:M$35)*$E$6</f>
        <v>24</v>
      </c>
      <c r="L26" s="2689">
        <f>'11.2. ДА за периода'!L26</f>
        <v>78</v>
      </c>
      <c r="M26" s="1206">
        <f>SUMIF('9.Инвестиционна програма'!$B$37:$B$47,$B26,'9.Инвестиционна програма'!H$37:H$47)*$E$6</f>
        <v>0</v>
      </c>
      <c r="N26" s="1200">
        <f>SUMIF('9.Инвестиционна програма'!$B$37:$B$47,$B26,'9.Инвестиционна програма'!I$37:I$47)*$E$6</f>
        <v>0</v>
      </c>
      <c r="O26" s="1200">
        <f>SUMIF('9.Инвестиционна програма'!$B$37:$B$47,$B26,'9.Инвестиционна програма'!J$37:J$47)*$E$6</f>
        <v>0</v>
      </c>
      <c r="P26" s="1200">
        <f>SUMIF('9.Инвестиционна програма'!$B$37:$B$47,$B26,'9.Инвестиционна програма'!K$37:K$47)*$E$6</f>
        <v>0</v>
      </c>
      <c r="Q26" s="1200">
        <f>SUMIF('9.Инвестиционна програма'!$B$37:$B$47,$B26,'9.Инвестиционна програма'!L$37:L$47)*$E$6</f>
        <v>0</v>
      </c>
      <c r="R26" s="1201">
        <f>SUMIF('9.Инвестиционна програма'!$B$37:$B$47,$B26,'9.Инвестиционна програма'!M$37:M$47)*$E$6</f>
        <v>0</v>
      </c>
      <c r="S26" s="1087">
        <f>'11.2. ДА за периода'!S26</f>
        <v>153</v>
      </c>
      <c r="T26" s="881">
        <f>SUMIF('9.Инвестиционна програма'!$B$49:$B$56,$B26,'9.Инвестиционна програма'!H$49:H$56)*$E$6</f>
        <v>0</v>
      </c>
      <c r="U26" s="881">
        <f>SUMIF('9.Инвестиционна програма'!$B$49:$B$56,$B26,'9.Инвестиционна програма'!I$49:I$56)*$E$6</f>
        <v>0</v>
      </c>
      <c r="V26" s="881">
        <f>SUMIF('9.Инвестиционна програма'!$B$49:$B$56,$B26,'9.Инвестиционна програма'!J$49:J$56)*$E$6</f>
        <v>0</v>
      </c>
      <c r="W26" s="881">
        <f>SUMIF('9.Инвестиционна програма'!$B$49:$B$56,$B26,'9.Инвестиционна програма'!K$49:K$56)*$E$6</f>
        <v>0</v>
      </c>
      <c r="X26" s="881">
        <f>SUMIF('9.Инвестиционна програма'!$B$49:$B$56,$B26,'9.Инвестиционна програма'!L$49:L$56)*$E$6</f>
        <v>0</v>
      </c>
      <c r="Y26" s="2690">
        <f>SUMIF('9.Инвестиционна програма'!$B$49:$B$56,$B26,'9.Инвестиционна програма'!M$49:M$56)*$E$6</f>
        <v>0</v>
      </c>
      <c r="Z26" s="1087">
        <f>'11.2. ДА за периода'!Z26</f>
        <v>0</v>
      </c>
      <c r="AA26" s="881">
        <f>SUMIF('9.Инвестиционна програма'!$B$74:$B$97,$B26,'9.Инвестиционна програма'!H$74:H$97)*$E$6</f>
        <v>0</v>
      </c>
      <c r="AB26" s="881">
        <f>SUMIF('9.Инвестиционна програма'!$B$74:$B$97,$B26,'9.Инвестиционна програма'!I$74:I$97)*$E$6</f>
        <v>0</v>
      </c>
      <c r="AC26" s="881">
        <f>SUMIF('9.Инвестиционна програма'!$B$74:$B$97,$B26,'9.Инвестиционна програма'!J$74:J$97)*$E$6</f>
        <v>0</v>
      </c>
      <c r="AD26" s="881">
        <f>SUMIF('9.Инвестиционна програма'!$B$74:$B$97,$B26,'9.Инвестиционна програма'!K$74:K$97)*$E$6</f>
        <v>0</v>
      </c>
      <c r="AE26" s="881">
        <f>SUMIF('9.Инвестиционна програма'!$B$74:$B$97,$B26,'9.Инвестиционна програма'!L$74:L$97)*$E$6</f>
        <v>0</v>
      </c>
      <c r="AF26" s="881">
        <f>SUMIF('9.Инвестиционна програма'!$B$74:$B$97,$B26,'9.Инвестиционна програма'!M$74:M$97)*$E$6</f>
        <v>0</v>
      </c>
      <c r="AG26" s="1087">
        <f>'11.2. ДА за периода'!AG26</f>
        <v>0</v>
      </c>
      <c r="AH26" s="881">
        <f>SUMIF('9.Инвестиционна програма'!$B$100:$B$123,$B26,'9.Инвестиционна програма'!H$100:H$123)*$E$6</f>
        <v>0</v>
      </c>
      <c r="AI26" s="881">
        <f>SUMIF('9.Инвестиционна програма'!$B$100:$B$123,$B26,'9.Инвестиционна програма'!I$100:I$123)*$E$6</f>
        <v>0</v>
      </c>
      <c r="AJ26" s="881">
        <f>SUMIF('9.Инвестиционна програма'!$B$100:$B$123,$B26,'9.Инвестиционна програма'!J$100:J$123)*$E$6</f>
        <v>0</v>
      </c>
      <c r="AK26" s="881">
        <f>SUMIF('9.Инвестиционна програма'!$B$100:$B$123,$B26,'9.Инвестиционна програма'!K$100:K$123)*$E$6</f>
        <v>0</v>
      </c>
      <c r="AL26" s="881">
        <f>SUMIF('9.Инвестиционна програма'!$B$100:$B$123,$B26,'9.Инвестиционна програма'!L$100:L$123)*$E$6</f>
        <v>0</v>
      </c>
      <c r="AM26" s="881">
        <f>SUMIF('9.Инвестиционна програма'!$B$100:$B$123,$B26,'9.Инвестиционна програма'!M$100:M$123)*$E$6</f>
        <v>0</v>
      </c>
      <c r="AN26" s="1087">
        <f>'11.2. ДА за периода'!AN26</f>
        <v>0</v>
      </c>
      <c r="AO26" s="1206">
        <f>(SUMIF('9.Инвестиционна програма'!$B$58:$B$59,$B26,'9.Инвестиционна програма'!H$58:H$59)+SUMIF('9.Инвестиционна програма'!$B$61:$B$71,$B26,'9.Инвестиционна програма'!H$61:H$71))*$E$6</f>
        <v>252</v>
      </c>
      <c r="AP26" s="881">
        <f>(SUMIF('9.Инвестиционна програма'!$B$58:$B$59,$B26,'9.Инвестиционна програма'!I$58:I$59)+SUMIF('9.Инвестиционна програма'!$B$61:$B$71,$B26,'9.Инвестиционна програма'!I$61:I$71))*$E$6</f>
        <v>1216</v>
      </c>
      <c r="AQ26" s="881">
        <f>(SUMIF('9.Инвестиционна програма'!$B$58:$B$59,$B26,'9.Инвестиционна програма'!J$58:J$59)+SUMIF('9.Инвестиционна програма'!$B$61:$B$71,$B26,'9.Инвестиционна програма'!J$61:J$71))*$E$6</f>
        <v>1459</v>
      </c>
      <c r="AR26" s="881">
        <f>(SUMIF('9.Инвестиционна програма'!$B$58:$B$59,$B26,'9.Инвестиционна програма'!K$58:K$59)+SUMIF('9.Инвестиционна програма'!$B$61:$B$71,$B26,'9.Инвестиционна програма'!K$61:K$71))*$E$6</f>
        <v>1079</v>
      </c>
      <c r="AS26" s="881">
        <f>(SUMIF('9.Инвестиционна програма'!$B$58:$B$59,$B26,'9.Инвестиционна програма'!L$58:L$59)+SUMIF('9.Инвестиционна програма'!$B$61:$B$71,$B26,'9.Инвестиционна програма'!L$61:L$71))*$E$6</f>
        <v>935.2</v>
      </c>
      <c r="AT26" s="2690">
        <f>(SUMIF('9.Инвестиционна програма'!$B$58:$B$59,$B26,'9.Инвестиционна програма'!M$58:M$59)+SUMIF('9.Инвестиционна програма'!$B$61:$B$71,$B26,'9.Инвестиционна програма'!M$61:M$71))*$E$6</f>
        <v>962</v>
      </c>
      <c r="AU26" s="4422"/>
      <c r="AV26" s="4438">
        <f t="shared" si="47"/>
        <v>148.78593742809957</v>
      </c>
      <c r="AW26" s="4438">
        <f t="shared" si="48"/>
        <v>40.903350495697481</v>
      </c>
      <c r="AX26" s="4438">
        <f t="shared" si="49"/>
        <v>2.045167524784874</v>
      </c>
      <c r="AY26" s="4438">
        <f t="shared" si="50"/>
        <v>3.5790431683735293</v>
      </c>
      <c r="AZ26" s="4438">
        <f t="shared" si="51"/>
        <v>9.2032538615319321</v>
      </c>
      <c r="BA26" s="4438">
        <f t="shared" si="52"/>
        <v>8.691961980335714</v>
      </c>
      <c r="BB26" s="4438">
        <f t="shared" si="53"/>
        <v>12.271005148709245</v>
      </c>
      <c r="BC26" s="4438">
        <f t="shared" si="54"/>
        <v>39.880766733305045</v>
      </c>
      <c r="BD26" s="4438">
        <f t="shared" si="55"/>
        <v>0</v>
      </c>
      <c r="BE26" s="4438">
        <f t="shared" si="56"/>
        <v>0</v>
      </c>
      <c r="BF26" s="4438">
        <f t="shared" si="57"/>
        <v>0</v>
      </c>
      <c r="BG26" s="4438">
        <f t="shared" si="58"/>
        <v>0</v>
      </c>
      <c r="BH26" s="4438">
        <f t="shared" si="59"/>
        <v>0</v>
      </c>
      <c r="BI26" s="4438">
        <f t="shared" si="60"/>
        <v>0</v>
      </c>
      <c r="BJ26" s="4438">
        <f t="shared" si="61"/>
        <v>78.227657823021431</v>
      </c>
      <c r="BK26" s="4438">
        <f t="shared" si="62"/>
        <v>0</v>
      </c>
      <c r="BL26" s="4438">
        <f t="shared" si="63"/>
        <v>0</v>
      </c>
      <c r="BM26" s="4438">
        <f t="shared" si="64"/>
        <v>0</v>
      </c>
      <c r="BN26" s="4438">
        <f t="shared" si="65"/>
        <v>0</v>
      </c>
      <c r="BO26" s="4438">
        <f t="shared" si="66"/>
        <v>0</v>
      </c>
      <c r="BP26" s="4438">
        <f t="shared" si="67"/>
        <v>0</v>
      </c>
      <c r="BQ26" s="4438">
        <f t="shared" si="68"/>
        <v>0</v>
      </c>
      <c r="BR26" s="4438">
        <f t="shared" si="69"/>
        <v>0</v>
      </c>
      <c r="BS26" s="4438">
        <f t="shared" si="70"/>
        <v>0</v>
      </c>
      <c r="BT26" s="4438">
        <f t="shared" si="71"/>
        <v>0</v>
      </c>
      <c r="BU26" s="4438">
        <f t="shared" si="72"/>
        <v>0</v>
      </c>
      <c r="BV26" s="4438">
        <f t="shared" si="73"/>
        <v>0</v>
      </c>
      <c r="BW26" s="4438">
        <f t="shared" si="74"/>
        <v>0</v>
      </c>
      <c r="BX26" s="4438">
        <f t="shared" si="75"/>
        <v>0</v>
      </c>
      <c r="BY26" s="4438">
        <f t="shared" si="76"/>
        <v>0</v>
      </c>
      <c r="BZ26" s="4438">
        <f t="shared" si="77"/>
        <v>0</v>
      </c>
      <c r="CA26" s="4438">
        <f t="shared" si="78"/>
        <v>0</v>
      </c>
      <c r="CB26" s="4438">
        <f t="shared" si="79"/>
        <v>0</v>
      </c>
      <c r="CC26" s="4438">
        <f t="shared" si="80"/>
        <v>0</v>
      </c>
      <c r="CD26" s="4438">
        <f t="shared" si="81"/>
        <v>0</v>
      </c>
      <c r="CE26" s="4438">
        <f t="shared" si="82"/>
        <v>0</v>
      </c>
      <c r="CF26" s="4438">
        <f t="shared" si="83"/>
        <v>128.84555406144707</v>
      </c>
      <c r="CG26" s="4438">
        <f t="shared" si="84"/>
        <v>621.73092753460173</v>
      </c>
      <c r="CH26" s="4438">
        <f t="shared" si="85"/>
        <v>745.97485466528281</v>
      </c>
      <c r="CI26" s="4438">
        <f t="shared" si="86"/>
        <v>551.68393981071972</v>
      </c>
      <c r="CJ26" s="4438">
        <f t="shared" si="87"/>
        <v>478.16016729470357</v>
      </c>
      <c r="CK26" s="4438">
        <f t="shared" si="88"/>
        <v>491.86278971076217</v>
      </c>
    </row>
    <row r="27" spans="1:89" ht="24">
      <c r="A27" s="2701"/>
      <c r="B27" s="3563">
        <v>2030502</v>
      </c>
      <c r="C27" s="3547">
        <v>0.1</v>
      </c>
      <c r="D27" s="2711" t="s">
        <v>695</v>
      </c>
      <c r="E27" s="2689">
        <f>'11.2. ДА за периода'!E27</f>
        <v>140</v>
      </c>
      <c r="F27" s="1202">
        <f>SUMIF('9.Инвестиционна програма'!$B$12:$B$35,$B27,'9.Инвестиционна програма'!H$12:H$35)*$E$6</f>
        <v>150</v>
      </c>
      <c r="G27" s="1198">
        <f>SUMIF('9.Инвестиционна програма'!$B$12:$B$35,$B27,'9.Инвестиционна програма'!I$12:I$35)*$E$6</f>
        <v>18</v>
      </c>
      <c r="H27" s="1198">
        <f>SUMIF('9.Инвестиционна програма'!$B$12:$B$35,$B27,'9.Инвестиционна програма'!J$12:J$35)*$E$6</f>
        <v>12</v>
      </c>
      <c r="I27" s="1198">
        <f>SUMIF('9.Инвестиционна програма'!$B$12:$B$35,$B27,'9.Инвестиционна програма'!K$12:K$35)*$E$6</f>
        <v>48</v>
      </c>
      <c r="J27" s="1198">
        <f>SUMIF('9.Инвестиционна програма'!$B$12:$B$35,$B27,'9.Инвестиционна програма'!L$12:L$35)*$E$6</f>
        <v>57</v>
      </c>
      <c r="K27" s="1203">
        <f>SUMIF('9.Инвестиционна програма'!$B$12:$B$35,$B27,'9.Инвестиционна програма'!M$12:M$35)*$E$6</f>
        <v>66</v>
      </c>
      <c r="L27" s="2689">
        <f>'11.2. ДА за периода'!L27</f>
        <v>0</v>
      </c>
      <c r="M27" s="1206">
        <f>SUMIF('9.Инвестиционна програма'!$B$37:$B$47,$B27,'9.Инвестиционна програма'!H$37:H$47)*$E$6</f>
        <v>0</v>
      </c>
      <c r="N27" s="1200">
        <f>SUMIF('9.Инвестиционна програма'!$B$37:$B$47,$B27,'9.Инвестиционна програма'!I$37:I$47)*$E$6</f>
        <v>0</v>
      </c>
      <c r="O27" s="1200">
        <f>SUMIF('9.Инвестиционна програма'!$B$37:$B$47,$B27,'9.Инвестиционна програма'!J$37:J$47)*$E$6</f>
        <v>0</v>
      </c>
      <c r="P27" s="1200">
        <f>SUMIF('9.Инвестиционна програма'!$B$37:$B$47,$B27,'9.Инвестиционна програма'!K$37:K$47)*$E$6</f>
        <v>0</v>
      </c>
      <c r="Q27" s="1200">
        <f>SUMIF('9.Инвестиционна програма'!$B$37:$B$47,$B27,'9.Инвестиционна програма'!L$37:L$47)*$E$6</f>
        <v>0</v>
      </c>
      <c r="R27" s="1201">
        <f>SUMIF('9.Инвестиционна програма'!$B$37:$B$47,$B27,'9.Инвестиционна програма'!M$37:M$47)*$E$6</f>
        <v>0</v>
      </c>
      <c r="S27" s="1087">
        <f>'11.2. ДА за периода'!S27</f>
        <v>0</v>
      </c>
      <c r="T27" s="881">
        <f>SUMIF('9.Инвестиционна програма'!$B$49:$B$56,$B27,'9.Инвестиционна програма'!H$49:H$56)*$E$6</f>
        <v>0</v>
      </c>
      <c r="U27" s="881">
        <f>SUMIF('9.Инвестиционна програма'!$B$49:$B$56,$B27,'9.Инвестиционна програма'!I$49:I$56)*$E$6</f>
        <v>0</v>
      </c>
      <c r="V27" s="881">
        <f>SUMIF('9.Инвестиционна програма'!$B$49:$B$56,$B27,'9.Инвестиционна програма'!J$49:J$56)*$E$6</f>
        <v>0</v>
      </c>
      <c r="W27" s="881">
        <f>SUMIF('9.Инвестиционна програма'!$B$49:$B$56,$B27,'9.Инвестиционна програма'!K$49:K$56)*$E$6</f>
        <v>0</v>
      </c>
      <c r="X27" s="881">
        <f>SUMIF('9.Инвестиционна програма'!$B$49:$B$56,$B27,'9.Инвестиционна програма'!L$49:L$56)*$E$6</f>
        <v>0</v>
      </c>
      <c r="Y27" s="2690">
        <f>SUMIF('9.Инвестиционна програма'!$B$49:$B$56,$B27,'9.Инвестиционна програма'!M$49:M$56)*$E$6</f>
        <v>0</v>
      </c>
      <c r="Z27" s="1087">
        <f>'11.2. ДА за периода'!Z27</f>
        <v>0</v>
      </c>
      <c r="AA27" s="881">
        <f>SUMIF('9.Инвестиционна програма'!$B$74:$B$97,$B27,'9.Инвестиционна програма'!H$74:H$97)*$E$6</f>
        <v>0</v>
      </c>
      <c r="AB27" s="881">
        <f>SUMIF('9.Инвестиционна програма'!$B$74:$B$97,$B27,'9.Инвестиционна програма'!I$74:I$97)*$E$6</f>
        <v>0</v>
      </c>
      <c r="AC27" s="881">
        <f>SUMIF('9.Инвестиционна програма'!$B$74:$B$97,$B27,'9.Инвестиционна програма'!J$74:J$97)*$E$6</f>
        <v>0</v>
      </c>
      <c r="AD27" s="881">
        <f>SUMIF('9.Инвестиционна програма'!$B$74:$B$97,$B27,'9.Инвестиционна програма'!K$74:K$97)*$E$6</f>
        <v>0</v>
      </c>
      <c r="AE27" s="881">
        <f>SUMIF('9.Инвестиционна програма'!$B$74:$B$97,$B27,'9.Инвестиционна програма'!L$74:L$97)*$E$6</f>
        <v>0</v>
      </c>
      <c r="AF27" s="881">
        <f>SUMIF('9.Инвестиционна програма'!$B$74:$B$97,$B27,'9.Инвестиционна програма'!M$74:M$97)*$E$6</f>
        <v>0</v>
      </c>
      <c r="AG27" s="1087">
        <f>'11.2. ДА за периода'!AG27</f>
        <v>0</v>
      </c>
      <c r="AH27" s="881">
        <f>SUMIF('9.Инвестиционна програма'!$B$100:$B$123,$B27,'9.Инвестиционна програма'!H$100:H$123)*$E$6</f>
        <v>0</v>
      </c>
      <c r="AI27" s="881">
        <f>SUMIF('9.Инвестиционна програма'!$B$100:$B$123,$B27,'9.Инвестиционна програма'!I$100:I$123)*$E$6</f>
        <v>0</v>
      </c>
      <c r="AJ27" s="881">
        <f>SUMIF('9.Инвестиционна програма'!$B$100:$B$123,$B27,'9.Инвестиционна програма'!J$100:J$123)*$E$6</f>
        <v>0</v>
      </c>
      <c r="AK27" s="881">
        <f>SUMIF('9.Инвестиционна програма'!$B$100:$B$123,$B27,'9.Инвестиционна програма'!K$100:K$123)*$E$6</f>
        <v>0</v>
      </c>
      <c r="AL27" s="881">
        <f>SUMIF('9.Инвестиционна програма'!$B$100:$B$123,$B27,'9.Инвестиционна програма'!L$100:L$123)*$E$6</f>
        <v>0</v>
      </c>
      <c r="AM27" s="881">
        <f>SUMIF('9.Инвестиционна програма'!$B$100:$B$123,$B27,'9.Инвестиционна програма'!M$100:M$123)*$E$6</f>
        <v>0</v>
      </c>
      <c r="AN27" s="1087">
        <f>'11.2. ДА за периода'!AN27</f>
        <v>0</v>
      </c>
      <c r="AO27" s="1206">
        <f>(SUMIF('9.Инвестиционна програма'!$B$58:$B$59,$B27,'9.Инвестиционна програма'!H$58:H$59)+SUMIF('9.Инвестиционна програма'!$B$61:$B$71,$B27,'9.Инвестиционна програма'!H$61:H$71))*$E$6</f>
        <v>0</v>
      </c>
      <c r="AP27" s="881">
        <f>(SUMIF('9.Инвестиционна програма'!$B$58:$B$59,$B27,'9.Инвестиционна програма'!I$58:I$59)+SUMIF('9.Инвестиционна програма'!$B$61:$B$71,$B27,'9.Инвестиционна програма'!I$61:I$71))*$E$6</f>
        <v>0</v>
      </c>
      <c r="AQ27" s="881">
        <f>(SUMIF('9.Инвестиционна програма'!$B$58:$B$59,$B27,'9.Инвестиционна програма'!J$58:J$59)+SUMIF('9.Инвестиционна програма'!$B$61:$B$71,$B27,'9.Инвестиционна програма'!J$61:J$71))*$E$6</f>
        <v>0</v>
      </c>
      <c r="AR27" s="881">
        <f>(SUMIF('9.Инвестиционна програма'!$B$58:$B$59,$B27,'9.Инвестиционна програма'!K$58:K$59)+SUMIF('9.Инвестиционна програма'!$B$61:$B$71,$B27,'9.Инвестиционна програма'!K$61:K$71))*$E$6</f>
        <v>0</v>
      </c>
      <c r="AS27" s="881">
        <f>(SUMIF('9.Инвестиционна програма'!$B$58:$B$59,$B27,'9.Инвестиционна програма'!L$58:L$59)+SUMIF('9.Инвестиционна програма'!$B$61:$B$71,$B27,'9.Инвестиционна програма'!L$61:L$71))*$E$6</f>
        <v>0</v>
      </c>
      <c r="AT27" s="2690">
        <f>(SUMIF('9.Инвестиционна програма'!$B$58:$B$59,$B27,'9.Инвестиционна програма'!M$58:M$59)+SUMIF('9.Инвестиционна програма'!$B$61:$B$71,$B27,'9.Инвестиционна програма'!M$61:M$71))*$E$6</f>
        <v>0</v>
      </c>
      <c r="AU27" s="4422"/>
      <c r="AV27" s="4438">
        <f t="shared" si="47"/>
        <v>71.580863367470585</v>
      </c>
      <c r="AW27" s="4438">
        <f t="shared" si="48"/>
        <v>76.693782179432773</v>
      </c>
      <c r="AX27" s="4438">
        <f t="shared" si="49"/>
        <v>9.2032538615319321</v>
      </c>
      <c r="AY27" s="4438">
        <f t="shared" si="50"/>
        <v>6.1355025743546223</v>
      </c>
      <c r="AZ27" s="4438">
        <f t="shared" si="51"/>
        <v>24.542010297418489</v>
      </c>
      <c r="BA27" s="4438">
        <f t="shared" si="52"/>
        <v>29.143637228184453</v>
      </c>
      <c r="BB27" s="4438">
        <f t="shared" si="53"/>
        <v>33.74526415895042</v>
      </c>
      <c r="BC27" s="4438">
        <f t="shared" si="54"/>
        <v>0</v>
      </c>
      <c r="BD27" s="4438">
        <f t="shared" si="55"/>
        <v>0</v>
      </c>
      <c r="BE27" s="4438">
        <f t="shared" si="56"/>
        <v>0</v>
      </c>
      <c r="BF27" s="4438">
        <f t="shared" si="57"/>
        <v>0</v>
      </c>
      <c r="BG27" s="4438">
        <f t="shared" si="58"/>
        <v>0</v>
      </c>
      <c r="BH27" s="4438">
        <f t="shared" si="59"/>
        <v>0</v>
      </c>
      <c r="BI27" s="4438">
        <f t="shared" si="60"/>
        <v>0</v>
      </c>
      <c r="BJ27" s="4438">
        <f t="shared" si="61"/>
        <v>0</v>
      </c>
      <c r="BK27" s="4438">
        <f t="shared" si="62"/>
        <v>0</v>
      </c>
      <c r="BL27" s="4438">
        <f t="shared" si="63"/>
        <v>0</v>
      </c>
      <c r="BM27" s="4438">
        <f t="shared" si="64"/>
        <v>0</v>
      </c>
      <c r="BN27" s="4438">
        <f t="shared" si="65"/>
        <v>0</v>
      </c>
      <c r="BO27" s="4438">
        <f t="shared" si="66"/>
        <v>0</v>
      </c>
      <c r="BP27" s="4438">
        <f t="shared" si="67"/>
        <v>0</v>
      </c>
      <c r="BQ27" s="4438">
        <f t="shared" si="68"/>
        <v>0</v>
      </c>
      <c r="BR27" s="4438">
        <f t="shared" si="69"/>
        <v>0</v>
      </c>
      <c r="BS27" s="4438">
        <f t="shared" si="70"/>
        <v>0</v>
      </c>
      <c r="BT27" s="4438">
        <f t="shared" si="71"/>
        <v>0</v>
      </c>
      <c r="BU27" s="4438">
        <f t="shared" si="72"/>
        <v>0</v>
      </c>
      <c r="BV27" s="4438">
        <f t="shared" si="73"/>
        <v>0</v>
      </c>
      <c r="BW27" s="4438">
        <f t="shared" si="74"/>
        <v>0</v>
      </c>
      <c r="BX27" s="4438">
        <f t="shared" si="75"/>
        <v>0</v>
      </c>
      <c r="BY27" s="4438">
        <f t="shared" si="76"/>
        <v>0</v>
      </c>
      <c r="BZ27" s="4438">
        <f t="shared" si="77"/>
        <v>0</v>
      </c>
      <c r="CA27" s="4438">
        <f t="shared" si="78"/>
        <v>0</v>
      </c>
      <c r="CB27" s="4438">
        <f t="shared" si="79"/>
        <v>0</v>
      </c>
      <c r="CC27" s="4438">
        <f t="shared" si="80"/>
        <v>0</v>
      </c>
      <c r="CD27" s="4438">
        <f t="shared" si="81"/>
        <v>0</v>
      </c>
      <c r="CE27" s="4438">
        <f t="shared" si="82"/>
        <v>0</v>
      </c>
      <c r="CF27" s="4438">
        <f t="shared" si="83"/>
        <v>0</v>
      </c>
      <c r="CG27" s="4438">
        <f t="shared" si="84"/>
        <v>0</v>
      </c>
      <c r="CH27" s="4438">
        <f t="shared" si="85"/>
        <v>0</v>
      </c>
      <c r="CI27" s="4438">
        <f t="shared" si="86"/>
        <v>0</v>
      </c>
      <c r="CJ27" s="4438">
        <f t="shared" si="87"/>
        <v>0</v>
      </c>
      <c r="CK27" s="4438">
        <f t="shared" si="88"/>
        <v>0</v>
      </c>
    </row>
    <row r="28" spans="1:89">
      <c r="A28" s="2701"/>
      <c r="B28" s="3563">
        <v>2030503</v>
      </c>
      <c r="C28" s="3547">
        <v>0.1</v>
      </c>
      <c r="D28" s="2711" t="s">
        <v>713</v>
      </c>
      <c r="E28" s="2689">
        <f>'11.2. ДА за периода'!E28</f>
        <v>2</v>
      </c>
      <c r="F28" s="1202">
        <f>SUMIF('9.Инвестиционна програма'!$B$12:$B$35,$B28,'9.Инвестиционна програма'!H$12:H$35)*$E$6</f>
        <v>100</v>
      </c>
      <c r="G28" s="1198">
        <f>SUMIF('9.Инвестиционна програма'!$B$12:$B$35,$B28,'9.Инвестиционна програма'!I$12:I$35)*$E$6</f>
        <v>2</v>
      </c>
      <c r="H28" s="1198">
        <f>SUMIF('9.Инвестиционна програма'!$B$12:$B$35,$B28,'9.Инвестиционна програма'!J$12:J$35)*$E$6</f>
        <v>30</v>
      </c>
      <c r="I28" s="1198">
        <f>SUMIF('9.Инвестиционна програма'!$B$12:$B$35,$B28,'9.Инвестиционна програма'!K$12:K$35)*$E$6</f>
        <v>2</v>
      </c>
      <c r="J28" s="1198">
        <f>SUMIF('9.Инвестиционна програма'!$B$12:$B$35,$B28,'9.Инвестиционна програма'!L$12:L$35)*$E$6</f>
        <v>88</v>
      </c>
      <c r="K28" s="1203">
        <f>SUMIF('9.Инвестиционна програма'!$B$12:$B$35,$B28,'9.Инвестиционна програма'!M$12:M$35)*$E$6</f>
        <v>16</v>
      </c>
      <c r="L28" s="2689">
        <f>'11.2. ДА за периода'!L28</f>
        <v>0</v>
      </c>
      <c r="M28" s="1206">
        <f>SUMIF('9.Инвестиционна програма'!$B$37:$B$47,$B28,'9.Инвестиционна програма'!H$37:H$47)*$E$6</f>
        <v>2</v>
      </c>
      <c r="N28" s="1200">
        <f>SUMIF('9.Инвестиционна програма'!$B$37:$B$47,$B28,'9.Инвестиционна програма'!I$37:I$47)*$E$6</f>
        <v>0</v>
      </c>
      <c r="O28" s="1200">
        <f>SUMIF('9.Инвестиционна програма'!$B$37:$B$47,$B28,'9.Инвестиционна програма'!J$37:J$47)*$E$6</f>
        <v>0</v>
      </c>
      <c r="P28" s="1200">
        <f>SUMIF('9.Инвестиционна програма'!$B$37:$B$47,$B28,'9.Инвестиционна програма'!K$37:K$47)*$E$6</f>
        <v>0</v>
      </c>
      <c r="Q28" s="1200">
        <f>SUMIF('9.Инвестиционна програма'!$B$37:$B$47,$B28,'9.Инвестиционна програма'!L$37:L$47)*$E$6</f>
        <v>0</v>
      </c>
      <c r="R28" s="1201">
        <f>SUMIF('9.Инвестиционна програма'!$B$37:$B$47,$B28,'9.Инвестиционна програма'!M$37:M$47)*$E$6</f>
        <v>0</v>
      </c>
      <c r="S28" s="1087">
        <f>'11.2. ДА за периода'!S28</f>
        <v>0</v>
      </c>
      <c r="T28" s="881">
        <f>SUMIF('9.Инвестиционна програма'!$B$49:$B$56,$B28,'9.Инвестиционна програма'!H$49:H$56)*$E$6</f>
        <v>10</v>
      </c>
      <c r="U28" s="881">
        <f>SUMIF('9.Инвестиционна програма'!$B$49:$B$56,$B28,'9.Инвестиционна програма'!I$49:I$56)*$E$6</f>
        <v>0</v>
      </c>
      <c r="V28" s="881">
        <f>SUMIF('9.Инвестиционна програма'!$B$49:$B$56,$B28,'9.Инвестиционна програма'!J$49:J$56)*$E$6</f>
        <v>0</v>
      </c>
      <c r="W28" s="881">
        <f>SUMIF('9.Инвестиционна програма'!$B$49:$B$56,$B28,'9.Инвестиционна програма'!K$49:K$56)*$E$6</f>
        <v>0</v>
      </c>
      <c r="X28" s="881">
        <f>SUMIF('9.Инвестиционна програма'!$B$49:$B$56,$B28,'9.Инвестиционна програма'!L$49:L$56)*$E$6</f>
        <v>0</v>
      </c>
      <c r="Y28" s="2690">
        <f>SUMIF('9.Инвестиционна програма'!$B$49:$B$56,$B28,'9.Инвестиционна програма'!M$49:M$56)*$E$6</f>
        <v>0</v>
      </c>
      <c r="Z28" s="1087">
        <f>'11.2. ДА за периода'!Z28</f>
        <v>0</v>
      </c>
      <c r="AA28" s="881">
        <f>SUMIF('9.Инвестиционна програма'!$B$74:$B$97,$B28,'9.Инвестиционна програма'!H$74:H$97)*$E$6</f>
        <v>0</v>
      </c>
      <c r="AB28" s="881">
        <f>SUMIF('9.Инвестиционна програма'!$B$74:$B$97,$B28,'9.Инвестиционна програма'!I$74:I$97)*$E$6</f>
        <v>0</v>
      </c>
      <c r="AC28" s="881">
        <f>SUMIF('9.Инвестиционна програма'!$B$74:$B$97,$B28,'9.Инвестиционна програма'!J$74:J$97)*$E$6</f>
        <v>0</v>
      </c>
      <c r="AD28" s="881">
        <f>SUMIF('9.Инвестиционна програма'!$B$74:$B$97,$B28,'9.Инвестиционна програма'!K$74:K$97)*$E$6</f>
        <v>0</v>
      </c>
      <c r="AE28" s="881">
        <f>SUMIF('9.Инвестиционна програма'!$B$74:$B$97,$B28,'9.Инвестиционна програма'!L$74:L$97)*$E$6</f>
        <v>0</v>
      </c>
      <c r="AF28" s="881">
        <f>SUMIF('9.Инвестиционна програма'!$B$74:$B$97,$B28,'9.Инвестиционна програма'!M$74:M$97)*$E$6</f>
        <v>0</v>
      </c>
      <c r="AG28" s="1087">
        <f>'11.2. ДА за периода'!AG28</f>
        <v>0</v>
      </c>
      <c r="AH28" s="881">
        <f>SUMIF('9.Инвестиционна програма'!$B$100:$B$123,$B28,'9.Инвестиционна програма'!H$100:H$123)*$E$6</f>
        <v>0</v>
      </c>
      <c r="AI28" s="881">
        <f>SUMIF('9.Инвестиционна програма'!$B$100:$B$123,$B28,'9.Инвестиционна програма'!I$100:I$123)*$E$6</f>
        <v>0</v>
      </c>
      <c r="AJ28" s="881">
        <f>SUMIF('9.Инвестиционна програма'!$B$100:$B$123,$B28,'9.Инвестиционна програма'!J$100:J$123)*$E$6</f>
        <v>0</v>
      </c>
      <c r="AK28" s="881">
        <f>SUMIF('9.Инвестиционна програма'!$B$100:$B$123,$B28,'9.Инвестиционна програма'!K$100:K$123)*$E$6</f>
        <v>0</v>
      </c>
      <c r="AL28" s="881">
        <f>SUMIF('9.Инвестиционна програма'!$B$100:$B$123,$B28,'9.Инвестиционна програма'!L$100:L$123)*$E$6</f>
        <v>0</v>
      </c>
      <c r="AM28" s="881">
        <f>SUMIF('9.Инвестиционна програма'!$B$100:$B$123,$B28,'9.Инвестиционна програма'!M$100:M$123)*$E$6</f>
        <v>0</v>
      </c>
      <c r="AN28" s="1087">
        <f>'11.2. ДА за периода'!AN28</f>
        <v>0</v>
      </c>
      <c r="AO28" s="1206">
        <f>(SUMIF('9.Инвестиционна програма'!$B$58:$B$59,$B28,'9.Инвестиционна програма'!H$58:H$59)+SUMIF('9.Инвестиционна програма'!$B$61:$B$71,$B28,'9.Инвестиционна програма'!H$61:H$71))*$E$6</f>
        <v>0</v>
      </c>
      <c r="AP28" s="881">
        <f>(SUMIF('9.Инвестиционна програма'!$B$58:$B$59,$B28,'9.Инвестиционна програма'!I$58:I$59)+SUMIF('9.Инвестиционна програма'!$B$61:$B$71,$B28,'9.Инвестиционна програма'!I$61:I$71))*$E$6</f>
        <v>0</v>
      </c>
      <c r="AQ28" s="881">
        <f>(SUMIF('9.Инвестиционна програма'!$B$58:$B$59,$B28,'9.Инвестиционна програма'!J$58:J$59)+SUMIF('9.Инвестиционна програма'!$B$61:$B$71,$B28,'9.Инвестиционна програма'!J$61:J$71))*$E$6</f>
        <v>0</v>
      </c>
      <c r="AR28" s="881">
        <f>(SUMIF('9.Инвестиционна програма'!$B$58:$B$59,$B28,'9.Инвестиционна програма'!K$58:K$59)+SUMIF('9.Инвестиционна програма'!$B$61:$B$71,$B28,'9.Инвестиционна програма'!K$61:K$71))*$E$6</f>
        <v>0</v>
      </c>
      <c r="AS28" s="881">
        <f>(SUMIF('9.Инвестиционна програма'!$B$58:$B$59,$B28,'9.Инвестиционна програма'!L$58:L$59)+SUMIF('9.Инвестиционна програма'!$B$61:$B$71,$B28,'9.Инвестиционна програма'!L$61:L$71))*$E$6</f>
        <v>0</v>
      </c>
      <c r="AT28" s="2690">
        <f>(SUMIF('9.Инвестиционна програма'!$B$58:$B$59,$B28,'9.Инвестиционна програма'!M$58:M$59)+SUMIF('9.Инвестиционна програма'!$B$61:$B$71,$B28,'9.Инвестиционна програма'!M$61:M$71))*$E$6</f>
        <v>0</v>
      </c>
      <c r="AU28" s="4422"/>
      <c r="AV28" s="4438">
        <f t="shared" si="47"/>
        <v>1.022583762392437</v>
      </c>
      <c r="AW28" s="4438">
        <f t="shared" si="48"/>
        <v>51.129188119621851</v>
      </c>
      <c r="AX28" s="4438">
        <f t="shared" si="49"/>
        <v>1.022583762392437</v>
      </c>
      <c r="AY28" s="4438">
        <f t="shared" si="50"/>
        <v>15.338756435886555</v>
      </c>
      <c r="AZ28" s="4438">
        <f t="shared" si="51"/>
        <v>1.022583762392437</v>
      </c>
      <c r="BA28" s="4438">
        <f t="shared" si="52"/>
        <v>44.993685545267226</v>
      </c>
      <c r="BB28" s="4438">
        <f t="shared" si="53"/>
        <v>8.1806700991394958</v>
      </c>
      <c r="BC28" s="4438">
        <f t="shared" si="54"/>
        <v>0</v>
      </c>
      <c r="BD28" s="4438">
        <f t="shared" si="55"/>
        <v>1.022583762392437</v>
      </c>
      <c r="BE28" s="4438">
        <f t="shared" si="56"/>
        <v>0</v>
      </c>
      <c r="BF28" s="4438">
        <f t="shared" si="57"/>
        <v>0</v>
      </c>
      <c r="BG28" s="4438">
        <f t="shared" si="58"/>
        <v>0</v>
      </c>
      <c r="BH28" s="4438">
        <f t="shared" si="59"/>
        <v>0</v>
      </c>
      <c r="BI28" s="4438">
        <f t="shared" si="60"/>
        <v>0</v>
      </c>
      <c r="BJ28" s="4438">
        <f t="shared" si="61"/>
        <v>0</v>
      </c>
      <c r="BK28" s="4438">
        <f t="shared" si="62"/>
        <v>5.1129188119621851</v>
      </c>
      <c r="BL28" s="4438">
        <f t="shared" si="63"/>
        <v>0</v>
      </c>
      <c r="BM28" s="4438">
        <f t="shared" si="64"/>
        <v>0</v>
      </c>
      <c r="BN28" s="4438">
        <f t="shared" si="65"/>
        <v>0</v>
      </c>
      <c r="BO28" s="4438">
        <f t="shared" si="66"/>
        <v>0</v>
      </c>
      <c r="BP28" s="4438">
        <f t="shared" si="67"/>
        <v>0</v>
      </c>
      <c r="BQ28" s="4438">
        <f t="shared" si="68"/>
        <v>0</v>
      </c>
      <c r="BR28" s="4438">
        <f t="shared" si="69"/>
        <v>0</v>
      </c>
      <c r="BS28" s="4438">
        <f t="shared" si="70"/>
        <v>0</v>
      </c>
      <c r="BT28" s="4438">
        <f t="shared" si="71"/>
        <v>0</v>
      </c>
      <c r="BU28" s="4438">
        <f t="shared" si="72"/>
        <v>0</v>
      </c>
      <c r="BV28" s="4438">
        <f t="shared" si="73"/>
        <v>0</v>
      </c>
      <c r="BW28" s="4438">
        <f t="shared" si="74"/>
        <v>0</v>
      </c>
      <c r="BX28" s="4438">
        <f t="shared" si="75"/>
        <v>0</v>
      </c>
      <c r="BY28" s="4438">
        <f t="shared" si="76"/>
        <v>0</v>
      </c>
      <c r="BZ28" s="4438">
        <f t="shared" si="77"/>
        <v>0</v>
      </c>
      <c r="CA28" s="4438">
        <f t="shared" si="78"/>
        <v>0</v>
      </c>
      <c r="CB28" s="4438">
        <f t="shared" si="79"/>
        <v>0</v>
      </c>
      <c r="CC28" s="4438">
        <f t="shared" si="80"/>
        <v>0</v>
      </c>
      <c r="CD28" s="4438">
        <f t="shared" si="81"/>
        <v>0</v>
      </c>
      <c r="CE28" s="4438">
        <f t="shared" si="82"/>
        <v>0</v>
      </c>
      <c r="CF28" s="4438">
        <f t="shared" si="83"/>
        <v>0</v>
      </c>
      <c r="CG28" s="4438">
        <f t="shared" si="84"/>
        <v>0</v>
      </c>
      <c r="CH28" s="4438">
        <f t="shared" si="85"/>
        <v>0</v>
      </c>
      <c r="CI28" s="4438">
        <f t="shared" si="86"/>
        <v>0</v>
      </c>
      <c r="CJ28" s="4438">
        <f t="shared" si="87"/>
        <v>0</v>
      </c>
      <c r="CK28" s="4438">
        <f t="shared" si="88"/>
        <v>0</v>
      </c>
    </row>
    <row r="29" spans="1:89">
      <c r="A29" s="2701"/>
      <c r="B29" s="3563">
        <v>20306</v>
      </c>
      <c r="C29" s="3546">
        <v>0.1</v>
      </c>
      <c r="D29" s="2704" t="s">
        <v>409</v>
      </c>
      <c r="E29" s="2689">
        <f>'11.2. ДА за периода'!E29</f>
        <v>38</v>
      </c>
      <c r="F29" s="1202">
        <f>SUMIF('9.Инвестиционна програма'!$B$12:$B$35,$B29,'9.Инвестиционна програма'!H$12:H$35)*$E$6</f>
        <v>3</v>
      </c>
      <c r="G29" s="1198">
        <f>SUMIF('9.Инвестиционна програма'!$B$12:$B$35,$B29,'9.Инвестиционна програма'!I$12:I$35)*$E$6</f>
        <v>0</v>
      </c>
      <c r="H29" s="1198">
        <f>SUMIF('9.Инвестиционна програма'!$B$12:$B$35,$B29,'9.Инвестиционна програма'!J$12:J$35)*$E$6</f>
        <v>0</v>
      </c>
      <c r="I29" s="1198">
        <f>SUMIF('9.Инвестиционна програма'!$B$12:$B$35,$B29,'9.Инвестиционна програма'!K$12:K$35)*$E$6</f>
        <v>0</v>
      </c>
      <c r="J29" s="1198">
        <f>SUMIF('9.Инвестиционна програма'!$B$12:$B$35,$B29,'9.Инвестиционна програма'!L$12:L$35)*$E$6</f>
        <v>0</v>
      </c>
      <c r="K29" s="1203">
        <f>SUMIF('9.Инвестиционна програма'!$B$12:$B$35,$B29,'9.Инвестиционна програма'!M$12:M$35)*$E$6</f>
        <v>0</v>
      </c>
      <c r="L29" s="2689">
        <f>'11.2. ДА за периода'!L29</f>
        <v>0</v>
      </c>
      <c r="M29" s="1206">
        <f>SUMIF('9.Инвестиционна програма'!$B$37:$B$47,$B29,'9.Инвестиционна програма'!H$37:H$47)*$E$6</f>
        <v>0</v>
      </c>
      <c r="N29" s="1200">
        <f>SUMIF('9.Инвестиционна програма'!$B$37:$B$47,$B29,'9.Инвестиционна програма'!I$37:I$47)*$E$6</f>
        <v>4</v>
      </c>
      <c r="O29" s="1200">
        <f>SUMIF('9.Инвестиционна програма'!$B$37:$B$47,$B29,'9.Инвестиционна програма'!J$37:J$47)*$E$6</f>
        <v>0</v>
      </c>
      <c r="P29" s="1200">
        <f>SUMIF('9.Инвестиционна програма'!$B$37:$B$47,$B29,'9.Инвестиционна програма'!K$37:K$47)*$E$6</f>
        <v>0</v>
      </c>
      <c r="Q29" s="1200">
        <f>SUMIF('9.Инвестиционна програма'!$B$37:$B$47,$B29,'9.Инвестиционна програма'!L$37:L$47)*$E$6</f>
        <v>0</v>
      </c>
      <c r="R29" s="1201">
        <f>SUMIF('9.Инвестиционна програма'!$B$37:$B$47,$B29,'9.Инвестиционна програма'!M$37:M$47)*$E$6</f>
        <v>0</v>
      </c>
      <c r="S29" s="1087">
        <f>'11.2. ДА за периода'!S29</f>
        <v>0</v>
      </c>
      <c r="T29" s="881">
        <f>SUMIF('9.Инвестиционна програма'!$B$49:$B$56,$B29,'9.Инвестиционна програма'!H$49:H$56)*$E$6</f>
        <v>1</v>
      </c>
      <c r="U29" s="881">
        <f>SUMIF('9.Инвестиционна програма'!$B$49:$B$56,$B29,'9.Инвестиционна програма'!I$49:I$56)*$E$6</f>
        <v>0</v>
      </c>
      <c r="V29" s="881">
        <f>SUMIF('9.Инвестиционна програма'!$B$49:$B$56,$B29,'9.Инвестиционна програма'!J$49:J$56)*$E$6</f>
        <v>0</v>
      </c>
      <c r="W29" s="881">
        <f>SUMIF('9.Инвестиционна програма'!$B$49:$B$56,$B29,'9.Инвестиционна програма'!K$49:K$56)*$E$6</f>
        <v>0</v>
      </c>
      <c r="X29" s="881">
        <f>SUMIF('9.Инвестиционна програма'!$B$49:$B$56,$B29,'9.Инвестиционна програма'!L$49:L$56)*$E$6</f>
        <v>0</v>
      </c>
      <c r="Y29" s="2690">
        <f>SUMIF('9.Инвестиционна програма'!$B$49:$B$56,$B29,'9.Инвестиционна програма'!M$49:M$56)*$E$6</f>
        <v>0</v>
      </c>
      <c r="Z29" s="1087">
        <f>'11.2. ДА за периода'!Z29</f>
        <v>0</v>
      </c>
      <c r="AA29" s="881">
        <f>SUMIF('9.Инвестиционна програма'!$B$74:$B$97,$B29,'9.Инвестиционна програма'!H$74:H$97)*$E$6</f>
        <v>0</v>
      </c>
      <c r="AB29" s="881">
        <f>SUMIF('9.Инвестиционна програма'!$B$74:$B$97,$B29,'9.Инвестиционна програма'!I$74:I$97)*$E$6</f>
        <v>0</v>
      </c>
      <c r="AC29" s="881">
        <f>SUMIF('9.Инвестиционна програма'!$B$74:$B$97,$B29,'9.Инвестиционна програма'!J$74:J$97)*$E$6</f>
        <v>0</v>
      </c>
      <c r="AD29" s="881">
        <f>SUMIF('9.Инвестиционна програма'!$B$74:$B$97,$B29,'9.Инвестиционна програма'!K$74:K$97)*$E$6</f>
        <v>0</v>
      </c>
      <c r="AE29" s="881">
        <f>SUMIF('9.Инвестиционна програма'!$B$74:$B$97,$B29,'9.Инвестиционна програма'!L$74:L$97)*$E$6</f>
        <v>0</v>
      </c>
      <c r="AF29" s="881">
        <f>SUMIF('9.Инвестиционна програма'!$B$74:$B$97,$B29,'9.Инвестиционна програма'!M$74:M$97)*$E$6</f>
        <v>0</v>
      </c>
      <c r="AG29" s="1087">
        <f>'11.2. ДА за периода'!AG29</f>
        <v>0</v>
      </c>
      <c r="AH29" s="881">
        <f>SUMIF('9.Инвестиционна програма'!$B$100:$B$123,$B29,'9.Инвестиционна програма'!H$100:H$123)*$E$6</f>
        <v>0</v>
      </c>
      <c r="AI29" s="881">
        <f>SUMIF('9.Инвестиционна програма'!$B$100:$B$123,$B29,'9.Инвестиционна програма'!I$100:I$123)*$E$6</f>
        <v>0</v>
      </c>
      <c r="AJ29" s="881">
        <f>SUMIF('9.Инвестиционна програма'!$B$100:$B$123,$B29,'9.Инвестиционна програма'!J$100:J$123)*$E$6</f>
        <v>0</v>
      </c>
      <c r="AK29" s="881">
        <f>SUMIF('9.Инвестиционна програма'!$B$100:$B$123,$B29,'9.Инвестиционна програма'!K$100:K$123)*$E$6</f>
        <v>0</v>
      </c>
      <c r="AL29" s="881">
        <f>SUMIF('9.Инвестиционна програма'!$B$100:$B$123,$B29,'9.Инвестиционна програма'!L$100:L$123)*$E$6</f>
        <v>0</v>
      </c>
      <c r="AM29" s="881">
        <f>SUMIF('9.Инвестиционна програма'!$B$100:$B$123,$B29,'9.Инвестиционна програма'!M$100:M$123)*$E$6</f>
        <v>0</v>
      </c>
      <c r="AN29" s="1087">
        <f>'11.2. ДА за периода'!AN29</f>
        <v>0</v>
      </c>
      <c r="AO29" s="1206">
        <f>(SUMIF('9.Инвестиционна програма'!$B$58:$B$59,$B29,'9.Инвестиционна програма'!H$58:H$59)+SUMIF('9.Инвестиционна програма'!$B$61:$B$71,$B29,'9.Инвестиционна програма'!H$61:H$71))*$E$6</f>
        <v>0</v>
      </c>
      <c r="AP29" s="881">
        <f>(SUMIF('9.Инвестиционна програма'!$B$58:$B$59,$B29,'9.Инвестиционна програма'!I$58:I$59)+SUMIF('9.Инвестиционна програма'!$B$61:$B$71,$B29,'9.Инвестиционна програма'!I$61:I$71))*$E$6</f>
        <v>53</v>
      </c>
      <c r="AQ29" s="881">
        <f>(SUMIF('9.Инвестиционна програма'!$B$58:$B$59,$B29,'9.Инвестиционна програма'!J$58:J$59)+SUMIF('9.Инвестиционна програма'!$B$61:$B$71,$B29,'9.Инвестиционна програма'!J$61:J$71))*$E$6</f>
        <v>8</v>
      </c>
      <c r="AR29" s="881">
        <f>(SUMIF('9.Инвестиционна програма'!$B$58:$B$59,$B29,'9.Инвестиционна програма'!K$58:K$59)+SUMIF('9.Инвестиционна програма'!$B$61:$B$71,$B29,'9.Инвестиционна програма'!K$61:K$71))*$E$6</f>
        <v>8</v>
      </c>
      <c r="AS29" s="881">
        <f>(SUMIF('9.Инвестиционна програма'!$B$58:$B$59,$B29,'9.Инвестиционна програма'!L$58:L$59)+SUMIF('9.Инвестиционна програма'!$B$61:$B$71,$B29,'9.Инвестиционна програма'!L$61:L$71))*$E$6</f>
        <v>8</v>
      </c>
      <c r="AT29" s="2690">
        <f>(SUMIF('9.Инвестиционна програма'!$B$58:$B$59,$B29,'9.Инвестиционна програма'!M$58:M$59)+SUMIF('9.Инвестиционна програма'!$B$61:$B$71,$B29,'9.Инвестиционна програма'!M$61:M$71))*$E$6</f>
        <v>8</v>
      </c>
      <c r="AU29" s="4422"/>
      <c r="AV29" s="4438">
        <f t="shared" si="47"/>
        <v>19.429091485456304</v>
      </c>
      <c r="AW29" s="4438">
        <f t="shared" si="48"/>
        <v>1.5338756435886556</v>
      </c>
      <c r="AX29" s="4438">
        <f t="shared" si="49"/>
        <v>0</v>
      </c>
      <c r="AY29" s="4438">
        <f t="shared" si="50"/>
        <v>0</v>
      </c>
      <c r="AZ29" s="4438">
        <f t="shared" si="51"/>
        <v>0</v>
      </c>
      <c r="BA29" s="4438">
        <f t="shared" si="52"/>
        <v>0</v>
      </c>
      <c r="BB29" s="4438">
        <f t="shared" si="53"/>
        <v>0</v>
      </c>
      <c r="BC29" s="4438">
        <f t="shared" si="54"/>
        <v>0</v>
      </c>
      <c r="BD29" s="4438">
        <f t="shared" si="55"/>
        <v>0</v>
      </c>
      <c r="BE29" s="4438">
        <f t="shared" si="56"/>
        <v>2.045167524784874</v>
      </c>
      <c r="BF29" s="4438">
        <f t="shared" si="57"/>
        <v>0</v>
      </c>
      <c r="BG29" s="4438">
        <f t="shared" si="58"/>
        <v>0</v>
      </c>
      <c r="BH29" s="4438">
        <f t="shared" si="59"/>
        <v>0</v>
      </c>
      <c r="BI29" s="4438">
        <f t="shared" si="60"/>
        <v>0</v>
      </c>
      <c r="BJ29" s="4438">
        <f t="shared" si="61"/>
        <v>0</v>
      </c>
      <c r="BK29" s="4438">
        <f t="shared" si="62"/>
        <v>0.51129188119621849</v>
      </c>
      <c r="BL29" s="4438">
        <f t="shared" si="63"/>
        <v>0</v>
      </c>
      <c r="BM29" s="4438">
        <f t="shared" si="64"/>
        <v>0</v>
      </c>
      <c r="BN29" s="4438">
        <f t="shared" si="65"/>
        <v>0</v>
      </c>
      <c r="BO29" s="4438">
        <f t="shared" si="66"/>
        <v>0</v>
      </c>
      <c r="BP29" s="4438">
        <f t="shared" si="67"/>
        <v>0</v>
      </c>
      <c r="BQ29" s="4438">
        <f t="shared" si="68"/>
        <v>0</v>
      </c>
      <c r="BR29" s="4438">
        <f t="shared" si="69"/>
        <v>0</v>
      </c>
      <c r="BS29" s="4438">
        <f t="shared" si="70"/>
        <v>0</v>
      </c>
      <c r="BT29" s="4438">
        <f t="shared" si="71"/>
        <v>0</v>
      </c>
      <c r="BU29" s="4438">
        <f t="shared" si="72"/>
        <v>0</v>
      </c>
      <c r="BV29" s="4438">
        <f t="shared" si="73"/>
        <v>0</v>
      </c>
      <c r="BW29" s="4438">
        <f t="shared" si="74"/>
        <v>0</v>
      </c>
      <c r="BX29" s="4438">
        <f t="shared" si="75"/>
        <v>0</v>
      </c>
      <c r="BY29" s="4438">
        <f t="shared" si="76"/>
        <v>0</v>
      </c>
      <c r="BZ29" s="4438">
        <f t="shared" si="77"/>
        <v>0</v>
      </c>
      <c r="CA29" s="4438">
        <f t="shared" si="78"/>
        <v>0</v>
      </c>
      <c r="CB29" s="4438">
        <f t="shared" si="79"/>
        <v>0</v>
      </c>
      <c r="CC29" s="4438">
        <f t="shared" si="80"/>
        <v>0</v>
      </c>
      <c r="CD29" s="4438">
        <f t="shared" si="81"/>
        <v>0</v>
      </c>
      <c r="CE29" s="4438">
        <f t="shared" si="82"/>
        <v>0</v>
      </c>
      <c r="CF29" s="4438">
        <f t="shared" si="83"/>
        <v>0</v>
      </c>
      <c r="CG29" s="4438">
        <f t="shared" si="84"/>
        <v>27.09846970339958</v>
      </c>
      <c r="CH29" s="4438">
        <f t="shared" si="85"/>
        <v>4.0903350495697479</v>
      </c>
      <c r="CI29" s="4438">
        <f t="shared" si="86"/>
        <v>4.0903350495697479</v>
      </c>
      <c r="CJ29" s="4438">
        <f t="shared" si="87"/>
        <v>4.0903350495697479</v>
      </c>
      <c r="CK29" s="4438">
        <f t="shared" si="88"/>
        <v>4.0903350495697479</v>
      </c>
    </row>
    <row r="30" spans="1:89" ht="14.25" customHeight="1">
      <c r="A30" s="2694">
        <v>4</v>
      </c>
      <c r="B30" s="3562">
        <v>204</v>
      </c>
      <c r="C30" s="3545"/>
      <c r="D30" s="2712" t="s">
        <v>211</v>
      </c>
      <c r="E30" s="2696">
        <f>E31+E34+E43+E44</f>
        <v>678</v>
      </c>
      <c r="F30" s="2697">
        <f t="shared" ref="F30:AT30" si="95">F31+F34+F43+F44</f>
        <v>710</v>
      </c>
      <c r="G30" s="2698">
        <f t="shared" si="95"/>
        <v>4438.1458700000003</v>
      </c>
      <c r="H30" s="2698">
        <f t="shared" si="95"/>
        <v>8352.2917400000006</v>
      </c>
      <c r="I30" s="2698">
        <f t="shared" si="95"/>
        <v>8376.2917400000006</v>
      </c>
      <c r="J30" s="2698">
        <f t="shared" si="95"/>
        <v>561</v>
      </c>
      <c r="K30" s="2699">
        <f t="shared" si="95"/>
        <v>578</v>
      </c>
      <c r="L30" s="2696">
        <f t="shared" si="95"/>
        <v>23</v>
      </c>
      <c r="M30" s="2697">
        <f t="shared" si="95"/>
        <v>25</v>
      </c>
      <c r="N30" s="2698">
        <f t="shared" si="95"/>
        <v>1021.26836</v>
      </c>
      <c r="O30" s="2698">
        <f t="shared" si="95"/>
        <v>1927.5367200000001</v>
      </c>
      <c r="P30" s="2698">
        <f t="shared" si="95"/>
        <v>1872.5367200000001</v>
      </c>
      <c r="Q30" s="2698">
        <f t="shared" si="95"/>
        <v>20</v>
      </c>
      <c r="R30" s="2699">
        <f t="shared" si="95"/>
        <v>25</v>
      </c>
      <c r="S30" s="2694">
        <f t="shared" si="95"/>
        <v>50</v>
      </c>
      <c r="T30" s="2700">
        <f t="shared" si="95"/>
        <v>5</v>
      </c>
      <c r="U30" s="2698">
        <f t="shared" si="95"/>
        <v>1051.8895439999999</v>
      </c>
      <c r="V30" s="2698">
        <f t="shared" si="95"/>
        <v>2099.7790879999998</v>
      </c>
      <c r="W30" s="2698">
        <f t="shared" si="95"/>
        <v>2116.7790879999998</v>
      </c>
      <c r="X30" s="2698">
        <f t="shared" si="95"/>
        <v>2</v>
      </c>
      <c r="Y30" s="2699">
        <f t="shared" si="95"/>
        <v>0</v>
      </c>
      <c r="Z30" s="2694">
        <f t="shared" si="95"/>
        <v>0</v>
      </c>
      <c r="AA30" s="2700">
        <f t="shared" si="95"/>
        <v>0</v>
      </c>
      <c r="AB30" s="2698">
        <f t="shared" si="95"/>
        <v>0</v>
      </c>
      <c r="AC30" s="2698">
        <f t="shared" si="95"/>
        <v>0</v>
      </c>
      <c r="AD30" s="2698">
        <f t="shared" si="95"/>
        <v>0</v>
      </c>
      <c r="AE30" s="2698">
        <f t="shared" si="95"/>
        <v>0</v>
      </c>
      <c r="AF30" s="2699">
        <f t="shared" si="95"/>
        <v>0</v>
      </c>
      <c r="AG30" s="2694">
        <f t="shared" si="95"/>
        <v>0</v>
      </c>
      <c r="AH30" s="2700">
        <f t="shared" si="95"/>
        <v>0</v>
      </c>
      <c r="AI30" s="2698">
        <f t="shared" si="95"/>
        <v>0</v>
      </c>
      <c r="AJ30" s="2698">
        <f t="shared" si="95"/>
        <v>0</v>
      </c>
      <c r="AK30" s="2698">
        <f t="shared" si="95"/>
        <v>0</v>
      </c>
      <c r="AL30" s="2698">
        <f t="shared" si="95"/>
        <v>0</v>
      </c>
      <c r="AM30" s="2699">
        <f t="shared" si="95"/>
        <v>0</v>
      </c>
      <c r="AN30" s="2694">
        <f t="shared" si="95"/>
        <v>0</v>
      </c>
      <c r="AO30" s="2700">
        <f t="shared" si="95"/>
        <v>0</v>
      </c>
      <c r="AP30" s="2698">
        <f t="shared" si="95"/>
        <v>0</v>
      </c>
      <c r="AQ30" s="2698">
        <f t="shared" si="95"/>
        <v>0</v>
      </c>
      <c r="AR30" s="2698">
        <f t="shared" si="95"/>
        <v>0</v>
      </c>
      <c r="AS30" s="2698">
        <f t="shared" si="95"/>
        <v>0</v>
      </c>
      <c r="AT30" s="2699">
        <f t="shared" si="95"/>
        <v>0</v>
      </c>
      <c r="AU30" s="4422"/>
      <c r="AV30" s="4438">
        <f t="shared" si="47"/>
        <v>346.65589545103614</v>
      </c>
      <c r="AW30" s="4438">
        <f t="shared" si="48"/>
        <v>363.01723564931513</v>
      </c>
      <c r="AX30" s="4438">
        <f t="shared" si="49"/>
        <v>2269.187950895528</v>
      </c>
      <c r="AY30" s="4438">
        <f t="shared" si="50"/>
        <v>4270.4589560442373</v>
      </c>
      <c r="AZ30" s="4438">
        <f t="shared" si="51"/>
        <v>4282.7299611929466</v>
      </c>
      <c r="BA30" s="4438">
        <f t="shared" si="52"/>
        <v>286.8347453510786</v>
      </c>
      <c r="BB30" s="4438">
        <f t="shared" si="53"/>
        <v>295.52670733141429</v>
      </c>
      <c r="BC30" s="4438">
        <f t="shared" si="54"/>
        <v>11.759713267513025</v>
      </c>
      <c r="BD30" s="4438">
        <f t="shared" si="55"/>
        <v>12.782297029905463</v>
      </c>
      <c r="BE30" s="4438">
        <f t="shared" si="56"/>
        <v>522.1662209905769</v>
      </c>
      <c r="BF30" s="4438">
        <f t="shared" si="57"/>
        <v>985.53387564358866</v>
      </c>
      <c r="BG30" s="4438">
        <f t="shared" si="58"/>
        <v>957.41282217779667</v>
      </c>
      <c r="BH30" s="4438">
        <f t="shared" si="59"/>
        <v>10.22583762392437</v>
      </c>
      <c r="BI30" s="4438">
        <f t="shared" si="60"/>
        <v>12.782297029905463</v>
      </c>
      <c r="BJ30" s="4438">
        <f t="shared" si="61"/>
        <v>25.564594059810926</v>
      </c>
      <c r="BK30" s="4438">
        <f t="shared" si="62"/>
        <v>2.5564594059810926</v>
      </c>
      <c r="BL30" s="4438">
        <f t="shared" si="63"/>
        <v>537.82258376239236</v>
      </c>
      <c r="BM30" s="4438">
        <f t="shared" si="64"/>
        <v>1073.5999999999999</v>
      </c>
      <c r="BN30" s="4438">
        <f t="shared" si="65"/>
        <v>1082.2919619803356</v>
      </c>
      <c r="BO30" s="4438">
        <f t="shared" si="66"/>
        <v>1.022583762392437</v>
      </c>
      <c r="BP30" s="4438">
        <f t="shared" si="67"/>
        <v>0</v>
      </c>
      <c r="BQ30" s="4438">
        <f t="shared" si="68"/>
        <v>0</v>
      </c>
      <c r="BR30" s="4438">
        <f t="shared" si="69"/>
        <v>0</v>
      </c>
      <c r="BS30" s="4438">
        <f t="shared" si="70"/>
        <v>0</v>
      </c>
      <c r="BT30" s="4438">
        <f t="shared" si="71"/>
        <v>0</v>
      </c>
      <c r="BU30" s="4438">
        <f t="shared" si="72"/>
        <v>0</v>
      </c>
      <c r="BV30" s="4438">
        <f t="shared" si="73"/>
        <v>0</v>
      </c>
      <c r="BW30" s="4438">
        <f t="shared" si="74"/>
        <v>0</v>
      </c>
      <c r="BX30" s="4438">
        <f t="shared" si="75"/>
        <v>0</v>
      </c>
      <c r="BY30" s="4438">
        <f t="shared" si="76"/>
        <v>0</v>
      </c>
      <c r="BZ30" s="4438">
        <f t="shared" si="77"/>
        <v>0</v>
      </c>
      <c r="CA30" s="4438">
        <f t="shared" si="78"/>
        <v>0</v>
      </c>
      <c r="CB30" s="4438">
        <f t="shared" si="79"/>
        <v>0</v>
      </c>
      <c r="CC30" s="4438">
        <f t="shared" si="80"/>
        <v>0</v>
      </c>
      <c r="CD30" s="4438">
        <f t="shared" si="81"/>
        <v>0</v>
      </c>
      <c r="CE30" s="4438">
        <f t="shared" si="82"/>
        <v>0</v>
      </c>
      <c r="CF30" s="4438">
        <f t="shared" si="83"/>
        <v>0</v>
      </c>
      <c r="CG30" s="4438">
        <f t="shared" si="84"/>
        <v>0</v>
      </c>
      <c r="CH30" s="4438">
        <f t="shared" si="85"/>
        <v>0</v>
      </c>
      <c r="CI30" s="4438">
        <f t="shared" si="86"/>
        <v>0</v>
      </c>
      <c r="CJ30" s="4438">
        <f t="shared" si="87"/>
        <v>0</v>
      </c>
      <c r="CK30" s="4438">
        <f t="shared" si="88"/>
        <v>0</v>
      </c>
    </row>
    <row r="31" spans="1:89">
      <c r="A31" s="2701"/>
      <c r="B31" s="3563">
        <v>20401</v>
      </c>
      <c r="C31" s="3546"/>
      <c r="D31" s="2693" t="s">
        <v>417</v>
      </c>
      <c r="E31" s="2705">
        <f t="shared" ref="E31:AT31" si="96">SUM(E32:E33)</f>
        <v>0</v>
      </c>
      <c r="F31" s="2706">
        <f t="shared" si="96"/>
        <v>0</v>
      </c>
      <c r="G31" s="2707">
        <f t="shared" si="96"/>
        <v>0</v>
      </c>
      <c r="H31" s="2707">
        <f t="shared" si="96"/>
        <v>0</v>
      </c>
      <c r="I31" s="2707">
        <f t="shared" si="96"/>
        <v>0</v>
      </c>
      <c r="J31" s="2707">
        <f t="shared" si="96"/>
        <v>0</v>
      </c>
      <c r="K31" s="2708">
        <f t="shared" si="96"/>
        <v>0</v>
      </c>
      <c r="L31" s="2705">
        <f t="shared" si="96"/>
        <v>0</v>
      </c>
      <c r="M31" s="2706">
        <f t="shared" si="96"/>
        <v>0</v>
      </c>
      <c r="N31" s="2707">
        <f t="shared" si="96"/>
        <v>0</v>
      </c>
      <c r="O31" s="2707">
        <f t="shared" si="96"/>
        <v>0</v>
      </c>
      <c r="P31" s="2707">
        <f t="shared" si="96"/>
        <v>0</v>
      </c>
      <c r="Q31" s="2707">
        <f t="shared" si="96"/>
        <v>0</v>
      </c>
      <c r="R31" s="2708">
        <f t="shared" si="96"/>
        <v>0</v>
      </c>
      <c r="S31" s="2709">
        <f t="shared" si="96"/>
        <v>0</v>
      </c>
      <c r="T31" s="2710">
        <f t="shared" si="96"/>
        <v>0</v>
      </c>
      <c r="U31" s="2707">
        <f t="shared" si="96"/>
        <v>0</v>
      </c>
      <c r="V31" s="2707">
        <f t="shared" si="96"/>
        <v>0</v>
      </c>
      <c r="W31" s="2707">
        <f t="shared" si="96"/>
        <v>0</v>
      </c>
      <c r="X31" s="2707">
        <f t="shared" si="96"/>
        <v>0</v>
      </c>
      <c r="Y31" s="2708">
        <f t="shared" si="96"/>
        <v>0</v>
      </c>
      <c r="Z31" s="2709">
        <f t="shared" ref="Z31:AM31" si="97">SUM(Z32:Z33)</f>
        <v>0</v>
      </c>
      <c r="AA31" s="2710">
        <f t="shared" si="97"/>
        <v>0</v>
      </c>
      <c r="AB31" s="2707">
        <f t="shared" si="97"/>
        <v>0</v>
      </c>
      <c r="AC31" s="2707">
        <f t="shared" si="97"/>
        <v>0</v>
      </c>
      <c r="AD31" s="2707">
        <f t="shared" si="97"/>
        <v>0</v>
      </c>
      <c r="AE31" s="2707">
        <f t="shared" si="97"/>
        <v>0</v>
      </c>
      <c r="AF31" s="2708">
        <f t="shared" si="97"/>
        <v>0</v>
      </c>
      <c r="AG31" s="2709">
        <f t="shared" si="97"/>
        <v>0</v>
      </c>
      <c r="AH31" s="2710">
        <f t="shared" si="97"/>
        <v>0</v>
      </c>
      <c r="AI31" s="2707">
        <f t="shared" si="97"/>
        <v>0</v>
      </c>
      <c r="AJ31" s="2707">
        <f t="shared" si="97"/>
        <v>0</v>
      </c>
      <c r="AK31" s="2707">
        <f t="shared" si="97"/>
        <v>0</v>
      </c>
      <c r="AL31" s="2707">
        <f t="shared" si="97"/>
        <v>0</v>
      </c>
      <c r="AM31" s="2708">
        <f t="shared" si="97"/>
        <v>0</v>
      </c>
      <c r="AN31" s="2709">
        <f t="shared" si="96"/>
        <v>0</v>
      </c>
      <c r="AO31" s="2710">
        <f t="shared" si="96"/>
        <v>0</v>
      </c>
      <c r="AP31" s="2707">
        <f t="shared" si="96"/>
        <v>0</v>
      </c>
      <c r="AQ31" s="2707">
        <f t="shared" si="96"/>
        <v>0</v>
      </c>
      <c r="AR31" s="2707">
        <f t="shared" si="96"/>
        <v>0</v>
      </c>
      <c r="AS31" s="2707">
        <f t="shared" si="96"/>
        <v>0</v>
      </c>
      <c r="AT31" s="2708">
        <f t="shared" si="96"/>
        <v>0</v>
      </c>
      <c r="AU31" s="4422"/>
      <c r="AV31" s="4438">
        <f t="shared" si="47"/>
        <v>0</v>
      </c>
      <c r="AW31" s="4438">
        <f t="shared" si="48"/>
        <v>0</v>
      </c>
      <c r="AX31" s="4438">
        <f t="shared" si="49"/>
        <v>0</v>
      </c>
      <c r="AY31" s="4438">
        <f t="shared" si="50"/>
        <v>0</v>
      </c>
      <c r="AZ31" s="4438">
        <f t="shared" si="51"/>
        <v>0</v>
      </c>
      <c r="BA31" s="4438">
        <f t="shared" si="52"/>
        <v>0</v>
      </c>
      <c r="BB31" s="4438">
        <f t="shared" si="53"/>
        <v>0</v>
      </c>
      <c r="BC31" s="4438">
        <f t="shared" si="54"/>
        <v>0</v>
      </c>
      <c r="BD31" s="4438">
        <f t="shared" si="55"/>
        <v>0</v>
      </c>
      <c r="BE31" s="4438">
        <f t="shared" si="56"/>
        <v>0</v>
      </c>
      <c r="BF31" s="4438">
        <f t="shared" si="57"/>
        <v>0</v>
      </c>
      <c r="BG31" s="4438">
        <f t="shared" si="58"/>
        <v>0</v>
      </c>
      <c r="BH31" s="4438">
        <f t="shared" si="59"/>
        <v>0</v>
      </c>
      <c r="BI31" s="4438">
        <f t="shared" si="60"/>
        <v>0</v>
      </c>
      <c r="BJ31" s="4438">
        <f t="shared" si="61"/>
        <v>0</v>
      </c>
      <c r="BK31" s="4438">
        <f t="shared" si="62"/>
        <v>0</v>
      </c>
      <c r="BL31" s="4438">
        <f t="shared" si="63"/>
        <v>0</v>
      </c>
      <c r="BM31" s="4438">
        <f t="shared" si="64"/>
        <v>0</v>
      </c>
      <c r="BN31" s="4438">
        <f t="shared" si="65"/>
        <v>0</v>
      </c>
      <c r="BO31" s="4438">
        <f t="shared" si="66"/>
        <v>0</v>
      </c>
      <c r="BP31" s="4438">
        <f t="shared" si="67"/>
        <v>0</v>
      </c>
      <c r="BQ31" s="4438">
        <f t="shared" si="68"/>
        <v>0</v>
      </c>
      <c r="BR31" s="4438">
        <f t="shared" si="69"/>
        <v>0</v>
      </c>
      <c r="BS31" s="4438">
        <f t="shared" si="70"/>
        <v>0</v>
      </c>
      <c r="BT31" s="4438">
        <f t="shared" si="71"/>
        <v>0</v>
      </c>
      <c r="BU31" s="4438">
        <f t="shared" si="72"/>
        <v>0</v>
      </c>
      <c r="BV31" s="4438">
        <f t="shared" si="73"/>
        <v>0</v>
      </c>
      <c r="BW31" s="4438">
        <f t="shared" si="74"/>
        <v>0</v>
      </c>
      <c r="BX31" s="4438">
        <f t="shared" si="75"/>
        <v>0</v>
      </c>
      <c r="BY31" s="4438">
        <f t="shared" si="76"/>
        <v>0</v>
      </c>
      <c r="BZ31" s="4438">
        <f t="shared" si="77"/>
        <v>0</v>
      </c>
      <c r="CA31" s="4438">
        <f t="shared" si="78"/>
        <v>0</v>
      </c>
      <c r="CB31" s="4438">
        <f t="shared" si="79"/>
        <v>0</v>
      </c>
      <c r="CC31" s="4438">
        <f t="shared" si="80"/>
        <v>0</v>
      </c>
      <c r="CD31" s="4438">
        <f t="shared" si="81"/>
        <v>0</v>
      </c>
      <c r="CE31" s="4438">
        <f t="shared" si="82"/>
        <v>0</v>
      </c>
      <c r="CF31" s="4438">
        <f t="shared" si="83"/>
        <v>0</v>
      </c>
      <c r="CG31" s="4438">
        <f t="shared" si="84"/>
        <v>0</v>
      </c>
      <c r="CH31" s="4438">
        <f t="shared" si="85"/>
        <v>0</v>
      </c>
      <c r="CI31" s="4438">
        <f t="shared" si="86"/>
        <v>0</v>
      </c>
      <c r="CJ31" s="4438">
        <f t="shared" si="87"/>
        <v>0</v>
      </c>
      <c r="CK31" s="4438">
        <f t="shared" si="88"/>
        <v>0</v>
      </c>
    </row>
    <row r="32" spans="1:89">
      <c r="A32" s="2701"/>
      <c r="B32" s="3564">
        <v>2040101</v>
      </c>
      <c r="C32" s="3547">
        <v>0.1</v>
      </c>
      <c r="D32" s="2713" t="s">
        <v>431</v>
      </c>
      <c r="E32" s="2689">
        <f>'11.2. ДА за периода'!E32</f>
        <v>0</v>
      </c>
      <c r="F32" s="1202">
        <f>SUMIF('9.Инвестиционна програма'!$B$12:$B$35,$B32,'9.Инвестиционна програма'!H$12:H$35)*$E$6</f>
        <v>0</v>
      </c>
      <c r="G32" s="1198">
        <f>SUMIF('9.Инвестиционна програма'!$B$12:$B$35,$B32,'9.Инвестиционна програма'!I$12:I$35)*$E$6</f>
        <v>0</v>
      </c>
      <c r="H32" s="1198">
        <f>SUMIF('9.Инвестиционна програма'!$B$12:$B$35,$B32,'9.Инвестиционна програма'!J$12:J$35)*$E$6</f>
        <v>0</v>
      </c>
      <c r="I32" s="1198">
        <f>SUMIF('9.Инвестиционна програма'!$B$12:$B$35,$B32,'9.Инвестиционна програма'!K$12:K$35)*$E$6</f>
        <v>0</v>
      </c>
      <c r="J32" s="1198">
        <f>SUMIF('9.Инвестиционна програма'!$B$12:$B$35,$B32,'9.Инвестиционна програма'!L$12:L$35)*$E$6</f>
        <v>0</v>
      </c>
      <c r="K32" s="1203">
        <f>SUMIF('9.Инвестиционна програма'!$B$12:$B$35,$B32,'9.Инвестиционна програма'!M$12:M$35)*$E$6</f>
        <v>0</v>
      </c>
      <c r="L32" s="2689">
        <f>'11.2. ДА за периода'!L32</f>
        <v>0</v>
      </c>
      <c r="M32" s="1206">
        <f>SUMIF('9.Инвестиционна програма'!$B$37:$B$47,$B32,'9.Инвестиционна програма'!H$37:H$47)*$E$6</f>
        <v>0</v>
      </c>
      <c r="N32" s="1200">
        <f>SUMIF('9.Инвестиционна програма'!$B$37:$B$47,$B32,'9.Инвестиционна програма'!I$37:I$47)*$E$6</f>
        <v>0</v>
      </c>
      <c r="O32" s="1200">
        <f>SUMIF('9.Инвестиционна програма'!$B$37:$B$47,$B32,'9.Инвестиционна програма'!J$37:J$47)*$E$6</f>
        <v>0</v>
      </c>
      <c r="P32" s="1200">
        <f>SUMIF('9.Инвестиционна програма'!$B$37:$B$47,$B32,'9.Инвестиционна програма'!K$37:K$47)*$E$6</f>
        <v>0</v>
      </c>
      <c r="Q32" s="1200">
        <f>SUMIF('9.Инвестиционна програма'!$B$37:$B$47,$B32,'9.Инвестиционна програма'!L$37:L$47)*$E$6</f>
        <v>0</v>
      </c>
      <c r="R32" s="1201">
        <f>SUMIF('9.Инвестиционна програма'!$B$37:$B$47,$B32,'9.Инвестиционна програма'!M$37:M$47)*$E$6</f>
        <v>0</v>
      </c>
      <c r="S32" s="1087">
        <f>'11.2. ДА за периода'!S32</f>
        <v>0</v>
      </c>
      <c r="T32" s="881">
        <f>SUMIF('9.Инвестиционна програма'!$B$49:$B$56,$B32,'9.Инвестиционна програма'!H$49:H$56)*$E$6</f>
        <v>0</v>
      </c>
      <c r="U32" s="881">
        <f>SUMIF('9.Инвестиционна програма'!$B$49:$B$56,$B32,'9.Инвестиционна програма'!I$49:I$56)*$E$6</f>
        <v>0</v>
      </c>
      <c r="V32" s="881">
        <f>SUMIF('9.Инвестиционна програма'!$B$49:$B$56,$B32,'9.Инвестиционна програма'!J$49:J$56)*$E$6</f>
        <v>0</v>
      </c>
      <c r="W32" s="881">
        <f>SUMIF('9.Инвестиционна програма'!$B$49:$B$56,$B32,'9.Инвестиционна програма'!K$49:K$56)*$E$6</f>
        <v>0</v>
      </c>
      <c r="X32" s="881">
        <f>SUMIF('9.Инвестиционна програма'!$B$49:$B$56,$B32,'9.Инвестиционна програма'!L$49:L$56)*$E$6</f>
        <v>0</v>
      </c>
      <c r="Y32" s="2690">
        <f>SUMIF('9.Инвестиционна програма'!$B$49:$B$56,$B32,'9.Инвестиционна програма'!M$49:M$56)*$E$6</f>
        <v>0</v>
      </c>
      <c r="Z32" s="1087">
        <f>'11.2. ДА за периода'!Z32</f>
        <v>0</v>
      </c>
      <c r="AA32" s="881">
        <f>SUMIF('9.Инвестиционна програма'!$B$74:$B$97,$B32,'9.Инвестиционна програма'!H$74:H$97)*$E$6</f>
        <v>0</v>
      </c>
      <c r="AB32" s="881">
        <f>SUMIF('9.Инвестиционна програма'!$B$74:$B$97,$B32,'9.Инвестиционна програма'!I$74:I$97)*$E$6</f>
        <v>0</v>
      </c>
      <c r="AC32" s="881">
        <f>SUMIF('9.Инвестиционна програма'!$B$74:$B$97,$B32,'9.Инвестиционна програма'!J$74:J$97)*$E$6</f>
        <v>0</v>
      </c>
      <c r="AD32" s="881">
        <f>SUMIF('9.Инвестиционна програма'!$B$74:$B$97,$B32,'9.Инвестиционна програма'!K$74:K$97)*$E$6</f>
        <v>0</v>
      </c>
      <c r="AE32" s="881">
        <f>SUMIF('9.Инвестиционна програма'!$B$74:$B$97,$B32,'9.Инвестиционна програма'!L$74:L$97)*$E$6</f>
        <v>0</v>
      </c>
      <c r="AF32" s="881">
        <f>SUMIF('9.Инвестиционна програма'!$B$74:$B$97,$B32,'9.Инвестиционна програма'!M$74:M$97)*$E$6</f>
        <v>0</v>
      </c>
      <c r="AG32" s="1087">
        <f>'11.2. ДА за периода'!AG32</f>
        <v>0</v>
      </c>
      <c r="AH32" s="881">
        <f>SUMIF('9.Инвестиционна програма'!$B$100:$B$123,$B32,'9.Инвестиционна програма'!H$100:H$123)*$E$6</f>
        <v>0</v>
      </c>
      <c r="AI32" s="881">
        <f>SUMIF('9.Инвестиционна програма'!$B$100:$B$123,$B32,'9.Инвестиционна програма'!I$100:I$123)*$E$6</f>
        <v>0</v>
      </c>
      <c r="AJ32" s="881">
        <f>SUMIF('9.Инвестиционна програма'!$B$100:$B$123,$B32,'9.Инвестиционна програма'!J$100:J$123)*$E$6</f>
        <v>0</v>
      </c>
      <c r="AK32" s="881">
        <f>SUMIF('9.Инвестиционна програма'!$B$100:$B$123,$B32,'9.Инвестиционна програма'!K$100:K$123)*$E$6</f>
        <v>0</v>
      </c>
      <c r="AL32" s="881">
        <f>SUMIF('9.Инвестиционна програма'!$B$100:$B$123,$B32,'9.Инвестиционна програма'!L$100:L$123)*$E$6</f>
        <v>0</v>
      </c>
      <c r="AM32" s="881">
        <f>SUMIF('9.Инвестиционна програма'!$B$100:$B$123,$B32,'9.Инвестиционна програма'!M$100:M$123)*$E$6</f>
        <v>0</v>
      </c>
      <c r="AN32" s="1087">
        <f>'11.2. ДА за периода'!AN32</f>
        <v>0</v>
      </c>
      <c r="AO32" s="1206">
        <f>(SUMIF('9.Инвестиционна програма'!$B$58:$B$59,$B32,'9.Инвестиционна програма'!H$58:H$59)+SUMIF('9.Инвестиционна програма'!$B$61:$B$71,$B32,'9.Инвестиционна програма'!H$61:H$71))*$E$6</f>
        <v>0</v>
      </c>
      <c r="AP32" s="881">
        <f>(SUMIF('9.Инвестиционна програма'!$B$58:$B$59,$B32,'9.Инвестиционна програма'!I$58:I$59)+SUMIF('9.Инвестиционна програма'!$B$61:$B$71,$B32,'9.Инвестиционна програма'!I$61:I$71))*$E$6</f>
        <v>0</v>
      </c>
      <c r="AQ32" s="881">
        <f>(SUMIF('9.Инвестиционна програма'!$B$58:$B$59,$B32,'9.Инвестиционна програма'!J$58:J$59)+SUMIF('9.Инвестиционна програма'!$B$61:$B$71,$B32,'9.Инвестиционна програма'!J$61:J$71))*$E$6</f>
        <v>0</v>
      </c>
      <c r="AR32" s="881">
        <f>(SUMIF('9.Инвестиционна програма'!$B$58:$B$59,$B32,'9.Инвестиционна програма'!K$58:K$59)+SUMIF('9.Инвестиционна програма'!$B$61:$B$71,$B32,'9.Инвестиционна програма'!K$61:K$71))*$E$6</f>
        <v>0</v>
      </c>
      <c r="AS32" s="881">
        <f>(SUMIF('9.Инвестиционна програма'!$B$58:$B$59,$B32,'9.Инвестиционна програма'!L$58:L$59)+SUMIF('9.Инвестиционна програма'!$B$61:$B$71,$B32,'9.Инвестиционна програма'!L$61:L$71))*$E$6</f>
        <v>0</v>
      </c>
      <c r="AT32" s="2690">
        <f>(SUMIF('9.Инвестиционна програма'!$B$58:$B$59,$B32,'9.Инвестиционна програма'!M$58:M$59)+SUMIF('9.Инвестиционна програма'!$B$61:$B$71,$B32,'9.Инвестиционна програма'!M$61:M$71))*$E$6</f>
        <v>0</v>
      </c>
      <c r="AU32" s="4422"/>
      <c r="AV32" s="4438">
        <f t="shared" si="47"/>
        <v>0</v>
      </c>
      <c r="AW32" s="4438">
        <f t="shared" si="48"/>
        <v>0</v>
      </c>
      <c r="AX32" s="4438">
        <f t="shared" si="49"/>
        <v>0</v>
      </c>
      <c r="AY32" s="4438">
        <f t="shared" si="50"/>
        <v>0</v>
      </c>
      <c r="AZ32" s="4438">
        <f t="shared" si="51"/>
        <v>0</v>
      </c>
      <c r="BA32" s="4438">
        <f t="shared" si="52"/>
        <v>0</v>
      </c>
      <c r="BB32" s="4438">
        <f t="shared" si="53"/>
        <v>0</v>
      </c>
      <c r="BC32" s="4438">
        <f t="shared" si="54"/>
        <v>0</v>
      </c>
      <c r="BD32" s="4438">
        <f t="shared" si="55"/>
        <v>0</v>
      </c>
      <c r="BE32" s="4438">
        <f t="shared" si="56"/>
        <v>0</v>
      </c>
      <c r="BF32" s="4438">
        <f t="shared" si="57"/>
        <v>0</v>
      </c>
      <c r="BG32" s="4438">
        <f t="shared" si="58"/>
        <v>0</v>
      </c>
      <c r="BH32" s="4438">
        <f t="shared" si="59"/>
        <v>0</v>
      </c>
      <c r="BI32" s="4438">
        <f t="shared" si="60"/>
        <v>0</v>
      </c>
      <c r="BJ32" s="4438">
        <f t="shared" si="61"/>
        <v>0</v>
      </c>
      <c r="BK32" s="4438">
        <f t="shared" si="62"/>
        <v>0</v>
      </c>
      <c r="BL32" s="4438">
        <f t="shared" si="63"/>
        <v>0</v>
      </c>
      <c r="BM32" s="4438">
        <f t="shared" si="64"/>
        <v>0</v>
      </c>
      <c r="BN32" s="4438">
        <f t="shared" si="65"/>
        <v>0</v>
      </c>
      <c r="BO32" s="4438">
        <f t="shared" si="66"/>
        <v>0</v>
      </c>
      <c r="BP32" s="4438">
        <f t="shared" si="67"/>
        <v>0</v>
      </c>
      <c r="BQ32" s="4438">
        <f t="shared" si="68"/>
        <v>0</v>
      </c>
      <c r="BR32" s="4438">
        <f t="shared" si="69"/>
        <v>0</v>
      </c>
      <c r="BS32" s="4438">
        <f t="shared" si="70"/>
        <v>0</v>
      </c>
      <c r="BT32" s="4438">
        <f t="shared" si="71"/>
        <v>0</v>
      </c>
      <c r="BU32" s="4438">
        <f t="shared" si="72"/>
        <v>0</v>
      </c>
      <c r="BV32" s="4438">
        <f t="shared" si="73"/>
        <v>0</v>
      </c>
      <c r="BW32" s="4438">
        <f t="shared" si="74"/>
        <v>0</v>
      </c>
      <c r="BX32" s="4438">
        <f t="shared" si="75"/>
        <v>0</v>
      </c>
      <c r="BY32" s="4438">
        <f t="shared" si="76"/>
        <v>0</v>
      </c>
      <c r="BZ32" s="4438">
        <f t="shared" si="77"/>
        <v>0</v>
      </c>
      <c r="CA32" s="4438">
        <f t="shared" si="78"/>
        <v>0</v>
      </c>
      <c r="CB32" s="4438">
        <f t="shared" si="79"/>
        <v>0</v>
      </c>
      <c r="CC32" s="4438">
        <f t="shared" si="80"/>
        <v>0</v>
      </c>
      <c r="CD32" s="4438">
        <f t="shared" si="81"/>
        <v>0</v>
      </c>
      <c r="CE32" s="4438">
        <f t="shared" si="82"/>
        <v>0</v>
      </c>
      <c r="CF32" s="4438">
        <f t="shared" si="83"/>
        <v>0</v>
      </c>
      <c r="CG32" s="4438">
        <f t="shared" si="84"/>
        <v>0</v>
      </c>
      <c r="CH32" s="4438">
        <f t="shared" si="85"/>
        <v>0</v>
      </c>
      <c r="CI32" s="4438">
        <f t="shared" si="86"/>
        <v>0</v>
      </c>
      <c r="CJ32" s="4438">
        <f t="shared" si="87"/>
        <v>0</v>
      </c>
      <c r="CK32" s="4438">
        <f t="shared" si="88"/>
        <v>0</v>
      </c>
    </row>
    <row r="33" spans="1:89">
      <c r="A33" s="2701"/>
      <c r="B33" s="3564">
        <v>2040102</v>
      </c>
      <c r="C33" s="3547">
        <v>0.04</v>
      </c>
      <c r="D33" s="2713" t="s">
        <v>432</v>
      </c>
      <c r="E33" s="2689">
        <f>'11.2. ДА за периода'!E33</f>
        <v>0</v>
      </c>
      <c r="F33" s="1202">
        <f>SUMIF('9.Инвестиционна програма'!$B$12:$B$35,$B33,'9.Инвестиционна програма'!H$12:H$35)*$E$6</f>
        <v>0</v>
      </c>
      <c r="G33" s="1198">
        <f>SUMIF('9.Инвестиционна програма'!$B$12:$B$35,$B33,'9.Инвестиционна програма'!I$12:I$35)*$E$6</f>
        <v>0</v>
      </c>
      <c r="H33" s="1198">
        <f>SUMIF('9.Инвестиционна програма'!$B$12:$B$35,$B33,'9.Инвестиционна програма'!J$12:J$35)*$E$6</f>
        <v>0</v>
      </c>
      <c r="I33" s="1198">
        <f>SUMIF('9.Инвестиционна програма'!$B$12:$B$35,$B33,'9.Инвестиционна програма'!K$12:K$35)*$E$6</f>
        <v>0</v>
      </c>
      <c r="J33" s="1198">
        <f>SUMIF('9.Инвестиционна програма'!$B$12:$B$35,$B33,'9.Инвестиционна програма'!L$12:L$35)*$E$6</f>
        <v>0</v>
      </c>
      <c r="K33" s="1203">
        <f>SUMIF('9.Инвестиционна програма'!$B$12:$B$35,$B33,'9.Инвестиционна програма'!M$12:M$35)*$E$6</f>
        <v>0</v>
      </c>
      <c r="L33" s="2689">
        <f>'11.2. ДА за периода'!L33</f>
        <v>0</v>
      </c>
      <c r="M33" s="1206">
        <f>SUMIF('9.Инвестиционна програма'!$B$37:$B$47,$B33,'9.Инвестиционна програма'!H$37:H$47)*$E$6</f>
        <v>0</v>
      </c>
      <c r="N33" s="1200">
        <f>SUMIF('9.Инвестиционна програма'!$B$37:$B$47,$B33,'9.Инвестиционна програма'!I$37:I$47)*$E$6</f>
        <v>0</v>
      </c>
      <c r="O33" s="1200">
        <f>SUMIF('9.Инвестиционна програма'!$B$37:$B$47,$B33,'9.Инвестиционна програма'!J$37:J$47)*$E$6</f>
        <v>0</v>
      </c>
      <c r="P33" s="1200">
        <f>SUMIF('9.Инвестиционна програма'!$B$37:$B$47,$B33,'9.Инвестиционна програма'!K$37:K$47)*$E$6</f>
        <v>0</v>
      </c>
      <c r="Q33" s="1200">
        <f>SUMIF('9.Инвестиционна програма'!$B$37:$B$47,$B33,'9.Инвестиционна програма'!L$37:L$47)*$E$6</f>
        <v>0</v>
      </c>
      <c r="R33" s="1201">
        <f>SUMIF('9.Инвестиционна програма'!$B$37:$B$47,$B33,'9.Инвестиционна програма'!M$37:M$47)*$E$6</f>
        <v>0</v>
      </c>
      <c r="S33" s="1087">
        <f>'11.2. ДА за периода'!S33</f>
        <v>0</v>
      </c>
      <c r="T33" s="881">
        <f>SUMIF('9.Инвестиционна програма'!$B$49:$B$56,$B33,'9.Инвестиционна програма'!H$49:H$56)*$E$6</f>
        <v>0</v>
      </c>
      <c r="U33" s="881">
        <f>SUMIF('9.Инвестиционна програма'!$B$49:$B$56,$B33,'9.Инвестиционна програма'!I$49:I$56)*$E$6</f>
        <v>0</v>
      </c>
      <c r="V33" s="881">
        <f>SUMIF('9.Инвестиционна програма'!$B$49:$B$56,$B33,'9.Инвестиционна програма'!J$49:J$56)*$E$6</f>
        <v>0</v>
      </c>
      <c r="W33" s="881">
        <f>SUMIF('9.Инвестиционна програма'!$B$49:$B$56,$B33,'9.Инвестиционна програма'!K$49:K$56)*$E$6</f>
        <v>0</v>
      </c>
      <c r="X33" s="881">
        <f>SUMIF('9.Инвестиционна програма'!$B$49:$B$56,$B33,'9.Инвестиционна програма'!L$49:L$56)*$E$6</f>
        <v>0</v>
      </c>
      <c r="Y33" s="2690">
        <f>SUMIF('9.Инвестиционна програма'!$B$49:$B$56,$B33,'9.Инвестиционна програма'!M$49:M$56)*$E$6</f>
        <v>0</v>
      </c>
      <c r="Z33" s="1087">
        <f>'11.2. ДА за периода'!Z33</f>
        <v>0</v>
      </c>
      <c r="AA33" s="881">
        <f>SUMIF('9.Инвестиционна програма'!$B$74:$B$97,$B33,'9.Инвестиционна програма'!H$74:H$97)*$E$6</f>
        <v>0</v>
      </c>
      <c r="AB33" s="881">
        <f>SUMIF('9.Инвестиционна програма'!$B$74:$B$97,$B33,'9.Инвестиционна програма'!I$74:I$97)*$E$6</f>
        <v>0</v>
      </c>
      <c r="AC33" s="881">
        <f>SUMIF('9.Инвестиционна програма'!$B$74:$B$97,$B33,'9.Инвестиционна програма'!J$74:J$97)*$E$6</f>
        <v>0</v>
      </c>
      <c r="AD33" s="881">
        <f>SUMIF('9.Инвестиционна програма'!$B$74:$B$97,$B33,'9.Инвестиционна програма'!K$74:K$97)*$E$6</f>
        <v>0</v>
      </c>
      <c r="AE33" s="881">
        <f>SUMIF('9.Инвестиционна програма'!$B$74:$B$97,$B33,'9.Инвестиционна програма'!L$74:L$97)*$E$6</f>
        <v>0</v>
      </c>
      <c r="AF33" s="881">
        <f>SUMIF('9.Инвестиционна програма'!$B$74:$B$97,$B33,'9.Инвестиционна програма'!M$74:M$97)*$E$6</f>
        <v>0</v>
      </c>
      <c r="AG33" s="1087">
        <f>'11.2. ДА за периода'!AG33</f>
        <v>0</v>
      </c>
      <c r="AH33" s="881">
        <f>SUMIF('9.Инвестиционна програма'!$B$100:$B$123,$B33,'9.Инвестиционна програма'!H$100:H$123)*$E$6</f>
        <v>0</v>
      </c>
      <c r="AI33" s="881">
        <f>SUMIF('9.Инвестиционна програма'!$B$100:$B$123,$B33,'9.Инвестиционна програма'!I$100:I$123)*$E$6</f>
        <v>0</v>
      </c>
      <c r="AJ33" s="881">
        <f>SUMIF('9.Инвестиционна програма'!$B$100:$B$123,$B33,'9.Инвестиционна програма'!J$100:J$123)*$E$6</f>
        <v>0</v>
      </c>
      <c r="AK33" s="881">
        <f>SUMIF('9.Инвестиционна програма'!$B$100:$B$123,$B33,'9.Инвестиционна програма'!K$100:K$123)*$E$6</f>
        <v>0</v>
      </c>
      <c r="AL33" s="881">
        <f>SUMIF('9.Инвестиционна програма'!$B$100:$B$123,$B33,'9.Инвестиционна програма'!L$100:L$123)*$E$6</f>
        <v>0</v>
      </c>
      <c r="AM33" s="881">
        <f>SUMIF('9.Инвестиционна програма'!$B$100:$B$123,$B33,'9.Инвестиционна програма'!M$100:M$123)*$E$6</f>
        <v>0</v>
      </c>
      <c r="AN33" s="1087">
        <f>'11.2. ДА за периода'!AN33</f>
        <v>0</v>
      </c>
      <c r="AO33" s="1206">
        <f>(SUMIF('9.Инвестиционна програма'!$B$58:$B$59,$B33,'9.Инвестиционна програма'!H$58:H$59)+SUMIF('9.Инвестиционна програма'!$B$61:$B$71,$B33,'9.Инвестиционна програма'!H$61:H$71))*$E$6</f>
        <v>0</v>
      </c>
      <c r="AP33" s="881">
        <f>(SUMIF('9.Инвестиционна програма'!$B$58:$B$59,$B33,'9.Инвестиционна програма'!I$58:I$59)+SUMIF('9.Инвестиционна програма'!$B$61:$B$71,$B33,'9.Инвестиционна програма'!I$61:I$71))*$E$6</f>
        <v>0</v>
      </c>
      <c r="AQ33" s="881">
        <f>(SUMIF('9.Инвестиционна програма'!$B$58:$B$59,$B33,'9.Инвестиционна програма'!J$58:J$59)+SUMIF('9.Инвестиционна програма'!$B$61:$B$71,$B33,'9.Инвестиционна програма'!J$61:J$71))*$E$6</f>
        <v>0</v>
      </c>
      <c r="AR33" s="881">
        <f>(SUMIF('9.Инвестиционна програма'!$B$58:$B$59,$B33,'9.Инвестиционна програма'!K$58:K$59)+SUMIF('9.Инвестиционна програма'!$B$61:$B$71,$B33,'9.Инвестиционна програма'!K$61:K$71))*$E$6</f>
        <v>0</v>
      </c>
      <c r="AS33" s="881">
        <f>(SUMIF('9.Инвестиционна програма'!$B$58:$B$59,$B33,'9.Инвестиционна програма'!L$58:L$59)+SUMIF('9.Инвестиционна програма'!$B$61:$B$71,$B33,'9.Инвестиционна програма'!L$61:L$71))*$E$6</f>
        <v>0</v>
      </c>
      <c r="AT33" s="2690">
        <f>(SUMIF('9.Инвестиционна програма'!$B$58:$B$59,$B33,'9.Инвестиционна програма'!M$58:M$59)+SUMIF('9.Инвестиционна програма'!$B$61:$B$71,$B33,'9.Инвестиционна програма'!M$61:M$71))*$E$6</f>
        <v>0</v>
      </c>
      <c r="AU33" s="4422"/>
      <c r="AV33" s="4438">
        <f t="shared" si="47"/>
        <v>0</v>
      </c>
      <c r="AW33" s="4438">
        <f t="shared" si="48"/>
        <v>0</v>
      </c>
      <c r="AX33" s="4438">
        <f t="shared" si="49"/>
        <v>0</v>
      </c>
      <c r="AY33" s="4438">
        <f t="shared" si="50"/>
        <v>0</v>
      </c>
      <c r="AZ33" s="4438">
        <f t="shared" si="51"/>
        <v>0</v>
      </c>
      <c r="BA33" s="4438">
        <f t="shared" si="52"/>
        <v>0</v>
      </c>
      <c r="BB33" s="4438">
        <f t="shared" si="53"/>
        <v>0</v>
      </c>
      <c r="BC33" s="4438">
        <f t="shared" si="54"/>
        <v>0</v>
      </c>
      <c r="BD33" s="4438">
        <f t="shared" si="55"/>
        <v>0</v>
      </c>
      <c r="BE33" s="4438">
        <f t="shared" si="56"/>
        <v>0</v>
      </c>
      <c r="BF33" s="4438">
        <f t="shared" si="57"/>
        <v>0</v>
      </c>
      <c r="BG33" s="4438">
        <f t="shared" si="58"/>
        <v>0</v>
      </c>
      <c r="BH33" s="4438">
        <f t="shared" si="59"/>
        <v>0</v>
      </c>
      <c r="BI33" s="4438">
        <f t="shared" si="60"/>
        <v>0</v>
      </c>
      <c r="BJ33" s="4438">
        <f t="shared" si="61"/>
        <v>0</v>
      </c>
      <c r="BK33" s="4438">
        <f t="shared" si="62"/>
        <v>0</v>
      </c>
      <c r="BL33" s="4438">
        <f t="shared" si="63"/>
        <v>0</v>
      </c>
      <c r="BM33" s="4438">
        <f t="shared" si="64"/>
        <v>0</v>
      </c>
      <c r="BN33" s="4438">
        <f t="shared" si="65"/>
        <v>0</v>
      </c>
      <c r="BO33" s="4438">
        <f t="shared" si="66"/>
        <v>0</v>
      </c>
      <c r="BP33" s="4438">
        <f t="shared" si="67"/>
        <v>0</v>
      </c>
      <c r="BQ33" s="4438">
        <f t="shared" si="68"/>
        <v>0</v>
      </c>
      <c r="BR33" s="4438">
        <f t="shared" si="69"/>
        <v>0</v>
      </c>
      <c r="BS33" s="4438">
        <f t="shared" si="70"/>
        <v>0</v>
      </c>
      <c r="BT33" s="4438">
        <f t="shared" si="71"/>
        <v>0</v>
      </c>
      <c r="BU33" s="4438">
        <f t="shared" si="72"/>
        <v>0</v>
      </c>
      <c r="BV33" s="4438">
        <f t="shared" si="73"/>
        <v>0</v>
      </c>
      <c r="BW33" s="4438">
        <f t="shared" si="74"/>
        <v>0</v>
      </c>
      <c r="BX33" s="4438">
        <f t="shared" si="75"/>
        <v>0</v>
      </c>
      <c r="BY33" s="4438">
        <f t="shared" si="76"/>
        <v>0</v>
      </c>
      <c r="BZ33" s="4438">
        <f t="shared" si="77"/>
        <v>0</v>
      </c>
      <c r="CA33" s="4438">
        <f t="shared" si="78"/>
        <v>0</v>
      </c>
      <c r="CB33" s="4438">
        <f t="shared" si="79"/>
        <v>0</v>
      </c>
      <c r="CC33" s="4438">
        <f t="shared" si="80"/>
        <v>0</v>
      </c>
      <c r="CD33" s="4438">
        <f t="shared" si="81"/>
        <v>0</v>
      </c>
      <c r="CE33" s="4438">
        <f t="shared" si="82"/>
        <v>0</v>
      </c>
      <c r="CF33" s="4438">
        <f t="shared" si="83"/>
        <v>0</v>
      </c>
      <c r="CG33" s="4438">
        <f t="shared" si="84"/>
        <v>0</v>
      </c>
      <c r="CH33" s="4438">
        <f t="shared" si="85"/>
        <v>0</v>
      </c>
      <c r="CI33" s="4438">
        <f t="shared" si="86"/>
        <v>0</v>
      </c>
      <c r="CJ33" s="4438">
        <f t="shared" si="87"/>
        <v>0</v>
      </c>
      <c r="CK33" s="4438">
        <f t="shared" si="88"/>
        <v>0</v>
      </c>
    </row>
    <row r="34" spans="1:89">
      <c r="A34" s="2701"/>
      <c r="B34" s="3563">
        <v>20402</v>
      </c>
      <c r="C34" s="3546"/>
      <c r="D34" s="2693" t="s">
        <v>433</v>
      </c>
      <c r="E34" s="2705">
        <f>SUM(E35:E42)</f>
        <v>678</v>
      </c>
      <c r="F34" s="2706">
        <f t="shared" ref="F34:AT34" si="98">SUM(F35:F42)</f>
        <v>710</v>
      </c>
      <c r="G34" s="2707">
        <f t="shared" si="98"/>
        <v>4438.1458700000003</v>
      </c>
      <c r="H34" s="2707">
        <f t="shared" si="98"/>
        <v>8352.2917400000006</v>
      </c>
      <c r="I34" s="2707">
        <f t="shared" si="98"/>
        <v>8376.2917400000006</v>
      </c>
      <c r="J34" s="2707">
        <f t="shared" si="98"/>
        <v>561</v>
      </c>
      <c r="K34" s="2708">
        <f t="shared" si="98"/>
        <v>578</v>
      </c>
      <c r="L34" s="2705">
        <f t="shared" si="98"/>
        <v>23</v>
      </c>
      <c r="M34" s="2706">
        <f t="shared" si="98"/>
        <v>25</v>
      </c>
      <c r="N34" s="2707">
        <f t="shared" si="98"/>
        <v>1021.26836</v>
      </c>
      <c r="O34" s="2707">
        <f t="shared" si="98"/>
        <v>1927.5367200000001</v>
      </c>
      <c r="P34" s="2707">
        <f t="shared" si="98"/>
        <v>1872.5367200000001</v>
      </c>
      <c r="Q34" s="2707">
        <f t="shared" si="98"/>
        <v>20</v>
      </c>
      <c r="R34" s="2708">
        <f t="shared" si="98"/>
        <v>25</v>
      </c>
      <c r="S34" s="2709">
        <f t="shared" si="98"/>
        <v>38</v>
      </c>
      <c r="T34" s="2710">
        <f t="shared" si="98"/>
        <v>5</v>
      </c>
      <c r="U34" s="2707">
        <f t="shared" si="98"/>
        <v>1051.8895439999999</v>
      </c>
      <c r="V34" s="2707">
        <f t="shared" si="98"/>
        <v>2099.7790879999998</v>
      </c>
      <c r="W34" s="2707">
        <f t="shared" si="98"/>
        <v>2116.7790879999998</v>
      </c>
      <c r="X34" s="2707">
        <f t="shared" si="98"/>
        <v>2</v>
      </c>
      <c r="Y34" s="2708">
        <f t="shared" si="98"/>
        <v>0</v>
      </c>
      <c r="Z34" s="2709">
        <f t="shared" si="98"/>
        <v>0</v>
      </c>
      <c r="AA34" s="2710">
        <f t="shared" si="98"/>
        <v>0</v>
      </c>
      <c r="AB34" s="2707">
        <f t="shared" si="98"/>
        <v>0</v>
      </c>
      <c r="AC34" s="2707">
        <f t="shared" si="98"/>
        <v>0</v>
      </c>
      <c r="AD34" s="2707">
        <f t="shared" si="98"/>
        <v>0</v>
      </c>
      <c r="AE34" s="2707">
        <f t="shared" si="98"/>
        <v>0</v>
      </c>
      <c r="AF34" s="2708">
        <f t="shared" si="98"/>
        <v>0</v>
      </c>
      <c r="AG34" s="2709">
        <f t="shared" si="98"/>
        <v>0</v>
      </c>
      <c r="AH34" s="2710">
        <f t="shared" si="98"/>
        <v>0</v>
      </c>
      <c r="AI34" s="2707">
        <f t="shared" si="98"/>
        <v>0</v>
      </c>
      <c r="AJ34" s="2707">
        <f t="shared" si="98"/>
        <v>0</v>
      </c>
      <c r="AK34" s="2707">
        <f t="shared" si="98"/>
        <v>0</v>
      </c>
      <c r="AL34" s="2707">
        <f t="shared" si="98"/>
        <v>0</v>
      </c>
      <c r="AM34" s="2708">
        <f t="shared" si="98"/>
        <v>0</v>
      </c>
      <c r="AN34" s="2709">
        <f t="shared" si="98"/>
        <v>0</v>
      </c>
      <c r="AO34" s="2710">
        <f t="shared" si="98"/>
        <v>0</v>
      </c>
      <c r="AP34" s="2707">
        <f t="shared" si="98"/>
        <v>0</v>
      </c>
      <c r="AQ34" s="2707">
        <f t="shared" si="98"/>
        <v>0</v>
      </c>
      <c r="AR34" s="2707">
        <f t="shared" si="98"/>
        <v>0</v>
      </c>
      <c r="AS34" s="2707">
        <f t="shared" si="98"/>
        <v>0</v>
      </c>
      <c r="AT34" s="2708">
        <f t="shared" si="98"/>
        <v>0</v>
      </c>
      <c r="AU34" s="4422"/>
      <c r="AV34" s="4438">
        <f t="shared" si="47"/>
        <v>346.65589545103614</v>
      </c>
      <c r="AW34" s="4438">
        <f t="shared" si="48"/>
        <v>363.01723564931513</v>
      </c>
      <c r="AX34" s="4438">
        <f t="shared" si="49"/>
        <v>2269.187950895528</v>
      </c>
      <c r="AY34" s="4438">
        <f t="shared" si="50"/>
        <v>4270.4589560442373</v>
      </c>
      <c r="AZ34" s="4438">
        <f t="shared" si="51"/>
        <v>4282.7299611929466</v>
      </c>
      <c r="BA34" s="4438">
        <f t="shared" si="52"/>
        <v>286.8347453510786</v>
      </c>
      <c r="BB34" s="4438">
        <f t="shared" si="53"/>
        <v>295.52670733141429</v>
      </c>
      <c r="BC34" s="4438">
        <f t="shared" si="54"/>
        <v>11.759713267513025</v>
      </c>
      <c r="BD34" s="4438">
        <f t="shared" si="55"/>
        <v>12.782297029905463</v>
      </c>
      <c r="BE34" s="4438">
        <f t="shared" si="56"/>
        <v>522.1662209905769</v>
      </c>
      <c r="BF34" s="4438">
        <f t="shared" si="57"/>
        <v>985.53387564358866</v>
      </c>
      <c r="BG34" s="4438">
        <f t="shared" si="58"/>
        <v>957.41282217779667</v>
      </c>
      <c r="BH34" s="4438">
        <f t="shared" si="59"/>
        <v>10.22583762392437</v>
      </c>
      <c r="BI34" s="4438">
        <f t="shared" si="60"/>
        <v>12.782297029905463</v>
      </c>
      <c r="BJ34" s="4438">
        <f t="shared" si="61"/>
        <v>19.429091485456304</v>
      </c>
      <c r="BK34" s="4438">
        <f t="shared" si="62"/>
        <v>2.5564594059810926</v>
      </c>
      <c r="BL34" s="4438">
        <f t="shared" si="63"/>
        <v>537.82258376239236</v>
      </c>
      <c r="BM34" s="4438">
        <f t="shared" si="64"/>
        <v>1073.5999999999999</v>
      </c>
      <c r="BN34" s="4438">
        <f t="shared" si="65"/>
        <v>1082.2919619803356</v>
      </c>
      <c r="BO34" s="4438">
        <f t="shared" si="66"/>
        <v>1.022583762392437</v>
      </c>
      <c r="BP34" s="4438">
        <f t="shared" si="67"/>
        <v>0</v>
      </c>
      <c r="BQ34" s="4438">
        <f t="shared" si="68"/>
        <v>0</v>
      </c>
      <c r="BR34" s="4438">
        <f t="shared" si="69"/>
        <v>0</v>
      </c>
      <c r="BS34" s="4438">
        <f t="shared" si="70"/>
        <v>0</v>
      </c>
      <c r="BT34" s="4438">
        <f t="shared" si="71"/>
        <v>0</v>
      </c>
      <c r="BU34" s="4438">
        <f t="shared" si="72"/>
        <v>0</v>
      </c>
      <c r="BV34" s="4438">
        <f t="shared" si="73"/>
        <v>0</v>
      </c>
      <c r="BW34" s="4438">
        <f t="shared" si="74"/>
        <v>0</v>
      </c>
      <c r="BX34" s="4438">
        <f t="shared" si="75"/>
        <v>0</v>
      </c>
      <c r="BY34" s="4438">
        <f t="shared" si="76"/>
        <v>0</v>
      </c>
      <c r="BZ34" s="4438">
        <f t="shared" si="77"/>
        <v>0</v>
      </c>
      <c r="CA34" s="4438">
        <f t="shared" si="78"/>
        <v>0</v>
      </c>
      <c r="CB34" s="4438">
        <f t="shared" si="79"/>
        <v>0</v>
      </c>
      <c r="CC34" s="4438">
        <f t="shared" si="80"/>
        <v>0</v>
      </c>
      <c r="CD34" s="4438">
        <f t="shared" si="81"/>
        <v>0</v>
      </c>
      <c r="CE34" s="4438">
        <f t="shared" si="82"/>
        <v>0</v>
      </c>
      <c r="CF34" s="4438">
        <f t="shared" si="83"/>
        <v>0</v>
      </c>
      <c r="CG34" s="4438">
        <f t="shared" si="84"/>
        <v>0</v>
      </c>
      <c r="CH34" s="4438">
        <f t="shared" si="85"/>
        <v>0</v>
      </c>
      <c r="CI34" s="4438">
        <f t="shared" si="86"/>
        <v>0</v>
      </c>
      <c r="CJ34" s="4438">
        <f t="shared" si="87"/>
        <v>0</v>
      </c>
      <c r="CK34" s="4438">
        <f t="shared" si="88"/>
        <v>0</v>
      </c>
    </row>
    <row r="35" spans="1:89">
      <c r="A35" s="2701"/>
      <c r="B35" s="3563">
        <v>2040201</v>
      </c>
      <c r="C35" s="3546">
        <v>0.02</v>
      </c>
      <c r="D35" s="2711" t="s">
        <v>738</v>
      </c>
      <c r="E35" s="2689">
        <f>'11.2. ДА за периода'!E35</f>
        <v>0</v>
      </c>
      <c r="F35" s="1202">
        <f>SUMIF('9.Инвестиционна програма'!$B$12:$B$35,$B35,'9.Инвестиционна програма'!H$12:H$35)*$E$6</f>
        <v>0</v>
      </c>
      <c r="G35" s="1198">
        <f>SUMIF('9.Инвестиционна програма'!$B$12:$B$35,$B35,'9.Инвестиционна програма'!I$12:I$35)*$E$6</f>
        <v>0</v>
      </c>
      <c r="H35" s="1198">
        <f>SUMIF('9.Инвестиционна програма'!$B$12:$B$35,$B35,'9.Инвестиционна програма'!J$12:J$35)*$E$6</f>
        <v>0</v>
      </c>
      <c r="I35" s="1198">
        <f>SUMIF('9.Инвестиционна програма'!$B$12:$B$35,$B35,'9.Инвестиционна програма'!K$12:K$35)*$E$6</f>
        <v>0</v>
      </c>
      <c r="J35" s="1198">
        <f>SUMIF('9.Инвестиционна програма'!$B$12:$B$35,$B35,'9.Инвестиционна програма'!L$12:L$35)*$E$6</f>
        <v>0</v>
      </c>
      <c r="K35" s="1203">
        <f>SUMIF('9.Инвестиционна програма'!$B$12:$B$35,$B35,'9.Инвестиционна програма'!M$12:M$35)*$E$6</f>
        <v>0</v>
      </c>
      <c r="L35" s="2689">
        <f>'11.2. ДА за периода'!L35</f>
        <v>0</v>
      </c>
      <c r="M35" s="1206">
        <f>SUMIF('9.Инвестиционна програма'!$B$37:$B$47,$B35,'9.Инвестиционна програма'!H$37:H$47)*$E$6</f>
        <v>0</v>
      </c>
      <c r="N35" s="1200">
        <f>SUMIF('9.Инвестиционна програма'!$B$37:$B$47,$B35,'9.Инвестиционна програма'!I$37:I$47)*$E$6</f>
        <v>0</v>
      </c>
      <c r="O35" s="1200">
        <f>SUMIF('9.Инвестиционна програма'!$B$37:$B$47,$B35,'9.Инвестиционна програма'!J$37:J$47)*$E$6</f>
        <v>0</v>
      </c>
      <c r="P35" s="1200">
        <f>SUMIF('9.Инвестиционна програма'!$B$37:$B$47,$B35,'9.Инвестиционна програма'!K$37:K$47)*$E$6</f>
        <v>0</v>
      </c>
      <c r="Q35" s="1200">
        <f>SUMIF('9.Инвестиционна програма'!$B$37:$B$47,$B35,'9.Инвестиционна програма'!L$37:L$47)*$E$6</f>
        <v>0</v>
      </c>
      <c r="R35" s="1201">
        <f>SUMIF('9.Инвестиционна програма'!$B$37:$B$47,$B35,'9.Инвестиционна програма'!M$37:M$47)*$E$6</f>
        <v>0</v>
      </c>
      <c r="S35" s="1087">
        <f>'11.2. ДА за периода'!S35</f>
        <v>0</v>
      </c>
      <c r="T35" s="881">
        <f>SUMIF('9.Инвестиционна програма'!$B$49:$B$56,$B35,'9.Инвестиционна програма'!H$49:H$56)*$E$6</f>
        <v>0</v>
      </c>
      <c r="U35" s="881">
        <f>SUMIF('9.Инвестиционна програма'!$B$49:$B$56,$B35,'9.Инвестиционна програма'!I$49:I$56)*$E$6</f>
        <v>0</v>
      </c>
      <c r="V35" s="881">
        <f>SUMIF('9.Инвестиционна програма'!$B$49:$B$56,$B35,'9.Инвестиционна програма'!J$49:J$56)*$E$6</f>
        <v>0</v>
      </c>
      <c r="W35" s="881">
        <f>SUMIF('9.Инвестиционна програма'!$B$49:$B$56,$B35,'9.Инвестиционна програма'!K$49:K$56)*$E$6</f>
        <v>0</v>
      </c>
      <c r="X35" s="881">
        <f>SUMIF('9.Инвестиционна програма'!$B$49:$B$56,$B35,'9.Инвестиционна програма'!L$49:L$56)*$E$6</f>
        <v>0</v>
      </c>
      <c r="Y35" s="2690">
        <f>SUMIF('9.Инвестиционна програма'!$B$49:$B$56,$B35,'9.Инвестиционна програма'!M$49:M$56)*$E$6</f>
        <v>0</v>
      </c>
      <c r="Z35" s="1087">
        <f>'11.2. ДА за периода'!Z35</f>
        <v>0</v>
      </c>
      <c r="AA35" s="881">
        <f>SUMIF('9.Инвестиционна програма'!$B$74:$B$97,$B35,'9.Инвестиционна програма'!H$74:H$97)*$E$6</f>
        <v>0</v>
      </c>
      <c r="AB35" s="881">
        <f>SUMIF('9.Инвестиционна програма'!$B$74:$B$97,$B35,'9.Инвестиционна програма'!I$74:I$97)*$E$6</f>
        <v>0</v>
      </c>
      <c r="AC35" s="881">
        <f>SUMIF('9.Инвестиционна програма'!$B$74:$B$97,$B35,'9.Инвестиционна програма'!J$74:J$97)*$E$6</f>
        <v>0</v>
      </c>
      <c r="AD35" s="881">
        <f>SUMIF('9.Инвестиционна програма'!$B$74:$B$97,$B35,'9.Инвестиционна програма'!K$74:K$97)*$E$6</f>
        <v>0</v>
      </c>
      <c r="AE35" s="881">
        <f>SUMIF('9.Инвестиционна програма'!$B$74:$B$97,$B35,'9.Инвестиционна програма'!L$74:L$97)*$E$6</f>
        <v>0</v>
      </c>
      <c r="AF35" s="881">
        <f>SUMIF('9.Инвестиционна програма'!$B$74:$B$97,$B35,'9.Инвестиционна програма'!M$74:M$97)*$E$6</f>
        <v>0</v>
      </c>
      <c r="AG35" s="1087">
        <f>'11.2. ДА за периода'!AG35</f>
        <v>0</v>
      </c>
      <c r="AH35" s="881">
        <f>SUMIF('9.Инвестиционна програма'!$B$100:$B$123,$B35,'9.Инвестиционна програма'!H$100:H$123)*$E$6</f>
        <v>0</v>
      </c>
      <c r="AI35" s="881">
        <f>SUMIF('9.Инвестиционна програма'!$B$100:$B$123,$B35,'9.Инвестиционна програма'!I$100:I$123)*$E$6</f>
        <v>0</v>
      </c>
      <c r="AJ35" s="881">
        <f>SUMIF('9.Инвестиционна програма'!$B$100:$B$123,$B35,'9.Инвестиционна програма'!J$100:J$123)*$E$6</f>
        <v>0</v>
      </c>
      <c r="AK35" s="881">
        <f>SUMIF('9.Инвестиционна програма'!$B$100:$B$123,$B35,'9.Инвестиционна програма'!K$100:K$123)*$E$6</f>
        <v>0</v>
      </c>
      <c r="AL35" s="881">
        <f>SUMIF('9.Инвестиционна програма'!$B$100:$B$123,$B35,'9.Инвестиционна програма'!L$100:L$123)*$E$6</f>
        <v>0</v>
      </c>
      <c r="AM35" s="881">
        <f>SUMIF('9.Инвестиционна програма'!$B$100:$B$123,$B35,'9.Инвестиционна програма'!M$100:M$123)*$E$6</f>
        <v>0</v>
      </c>
      <c r="AN35" s="1087">
        <f>'11.2. ДА за периода'!AN35</f>
        <v>0</v>
      </c>
      <c r="AO35" s="1206">
        <f>(SUMIF('9.Инвестиционна програма'!$B$58:$B$59,$B35,'9.Инвестиционна програма'!H$58:H$59)+SUMIF('9.Инвестиционна програма'!$B$61:$B$71,$B35,'9.Инвестиционна програма'!H$61:H$71))*$E$6</f>
        <v>0</v>
      </c>
      <c r="AP35" s="881">
        <f>(SUMIF('9.Инвестиционна програма'!$B$58:$B$59,$B35,'9.Инвестиционна програма'!I$58:I$59)+SUMIF('9.Инвестиционна програма'!$B$61:$B$71,$B35,'9.Инвестиционна програма'!I$61:I$71))*$E$6</f>
        <v>0</v>
      </c>
      <c r="AQ35" s="881">
        <f>(SUMIF('9.Инвестиционна програма'!$B$58:$B$59,$B35,'9.Инвестиционна програма'!J$58:J$59)+SUMIF('9.Инвестиционна програма'!$B$61:$B$71,$B35,'9.Инвестиционна програма'!J$61:J$71))*$E$6</f>
        <v>0</v>
      </c>
      <c r="AR35" s="881">
        <f>(SUMIF('9.Инвестиционна програма'!$B$58:$B$59,$B35,'9.Инвестиционна програма'!K$58:K$59)+SUMIF('9.Инвестиционна програма'!$B$61:$B$71,$B35,'9.Инвестиционна програма'!K$61:K$71))*$E$6</f>
        <v>0</v>
      </c>
      <c r="AS35" s="881">
        <f>(SUMIF('9.Инвестиционна програма'!$B$58:$B$59,$B35,'9.Инвестиционна програма'!L$58:L$59)+SUMIF('9.Инвестиционна програма'!$B$61:$B$71,$B35,'9.Инвестиционна програма'!L$61:L$71))*$E$6</f>
        <v>0</v>
      </c>
      <c r="AT35" s="2690">
        <f>(SUMIF('9.Инвестиционна програма'!$B$58:$B$59,$B35,'9.Инвестиционна програма'!M$58:M$59)+SUMIF('9.Инвестиционна програма'!$B$61:$B$71,$B35,'9.Инвестиционна програма'!M$61:M$71))*$E$6</f>
        <v>0</v>
      </c>
      <c r="AU35" s="4422"/>
      <c r="AV35" s="4438">
        <f t="shared" si="47"/>
        <v>0</v>
      </c>
      <c r="AW35" s="4438">
        <f t="shared" si="48"/>
        <v>0</v>
      </c>
      <c r="AX35" s="4438">
        <f t="shared" si="49"/>
        <v>0</v>
      </c>
      <c r="AY35" s="4438">
        <f t="shared" si="50"/>
        <v>0</v>
      </c>
      <c r="AZ35" s="4438">
        <f t="shared" si="51"/>
        <v>0</v>
      </c>
      <c r="BA35" s="4438">
        <f t="shared" si="52"/>
        <v>0</v>
      </c>
      <c r="BB35" s="4438">
        <f t="shared" si="53"/>
        <v>0</v>
      </c>
      <c r="BC35" s="4438">
        <f t="shared" si="54"/>
        <v>0</v>
      </c>
      <c r="BD35" s="4438">
        <f t="shared" si="55"/>
        <v>0</v>
      </c>
      <c r="BE35" s="4438">
        <f t="shared" si="56"/>
        <v>0</v>
      </c>
      <c r="BF35" s="4438">
        <f t="shared" si="57"/>
        <v>0</v>
      </c>
      <c r="BG35" s="4438">
        <f t="shared" si="58"/>
        <v>0</v>
      </c>
      <c r="BH35" s="4438">
        <f t="shared" si="59"/>
        <v>0</v>
      </c>
      <c r="BI35" s="4438">
        <f t="shared" si="60"/>
        <v>0</v>
      </c>
      <c r="BJ35" s="4438">
        <f t="shared" si="61"/>
        <v>0</v>
      </c>
      <c r="BK35" s="4438">
        <f t="shared" si="62"/>
        <v>0</v>
      </c>
      <c r="BL35" s="4438">
        <f t="shared" si="63"/>
        <v>0</v>
      </c>
      <c r="BM35" s="4438">
        <f t="shared" si="64"/>
        <v>0</v>
      </c>
      <c r="BN35" s="4438">
        <f t="shared" si="65"/>
        <v>0</v>
      </c>
      <c r="BO35" s="4438">
        <f t="shared" si="66"/>
        <v>0</v>
      </c>
      <c r="BP35" s="4438">
        <f t="shared" si="67"/>
        <v>0</v>
      </c>
      <c r="BQ35" s="4438">
        <f t="shared" si="68"/>
        <v>0</v>
      </c>
      <c r="BR35" s="4438">
        <f t="shared" si="69"/>
        <v>0</v>
      </c>
      <c r="BS35" s="4438">
        <f t="shared" si="70"/>
        <v>0</v>
      </c>
      <c r="BT35" s="4438">
        <f t="shared" si="71"/>
        <v>0</v>
      </c>
      <c r="BU35" s="4438">
        <f t="shared" si="72"/>
        <v>0</v>
      </c>
      <c r="BV35" s="4438">
        <f t="shared" si="73"/>
        <v>0</v>
      </c>
      <c r="BW35" s="4438">
        <f t="shared" si="74"/>
        <v>0</v>
      </c>
      <c r="BX35" s="4438">
        <f t="shared" si="75"/>
        <v>0</v>
      </c>
      <c r="BY35" s="4438">
        <f t="shared" si="76"/>
        <v>0</v>
      </c>
      <c r="BZ35" s="4438">
        <f t="shared" si="77"/>
        <v>0</v>
      </c>
      <c r="CA35" s="4438">
        <f t="shared" si="78"/>
        <v>0</v>
      </c>
      <c r="CB35" s="4438">
        <f t="shared" si="79"/>
        <v>0</v>
      </c>
      <c r="CC35" s="4438">
        <f t="shared" si="80"/>
        <v>0</v>
      </c>
      <c r="CD35" s="4438">
        <f t="shared" si="81"/>
        <v>0</v>
      </c>
      <c r="CE35" s="4438">
        <f t="shared" si="82"/>
        <v>0</v>
      </c>
      <c r="CF35" s="4438">
        <f t="shared" si="83"/>
        <v>0</v>
      </c>
      <c r="CG35" s="4438">
        <f t="shared" si="84"/>
        <v>0</v>
      </c>
      <c r="CH35" s="4438">
        <f t="shared" si="85"/>
        <v>0</v>
      </c>
      <c r="CI35" s="4438">
        <f t="shared" si="86"/>
        <v>0</v>
      </c>
      <c r="CJ35" s="4438">
        <f t="shared" si="87"/>
        <v>0</v>
      </c>
      <c r="CK35" s="4438">
        <f t="shared" si="88"/>
        <v>0</v>
      </c>
    </row>
    <row r="36" spans="1:89">
      <c r="A36" s="2701"/>
      <c r="B36" s="3563">
        <v>2040202</v>
      </c>
      <c r="C36" s="3546">
        <v>0.02</v>
      </c>
      <c r="D36" s="2711" t="s">
        <v>739</v>
      </c>
      <c r="E36" s="2689">
        <f>'11.2. ДА за периода'!E36</f>
        <v>40</v>
      </c>
      <c r="F36" s="1202">
        <f>SUMIF('9.Инвестиционна програма'!$B$12:$B$35,$B36,'9.Инвестиционна програма'!H$12:H$35)*$E$6</f>
        <v>0</v>
      </c>
      <c r="G36" s="1198">
        <f>SUMIF('9.Инвестиционна програма'!$B$12:$B$35,$B36,'9.Инвестиционна програма'!I$12:I$35)*$E$6</f>
        <v>0</v>
      </c>
      <c r="H36" s="1198">
        <f>SUMIF('9.Инвестиционна програма'!$B$12:$B$35,$B36,'9.Инвестиционна програма'!J$12:J$35)*$E$6</f>
        <v>0</v>
      </c>
      <c r="I36" s="1198">
        <f>SUMIF('9.Инвестиционна програма'!$B$12:$B$35,$B36,'9.Инвестиционна програма'!K$12:K$35)*$E$6</f>
        <v>0</v>
      </c>
      <c r="J36" s="1198">
        <f>SUMIF('9.Инвестиционна програма'!$B$12:$B$35,$B36,'9.Инвестиционна програма'!L$12:L$35)*$E$6</f>
        <v>0</v>
      </c>
      <c r="K36" s="1203">
        <f>SUMIF('9.Инвестиционна програма'!$B$12:$B$35,$B36,'9.Инвестиционна програма'!M$12:M$35)*$E$6</f>
        <v>0</v>
      </c>
      <c r="L36" s="2689">
        <f>'11.2. ДА за периода'!L36</f>
        <v>0</v>
      </c>
      <c r="M36" s="1206">
        <f>SUMIF('9.Инвестиционна програма'!$B$37:$B$47,$B36,'9.Инвестиционна програма'!H$37:H$47)*$E$6</f>
        <v>0</v>
      </c>
      <c r="N36" s="1200">
        <f>SUMIF('9.Инвестиционна програма'!$B$37:$B$47,$B36,'9.Инвестиционна програма'!I$37:I$47)*$E$6</f>
        <v>0</v>
      </c>
      <c r="O36" s="1200">
        <f>SUMIF('9.Инвестиционна програма'!$B$37:$B$47,$B36,'9.Инвестиционна програма'!J$37:J$47)*$E$6</f>
        <v>0</v>
      </c>
      <c r="P36" s="1200">
        <f>SUMIF('9.Инвестиционна програма'!$B$37:$B$47,$B36,'9.Инвестиционна програма'!K$37:K$47)*$E$6</f>
        <v>0</v>
      </c>
      <c r="Q36" s="1200">
        <f>SUMIF('9.Инвестиционна програма'!$B$37:$B$47,$B36,'9.Инвестиционна програма'!L$37:L$47)*$E$6</f>
        <v>0</v>
      </c>
      <c r="R36" s="1201">
        <f>SUMIF('9.Инвестиционна програма'!$B$37:$B$47,$B36,'9.Инвестиционна програма'!M$37:M$47)*$E$6</f>
        <v>0</v>
      </c>
      <c r="S36" s="1087">
        <f>'11.2. ДА за периода'!S36</f>
        <v>0</v>
      </c>
      <c r="T36" s="881">
        <f>SUMIF('9.Инвестиционна програма'!$B$49:$B$56,$B36,'9.Инвестиционна програма'!H$49:H$56)*$E$6</f>
        <v>0</v>
      </c>
      <c r="U36" s="881">
        <f>SUMIF('9.Инвестиционна програма'!$B$49:$B$56,$B36,'9.Инвестиционна програма'!I$49:I$56)*$E$6</f>
        <v>0</v>
      </c>
      <c r="V36" s="881">
        <f>SUMIF('9.Инвестиционна програма'!$B$49:$B$56,$B36,'9.Инвестиционна програма'!J$49:J$56)*$E$6</f>
        <v>0</v>
      </c>
      <c r="W36" s="881">
        <f>SUMIF('9.Инвестиционна програма'!$B$49:$B$56,$B36,'9.Инвестиционна програма'!K$49:K$56)*$E$6</f>
        <v>0</v>
      </c>
      <c r="X36" s="881">
        <f>SUMIF('9.Инвестиционна програма'!$B$49:$B$56,$B36,'9.Инвестиционна програма'!L$49:L$56)*$E$6</f>
        <v>0</v>
      </c>
      <c r="Y36" s="2690">
        <f>SUMIF('9.Инвестиционна програма'!$B$49:$B$56,$B36,'9.Инвестиционна програма'!M$49:M$56)*$E$6</f>
        <v>0</v>
      </c>
      <c r="Z36" s="1087">
        <f>'11.2. ДА за периода'!Z36</f>
        <v>0</v>
      </c>
      <c r="AA36" s="881">
        <f>SUMIF('9.Инвестиционна програма'!$B$74:$B$97,$B36,'9.Инвестиционна програма'!H$74:H$97)*$E$6</f>
        <v>0</v>
      </c>
      <c r="AB36" s="881">
        <f>SUMIF('9.Инвестиционна програма'!$B$74:$B$97,$B36,'9.Инвестиционна програма'!I$74:I$97)*$E$6</f>
        <v>0</v>
      </c>
      <c r="AC36" s="881">
        <f>SUMIF('9.Инвестиционна програма'!$B$74:$B$97,$B36,'9.Инвестиционна програма'!J$74:J$97)*$E$6</f>
        <v>0</v>
      </c>
      <c r="AD36" s="881">
        <f>SUMIF('9.Инвестиционна програма'!$B$74:$B$97,$B36,'9.Инвестиционна програма'!K$74:K$97)*$E$6</f>
        <v>0</v>
      </c>
      <c r="AE36" s="881">
        <f>SUMIF('9.Инвестиционна програма'!$B$74:$B$97,$B36,'9.Инвестиционна програма'!L$74:L$97)*$E$6</f>
        <v>0</v>
      </c>
      <c r="AF36" s="881">
        <f>SUMIF('9.Инвестиционна програма'!$B$74:$B$97,$B36,'9.Инвестиционна програма'!M$74:M$97)*$E$6</f>
        <v>0</v>
      </c>
      <c r="AG36" s="1087">
        <f>'11.2. ДА за периода'!AG36</f>
        <v>0</v>
      </c>
      <c r="AH36" s="881">
        <f>SUMIF('9.Инвестиционна програма'!$B$100:$B$123,$B36,'9.Инвестиционна програма'!H$100:H$123)*$E$6</f>
        <v>0</v>
      </c>
      <c r="AI36" s="881">
        <f>SUMIF('9.Инвестиционна програма'!$B$100:$B$123,$B36,'9.Инвестиционна програма'!I$100:I$123)*$E$6</f>
        <v>0</v>
      </c>
      <c r="AJ36" s="881">
        <f>SUMIF('9.Инвестиционна програма'!$B$100:$B$123,$B36,'9.Инвестиционна програма'!J$100:J$123)*$E$6</f>
        <v>0</v>
      </c>
      <c r="AK36" s="881">
        <f>SUMIF('9.Инвестиционна програма'!$B$100:$B$123,$B36,'9.Инвестиционна програма'!K$100:K$123)*$E$6</f>
        <v>0</v>
      </c>
      <c r="AL36" s="881">
        <f>SUMIF('9.Инвестиционна програма'!$B$100:$B$123,$B36,'9.Инвестиционна програма'!L$100:L$123)*$E$6</f>
        <v>0</v>
      </c>
      <c r="AM36" s="881">
        <f>SUMIF('9.Инвестиционна програма'!$B$100:$B$123,$B36,'9.Инвестиционна програма'!M$100:M$123)*$E$6</f>
        <v>0</v>
      </c>
      <c r="AN36" s="1087">
        <f>'11.2. ДА за периода'!AN36</f>
        <v>0</v>
      </c>
      <c r="AO36" s="1206">
        <f>(SUMIF('9.Инвестиционна програма'!$B$58:$B$59,$B36,'9.Инвестиционна програма'!H$58:H$59)+SUMIF('9.Инвестиционна програма'!$B$61:$B$71,$B36,'9.Инвестиционна програма'!H$61:H$71))*$E$6</f>
        <v>0</v>
      </c>
      <c r="AP36" s="881">
        <f>(SUMIF('9.Инвестиционна програма'!$B$58:$B$59,$B36,'9.Инвестиционна програма'!I$58:I$59)+SUMIF('9.Инвестиционна програма'!$B$61:$B$71,$B36,'9.Инвестиционна програма'!I$61:I$71))*$E$6</f>
        <v>0</v>
      </c>
      <c r="AQ36" s="881">
        <f>(SUMIF('9.Инвестиционна програма'!$B$58:$B$59,$B36,'9.Инвестиционна програма'!J$58:J$59)+SUMIF('9.Инвестиционна програма'!$B$61:$B$71,$B36,'9.Инвестиционна програма'!J$61:J$71))*$E$6</f>
        <v>0</v>
      </c>
      <c r="AR36" s="881">
        <f>(SUMIF('9.Инвестиционна програма'!$B$58:$B$59,$B36,'9.Инвестиционна програма'!K$58:K$59)+SUMIF('9.Инвестиционна програма'!$B$61:$B$71,$B36,'9.Инвестиционна програма'!K$61:K$71))*$E$6</f>
        <v>0</v>
      </c>
      <c r="AS36" s="881">
        <f>(SUMIF('9.Инвестиционна програма'!$B$58:$B$59,$B36,'9.Инвестиционна програма'!L$58:L$59)+SUMIF('9.Инвестиционна програма'!$B$61:$B$71,$B36,'9.Инвестиционна програма'!L$61:L$71))*$E$6</f>
        <v>0</v>
      </c>
      <c r="AT36" s="2690">
        <f>(SUMIF('9.Инвестиционна програма'!$B$58:$B$59,$B36,'9.Инвестиционна програма'!M$58:M$59)+SUMIF('9.Инвестиционна програма'!$B$61:$B$71,$B36,'9.Инвестиционна програма'!M$61:M$71))*$E$6</f>
        <v>0</v>
      </c>
      <c r="AU36" s="4422"/>
      <c r="AV36" s="4438">
        <f t="shared" si="47"/>
        <v>20.45167524784874</v>
      </c>
      <c r="AW36" s="4438">
        <f t="shared" si="48"/>
        <v>0</v>
      </c>
      <c r="AX36" s="4438">
        <f t="shared" si="49"/>
        <v>0</v>
      </c>
      <c r="AY36" s="4438">
        <f t="shared" si="50"/>
        <v>0</v>
      </c>
      <c r="AZ36" s="4438">
        <f t="shared" si="51"/>
        <v>0</v>
      </c>
      <c r="BA36" s="4438">
        <f t="shared" si="52"/>
        <v>0</v>
      </c>
      <c r="BB36" s="4438">
        <f t="shared" si="53"/>
        <v>0</v>
      </c>
      <c r="BC36" s="4438">
        <f t="shared" si="54"/>
        <v>0</v>
      </c>
      <c r="BD36" s="4438">
        <f t="shared" si="55"/>
        <v>0</v>
      </c>
      <c r="BE36" s="4438">
        <f t="shared" si="56"/>
        <v>0</v>
      </c>
      <c r="BF36" s="4438">
        <f t="shared" si="57"/>
        <v>0</v>
      </c>
      <c r="BG36" s="4438">
        <f t="shared" si="58"/>
        <v>0</v>
      </c>
      <c r="BH36" s="4438">
        <f t="shared" si="59"/>
        <v>0</v>
      </c>
      <c r="BI36" s="4438">
        <f t="shared" si="60"/>
        <v>0</v>
      </c>
      <c r="BJ36" s="4438">
        <f t="shared" si="61"/>
        <v>0</v>
      </c>
      <c r="BK36" s="4438">
        <f t="shared" si="62"/>
        <v>0</v>
      </c>
      <c r="BL36" s="4438">
        <f t="shared" si="63"/>
        <v>0</v>
      </c>
      <c r="BM36" s="4438">
        <f t="shared" si="64"/>
        <v>0</v>
      </c>
      <c r="BN36" s="4438">
        <f t="shared" si="65"/>
        <v>0</v>
      </c>
      <c r="BO36" s="4438">
        <f t="shared" si="66"/>
        <v>0</v>
      </c>
      <c r="BP36" s="4438">
        <f t="shared" si="67"/>
        <v>0</v>
      </c>
      <c r="BQ36" s="4438">
        <f t="shared" si="68"/>
        <v>0</v>
      </c>
      <c r="BR36" s="4438">
        <f t="shared" si="69"/>
        <v>0</v>
      </c>
      <c r="BS36" s="4438">
        <f t="shared" si="70"/>
        <v>0</v>
      </c>
      <c r="BT36" s="4438">
        <f t="shared" si="71"/>
        <v>0</v>
      </c>
      <c r="BU36" s="4438">
        <f t="shared" si="72"/>
        <v>0</v>
      </c>
      <c r="BV36" s="4438">
        <f t="shared" si="73"/>
        <v>0</v>
      </c>
      <c r="BW36" s="4438">
        <f t="shared" si="74"/>
        <v>0</v>
      </c>
      <c r="BX36" s="4438">
        <f t="shared" si="75"/>
        <v>0</v>
      </c>
      <c r="BY36" s="4438">
        <f t="shared" si="76"/>
        <v>0</v>
      </c>
      <c r="BZ36" s="4438">
        <f t="shared" si="77"/>
        <v>0</v>
      </c>
      <c r="CA36" s="4438">
        <f t="shared" si="78"/>
        <v>0</v>
      </c>
      <c r="CB36" s="4438">
        <f t="shared" si="79"/>
        <v>0</v>
      </c>
      <c r="CC36" s="4438">
        <f t="shared" si="80"/>
        <v>0</v>
      </c>
      <c r="CD36" s="4438">
        <f t="shared" si="81"/>
        <v>0</v>
      </c>
      <c r="CE36" s="4438">
        <f t="shared" si="82"/>
        <v>0</v>
      </c>
      <c r="CF36" s="4438">
        <f t="shared" si="83"/>
        <v>0</v>
      </c>
      <c r="CG36" s="4438">
        <f t="shared" si="84"/>
        <v>0</v>
      </c>
      <c r="CH36" s="4438">
        <f t="shared" si="85"/>
        <v>0</v>
      </c>
      <c r="CI36" s="4438">
        <f t="shared" si="86"/>
        <v>0</v>
      </c>
      <c r="CJ36" s="4438">
        <f t="shared" si="87"/>
        <v>0</v>
      </c>
      <c r="CK36" s="4438">
        <f t="shared" si="88"/>
        <v>0</v>
      </c>
    </row>
    <row r="37" spans="1:89">
      <c r="A37" s="2701"/>
      <c r="B37" s="3563">
        <v>2040203</v>
      </c>
      <c r="C37" s="3546">
        <v>0.02</v>
      </c>
      <c r="D37" s="2711" t="s">
        <v>418</v>
      </c>
      <c r="E37" s="2689">
        <f>'11.2. ДА за периода'!E37</f>
        <v>0</v>
      </c>
      <c r="F37" s="1202">
        <f>SUMIF('9.Инвестиционна програма'!$B$12:$B$35,$B37,'9.Инвестиционна програма'!H$12:H$35)*$E$6</f>
        <v>0</v>
      </c>
      <c r="G37" s="1198">
        <f>SUMIF('9.Инвестиционна програма'!$B$12:$B$35,$B37,'9.Инвестиционна програма'!I$12:I$35)*$E$6</f>
        <v>0</v>
      </c>
      <c r="H37" s="1198">
        <f>SUMIF('9.Инвестиционна програма'!$B$12:$B$35,$B37,'9.Инвестиционна програма'!J$12:J$35)*$E$6</f>
        <v>0</v>
      </c>
      <c r="I37" s="1198">
        <f>SUMIF('9.Инвестиционна програма'!$B$12:$B$35,$B37,'9.Инвестиционна програма'!K$12:K$35)*$E$6</f>
        <v>0</v>
      </c>
      <c r="J37" s="1198">
        <f>SUMIF('9.Инвестиционна програма'!$B$12:$B$35,$B37,'9.Инвестиционна програма'!L$12:L$35)*$E$6</f>
        <v>0</v>
      </c>
      <c r="K37" s="1203">
        <f>SUMIF('9.Инвестиционна програма'!$B$12:$B$35,$B37,'9.Инвестиционна програма'!M$12:M$35)*$E$6</f>
        <v>0</v>
      </c>
      <c r="L37" s="2689">
        <f>'11.2. ДА за периода'!L37</f>
        <v>0</v>
      </c>
      <c r="M37" s="1206">
        <f>SUMIF('9.Инвестиционна програма'!$B$37:$B$47,$B37,'9.Инвестиционна програма'!H$37:H$47)*$E$6</f>
        <v>0</v>
      </c>
      <c r="N37" s="1200">
        <f>SUMIF('9.Инвестиционна програма'!$B$37:$B$47,$B37,'9.Инвестиционна програма'!I$37:I$47)*$E$6</f>
        <v>0</v>
      </c>
      <c r="O37" s="1200">
        <f>SUMIF('9.Инвестиционна програма'!$B$37:$B$47,$B37,'9.Инвестиционна програма'!J$37:J$47)*$E$6</f>
        <v>0</v>
      </c>
      <c r="P37" s="1200">
        <f>SUMIF('9.Инвестиционна програма'!$B$37:$B$47,$B37,'9.Инвестиционна програма'!K$37:K$47)*$E$6</f>
        <v>0</v>
      </c>
      <c r="Q37" s="1200">
        <f>SUMIF('9.Инвестиционна програма'!$B$37:$B$47,$B37,'9.Инвестиционна програма'!L$37:L$47)*$E$6</f>
        <v>0</v>
      </c>
      <c r="R37" s="1201">
        <f>SUMIF('9.Инвестиционна програма'!$B$37:$B$47,$B37,'9.Инвестиционна програма'!M$37:M$47)*$E$6</f>
        <v>0</v>
      </c>
      <c r="S37" s="1087">
        <f>'11.2. ДА за периода'!S37</f>
        <v>0</v>
      </c>
      <c r="T37" s="881">
        <f>SUMIF('9.Инвестиционна програма'!$B$49:$B$56,$B37,'9.Инвестиционна програма'!H$49:H$56)*$E$6</f>
        <v>0</v>
      </c>
      <c r="U37" s="881">
        <f>SUMIF('9.Инвестиционна програма'!$B$49:$B$56,$B37,'9.Инвестиционна програма'!I$49:I$56)*$E$6</f>
        <v>0</v>
      </c>
      <c r="V37" s="881">
        <f>SUMIF('9.Инвестиционна програма'!$B$49:$B$56,$B37,'9.Инвестиционна програма'!J$49:J$56)*$E$6</f>
        <v>0</v>
      </c>
      <c r="W37" s="881">
        <f>SUMIF('9.Инвестиционна програма'!$B$49:$B$56,$B37,'9.Инвестиционна програма'!K$49:K$56)*$E$6</f>
        <v>0</v>
      </c>
      <c r="X37" s="881">
        <f>SUMIF('9.Инвестиционна програма'!$B$49:$B$56,$B37,'9.Инвестиционна програма'!L$49:L$56)*$E$6</f>
        <v>0</v>
      </c>
      <c r="Y37" s="2690">
        <f>SUMIF('9.Инвестиционна програма'!$B$49:$B$56,$B37,'9.Инвестиционна програма'!M$49:M$56)*$E$6</f>
        <v>0</v>
      </c>
      <c r="Z37" s="1087">
        <f>'11.2. ДА за периода'!Z37</f>
        <v>0</v>
      </c>
      <c r="AA37" s="881">
        <f>SUMIF('9.Инвестиционна програма'!$B$74:$B$97,$B37,'9.Инвестиционна програма'!H$74:H$97)*$E$6</f>
        <v>0</v>
      </c>
      <c r="AB37" s="881">
        <f>SUMIF('9.Инвестиционна програма'!$B$74:$B$97,$B37,'9.Инвестиционна програма'!I$74:I$97)*$E$6</f>
        <v>0</v>
      </c>
      <c r="AC37" s="881">
        <f>SUMIF('9.Инвестиционна програма'!$B$74:$B$97,$B37,'9.Инвестиционна програма'!J$74:J$97)*$E$6</f>
        <v>0</v>
      </c>
      <c r="AD37" s="881">
        <f>SUMIF('9.Инвестиционна програма'!$B$74:$B$97,$B37,'9.Инвестиционна програма'!K$74:K$97)*$E$6</f>
        <v>0</v>
      </c>
      <c r="AE37" s="881">
        <f>SUMIF('9.Инвестиционна програма'!$B$74:$B$97,$B37,'9.Инвестиционна програма'!L$74:L$97)*$E$6</f>
        <v>0</v>
      </c>
      <c r="AF37" s="881">
        <f>SUMIF('9.Инвестиционна програма'!$B$74:$B$97,$B37,'9.Инвестиционна програма'!M$74:M$97)*$E$6</f>
        <v>0</v>
      </c>
      <c r="AG37" s="1087">
        <f>'11.2. ДА за периода'!AG37</f>
        <v>0</v>
      </c>
      <c r="AH37" s="881">
        <f>SUMIF('9.Инвестиционна програма'!$B$100:$B$123,$B37,'9.Инвестиционна програма'!H$100:H$123)*$E$6</f>
        <v>0</v>
      </c>
      <c r="AI37" s="881">
        <f>SUMIF('9.Инвестиционна програма'!$B$100:$B$123,$B37,'9.Инвестиционна програма'!I$100:I$123)*$E$6</f>
        <v>0</v>
      </c>
      <c r="AJ37" s="881">
        <f>SUMIF('9.Инвестиционна програма'!$B$100:$B$123,$B37,'9.Инвестиционна програма'!J$100:J$123)*$E$6</f>
        <v>0</v>
      </c>
      <c r="AK37" s="881">
        <f>SUMIF('9.Инвестиционна програма'!$B$100:$B$123,$B37,'9.Инвестиционна програма'!K$100:K$123)*$E$6</f>
        <v>0</v>
      </c>
      <c r="AL37" s="881">
        <f>SUMIF('9.Инвестиционна програма'!$B$100:$B$123,$B37,'9.Инвестиционна програма'!L$100:L$123)*$E$6</f>
        <v>0</v>
      </c>
      <c r="AM37" s="881">
        <f>SUMIF('9.Инвестиционна програма'!$B$100:$B$123,$B37,'9.Инвестиционна програма'!M$100:M$123)*$E$6</f>
        <v>0</v>
      </c>
      <c r="AN37" s="1087">
        <f>'11.2. ДА за периода'!AN37</f>
        <v>0</v>
      </c>
      <c r="AO37" s="1206">
        <f>(SUMIF('9.Инвестиционна програма'!$B$58:$B$59,$B37,'9.Инвестиционна програма'!H$58:H$59)+SUMIF('9.Инвестиционна програма'!$B$61:$B$71,$B37,'9.Инвестиционна програма'!H$61:H$71))*$E$6</f>
        <v>0</v>
      </c>
      <c r="AP37" s="881">
        <f>(SUMIF('9.Инвестиционна програма'!$B$58:$B$59,$B37,'9.Инвестиционна програма'!I$58:I$59)+SUMIF('9.Инвестиционна програма'!$B$61:$B$71,$B37,'9.Инвестиционна програма'!I$61:I$71))*$E$6</f>
        <v>0</v>
      </c>
      <c r="AQ37" s="881">
        <f>(SUMIF('9.Инвестиционна програма'!$B$58:$B$59,$B37,'9.Инвестиционна програма'!J$58:J$59)+SUMIF('9.Инвестиционна програма'!$B$61:$B$71,$B37,'9.Инвестиционна програма'!J$61:J$71))*$E$6</f>
        <v>0</v>
      </c>
      <c r="AR37" s="881">
        <f>(SUMIF('9.Инвестиционна програма'!$B$58:$B$59,$B37,'9.Инвестиционна програма'!K$58:K$59)+SUMIF('9.Инвестиционна програма'!$B$61:$B$71,$B37,'9.Инвестиционна програма'!K$61:K$71))*$E$6</f>
        <v>0</v>
      </c>
      <c r="AS37" s="881">
        <f>(SUMIF('9.Инвестиционна програма'!$B$58:$B$59,$B37,'9.Инвестиционна програма'!L$58:L$59)+SUMIF('9.Инвестиционна програма'!$B$61:$B$71,$B37,'9.Инвестиционна програма'!L$61:L$71))*$E$6</f>
        <v>0</v>
      </c>
      <c r="AT37" s="2690">
        <f>(SUMIF('9.Инвестиционна програма'!$B$58:$B$59,$B37,'9.Инвестиционна програма'!M$58:M$59)+SUMIF('9.Инвестиционна програма'!$B$61:$B$71,$B37,'9.Инвестиционна програма'!M$61:M$71))*$E$6</f>
        <v>0</v>
      </c>
      <c r="AU37" s="4422"/>
      <c r="AV37" s="4438">
        <f t="shared" si="47"/>
        <v>0</v>
      </c>
      <c r="AW37" s="4438">
        <f t="shared" si="48"/>
        <v>0</v>
      </c>
      <c r="AX37" s="4438">
        <f t="shared" si="49"/>
        <v>0</v>
      </c>
      <c r="AY37" s="4438">
        <f t="shared" si="50"/>
        <v>0</v>
      </c>
      <c r="AZ37" s="4438">
        <f t="shared" si="51"/>
        <v>0</v>
      </c>
      <c r="BA37" s="4438">
        <f t="shared" si="52"/>
        <v>0</v>
      </c>
      <c r="BB37" s="4438">
        <f t="shared" si="53"/>
        <v>0</v>
      </c>
      <c r="BC37" s="4438">
        <f t="shared" si="54"/>
        <v>0</v>
      </c>
      <c r="BD37" s="4438">
        <f t="shared" si="55"/>
        <v>0</v>
      </c>
      <c r="BE37" s="4438">
        <f t="shared" si="56"/>
        <v>0</v>
      </c>
      <c r="BF37" s="4438">
        <f t="shared" si="57"/>
        <v>0</v>
      </c>
      <c r="BG37" s="4438">
        <f t="shared" si="58"/>
        <v>0</v>
      </c>
      <c r="BH37" s="4438">
        <f t="shared" si="59"/>
        <v>0</v>
      </c>
      <c r="BI37" s="4438">
        <f t="shared" si="60"/>
        <v>0</v>
      </c>
      <c r="BJ37" s="4438">
        <f t="shared" si="61"/>
        <v>0</v>
      </c>
      <c r="BK37" s="4438">
        <f t="shared" si="62"/>
        <v>0</v>
      </c>
      <c r="BL37" s="4438">
        <f t="shared" si="63"/>
        <v>0</v>
      </c>
      <c r="BM37" s="4438">
        <f t="shared" si="64"/>
        <v>0</v>
      </c>
      <c r="BN37" s="4438">
        <f t="shared" si="65"/>
        <v>0</v>
      </c>
      <c r="BO37" s="4438">
        <f t="shared" si="66"/>
        <v>0</v>
      </c>
      <c r="BP37" s="4438">
        <f t="shared" si="67"/>
        <v>0</v>
      </c>
      <c r="BQ37" s="4438">
        <f t="shared" si="68"/>
        <v>0</v>
      </c>
      <c r="BR37" s="4438">
        <f t="shared" si="69"/>
        <v>0</v>
      </c>
      <c r="BS37" s="4438">
        <f t="shared" si="70"/>
        <v>0</v>
      </c>
      <c r="BT37" s="4438">
        <f t="shared" si="71"/>
        <v>0</v>
      </c>
      <c r="BU37" s="4438">
        <f t="shared" si="72"/>
        <v>0</v>
      </c>
      <c r="BV37" s="4438">
        <f t="shared" si="73"/>
        <v>0</v>
      </c>
      <c r="BW37" s="4438">
        <f t="shared" si="74"/>
        <v>0</v>
      </c>
      <c r="BX37" s="4438">
        <f t="shared" si="75"/>
        <v>0</v>
      </c>
      <c r="BY37" s="4438">
        <f t="shared" si="76"/>
        <v>0</v>
      </c>
      <c r="BZ37" s="4438">
        <f t="shared" si="77"/>
        <v>0</v>
      </c>
      <c r="CA37" s="4438">
        <f t="shared" si="78"/>
        <v>0</v>
      </c>
      <c r="CB37" s="4438">
        <f t="shared" si="79"/>
        <v>0</v>
      </c>
      <c r="CC37" s="4438">
        <f t="shared" si="80"/>
        <v>0</v>
      </c>
      <c r="CD37" s="4438">
        <f t="shared" si="81"/>
        <v>0</v>
      </c>
      <c r="CE37" s="4438">
        <f t="shared" si="82"/>
        <v>0</v>
      </c>
      <c r="CF37" s="4438">
        <f t="shared" si="83"/>
        <v>0</v>
      </c>
      <c r="CG37" s="4438">
        <f t="shared" si="84"/>
        <v>0</v>
      </c>
      <c r="CH37" s="4438">
        <f t="shared" si="85"/>
        <v>0</v>
      </c>
      <c r="CI37" s="4438">
        <f t="shared" si="86"/>
        <v>0</v>
      </c>
      <c r="CJ37" s="4438">
        <f t="shared" si="87"/>
        <v>0</v>
      </c>
      <c r="CK37" s="4438">
        <f t="shared" si="88"/>
        <v>0</v>
      </c>
    </row>
    <row r="38" spans="1:89">
      <c r="A38" s="2701"/>
      <c r="B38" s="3563">
        <v>2040204</v>
      </c>
      <c r="C38" s="3546">
        <v>0.02</v>
      </c>
      <c r="D38" s="2713" t="s">
        <v>419</v>
      </c>
      <c r="E38" s="2689">
        <f>'11.2. ДА за периода'!E38</f>
        <v>47</v>
      </c>
      <c r="F38" s="1202">
        <f>SUMIF('9.Инвестиционна програма'!$B$12:$B$35,$B38,'9.Инвестиционна програма'!H$12:H$35)*$E$6</f>
        <v>0</v>
      </c>
      <c r="G38" s="1198">
        <f>SUMIF('9.Инвестиционна програма'!$B$12:$B$35,$B38,'9.Инвестиционна програма'!I$12:I$35)*$E$6</f>
        <v>15</v>
      </c>
      <c r="H38" s="1198">
        <f>SUMIF('9.Инвестиционна програма'!$B$12:$B$35,$B38,'9.Инвестиционна програма'!J$12:J$35)*$E$6</f>
        <v>0</v>
      </c>
      <c r="I38" s="1198">
        <f>SUMIF('9.Инвестиционна програма'!$B$12:$B$35,$B38,'9.Инвестиционна програма'!K$12:K$35)*$E$6</f>
        <v>0</v>
      </c>
      <c r="J38" s="1198">
        <f>SUMIF('9.Инвестиционна програма'!$B$12:$B$35,$B38,'9.Инвестиционна програма'!L$12:L$35)*$E$6</f>
        <v>2</v>
      </c>
      <c r="K38" s="1203">
        <f>SUMIF('9.Инвестиционна програма'!$B$12:$B$35,$B38,'9.Инвестиционна програма'!M$12:M$35)*$E$6</f>
        <v>26</v>
      </c>
      <c r="L38" s="2689">
        <f>'11.2. ДА за периода'!L38</f>
        <v>0</v>
      </c>
      <c r="M38" s="1206">
        <f>SUMIF('9.Инвестиционна програма'!$B$37:$B$47,$B38,'9.Инвестиционна програма'!H$37:H$47)*$E$6</f>
        <v>0</v>
      </c>
      <c r="N38" s="1200">
        <f>SUMIF('9.Инвестиционна програма'!$B$37:$B$47,$B38,'9.Инвестиционна програма'!I$37:I$47)*$E$6</f>
        <v>0</v>
      </c>
      <c r="O38" s="1200">
        <f>SUMIF('9.Инвестиционна програма'!$B$37:$B$47,$B38,'9.Инвестиционна програма'!J$37:J$47)*$E$6</f>
        <v>0</v>
      </c>
      <c r="P38" s="1200">
        <f>SUMIF('9.Инвестиционна програма'!$B$37:$B$47,$B38,'9.Инвестиционна програма'!K$37:K$47)*$E$6</f>
        <v>0</v>
      </c>
      <c r="Q38" s="1200">
        <f>SUMIF('9.Инвестиционна програма'!$B$37:$B$47,$B38,'9.Инвестиционна програма'!L$37:L$47)*$E$6</f>
        <v>0</v>
      </c>
      <c r="R38" s="1201">
        <f>SUMIF('9.Инвестиционна програма'!$B$37:$B$47,$B38,'9.Инвестиционна програма'!M$37:M$47)*$E$6</f>
        <v>0</v>
      </c>
      <c r="S38" s="1087">
        <f>'11.2. ДА за периода'!S38</f>
        <v>0</v>
      </c>
      <c r="T38" s="881">
        <f>SUMIF('9.Инвестиционна програма'!$B$49:$B$56,$B38,'9.Инвестиционна програма'!H$49:H$56)*$E$6</f>
        <v>0</v>
      </c>
      <c r="U38" s="881">
        <f>SUMIF('9.Инвестиционна програма'!$B$49:$B$56,$B38,'9.Инвестиционна програма'!I$49:I$56)*$E$6</f>
        <v>0</v>
      </c>
      <c r="V38" s="881">
        <f>SUMIF('9.Инвестиционна програма'!$B$49:$B$56,$B38,'9.Инвестиционна програма'!J$49:J$56)*$E$6</f>
        <v>0</v>
      </c>
      <c r="W38" s="881">
        <f>SUMIF('9.Инвестиционна програма'!$B$49:$B$56,$B38,'9.Инвестиционна програма'!K$49:K$56)*$E$6</f>
        <v>0</v>
      </c>
      <c r="X38" s="881">
        <f>SUMIF('9.Инвестиционна програма'!$B$49:$B$56,$B38,'9.Инвестиционна програма'!L$49:L$56)*$E$6</f>
        <v>0</v>
      </c>
      <c r="Y38" s="2690">
        <f>SUMIF('9.Инвестиционна програма'!$B$49:$B$56,$B38,'9.Инвестиционна програма'!M$49:M$56)*$E$6</f>
        <v>0</v>
      </c>
      <c r="Z38" s="1087">
        <f>'11.2. ДА за периода'!Z38</f>
        <v>0</v>
      </c>
      <c r="AA38" s="881">
        <f>SUMIF('9.Инвестиционна програма'!$B$74:$B$97,$B38,'9.Инвестиционна програма'!H$74:H$97)*$E$6</f>
        <v>0</v>
      </c>
      <c r="AB38" s="881">
        <f>SUMIF('9.Инвестиционна програма'!$B$74:$B$97,$B38,'9.Инвестиционна програма'!I$74:I$97)*$E$6</f>
        <v>0</v>
      </c>
      <c r="AC38" s="881">
        <f>SUMIF('9.Инвестиционна програма'!$B$74:$B$97,$B38,'9.Инвестиционна програма'!J$74:J$97)*$E$6</f>
        <v>0</v>
      </c>
      <c r="AD38" s="881">
        <f>SUMIF('9.Инвестиционна програма'!$B$74:$B$97,$B38,'9.Инвестиционна програма'!K$74:K$97)*$E$6</f>
        <v>0</v>
      </c>
      <c r="AE38" s="881">
        <f>SUMIF('9.Инвестиционна програма'!$B$74:$B$97,$B38,'9.Инвестиционна програма'!L$74:L$97)*$E$6</f>
        <v>0</v>
      </c>
      <c r="AF38" s="881">
        <f>SUMIF('9.Инвестиционна програма'!$B$74:$B$97,$B38,'9.Инвестиционна програма'!M$74:M$97)*$E$6</f>
        <v>0</v>
      </c>
      <c r="AG38" s="1087">
        <f>'11.2. ДА за периода'!AG38</f>
        <v>0</v>
      </c>
      <c r="AH38" s="881">
        <f>SUMIF('9.Инвестиционна програма'!$B$100:$B$123,$B38,'9.Инвестиционна програма'!H$100:H$123)*$E$6</f>
        <v>0</v>
      </c>
      <c r="AI38" s="881">
        <f>SUMIF('9.Инвестиционна програма'!$B$100:$B$123,$B38,'9.Инвестиционна програма'!I$100:I$123)*$E$6</f>
        <v>0</v>
      </c>
      <c r="AJ38" s="881">
        <f>SUMIF('9.Инвестиционна програма'!$B$100:$B$123,$B38,'9.Инвестиционна програма'!J$100:J$123)*$E$6</f>
        <v>0</v>
      </c>
      <c r="AK38" s="881">
        <f>SUMIF('9.Инвестиционна програма'!$B$100:$B$123,$B38,'9.Инвестиционна програма'!K$100:K$123)*$E$6</f>
        <v>0</v>
      </c>
      <c r="AL38" s="881">
        <f>SUMIF('9.Инвестиционна програма'!$B$100:$B$123,$B38,'9.Инвестиционна програма'!L$100:L$123)*$E$6</f>
        <v>0</v>
      </c>
      <c r="AM38" s="881">
        <f>SUMIF('9.Инвестиционна програма'!$B$100:$B$123,$B38,'9.Инвестиционна програма'!M$100:M$123)*$E$6</f>
        <v>0</v>
      </c>
      <c r="AN38" s="1087">
        <f>'11.2. ДА за периода'!AN38</f>
        <v>0</v>
      </c>
      <c r="AO38" s="1206">
        <f>(SUMIF('9.Инвестиционна програма'!$B$58:$B$59,$B38,'9.Инвестиционна програма'!H$58:H$59)+SUMIF('9.Инвестиционна програма'!$B$61:$B$71,$B38,'9.Инвестиционна програма'!H$61:H$71))*$E$6</f>
        <v>0</v>
      </c>
      <c r="AP38" s="881">
        <f>(SUMIF('9.Инвестиционна програма'!$B$58:$B$59,$B38,'9.Инвестиционна програма'!I$58:I$59)+SUMIF('9.Инвестиционна програма'!$B$61:$B$71,$B38,'9.Инвестиционна програма'!I$61:I$71))*$E$6</f>
        <v>0</v>
      </c>
      <c r="AQ38" s="881">
        <f>(SUMIF('9.Инвестиционна програма'!$B$58:$B$59,$B38,'9.Инвестиционна програма'!J$58:J$59)+SUMIF('9.Инвестиционна програма'!$B$61:$B$71,$B38,'9.Инвестиционна програма'!J$61:J$71))*$E$6</f>
        <v>0</v>
      </c>
      <c r="AR38" s="881">
        <f>(SUMIF('9.Инвестиционна програма'!$B$58:$B$59,$B38,'9.Инвестиционна програма'!K$58:K$59)+SUMIF('9.Инвестиционна програма'!$B$61:$B$71,$B38,'9.Инвестиционна програма'!K$61:K$71))*$E$6</f>
        <v>0</v>
      </c>
      <c r="AS38" s="881">
        <f>(SUMIF('9.Инвестиционна програма'!$B$58:$B$59,$B38,'9.Инвестиционна програма'!L$58:L$59)+SUMIF('9.Инвестиционна програма'!$B$61:$B$71,$B38,'9.Инвестиционна програма'!L$61:L$71))*$E$6</f>
        <v>0</v>
      </c>
      <c r="AT38" s="2690">
        <f>(SUMIF('9.Инвестиционна програма'!$B$58:$B$59,$B38,'9.Инвестиционна програма'!M$58:M$59)+SUMIF('9.Инвестиционна програма'!$B$61:$B$71,$B38,'9.Инвестиционна програма'!M$61:M$71))*$E$6</f>
        <v>0</v>
      </c>
      <c r="AU38" s="4422"/>
      <c r="AV38" s="4438">
        <f t="shared" si="47"/>
        <v>24.030718416222268</v>
      </c>
      <c r="AW38" s="4438">
        <f t="shared" si="48"/>
        <v>0</v>
      </c>
      <c r="AX38" s="4438">
        <f t="shared" si="49"/>
        <v>7.6693782179432777</v>
      </c>
      <c r="AY38" s="4438">
        <f t="shared" si="50"/>
        <v>0</v>
      </c>
      <c r="AZ38" s="4438">
        <f t="shared" si="51"/>
        <v>0</v>
      </c>
      <c r="BA38" s="4438">
        <f t="shared" si="52"/>
        <v>1.022583762392437</v>
      </c>
      <c r="BB38" s="4438">
        <f t="shared" si="53"/>
        <v>13.293588911101681</v>
      </c>
      <c r="BC38" s="4438">
        <f t="shared" si="54"/>
        <v>0</v>
      </c>
      <c r="BD38" s="4438">
        <f t="shared" si="55"/>
        <v>0</v>
      </c>
      <c r="BE38" s="4438">
        <f t="shared" si="56"/>
        <v>0</v>
      </c>
      <c r="BF38" s="4438">
        <f t="shared" si="57"/>
        <v>0</v>
      </c>
      <c r="BG38" s="4438">
        <f t="shared" si="58"/>
        <v>0</v>
      </c>
      <c r="BH38" s="4438">
        <f t="shared" si="59"/>
        <v>0</v>
      </c>
      <c r="BI38" s="4438">
        <f t="shared" si="60"/>
        <v>0</v>
      </c>
      <c r="BJ38" s="4438">
        <f t="shared" si="61"/>
        <v>0</v>
      </c>
      <c r="BK38" s="4438">
        <f t="shared" si="62"/>
        <v>0</v>
      </c>
      <c r="BL38" s="4438">
        <f t="shared" si="63"/>
        <v>0</v>
      </c>
      <c r="BM38" s="4438">
        <f t="shared" si="64"/>
        <v>0</v>
      </c>
      <c r="BN38" s="4438">
        <f t="shared" si="65"/>
        <v>0</v>
      </c>
      <c r="BO38" s="4438">
        <f t="shared" si="66"/>
        <v>0</v>
      </c>
      <c r="BP38" s="4438">
        <f t="shared" si="67"/>
        <v>0</v>
      </c>
      <c r="BQ38" s="4438">
        <f t="shared" si="68"/>
        <v>0</v>
      </c>
      <c r="BR38" s="4438">
        <f t="shared" si="69"/>
        <v>0</v>
      </c>
      <c r="BS38" s="4438">
        <f t="shared" si="70"/>
        <v>0</v>
      </c>
      <c r="BT38" s="4438">
        <f t="shared" si="71"/>
        <v>0</v>
      </c>
      <c r="BU38" s="4438">
        <f t="shared" si="72"/>
        <v>0</v>
      </c>
      <c r="BV38" s="4438">
        <f t="shared" si="73"/>
        <v>0</v>
      </c>
      <c r="BW38" s="4438">
        <f t="shared" si="74"/>
        <v>0</v>
      </c>
      <c r="BX38" s="4438">
        <f t="shared" si="75"/>
        <v>0</v>
      </c>
      <c r="BY38" s="4438">
        <f t="shared" si="76"/>
        <v>0</v>
      </c>
      <c r="BZ38" s="4438">
        <f t="shared" si="77"/>
        <v>0</v>
      </c>
      <c r="CA38" s="4438">
        <f t="shared" si="78"/>
        <v>0</v>
      </c>
      <c r="CB38" s="4438">
        <f t="shared" si="79"/>
        <v>0</v>
      </c>
      <c r="CC38" s="4438">
        <f t="shared" si="80"/>
        <v>0</v>
      </c>
      <c r="CD38" s="4438">
        <f t="shared" si="81"/>
        <v>0</v>
      </c>
      <c r="CE38" s="4438">
        <f t="shared" si="82"/>
        <v>0</v>
      </c>
      <c r="CF38" s="4438">
        <f t="shared" si="83"/>
        <v>0</v>
      </c>
      <c r="CG38" s="4438">
        <f t="shared" si="84"/>
        <v>0</v>
      </c>
      <c r="CH38" s="4438">
        <f t="shared" si="85"/>
        <v>0</v>
      </c>
      <c r="CI38" s="4438">
        <f t="shared" si="86"/>
        <v>0</v>
      </c>
      <c r="CJ38" s="4438">
        <f t="shared" si="87"/>
        <v>0</v>
      </c>
      <c r="CK38" s="4438">
        <f t="shared" si="88"/>
        <v>0</v>
      </c>
    </row>
    <row r="39" spans="1:89">
      <c r="A39" s="2701"/>
      <c r="B39" s="3563">
        <v>2040205</v>
      </c>
      <c r="C39" s="3546">
        <v>0.02</v>
      </c>
      <c r="D39" s="2711" t="s">
        <v>420</v>
      </c>
      <c r="E39" s="2689">
        <f>'11.2. ДА за периода'!E39</f>
        <v>583</v>
      </c>
      <c r="F39" s="1202">
        <f>SUMIF('9.Инвестиционна програма'!$B$12:$B$35,$B39,'9.Инвестиционна програма'!H$12:H$35)*$E$6</f>
        <v>600</v>
      </c>
      <c r="G39" s="1198">
        <f>SUMIF('9.Инвестиционна програма'!$B$12:$B$35,$B39,'9.Инвестиционна програма'!I$12:I$35)*$E$6</f>
        <v>2682.5769520000003</v>
      </c>
      <c r="H39" s="1198">
        <f>SUMIF('9.Инвестиционна програма'!$B$12:$B$35,$B39,'9.Инвестиционна програма'!J$12:J$35)*$E$6</f>
        <v>4918.1539040000007</v>
      </c>
      <c r="I39" s="1198">
        <f>SUMIF('9.Инвестиционна програма'!$B$12:$B$35,$B39,'9.Инвестиционна програма'!K$12:K$35)*$E$6</f>
        <v>5131.1539040000007</v>
      </c>
      <c r="J39" s="1198">
        <f>SUMIF('9.Инвестиционна програма'!$B$12:$B$35,$B39,'9.Инвестиционна програма'!L$12:L$35)*$E$6</f>
        <v>530</v>
      </c>
      <c r="K39" s="1203">
        <f>SUMIF('9.Инвестиционна програма'!$B$12:$B$35,$B39,'9.Инвестиционна програма'!M$12:M$35)*$E$6</f>
        <v>530</v>
      </c>
      <c r="L39" s="2689">
        <f>'11.2. ДА за периода'!L39</f>
        <v>0</v>
      </c>
      <c r="M39" s="1206">
        <f>SUMIF('9.Инвестиционна програма'!$B$37:$B$47,$B39,'9.Инвестиционна програма'!H$37:H$47)*$E$6</f>
        <v>0</v>
      </c>
      <c r="N39" s="1200">
        <f>SUMIF('9.Инвестиционна програма'!$B$37:$B$47,$B39,'9.Инвестиционна програма'!I$37:I$47)*$E$6</f>
        <v>0</v>
      </c>
      <c r="O39" s="1200">
        <f>SUMIF('9.Инвестиционна програма'!$B$37:$B$47,$B39,'9.Инвестиционна програма'!J$37:J$47)*$E$6</f>
        <v>0</v>
      </c>
      <c r="P39" s="1200">
        <f>SUMIF('9.Инвестиционна програма'!$B$37:$B$47,$B39,'9.Инвестиционна програма'!K$37:K$47)*$E$6</f>
        <v>0</v>
      </c>
      <c r="Q39" s="1200">
        <f>SUMIF('9.Инвестиционна програма'!$B$37:$B$47,$B39,'9.Инвестиционна програма'!L$37:L$47)*$E$6</f>
        <v>0</v>
      </c>
      <c r="R39" s="1201">
        <f>SUMIF('9.Инвестиционна програма'!$B$37:$B$47,$B39,'9.Инвестиционна програма'!M$37:M$47)*$E$6</f>
        <v>0</v>
      </c>
      <c r="S39" s="1087">
        <f>'11.2. ДА за периода'!S39</f>
        <v>0</v>
      </c>
      <c r="T39" s="881">
        <f>SUMIF('9.Инвестиционна програма'!$B$49:$B$56,$B39,'9.Инвестиционна програма'!H$49:H$56)*$E$6</f>
        <v>0</v>
      </c>
      <c r="U39" s="881">
        <f>SUMIF('9.Инвестиционна програма'!$B$49:$B$56,$B39,'9.Инвестиционна програма'!I$49:I$56)*$E$6</f>
        <v>0</v>
      </c>
      <c r="V39" s="881">
        <f>SUMIF('9.Инвестиционна програма'!$B$49:$B$56,$B39,'9.Инвестиционна програма'!J$49:J$56)*$E$6</f>
        <v>0</v>
      </c>
      <c r="W39" s="881">
        <f>SUMIF('9.Инвестиционна програма'!$B$49:$B$56,$B39,'9.Инвестиционна програма'!K$49:K$56)*$E$6</f>
        <v>0</v>
      </c>
      <c r="X39" s="881">
        <f>SUMIF('9.Инвестиционна програма'!$B$49:$B$56,$B39,'9.Инвестиционна програма'!L$49:L$56)*$E$6</f>
        <v>0</v>
      </c>
      <c r="Y39" s="2690">
        <f>SUMIF('9.Инвестиционна програма'!$B$49:$B$56,$B39,'9.Инвестиционна програма'!M$49:M$56)*$E$6</f>
        <v>0</v>
      </c>
      <c r="Z39" s="1087">
        <f>'11.2. ДА за периода'!Z39</f>
        <v>0</v>
      </c>
      <c r="AA39" s="881">
        <f>SUMIF('9.Инвестиционна програма'!$B$74:$B$97,$B39,'9.Инвестиционна програма'!H$74:H$97)*$E$6</f>
        <v>0</v>
      </c>
      <c r="AB39" s="881">
        <f>SUMIF('9.Инвестиционна програма'!$B$74:$B$97,$B39,'9.Инвестиционна програма'!I$74:I$97)*$E$6</f>
        <v>0</v>
      </c>
      <c r="AC39" s="881">
        <f>SUMIF('9.Инвестиционна програма'!$B$74:$B$97,$B39,'9.Инвестиционна програма'!J$74:J$97)*$E$6</f>
        <v>0</v>
      </c>
      <c r="AD39" s="881">
        <f>SUMIF('9.Инвестиционна програма'!$B$74:$B$97,$B39,'9.Инвестиционна програма'!K$74:K$97)*$E$6</f>
        <v>0</v>
      </c>
      <c r="AE39" s="881">
        <f>SUMIF('9.Инвестиционна програма'!$B$74:$B$97,$B39,'9.Инвестиционна програма'!L$74:L$97)*$E$6</f>
        <v>0</v>
      </c>
      <c r="AF39" s="881">
        <f>SUMIF('9.Инвестиционна програма'!$B$74:$B$97,$B39,'9.Инвестиционна програма'!M$74:M$97)*$E$6</f>
        <v>0</v>
      </c>
      <c r="AG39" s="1087">
        <f>'11.2. ДА за периода'!AG39</f>
        <v>0</v>
      </c>
      <c r="AH39" s="881">
        <f>SUMIF('9.Инвестиционна програма'!$B$100:$B$123,$B39,'9.Инвестиционна програма'!H$100:H$123)*$E$6</f>
        <v>0</v>
      </c>
      <c r="AI39" s="881">
        <f>SUMIF('9.Инвестиционна програма'!$B$100:$B$123,$B39,'9.Инвестиционна програма'!I$100:I$123)*$E$6</f>
        <v>0</v>
      </c>
      <c r="AJ39" s="881">
        <f>SUMIF('9.Инвестиционна програма'!$B$100:$B$123,$B39,'9.Инвестиционна програма'!J$100:J$123)*$E$6</f>
        <v>0</v>
      </c>
      <c r="AK39" s="881">
        <f>SUMIF('9.Инвестиционна програма'!$B$100:$B$123,$B39,'9.Инвестиционна програма'!K$100:K$123)*$E$6</f>
        <v>0</v>
      </c>
      <c r="AL39" s="881">
        <f>SUMIF('9.Инвестиционна програма'!$B$100:$B$123,$B39,'9.Инвестиционна програма'!L$100:L$123)*$E$6</f>
        <v>0</v>
      </c>
      <c r="AM39" s="881">
        <f>SUMIF('9.Инвестиционна програма'!$B$100:$B$123,$B39,'9.Инвестиционна програма'!M$100:M$123)*$E$6</f>
        <v>0</v>
      </c>
      <c r="AN39" s="1087">
        <f>'11.2. ДА за периода'!AN39</f>
        <v>0</v>
      </c>
      <c r="AO39" s="1206">
        <f>(SUMIF('9.Инвестиционна програма'!$B$58:$B$59,$B39,'9.Инвестиционна програма'!H$58:H$59)+SUMIF('9.Инвестиционна програма'!$B$61:$B$71,$B39,'9.Инвестиционна програма'!H$61:H$71))*$E$6</f>
        <v>0</v>
      </c>
      <c r="AP39" s="881">
        <f>(SUMIF('9.Инвестиционна програма'!$B$58:$B$59,$B39,'9.Инвестиционна програма'!I$58:I$59)+SUMIF('9.Инвестиционна програма'!$B$61:$B$71,$B39,'9.Инвестиционна програма'!I$61:I$71))*$E$6</f>
        <v>0</v>
      </c>
      <c r="AQ39" s="881">
        <f>(SUMIF('9.Инвестиционна програма'!$B$58:$B$59,$B39,'9.Инвестиционна програма'!J$58:J$59)+SUMIF('9.Инвестиционна програма'!$B$61:$B$71,$B39,'9.Инвестиционна програма'!J$61:J$71))*$E$6</f>
        <v>0</v>
      </c>
      <c r="AR39" s="881">
        <f>(SUMIF('9.Инвестиционна програма'!$B$58:$B$59,$B39,'9.Инвестиционна програма'!K$58:K$59)+SUMIF('9.Инвестиционна програма'!$B$61:$B$71,$B39,'9.Инвестиционна програма'!K$61:K$71))*$E$6</f>
        <v>0</v>
      </c>
      <c r="AS39" s="881">
        <f>(SUMIF('9.Инвестиционна програма'!$B$58:$B$59,$B39,'9.Инвестиционна програма'!L$58:L$59)+SUMIF('9.Инвестиционна програма'!$B$61:$B$71,$B39,'9.Инвестиционна програма'!L$61:L$71))*$E$6</f>
        <v>0</v>
      </c>
      <c r="AT39" s="2690">
        <f>(SUMIF('9.Инвестиционна програма'!$B$58:$B$59,$B39,'9.Инвестиционна програма'!M$58:M$59)+SUMIF('9.Инвестиционна програма'!$B$61:$B$71,$B39,'9.Инвестиционна програма'!M$61:M$71))*$E$6</f>
        <v>0</v>
      </c>
      <c r="AU39" s="4422"/>
      <c r="AV39" s="4438">
        <f t="shared" si="47"/>
        <v>298.0831667373954</v>
      </c>
      <c r="AW39" s="4438">
        <f t="shared" si="48"/>
        <v>306.77512871773109</v>
      </c>
      <c r="AX39" s="4438">
        <f t="shared" si="49"/>
        <v>1371.5798162416982</v>
      </c>
      <c r="AY39" s="4438">
        <f t="shared" si="50"/>
        <v>2514.6121615886864</v>
      </c>
      <c r="AZ39" s="4438">
        <f t="shared" si="51"/>
        <v>2623.5173322834812</v>
      </c>
      <c r="BA39" s="4438">
        <f t="shared" si="52"/>
        <v>270.98469703399581</v>
      </c>
      <c r="BB39" s="4438">
        <f t="shared" si="53"/>
        <v>270.98469703399581</v>
      </c>
      <c r="BC39" s="4438">
        <f t="shared" si="54"/>
        <v>0</v>
      </c>
      <c r="BD39" s="4438">
        <f t="shared" si="55"/>
        <v>0</v>
      </c>
      <c r="BE39" s="4438">
        <f t="shared" si="56"/>
        <v>0</v>
      </c>
      <c r="BF39" s="4438">
        <f t="shared" si="57"/>
        <v>0</v>
      </c>
      <c r="BG39" s="4438">
        <f t="shared" si="58"/>
        <v>0</v>
      </c>
      <c r="BH39" s="4438">
        <f t="shared" si="59"/>
        <v>0</v>
      </c>
      <c r="BI39" s="4438">
        <f t="shared" si="60"/>
        <v>0</v>
      </c>
      <c r="BJ39" s="4438">
        <f t="shared" si="61"/>
        <v>0</v>
      </c>
      <c r="BK39" s="4438">
        <f t="shared" si="62"/>
        <v>0</v>
      </c>
      <c r="BL39" s="4438">
        <f t="shared" si="63"/>
        <v>0</v>
      </c>
      <c r="BM39" s="4438">
        <f t="shared" si="64"/>
        <v>0</v>
      </c>
      <c r="BN39" s="4438">
        <f t="shared" si="65"/>
        <v>0</v>
      </c>
      <c r="BO39" s="4438">
        <f t="shared" si="66"/>
        <v>0</v>
      </c>
      <c r="BP39" s="4438">
        <f t="shared" si="67"/>
        <v>0</v>
      </c>
      <c r="BQ39" s="4438">
        <f t="shared" si="68"/>
        <v>0</v>
      </c>
      <c r="BR39" s="4438">
        <f t="shared" si="69"/>
        <v>0</v>
      </c>
      <c r="BS39" s="4438">
        <f t="shared" si="70"/>
        <v>0</v>
      </c>
      <c r="BT39" s="4438">
        <f t="shared" si="71"/>
        <v>0</v>
      </c>
      <c r="BU39" s="4438">
        <f t="shared" si="72"/>
        <v>0</v>
      </c>
      <c r="BV39" s="4438">
        <f t="shared" si="73"/>
        <v>0</v>
      </c>
      <c r="BW39" s="4438">
        <f t="shared" si="74"/>
        <v>0</v>
      </c>
      <c r="BX39" s="4438">
        <f t="shared" si="75"/>
        <v>0</v>
      </c>
      <c r="BY39" s="4438">
        <f t="shared" si="76"/>
        <v>0</v>
      </c>
      <c r="BZ39" s="4438">
        <f t="shared" si="77"/>
        <v>0</v>
      </c>
      <c r="CA39" s="4438">
        <f t="shared" si="78"/>
        <v>0</v>
      </c>
      <c r="CB39" s="4438">
        <f t="shared" si="79"/>
        <v>0</v>
      </c>
      <c r="CC39" s="4438">
        <f t="shared" si="80"/>
        <v>0</v>
      </c>
      <c r="CD39" s="4438">
        <f t="shared" si="81"/>
        <v>0</v>
      </c>
      <c r="CE39" s="4438">
        <f t="shared" si="82"/>
        <v>0</v>
      </c>
      <c r="CF39" s="4438">
        <f t="shared" si="83"/>
        <v>0</v>
      </c>
      <c r="CG39" s="4438">
        <f t="shared" si="84"/>
        <v>0</v>
      </c>
      <c r="CH39" s="4438">
        <f t="shared" si="85"/>
        <v>0</v>
      </c>
      <c r="CI39" s="4438">
        <f t="shared" si="86"/>
        <v>0</v>
      </c>
      <c r="CJ39" s="4438">
        <f t="shared" si="87"/>
        <v>0</v>
      </c>
      <c r="CK39" s="4438">
        <f t="shared" si="88"/>
        <v>0</v>
      </c>
    </row>
    <row r="40" spans="1:89">
      <c r="A40" s="2701"/>
      <c r="B40" s="3563">
        <v>2040206</v>
      </c>
      <c r="C40" s="3546">
        <v>0.02</v>
      </c>
      <c r="D40" s="2711" t="s">
        <v>421</v>
      </c>
      <c r="E40" s="2689">
        <f>'11.2. ДА за периода'!E40</f>
        <v>0</v>
      </c>
      <c r="F40" s="1202">
        <f>SUMIF('9.Инвестиционна програма'!$B$12:$B$35,$B40,'9.Инвестиционна програма'!H$12:H$35)*$E$6</f>
        <v>0</v>
      </c>
      <c r="G40" s="1198">
        <f>SUMIF('9.Инвестиционна програма'!$B$12:$B$35,$B40,'9.Инвестиционна програма'!I$12:I$35)*$E$6</f>
        <v>0</v>
      </c>
      <c r="H40" s="1198">
        <f>SUMIF('9.Инвестиционна програма'!$B$12:$B$35,$B40,'9.Инвестиционна програма'!J$12:J$35)*$E$6</f>
        <v>0</v>
      </c>
      <c r="I40" s="1198">
        <f>SUMIF('9.Инвестиционна програма'!$B$12:$B$35,$B40,'9.Инвестиционна програма'!K$12:K$35)*$E$6</f>
        <v>0</v>
      </c>
      <c r="J40" s="1198">
        <f>SUMIF('9.Инвестиционна програма'!$B$12:$B$35,$B40,'9.Инвестиционна програма'!L$12:L$35)*$E$6</f>
        <v>0</v>
      </c>
      <c r="K40" s="1203">
        <f>SUMIF('9.Инвестиционна програма'!$B$12:$B$35,$B40,'9.Инвестиционна програма'!M$12:M$35)*$E$6</f>
        <v>0</v>
      </c>
      <c r="L40" s="2689">
        <f>'11.2. ДА за периода'!L40</f>
        <v>23</v>
      </c>
      <c r="M40" s="1206">
        <f>SUMIF('9.Инвестиционна програма'!$B$37:$B$47,$B40,'9.Инвестиционна програма'!H$37:H$47)*$E$6</f>
        <v>20</v>
      </c>
      <c r="N40" s="1200">
        <f>SUMIF('9.Инвестиционна програма'!$B$37:$B$47,$B40,'9.Инвестиционна програма'!I$37:I$47)*$E$6</f>
        <v>966.26836000000003</v>
      </c>
      <c r="O40" s="1200">
        <f>SUMIF('9.Инвестиционна програма'!$B$37:$B$47,$B40,'9.Инвестиционна програма'!J$37:J$47)*$E$6</f>
        <v>1927.5367200000001</v>
      </c>
      <c r="P40" s="1200">
        <f>SUMIF('9.Инвестиционна програма'!$B$37:$B$47,$B40,'9.Инвестиционна програма'!K$37:K$47)*$E$6</f>
        <v>1872.5367200000001</v>
      </c>
      <c r="Q40" s="1200">
        <f>SUMIF('9.Инвестиционна програма'!$B$37:$B$47,$B40,'9.Инвестиционна програма'!L$37:L$47)*$E$6</f>
        <v>20</v>
      </c>
      <c r="R40" s="1201">
        <f>SUMIF('9.Инвестиционна програма'!$B$37:$B$47,$B40,'9.Инвестиционна програма'!M$37:M$47)*$E$6</f>
        <v>25</v>
      </c>
      <c r="S40" s="1087">
        <f>'11.2. ДА за периода'!S40</f>
        <v>0</v>
      </c>
      <c r="T40" s="881">
        <f>SUMIF('9.Инвестиционна програма'!$B$49:$B$56,$B40,'9.Инвестиционна програма'!H$49:H$56)*$E$6</f>
        <v>0</v>
      </c>
      <c r="U40" s="881">
        <f>SUMIF('9.Инвестиционна програма'!$B$49:$B$56,$B40,'9.Инвестиционна програма'!I$49:I$56)*$E$6</f>
        <v>0</v>
      </c>
      <c r="V40" s="881">
        <f>SUMIF('9.Инвестиционна програма'!$B$49:$B$56,$B40,'9.Инвестиционна програма'!J$49:J$56)*$E$6</f>
        <v>0</v>
      </c>
      <c r="W40" s="881">
        <f>SUMIF('9.Инвестиционна програма'!$B$49:$B$56,$B40,'9.Инвестиционна програма'!K$49:K$56)*$E$6</f>
        <v>0</v>
      </c>
      <c r="X40" s="881">
        <f>SUMIF('9.Инвестиционна програма'!$B$49:$B$56,$B40,'9.Инвестиционна програма'!L$49:L$56)*$E$6</f>
        <v>0</v>
      </c>
      <c r="Y40" s="2690">
        <f>SUMIF('9.Инвестиционна програма'!$B$49:$B$56,$B40,'9.Инвестиционна програма'!M$49:M$56)*$E$6</f>
        <v>0</v>
      </c>
      <c r="Z40" s="1087">
        <f>'11.2. ДА за периода'!Z40</f>
        <v>0</v>
      </c>
      <c r="AA40" s="881">
        <f>SUMIF('9.Инвестиционна програма'!$B$74:$B$97,$B40,'9.Инвестиционна програма'!H$74:H$97)*$E$6</f>
        <v>0</v>
      </c>
      <c r="AB40" s="881">
        <f>SUMIF('9.Инвестиционна програма'!$B$74:$B$97,$B40,'9.Инвестиционна програма'!I$74:I$97)*$E$6</f>
        <v>0</v>
      </c>
      <c r="AC40" s="881">
        <f>SUMIF('9.Инвестиционна програма'!$B$74:$B$97,$B40,'9.Инвестиционна програма'!J$74:J$97)*$E$6</f>
        <v>0</v>
      </c>
      <c r="AD40" s="881">
        <f>SUMIF('9.Инвестиционна програма'!$B$74:$B$97,$B40,'9.Инвестиционна програма'!K$74:K$97)*$E$6</f>
        <v>0</v>
      </c>
      <c r="AE40" s="881">
        <f>SUMIF('9.Инвестиционна програма'!$B$74:$B$97,$B40,'9.Инвестиционна програма'!L$74:L$97)*$E$6</f>
        <v>0</v>
      </c>
      <c r="AF40" s="881">
        <f>SUMIF('9.Инвестиционна програма'!$B$74:$B$97,$B40,'9.Инвестиционна програма'!M$74:M$97)*$E$6</f>
        <v>0</v>
      </c>
      <c r="AG40" s="1087">
        <f>'11.2. ДА за периода'!AG40</f>
        <v>0</v>
      </c>
      <c r="AH40" s="881">
        <f>SUMIF('9.Инвестиционна програма'!$B$100:$B$123,$B40,'9.Инвестиционна програма'!H$100:H$123)*$E$6</f>
        <v>0</v>
      </c>
      <c r="AI40" s="881">
        <f>SUMIF('9.Инвестиционна програма'!$B$100:$B$123,$B40,'9.Инвестиционна програма'!I$100:I$123)*$E$6</f>
        <v>0</v>
      </c>
      <c r="AJ40" s="881">
        <f>SUMIF('9.Инвестиционна програма'!$B$100:$B$123,$B40,'9.Инвестиционна програма'!J$100:J$123)*$E$6</f>
        <v>0</v>
      </c>
      <c r="AK40" s="881">
        <f>SUMIF('9.Инвестиционна програма'!$B$100:$B$123,$B40,'9.Инвестиционна програма'!K$100:K$123)*$E$6</f>
        <v>0</v>
      </c>
      <c r="AL40" s="881">
        <f>SUMIF('9.Инвестиционна програма'!$B$100:$B$123,$B40,'9.Инвестиционна програма'!L$100:L$123)*$E$6</f>
        <v>0</v>
      </c>
      <c r="AM40" s="881">
        <f>SUMIF('9.Инвестиционна програма'!$B$100:$B$123,$B40,'9.Инвестиционна програма'!M$100:M$123)*$E$6</f>
        <v>0</v>
      </c>
      <c r="AN40" s="1087">
        <f>'11.2. ДА за периода'!AN40</f>
        <v>0</v>
      </c>
      <c r="AO40" s="1206">
        <f>(SUMIF('9.Инвестиционна програма'!$B$58:$B$59,$B40,'9.Инвестиционна програма'!H$58:H$59)+SUMIF('9.Инвестиционна програма'!$B$61:$B$71,$B40,'9.Инвестиционна програма'!H$61:H$71))*$E$6</f>
        <v>0</v>
      </c>
      <c r="AP40" s="881">
        <f>(SUMIF('9.Инвестиционна програма'!$B$58:$B$59,$B40,'9.Инвестиционна програма'!I$58:I$59)+SUMIF('9.Инвестиционна програма'!$B$61:$B$71,$B40,'9.Инвестиционна програма'!I$61:I$71))*$E$6</f>
        <v>0</v>
      </c>
      <c r="AQ40" s="881">
        <f>(SUMIF('9.Инвестиционна програма'!$B$58:$B$59,$B40,'9.Инвестиционна програма'!J$58:J$59)+SUMIF('9.Инвестиционна програма'!$B$61:$B$71,$B40,'9.Инвестиционна програма'!J$61:J$71))*$E$6</f>
        <v>0</v>
      </c>
      <c r="AR40" s="881">
        <f>(SUMIF('9.Инвестиционна програма'!$B$58:$B$59,$B40,'9.Инвестиционна програма'!K$58:K$59)+SUMIF('9.Инвестиционна програма'!$B$61:$B$71,$B40,'9.Инвестиционна програма'!K$61:K$71))*$E$6</f>
        <v>0</v>
      </c>
      <c r="AS40" s="881">
        <f>(SUMIF('9.Инвестиционна програма'!$B$58:$B$59,$B40,'9.Инвестиционна програма'!L$58:L$59)+SUMIF('9.Инвестиционна програма'!$B$61:$B$71,$B40,'9.Инвестиционна програма'!L$61:L$71))*$E$6</f>
        <v>0</v>
      </c>
      <c r="AT40" s="2690">
        <f>(SUMIF('9.Инвестиционна програма'!$B$58:$B$59,$B40,'9.Инвестиционна програма'!M$58:M$59)+SUMIF('9.Инвестиционна програма'!$B$61:$B$71,$B40,'9.Инвестиционна програма'!M$61:M$71))*$E$6</f>
        <v>0</v>
      </c>
      <c r="AU40" s="4422"/>
      <c r="AV40" s="4438">
        <f t="shared" si="47"/>
        <v>0</v>
      </c>
      <c r="AW40" s="4438">
        <f t="shared" si="48"/>
        <v>0</v>
      </c>
      <c r="AX40" s="4438">
        <f t="shared" si="49"/>
        <v>0</v>
      </c>
      <c r="AY40" s="4438">
        <f t="shared" si="50"/>
        <v>0</v>
      </c>
      <c r="AZ40" s="4438">
        <f t="shared" si="51"/>
        <v>0</v>
      </c>
      <c r="BA40" s="4438">
        <f t="shared" si="52"/>
        <v>0</v>
      </c>
      <c r="BB40" s="4438">
        <f t="shared" si="53"/>
        <v>0</v>
      </c>
      <c r="BC40" s="4438">
        <f t="shared" si="54"/>
        <v>11.759713267513025</v>
      </c>
      <c r="BD40" s="4438">
        <f t="shared" si="55"/>
        <v>10.22583762392437</v>
      </c>
      <c r="BE40" s="4438">
        <f t="shared" si="56"/>
        <v>494.04516752478492</v>
      </c>
      <c r="BF40" s="4438">
        <f t="shared" si="57"/>
        <v>985.53387564358866</v>
      </c>
      <c r="BG40" s="4438">
        <f t="shared" si="58"/>
        <v>957.41282217779667</v>
      </c>
      <c r="BH40" s="4438">
        <f t="shared" si="59"/>
        <v>10.22583762392437</v>
      </c>
      <c r="BI40" s="4438">
        <f t="shared" si="60"/>
        <v>12.782297029905463</v>
      </c>
      <c r="BJ40" s="4438">
        <f t="shared" si="61"/>
        <v>0</v>
      </c>
      <c r="BK40" s="4438">
        <f t="shared" si="62"/>
        <v>0</v>
      </c>
      <c r="BL40" s="4438">
        <f t="shared" si="63"/>
        <v>0</v>
      </c>
      <c r="BM40" s="4438">
        <f t="shared" si="64"/>
        <v>0</v>
      </c>
      <c r="BN40" s="4438">
        <f t="shared" si="65"/>
        <v>0</v>
      </c>
      <c r="BO40" s="4438">
        <f t="shared" si="66"/>
        <v>0</v>
      </c>
      <c r="BP40" s="4438">
        <f t="shared" si="67"/>
        <v>0</v>
      </c>
      <c r="BQ40" s="4438">
        <f t="shared" si="68"/>
        <v>0</v>
      </c>
      <c r="BR40" s="4438">
        <f t="shared" si="69"/>
        <v>0</v>
      </c>
      <c r="BS40" s="4438">
        <f t="shared" si="70"/>
        <v>0</v>
      </c>
      <c r="BT40" s="4438">
        <f t="shared" si="71"/>
        <v>0</v>
      </c>
      <c r="BU40" s="4438">
        <f t="shared" si="72"/>
        <v>0</v>
      </c>
      <c r="BV40" s="4438">
        <f t="shared" si="73"/>
        <v>0</v>
      </c>
      <c r="BW40" s="4438">
        <f t="shared" si="74"/>
        <v>0</v>
      </c>
      <c r="BX40" s="4438">
        <f t="shared" si="75"/>
        <v>0</v>
      </c>
      <c r="BY40" s="4438">
        <f t="shared" si="76"/>
        <v>0</v>
      </c>
      <c r="BZ40" s="4438">
        <f t="shared" si="77"/>
        <v>0</v>
      </c>
      <c r="CA40" s="4438">
        <f t="shared" si="78"/>
        <v>0</v>
      </c>
      <c r="CB40" s="4438">
        <f t="shared" si="79"/>
        <v>0</v>
      </c>
      <c r="CC40" s="4438">
        <f t="shared" si="80"/>
        <v>0</v>
      </c>
      <c r="CD40" s="4438">
        <f t="shared" si="81"/>
        <v>0</v>
      </c>
      <c r="CE40" s="4438">
        <f t="shared" si="82"/>
        <v>0</v>
      </c>
      <c r="CF40" s="4438">
        <f t="shared" si="83"/>
        <v>0</v>
      </c>
      <c r="CG40" s="4438">
        <f t="shared" si="84"/>
        <v>0</v>
      </c>
      <c r="CH40" s="4438">
        <f t="shared" si="85"/>
        <v>0</v>
      </c>
      <c r="CI40" s="4438">
        <f t="shared" si="86"/>
        <v>0</v>
      </c>
      <c r="CJ40" s="4438">
        <f t="shared" si="87"/>
        <v>0</v>
      </c>
      <c r="CK40" s="4438">
        <f t="shared" si="88"/>
        <v>0</v>
      </c>
    </row>
    <row r="41" spans="1:89" ht="24">
      <c r="A41" s="2701"/>
      <c r="B41" s="3563">
        <v>2040207</v>
      </c>
      <c r="C41" s="3546">
        <v>0.04</v>
      </c>
      <c r="D41" s="2711" t="s">
        <v>422</v>
      </c>
      <c r="E41" s="2689">
        <f>'11.2. ДА за периода'!E41</f>
        <v>8</v>
      </c>
      <c r="F41" s="1202">
        <f>SUMIF('9.Инвестиционна програма'!$B$12:$B$35,$B41,'9.Инвестиционна програма'!H$12:H$35)*$E$6</f>
        <v>110</v>
      </c>
      <c r="G41" s="1198">
        <f>SUMIF('9.Инвестиционна програма'!$B$12:$B$35,$B41,'9.Инвестиционна програма'!I$12:I$35)*$E$6</f>
        <v>1740.5689179999999</v>
      </c>
      <c r="H41" s="1198">
        <f>SUMIF('9.Инвестиционна програма'!$B$12:$B$35,$B41,'9.Инвестиционна програма'!J$12:J$35)*$E$6</f>
        <v>3434.1378359999999</v>
      </c>
      <c r="I41" s="1198">
        <f>SUMIF('9.Инвестиционна програма'!$B$12:$B$35,$B41,'9.Инвестиционна програма'!K$12:K$35)*$E$6</f>
        <v>3245.1378359999999</v>
      </c>
      <c r="J41" s="1198">
        <f>SUMIF('9.Инвестиционна програма'!$B$12:$B$35,$B41,'9.Инвестиционна програма'!L$12:L$35)*$E$6</f>
        <v>29</v>
      </c>
      <c r="K41" s="1203">
        <f>SUMIF('9.Инвестиционна програма'!$B$12:$B$35,$B41,'9.Инвестиционна програма'!M$12:M$35)*$E$6</f>
        <v>22</v>
      </c>
      <c r="L41" s="2689">
        <f>'11.2. ДА за периода'!L41</f>
        <v>0</v>
      </c>
      <c r="M41" s="1206">
        <f>SUMIF('9.Инвестиционна програма'!$B$37:$B$47,$B41,'9.Инвестиционна програма'!H$37:H$47)*$E$6</f>
        <v>5</v>
      </c>
      <c r="N41" s="1200">
        <f>SUMIF('9.Инвестиционна програма'!$B$37:$B$47,$B41,'9.Инвестиционна програма'!I$37:I$47)*$E$6</f>
        <v>55</v>
      </c>
      <c r="O41" s="1200">
        <f>SUMIF('9.Инвестиционна програма'!$B$37:$B$47,$B41,'9.Инвестиционна програма'!J$37:J$47)*$E$6</f>
        <v>0</v>
      </c>
      <c r="P41" s="1200">
        <f>SUMIF('9.Инвестиционна програма'!$B$37:$B$47,$B41,'9.Инвестиционна програма'!K$37:K$47)*$E$6</f>
        <v>0</v>
      </c>
      <c r="Q41" s="1200">
        <f>SUMIF('9.Инвестиционна програма'!$B$37:$B$47,$B41,'9.Инвестиционна програма'!L$37:L$47)*$E$6</f>
        <v>0</v>
      </c>
      <c r="R41" s="1201">
        <f>SUMIF('9.Инвестиционна програма'!$B$37:$B$47,$B41,'9.Инвестиционна програма'!M$37:M$47)*$E$6</f>
        <v>0</v>
      </c>
      <c r="S41" s="1087">
        <f>'11.2. ДА за периода'!S41</f>
        <v>38</v>
      </c>
      <c r="T41" s="881">
        <f>SUMIF('9.Инвестиционна програма'!$B$49:$B$56,$B41,'9.Инвестиционна програма'!H$49:H$56)*$E$6</f>
        <v>5</v>
      </c>
      <c r="U41" s="881">
        <f>SUMIF('9.Инвестиционна програма'!$B$49:$B$56,$B41,'9.Инвестиционна програма'!I$49:I$56)*$E$6</f>
        <v>1051.8895439999999</v>
      </c>
      <c r="V41" s="881">
        <f>SUMIF('9.Инвестиционна програма'!$B$49:$B$56,$B41,'9.Инвестиционна програма'!J$49:J$56)*$E$6</f>
        <v>2099.7790879999998</v>
      </c>
      <c r="W41" s="881">
        <f>SUMIF('9.Инвестиционна програма'!$B$49:$B$56,$B41,'9.Инвестиционна програма'!K$49:K$56)*$E$6</f>
        <v>2116.7790879999998</v>
      </c>
      <c r="X41" s="881">
        <f>SUMIF('9.Инвестиционна програма'!$B$49:$B$56,$B41,'9.Инвестиционна програма'!L$49:L$56)*$E$6</f>
        <v>2</v>
      </c>
      <c r="Y41" s="2690">
        <f>SUMIF('9.Инвестиционна програма'!$B$49:$B$56,$B41,'9.Инвестиционна програма'!M$49:M$56)*$E$6</f>
        <v>0</v>
      </c>
      <c r="Z41" s="1087">
        <f>'11.2. ДА за периода'!Z41</f>
        <v>0</v>
      </c>
      <c r="AA41" s="881">
        <f>SUMIF('9.Инвестиционна програма'!$B$74:$B$97,$B41,'9.Инвестиционна програма'!H$74:H$97)*$E$6</f>
        <v>0</v>
      </c>
      <c r="AB41" s="881">
        <f>SUMIF('9.Инвестиционна програма'!$B$74:$B$97,$B41,'9.Инвестиционна програма'!I$74:I$97)*$E$6</f>
        <v>0</v>
      </c>
      <c r="AC41" s="881">
        <f>SUMIF('9.Инвестиционна програма'!$B$74:$B$97,$B41,'9.Инвестиционна програма'!J$74:J$97)*$E$6</f>
        <v>0</v>
      </c>
      <c r="AD41" s="881">
        <f>SUMIF('9.Инвестиционна програма'!$B$74:$B$97,$B41,'9.Инвестиционна програма'!K$74:K$97)*$E$6</f>
        <v>0</v>
      </c>
      <c r="AE41" s="881">
        <f>SUMIF('9.Инвестиционна програма'!$B$74:$B$97,$B41,'9.Инвестиционна програма'!L$74:L$97)*$E$6</f>
        <v>0</v>
      </c>
      <c r="AF41" s="881">
        <f>SUMIF('9.Инвестиционна програма'!$B$74:$B$97,$B41,'9.Инвестиционна програма'!M$74:M$97)*$E$6</f>
        <v>0</v>
      </c>
      <c r="AG41" s="1087">
        <f>'11.2. ДА за периода'!AG41</f>
        <v>0</v>
      </c>
      <c r="AH41" s="881">
        <f>SUMIF('9.Инвестиционна програма'!$B$100:$B$123,$B41,'9.Инвестиционна програма'!H$100:H$123)*$E$6</f>
        <v>0</v>
      </c>
      <c r="AI41" s="881">
        <f>SUMIF('9.Инвестиционна програма'!$B$100:$B$123,$B41,'9.Инвестиционна програма'!I$100:I$123)*$E$6</f>
        <v>0</v>
      </c>
      <c r="AJ41" s="881">
        <f>SUMIF('9.Инвестиционна програма'!$B$100:$B$123,$B41,'9.Инвестиционна програма'!J$100:J$123)*$E$6</f>
        <v>0</v>
      </c>
      <c r="AK41" s="881">
        <f>SUMIF('9.Инвестиционна програма'!$B$100:$B$123,$B41,'9.Инвестиционна програма'!K$100:K$123)*$E$6</f>
        <v>0</v>
      </c>
      <c r="AL41" s="881">
        <f>SUMIF('9.Инвестиционна програма'!$B$100:$B$123,$B41,'9.Инвестиционна програма'!L$100:L$123)*$E$6</f>
        <v>0</v>
      </c>
      <c r="AM41" s="881">
        <f>SUMIF('9.Инвестиционна програма'!$B$100:$B$123,$B41,'9.Инвестиционна програма'!M$100:M$123)*$E$6</f>
        <v>0</v>
      </c>
      <c r="AN41" s="1087">
        <f>'11.2. ДА за периода'!AN41</f>
        <v>0</v>
      </c>
      <c r="AO41" s="1206">
        <f>(SUMIF('9.Инвестиционна програма'!$B$58:$B$59,$B41,'9.Инвестиционна програма'!H$58:H$59)+SUMIF('9.Инвестиционна програма'!$B$61:$B$71,$B41,'9.Инвестиционна програма'!H$61:H$71))*$E$6</f>
        <v>0</v>
      </c>
      <c r="AP41" s="881">
        <f>(SUMIF('9.Инвестиционна програма'!$B$58:$B$59,$B41,'9.Инвестиционна програма'!I$58:I$59)+SUMIF('9.Инвестиционна програма'!$B$61:$B$71,$B41,'9.Инвестиционна програма'!I$61:I$71))*$E$6</f>
        <v>0</v>
      </c>
      <c r="AQ41" s="881">
        <f>(SUMIF('9.Инвестиционна програма'!$B$58:$B$59,$B41,'9.Инвестиционна програма'!J$58:J$59)+SUMIF('9.Инвестиционна програма'!$B$61:$B$71,$B41,'9.Инвестиционна програма'!J$61:J$71))*$E$6</f>
        <v>0</v>
      </c>
      <c r="AR41" s="881">
        <f>(SUMIF('9.Инвестиционна програма'!$B$58:$B$59,$B41,'9.Инвестиционна програма'!K$58:K$59)+SUMIF('9.Инвестиционна програма'!$B$61:$B$71,$B41,'9.Инвестиционна програма'!K$61:K$71))*$E$6</f>
        <v>0</v>
      </c>
      <c r="AS41" s="881">
        <f>(SUMIF('9.Инвестиционна програма'!$B$58:$B$59,$B41,'9.Инвестиционна програма'!L$58:L$59)+SUMIF('9.Инвестиционна програма'!$B$61:$B$71,$B41,'9.Инвестиционна програма'!L$61:L$71))*$E$6</f>
        <v>0</v>
      </c>
      <c r="AT41" s="2690">
        <f>(SUMIF('9.Инвестиционна програма'!$B$58:$B$59,$B41,'9.Инвестиционна програма'!M$58:M$59)+SUMIF('9.Инвестиционна програма'!$B$61:$B$71,$B41,'9.Инвестиционна програма'!M$61:M$71))*$E$6</f>
        <v>0</v>
      </c>
      <c r="AU41" s="4422"/>
      <c r="AV41" s="4438">
        <f t="shared" si="47"/>
        <v>4.0903350495697479</v>
      </c>
      <c r="AW41" s="4438">
        <f t="shared" si="48"/>
        <v>56.242106931584033</v>
      </c>
      <c r="AX41" s="4438">
        <f t="shared" si="49"/>
        <v>889.93875643588649</v>
      </c>
      <c r="AY41" s="4438">
        <f t="shared" si="50"/>
        <v>1755.8467944555507</v>
      </c>
      <c r="AZ41" s="4438">
        <f t="shared" si="51"/>
        <v>1659.2126289094656</v>
      </c>
      <c r="BA41" s="4438">
        <f t="shared" si="52"/>
        <v>14.827464554690337</v>
      </c>
      <c r="BB41" s="4438">
        <f t="shared" si="53"/>
        <v>11.248421386316807</v>
      </c>
      <c r="BC41" s="4438">
        <f t="shared" si="54"/>
        <v>0</v>
      </c>
      <c r="BD41" s="4438">
        <f t="shared" si="55"/>
        <v>2.5564594059810926</v>
      </c>
      <c r="BE41" s="4438">
        <f t="shared" si="56"/>
        <v>28.121053465792016</v>
      </c>
      <c r="BF41" s="4438">
        <f t="shared" si="57"/>
        <v>0</v>
      </c>
      <c r="BG41" s="4438">
        <f t="shared" si="58"/>
        <v>0</v>
      </c>
      <c r="BH41" s="4438">
        <f t="shared" si="59"/>
        <v>0</v>
      </c>
      <c r="BI41" s="4438">
        <f t="shared" si="60"/>
        <v>0</v>
      </c>
      <c r="BJ41" s="4438">
        <f t="shared" si="61"/>
        <v>19.429091485456304</v>
      </c>
      <c r="BK41" s="4438">
        <f t="shared" si="62"/>
        <v>2.5564594059810926</v>
      </c>
      <c r="BL41" s="4438">
        <f t="shared" si="63"/>
        <v>537.82258376239236</v>
      </c>
      <c r="BM41" s="4438">
        <f t="shared" si="64"/>
        <v>1073.5999999999999</v>
      </c>
      <c r="BN41" s="4438">
        <f t="shared" si="65"/>
        <v>1082.2919619803356</v>
      </c>
      <c r="BO41" s="4438">
        <f t="shared" si="66"/>
        <v>1.022583762392437</v>
      </c>
      <c r="BP41" s="4438">
        <f t="shared" si="67"/>
        <v>0</v>
      </c>
      <c r="BQ41" s="4438">
        <f t="shared" si="68"/>
        <v>0</v>
      </c>
      <c r="BR41" s="4438">
        <f t="shared" si="69"/>
        <v>0</v>
      </c>
      <c r="BS41" s="4438">
        <f t="shared" si="70"/>
        <v>0</v>
      </c>
      <c r="BT41" s="4438">
        <f t="shared" si="71"/>
        <v>0</v>
      </c>
      <c r="BU41" s="4438">
        <f t="shared" si="72"/>
        <v>0</v>
      </c>
      <c r="BV41" s="4438">
        <f t="shared" si="73"/>
        <v>0</v>
      </c>
      <c r="BW41" s="4438">
        <f t="shared" si="74"/>
        <v>0</v>
      </c>
      <c r="BX41" s="4438">
        <f t="shared" si="75"/>
        <v>0</v>
      </c>
      <c r="BY41" s="4438">
        <f t="shared" si="76"/>
        <v>0</v>
      </c>
      <c r="BZ41" s="4438">
        <f t="shared" si="77"/>
        <v>0</v>
      </c>
      <c r="CA41" s="4438">
        <f t="shared" si="78"/>
        <v>0</v>
      </c>
      <c r="CB41" s="4438">
        <f t="shared" si="79"/>
        <v>0</v>
      </c>
      <c r="CC41" s="4438">
        <f t="shared" si="80"/>
        <v>0</v>
      </c>
      <c r="CD41" s="4438">
        <f t="shared" si="81"/>
        <v>0</v>
      </c>
      <c r="CE41" s="4438">
        <f t="shared" si="82"/>
        <v>0</v>
      </c>
      <c r="CF41" s="4438">
        <f t="shared" si="83"/>
        <v>0</v>
      </c>
      <c r="CG41" s="4438">
        <f t="shared" si="84"/>
        <v>0</v>
      </c>
      <c r="CH41" s="4438">
        <f t="shared" si="85"/>
        <v>0</v>
      </c>
      <c r="CI41" s="4438">
        <f t="shared" si="86"/>
        <v>0</v>
      </c>
      <c r="CJ41" s="4438">
        <f t="shared" si="87"/>
        <v>0</v>
      </c>
      <c r="CK41" s="4438">
        <f t="shared" si="88"/>
        <v>0</v>
      </c>
    </row>
    <row r="42" spans="1:89">
      <c r="A42" s="2701"/>
      <c r="B42" s="3563">
        <v>2040208</v>
      </c>
      <c r="C42" s="3546">
        <v>0.04</v>
      </c>
      <c r="D42" s="2711" t="s">
        <v>423</v>
      </c>
      <c r="E42" s="2689">
        <f>'11.2. ДА за периода'!E42</f>
        <v>0</v>
      </c>
      <c r="F42" s="1202">
        <f>SUMIF('9.Инвестиционна програма'!$B$12:$B$35,$B42,'9.Инвестиционна програма'!H$12:H$35)*$E$6</f>
        <v>0</v>
      </c>
      <c r="G42" s="1198">
        <f>SUMIF('9.Инвестиционна програма'!$B$12:$B$35,$B42,'9.Инвестиционна програма'!I$12:I$35)*$E$6</f>
        <v>0</v>
      </c>
      <c r="H42" s="1198">
        <f>SUMIF('9.Инвестиционна програма'!$B$12:$B$35,$B42,'9.Инвестиционна програма'!J$12:J$35)*$E$6</f>
        <v>0</v>
      </c>
      <c r="I42" s="1198">
        <f>SUMIF('9.Инвестиционна програма'!$B$12:$B$35,$B42,'9.Инвестиционна програма'!K$12:K$35)*$E$6</f>
        <v>0</v>
      </c>
      <c r="J42" s="1198">
        <f>SUMIF('9.Инвестиционна програма'!$B$12:$B$35,$B42,'9.Инвестиционна програма'!L$12:L$35)*$E$6</f>
        <v>0</v>
      </c>
      <c r="K42" s="1203">
        <f>SUMIF('9.Инвестиционна програма'!$B$12:$B$35,$B42,'9.Инвестиционна програма'!M$12:M$35)*$E$6</f>
        <v>0</v>
      </c>
      <c r="L42" s="2689">
        <f>'11.2. ДА за периода'!L42</f>
        <v>0</v>
      </c>
      <c r="M42" s="1206">
        <f>SUMIF('9.Инвестиционна програма'!$B$37:$B$47,$B42,'9.Инвестиционна програма'!H$37:H$47)*$E$6</f>
        <v>0</v>
      </c>
      <c r="N42" s="1200">
        <f>SUMIF('9.Инвестиционна програма'!$B$37:$B$47,$B42,'9.Инвестиционна програма'!I$37:I$47)*$E$6</f>
        <v>0</v>
      </c>
      <c r="O42" s="1200">
        <f>SUMIF('9.Инвестиционна програма'!$B$37:$B$47,$B42,'9.Инвестиционна програма'!J$37:J$47)*$E$6</f>
        <v>0</v>
      </c>
      <c r="P42" s="1200">
        <f>SUMIF('9.Инвестиционна програма'!$B$37:$B$47,$B42,'9.Инвестиционна програма'!K$37:K$47)*$E$6</f>
        <v>0</v>
      </c>
      <c r="Q42" s="1200">
        <f>SUMIF('9.Инвестиционна програма'!$B$37:$B$47,$B42,'9.Инвестиционна програма'!L$37:L$47)*$E$6</f>
        <v>0</v>
      </c>
      <c r="R42" s="1201">
        <f>SUMIF('9.Инвестиционна програма'!$B$37:$B$47,$B42,'9.Инвестиционна програма'!M$37:M$47)*$E$6</f>
        <v>0</v>
      </c>
      <c r="S42" s="1087">
        <f>'11.2. ДА за периода'!S42</f>
        <v>0</v>
      </c>
      <c r="T42" s="881">
        <f>SUMIF('9.Инвестиционна програма'!$B$49:$B$56,$B42,'9.Инвестиционна програма'!H$49:H$56)*$E$6</f>
        <v>0</v>
      </c>
      <c r="U42" s="881">
        <f>SUMIF('9.Инвестиционна програма'!$B$49:$B$56,$B42,'9.Инвестиционна програма'!I$49:I$56)*$E$6</f>
        <v>0</v>
      </c>
      <c r="V42" s="881">
        <f>SUMIF('9.Инвестиционна програма'!$B$49:$B$56,$B42,'9.Инвестиционна програма'!J$49:J$56)*$E$6</f>
        <v>0</v>
      </c>
      <c r="W42" s="881">
        <f>SUMIF('9.Инвестиционна програма'!$B$49:$B$56,$B42,'9.Инвестиционна програма'!K$49:K$56)*$E$6</f>
        <v>0</v>
      </c>
      <c r="X42" s="881">
        <f>SUMIF('9.Инвестиционна програма'!$B$49:$B$56,$B42,'9.Инвестиционна програма'!L$49:L$56)*$E$6</f>
        <v>0</v>
      </c>
      <c r="Y42" s="2690">
        <f>SUMIF('9.Инвестиционна програма'!$B$49:$B$56,$B42,'9.Инвестиционна програма'!M$49:M$56)*$E$6</f>
        <v>0</v>
      </c>
      <c r="Z42" s="1087">
        <f>'11.2. ДА за периода'!Z42</f>
        <v>0</v>
      </c>
      <c r="AA42" s="881">
        <f>SUMIF('9.Инвестиционна програма'!$B$74:$B$97,$B42,'9.Инвестиционна програма'!H$74:H$97)*$E$6</f>
        <v>0</v>
      </c>
      <c r="AB42" s="881">
        <f>SUMIF('9.Инвестиционна програма'!$B$74:$B$97,$B42,'9.Инвестиционна програма'!I$74:I$97)*$E$6</f>
        <v>0</v>
      </c>
      <c r="AC42" s="881">
        <f>SUMIF('9.Инвестиционна програма'!$B$74:$B$97,$B42,'9.Инвестиционна програма'!J$74:J$97)*$E$6</f>
        <v>0</v>
      </c>
      <c r="AD42" s="881">
        <f>SUMIF('9.Инвестиционна програма'!$B$74:$B$97,$B42,'9.Инвестиционна програма'!K$74:K$97)*$E$6</f>
        <v>0</v>
      </c>
      <c r="AE42" s="881">
        <f>SUMIF('9.Инвестиционна програма'!$B$74:$B$97,$B42,'9.Инвестиционна програма'!L$74:L$97)*$E$6</f>
        <v>0</v>
      </c>
      <c r="AF42" s="881">
        <f>SUMIF('9.Инвестиционна програма'!$B$74:$B$97,$B42,'9.Инвестиционна програма'!M$74:M$97)*$E$6</f>
        <v>0</v>
      </c>
      <c r="AG42" s="1087">
        <f>'11.2. ДА за периода'!AG42</f>
        <v>0</v>
      </c>
      <c r="AH42" s="881">
        <f>SUMIF('9.Инвестиционна програма'!$B$100:$B$123,$B42,'9.Инвестиционна програма'!H$100:H$123)*$E$6</f>
        <v>0</v>
      </c>
      <c r="AI42" s="881">
        <f>SUMIF('9.Инвестиционна програма'!$B$100:$B$123,$B42,'9.Инвестиционна програма'!I$100:I$123)*$E$6</f>
        <v>0</v>
      </c>
      <c r="AJ42" s="881">
        <f>SUMIF('9.Инвестиционна програма'!$B$100:$B$123,$B42,'9.Инвестиционна програма'!J$100:J$123)*$E$6</f>
        <v>0</v>
      </c>
      <c r="AK42" s="881">
        <f>SUMIF('9.Инвестиционна програма'!$B$100:$B$123,$B42,'9.Инвестиционна програма'!K$100:K$123)*$E$6</f>
        <v>0</v>
      </c>
      <c r="AL42" s="881">
        <f>SUMIF('9.Инвестиционна програма'!$B$100:$B$123,$B42,'9.Инвестиционна програма'!L$100:L$123)*$E$6</f>
        <v>0</v>
      </c>
      <c r="AM42" s="881">
        <f>SUMIF('9.Инвестиционна програма'!$B$100:$B$123,$B42,'9.Инвестиционна програма'!M$100:M$123)*$E$6</f>
        <v>0</v>
      </c>
      <c r="AN42" s="1087">
        <f>'11.2. ДА за периода'!AN42</f>
        <v>0</v>
      </c>
      <c r="AO42" s="1206">
        <f>(SUMIF('9.Инвестиционна програма'!$B$58:$B$59,$B42,'9.Инвестиционна програма'!H$58:H$59)+SUMIF('9.Инвестиционна програма'!$B$61:$B$71,$B42,'9.Инвестиционна програма'!H$61:H$71))*$E$6</f>
        <v>0</v>
      </c>
      <c r="AP42" s="881">
        <f>(SUMIF('9.Инвестиционна програма'!$B$58:$B$59,$B42,'9.Инвестиционна програма'!I$58:I$59)+SUMIF('9.Инвестиционна програма'!$B$61:$B$71,$B42,'9.Инвестиционна програма'!I$61:I$71))*$E$6</f>
        <v>0</v>
      </c>
      <c r="AQ42" s="881">
        <f>(SUMIF('9.Инвестиционна програма'!$B$58:$B$59,$B42,'9.Инвестиционна програма'!J$58:J$59)+SUMIF('9.Инвестиционна програма'!$B$61:$B$71,$B42,'9.Инвестиционна програма'!J$61:J$71))*$E$6</f>
        <v>0</v>
      </c>
      <c r="AR42" s="881">
        <f>(SUMIF('9.Инвестиционна програма'!$B$58:$B$59,$B42,'9.Инвестиционна програма'!K$58:K$59)+SUMIF('9.Инвестиционна програма'!$B$61:$B$71,$B42,'9.Инвестиционна програма'!K$61:K$71))*$E$6</f>
        <v>0</v>
      </c>
      <c r="AS42" s="881">
        <f>(SUMIF('9.Инвестиционна програма'!$B$58:$B$59,$B42,'9.Инвестиционна програма'!L$58:L$59)+SUMIF('9.Инвестиционна програма'!$B$61:$B$71,$B42,'9.Инвестиционна програма'!L$61:L$71))*$E$6</f>
        <v>0</v>
      </c>
      <c r="AT42" s="2690">
        <f>(SUMIF('9.Инвестиционна програма'!$B$58:$B$59,$B42,'9.Инвестиционна програма'!M$58:M$59)+SUMIF('9.Инвестиционна програма'!$B$61:$B$71,$B42,'9.Инвестиционна програма'!M$61:M$71))*$E$6</f>
        <v>0</v>
      </c>
      <c r="AU42" s="4422"/>
      <c r="AV42" s="4438">
        <f t="shared" si="47"/>
        <v>0</v>
      </c>
      <c r="AW42" s="4438">
        <f t="shared" si="48"/>
        <v>0</v>
      </c>
      <c r="AX42" s="4438">
        <f t="shared" si="49"/>
        <v>0</v>
      </c>
      <c r="AY42" s="4438">
        <f t="shared" si="50"/>
        <v>0</v>
      </c>
      <c r="AZ42" s="4438">
        <f t="shared" si="51"/>
        <v>0</v>
      </c>
      <c r="BA42" s="4438">
        <f t="shared" si="52"/>
        <v>0</v>
      </c>
      <c r="BB42" s="4438">
        <f t="shared" si="53"/>
        <v>0</v>
      </c>
      <c r="BC42" s="4438">
        <f t="shared" si="54"/>
        <v>0</v>
      </c>
      <c r="BD42" s="4438">
        <f t="shared" si="55"/>
        <v>0</v>
      </c>
      <c r="BE42" s="4438">
        <f t="shared" si="56"/>
        <v>0</v>
      </c>
      <c r="BF42" s="4438">
        <f t="shared" si="57"/>
        <v>0</v>
      </c>
      <c r="BG42" s="4438">
        <f t="shared" si="58"/>
        <v>0</v>
      </c>
      <c r="BH42" s="4438">
        <f t="shared" si="59"/>
        <v>0</v>
      </c>
      <c r="BI42" s="4438">
        <f t="shared" si="60"/>
        <v>0</v>
      </c>
      <c r="BJ42" s="4438">
        <f t="shared" si="61"/>
        <v>0</v>
      </c>
      <c r="BK42" s="4438">
        <f t="shared" si="62"/>
        <v>0</v>
      </c>
      <c r="BL42" s="4438">
        <f t="shared" si="63"/>
        <v>0</v>
      </c>
      <c r="BM42" s="4438">
        <f t="shared" si="64"/>
        <v>0</v>
      </c>
      <c r="BN42" s="4438">
        <f t="shared" si="65"/>
        <v>0</v>
      </c>
      <c r="BO42" s="4438">
        <f t="shared" si="66"/>
        <v>0</v>
      </c>
      <c r="BP42" s="4438">
        <f t="shared" si="67"/>
        <v>0</v>
      </c>
      <c r="BQ42" s="4438">
        <f t="shared" si="68"/>
        <v>0</v>
      </c>
      <c r="BR42" s="4438">
        <f t="shared" si="69"/>
        <v>0</v>
      </c>
      <c r="BS42" s="4438">
        <f t="shared" si="70"/>
        <v>0</v>
      </c>
      <c r="BT42" s="4438">
        <f t="shared" si="71"/>
        <v>0</v>
      </c>
      <c r="BU42" s="4438">
        <f t="shared" si="72"/>
        <v>0</v>
      </c>
      <c r="BV42" s="4438">
        <f t="shared" si="73"/>
        <v>0</v>
      </c>
      <c r="BW42" s="4438">
        <f t="shared" si="74"/>
        <v>0</v>
      </c>
      <c r="BX42" s="4438">
        <f t="shared" si="75"/>
        <v>0</v>
      </c>
      <c r="BY42" s="4438">
        <f t="shared" si="76"/>
        <v>0</v>
      </c>
      <c r="BZ42" s="4438">
        <f t="shared" si="77"/>
        <v>0</v>
      </c>
      <c r="CA42" s="4438">
        <f t="shared" si="78"/>
        <v>0</v>
      </c>
      <c r="CB42" s="4438">
        <f t="shared" si="79"/>
        <v>0</v>
      </c>
      <c r="CC42" s="4438">
        <f t="shared" si="80"/>
        <v>0</v>
      </c>
      <c r="CD42" s="4438">
        <f t="shared" si="81"/>
        <v>0</v>
      </c>
      <c r="CE42" s="4438">
        <f t="shared" si="82"/>
        <v>0</v>
      </c>
      <c r="CF42" s="4438">
        <f t="shared" si="83"/>
        <v>0</v>
      </c>
      <c r="CG42" s="4438">
        <f t="shared" si="84"/>
        <v>0</v>
      </c>
      <c r="CH42" s="4438">
        <f t="shared" si="85"/>
        <v>0</v>
      </c>
      <c r="CI42" s="4438">
        <f t="shared" si="86"/>
        <v>0</v>
      </c>
      <c r="CJ42" s="4438">
        <f t="shared" si="87"/>
        <v>0</v>
      </c>
      <c r="CK42" s="4438">
        <f t="shared" si="88"/>
        <v>0</v>
      </c>
    </row>
    <row r="43" spans="1:89">
      <c r="A43" s="2701"/>
      <c r="B43" s="3565">
        <v>20403</v>
      </c>
      <c r="C43" s="3548">
        <v>0.04</v>
      </c>
      <c r="D43" s="2714" t="s">
        <v>1050</v>
      </c>
      <c r="E43" s="2689">
        <f>'11.2. ДА за периода'!E43</f>
        <v>0</v>
      </c>
      <c r="F43" s="1202">
        <f>SUMIF('9.Инвестиционна програма'!$B$12:$B$35,$B43,'9.Инвестиционна програма'!H$12:H$35)*$E$6</f>
        <v>0</v>
      </c>
      <c r="G43" s="1198">
        <f>SUMIF('9.Инвестиционна програма'!$B$12:$B$35,$B43,'9.Инвестиционна програма'!I$12:I$35)*$E$6</f>
        <v>0</v>
      </c>
      <c r="H43" s="1198">
        <f>SUMIF('9.Инвестиционна програма'!$B$12:$B$35,$B43,'9.Инвестиционна програма'!J$12:J$35)*$E$6</f>
        <v>0</v>
      </c>
      <c r="I43" s="1198">
        <f>SUMIF('9.Инвестиционна програма'!$B$12:$B$35,$B43,'9.Инвестиционна програма'!K$12:K$35)*$E$6</f>
        <v>0</v>
      </c>
      <c r="J43" s="1198">
        <f>SUMIF('9.Инвестиционна програма'!$B$12:$B$35,$B43,'9.Инвестиционна програма'!L$12:L$35)*$E$6</f>
        <v>0</v>
      </c>
      <c r="K43" s="1203">
        <f>SUMIF('9.Инвестиционна програма'!$B$12:$B$35,$B43,'9.Инвестиционна програма'!M$12:M$35)*$E$6</f>
        <v>0</v>
      </c>
      <c r="L43" s="2689">
        <f>'11.2. ДА за периода'!L43</f>
        <v>0</v>
      </c>
      <c r="M43" s="1206">
        <f>SUMIF('9.Инвестиционна програма'!$B$37:$B$47,$B43,'9.Инвестиционна програма'!H$37:H$47)*$E$6</f>
        <v>0</v>
      </c>
      <c r="N43" s="1200">
        <f>SUMIF('9.Инвестиционна програма'!$B$37:$B$47,$B43,'9.Инвестиционна програма'!I$37:I$47)*$E$6</f>
        <v>0</v>
      </c>
      <c r="O43" s="1200">
        <f>SUMIF('9.Инвестиционна програма'!$B$37:$B$47,$B43,'9.Инвестиционна програма'!J$37:J$47)*$E$6</f>
        <v>0</v>
      </c>
      <c r="P43" s="1200">
        <f>SUMIF('9.Инвестиционна програма'!$B$37:$B$47,$B43,'9.Инвестиционна програма'!K$37:K$47)*$E$6</f>
        <v>0</v>
      </c>
      <c r="Q43" s="1200">
        <f>SUMIF('9.Инвестиционна програма'!$B$37:$B$47,$B43,'9.Инвестиционна програма'!L$37:L$47)*$E$6</f>
        <v>0</v>
      </c>
      <c r="R43" s="1201">
        <f>SUMIF('9.Инвестиционна програма'!$B$37:$B$47,$B43,'9.Инвестиционна програма'!M$37:M$47)*$E$6</f>
        <v>0</v>
      </c>
      <c r="S43" s="1087">
        <f>'11.2. ДА за периода'!S43</f>
        <v>0</v>
      </c>
      <c r="T43" s="881">
        <f>SUMIF('9.Инвестиционна програма'!$B$49:$B$56,$B43,'9.Инвестиционна програма'!H$49:H$56)*$E$6</f>
        <v>0</v>
      </c>
      <c r="U43" s="881">
        <f>SUMIF('9.Инвестиционна програма'!$B$49:$B$56,$B43,'9.Инвестиционна програма'!I$49:I$56)*$E$6</f>
        <v>0</v>
      </c>
      <c r="V43" s="881">
        <f>SUMIF('9.Инвестиционна програма'!$B$49:$B$56,$B43,'9.Инвестиционна програма'!J$49:J$56)*$E$6</f>
        <v>0</v>
      </c>
      <c r="W43" s="881">
        <f>SUMIF('9.Инвестиционна програма'!$B$49:$B$56,$B43,'9.Инвестиционна програма'!K$49:K$56)*$E$6</f>
        <v>0</v>
      </c>
      <c r="X43" s="881">
        <f>SUMIF('9.Инвестиционна програма'!$B$49:$B$56,$B43,'9.Инвестиционна програма'!L$49:L$56)*$E$6</f>
        <v>0</v>
      </c>
      <c r="Y43" s="2690">
        <f>SUMIF('9.Инвестиционна програма'!$B$49:$B$56,$B43,'9.Инвестиционна програма'!M$49:M$56)*$E$6</f>
        <v>0</v>
      </c>
      <c r="Z43" s="1087">
        <f>'11.2. ДА за периода'!Z43</f>
        <v>0</v>
      </c>
      <c r="AA43" s="881">
        <f>SUMIF('9.Инвестиционна програма'!$B$74:$B$97,$B43,'9.Инвестиционна програма'!H$74:H$97)*$E$6</f>
        <v>0</v>
      </c>
      <c r="AB43" s="881">
        <f>SUMIF('9.Инвестиционна програма'!$B$74:$B$97,$B43,'9.Инвестиционна програма'!I$74:I$97)*$E$6</f>
        <v>0</v>
      </c>
      <c r="AC43" s="881">
        <f>SUMIF('9.Инвестиционна програма'!$B$74:$B$97,$B43,'9.Инвестиционна програма'!J$74:J$97)*$E$6</f>
        <v>0</v>
      </c>
      <c r="AD43" s="881">
        <f>SUMIF('9.Инвестиционна програма'!$B$74:$B$97,$B43,'9.Инвестиционна програма'!K$74:K$97)*$E$6</f>
        <v>0</v>
      </c>
      <c r="AE43" s="881">
        <f>SUMIF('9.Инвестиционна програма'!$B$74:$B$97,$B43,'9.Инвестиционна програма'!L$74:L$97)*$E$6</f>
        <v>0</v>
      </c>
      <c r="AF43" s="881">
        <f>SUMIF('9.Инвестиционна програма'!$B$74:$B$97,$B43,'9.Инвестиционна програма'!M$74:M$97)*$E$6</f>
        <v>0</v>
      </c>
      <c r="AG43" s="1087">
        <f>'11.2. ДА за периода'!AG43</f>
        <v>0</v>
      </c>
      <c r="AH43" s="881">
        <f>SUMIF('9.Инвестиционна програма'!$B$100:$B$123,$B43,'9.Инвестиционна програма'!H$100:H$123)*$E$6</f>
        <v>0</v>
      </c>
      <c r="AI43" s="881">
        <f>SUMIF('9.Инвестиционна програма'!$B$100:$B$123,$B43,'9.Инвестиционна програма'!I$100:I$123)*$E$6</f>
        <v>0</v>
      </c>
      <c r="AJ43" s="881">
        <f>SUMIF('9.Инвестиционна програма'!$B$100:$B$123,$B43,'9.Инвестиционна програма'!J$100:J$123)*$E$6</f>
        <v>0</v>
      </c>
      <c r="AK43" s="881">
        <f>SUMIF('9.Инвестиционна програма'!$B$100:$B$123,$B43,'9.Инвестиционна програма'!K$100:K$123)*$E$6</f>
        <v>0</v>
      </c>
      <c r="AL43" s="881">
        <f>SUMIF('9.Инвестиционна програма'!$B$100:$B$123,$B43,'9.Инвестиционна програма'!L$100:L$123)*$E$6</f>
        <v>0</v>
      </c>
      <c r="AM43" s="881">
        <f>SUMIF('9.Инвестиционна програма'!$B$100:$B$123,$B43,'9.Инвестиционна програма'!M$100:M$123)*$E$6</f>
        <v>0</v>
      </c>
      <c r="AN43" s="1087">
        <f>'11.2. ДА за периода'!AN43</f>
        <v>0</v>
      </c>
      <c r="AO43" s="1206">
        <f>(SUMIF('9.Инвестиционна програма'!$B$58:$B$59,$B43,'9.Инвестиционна програма'!H$58:H$59)+SUMIF('9.Инвестиционна програма'!$B$61:$B$71,$B43,'9.Инвестиционна програма'!H$61:H$71))*$E$6</f>
        <v>0</v>
      </c>
      <c r="AP43" s="881">
        <f>(SUMIF('9.Инвестиционна програма'!$B$58:$B$59,$B43,'9.Инвестиционна програма'!I$58:I$59)+SUMIF('9.Инвестиционна програма'!$B$61:$B$71,$B43,'9.Инвестиционна програма'!I$61:I$71))*$E$6</f>
        <v>0</v>
      </c>
      <c r="AQ43" s="881">
        <f>(SUMIF('9.Инвестиционна програма'!$B$58:$B$59,$B43,'9.Инвестиционна програма'!J$58:J$59)+SUMIF('9.Инвестиционна програма'!$B$61:$B$71,$B43,'9.Инвестиционна програма'!J$61:J$71))*$E$6</f>
        <v>0</v>
      </c>
      <c r="AR43" s="881">
        <f>(SUMIF('9.Инвестиционна програма'!$B$58:$B$59,$B43,'9.Инвестиционна програма'!K$58:K$59)+SUMIF('9.Инвестиционна програма'!$B$61:$B$71,$B43,'9.Инвестиционна програма'!K$61:K$71))*$E$6</f>
        <v>0</v>
      </c>
      <c r="AS43" s="881">
        <f>(SUMIF('9.Инвестиционна програма'!$B$58:$B$59,$B43,'9.Инвестиционна програма'!L$58:L$59)+SUMIF('9.Инвестиционна програма'!$B$61:$B$71,$B43,'9.Инвестиционна програма'!L$61:L$71))*$E$6</f>
        <v>0</v>
      </c>
      <c r="AT43" s="2690">
        <f>(SUMIF('9.Инвестиционна програма'!$B$58:$B$59,$B43,'9.Инвестиционна програма'!M$58:M$59)+SUMIF('9.Инвестиционна програма'!$B$61:$B$71,$B43,'9.Инвестиционна програма'!M$61:M$71))*$E$6</f>
        <v>0</v>
      </c>
      <c r="AU43" s="4422"/>
      <c r="AV43" s="4438">
        <f t="shared" si="47"/>
        <v>0</v>
      </c>
      <c r="AW43" s="4438">
        <f t="shared" si="48"/>
        <v>0</v>
      </c>
      <c r="AX43" s="4438">
        <f t="shared" si="49"/>
        <v>0</v>
      </c>
      <c r="AY43" s="4438">
        <f t="shared" si="50"/>
        <v>0</v>
      </c>
      <c r="AZ43" s="4438">
        <f t="shared" si="51"/>
        <v>0</v>
      </c>
      <c r="BA43" s="4438">
        <f t="shared" si="52"/>
        <v>0</v>
      </c>
      <c r="BB43" s="4438">
        <f t="shared" si="53"/>
        <v>0</v>
      </c>
      <c r="BC43" s="4438">
        <f t="shared" si="54"/>
        <v>0</v>
      </c>
      <c r="BD43" s="4438">
        <f t="shared" si="55"/>
        <v>0</v>
      </c>
      <c r="BE43" s="4438">
        <f t="shared" si="56"/>
        <v>0</v>
      </c>
      <c r="BF43" s="4438">
        <f t="shared" si="57"/>
        <v>0</v>
      </c>
      <c r="BG43" s="4438">
        <f t="shared" si="58"/>
        <v>0</v>
      </c>
      <c r="BH43" s="4438">
        <f t="shared" si="59"/>
        <v>0</v>
      </c>
      <c r="BI43" s="4438">
        <f t="shared" si="60"/>
        <v>0</v>
      </c>
      <c r="BJ43" s="4438">
        <f t="shared" si="61"/>
        <v>0</v>
      </c>
      <c r="BK43" s="4438">
        <f t="shared" si="62"/>
        <v>0</v>
      </c>
      <c r="BL43" s="4438">
        <f t="shared" si="63"/>
        <v>0</v>
      </c>
      <c r="BM43" s="4438">
        <f t="shared" si="64"/>
        <v>0</v>
      </c>
      <c r="BN43" s="4438">
        <f t="shared" si="65"/>
        <v>0</v>
      </c>
      <c r="BO43" s="4438">
        <f t="shared" si="66"/>
        <v>0</v>
      </c>
      <c r="BP43" s="4438">
        <f t="shared" si="67"/>
        <v>0</v>
      </c>
      <c r="BQ43" s="4438">
        <f t="shared" si="68"/>
        <v>0</v>
      </c>
      <c r="BR43" s="4438">
        <f t="shared" si="69"/>
        <v>0</v>
      </c>
      <c r="BS43" s="4438">
        <f t="shared" si="70"/>
        <v>0</v>
      </c>
      <c r="BT43" s="4438">
        <f t="shared" si="71"/>
        <v>0</v>
      </c>
      <c r="BU43" s="4438">
        <f t="shared" si="72"/>
        <v>0</v>
      </c>
      <c r="BV43" s="4438">
        <f t="shared" si="73"/>
        <v>0</v>
      </c>
      <c r="BW43" s="4438">
        <f t="shared" si="74"/>
        <v>0</v>
      </c>
      <c r="BX43" s="4438">
        <f t="shared" si="75"/>
        <v>0</v>
      </c>
      <c r="BY43" s="4438">
        <f t="shared" si="76"/>
        <v>0</v>
      </c>
      <c r="BZ43" s="4438">
        <f t="shared" si="77"/>
        <v>0</v>
      </c>
      <c r="CA43" s="4438">
        <f t="shared" si="78"/>
        <v>0</v>
      </c>
      <c r="CB43" s="4438">
        <f t="shared" si="79"/>
        <v>0</v>
      </c>
      <c r="CC43" s="4438">
        <f t="shared" si="80"/>
        <v>0</v>
      </c>
      <c r="CD43" s="4438">
        <f t="shared" si="81"/>
        <v>0</v>
      </c>
      <c r="CE43" s="4438">
        <f t="shared" si="82"/>
        <v>0</v>
      </c>
      <c r="CF43" s="4438">
        <f t="shared" si="83"/>
        <v>0</v>
      </c>
      <c r="CG43" s="4438">
        <f t="shared" si="84"/>
        <v>0</v>
      </c>
      <c r="CH43" s="4438">
        <f t="shared" si="85"/>
        <v>0</v>
      </c>
      <c r="CI43" s="4438">
        <f t="shared" si="86"/>
        <v>0</v>
      </c>
      <c r="CJ43" s="4438">
        <f t="shared" si="87"/>
        <v>0</v>
      </c>
      <c r="CK43" s="4438">
        <f t="shared" si="88"/>
        <v>0</v>
      </c>
    </row>
    <row r="44" spans="1:89" ht="25.5">
      <c r="A44" s="2701"/>
      <c r="B44" s="3565" t="s">
        <v>1051</v>
      </c>
      <c r="C44" s="3548">
        <v>0.04</v>
      </c>
      <c r="D44" s="2714" t="s">
        <v>1052</v>
      </c>
      <c r="E44" s="2689">
        <f>'11.2. ДА за периода'!E44</f>
        <v>0</v>
      </c>
      <c r="F44" s="1202">
        <f>SUMIF('9.Инвестиционна програма'!$B$12:$B$35,$B44,'9.Инвестиционна програма'!H$12:H$35)*$E$6</f>
        <v>0</v>
      </c>
      <c r="G44" s="1198">
        <f>SUMIF('9.Инвестиционна програма'!$B$12:$B$35,$B44,'9.Инвестиционна програма'!I$12:I$35)*$E$6</f>
        <v>0</v>
      </c>
      <c r="H44" s="1198">
        <f>SUMIF('9.Инвестиционна програма'!$B$12:$B$35,$B44,'9.Инвестиционна програма'!J$12:J$35)*$E$6</f>
        <v>0</v>
      </c>
      <c r="I44" s="1198">
        <f>SUMIF('9.Инвестиционна програма'!$B$12:$B$35,$B44,'9.Инвестиционна програма'!K$12:K$35)*$E$6</f>
        <v>0</v>
      </c>
      <c r="J44" s="1198">
        <f>SUMIF('9.Инвестиционна програма'!$B$12:$B$35,$B44,'9.Инвестиционна програма'!L$12:L$35)*$E$6</f>
        <v>0</v>
      </c>
      <c r="K44" s="1203">
        <f>SUMIF('9.Инвестиционна програма'!$B$12:$B$35,$B44,'9.Инвестиционна програма'!M$12:M$35)*$E$6</f>
        <v>0</v>
      </c>
      <c r="L44" s="2689">
        <f>'11.2. ДА за периода'!L44</f>
        <v>0</v>
      </c>
      <c r="M44" s="1206">
        <f>SUMIF('9.Инвестиционна програма'!$B$37:$B$47,$B44,'9.Инвестиционна програма'!H$37:H$47)*$E$6</f>
        <v>0</v>
      </c>
      <c r="N44" s="1200">
        <f>SUMIF('9.Инвестиционна програма'!$B$37:$B$47,$B44,'9.Инвестиционна програма'!I$37:I$47)*$E$6</f>
        <v>0</v>
      </c>
      <c r="O44" s="1200">
        <f>SUMIF('9.Инвестиционна програма'!$B$37:$B$47,$B44,'9.Инвестиционна програма'!J$37:J$47)*$E$6</f>
        <v>0</v>
      </c>
      <c r="P44" s="1200">
        <f>SUMIF('9.Инвестиционна програма'!$B$37:$B$47,$B44,'9.Инвестиционна програма'!K$37:K$47)*$E$6</f>
        <v>0</v>
      </c>
      <c r="Q44" s="1200">
        <f>SUMIF('9.Инвестиционна програма'!$B$37:$B$47,$B44,'9.Инвестиционна програма'!L$37:L$47)*$E$6</f>
        <v>0</v>
      </c>
      <c r="R44" s="1201">
        <f>SUMIF('9.Инвестиционна програма'!$B$37:$B$47,$B44,'9.Инвестиционна програма'!M$37:M$47)*$E$6</f>
        <v>0</v>
      </c>
      <c r="S44" s="1087">
        <f>'11.2. ДА за периода'!S44</f>
        <v>12</v>
      </c>
      <c r="T44" s="881">
        <f>SUMIF('9.Инвестиционна програма'!$B$49:$B$56,$B44,'9.Инвестиционна програма'!H$49:H$56)*$E$6</f>
        <v>0</v>
      </c>
      <c r="U44" s="881">
        <f>SUMIF('9.Инвестиционна програма'!$B$49:$B$56,$B44,'9.Инвестиционна програма'!I$49:I$56)*$E$6</f>
        <v>0</v>
      </c>
      <c r="V44" s="881">
        <f>SUMIF('9.Инвестиционна програма'!$B$49:$B$56,$B44,'9.Инвестиционна програма'!J$49:J$56)*$E$6</f>
        <v>0</v>
      </c>
      <c r="W44" s="881">
        <f>SUMIF('9.Инвестиционна програма'!$B$49:$B$56,$B44,'9.Инвестиционна програма'!K$49:K$56)*$E$6</f>
        <v>0</v>
      </c>
      <c r="X44" s="881">
        <f>SUMIF('9.Инвестиционна програма'!$B$49:$B$56,$B44,'9.Инвестиционна програма'!L$49:L$56)*$E$6</f>
        <v>0</v>
      </c>
      <c r="Y44" s="2690">
        <f>SUMIF('9.Инвестиционна програма'!$B$49:$B$56,$B44,'9.Инвестиционна програма'!M$49:M$56)*$E$6</f>
        <v>0</v>
      </c>
      <c r="Z44" s="1087">
        <f>'11.2. ДА за периода'!Z44</f>
        <v>0</v>
      </c>
      <c r="AA44" s="881">
        <f>SUMIF('9.Инвестиционна програма'!$B$74:$B$97,$B44,'9.Инвестиционна програма'!H$74:H$97)*$E$6</f>
        <v>0</v>
      </c>
      <c r="AB44" s="881">
        <f>SUMIF('9.Инвестиционна програма'!$B$74:$B$97,$B44,'9.Инвестиционна програма'!I$74:I$97)*$E$6</f>
        <v>0</v>
      </c>
      <c r="AC44" s="881">
        <f>SUMIF('9.Инвестиционна програма'!$B$74:$B$97,$B44,'9.Инвестиционна програма'!J$74:J$97)*$E$6</f>
        <v>0</v>
      </c>
      <c r="AD44" s="881">
        <f>SUMIF('9.Инвестиционна програма'!$B$74:$B$97,$B44,'9.Инвестиционна програма'!K$74:K$97)*$E$6</f>
        <v>0</v>
      </c>
      <c r="AE44" s="881">
        <f>SUMIF('9.Инвестиционна програма'!$B$74:$B$97,$B44,'9.Инвестиционна програма'!L$74:L$97)*$E$6</f>
        <v>0</v>
      </c>
      <c r="AF44" s="881">
        <f>SUMIF('9.Инвестиционна програма'!$B$74:$B$97,$B44,'9.Инвестиционна програма'!M$74:M$97)*$E$6</f>
        <v>0</v>
      </c>
      <c r="AG44" s="1087">
        <f>'11.2. ДА за периода'!AG44</f>
        <v>0</v>
      </c>
      <c r="AH44" s="881">
        <f>SUMIF('9.Инвестиционна програма'!$B$100:$B$123,$B44,'9.Инвестиционна програма'!H$100:H$123)*$E$6</f>
        <v>0</v>
      </c>
      <c r="AI44" s="881">
        <f>SUMIF('9.Инвестиционна програма'!$B$100:$B$123,$B44,'9.Инвестиционна програма'!I$100:I$123)*$E$6</f>
        <v>0</v>
      </c>
      <c r="AJ44" s="881">
        <f>SUMIF('9.Инвестиционна програма'!$B$100:$B$123,$B44,'9.Инвестиционна програма'!J$100:J$123)*$E$6</f>
        <v>0</v>
      </c>
      <c r="AK44" s="881">
        <f>SUMIF('9.Инвестиционна програма'!$B$100:$B$123,$B44,'9.Инвестиционна програма'!K$100:K$123)*$E$6</f>
        <v>0</v>
      </c>
      <c r="AL44" s="881">
        <f>SUMIF('9.Инвестиционна програма'!$B$100:$B$123,$B44,'9.Инвестиционна програма'!L$100:L$123)*$E$6</f>
        <v>0</v>
      </c>
      <c r="AM44" s="881">
        <f>SUMIF('9.Инвестиционна програма'!$B$100:$B$123,$B44,'9.Инвестиционна програма'!M$100:M$123)*$E$6</f>
        <v>0</v>
      </c>
      <c r="AN44" s="1087">
        <f>'11.2. ДА за периода'!AN44</f>
        <v>0</v>
      </c>
      <c r="AO44" s="1206">
        <f>(SUMIF('9.Инвестиционна програма'!$B$58:$B$59,$B44,'9.Инвестиционна програма'!H$58:H$59)+SUMIF('9.Инвестиционна програма'!$B$61:$B$71,$B44,'9.Инвестиционна програма'!H$61:H$71))*$E$6</f>
        <v>0</v>
      </c>
      <c r="AP44" s="881">
        <f>(SUMIF('9.Инвестиционна програма'!$B$58:$B$59,$B44,'9.Инвестиционна програма'!I$58:I$59)+SUMIF('9.Инвестиционна програма'!$B$61:$B$71,$B44,'9.Инвестиционна програма'!I$61:I$71))*$E$6</f>
        <v>0</v>
      </c>
      <c r="AQ44" s="881">
        <f>(SUMIF('9.Инвестиционна програма'!$B$58:$B$59,$B44,'9.Инвестиционна програма'!J$58:J$59)+SUMIF('9.Инвестиционна програма'!$B$61:$B$71,$B44,'9.Инвестиционна програма'!J$61:J$71))*$E$6</f>
        <v>0</v>
      </c>
      <c r="AR44" s="881">
        <f>(SUMIF('9.Инвестиционна програма'!$B$58:$B$59,$B44,'9.Инвестиционна програма'!K$58:K$59)+SUMIF('9.Инвестиционна програма'!$B$61:$B$71,$B44,'9.Инвестиционна програма'!K$61:K$71))*$E$6</f>
        <v>0</v>
      </c>
      <c r="AS44" s="881">
        <f>(SUMIF('9.Инвестиционна програма'!$B$58:$B$59,$B44,'9.Инвестиционна програма'!L$58:L$59)+SUMIF('9.Инвестиционна програма'!$B$61:$B$71,$B44,'9.Инвестиционна програма'!L$61:L$71))*$E$6</f>
        <v>0</v>
      </c>
      <c r="AT44" s="2690">
        <f>(SUMIF('9.Инвестиционна програма'!$B$58:$B$59,$B44,'9.Инвестиционна програма'!M$58:M$59)+SUMIF('9.Инвестиционна програма'!$B$61:$B$71,$B44,'9.Инвестиционна програма'!M$61:M$71))*$E$6</f>
        <v>0</v>
      </c>
      <c r="AU44" s="4422"/>
      <c r="AV44" s="4438">
        <f t="shared" si="47"/>
        <v>0</v>
      </c>
      <c r="AW44" s="4438">
        <f t="shared" si="48"/>
        <v>0</v>
      </c>
      <c r="AX44" s="4438">
        <f t="shared" si="49"/>
        <v>0</v>
      </c>
      <c r="AY44" s="4438">
        <f t="shared" si="50"/>
        <v>0</v>
      </c>
      <c r="AZ44" s="4438">
        <f t="shared" si="51"/>
        <v>0</v>
      </c>
      <c r="BA44" s="4438">
        <f t="shared" si="52"/>
        <v>0</v>
      </c>
      <c r="BB44" s="4438">
        <f t="shared" si="53"/>
        <v>0</v>
      </c>
      <c r="BC44" s="4438">
        <f t="shared" si="54"/>
        <v>0</v>
      </c>
      <c r="BD44" s="4438">
        <f t="shared" si="55"/>
        <v>0</v>
      </c>
      <c r="BE44" s="4438">
        <f t="shared" si="56"/>
        <v>0</v>
      </c>
      <c r="BF44" s="4438">
        <f t="shared" si="57"/>
        <v>0</v>
      </c>
      <c r="BG44" s="4438">
        <f t="shared" si="58"/>
        <v>0</v>
      </c>
      <c r="BH44" s="4438">
        <f t="shared" si="59"/>
        <v>0</v>
      </c>
      <c r="BI44" s="4438">
        <f t="shared" si="60"/>
        <v>0</v>
      </c>
      <c r="BJ44" s="4438">
        <f t="shared" si="61"/>
        <v>6.1355025743546223</v>
      </c>
      <c r="BK44" s="4438">
        <f t="shared" si="62"/>
        <v>0</v>
      </c>
      <c r="BL44" s="4438">
        <f t="shared" si="63"/>
        <v>0</v>
      </c>
      <c r="BM44" s="4438">
        <f t="shared" si="64"/>
        <v>0</v>
      </c>
      <c r="BN44" s="4438">
        <f t="shared" si="65"/>
        <v>0</v>
      </c>
      <c r="BO44" s="4438">
        <f t="shared" si="66"/>
        <v>0</v>
      </c>
      <c r="BP44" s="4438">
        <f t="shared" si="67"/>
        <v>0</v>
      </c>
      <c r="BQ44" s="4438">
        <f t="shared" si="68"/>
        <v>0</v>
      </c>
      <c r="BR44" s="4438">
        <f t="shared" si="69"/>
        <v>0</v>
      </c>
      <c r="BS44" s="4438">
        <f t="shared" si="70"/>
        <v>0</v>
      </c>
      <c r="BT44" s="4438">
        <f t="shared" si="71"/>
        <v>0</v>
      </c>
      <c r="BU44" s="4438">
        <f t="shared" si="72"/>
        <v>0</v>
      </c>
      <c r="BV44" s="4438">
        <f t="shared" si="73"/>
        <v>0</v>
      </c>
      <c r="BW44" s="4438">
        <f t="shared" si="74"/>
        <v>0</v>
      </c>
      <c r="BX44" s="4438">
        <f t="shared" si="75"/>
        <v>0</v>
      </c>
      <c r="BY44" s="4438">
        <f t="shared" si="76"/>
        <v>0</v>
      </c>
      <c r="BZ44" s="4438">
        <f t="shared" si="77"/>
        <v>0</v>
      </c>
      <c r="CA44" s="4438">
        <f t="shared" si="78"/>
        <v>0</v>
      </c>
      <c r="CB44" s="4438">
        <f t="shared" si="79"/>
        <v>0</v>
      </c>
      <c r="CC44" s="4438">
        <f t="shared" si="80"/>
        <v>0</v>
      </c>
      <c r="CD44" s="4438">
        <f t="shared" si="81"/>
        <v>0</v>
      </c>
      <c r="CE44" s="4438">
        <f t="shared" si="82"/>
        <v>0</v>
      </c>
      <c r="CF44" s="4438">
        <f t="shared" si="83"/>
        <v>0</v>
      </c>
      <c r="CG44" s="4438">
        <f t="shared" si="84"/>
        <v>0</v>
      </c>
      <c r="CH44" s="4438">
        <f t="shared" si="85"/>
        <v>0</v>
      </c>
      <c r="CI44" s="4438">
        <f t="shared" si="86"/>
        <v>0</v>
      </c>
      <c r="CJ44" s="4438">
        <f t="shared" si="87"/>
        <v>0</v>
      </c>
      <c r="CK44" s="4438">
        <f t="shared" si="88"/>
        <v>0</v>
      </c>
    </row>
    <row r="45" spans="1:89">
      <c r="A45" s="2694">
        <v>5</v>
      </c>
      <c r="B45" s="3562">
        <v>205</v>
      </c>
      <c r="C45" s="3545"/>
      <c r="D45" s="2695" t="s">
        <v>212</v>
      </c>
      <c r="E45" s="2715">
        <f>SUM(E46:E49)</f>
        <v>0</v>
      </c>
      <c r="F45" s="2716">
        <f>SUM(F46:F49)</f>
        <v>80</v>
      </c>
      <c r="G45" s="2717">
        <f>SUM(G46:G49)</f>
        <v>990</v>
      </c>
      <c r="H45" s="2717">
        <f t="shared" ref="H45:K45" si="99">SUM(H46:H49)</f>
        <v>536</v>
      </c>
      <c r="I45" s="2717">
        <f t="shared" si="99"/>
        <v>536</v>
      </c>
      <c r="J45" s="2717">
        <f t="shared" si="99"/>
        <v>536</v>
      </c>
      <c r="K45" s="2718">
        <f t="shared" si="99"/>
        <v>536</v>
      </c>
      <c r="L45" s="2715">
        <f>SUM(L46:L49)</f>
        <v>0</v>
      </c>
      <c r="M45" s="2697">
        <f>SUM(M46:M49)</f>
        <v>10</v>
      </c>
      <c r="N45" s="2698">
        <f>SUM(N46:N49)</f>
        <v>0</v>
      </c>
      <c r="O45" s="2698">
        <f t="shared" ref="O45:R45" si="100">SUM(O46:O49)</f>
        <v>0</v>
      </c>
      <c r="P45" s="2698">
        <f t="shared" si="100"/>
        <v>0</v>
      </c>
      <c r="Q45" s="2698">
        <f t="shared" si="100"/>
        <v>0</v>
      </c>
      <c r="R45" s="2699">
        <f t="shared" si="100"/>
        <v>0</v>
      </c>
      <c r="S45" s="2719">
        <f>SUM(S46:S49)</f>
        <v>0</v>
      </c>
      <c r="T45" s="2720">
        <f>SUM(T46:T49)</f>
        <v>0</v>
      </c>
      <c r="U45" s="2717">
        <f>SUM(U46:U49)</f>
        <v>0</v>
      </c>
      <c r="V45" s="2717">
        <f t="shared" ref="V45:Y45" si="101">SUM(V46:V49)</f>
        <v>0</v>
      </c>
      <c r="W45" s="2717">
        <f t="shared" si="101"/>
        <v>0</v>
      </c>
      <c r="X45" s="2717">
        <f t="shared" si="101"/>
        <v>0</v>
      </c>
      <c r="Y45" s="2718">
        <f t="shared" si="101"/>
        <v>0</v>
      </c>
      <c r="Z45" s="2719">
        <f>SUM(Z46:Z49)</f>
        <v>0</v>
      </c>
      <c r="AA45" s="2720">
        <f>SUM(AA46:AA49)</f>
        <v>0</v>
      </c>
      <c r="AB45" s="2717">
        <f>SUM(AB46:AB49)</f>
        <v>0</v>
      </c>
      <c r="AC45" s="2717">
        <f t="shared" ref="AC45:AF45" si="102">SUM(AC46:AC49)</f>
        <v>0</v>
      </c>
      <c r="AD45" s="2717">
        <f t="shared" si="102"/>
        <v>0</v>
      </c>
      <c r="AE45" s="2717">
        <f t="shared" si="102"/>
        <v>0</v>
      </c>
      <c r="AF45" s="2718">
        <f t="shared" si="102"/>
        <v>0</v>
      </c>
      <c r="AG45" s="2719">
        <f>SUM(AG46:AG49)</f>
        <v>0</v>
      </c>
      <c r="AH45" s="2720">
        <f>SUM(AH46:AH49)</f>
        <v>0</v>
      </c>
      <c r="AI45" s="2717">
        <f>SUM(AI46:AI49)</f>
        <v>0</v>
      </c>
      <c r="AJ45" s="2717">
        <f t="shared" ref="AJ45:AM45" si="103">SUM(AJ46:AJ49)</f>
        <v>0</v>
      </c>
      <c r="AK45" s="2717">
        <f t="shared" si="103"/>
        <v>0</v>
      </c>
      <c r="AL45" s="2717">
        <f t="shared" si="103"/>
        <v>0</v>
      </c>
      <c r="AM45" s="2718">
        <f t="shared" si="103"/>
        <v>0</v>
      </c>
      <c r="AN45" s="2719">
        <f>SUM(AN46:AN49)</f>
        <v>0</v>
      </c>
      <c r="AO45" s="2700">
        <f>SUM(AO46:AO49)</f>
        <v>30</v>
      </c>
      <c r="AP45" s="2698">
        <f>SUM(AP46:AP49)</f>
        <v>0</v>
      </c>
      <c r="AQ45" s="2698">
        <f t="shared" ref="AQ45:AT45" si="104">SUM(AQ46:AQ49)</f>
        <v>0</v>
      </c>
      <c r="AR45" s="2698">
        <f t="shared" si="104"/>
        <v>0</v>
      </c>
      <c r="AS45" s="2698">
        <f t="shared" si="104"/>
        <v>0</v>
      </c>
      <c r="AT45" s="2699">
        <f t="shared" si="104"/>
        <v>0</v>
      </c>
      <c r="AU45" s="4422"/>
      <c r="AV45" s="4438">
        <f t="shared" si="47"/>
        <v>0</v>
      </c>
      <c r="AW45" s="4438">
        <f t="shared" si="48"/>
        <v>40.903350495697481</v>
      </c>
      <c r="AX45" s="4438">
        <f t="shared" si="49"/>
        <v>506.17896238425629</v>
      </c>
      <c r="AY45" s="4438">
        <f t="shared" si="50"/>
        <v>274.05244832117313</v>
      </c>
      <c r="AZ45" s="4438">
        <f t="shared" si="51"/>
        <v>274.05244832117313</v>
      </c>
      <c r="BA45" s="4438">
        <f t="shared" si="52"/>
        <v>274.05244832117313</v>
      </c>
      <c r="BB45" s="4438">
        <f t="shared" si="53"/>
        <v>274.05244832117313</v>
      </c>
      <c r="BC45" s="4438">
        <f t="shared" si="54"/>
        <v>0</v>
      </c>
      <c r="BD45" s="4438">
        <f t="shared" si="55"/>
        <v>5.1129188119621851</v>
      </c>
      <c r="BE45" s="4438">
        <f t="shared" si="56"/>
        <v>0</v>
      </c>
      <c r="BF45" s="4438">
        <f t="shared" si="57"/>
        <v>0</v>
      </c>
      <c r="BG45" s="4438">
        <f t="shared" si="58"/>
        <v>0</v>
      </c>
      <c r="BH45" s="4438">
        <f t="shared" si="59"/>
        <v>0</v>
      </c>
      <c r="BI45" s="4438">
        <f t="shared" si="60"/>
        <v>0</v>
      </c>
      <c r="BJ45" s="4438">
        <f t="shared" si="61"/>
        <v>0</v>
      </c>
      <c r="BK45" s="4438">
        <f t="shared" si="62"/>
        <v>0</v>
      </c>
      <c r="BL45" s="4438">
        <f t="shared" si="63"/>
        <v>0</v>
      </c>
      <c r="BM45" s="4438">
        <f t="shared" si="64"/>
        <v>0</v>
      </c>
      <c r="BN45" s="4438">
        <f t="shared" si="65"/>
        <v>0</v>
      </c>
      <c r="BO45" s="4438">
        <f t="shared" si="66"/>
        <v>0</v>
      </c>
      <c r="BP45" s="4438">
        <f t="shared" si="67"/>
        <v>0</v>
      </c>
      <c r="BQ45" s="4438">
        <f t="shared" si="68"/>
        <v>0</v>
      </c>
      <c r="BR45" s="4438">
        <f t="shared" si="69"/>
        <v>0</v>
      </c>
      <c r="BS45" s="4438">
        <f t="shared" si="70"/>
        <v>0</v>
      </c>
      <c r="BT45" s="4438">
        <f t="shared" si="71"/>
        <v>0</v>
      </c>
      <c r="BU45" s="4438">
        <f t="shared" si="72"/>
        <v>0</v>
      </c>
      <c r="BV45" s="4438">
        <f t="shared" si="73"/>
        <v>0</v>
      </c>
      <c r="BW45" s="4438">
        <f t="shared" si="74"/>
        <v>0</v>
      </c>
      <c r="BX45" s="4438">
        <f t="shared" si="75"/>
        <v>0</v>
      </c>
      <c r="BY45" s="4438">
        <f t="shared" si="76"/>
        <v>0</v>
      </c>
      <c r="BZ45" s="4438">
        <f t="shared" si="77"/>
        <v>0</v>
      </c>
      <c r="CA45" s="4438">
        <f t="shared" si="78"/>
        <v>0</v>
      </c>
      <c r="CB45" s="4438">
        <f t="shared" si="79"/>
        <v>0</v>
      </c>
      <c r="CC45" s="4438">
        <f t="shared" si="80"/>
        <v>0</v>
      </c>
      <c r="CD45" s="4438">
        <f t="shared" si="81"/>
        <v>0</v>
      </c>
      <c r="CE45" s="4438">
        <f t="shared" si="82"/>
        <v>0</v>
      </c>
      <c r="CF45" s="4438">
        <f t="shared" si="83"/>
        <v>15.338756435886555</v>
      </c>
      <c r="CG45" s="4438">
        <f t="shared" si="84"/>
        <v>0</v>
      </c>
      <c r="CH45" s="4438">
        <f t="shared" si="85"/>
        <v>0</v>
      </c>
      <c r="CI45" s="4438">
        <f t="shared" si="86"/>
        <v>0</v>
      </c>
      <c r="CJ45" s="4438">
        <f t="shared" si="87"/>
        <v>0</v>
      </c>
      <c r="CK45" s="4438">
        <f t="shared" si="88"/>
        <v>0</v>
      </c>
    </row>
    <row r="46" spans="1:89">
      <c r="A46" s="2721"/>
      <c r="B46" s="3566">
        <v>20501</v>
      </c>
      <c r="C46" s="3549">
        <v>0.08</v>
      </c>
      <c r="D46" s="2722" t="s">
        <v>563</v>
      </c>
      <c r="E46" s="2689">
        <f>'11.2. ДА за периода'!E46</f>
        <v>0</v>
      </c>
      <c r="F46" s="1202">
        <f>SUMIF('9.Инвестиционна програма'!$B$12:$B$35,$B46,'9.Инвестиционна програма'!H$12:H$35)*$E$6</f>
        <v>50</v>
      </c>
      <c r="G46" s="1198">
        <f>SUMIF('9.Инвестиционна програма'!$B$12:$B$35,$B46,'9.Инвестиционна програма'!I$12:I$35)*$E$6</f>
        <v>990</v>
      </c>
      <c r="H46" s="1198">
        <f>SUMIF('9.Инвестиционна програма'!$B$12:$B$35,$B46,'9.Инвестиционна програма'!J$12:J$35)*$E$6</f>
        <v>536</v>
      </c>
      <c r="I46" s="1198">
        <f>SUMIF('9.Инвестиционна програма'!$B$12:$B$35,$B46,'9.Инвестиционна програма'!K$12:K$35)*$E$6</f>
        <v>536</v>
      </c>
      <c r="J46" s="1198">
        <f>SUMIF('9.Инвестиционна програма'!$B$12:$B$35,$B46,'9.Инвестиционна програма'!L$12:L$35)*$E$6</f>
        <v>536</v>
      </c>
      <c r="K46" s="1203">
        <f>SUMIF('9.Инвестиционна програма'!$B$12:$B$35,$B46,'9.Инвестиционна програма'!M$12:M$35)*$E$6</f>
        <v>536</v>
      </c>
      <c r="L46" s="2689">
        <f>'11.2. ДА за периода'!L46</f>
        <v>0</v>
      </c>
      <c r="M46" s="1206">
        <f>SUMIF('9.Инвестиционна програма'!$B$37:$B$47,$B46,'9.Инвестиционна програма'!H$37:H$47)*$E$6</f>
        <v>0</v>
      </c>
      <c r="N46" s="1200">
        <f>SUMIF('9.Инвестиционна програма'!$B$37:$B$47,$B46,'9.Инвестиционна програма'!I$37:I$47)*$E$6</f>
        <v>0</v>
      </c>
      <c r="O46" s="1200">
        <f>SUMIF('9.Инвестиционна програма'!$B$37:$B$47,$B46,'9.Инвестиционна програма'!J$37:J$47)*$E$6</f>
        <v>0</v>
      </c>
      <c r="P46" s="1200">
        <f>SUMIF('9.Инвестиционна програма'!$B$37:$B$47,$B46,'9.Инвестиционна програма'!K$37:K$47)*$E$6</f>
        <v>0</v>
      </c>
      <c r="Q46" s="1200">
        <f>SUMIF('9.Инвестиционна програма'!$B$37:$B$47,$B46,'9.Инвестиционна програма'!L$37:L$47)*$E$6</f>
        <v>0</v>
      </c>
      <c r="R46" s="1201">
        <f>SUMIF('9.Инвестиционна програма'!$B$37:$B$47,$B46,'9.Инвестиционна програма'!M$37:M$47)*$E$6</f>
        <v>0</v>
      </c>
      <c r="S46" s="1087">
        <f>'11.2. ДА за периода'!S46</f>
        <v>0</v>
      </c>
      <c r="T46" s="881">
        <f>SUMIF('9.Инвестиционна програма'!$B$49:$B$56,$B46,'9.Инвестиционна програма'!H$49:H$56)*$E$6</f>
        <v>0</v>
      </c>
      <c r="U46" s="881">
        <f>SUMIF('9.Инвестиционна програма'!$B$49:$B$56,$B46,'9.Инвестиционна програма'!I$49:I$56)*$E$6</f>
        <v>0</v>
      </c>
      <c r="V46" s="881">
        <f>SUMIF('9.Инвестиционна програма'!$B$49:$B$56,$B46,'9.Инвестиционна програма'!J$49:J$56)*$E$6</f>
        <v>0</v>
      </c>
      <c r="W46" s="881">
        <f>SUMIF('9.Инвестиционна програма'!$B$49:$B$56,$B46,'9.Инвестиционна програма'!K$49:K$56)*$E$6</f>
        <v>0</v>
      </c>
      <c r="X46" s="881">
        <f>SUMIF('9.Инвестиционна програма'!$B$49:$B$56,$B46,'9.Инвестиционна програма'!L$49:L$56)*$E$6</f>
        <v>0</v>
      </c>
      <c r="Y46" s="2690">
        <f>SUMIF('9.Инвестиционна програма'!$B$49:$B$56,$B46,'9.Инвестиционна програма'!M$49:M$56)*$E$6</f>
        <v>0</v>
      </c>
      <c r="Z46" s="1087">
        <f>'11.2. ДА за периода'!Z46</f>
        <v>0</v>
      </c>
      <c r="AA46" s="881">
        <f>SUMIF('9.Инвестиционна програма'!$B$74:$B$97,$B46,'9.Инвестиционна програма'!H$74:H$97)*$E$6</f>
        <v>0</v>
      </c>
      <c r="AB46" s="881">
        <f>SUMIF('9.Инвестиционна програма'!$B$74:$B$97,$B46,'9.Инвестиционна програма'!I$74:I$97)*$E$6</f>
        <v>0</v>
      </c>
      <c r="AC46" s="881">
        <f>SUMIF('9.Инвестиционна програма'!$B$74:$B$97,$B46,'9.Инвестиционна програма'!J$74:J$97)*$E$6</f>
        <v>0</v>
      </c>
      <c r="AD46" s="881">
        <f>SUMIF('9.Инвестиционна програма'!$B$74:$B$97,$B46,'9.Инвестиционна програма'!K$74:K$97)*$E$6</f>
        <v>0</v>
      </c>
      <c r="AE46" s="881">
        <f>SUMIF('9.Инвестиционна програма'!$B$74:$B$97,$B46,'9.Инвестиционна програма'!L$74:L$97)*$E$6</f>
        <v>0</v>
      </c>
      <c r="AF46" s="881">
        <f>SUMIF('9.Инвестиционна програма'!$B$74:$B$97,$B46,'9.Инвестиционна програма'!M$74:M$97)*$E$6</f>
        <v>0</v>
      </c>
      <c r="AG46" s="1087">
        <f>'11.2. ДА за периода'!AG46</f>
        <v>0</v>
      </c>
      <c r="AH46" s="881">
        <f>SUMIF('9.Инвестиционна програма'!$B$100:$B$123,$B46,'9.Инвестиционна програма'!H$100:H$123)*$E$6</f>
        <v>0</v>
      </c>
      <c r="AI46" s="881">
        <f>SUMIF('9.Инвестиционна програма'!$B$100:$B$123,$B46,'9.Инвестиционна програма'!I$100:I$123)*$E$6</f>
        <v>0</v>
      </c>
      <c r="AJ46" s="881">
        <f>SUMIF('9.Инвестиционна програма'!$B$100:$B$123,$B46,'9.Инвестиционна програма'!J$100:J$123)*$E$6</f>
        <v>0</v>
      </c>
      <c r="AK46" s="881">
        <f>SUMIF('9.Инвестиционна програма'!$B$100:$B$123,$B46,'9.Инвестиционна програма'!K$100:K$123)*$E$6</f>
        <v>0</v>
      </c>
      <c r="AL46" s="881">
        <f>SUMIF('9.Инвестиционна програма'!$B$100:$B$123,$B46,'9.Инвестиционна програма'!L$100:L$123)*$E$6</f>
        <v>0</v>
      </c>
      <c r="AM46" s="881">
        <f>SUMIF('9.Инвестиционна програма'!$B$100:$B$123,$B46,'9.Инвестиционна програма'!M$100:M$123)*$E$6</f>
        <v>0</v>
      </c>
      <c r="AN46" s="1087">
        <f>'11.2. ДА за периода'!AN46</f>
        <v>0</v>
      </c>
      <c r="AO46" s="1206">
        <f>(SUMIF('9.Инвестиционна програма'!$B$58:$B$59,$B46,'9.Инвестиционна програма'!H$58:H$59)+SUMIF('9.Инвестиционна програма'!$B$61:$B$71,$B46,'9.Инвестиционна програма'!H$61:H$71))*$E$6</f>
        <v>0</v>
      </c>
      <c r="AP46" s="881">
        <f>(SUMIF('9.Инвестиционна програма'!$B$58:$B$59,$B46,'9.Инвестиционна програма'!I$58:I$59)+SUMIF('9.Инвестиционна програма'!$B$61:$B$71,$B46,'9.Инвестиционна програма'!I$61:I$71))*$E$6</f>
        <v>0</v>
      </c>
      <c r="AQ46" s="881">
        <f>(SUMIF('9.Инвестиционна програма'!$B$58:$B$59,$B46,'9.Инвестиционна програма'!J$58:J$59)+SUMIF('9.Инвестиционна програма'!$B$61:$B$71,$B46,'9.Инвестиционна програма'!J$61:J$71))*$E$6</f>
        <v>0</v>
      </c>
      <c r="AR46" s="881">
        <f>(SUMIF('9.Инвестиционна програма'!$B$58:$B$59,$B46,'9.Инвестиционна програма'!K$58:K$59)+SUMIF('9.Инвестиционна програма'!$B$61:$B$71,$B46,'9.Инвестиционна програма'!K$61:K$71))*$E$6</f>
        <v>0</v>
      </c>
      <c r="AS46" s="881">
        <f>(SUMIF('9.Инвестиционна програма'!$B$58:$B$59,$B46,'9.Инвестиционна програма'!L$58:L$59)+SUMIF('9.Инвестиционна програма'!$B$61:$B$71,$B46,'9.Инвестиционна програма'!L$61:L$71))*$E$6</f>
        <v>0</v>
      </c>
      <c r="AT46" s="2690">
        <f>(SUMIF('9.Инвестиционна програма'!$B$58:$B$59,$B46,'9.Инвестиционна програма'!M$58:M$59)+SUMIF('9.Инвестиционна програма'!$B$61:$B$71,$B46,'9.Инвестиционна програма'!M$61:M$71))*$E$6</f>
        <v>0</v>
      </c>
      <c r="AU46" s="4422"/>
      <c r="AV46" s="4438">
        <f t="shared" si="47"/>
        <v>0</v>
      </c>
      <c r="AW46" s="4438">
        <f t="shared" si="48"/>
        <v>25.564594059810926</v>
      </c>
      <c r="AX46" s="4438">
        <f t="shared" si="49"/>
        <v>506.17896238425629</v>
      </c>
      <c r="AY46" s="4438">
        <f t="shared" si="50"/>
        <v>274.05244832117313</v>
      </c>
      <c r="AZ46" s="4438">
        <f t="shared" si="51"/>
        <v>274.05244832117313</v>
      </c>
      <c r="BA46" s="4438">
        <f t="shared" si="52"/>
        <v>274.05244832117313</v>
      </c>
      <c r="BB46" s="4438">
        <f t="shared" si="53"/>
        <v>274.05244832117313</v>
      </c>
      <c r="BC46" s="4438">
        <f t="shared" si="54"/>
        <v>0</v>
      </c>
      <c r="BD46" s="4438">
        <f t="shared" si="55"/>
        <v>0</v>
      </c>
      <c r="BE46" s="4438">
        <f t="shared" si="56"/>
        <v>0</v>
      </c>
      <c r="BF46" s="4438">
        <f t="shared" si="57"/>
        <v>0</v>
      </c>
      <c r="BG46" s="4438">
        <f t="shared" si="58"/>
        <v>0</v>
      </c>
      <c r="BH46" s="4438">
        <f t="shared" si="59"/>
        <v>0</v>
      </c>
      <c r="BI46" s="4438">
        <f t="shared" si="60"/>
        <v>0</v>
      </c>
      <c r="BJ46" s="4438">
        <f t="shared" si="61"/>
        <v>0</v>
      </c>
      <c r="BK46" s="4438">
        <f t="shared" si="62"/>
        <v>0</v>
      </c>
      <c r="BL46" s="4438">
        <f t="shared" si="63"/>
        <v>0</v>
      </c>
      <c r="BM46" s="4438">
        <f t="shared" si="64"/>
        <v>0</v>
      </c>
      <c r="BN46" s="4438">
        <f t="shared" si="65"/>
        <v>0</v>
      </c>
      <c r="BO46" s="4438">
        <f t="shared" si="66"/>
        <v>0</v>
      </c>
      <c r="BP46" s="4438">
        <f t="shared" si="67"/>
        <v>0</v>
      </c>
      <c r="BQ46" s="4438">
        <f t="shared" si="68"/>
        <v>0</v>
      </c>
      <c r="BR46" s="4438">
        <f t="shared" si="69"/>
        <v>0</v>
      </c>
      <c r="BS46" s="4438">
        <f t="shared" si="70"/>
        <v>0</v>
      </c>
      <c r="BT46" s="4438">
        <f t="shared" si="71"/>
        <v>0</v>
      </c>
      <c r="BU46" s="4438">
        <f t="shared" si="72"/>
        <v>0</v>
      </c>
      <c r="BV46" s="4438">
        <f t="shared" si="73"/>
        <v>0</v>
      </c>
      <c r="BW46" s="4438">
        <f t="shared" si="74"/>
        <v>0</v>
      </c>
      <c r="BX46" s="4438">
        <f t="shared" si="75"/>
        <v>0</v>
      </c>
      <c r="BY46" s="4438">
        <f t="shared" si="76"/>
        <v>0</v>
      </c>
      <c r="BZ46" s="4438">
        <f t="shared" si="77"/>
        <v>0</v>
      </c>
      <c r="CA46" s="4438">
        <f t="shared" si="78"/>
        <v>0</v>
      </c>
      <c r="CB46" s="4438">
        <f t="shared" si="79"/>
        <v>0</v>
      </c>
      <c r="CC46" s="4438">
        <f t="shared" si="80"/>
        <v>0</v>
      </c>
      <c r="CD46" s="4438">
        <f t="shared" si="81"/>
        <v>0</v>
      </c>
      <c r="CE46" s="4438">
        <f t="shared" si="82"/>
        <v>0</v>
      </c>
      <c r="CF46" s="4438">
        <f t="shared" si="83"/>
        <v>0</v>
      </c>
      <c r="CG46" s="4438">
        <f t="shared" si="84"/>
        <v>0</v>
      </c>
      <c r="CH46" s="4438">
        <f t="shared" si="85"/>
        <v>0</v>
      </c>
      <c r="CI46" s="4438">
        <f t="shared" si="86"/>
        <v>0</v>
      </c>
      <c r="CJ46" s="4438">
        <f t="shared" si="87"/>
        <v>0</v>
      </c>
      <c r="CK46" s="4438">
        <f t="shared" si="88"/>
        <v>0</v>
      </c>
    </row>
    <row r="47" spans="1:89">
      <c r="A47" s="2721"/>
      <c r="B47" s="3566">
        <v>20502</v>
      </c>
      <c r="C47" s="3549">
        <v>0.1</v>
      </c>
      <c r="D47" s="2722" t="s">
        <v>411</v>
      </c>
      <c r="E47" s="2689">
        <f>'11.2. ДА за периода'!E47</f>
        <v>0</v>
      </c>
      <c r="F47" s="1202">
        <f>SUMIF('9.Инвестиционна програма'!$B$12:$B$35,$B47,'9.Инвестиционна програма'!H$12:H$35)*$E$6</f>
        <v>30</v>
      </c>
      <c r="G47" s="1198">
        <f>SUMIF('9.Инвестиционна програма'!$B$12:$B$35,$B47,'9.Инвестиционна програма'!I$12:I$35)*$E$6</f>
        <v>0</v>
      </c>
      <c r="H47" s="1198">
        <f>SUMIF('9.Инвестиционна програма'!$B$12:$B$35,$B47,'9.Инвестиционна програма'!J$12:J$35)*$E$6</f>
        <v>0</v>
      </c>
      <c r="I47" s="1198">
        <f>SUMIF('9.Инвестиционна програма'!$B$12:$B$35,$B47,'9.Инвестиционна програма'!K$12:K$35)*$E$6</f>
        <v>0</v>
      </c>
      <c r="J47" s="1198">
        <f>SUMIF('9.Инвестиционна програма'!$B$12:$B$35,$B47,'9.Инвестиционна програма'!L$12:L$35)*$E$6</f>
        <v>0</v>
      </c>
      <c r="K47" s="1203">
        <f>SUMIF('9.Инвестиционна програма'!$B$12:$B$35,$B47,'9.Инвестиционна програма'!M$12:M$35)*$E$6</f>
        <v>0</v>
      </c>
      <c r="L47" s="2689">
        <f>'11.2. ДА за периода'!L47</f>
        <v>0</v>
      </c>
      <c r="M47" s="1206">
        <f>SUMIF('9.Инвестиционна програма'!$B$37:$B$47,$B47,'9.Инвестиционна програма'!H$37:H$47)*$E$6</f>
        <v>10</v>
      </c>
      <c r="N47" s="1200">
        <f>SUMIF('9.Инвестиционна програма'!$B$37:$B$47,$B47,'9.Инвестиционна програма'!I$37:I$47)*$E$6</f>
        <v>0</v>
      </c>
      <c r="O47" s="1200">
        <f>SUMIF('9.Инвестиционна програма'!$B$37:$B$47,$B47,'9.Инвестиционна програма'!J$37:J$47)*$E$6</f>
        <v>0</v>
      </c>
      <c r="P47" s="1200">
        <f>SUMIF('9.Инвестиционна програма'!$B$37:$B$47,$B47,'9.Инвестиционна програма'!K$37:K$47)*$E$6</f>
        <v>0</v>
      </c>
      <c r="Q47" s="1200">
        <f>SUMIF('9.Инвестиционна програма'!$B$37:$B$47,$B47,'9.Инвестиционна програма'!L$37:L$47)*$E$6</f>
        <v>0</v>
      </c>
      <c r="R47" s="1201">
        <f>SUMIF('9.Инвестиционна програма'!$B$37:$B$47,$B47,'9.Инвестиционна програма'!M$37:M$47)*$E$6</f>
        <v>0</v>
      </c>
      <c r="S47" s="1087">
        <f>'11.2. ДА за периода'!S47</f>
        <v>0</v>
      </c>
      <c r="T47" s="881">
        <f>SUMIF('9.Инвестиционна програма'!$B$49:$B$56,$B47,'9.Инвестиционна програма'!H$49:H$56)*$E$6</f>
        <v>0</v>
      </c>
      <c r="U47" s="881">
        <f>SUMIF('9.Инвестиционна програма'!$B$49:$B$56,$B47,'9.Инвестиционна програма'!I$49:I$56)*$E$6</f>
        <v>0</v>
      </c>
      <c r="V47" s="881">
        <f>SUMIF('9.Инвестиционна програма'!$B$49:$B$56,$B47,'9.Инвестиционна програма'!J$49:J$56)*$E$6</f>
        <v>0</v>
      </c>
      <c r="W47" s="881">
        <f>SUMIF('9.Инвестиционна програма'!$B$49:$B$56,$B47,'9.Инвестиционна програма'!K$49:K$56)*$E$6</f>
        <v>0</v>
      </c>
      <c r="X47" s="881">
        <f>SUMIF('9.Инвестиционна програма'!$B$49:$B$56,$B47,'9.Инвестиционна програма'!L$49:L$56)*$E$6</f>
        <v>0</v>
      </c>
      <c r="Y47" s="2690">
        <f>SUMIF('9.Инвестиционна програма'!$B$49:$B$56,$B47,'9.Инвестиционна програма'!M$49:M$56)*$E$6</f>
        <v>0</v>
      </c>
      <c r="Z47" s="1087">
        <f>'11.2. ДА за периода'!Z47</f>
        <v>0</v>
      </c>
      <c r="AA47" s="881">
        <f>SUMIF('9.Инвестиционна програма'!$B$74:$B$97,$B47,'9.Инвестиционна програма'!H$74:H$97)*$E$6</f>
        <v>0</v>
      </c>
      <c r="AB47" s="881">
        <f>SUMIF('9.Инвестиционна програма'!$B$74:$B$97,$B47,'9.Инвестиционна програма'!I$74:I$97)*$E$6</f>
        <v>0</v>
      </c>
      <c r="AC47" s="881">
        <f>SUMIF('9.Инвестиционна програма'!$B$74:$B$97,$B47,'9.Инвестиционна програма'!J$74:J$97)*$E$6</f>
        <v>0</v>
      </c>
      <c r="AD47" s="881">
        <f>SUMIF('9.Инвестиционна програма'!$B$74:$B$97,$B47,'9.Инвестиционна програма'!K$74:K$97)*$E$6</f>
        <v>0</v>
      </c>
      <c r="AE47" s="881">
        <f>SUMIF('9.Инвестиционна програма'!$B$74:$B$97,$B47,'9.Инвестиционна програма'!L$74:L$97)*$E$6</f>
        <v>0</v>
      </c>
      <c r="AF47" s="881">
        <f>SUMIF('9.Инвестиционна програма'!$B$74:$B$97,$B47,'9.Инвестиционна програма'!M$74:M$97)*$E$6</f>
        <v>0</v>
      </c>
      <c r="AG47" s="1087">
        <f>'11.2. ДА за периода'!AG47</f>
        <v>0</v>
      </c>
      <c r="AH47" s="881">
        <f>SUMIF('9.Инвестиционна програма'!$B$100:$B$123,$B47,'9.Инвестиционна програма'!H$100:H$123)*$E$6</f>
        <v>0</v>
      </c>
      <c r="AI47" s="881">
        <f>SUMIF('9.Инвестиционна програма'!$B$100:$B$123,$B47,'9.Инвестиционна програма'!I$100:I$123)*$E$6</f>
        <v>0</v>
      </c>
      <c r="AJ47" s="881">
        <f>SUMIF('9.Инвестиционна програма'!$B$100:$B$123,$B47,'9.Инвестиционна програма'!J$100:J$123)*$E$6</f>
        <v>0</v>
      </c>
      <c r="AK47" s="881">
        <f>SUMIF('9.Инвестиционна програма'!$B$100:$B$123,$B47,'9.Инвестиционна програма'!K$100:K$123)*$E$6</f>
        <v>0</v>
      </c>
      <c r="AL47" s="881">
        <f>SUMIF('9.Инвестиционна програма'!$B$100:$B$123,$B47,'9.Инвестиционна програма'!L$100:L$123)*$E$6</f>
        <v>0</v>
      </c>
      <c r="AM47" s="881">
        <f>SUMIF('9.Инвестиционна програма'!$B$100:$B$123,$B47,'9.Инвестиционна програма'!M$100:M$123)*$E$6</f>
        <v>0</v>
      </c>
      <c r="AN47" s="1087">
        <f>'11.2. ДА за периода'!AN47</f>
        <v>0</v>
      </c>
      <c r="AO47" s="1206">
        <f>(SUMIF('9.Инвестиционна програма'!$B$58:$B$59,$B47,'9.Инвестиционна програма'!H$58:H$59)+SUMIF('9.Инвестиционна програма'!$B$61:$B$71,$B47,'9.Инвестиционна програма'!H$61:H$71))*$E$6</f>
        <v>10</v>
      </c>
      <c r="AP47" s="881">
        <f>(SUMIF('9.Инвестиционна програма'!$B$58:$B$59,$B47,'9.Инвестиционна програма'!I$58:I$59)+SUMIF('9.Инвестиционна програма'!$B$61:$B$71,$B47,'9.Инвестиционна програма'!I$61:I$71))*$E$6</f>
        <v>0</v>
      </c>
      <c r="AQ47" s="881">
        <f>(SUMIF('9.Инвестиционна програма'!$B$58:$B$59,$B47,'9.Инвестиционна програма'!J$58:J$59)+SUMIF('9.Инвестиционна програма'!$B$61:$B$71,$B47,'9.Инвестиционна програма'!J$61:J$71))*$E$6</f>
        <v>0</v>
      </c>
      <c r="AR47" s="881">
        <f>(SUMIF('9.Инвестиционна програма'!$B$58:$B$59,$B47,'9.Инвестиционна програма'!K$58:K$59)+SUMIF('9.Инвестиционна програма'!$B$61:$B$71,$B47,'9.Инвестиционна програма'!K$61:K$71))*$E$6</f>
        <v>0</v>
      </c>
      <c r="AS47" s="881">
        <f>(SUMIF('9.Инвестиционна програма'!$B$58:$B$59,$B47,'9.Инвестиционна програма'!L$58:L$59)+SUMIF('9.Инвестиционна програма'!$B$61:$B$71,$B47,'9.Инвестиционна програма'!L$61:L$71))*$E$6</f>
        <v>0</v>
      </c>
      <c r="AT47" s="2690">
        <f>(SUMIF('9.Инвестиционна програма'!$B$58:$B$59,$B47,'9.Инвестиционна програма'!M$58:M$59)+SUMIF('9.Инвестиционна програма'!$B$61:$B$71,$B47,'9.Инвестиционна програма'!M$61:M$71))*$E$6</f>
        <v>0</v>
      </c>
      <c r="AU47" s="4422"/>
      <c r="AV47" s="4438">
        <f t="shared" si="47"/>
        <v>0</v>
      </c>
      <c r="AW47" s="4438">
        <f t="shared" si="48"/>
        <v>15.338756435886555</v>
      </c>
      <c r="AX47" s="4438">
        <f t="shared" si="49"/>
        <v>0</v>
      </c>
      <c r="AY47" s="4438">
        <f t="shared" si="50"/>
        <v>0</v>
      </c>
      <c r="AZ47" s="4438">
        <f t="shared" si="51"/>
        <v>0</v>
      </c>
      <c r="BA47" s="4438">
        <f t="shared" si="52"/>
        <v>0</v>
      </c>
      <c r="BB47" s="4438">
        <f t="shared" si="53"/>
        <v>0</v>
      </c>
      <c r="BC47" s="4438">
        <f t="shared" si="54"/>
        <v>0</v>
      </c>
      <c r="BD47" s="4438">
        <f t="shared" si="55"/>
        <v>5.1129188119621851</v>
      </c>
      <c r="BE47" s="4438">
        <f t="shared" si="56"/>
        <v>0</v>
      </c>
      <c r="BF47" s="4438">
        <f t="shared" si="57"/>
        <v>0</v>
      </c>
      <c r="BG47" s="4438">
        <f t="shared" si="58"/>
        <v>0</v>
      </c>
      <c r="BH47" s="4438">
        <f t="shared" si="59"/>
        <v>0</v>
      </c>
      <c r="BI47" s="4438">
        <f t="shared" si="60"/>
        <v>0</v>
      </c>
      <c r="BJ47" s="4438">
        <f t="shared" si="61"/>
        <v>0</v>
      </c>
      <c r="BK47" s="4438">
        <f t="shared" si="62"/>
        <v>0</v>
      </c>
      <c r="BL47" s="4438">
        <f t="shared" si="63"/>
        <v>0</v>
      </c>
      <c r="BM47" s="4438">
        <f t="shared" si="64"/>
        <v>0</v>
      </c>
      <c r="BN47" s="4438">
        <f t="shared" si="65"/>
        <v>0</v>
      </c>
      <c r="BO47" s="4438">
        <f t="shared" si="66"/>
        <v>0</v>
      </c>
      <c r="BP47" s="4438">
        <f t="shared" si="67"/>
        <v>0</v>
      </c>
      <c r="BQ47" s="4438">
        <f t="shared" si="68"/>
        <v>0</v>
      </c>
      <c r="BR47" s="4438">
        <f t="shared" si="69"/>
        <v>0</v>
      </c>
      <c r="BS47" s="4438">
        <f t="shared" si="70"/>
        <v>0</v>
      </c>
      <c r="BT47" s="4438">
        <f t="shared" si="71"/>
        <v>0</v>
      </c>
      <c r="BU47" s="4438">
        <f t="shared" si="72"/>
        <v>0</v>
      </c>
      <c r="BV47" s="4438">
        <f t="shared" si="73"/>
        <v>0</v>
      </c>
      <c r="BW47" s="4438">
        <f t="shared" si="74"/>
        <v>0</v>
      </c>
      <c r="BX47" s="4438">
        <f t="shared" si="75"/>
        <v>0</v>
      </c>
      <c r="BY47" s="4438">
        <f t="shared" si="76"/>
        <v>0</v>
      </c>
      <c r="BZ47" s="4438">
        <f t="shared" si="77"/>
        <v>0</v>
      </c>
      <c r="CA47" s="4438">
        <f t="shared" si="78"/>
        <v>0</v>
      </c>
      <c r="CB47" s="4438">
        <f t="shared" si="79"/>
        <v>0</v>
      </c>
      <c r="CC47" s="4438">
        <f t="shared" si="80"/>
        <v>0</v>
      </c>
      <c r="CD47" s="4438">
        <f t="shared" si="81"/>
        <v>0</v>
      </c>
      <c r="CE47" s="4438">
        <f t="shared" si="82"/>
        <v>0</v>
      </c>
      <c r="CF47" s="4438">
        <f t="shared" si="83"/>
        <v>5.1129188119621851</v>
      </c>
      <c r="CG47" s="4438">
        <f t="shared" si="84"/>
        <v>0</v>
      </c>
      <c r="CH47" s="4438">
        <f t="shared" si="85"/>
        <v>0</v>
      </c>
      <c r="CI47" s="4438">
        <f t="shared" si="86"/>
        <v>0</v>
      </c>
      <c r="CJ47" s="4438">
        <f t="shared" si="87"/>
        <v>0</v>
      </c>
      <c r="CK47" s="4438">
        <f t="shared" si="88"/>
        <v>0</v>
      </c>
    </row>
    <row r="48" spans="1:89">
      <c r="A48" s="2721"/>
      <c r="B48" s="3566">
        <v>20503</v>
      </c>
      <c r="C48" s="3549">
        <v>0.1</v>
      </c>
      <c r="D48" s="2704" t="s">
        <v>412</v>
      </c>
      <c r="E48" s="2689">
        <f>'11.2. ДА за периода'!E48</f>
        <v>0</v>
      </c>
      <c r="F48" s="1202">
        <f>SUMIF('9.Инвестиционна програма'!$B$12:$B$35,$B48,'9.Инвестиционна програма'!H$12:H$35)*$E$6</f>
        <v>0</v>
      </c>
      <c r="G48" s="1198">
        <f>SUMIF('9.Инвестиционна програма'!$B$12:$B$35,$B48,'9.Инвестиционна програма'!I$12:I$35)*$E$6</f>
        <v>0</v>
      </c>
      <c r="H48" s="1198">
        <f>SUMIF('9.Инвестиционна програма'!$B$12:$B$35,$B48,'9.Инвестиционна програма'!J$12:J$35)*$E$6</f>
        <v>0</v>
      </c>
      <c r="I48" s="1198">
        <f>SUMIF('9.Инвестиционна програма'!$B$12:$B$35,$B48,'9.Инвестиционна програма'!K$12:K$35)*$E$6</f>
        <v>0</v>
      </c>
      <c r="J48" s="1198">
        <f>SUMIF('9.Инвестиционна програма'!$B$12:$B$35,$B48,'9.Инвестиционна програма'!L$12:L$35)*$E$6</f>
        <v>0</v>
      </c>
      <c r="K48" s="1203">
        <f>SUMIF('9.Инвестиционна програма'!$B$12:$B$35,$B48,'9.Инвестиционна програма'!M$12:M$35)*$E$6</f>
        <v>0</v>
      </c>
      <c r="L48" s="2689">
        <f>'11.2. ДА за периода'!L48</f>
        <v>0</v>
      </c>
      <c r="M48" s="1206">
        <f>SUMIF('9.Инвестиционна програма'!$B$37:$B$47,$B48,'9.Инвестиционна програма'!H$37:H$47)*$E$6</f>
        <v>0</v>
      </c>
      <c r="N48" s="1200">
        <f>SUMIF('9.Инвестиционна програма'!$B$37:$B$47,$B48,'9.Инвестиционна програма'!I$37:I$47)*$E$6</f>
        <v>0</v>
      </c>
      <c r="O48" s="1200">
        <f>SUMIF('9.Инвестиционна програма'!$B$37:$B$47,$B48,'9.Инвестиционна програма'!J$37:J$47)*$E$6</f>
        <v>0</v>
      </c>
      <c r="P48" s="1200">
        <f>SUMIF('9.Инвестиционна програма'!$B$37:$B$47,$B48,'9.Инвестиционна програма'!K$37:K$47)*$E$6</f>
        <v>0</v>
      </c>
      <c r="Q48" s="1200">
        <f>SUMIF('9.Инвестиционна програма'!$B$37:$B$47,$B48,'9.Инвестиционна програма'!L$37:L$47)*$E$6</f>
        <v>0</v>
      </c>
      <c r="R48" s="1201">
        <f>SUMIF('9.Инвестиционна програма'!$B$37:$B$47,$B48,'9.Инвестиционна програма'!M$37:M$47)*$E$6</f>
        <v>0</v>
      </c>
      <c r="S48" s="1087">
        <f>'11.2. ДА за периода'!S48</f>
        <v>0</v>
      </c>
      <c r="T48" s="881">
        <f>SUMIF('9.Инвестиционна програма'!$B$49:$B$56,$B48,'9.Инвестиционна програма'!H$49:H$56)*$E$6</f>
        <v>0</v>
      </c>
      <c r="U48" s="881">
        <f>SUMIF('9.Инвестиционна програма'!$B$49:$B$56,$B48,'9.Инвестиционна програма'!I$49:I$56)*$E$6</f>
        <v>0</v>
      </c>
      <c r="V48" s="881">
        <f>SUMIF('9.Инвестиционна програма'!$B$49:$B$56,$B48,'9.Инвестиционна програма'!J$49:J$56)*$E$6</f>
        <v>0</v>
      </c>
      <c r="W48" s="881">
        <f>SUMIF('9.Инвестиционна програма'!$B$49:$B$56,$B48,'9.Инвестиционна програма'!K$49:K$56)*$E$6</f>
        <v>0</v>
      </c>
      <c r="X48" s="881">
        <f>SUMIF('9.Инвестиционна програма'!$B$49:$B$56,$B48,'9.Инвестиционна програма'!L$49:L$56)*$E$6</f>
        <v>0</v>
      </c>
      <c r="Y48" s="2690">
        <f>SUMIF('9.Инвестиционна програма'!$B$49:$B$56,$B48,'9.Инвестиционна програма'!M$49:M$56)*$E$6</f>
        <v>0</v>
      </c>
      <c r="Z48" s="1087">
        <f>'11.2. ДА за периода'!Z48</f>
        <v>0</v>
      </c>
      <c r="AA48" s="881">
        <f>SUMIF('9.Инвестиционна програма'!$B$74:$B$97,$B48,'9.Инвестиционна програма'!H$74:H$97)*$E$6</f>
        <v>0</v>
      </c>
      <c r="AB48" s="881">
        <f>SUMIF('9.Инвестиционна програма'!$B$74:$B$97,$B48,'9.Инвестиционна програма'!I$74:I$97)*$E$6</f>
        <v>0</v>
      </c>
      <c r="AC48" s="881">
        <f>SUMIF('9.Инвестиционна програма'!$B$74:$B$97,$B48,'9.Инвестиционна програма'!J$74:J$97)*$E$6</f>
        <v>0</v>
      </c>
      <c r="AD48" s="881">
        <f>SUMIF('9.Инвестиционна програма'!$B$74:$B$97,$B48,'9.Инвестиционна програма'!K$74:K$97)*$E$6</f>
        <v>0</v>
      </c>
      <c r="AE48" s="881">
        <f>SUMIF('9.Инвестиционна програма'!$B$74:$B$97,$B48,'9.Инвестиционна програма'!L$74:L$97)*$E$6</f>
        <v>0</v>
      </c>
      <c r="AF48" s="881">
        <f>SUMIF('9.Инвестиционна програма'!$B$74:$B$97,$B48,'9.Инвестиционна програма'!M$74:M$97)*$E$6</f>
        <v>0</v>
      </c>
      <c r="AG48" s="1087">
        <f>'11.2. ДА за периода'!AG48</f>
        <v>0</v>
      </c>
      <c r="AH48" s="881">
        <f>SUMIF('9.Инвестиционна програма'!$B$100:$B$123,$B48,'9.Инвестиционна програма'!H$100:H$123)*$E$6</f>
        <v>0</v>
      </c>
      <c r="AI48" s="881">
        <f>SUMIF('9.Инвестиционна програма'!$B$100:$B$123,$B48,'9.Инвестиционна програма'!I$100:I$123)*$E$6</f>
        <v>0</v>
      </c>
      <c r="AJ48" s="881">
        <f>SUMIF('9.Инвестиционна програма'!$B$100:$B$123,$B48,'9.Инвестиционна програма'!J$100:J$123)*$E$6</f>
        <v>0</v>
      </c>
      <c r="AK48" s="881">
        <f>SUMIF('9.Инвестиционна програма'!$B$100:$B$123,$B48,'9.Инвестиционна програма'!K$100:K$123)*$E$6</f>
        <v>0</v>
      </c>
      <c r="AL48" s="881">
        <f>SUMIF('9.Инвестиционна програма'!$B$100:$B$123,$B48,'9.Инвестиционна програма'!L$100:L$123)*$E$6</f>
        <v>0</v>
      </c>
      <c r="AM48" s="881">
        <f>SUMIF('9.Инвестиционна програма'!$B$100:$B$123,$B48,'9.Инвестиционна програма'!M$100:M$123)*$E$6</f>
        <v>0</v>
      </c>
      <c r="AN48" s="1087">
        <f>'11.2. ДА за периода'!AN48</f>
        <v>0</v>
      </c>
      <c r="AO48" s="1206">
        <f>(SUMIF('9.Инвестиционна програма'!$B$58:$B$59,$B48,'9.Инвестиционна програма'!H$58:H$59)+SUMIF('9.Инвестиционна програма'!$B$61:$B$71,$B48,'9.Инвестиционна програма'!H$61:H$71))*$E$6</f>
        <v>20</v>
      </c>
      <c r="AP48" s="881">
        <f>(SUMIF('9.Инвестиционна програма'!$B$58:$B$59,$B48,'9.Инвестиционна програма'!I$58:I$59)+SUMIF('9.Инвестиционна програма'!$B$61:$B$71,$B48,'9.Инвестиционна програма'!I$61:I$71))*$E$6</f>
        <v>0</v>
      </c>
      <c r="AQ48" s="881">
        <f>(SUMIF('9.Инвестиционна програма'!$B$58:$B$59,$B48,'9.Инвестиционна програма'!J$58:J$59)+SUMIF('9.Инвестиционна програма'!$B$61:$B$71,$B48,'9.Инвестиционна програма'!J$61:J$71))*$E$6</f>
        <v>0</v>
      </c>
      <c r="AR48" s="881">
        <f>(SUMIF('9.Инвестиционна програма'!$B$58:$B$59,$B48,'9.Инвестиционна програма'!K$58:K$59)+SUMIF('9.Инвестиционна програма'!$B$61:$B$71,$B48,'9.Инвестиционна програма'!K$61:K$71))*$E$6</f>
        <v>0</v>
      </c>
      <c r="AS48" s="881">
        <f>(SUMIF('9.Инвестиционна програма'!$B$58:$B$59,$B48,'9.Инвестиционна програма'!L$58:L$59)+SUMIF('9.Инвестиционна програма'!$B$61:$B$71,$B48,'9.Инвестиционна програма'!L$61:L$71))*$E$6</f>
        <v>0</v>
      </c>
      <c r="AT48" s="2690">
        <f>(SUMIF('9.Инвестиционна програма'!$B$58:$B$59,$B48,'9.Инвестиционна програма'!M$58:M$59)+SUMIF('9.Инвестиционна програма'!$B$61:$B$71,$B48,'9.Инвестиционна програма'!M$61:M$71))*$E$6</f>
        <v>0</v>
      </c>
      <c r="AU48" s="4422"/>
      <c r="AV48" s="4438">
        <f t="shared" si="47"/>
        <v>0</v>
      </c>
      <c r="AW48" s="4438">
        <f t="shared" si="48"/>
        <v>0</v>
      </c>
      <c r="AX48" s="4438">
        <f t="shared" si="49"/>
        <v>0</v>
      </c>
      <c r="AY48" s="4438">
        <f t="shared" si="50"/>
        <v>0</v>
      </c>
      <c r="AZ48" s="4438">
        <f t="shared" si="51"/>
        <v>0</v>
      </c>
      <c r="BA48" s="4438">
        <f t="shared" si="52"/>
        <v>0</v>
      </c>
      <c r="BB48" s="4438">
        <f t="shared" si="53"/>
        <v>0</v>
      </c>
      <c r="BC48" s="4438">
        <f t="shared" si="54"/>
        <v>0</v>
      </c>
      <c r="BD48" s="4438">
        <f t="shared" si="55"/>
        <v>0</v>
      </c>
      <c r="BE48" s="4438">
        <f t="shared" si="56"/>
        <v>0</v>
      </c>
      <c r="BF48" s="4438">
        <f t="shared" si="57"/>
        <v>0</v>
      </c>
      <c r="BG48" s="4438">
        <f t="shared" si="58"/>
        <v>0</v>
      </c>
      <c r="BH48" s="4438">
        <f t="shared" si="59"/>
        <v>0</v>
      </c>
      <c r="BI48" s="4438">
        <f t="shared" si="60"/>
        <v>0</v>
      </c>
      <c r="BJ48" s="4438">
        <f t="shared" si="61"/>
        <v>0</v>
      </c>
      <c r="BK48" s="4438">
        <f t="shared" si="62"/>
        <v>0</v>
      </c>
      <c r="BL48" s="4438">
        <f t="shared" si="63"/>
        <v>0</v>
      </c>
      <c r="BM48" s="4438">
        <f t="shared" si="64"/>
        <v>0</v>
      </c>
      <c r="BN48" s="4438">
        <f t="shared" si="65"/>
        <v>0</v>
      </c>
      <c r="BO48" s="4438">
        <f t="shared" si="66"/>
        <v>0</v>
      </c>
      <c r="BP48" s="4438">
        <f t="shared" si="67"/>
        <v>0</v>
      </c>
      <c r="BQ48" s="4438">
        <f t="shared" si="68"/>
        <v>0</v>
      </c>
      <c r="BR48" s="4438">
        <f t="shared" si="69"/>
        <v>0</v>
      </c>
      <c r="BS48" s="4438">
        <f t="shared" si="70"/>
        <v>0</v>
      </c>
      <c r="BT48" s="4438">
        <f t="shared" si="71"/>
        <v>0</v>
      </c>
      <c r="BU48" s="4438">
        <f t="shared" si="72"/>
        <v>0</v>
      </c>
      <c r="BV48" s="4438">
        <f t="shared" si="73"/>
        <v>0</v>
      </c>
      <c r="BW48" s="4438">
        <f t="shared" si="74"/>
        <v>0</v>
      </c>
      <c r="BX48" s="4438">
        <f t="shared" si="75"/>
        <v>0</v>
      </c>
      <c r="BY48" s="4438">
        <f t="shared" si="76"/>
        <v>0</v>
      </c>
      <c r="BZ48" s="4438">
        <f t="shared" si="77"/>
        <v>0</v>
      </c>
      <c r="CA48" s="4438">
        <f t="shared" si="78"/>
        <v>0</v>
      </c>
      <c r="CB48" s="4438">
        <f t="shared" si="79"/>
        <v>0</v>
      </c>
      <c r="CC48" s="4438">
        <f t="shared" si="80"/>
        <v>0</v>
      </c>
      <c r="CD48" s="4438">
        <f t="shared" si="81"/>
        <v>0</v>
      </c>
      <c r="CE48" s="4438">
        <f t="shared" si="82"/>
        <v>0</v>
      </c>
      <c r="CF48" s="4438">
        <f t="shared" si="83"/>
        <v>10.22583762392437</v>
      </c>
      <c r="CG48" s="4438">
        <f t="shared" si="84"/>
        <v>0</v>
      </c>
      <c r="CH48" s="4438">
        <f t="shared" si="85"/>
        <v>0</v>
      </c>
      <c r="CI48" s="4438">
        <f t="shared" si="86"/>
        <v>0</v>
      </c>
      <c r="CJ48" s="4438">
        <f t="shared" si="87"/>
        <v>0</v>
      </c>
      <c r="CK48" s="4438">
        <f t="shared" si="88"/>
        <v>0</v>
      </c>
    </row>
    <row r="49" spans="1:89">
      <c r="A49" s="2721"/>
      <c r="B49" s="3566">
        <v>20504</v>
      </c>
      <c r="C49" s="3549">
        <v>0.1</v>
      </c>
      <c r="D49" s="2704" t="s">
        <v>557</v>
      </c>
      <c r="E49" s="2689">
        <f>'11.2. ДА за периода'!E49</f>
        <v>0</v>
      </c>
      <c r="F49" s="1202">
        <f>SUMIF('9.Инвестиционна програма'!$B$12:$B$35,$B49,'9.Инвестиционна програма'!H$12:H$35)*$E$6</f>
        <v>0</v>
      </c>
      <c r="G49" s="1198">
        <f>SUMIF('9.Инвестиционна програма'!$B$12:$B$35,$B49,'9.Инвестиционна програма'!I$12:I$35)*$E$6</f>
        <v>0</v>
      </c>
      <c r="H49" s="1198">
        <f>SUMIF('9.Инвестиционна програма'!$B$12:$B$35,$B49,'9.Инвестиционна програма'!J$12:J$35)*$E$6</f>
        <v>0</v>
      </c>
      <c r="I49" s="1198">
        <f>SUMIF('9.Инвестиционна програма'!$B$12:$B$35,$B49,'9.Инвестиционна програма'!K$12:K$35)*$E$6</f>
        <v>0</v>
      </c>
      <c r="J49" s="1198">
        <f>SUMIF('9.Инвестиционна програма'!$B$12:$B$35,$B49,'9.Инвестиционна програма'!L$12:L$35)*$E$6</f>
        <v>0</v>
      </c>
      <c r="K49" s="1203">
        <f>SUMIF('9.Инвестиционна програма'!$B$12:$B$35,$B49,'9.Инвестиционна програма'!M$12:M$35)*$E$6</f>
        <v>0</v>
      </c>
      <c r="L49" s="2689">
        <f>'11.2. ДА за периода'!L49</f>
        <v>0</v>
      </c>
      <c r="M49" s="1206">
        <f>SUMIF('9.Инвестиционна програма'!$B$37:$B$47,$B49,'9.Инвестиционна програма'!H$37:H$47)*$E$6</f>
        <v>0</v>
      </c>
      <c r="N49" s="1200">
        <f>SUMIF('9.Инвестиционна програма'!$B$37:$B$47,$B49,'9.Инвестиционна програма'!I$37:I$47)*$E$6</f>
        <v>0</v>
      </c>
      <c r="O49" s="1200">
        <f>SUMIF('9.Инвестиционна програма'!$B$37:$B$47,$B49,'9.Инвестиционна програма'!J$37:J$47)*$E$6</f>
        <v>0</v>
      </c>
      <c r="P49" s="1200">
        <f>SUMIF('9.Инвестиционна програма'!$B$37:$B$47,$B49,'9.Инвестиционна програма'!K$37:K$47)*$E$6</f>
        <v>0</v>
      </c>
      <c r="Q49" s="1200">
        <f>SUMIF('9.Инвестиционна програма'!$B$37:$B$47,$B49,'9.Инвестиционна програма'!L$37:L$47)*$E$6</f>
        <v>0</v>
      </c>
      <c r="R49" s="1201">
        <f>SUMIF('9.Инвестиционна програма'!$B$37:$B$47,$B49,'9.Инвестиционна програма'!M$37:M$47)*$E$6</f>
        <v>0</v>
      </c>
      <c r="S49" s="1087">
        <f>'11.2. ДА за периода'!S49</f>
        <v>0</v>
      </c>
      <c r="T49" s="881">
        <f>SUMIF('9.Инвестиционна програма'!$B$49:$B$56,$B49,'9.Инвестиционна програма'!H$49:H$56)*$E$6</f>
        <v>0</v>
      </c>
      <c r="U49" s="881">
        <f>SUMIF('9.Инвестиционна програма'!$B$49:$B$56,$B49,'9.Инвестиционна програма'!I$49:I$56)*$E$6</f>
        <v>0</v>
      </c>
      <c r="V49" s="881">
        <f>SUMIF('9.Инвестиционна програма'!$B$49:$B$56,$B49,'9.Инвестиционна програма'!J$49:J$56)*$E$6</f>
        <v>0</v>
      </c>
      <c r="W49" s="881">
        <f>SUMIF('9.Инвестиционна програма'!$B$49:$B$56,$B49,'9.Инвестиционна програма'!K$49:K$56)*$E$6</f>
        <v>0</v>
      </c>
      <c r="X49" s="881">
        <f>SUMIF('9.Инвестиционна програма'!$B$49:$B$56,$B49,'9.Инвестиционна програма'!L$49:L$56)*$E$6</f>
        <v>0</v>
      </c>
      <c r="Y49" s="2690">
        <f>SUMIF('9.Инвестиционна програма'!$B$49:$B$56,$B49,'9.Инвестиционна програма'!M$49:M$56)*$E$6</f>
        <v>0</v>
      </c>
      <c r="Z49" s="1087">
        <f>'11.2. ДА за периода'!Z49</f>
        <v>0</v>
      </c>
      <c r="AA49" s="881">
        <f>SUMIF('9.Инвестиционна програма'!$B$74:$B$97,$B49,'9.Инвестиционна програма'!H$74:H$97)*$E$6</f>
        <v>0</v>
      </c>
      <c r="AB49" s="881">
        <f>SUMIF('9.Инвестиционна програма'!$B$74:$B$97,$B49,'9.Инвестиционна програма'!I$74:I$97)*$E$6</f>
        <v>0</v>
      </c>
      <c r="AC49" s="881">
        <f>SUMIF('9.Инвестиционна програма'!$B$74:$B$97,$B49,'9.Инвестиционна програма'!J$74:J$97)*$E$6</f>
        <v>0</v>
      </c>
      <c r="AD49" s="881">
        <f>SUMIF('9.Инвестиционна програма'!$B$74:$B$97,$B49,'9.Инвестиционна програма'!K$74:K$97)*$E$6</f>
        <v>0</v>
      </c>
      <c r="AE49" s="881">
        <f>SUMIF('9.Инвестиционна програма'!$B$74:$B$97,$B49,'9.Инвестиционна програма'!L$74:L$97)*$E$6</f>
        <v>0</v>
      </c>
      <c r="AF49" s="881">
        <f>SUMIF('9.Инвестиционна програма'!$B$74:$B$97,$B49,'9.Инвестиционна програма'!M$74:M$97)*$E$6</f>
        <v>0</v>
      </c>
      <c r="AG49" s="1087">
        <f>'11.2. ДА за периода'!AG49</f>
        <v>0</v>
      </c>
      <c r="AH49" s="881">
        <f>SUMIF('9.Инвестиционна програма'!$B$100:$B$123,$B49,'9.Инвестиционна програма'!H$100:H$123)*$E$6</f>
        <v>0</v>
      </c>
      <c r="AI49" s="881">
        <f>SUMIF('9.Инвестиционна програма'!$B$100:$B$123,$B49,'9.Инвестиционна програма'!I$100:I$123)*$E$6</f>
        <v>0</v>
      </c>
      <c r="AJ49" s="881">
        <f>SUMIF('9.Инвестиционна програма'!$B$100:$B$123,$B49,'9.Инвестиционна програма'!J$100:J$123)*$E$6</f>
        <v>0</v>
      </c>
      <c r="AK49" s="881">
        <f>SUMIF('9.Инвестиционна програма'!$B$100:$B$123,$B49,'9.Инвестиционна програма'!K$100:K$123)*$E$6</f>
        <v>0</v>
      </c>
      <c r="AL49" s="881">
        <f>SUMIF('9.Инвестиционна програма'!$B$100:$B$123,$B49,'9.Инвестиционна програма'!L$100:L$123)*$E$6</f>
        <v>0</v>
      </c>
      <c r="AM49" s="881">
        <f>SUMIF('9.Инвестиционна програма'!$B$100:$B$123,$B49,'9.Инвестиционна програма'!M$100:M$123)*$E$6</f>
        <v>0</v>
      </c>
      <c r="AN49" s="1087">
        <f>'11.2. ДА за периода'!AN49</f>
        <v>0</v>
      </c>
      <c r="AO49" s="1206">
        <f>(SUMIF('9.Инвестиционна програма'!$B$58:$B$59,$B49,'9.Инвестиционна програма'!H$58:H$59)+SUMIF('9.Инвестиционна програма'!$B$61:$B$71,$B49,'9.Инвестиционна програма'!H$61:H$71))*$E$6</f>
        <v>0</v>
      </c>
      <c r="AP49" s="881">
        <f>(SUMIF('9.Инвестиционна програма'!$B$58:$B$59,$B49,'9.Инвестиционна програма'!I$58:I$59)+SUMIF('9.Инвестиционна програма'!$B$61:$B$71,$B49,'9.Инвестиционна програма'!I$61:I$71))*$E$6</f>
        <v>0</v>
      </c>
      <c r="AQ49" s="881">
        <f>(SUMIF('9.Инвестиционна програма'!$B$58:$B$59,$B49,'9.Инвестиционна програма'!J$58:J$59)+SUMIF('9.Инвестиционна програма'!$B$61:$B$71,$B49,'9.Инвестиционна програма'!J$61:J$71))*$E$6</f>
        <v>0</v>
      </c>
      <c r="AR49" s="881">
        <f>(SUMIF('9.Инвестиционна програма'!$B$58:$B$59,$B49,'9.Инвестиционна програма'!K$58:K$59)+SUMIF('9.Инвестиционна програма'!$B$61:$B$71,$B49,'9.Инвестиционна програма'!K$61:K$71))*$E$6</f>
        <v>0</v>
      </c>
      <c r="AS49" s="881">
        <f>(SUMIF('9.Инвестиционна програма'!$B$58:$B$59,$B49,'9.Инвестиционна програма'!L$58:L$59)+SUMIF('9.Инвестиционна програма'!$B$61:$B$71,$B49,'9.Инвестиционна програма'!L$61:L$71))*$E$6</f>
        <v>0</v>
      </c>
      <c r="AT49" s="2690">
        <f>(SUMIF('9.Инвестиционна програма'!$B$58:$B$59,$B49,'9.Инвестиционна програма'!M$58:M$59)+SUMIF('9.Инвестиционна програма'!$B$61:$B$71,$B49,'9.Инвестиционна програма'!M$61:M$71))*$E$6</f>
        <v>0</v>
      </c>
      <c r="AU49" s="4422"/>
      <c r="AV49" s="4438">
        <f t="shared" si="47"/>
        <v>0</v>
      </c>
      <c r="AW49" s="4438">
        <f t="shared" si="48"/>
        <v>0</v>
      </c>
      <c r="AX49" s="4438">
        <f t="shared" si="49"/>
        <v>0</v>
      </c>
      <c r="AY49" s="4438">
        <f t="shared" si="50"/>
        <v>0</v>
      </c>
      <c r="AZ49" s="4438">
        <f t="shared" si="51"/>
        <v>0</v>
      </c>
      <c r="BA49" s="4438">
        <f t="shared" si="52"/>
        <v>0</v>
      </c>
      <c r="BB49" s="4438">
        <f t="shared" si="53"/>
        <v>0</v>
      </c>
      <c r="BC49" s="4438">
        <f t="shared" si="54"/>
        <v>0</v>
      </c>
      <c r="BD49" s="4438">
        <f t="shared" si="55"/>
        <v>0</v>
      </c>
      <c r="BE49" s="4438">
        <f t="shared" si="56"/>
        <v>0</v>
      </c>
      <c r="BF49" s="4438">
        <f t="shared" si="57"/>
        <v>0</v>
      </c>
      <c r="BG49" s="4438">
        <f t="shared" si="58"/>
        <v>0</v>
      </c>
      <c r="BH49" s="4438">
        <f t="shared" si="59"/>
        <v>0</v>
      </c>
      <c r="BI49" s="4438">
        <f t="shared" si="60"/>
        <v>0</v>
      </c>
      <c r="BJ49" s="4438">
        <f t="shared" si="61"/>
        <v>0</v>
      </c>
      <c r="BK49" s="4438">
        <f t="shared" si="62"/>
        <v>0</v>
      </c>
      <c r="BL49" s="4438">
        <f t="shared" si="63"/>
        <v>0</v>
      </c>
      <c r="BM49" s="4438">
        <f t="shared" si="64"/>
        <v>0</v>
      </c>
      <c r="BN49" s="4438">
        <f t="shared" si="65"/>
        <v>0</v>
      </c>
      <c r="BO49" s="4438">
        <f t="shared" si="66"/>
        <v>0</v>
      </c>
      <c r="BP49" s="4438">
        <f t="shared" si="67"/>
        <v>0</v>
      </c>
      <c r="BQ49" s="4438">
        <f t="shared" si="68"/>
        <v>0</v>
      </c>
      <c r="BR49" s="4438">
        <f t="shared" si="69"/>
        <v>0</v>
      </c>
      <c r="BS49" s="4438">
        <f t="shared" si="70"/>
        <v>0</v>
      </c>
      <c r="BT49" s="4438">
        <f t="shared" si="71"/>
        <v>0</v>
      </c>
      <c r="BU49" s="4438">
        <f t="shared" si="72"/>
        <v>0</v>
      </c>
      <c r="BV49" s="4438">
        <f t="shared" si="73"/>
        <v>0</v>
      </c>
      <c r="BW49" s="4438">
        <f t="shared" si="74"/>
        <v>0</v>
      </c>
      <c r="BX49" s="4438">
        <f t="shared" si="75"/>
        <v>0</v>
      </c>
      <c r="BY49" s="4438">
        <f t="shared" si="76"/>
        <v>0</v>
      </c>
      <c r="BZ49" s="4438">
        <f t="shared" si="77"/>
        <v>0</v>
      </c>
      <c r="CA49" s="4438">
        <f t="shared" si="78"/>
        <v>0</v>
      </c>
      <c r="CB49" s="4438">
        <f t="shared" si="79"/>
        <v>0</v>
      </c>
      <c r="CC49" s="4438">
        <f t="shared" si="80"/>
        <v>0</v>
      </c>
      <c r="CD49" s="4438">
        <f t="shared" si="81"/>
        <v>0</v>
      </c>
      <c r="CE49" s="4438">
        <f t="shared" si="82"/>
        <v>0</v>
      </c>
      <c r="CF49" s="4438">
        <f t="shared" si="83"/>
        <v>0</v>
      </c>
      <c r="CG49" s="4438">
        <f t="shared" si="84"/>
        <v>0</v>
      </c>
      <c r="CH49" s="4438">
        <f t="shared" si="85"/>
        <v>0</v>
      </c>
      <c r="CI49" s="4438">
        <f t="shared" si="86"/>
        <v>0</v>
      </c>
      <c r="CJ49" s="4438">
        <f t="shared" si="87"/>
        <v>0</v>
      </c>
      <c r="CK49" s="4438">
        <f t="shared" si="88"/>
        <v>0</v>
      </c>
    </row>
    <row r="50" spans="1:89">
      <c r="A50" s="2696">
        <v>6</v>
      </c>
      <c r="B50" s="3567">
        <v>206</v>
      </c>
      <c r="C50" s="3550">
        <v>0.1</v>
      </c>
      <c r="D50" s="2712" t="s">
        <v>394</v>
      </c>
      <c r="E50" s="2715">
        <f>SUM(E51:E53)</f>
        <v>34</v>
      </c>
      <c r="F50" s="2716">
        <f>SUM(F51:F53)</f>
        <v>0</v>
      </c>
      <c r="G50" s="2717">
        <f>SUM(G51:G53)</f>
        <v>0</v>
      </c>
      <c r="H50" s="2717">
        <f t="shared" ref="H50:AT50" si="105">SUM(H51:H53)</f>
        <v>0</v>
      </c>
      <c r="I50" s="2717">
        <f t="shared" si="105"/>
        <v>0</v>
      </c>
      <c r="J50" s="2717">
        <f t="shared" si="105"/>
        <v>0</v>
      </c>
      <c r="K50" s="2718">
        <f t="shared" si="105"/>
        <v>0</v>
      </c>
      <c r="L50" s="2715">
        <f>SUM(L51:L53)</f>
        <v>7</v>
      </c>
      <c r="M50" s="2697">
        <f t="shared" si="105"/>
        <v>0</v>
      </c>
      <c r="N50" s="2698">
        <f t="shared" si="105"/>
        <v>0</v>
      </c>
      <c r="O50" s="2698">
        <f t="shared" si="105"/>
        <v>0</v>
      </c>
      <c r="P50" s="2698">
        <f t="shared" si="105"/>
        <v>0</v>
      </c>
      <c r="Q50" s="2698">
        <f t="shared" si="105"/>
        <v>0</v>
      </c>
      <c r="R50" s="2699">
        <f t="shared" si="105"/>
        <v>0</v>
      </c>
      <c r="S50" s="2719">
        <f t="shared" si="105"/>
        <v>18</v>
      </c>
      <c r="T50" s="2700">
        <f t="shared" si="105"/>
        <v>0</v>
      </c>
      <c r="U50" s="2698">
        <f t="shared" si="105"/>
        <v>0</v>
      </c>
      <c r="V50" s="2698">
        <f t="shared" si="105"/>
        <v>0</v>
      </c>
      <c r="W50" s="2698">
        <f t="shared" si="105"/>
        <v>0</v>
      </c>
      <c r="X50" s="2698">
        <f t="shared" si="105"/>
        <v>0</v>
      </c>
      <c r="Y50" s="2699">
        <f t="shared" si="105"/>
        <v>0</v>
      </c>
      <c r="Z50" s="2719">
        <f t="shared" si="105"/>
        <v>0</v>
      </c>
      <c r="AA50" s="2700">
        <f t="shared" si="105"/>
        <v>0</v>
      </c>
      <c r="AB50" s="2698">
        <f t="shared" si="105"/>
        <v>0</v>
      </c>
      <c r="AC50" s="2698">
        <f t="shared" si="105"/>
        <v>0</v>
      </c>
      <c r="AD50" s="2698">
        <f t="shared" si="105"/>
        <v>0</v>
      </c>
      <c r="AE50" s="2698">
        <f t="shared" si="105"/>
        <v>0</v>
      </c>
      <c r="AF50" s="2699">
        <f t="shared" si="105"/>
        <v>0</v>
      </c>
      <c r="AG50" s="2719">
        <f t="shared" si="105"/>
        <v>0</v>
      </c>
      <c r="AH50" s="2700">
        <f t="shared" si="105"/>
        <v>0</v>
      </c>
      <c r="AI50" s="2698">
        <f t="shared" si="105"/>
        <v>0</v>
      </c>
      <c r="AJ50" s="2698">
        <f t="shared" si="105"/>
        <v>0</v>
      </c>
      <c r="AK50" s="2698">
        <f t="shared" si="105"/>
        <v>0</v>
      </c>
      <c r="AL50" s="2698">
        <f t="shared" si="105"/>
        <v>0</v>
      </c>
      <c r="AM50" s="2699">
        <f t="shared" si="105"/>
        <v>0</v>
      </c>
      <c r="AN50" s="2719">
        <f t="shared" si="105"/>
        <v>0</v>
      </c>
      <c r="AO50" s="2720">
        <f t="shared" si="105"/>
        <v>20</v>
      </c>
      <c r="AP50" s="2717">
        <f t="shared" si="105"/>
        <v>15</v>
      </c>
      <c r="AQ50" s="2717">
        <f t="shared" si="105"/>
        <v>15</v>
      </c>
      <c r="AR50" s="2717">
        <f t="shared" si="105"/>
        <v>15</v>
      </c>
      <c r="AS50" s="2717">
        <f t="shared" si="105"/>
        <v>15</v>
      </c>
      <c r="AT50" s="2718">
        <f t="shared" si="105"/>
        <v>15</v>
      </c>
      <c r="AU50" s="4422"/>
      <c r="AV50" s="4438">
        <f t="shared" si="47"/>
        <v>17.383923960671428</v>
      </c>
      <c r="AW50" s="4438">
        <f t="shared" si="48"/>
        <v>0</v>
      </c>
      <c r="AX50" s="4438">
        <f t="shared" si="49"/>
        <v>0</v>
      </c>
      <c r="AY50" s="4438">
        <f t="shared" si="50"/>
        <v>0</v>
      </c>
      <c r="AZ50" s="4438">
        <f t="shared" si="51"/>
        <v>0</v>
      </c>
      <c r="BA50" s="4438">
        <f t="shared" si="52"/>
        <v>0</v>
      </c>
      <c r="BB50" s="4438">
        <f t="shared" si="53"/>
        <v>0</v>
      </c>
      <c r="BC50" s="4438">
        <f t="shared" si="54"/>
        <v>3.5790431683735293</v>
      </c>
      <c r="BD50" s="4438">
        <f t="shared" si="55"/>
        <v>0</v>
      </c>
      <c r="BE50" s="4438">
        <f t="shared" si="56"/>
        <v>0</v>
      </c>
      <c r="BF50" s="4438">
        <f t="shared" si="57"/>
        <v>0</v>
      </c>
      <c r="BG50" s="4438">
        <f t="shared" si="58"/>
        <v>0</v>
      </c>
      <c r="BH50" s="4438">
        <f t="shared" si="59"/>
        <v>0</v>
      </c>
      <c r="BI50" s="4438">
        <f t="shared" si="60"/>
        <v>0</v>
      </c>
      <c r="BJ50" s="4438">
        <f t="shared" si="61"/>
        <v>9.2032538615319321</v>
      </c>
      <c r="BK50" s="4438">
        <f t="shared" si="62"/>
        <v>0</v>
      </c>
      <c r="BL50" s="4438">
        <f t="shared" si="63"/>
        <v>0</v>
      </c>
      <c r="BM50" s="4438">
        <f t="shared" si="64"/>
        <v>0</v>
      </c>
      <c r="BN50" s="4438">
        <f t="shared" si="65"/>
        <v>0</v>
      </c>
      <c r="BO50" s="4438">
        <f t="shared" si="66"/>
        <v>0</v>
      </c>
      <c r="BP50" s="4438">
        <f t="shared" si="67"/>
        <v>0</v>
      </c>
      <c r="BQ50" s="4438">
        <f t="shared" si="68"/>
        <v>0</v>
      </c>
      <c r="BR50" s="4438">
        <f t="shared" si="69"/>
        <v>0</v>
      </c>
      <c r="BS50" s="4438">
        <f t="shared" si="70"/>
        <v>0</v>
      </c>
      <c r="BT50" s="4438">
        <f t="shared" si="71"/>
        <v>0</v>
      </c>
      <c r="BU50" s="4438">
        <f t="shared" si="72"/>
        <v>0</v>
      </c>
      <c r="BV50" s="4438">
        <f t="shared" si="73"/>
        <v>0</v>
      </c>
      <c r="BW50" s="4438">
        <f t="shared" si="74"/>
        <v>0</v>
      </c>
      <c r="BX50" s="4438">
        <f t="shared" si="75"/>
        <v>0</v>
      </c>
      <c r="BY50" s="4438">
        <f t="shared" si="76"/>
        <v>0</v>
      </c>
      <c r="BZ50" s="4438">
        <f t="shared" si="77"/>
        <v>0</v>
      </c>
      <c r="CA50" s="4438">
        <f t="shared" si="78"/>
        <v>0</v>
      </c>
      <c r="CB50" s="4438">
        <f t="shared" si="79"/>
        <v>0</v>
      </c>
      <c r="CC50" s="4438">
        <f t="shared" si="80"/>
        <v>0</v>
      </c>
      <c r="CD50" s="4438">
        <f t="shared" si="81"/>
        <v>0</v>
      </c>
      <c r="CE50" s="4438">
        <f t="shared" si="82"/>
        <v>0</v>
      </c>
      <c r="CF50" s="4438">
        <f t="shared" si="83"/>
        <v>10.22583762392437</v>
      </c>
      <c r="CG50" s="4438">
        <f t="shared" si="84"/>
        <v>7.6693782179432777</v>
      </c>
      <c r="CH50" s="4438">
        <f t="shared" si="85"/>
        <v>7.6693782179432777</v>
      </c>
      <c r="CI50" s="4438">
        <f t="shared" si="86"/>
        <v>7.6693782179432777</v>
      </c>
      <c r="CJ50" s="4438">
        <f t="shared" si="87"/>
        <v>7.6693782179432777</v>
      </c>
      <c r="CK50" s="4438">
        <f t="shared" si="88"/>
        <v>7.6693782179432777</v>
      </c>
    </row>
    <row r="51" spans="1:89">
      <c r="A51" s="2696"/>
      <c r="B51" s="3566">
        <v>20601</v>
      </c>
      <c r="C51" s="3549">
        <v>0.1</v>
      </c>
      <c r="D51" s="2704" t="s">
        <v>564</v>
      </c>
      <c r="E51" s="2689">
        <f>'11.2. ДА за периода'!E51</f>
        <v>7</v>
      </c>
      <c r="F51" s="1202">
        <f>SUMIF('9.Инвестиционна програма'!$B$12:$B$35,$B51,'9.Инвестиционна програма'!H$12:H$35)*$E$6</f>
        <v>0</v>
      </c>
      <c r="G51" s="1198">
        <f>SUMIF('9.Инвестиционна програма'!$B$12:$B$35,$B51,'9.Инвестиционна програма'!I$12:I$35)*$E$6</f>
        <v>0</v>
      </c>
      <c r="H51" s="1198">
        <f>SUMIF('9.Инвестиционна програма'!$B$12:$B$35,$B51,'9.Инвестиционна програма'!J$12:J$35)*$E$6</f>
        <v>0</v>
      </c>
      <c r="I51" s="1198">
        <f>SUMIF('9.Инвестиционна програма'!$B$12:$B$35,$B51,'9.Инвестиционна програма'!K$12:K$35)*$E$6</f>
        <v>0</v>
      </c>
      <c r="J51" s="1198">
        <f>SUMIF('9.Инвестиционна програма'!$B$12:$B$35,$B51,'9.Инвестиционна програма'!L$12:L$35)*$E$6</f>
        <v>0</v>
      </c>
      <c r="K51" s="1203">
        <f>SUMIF('9.Инвестиционна програма'!$B$12:$B$35,$B51,'9.Инвестиционна програма'!M$12:M$35)*$E$6</f>
        <v>0</v>
      </c>
      <c r="L51" s="2689">
        <f>'11.2. ДА за периода'!L51</f>
        <v>2</v>
      </c>
      <c r="M51" s="1206">
        <f>SUMIF('9.Инвестиционна програма'!$B$37:$B$47,$B51,'9.Инвестиционна програма'!H$37:H$47)*$E$6</f>
        <v>0</v>
      </c>
      <c r="N51" s="1200">
        <f>SUMIF('9.Инвестиционна програма'!$B$37:$B$47,$B51,'9.Инвестиционна програма'!I$37:I$47)*$E$6</f>
        <v>0</v>
      </c>
      <c r="O51" s="1200">
        <f>SUMIF('9.Инвестиционна програма'!$B$37:$B$47,$B51,'9.Инвестиционна програма'!J$37:J$47)*$E$6</f>
        <v>0</v>
      </c>
      <c r="P51" s="1200">
        <f>SUMIF('9.Инвестиционна програма'!$B$37:$B$47,$B51,'9.Инвестиционна програма'!K$37:K$47)*$E$6</f>
        <v>0</v>
      </c>
      <c r="Q51" s="1200">
        <f>SUMIF('9.Инвестиционна програма'!$B$37:$B$47,$B51,'9.Инвестиционна програма'!L$37:L$47)*$E$6</f>
        <v>0</v>
      </c>
      <c r="R51" s="1201">
        <f>SUMIF('9.Инвестиционна програма'!$B$37:$B$47,$B51,'9.Инвестиционна програма'!M$37:M$47)*$E$6</f>
        <v>0</v>
      </c>
      <c r="S51" s="1087">
        <f>'11.2. ДА за периода'!S51</f>
        <v>5</v>
      </c>
      <c r="T51" s="881">
        <f>SUMIF('9.Инвестиционна програма'!$B$49:$B$56,$B51,'9.Инвестиционна програма'!H$49:H$56)*$E$6</f>
        <v>0</v>
      </c>
      <c r="U51" s="881">
        <f>SUMIF('9.Инвестиционна програма'!$B$49:$B$56,$B51,'9.Инвестиционна програма'!I$49:I$56)*$E$6</f>
        <v>0</v>
      </c>
      <c r="V51" s="881">
        <f>SUMIF('9.Инвестиционна програма'!$B$49:$B$56,$B51,'9.Инвестиционна програма'!J$49:J$56)*$E$6</f>
        <v>0</v>
      </c>
      <c r="W51" s="881">
        <f>SUMIF('9.Инвестиционна програма'!$B$49:$B$56,$B51,'9.Инвестиционна програма'!K$49:K$56)*$E$6</f>
        <v>0</v>
      </c>
      <c r="X51" s="881">
        <f>SUMIF('9.Инвестиционна програма'!$B$49:$B$56,$B51,'9.Инвестиционна програма'!L$49:L$56)*$E$6</f>
        <v>0</v>
      </c>
      <c r="Y51" s="2690">
        <f>SUMIF('9.Инвестиционна програма'!$B$49:$B$56,$B51,'9.Инвестиционна програма'!M$49:M$56)*$E$6</f>
        <v>0</v>
      </c>
      <c r="Z51" s="1087">
        <f>'11.2. ДА за периода'!Z51</f>
        <v>0</v>
      </c>
      <c r="AA51" s="881">
        <f>SUMIF('9.Инвестиционна програма'!$B$74:$B$97,$B51,'9.Инвестиционна програма'!H$74:H$97)*$E$6</f>
        <v>0</v>
      </c>
      <c r="AB51" s="881">
        <f>SUMIF('9.Инвестиционна програма'!$B$74:$B$97,$B51,'9.Инвестиционна програма'!I$74:I$97)*$E$6</f>
        <v>0</v>
      </c>
      <c r="AC51" s="881">
        <f>SUMIF('9.Инвестиционна програма'!$B$74:$B$97,$B51,'9.Инвестиционна програма'!J$74:J$97)*$E$6</f>
        <v>0</v>
      </c>
      <c r="AD51" s="881">
        <f>SUMIF('9.Инвестиционна програма'!$B$74:$B$97,$B51,'9.Инвестиционна програма'!K$74:K$97)*$E$6</f>
        <v>0</v>
      </c>
      <c r="AE51" s="881">
        <f>SUMIF('9.Инвестиционна програма'!$B$74:$B$97,$B51,'9.Инвестиционна програма'!L$74:L$97)*$E$6</f>
        <v>0</v>
      </c>
      <c r="AF51" s="881">
        <f>SUMIF('9.Инвестиционна програма'!$B$74:$B$97,$B51,'9.Инвестиционна програма'!M$74:M$97)*$E$6</f>
        <v>0</v>
      </c>
      <c r="AG51" s="1087">
        <f>'11.2. ДА за периода'!AG51</f>
        <v>0</v>
      </c>
      <c r="AH51" s="881">
        <f>SUMIF('9.Инвестиционна програма'!$B$100:$B$123,$B51,'9.Инвестиционна програма'!H$100:H$123)*$E$6</f>
        <v>0</v>
      </c>
      <c r="AI51" s="881">
        <f>SUMIF('9.Инвестиционна програма'!$B$100:$B$123,$B51,'9.Инвестиционна програма'!I$100:I$123)*$E$6</f>
        <v>0</v>
      </c>
      <c r="AJ51" s="881">
        <f>SUMIF('9.Инвестиционна програма'!$B$100:$B$123,$B51,'9.Инвестиционна програма'!J$100:J$123)*$E$6</f>
        <v>0</v>
      </c>
      <c r="AK51" s="881">
        <f>SUMIF('9.Инвестиционна програма'!$B$100:$B$123,$B51,'9.Инвестиционна програма'!K$100:K$123)*$E$6</f>
        <v>0</v>
      </c>
      <c r="AL51" s="881">
        <f>SUMIF('9.Инвестиционна програма'!$B$100:$B$123,$B51,'9.Инвестиционна програма'!L$100:L$123)*$E$6</f>
        <v>0</v>
      </c>
      <c r="AM51" s="881">
        <f>SUMIF('9.Инвестиционна програма'!$B$100:$B$123,$B51,'9.Инвестиционна програма'!M$100:M$123)*$E$6</f>
        <v>0</v>
      </c>
      <c r="AN51" s="1087">
        <f>'11.2. ДА за периода'!AN51</f>
        <v>0</v>
      </c>
      <c r="AO51" s="1206">
        <f>(SUMIF('9.Инвестиционна програма'!$B$58:$B$59,$B51,'9.Инвестиционна програма'!H$58:H$59)+SUMIF('9.Инвестиционна програма'!$B$61:$B$71,$B51,'9.Инвестиционна програма'!H$61:H$71))*$E$6</f>
        <v>20</v>
      </c>
      <c r="AP51" s="881">
        <f>(SUMIF('9.Инвестиционна програма'!$B$58:$B$59,$B51,'9.Инвестиционна програма'!I$58:I$59)+SUMIF('9.Инвестиционна програма'!$B$61:$B$71,$B51,'9.Инвестиционна програма'!I$61:I$71))*$E$6</f>
        <v>15</v>
      </c>
      <c r="AQ51" s="881">
        <f>(SUMIF('9.Инвестиционна програма'!$B$58:$B$59,$B51,'9.Инвестиционна програма'!J$58:J$59)+SUMIF('9.Инвестиционна програма'!$B$61:$B$71,$B51,'9.Инвестиционна програма'!J$61:J$71))*$E$6</f>
        <v>15</v>
      </c>
      <c r="AR51" s="881">
        <f>(SUMIF('9.Инвестиционна програма'!$B$58:$B$59,$B51,'9.Инвестиционна програма'!K$58:K$59)+SUMIF('9.Инвестиционна програма'!$B$61:$B$71,$B51,'9.Инвестиционна програма'!K$61:K$71))*$E$6</f>
        <v>15</v>
      </c>
      <c r="AS51" s="881">
        <f>(SUMIF('9.Инвестиционна програма'!$B$58:$B$59,$B51,'9.Инвестиционна програма'!L$58:L$59)+SUMIF('9.Инвестиционна програма'!$B$61:$B$71,$B51,'9.Инвестиционна програма'!L$61:L$71))*$E$6</f>
        <v>15</v>
      </c>
      <c r="AT51" s="2690">
        <f>(SUMIF('9.Инвестиционна програма'!$B$58:$B$59,$B51,'9.Инвестиционна програма'!M$58:M$59)+SUMIF('9.Инвестиционна програма'!$B$61:$B$71,$B51,'9.Инвестиционна програма'!M$61:M$71))*$E$6</f>
        <v>15</v>
      </c>
      <c r="AU51" s="4422"/>
      <c r="AV51" s="4438">
        <f t="shared" si="47"/>
        <v>3.5790431683735293</v>
      </c>
      <c r="AW51" s="4438">
        <f t="shared" si="48"/>
        <v>0</v>
      </c>
      <c r="AX51" s="4438">
        <f t="shared" si="49"/>
        <v>0</v>
      </c>
      <c r="AY51" s="4438">
        <f t="shared" si="50"/>
        <v>0</v>
      </c>
      <c r="AZ51" s="4438">
        <f t="shared" si="51"/>
        <v>0</v>
      </c>
      <c r="BA51" s="4438">
        <f t="shared" si="52"/>
        <v>0</v>
      </c>
      <c r="BB51" s="4438">
        <f t="shared" si="53"/>
        <v>0</v>
      </c>
      <c r="BC51" s="4438">
        <f t="shared" si="54"/>
        <v>1.022583762392437</v>
      </c>
      <c r="BD51" s="4438">
        <f t="shared" si="55"/>
        <v>0</v>
      </c>
      <c r="BE51" s="4438">
        <f t="shared" si="56"/>
        <v>0</v>
      </c>
      <c r="BF51" s="4438">
        <f t="shared" si="57"/>
        <v>0</v>
      </c>
      <c r="BG51" s="4438">
        <f t="shared" si="58"/>
        <v>0</v>
      </c>
      <c r="BH51" s="4438">
        <f t="shared" si="59"/>
        <v>0</v>
      </c>
      <c r="BI51" s="4438">
        <f t="shared" si="60"/>
        <v>0</v>
      </c>
      <c r="BJ51" s="4438">
        <f t="shared" si="61"/>
        <v>2.5564594059810926</v>
      </c>
      <c r="BK51" s="4438">
        <f t="shared" si="62"/>
        <v>0</v>
      </c>
      <c r="BL51" s="4438">
        <f t="shared" si="63"/>
        <v>0</v>
      </c>
      <c r="BM51" s="4438">
        <f t="shared" si="64"/>
        <v>0</v>
      </c>
      <c r="BN51" s="4438">
        <f t="shared" si="65"/>
        <v>0</v>
      </c>
      <c r="BO51" s="4438">
        <f t="shared" si="66"/>
        <v>0</v>
      </c>
      <c r="BP51" s="4438">
        <f t="shared" si="67"/>
        <v>0</v>
      </c>
      <c r="BQ51" s="4438">
        <f t="shared" si="68"/>
        <v>0</v>
      </c>
      <c r="BR51" s="4438">
        <f t="shared" si="69"/>
        <v>0</v>
      </c>
      <c r="BS51" s="4438">
        <f t="shared" si="70"/>
        <v>0</v>
      </c>
      <c r="BT51" s="4438">
        <f t="shared" si="71"/>
        <v>0</v>
      </c>
      <c r="BU51" s="4438">
        <f t="shared" si="72"/>
        <v>0</v>
      </c>
      <c r="BV51" s="4438">
        <f t="shared" si="73"/>
        <v>0</v>
      </c>
      <c r="BW51" s="4438">
        <f t="shared" si="74"/>
        <v>0</v>
      </c>
      <c r="BX51" s="4438">
        <f t="shared" si="75"/>
        <v>0</v>
      </c>
      <c r="BY51" s="4438">
        <f t="shared" si="76"/>
        <v>0</v>
      </c>
      <c r="BZ51" s="4438">
        <f t="shared" si="77"/>
        <v>0</v>
      </c>
      <c r="CA51" s="4438">
        <f t="shared" si="78"/>
        <v>0</v>
      </c>
      <c r="CB51" s="4438">
        <f t="shared" si="79"/>
        <v>0</v>
      </c>
      <c r="CC51" s="4438">
        <f t="shared" si="80"/>
        <v>0</v>
      </c>
      <c r="CD51" s="4438">
        <f t="shared" si="81"/>
        <v>0</v>
      </c>
      <c r="CE51" s="4438">
        <f t="shared" si="82"/>
        <v>0</v>
      </c>
      <c r="CF51" s="4438">
        <f t="shared" si="83"/>
        <v>10.22583762392437</v>
      </c>
      <c r="CG51" s="4438">
        <f t="shared" si="84"/>
        <v>7.6693782179432777</v>
      </c>
      <c r="CH51" s="4438">
        <f t="shared" si="85"/>
        <v>7.6693782179432777</v>
      </c>
      <c r="CI51" s="4438">
        <f t="shared" si="86"/>
        <v>7.6693782179432777</v>
      </c>
      <c r="CJ51" s="4438">
        <f t="shared" si="87"/>
        <v>7.6693782179432777</v>
      </c>
      <c r="CK51" s="4438">
        <f t="shared" si="88"/>
        <v>7.6693782179432777</v>
      </c>
    </row>
    <row r="52" spans="1:89">
      <c r="A52" s="2696"/>
      <c r="B52" s="3566">
        <v>20602</v>
      </c>
      <c r="C52" s="3549">
        <v>0.1</v>
      </c>
      <c r="D52" s="2704" t="s">
        <v>435</v>
      </c>
      <c r="E52" s="2689">
        <f>'11.2. ДА за периода'!E52</f>
        <v>27</v>
      </c>
      <c r="F52" s="1202">
        <f>SUMIF('9.Инвестиционна програма'!$B$12:$B$35,$B52,'9.Инвестиционна програма'!H$12:H$35)*$E$6</f>
        <v>0</v>
      </c>
      <c r="G52" s="1198">
        <f>SUMIF('9.Инвестиционна програма'!$B$12:$B$35,$B52,'9.Инвестиционна програма'!I$12:I$35)*$E$6</f>
        <v>0</v>
      </c>
      <c r="H52" s="1198">
        <f>SUMIF('9.Инвестиционна програма'!$B$12:$B$35,$B52,'9.Инвестиционна програма'!J$12:J$35)*$E$6</f>
        <v>0</v>
      </c>
      <c r="I52" s="1198">
        <f>SUMIF('9.Инвестиционна програма'!$B$12:$B$35,$B52,'9.Инвестиционна програма'!K$12:K$35)*$E$6</f>
        <v>0</v>
      </c>
      <c r="J52" s="1198">
        <f>SUMIF('9.Инвестиционна програма'!$B$12:$B$35,$B52,'9.Инвестиционна програма'!L$12:L$35)*$E$6</f>
        <v>0</v>
      </c>
      <c r="K52" s="1203">
        <f>SUMIF('9.Инвестиционна програма'!$B$12:$B$35,$B52,'9.Инвестиционна програма'!M$12:M$35)*$E$6</f>
        <v>0</v>
      </c>
      <c r="L52" s="2689">
        <f>'11.2. ДА за периода'!L52</f>
        <v>5</v>
      </c>
      <c r="M52" s="1206">
        <f>SUMIF('9.Инвестиционна програма'!$B$37:$B$47,$B52,'9.Инвестиционна програма'!H$37:H$47)*$E$6</f>
        <v>0</v>
      </c>
      <c r="N52" s="1200">
        <f>SUMIF('9.Инвестиционна програма'!$B$37:$B$47,$B52,'9.Инвестиционна програма'!I$37:I$47)*$E$6</f>
        <v>0</v>
      </c>
      <c r="O52" s="1200">
        <f>SUMIF('9.Инвестиционна програма'!$B$37:$B$47,$B52,'9.Инвестиционна програма'!J$37:J$47)*$E$6</f>
        <v>0</v>
      </c>
      <c r="P52" s="1200">
        <f>SUMIF('9.Инвестиционна програма'!$B$37:$B$47,$B52,'9.Инвестиционна програма'!K$37:K$47)*$E$6</f>
        <v>0</v>
      </c>
      <c r="Q52" s="1200">
        <f>SUMIF('9.Инвестиционна програма'!$B$37:$B$47,$B52,'9.Инвестиционна програма'!L$37:L$47)*$E$6</f>
        <v>0</v>
      </c>
      <c r="R52" s="1201">
        <f>SUMIF('9.Инвестиционна програма'!$B$37:$B$47,$B52,'9.Инвестиционна програма'!M$37:M$47)*$E$6</f>
        <v>0</v>
      </c>
      <c r="S52" s="1087">
        <f>'11.2. ДА за периода'!S52</f>
        <v>13</v>
      </c>
      <c r="T52" s="881">
        <f>SUMIF('9.Инвестиционна програма'!$B$49:$B$56,$B52,'9.Инвестиционна програма'!H$49:H$56)*$E$6</f>
        <v>0</v>
      </c>
      <c r="U52" s="881">
        <f>SUMIF('9.Инвестиционна програма'!$B$49:$B$56,$B52,'9.Инвестиционна програма'!I$49:I$56)*$E$6</f>
        <v>0</v>
      </c>
      <c r="V52" s="881">
        <f>SUMIF('9.Инвестиционна програма'!$B$49:$B$56,$B52,'9.Инвестиционна програма'!J$49:J$56)*$E$6</f>
        <v>0</v>
      </c>
      <c r="W52" s="881">
        <f>SUMIF('9.Инвестиционна програма'!$B$49:$B$56,$B52,'9.Инвестиционна програма'!K$49:K$56)*$E$6</f>
        <v>0</v>
      </c>
      <c r="X52" s="881">
        <f>SUMIF('9.Инвестиционна програма'!$B$49:$B$56,$B52,'9.Инвестиционна програма'!L$49:L$56)*$E$6</f>
        <v>0</v>
      </c>
      <c r="Y52" s="2690">
        <f>SUMIF('9.Инвестиционна програма'!$B$49:$B$56,$B52,'9.Инвестиционна програма'!M$49:M$56)*$E$6</f>
        <v>0</v>
      </c>
      <c r="Z52" s="1087">
        <f>'11.2. ДА за периода'!Z52</f>
        <v>0</v>
      </c>
      <c r="AA52" s="881">
        <f>SUMIF('9.Инвестиционна програма'!$B$74:$B$97,$B52,'9.Инвестиционна програма'!H$74:H$97)*$E$6</f>
        <v>0</v>
      </c>
      <c r="AB52" s="881">
        <f>SUMIF('9.Инвестиционна програма'!$B$74:$B$97,$B52,'9.Инвестиционна програма'!I$74:I$97)*$E$6</f>
        <v>0</v>
      </c>
      <c r="AC52" s="881">
        <f>SUMIF('9.Инвестиционна програма'!$B$74:$B$97,$B52,'9.Инвестиционна програма'!J$74:J$97)*$E$6</f>
        <v>0</v>
      </c>
      <c r="AD52" s="881">
        <f>SUMIF('9.Инвестиционна програма'!$B$74:$B$97,$B52,'9.Инвестиционна програма'!K$74:K$97)*$E$6</f>
        <v>0</v>
      </c>
      <c r="AE52" s="881">
        <f>SUMIF('9.Инвестиционна програма'!$B$74:$B$97,$B52,'9.Инвестиционна програма'!L$74:L$97)*$E$6</f>
        <v>0</v>
      </c>
      <c r="AF52" s="881">
        <f>SUMIF('9.Инвестиционна програма'!$B$74:$B$97,$B52,'9.Инвестиционна програма'!M$74:M$97)*$E$6</f>
        <v>0</v>
      </c>
      <c r="AG52" s="1087">
        <f>'11.2. ДА за периода'!AG52</f>
        <v>0</v>
      </c>
      <c r="AH52" s="881">
        <f>SUMIF('9.Инвестиционна програма'!$B$100:$B$123,$B52,'9.Инвестиционна програма'!H$100:H$123)*$E$6</f>
        <v>0</v>
      </c>
      <c r="AI52" s="881">
        <f>SUMIF('9.Инвестиционна програма'!$B$100:$B$123,$B52,'9.Инвестиционна програма'!I$100:I$123)*$E$6</f>
        <v>0</v>
      </c>
      <c r="AJ52" s="881">
        <f>SUMIF('9.Инвестиционна програма'!$B$100:$B$123,$B52,'9.Инвестиционна програма'!J$100:J$123)*$E$6</f>
        <v>0</v>
      </c>
      <c r="AK52" s="881">
        <f>SUMIF('9.Инвестиционна програма'!$B$100:$B$123,$B52,'9.Инвестиционна програма'!K$100:K$123)*$E$6</f>
        <v>0</v>
      </c>
      <c r="AL52" s="881">
        <f>SUMIF('9.Инвестиционна програма'!$B$100:$B$123,$B52,'9.Инвестиционна програма'!L$100:L$123)*$E$6</f>
        <v>0</v>
      </c>
      <c r="AM52" s="881">
        <f>SUMIF('9.Инвестиционна програма'!$B$100:$B$123,$B52,'9.Инвестиционна програма'!M$100:M$123)*$E$6</f>
        <v>0</v>
      </c>
      <c r="AN52" s="1087">
        <f>'11.2. ДА за периода'!AN52</f>
        <v>0</v>
      </c>
      <c r="AO52" s="1206">
        <f>(SUMIF('9.Инвестиционна програма'!$B$58:$B$59,$B52,'9.Инвестиционна програма'!H$58:H$59)+SUMIF('9.Инвестиционна програма'!$B$61:$B$71,$B52,'9.Инвестиционна програма'!H$61:H$71))*$E$6</f>
        <v>0</v>
      </c>
      <c r="AP52" s="881">
        <f>(SUMIF('9.Инвестиционна програма'!$B$58:$B$59,$B52,'9.Инвестиционна програма'!I$58:I$59)+SUMIF('9.Инвестиционна програма'!$B$61:$B$71,$B52,'9.Инвестиционна програма'!I$61:I$71))*$E$6</f>
        <v>0</v>
      </c>
      <c r="AQ52" s="881">
        <f>(SUMIF('9.Инвестиционна програма'!$B$58:$B$59,$B52,'9.Инвестиционна програма'!J$58:J$59)+SUMIF('9.Инвестиционна програма'!$B$61:$B$71,$B52,'9.Инвестиционна програма'!J$61:J$71))*$E$6</f>
        <v>0</v>
      </c>
      <c r="AR52" s="881">
        <f>(SUMIF('9.Инвестиционна програма'!$B$58:$B$59,$B52,'9.Инвестиционна програма'!K$58:K$59)+SUMIF('9.Инвестиционна програма'!$B$61:$B$71,$B52,'9.Инвестиционна програма'!K$61:K$71))*$E$6</f>
        <v>0</v>
      </c>
      <c r="AS52" s="881">
        <f>(SUMIF('9.Инвестиционна програма'!$B$58:$B$59,$B52,'9.Инвестиционна програма'!L$58:L$59)+SUMIF('9.Инвестиционна програма'!$B$61:$B$71,$B52,'9.Инвестиционна програма'!L$61:L$71))*$E$6</f>
        <v>0</v>
      </c>
      <c r="AT52" s="2690">
        <f>(SUMIF('9.Инвестиционна програма'!$B$58:$B$59,$B52,'9.Инвестиционна програма'!M$58:M$59)+SUMIF('9.Инвестиционна програма'!$B$61:$B$71,$B52,'9.Инвестиционна програма'!M$61:M$71))*$E$6</f>
        <v>0</v>
      </c>
      <c r="AU52" s="4422"/>
      <c r="AV52" s="4438">
        <f t="shared" si="47"/>
        <v>13.804880792297899</v>
      </c>
      <c r="AW52" s="4438">
        <f t="shared" si="48"/>
        <v>0</v>
      </c>
      <c r="AX52" s="4438">
        <f t="shared" si="49"/>
        <v>0</v>
      </c>
      <c r="AY52" s="4438">
        <f t="shared" si="50"/>
        <v>0</v>
      </c>
      <c r="AZ52" s="4438">
        <f t="shared" si="51"/>
        <v>0</v>
      </c>
      <c r="BA52" s="4438">
        <f t="shared" si="52"/>
        <v>0</v>
      </c>
      <c r="BB52" s="4438">
        <f t="shared" si="53"/>
        <v>0</v>
      </c>
      <c r="BC52" s="4438">
        <f t="shared" si="54"/>
        <v>2.5564594059810926</v>
      </c>
      <c r="BD52" s="4438">
        <f t="shared" si="55"/>
        <v>0</v>
      </c>
      <c r="BE52" s="4438">
        <f t="shared" si="56"/>
        <v>0</v>
      </c>
      <c r="BF52" s="4438">
        <f t="shared" si="57"/>
        <v>0</v>
      </c>
      <c r="BG52" s="4438">
        <f t="shared" si="58"/>
        <v>0</v>
      </c>
      <c r="BH52" s="4438">
        <f t="shared" si="59"/>
        <v>0</v>
      </c>
      <c r="BI52" s="4438">
        <f t="shared" si="60"/>
        <v>0</v>
      </c>
      <c r="BJ52" s="4438">
        <f t="shared" si="61"/>
        <v>6.6467944555508405</v>
      </c>
      <c r="BK52" s="4438">
        <f t="shared" si="62"/>
        <v>0</v>
      </c>
      <c r="BL52" s="4438">
        <f t="shared" si="63"/>
        <v>0</v>
      </c>
      <c r="BM52" s="4438">
        <f t="shared" si="64"/>
        <v>0</v>
      </c>
      <c r="BN52" s="4438">
        <f t="shared" si="65"/>
        <v>0</v>
      </c>
      <c r="BO52" s="4438">
        <f t="shared" si="66"/>
        <v>0</v>
      </c>
      <c r="BP52" s="4438">
        <f t="shared" si="67"/>
        <v>0</v>
      </c>
      <c r="BQ52" s="4438">
        <f t="shared" si="68"/>
        <v>0</v>
      </c>
      <c r="BR52" s="4438">
        <f t="shared" si="69"/>
        <v>0</v>
      </c>
      <c r="BS52" s="4438">
        <f t="shared" si="70"/>
        <v>0</v>
      </c>
      <c r="BT52" s="4438">
        <f t="shared" si="71"/>
        <v>0</v>
      </c>
      <c r="BU52" s="4438">
        <f t="shared" si="72"/>
        <v>0</v>
      </c>
      <c r="BV52" s="4438">
        <f t="shared" si="73"/>
        <v>0</v>
      </c>
      <c r="BW52" s="4438">
        <f t="shared" si="74"/>
        <v>0</v>
      </c>
      <c r="BX52" s="4438">
        <f t="shared" si="75"/>
        <v>0</v>
      </c>
      <c r="BY52" s="4438">
        <f t="shared" si="76"/>
        <v>0</v>
      </c>
      <c r="BZ52" s="4438">
        <f t="shared" si="77"/>
        <v>0</v>
      </c>
      <c r="CA52" s="4438">
        <f t="shared" si="78"/>
        <v>0</v>
      </c>
      <c r="CB52" s="4438">
        <f t="shared" si="79"/>
        <v>0</v>
      </c>
      <c r="CC52" s="4438">
        <f t="shared" si="80"/>
        <v>0</v>
      </c>
      <c r="CD52" s="4438">
        <f t="shared" si="81"/>
        <v>0</v>
      </c>
      <c r="CE52" s="4438">
        <f t="shared" si="82"/>
        <v>0</v>
      </c>
      <c r="CF52" s="4438">
        <f t="shared" si="83"/>
        <v>0</v>
      </c>
      <c r="CG52" s="4438">
        <f t="shared" si="84"/>
        <v>0</v>
      </c>
      <c r="CH52" s="4438">
        <f t="shared" si="85"/>
        <v>0</v>
      </c>
      <c r="CI52" s="4438">
        <f t="shared" si="86"/>
        <v>0</v>
      </c>
      <c r="CJ52" s="4438">
        <f t="shared" si="87"/>
        <v>0</v>
      </c>
      <c r="CK52" s="4438">
        <f t="shared" si="88"/>
        <v>0</v>
      </c>
    </row>
    <row r="53" spans="1:89">
      <c r="A53" s="2696"/>
      <c r="B53" s="3568">
        <v>20603</v>
      </c>
      <c r="C53" s="3551">
        <v>0.5</v>
      </c>
      <c r="D53" s="2714" t="s">
        <v>1015</v>
      </c>
      <c r="E53" s="2689">
        <f>'11.2. ДА за периода'!E53</f>
        <v>0</v>
      </c>
      <c r="F53" s="1202">
        <f>SUMIF('9.Инвестиционна програма'!$B$12:$B$35,$B53,'9.Инвестиционна програма'!H$12:H$35)*$E$6</f>
        <v>0</v>
      </c>
      <c r="G53" s="1198">
        <f>SUMIF('9.Инвестиционна програма'!$B$12:$B$35,$B53,'9.Инвестиционна програма'!I$12:I$35)*$E$6</f>
        <v>0</v>
      </c>
      <c r="H53" s="1198">
        <f>SUMIF('9.Инвестиционна програма'!$B$12:$B$35,$B53,'9.Инвестиционна програма'!J$12:J$35)*$E$6</f>
        <v>0</v>
      </c>
      <c r="I53" s="1198">
        <f>SUMIF('9.Инвестиционна програма'!$B$12:$B$35,$B53,'9.Инвестиционна програма'!K$12:K$35)*$E$6</f>
        <v>0</v>
      </c>
      <c r="J53" s="1198">
        <f>SUMIF('9.Инвестиционна програма'!$B$12:$B$35,$B53,'9.Инвестиционна програма'!L$12:L$35)*$E$6</f>
        <v>0</v>
      </c>
      <c r="K53" s="1203">
        <f>SUMIF('9.Инвестиционна програма'!$B$12:$B$35,$B53,'9.Инвестиционна програма'!M$12:M$35)*$E$6</f>
        <v>0</v>
      </c>
      <c r="L53" s="2689">
        <f>'11.2. ДА за периода'!L53</f>
        <v>0</v>
      </c>
      <c r="M53" s="1206">
        <f>SUMIF('9.Инвестиционна програма'!$B$37:$B$47,$B53,'9.Инвестиционна програма'!H$37:H$47)*$E$6</f>
        <v>0</v>
      </c>
      <c r="N53" s="1200">
        <f>SUMIF('9.Инвестиционна програма'!$B$37:$B$47,$B53,'9.Инвестиционна програма'!I$37:I$47)*$E$6</f>
        <v>0</v>
      </c>
      <c r="O53" s="1200">
        <f>SUMIF('9.Инвестиционна програма'!$B$37:$B$47,$B53,'9.Инвестиционна програма'!J$37:J$47)*$E$6</f>
        <v>0</v>
      </c>
      <c r="P53" s="1200">
        <f>SUMIF('9.Инвестиционна програма'!$B$37:$B$47,$B53,'9.Инвестиционна програма'!K$37:K$47)*$E$6</f>
        <v>0</v>
      </c>
      <c r="Q53" s="1200">
        <f>SUMIF('9.Инвестиционна програма'!$B$37:$B$47,$B53,'9.Инвестиционна програма'!L$37:L$47)*$E$6</f>
        <v>0</v>
      </c>
      <c r="R53" s="1201">
        <f>SUMIF('9.Инвестиционна програма'!$B$37:$B$47,$B53,'9.Инвестиционна програма'!M$37:M$47)*$E$6</f>
        <v>0</v>
      </c>
      <c r="S53" s="1087">
        <f>'11.2. ДА за периода'!S53</f>
        <v>0</v>
      </c>
      <c r="T53" s="881">
        <f>SUMIF('9.Инвестиционна програма'!$B$49:$B$56,$B53,'9.Инвестиционна програма'!H$49:H$56)*$E$6</f>
        <v>0</v>
      </c>
      <c r="U53" s="881">
        <f>SUMIF('9.Инвестиционна програма'!$B$49:$B$56,$B53,'9.Инвестиционна програма'!I$49:I$56)*$E$6</f>
        <v>0</v>
      </c>
      <c r="V53" s="881">
        <f>SUMIF('9.Инвестиционна програма'!$B$49:$B$56,$B53,'9.Инвестиционна програма'!J$49:J$56)*$E$6</f>
        <v>0</v>
      </c>
      <c r="W53" s="881">
        <f>SUMIF('9.Инвестиционна програма'!$B$49:$B$56,$B53,'9.Инвестиционна програма'!K$49:K$56)*$E$6</f>
        <v>0</v>
      </c>
      <c r="X53" s="881">
        <f>SUMIF('9.Инвестиционна програма'!$B$49:$B$56,$B53,'9.Инвестиционна програма'!L$49:L$56)*$E$6</f>
        <v>0</v>
      </c>
      <c r="Y53" s="2690">
        <f>SUMIF('9.Инвестиционна програма'!$B$49:$B$56,$B53,'9.Инвестиционна програма'!M$49:M$56)*$E$6</f>
        <v>0</v>
      </c>
      <c r="Z53" s="1087">
        <f>'11.2. ДА за периода'!Z53</f>
        <v>0</v>
      </c>
      <c r="AA53" s="881">
        <f>SUMIF('9.Инвестиционна програма'!$B$74:$B$97,$B53,'9.Инвестиционна програма'!H$74:H$97)*$E$6</f>
        <v>0</v>
      </c>
      <c r="AB53" s="881">
        <f>SUMIF('9.Инвестиционна програма'!$B$74:$B$97,$B53,'9.Инвестиционна програма'!I$74:I$97)*$E$6</f>
        <v>0</v>
      </c>
      <c r="AC53" s="881">
        <f>SUMIF('9.Инвестиционна програма'!$B$74:$B$97,$B53,'9.Инвестиционна програма'!J$74:J$97)*$E$6</f>
        <v>0</v>
      </c>
      <c r="AD53" s="881">
        <f>SUMIF('9.Инвестиционна програма'!$B$74:$B$97,$B53,'9.Инвестиционна програма'!K$74:K$97)*$E$6</f>
        <v>0</v>
      </c>
      <c r="AE53" s="881">
        <f>SUMIF('9.Инвестиционна програма'!$B$74:$B$97,$B53,'9.Инвестиционна програма'!L$74:L$97)*$E$6</f>
        <v>0</v>
      </c>
      <c r="AF53" s="881">
        <f>SUMIF('9.Инвестиционна програма'!$B$74:$B$97,$B53,'9.Инвестиционна програма'!M$74:M$97)*$E$6</f>
        <v>0</v>
      </c>
      <c r="AG53" s="1087">
        <f>'11.2. ДА за периода'!AG53</f>
        <v>0</v>
      </c>
      <c r="AH53" s="881">
        <f>SUMIF('9.Инвестиционна програма'!$B$100:$B$123,$B53,'9.Инвестиционна програма'!H$100:H$123)*$E$6</f>
        <v>0</v>
      </c>
      <c r="AI53" s="881">
        <f>SUMIF('9.Инвестиционна програма'!$B$100:$B$123,$B53,'9.Инвестиционна програма'!I$100:I$123)*$E$6</f>
        <v>0</v>
      </c>
      <c r="AJ53" s="881">
        <f>SUMIF('9.Инвестиционна програма'!$B$100:$B$123,$B53,'9.Инвестиционна програма'!J$100:J$123)*$E$6</f>
        <v>0</v>
      </c>
      <c r="AK53" s="881">
        <f>SUMIF('9.Инвестиционна програма'!$B$100:$B$123,$B53,'9.Инвестиционна програма'!K$100:K$123)*$E$6</f>
        <v>0</v>
      </c>
      <c r="AL53" s="881">
        <f>SUMIF('9.Инвестиционна програма'!$B$100:$B$123,$B53,'9.Инвестиционна програма'!L$100:L$123)*$E$6</f>
        <v>0</v>
      </c>
      <c r="AM53" s="881">
        <f>SUMIF('9.Инвестиционна програма'!$B$100:$B$123,$B53,'9.Инвестиционна програма'!M$100:M$123)*$E$6</f>
        <v>0</v>
      </c>
      <c r="AN53" s="1087">
        <f>'11.2. ДА за периода'!AN53</f>
        <v>0</v>
      </c>
      <c r="AO53" s="1206">
        <f>(SUMIF('9.Инвестиционна програма'!$B$58:$B$59,$B53,'9.Инвестиционна програма'!H$58:H$59)+SUMIF('9.Инвестиционна програма'!$B$61:$B$71,$B53,'9.Инвестиционна програма'!H$61:H$71))*$E$6</f>
        <v>0</v>
      </c>
      <c r="AP53" s="881">
        <f>(SUMIF('9.Инвестиционна програма'!$B$58:$B$59,$B53,'9.Инвестиционна програма'!I$58:I$59)+SUMIF('9.Инвестиционна програма'!$B$61:$B$71,$B53,'9.Инвестиционна програма'!I$61:I$71))*$E$6</f>
        <v>0</v>
      </c>
      <c r="AQ53" s="881">
        <f>(SUMIF('9.Инвестиционна програма'!$B$58:$B$59,$B53,'9.Инвестиционна програма'!J$58:J$59)+SUMIF('9.Инвестиционна програма'!$B$61:$B$71,$B53,'9.Инвестиционна програма'!J$61:J$71))*$E$6</f>
        <v>0</v>
      </c>
      <c r="AR53" s="881">
        <f>(SUMIF('9.Инвестиционна програма'!$B$58:$B$59,$B53,'9.Инвестиционна програма'!K$58:K$59)+SUMIF('9.Инвестиционна програма'!$B$61:$B$71,$B53,'9.Инвестиционна програма'!K$61:K$71))*$E$6</f>
        <v>0</v>
      </c>
      <c r="AS53" s="881">
        <f>(SUMIF('9.Инвестиционна програма'!$B$58:$B$59,$B53,'9.Инвестиционна програма'!L$58:L$59)+SUMIF('9.Инвестиционна програма'!$B$61:$B$71,$B53,'9.Инвестиционна програма'!L$61:L$71))*$E$6</f>
        <v>0</v>
      </c>
      <c r="AT53" s="2690">
        <f>(SUMIF('9.Инвестиционна програма'!$B$58:$B$59,$B53,'9.Инвестиционна програма'!M$58:M$59)+SUMIF('9.Инвестиционна програма'!$B$61:$B$71,$B53,'9.Инвестиционна програма'!M$61:M$71))*$E$6</f>
        <v>0</v>
      </c>
      <c r="AU53" s="4422"/>
      <c r="AV53" s="4438">
        <f t="shared" si="47"/>
        <v>0</v>
      </c>
      <c r="AW53" s="4438">
        <f t="shared" si="48"/>
        <v>0</v>
      </c>
      <c r="AX53" s="4438">
        <f t="shared" si="49"/>
        <v>0</v>
      </c>
      <c r="AY53" s="4438">
        <f t="shared" si="50"/>
        <v>0</v>
      </c>
      <c r="AZ53" s="4438">
        <f t="shared" si="51"/>
        <v>0</v>
      </c>
      <c r="BA53" s="4438">
        <f t="shared" si="52"/>
        <v>0</v>
      </c>
      <c r="BB53" s="4438">
        <f t="shared" si="53"/>
        <v>0</v>
      </c>
      <c r="BC53" s="4438">
        <f t="shared" si="54"/>
        <v>0</v>
      </c>
      <c r="BD53" s="4438">
        <f t="shared" si="55"/>
        <v>0</v>
      </c>
      <c r="BE53" s="4438">
        <f t="shared" si="56"/>
        <v>0</v>
      </c>
      <c r="BF53" s="4438">
        <f t="shared" si="57"/>
        <v>0</v>
      </c>
      <c r="BG53" s="4438">
        <f t="shared" si="58"/>
        <v>0</v>
      </c>
      <c r="BH53" s="4438">
        <f t="shared" si="59"/>
        <v>0</v>
      </c>
      <c r="BI53" s="4438">
        <f t="shared" si="60"/>
        <v>0</v>
      </c>
      <c r="BJ53" s="4438">
        <f t="shared" si="61"/>
        <v>0</v>
      </c>
      <c r="BK53" s="4438">
        <f t="shared" si="62"/>
        <v>0</v>
      </c>
      <c r="BL53" s="4438">
        <f t="shared" si="63"/>
        <v>0</v>
      </c>
      <c r="BM53" s="4438">
        <f t="shared" si="64"/>
        <v>0</v>
      </c>
      <c r="BN53" s="4438">
        <f t="shared" si="65"/>
        <v>0</v>
      </c>
      <c r="BO53" s="4438">
        <f t="shared" si="66"/>
        <v>0</v>
      </c>
      <c r="BP53" s="4438">
        <f t="shared" si="67"/>
        <v>0</v>
      </c>
      <c r="BQ53" s="4438">
        <f t="shared" si="68"/>
        <v>0</v>
      </c>
      <c r="BR53" s="4438">
        <f t="shared" si="69"/>
        <v>0</v>
      </c>
      <c r="BS53" s="4438">
        <f t="shared" si="70"/>
        <v>0</v>
      </c>
      <c r="BT53" s="4438">
        <f t="shared" si="71"/>
        <v>0</v>
      </c>
      <c r="BU53" s="4438">
        <f t="shared" si="72"/>
        <v>0</v>
      </c>
      <c r="BV53" s="4438">
        <f t="shared" si="73"/>
        <v>0</v>
      </c>
      <c r="BW53" s="4438">
        <f t="shared" si="74"/>
        <v>0</v>
      </c>
      <c r="BX53" s="4438">
        <f t="shared" si="75"/>
        <v>0</v>
      </c>
      <c r="BY53" s="4438">
        <f t="shared" si="76"/>
        <v>0</v>
      </c>
      <c r="BZ53" s="4438">
        <f t="shared" si="77"/>
        <v>0</v>
      </c>
      <c r="CA53" s="4438">
        <f t="shared" si="78"/>
        <v>0</v>
      </c>
      <c r="CB53" s="4438">
        <f t="shared" si="79"/>
        <v>0</v>
      </c>
      <c r="CC53" s="4438">
        <f t="shared" si="80"/>
        <v>0</v>
      </c>
      <c r="CD53" s="4438">
        <f t="shared" si="81"/>
        <v>0</v>
      </c>
      <c r="CE53" s="4438">
        <f t="shared" si="82"/>
        <v>0</v>
      </c>
      <c r="CF53" s="4438">
        <f t="shared" si="83"/>
        <v>0</v>
      </c>
      <c r="CG53" s="4438">
        <f t="shared" si="84"/>
        <v>0</v>
      </c>
      <c r="CH53" s="4438">
        <f t="shared" si="85"/>
        <v>0</v>
      </c>
      <c r="CI53" s="4438">
        <f t="shared" si="86"/>
        <v>0</v>
      </c>
      <c r="CJ53" s="4438">
        <f t="shared" si="87"/>
        <v>0</v>
      </c>
      <c r="CK53" s="4438">
        <f t="shared" si="88"/>
        <v>0</v>
      </c>
    </row>
    <row r="54" spans="1:89" s="30" customFormat="1">
      <c r="A54" s="2696">
        <v>7</v>
      </c>
      <c r="B54" s="3567">
        <v>208</v>
      </c>
      <c r="C54" s="3550">
        <v>0.2</v>
      </c>
      <c r="D54" s="2712" t="s">
        <v>413</v>
      </c>
      <c r="E54" s="2689">
        <f>'11.2. ДА за периода'!E54</f>
        <v>16</v>
      </c>
      <c r="F54" s="2620">
        <f>SUMIF('9.Инвестиционна програма'!$B$12:$B$35,$B54,'9.Инвестиционна програма'!H$12:H$35)*$E$6</f>
        <v>0</v>
      </c>
      <c r="G54" s="2608">
        <f>SUMIF('9.Инвестиционна програма'!$B$12:$B$35,$B54,'9.Инвестиционна програма'!I$12:I$35)*$E$6</f>
        <v>0</v>
      </c>
      <c r="H54" s="2608">
        <f>SUMIF('9.Инвестиционна програма'!$B$12:$B$35,$B54,'9.Инвестиционна програма'!J$12:J$35)*$E$6</f>
        <v>0</v>
      </c>
      <c r="I54" s="2608">
        <f>SUMIF('9.Инвестиционна програма'!$B$12:$B$35,$B54,'9.Инвестиционна програма'!K$12:K$35)*$E$6</f>
        <v>0</v>
      </c>
      <c r="J54" s="2608">
        <f>SUMIF('9.Инвестиционна програма'!$B$12:$B$35,$B54,'9.Инвестиционна програма'!L$12:L$35)*$E$6</f>
        <v>0</v>
      </c>
      <c r="K54" s="2627">
        <f>SUMIF('9.Инвестиционна програма'!$B$12:$B$35,$B54,'9.Инвестиционна програма'!M$12:M$35)*$E$6</f>
        <v>0</v>
      </c>
      <c r="L54" s="1086">
        <f>'11.2. ДА за периода'!L54</f>
        <v>4</v>
      </c>
      <c r="M54" s="2620">
        <f>SUMIF('9.Инвестиционна програма'!$B$37:$B$47,$B54,'9.Инвестиционна програма'!H$37:H$47)*$E$6</f>
        <v>0</v>
      </c>
      <c r="N54" s="2608">
        <f>SUMIF('9.Инвестиционна програма'!$B$37:$B$47,$B54,'9.Инвестиционна програма'!I$37:I$47)*$E$6</f>
        <v>0</v>
      </c>
      <c r="O54" s="2608">
        <f>SUMIF('9.Инвестиционна програма'!$B$37:$B$47,$B54,'9.Инвестиционна програма'!J$37:J$47)*$E$6</f>
        <v>0</v>
      </c>
      <c r="P54" s="2608">
        <f>SUMIF('9.Инвестиционна програма'!$B$37:$B$47,$B54,'9.Инвестиционна програма'!K$37:K$47)*$E$6</f>
        <v>0</v>
      </c>
      <c r="Q54" s="2608">
        <f>SUMIF('9.Инвестиционна програма'!$B$37:$B$47,$B54,'9.Инвестиционна програма'!L$37:L$47)*$E$6</f>
        <v>0</v>
      </c>
      <c r="R54" s="2609">
        <f>SUMIF('9.Инвестиционна програма'!$B$37:$B$47,$B54,'9.Инвестиционна програма'!M$37:M$47)*$E$6</f>
        <v>0</v>
      </c>
      <c r="S54" s="1087">
        <f>'11.2. ДА за периода'!S54</f>
        <v>8</v>
      </c>
      <c r="T54" s="2607">
        <f>SUMIF('9.Инвестиционна програма'!$B$49:$B$56,$B54,'9.Инвестиционна програма'!H$49:H$56)*$E$6</f>
        <v>0</v>
      </c>
      <c r="U54" s="2608">
        <f>SUMIF('9.Инвестиционна програма'!$B$49:$B$56,$B54,'9.Инвестиционна програма'!I$49:I$56)*$E$6</f>
        <v>0</v>
      </c>
      <c r="V54" s="2608">
        <f>SUMIF('9.Инвестиционна програма'!$B$49:$B$56,$B54,'9.Инвестиционна програма'!J$49:J$56)*$E$6</f>
        <v>0</v>
      </c>
      <c r="W54" s="2608">
        <f>SUMIF('9.Инвестиционна програма'!$B$49:$B$56,$B54,'9.Инвестиционна програма'!K$49:K$56)*$E$6</f>
        <v>0</v>
      </c>
      <c r="X54" s="2608">
        <f>SUMIF('9.Инвестиционна програма'!$B$49:$B$56,$B54,'9.Инвестиционна програма'!L$49:L$56)*$E$6</f>
        <v>0</v>
      </c>
      <c r="Y54" s="2609">
        <f>SUMIF('9.Инвестиционна програма'!$B$49:$B$56,$B54,'9.Инвестиционна програма'!M$49:M$56)*$E$6</f>
        <v>0</v>
      </c>
      <c r="Z54" s="1087">
        <f>'11.2. ДА за периода'!Z54</f>
        <v>0</v>
      </c>
      <c r="AA54" s="2607">
        <f>SUMIF('9.Инвестиционна програма'!$B$74:$B$97,$B54,'9.Инвестиционна програма'!H$74:H$97)*$E$6</f>
        <v>0</v>
      </c>
      <c r="AB54" s="2608">
        <f>SUMIF('9.Инвестиционна програма'!$B$74:$B$97,$B54,'9.Инвестиционна програма'!I$74:I$97)*$E$6</f>
        <v>0</v>
      </c>
      <c r="AC54" s="2608">
        <f>SUMIF('9.Инвестиционна програма'!$B$74:$B$97,$B54,'9.Инвестиционна програма'!J$74:J$97)*$E$6</f>
        <v>0</v>
      </c>
      <c r="AD54" s="2608">
        <f>SUMIF('9.Инвестиционна програма'!$B$74:$B$97,$B54,'9.Инвестиционна програма'!K$74:K$97)*$E$6</f>
        <v>0</v>
      </c>
      <c r="AE54" s="2608">
        <f>SUMIF('9.Инвестиционна програма'!$B$74:$B$97,$B54,'9.Инвестиционна програма'!L$74:L$97)*$E$6</f>
        <v>0</v>
      </c>
      <c r="AF54" s="2609">
        <f>SUMIF('9.Инвестиционна програма'!$B$74:$B$97,$B54,'9.Инвестиционна програма'!M$74:M$97)*$E$6</f>
        <v>0</v>
      </c>
      <c r="AG54" s="1087">
        <f>'11.2. ДА за периода'!AG54</f>
        <v>0</v>
      </c>
      <c r="AH54" s="2607">
        <f>SUMIF('9.Инвестиционна програма'!$B$100:$B$123,$B54,'9.Инвестиционна програма'!H$100:H$123)*$E$6</f>
        <v>0</v>
      </c>
      <c r="AI54" s="2608">
        <f>SUMIF('9.Инвестиционна програма'!$B$100:$B$123,$B54,'9.Инвестиционна програма'!I$100:I$123)*$E$6</f>
        <v>0</v>
      </c>
      <c r="AJ54" s="2608">
        <f>SUMIF('9.Инвестиционна програма'!$B$100:$B$123,$B54,'9.Инвестиционна програма'!J$100:J$123)*$E$6</f>
        <v>0</v>
      </c>
      <c r="AK54" s="2608">
        <f>SUMIF('9.Инвестиционна програма'!$B$100:$B$123,$B54,'9.Инвестиционна програма'!K$100:K$123)*$E$6</f>
        <v>0</v>
      </c>
      <c r="AL54" s="2608">
        <f>SUMIF('9.Инвестиционна програма'!$B$100:$B$123,$B54,'9.Инвестиционна програма'!L$100:L$123)*$E$6</f>
        <v>0</v>
      </c>
      <c r="AM54" s="2609">
        <f>SUMIF('9.Инвестиционна програма'!$B$100:$B$123,$B54,'9.Инвестиционна програма'!M$100:M$123)*$E$6</f>
        <v>0</v>
      </c>
      <c r="AN54" s="1087">
        <f>'11.2. ДА за периода'!AN54</f>
        <v>0</v>
      </c>
      <c r="AO54" s="2607">
        <f>(SUMIF('9.Инвестиционна програма'!$B$58:$B$59,$B54,'9.Инвестиционна програма'!H$58:H$59)+SUMIF('9.Инвестиционна програма'!$B$61:$B$71,$B54,'9.Инвестиционна програма'!H$61:H$71))*$E$6</f>
        <v>20</v>
      </c>
      <c r="AP54" s="2608">
        <f>(SUMIF('9.Инвестиционна програма'!$B$58:$B$59,$B54,'9.Инвестиционна програма'!I$58:I$59)+SUMIF('9.Инвестиционна програма'!$B$61:$B$71,$B54,'9.Инвестиционна програма'!I$61:I$71))*$E$6</f>
        <v>0</v>
      </c>
      <c r="AQ54" s="2608">
        <f>(SUMIF('9.Инвестиционна програма'!$B$58:$B$59,$B54,'9.Инвестиционна програма'!J$58:J$59)+SUMIF('9.Инвестиционна програма'!$B$61:$B$71,$B54,'9.Инвестиционна програма'!J$61:J$71))*$E$6</f>
        <v>0</v>
      </c>
      <c r="AR54" s="2608">
        <f>(SUMIF('9.Инвестиционна програма'!$B$58:$B$59,$B54,'9.Инвестиционна програма'!K$58:K$59)+SUMIF('9.Инвестиционна програма'!$B$61:$B$71,$B54,'9.Инвестиционна програма'!K$61:K$71))*$E$6</f>
        <v>0</v>
      </c>
      <c r="AS54" s="2608">
        <f>(SUMIF('9.Инвестиционна програма'!$B$58:$B$59,$B54,'9.Инвестиционна програма'!L$58:L$59)+SUMIF('9.Инвестиционна програма'!$B$61:$B$71,$B54,'9.Инвестиционна програма'!L$61:L$71))*$E$6</f>
        <v>0</v>
      </c>
      <c r="AT54" s="2609">
        <f>(SUMIF('9.Инвестиционна програма'!$B$58:$B$59,$B54,'9.Инвестиционна програма'!M$58:M$59)+SUMIF('9.Инвестиционна програма'!$B$61:$B$71,$B54,'9.Инвестиционна програма'!M$61:M$71))*$E$6</f>
        <v>0</v>
      </c>
      <c r="AU54" s="4422"/>
      <c r="AV54" s="4438">
        <f t="shared" si="47"/>
        <v>8.1806700991394958</v>
      </c>
      <c r="AW54" s="4438">
        <f t="shared" si="48"/>
        <v>0</v>
      </c>
      <c r="AX54" s="4438">
        <f t="shared" si="49"/>
        <v>0</v>
      </c>
      <c r="AY54" s="4438">
        <f t="shared" si="50"/>
        <v>0</v>
      </c>
      <c r="AZ54" s="4438">
        <f t="shared" si="51"/>
        <v>0</v>
      </c>
      <c r="BA54" s="4438">
        <f t="shared" si="52"/>
        <v>0</v>
      </c>
      <c r="BB54" s="4438">
        <f t="shared" si="53"/>
        <v>0</v>
      </c>
      <c r="BC54" s="4438">
        <f t="shared" si="54"/>
        <v>2.045167524784874</v>
      </c>
      <c r="BD54" s="4438">
        <f t="shared" si="55"/>
        <v>0</v>
      </c>
      <c r="BE54" s="4438">
        <f t="shared" si="56"/>
        <v>0</v>
      </c>
      <c r="BF54" s="4438">
        <f t="shared" si="57"/>
        <v>0</v>
      </c>
      <c r="BG54" s="4438">
        <f t="shared" si="58"/>
        <v>0</v>
      </c>
      <c r="BH54" s="4438">
        <f t="shared" si="59"/>
        <v>0</v>
      </c>
      <c r="BI54" s="4438">
        <f t="shared" si="60"/>
        <v>0</v>
      </c>
      <c r="BJ54" s="4438">
        <f t="shared" si="61"/>
        <v>4.0903350495697479</v>
      </c>
      <c r="BK54" s="4438">
        <f t="shared" si="62"/>
        <v>0</v>
      </c>
      <c r="BL54" s="4438">
        <f t="shared" si="63"/>
        <v>0</v>
      </c>
      <c r="BM54" s="4438">
        <f t="shared" si="64"/>
        <v>0</v>
      </c>
      <c r="BN54" s="4438">
        <f t="shared" si="65"/>
        <v>0</v>
      </c>
      <c r="BO54" s="4438">
        <f t="shared" si="66"/>
        <v>0</v>
      </c>
      <c r="BP54" s="4438">
        <f t="shared" si="67"/>
        <v>0</v>
      </c>
      <c r="BQ54" s="4438">
        <f t="shared" si="68"/>
        <v>0</v>
      </c>
      <c r="BR54" s="4438">
        <f t="shared" si="69"/>
        <v>0</v>
      </c>
      <c r="BS54" s="4438">
        <f t="shared" si="70"/>
        <v>0</v>
      </c>
      <c r="BT54" s="4438">
        <f t="shared" si="71"/>
        <v>0</v>
      </c>
      <c r="BU54" s="4438">
        <f t="shared" si="72"/>
        <v>0</v>
      </c>
      <c r="BV54" s="4438">
        <f t="shared" si="73"/>
        <v>0</v>
      </c>
      <c r="BW54" s="4438">
        <f t="shared" si="74"/>
        <v>0</v>
      </c>
      <c r="BX54" s="4438">
        <f t="shared" si="75"/>
        <v>0</v>
      </c>
      <c r="BY54" s="4438">
        <f t="shared" si="76"/>
        <v>0</v>
      </c>
      <c r="BZ54" s="4438">
        <f t="shared" si="77"/>
        <v>0</v>
      </c>
      <c r="CA54" s="4438">
        <f t="shared" si="78"/>
        <v>0</v>
      </c>
      <c r="CB54" s="4438">
        <f t="shared" si="79"/>
        <v>0</v>
      </c>
      <c r="CC54" s="4438">
        <f t="shared" si="80"/>
        <v>0</v>
      </c>
      <c r="CD54" s="4438">
        <f t="shared" si="81"/>
        <v>0</v>
      </c>
      <c r="CE54" s="4438">
        <f t="shared" si="82"/>
        <v>0</v>
      </c>
      <c r="CF54" s="4438">
        <f t="shared" si="83"/>
        <v>10.22583762392437</v>
      </c>
      <c r="CG54" s="4438">
        <f t="shared" si="84"/>
        <v>0</v>
      </c>
      <c r="CH54" s="4438">
        <f t="shared" si="85"/>
        <v>0</v>
      </c>
      <c r="CI54" s="4438">
        <f t="shared" si="86"/>
        <v>0</v>
      </c>
      <c r="CJ54" s="4438">
        <f t="shared" si="87"/>
        <v>0</v>
      </c>
      <c r="CK54" s="4438">
        <f t="shared" si="88"/>
        <v>0</v>
      </c>
    </row>
    <row r="55" spans="1:89" s="30" customFormat="1">
      <c r="A55" s="2696">
        <v>8</v>
      </c>
      <c r="B55" s="3567">
        <v>209</v>
      </c>
      <c r="C55" s="3550">
        <v>0.1</v>
      </c>
      <c r="D55" s="2712" t="s">
        <v>213</v>
      </c>
      <c r="E55" s="2689">
        <f>'11.2. ДА за периода'!E55</f>
        <v>0</v>
      </c>
      <c r="F55" s="2620">
        <f>SUMIF('9.Инвестиционна програма'!$B$12:$B$35,$B55,'9.Инвестиционна програма'!H$12:H$35)*$E$6</f>
        <v>0</v>
      </c>
      <c r="G55" s="2608">
        <f>SUMIF('9.Инвестиционна програма'!$B$12:$B$35,$B55,'9.Инвестиционна програма'!I$12:I$35)*$E$6</f>
        <v>0</v>
      </c>
      <c r="H55" s="2608">
        <f>SUMIF('9.Инвестиционна програма'!$B$12:$B$35,$B55,'9.Инвестиционна програма'!J$12:J$35)*$E$6</f>
        <v>0</v>
      </c>
      <c r="I55" s="2608">
        <f>SUMIF('9.Инвестиционна програма'!$B$12:$B$35,$B55,'9.Инвестиционна програма'!K$12:K$35)*$E$6</f>
        <v>0</v>
      </c>
      <c r="J55" s="2608">
        <f>SUMIF('9.Инвестиционна програма'!$B$12:$B$35,$B55,'9.Инвестиционна програма'!L$12:L$35)*$E$6</f>
        <v>0</v>
      </c>
      <c r="K55" s="2627">
        <f>SUMIF('9.Инвестиционна програма'!$B$12:$B$35,$B55,'9.Инвестиционна програма'!M$12:M$35)*$E$6</f>
        <v>0</v>
      </c>
      <c r="L55" s="1087">
        <f>'11.2. ДА за периода'!L55</f>
        <v>0</v>
      </c>
      <c r="M55" s="2620">
        <f>SUMIF('9.Инвестиционна програма'!$B$37:$B$47,$B55,'9.Инвестиционна програма'!H$37:H$47)*$E$6</f>
        <v>0</v>
      </c>
      <c r="N55" s="2608">
        <f>SUMIF('9.Инвестиционна програма'!$B$37:$B$47,$B55,'9.Инвестиционна програма'!I$37:I$47)*$E$6</f>
        <v>0</v>
      </c>
      <c r="O55" s="2608">
        <f>SUMIF('9.Инвестиционна програма'!$B$37:$B$47,$B55,'9.Инвестиционна програма'!J$37:J$47)*$E$6</f>
        <v>0</v>
      </c>
      <c r="P55" s="2608">
        <f>SUMIF('9.Инвестиционна програма'!$B$37:$B$47,$B55,'9.Инвестиционна програма'!K$37:K$47)*$E$6</f>
        <v>0</v>
      </c>
      <c r="Q55" s="2608">
        <f>SUMIF('9.Инвестиционна програма'!$B$37:$B$47,$B55,'9.Инвестиционна програма'!L$37:L$47)*$E$6</f>
        <v>0</v>
      </c>
      <c r="R55" s="2609">
        <f>SUMIF('9.Инвестиционна програма'!$B$37:$B$47,$B55,'9.Инвестиционна програма'!M$37:M$47)*$E$6</f>
        <v>0</v>
      </c>
      <c r="S55" s="1087">
        <f>'11.2. ДА за периода'!S55</f>
        <v>0</v>
      </c>
      <c r="T55" s="2607">
        <f>SUMIF('9.Инвестиционна програма'!$B$49:$B$56,$B55,'9.Инвестиционна програма'!H$49:H$56)*$E$6</f>
        <v>0</v>
      </c>
      <c r="U55" s="2608">
        <f>SUMIF('9.Инвестиционна програма'!$B$49:$B$56,$B55,'9.Инвестиционна програма'!I$49:I$56)*$E$6</f>
        <v>0</v>
      </c>
      <c r="V55" s="2608">
        <f>SUMIF('9.Инвестиционна програма'!$B$49:$B$56,$B55,'9.Инвестиционна програма'!J$49:J$56)*$E$6</f>
        <v>0</v>
      </c>
      <c r="W55" s="2608">
        <f>SUMIF('9.Инвестиционна програма'!$B$49:$B$56,$B55,'9.Инвестиционна програма'!K$49:K$56)*$E$6</f>
        <v>0</v>
      </c>
      <c r="X55" s="2608">
        <f>SUMIF('9.Инвестиционна програма'!$B$49:$B$56,$B55,'9.Инвестиционна програма'!L$49:L$56)*$E$6</f>
        <v>0</v>
      </c>
      <c r="Y55" s="2609">
        <f>SUMIF('9.Инвестиционна програма'!$B$49:$B$56,$B55,'9.Инвестиционна програма'!M$49:M$56)*$E$6</f>
        <v>0</v>
      </c>
      <c r="Z55" s="1087">
        <f>'11.2. ДА за периода'!Z55</f>
        <v>0</v>
      </c>
      <c r="AA55" s="2607">
        <f>SUMIF('9.Инвестиционна програма'!$B$74:$B$97,$B55,'9.Инвестиционна програма'!H$74:H$97)*$E$6</f>
        <v>0</v>
      </c>
      <c r="AB55" s="2608">
        <f>SUMIF('9.Инвестиционна програма'!$B$74:$B$97,$B55,'9.Инвестиционна програма'!I$74:I$97)*$E$6</f>
        <v>0</v>
      </c>
      <c r="AC55" s="2608">
        <f>SUMIF('9.Инвестиционна програма'!$B$74:$B$97,$B55,'9.Инвестиционна програма'!J$74:J$97)*$E$6</f>
        <v>0</v>
      </c>
      <c r="AD55" s="2608">
        <f>SUMIF('9.Инвестиционна програма'!$B$74:$B$97,$B55,'9.Инвестиционна програма'!K$74:K$97)*$E$6</f>
        <v>0</v>
      </c>
      <c r="AE55" s="2608">
        <f>SUMIF('9.Инвестиционна програма'!$B$74:$B$97,$B55,'9.Инвестиционна програма'!L$74:L$97)*$E$6</f>
        <v>0</v>
      </c>
      <c r="AF55" s="2609">
        <f>SUMIF('9.Инвестиционна програма'!$B$74:$B$97,$B55,'9.Инвестиционна програма'!M$74:M$97)*$E$6</f>
        <v>0</v>
      </c>
      <c r="AG55" s="1087">
        <f>'11.2. ДА за периода'!AG55</f>
        <v>0</v>
      </c>
      <c r="AH55" s="2607">
        <f>SUMIF('9.Инвестиционна програма'!$B$100:$B$123,$B55,'9.Инвестиционна програма'!H$100:H$123)*$E$6</f>
        <v>0</v>
      </c>
      <c r="AI55" s="2608">
        <f>SUMIF('9.Инвестиционна програма'!$B$100:$B$123,$B55,'9.Инвестиционна програма'!I$100:I$123)*$E$6</f>
        <v>0</v>
      </c>
      <c r="AJ55" s="2608">
        <f>SUMIF('9.Инвестиционна програма'!$B$100:$B$123,$B55,'9.Инвестиционна програма'!J$100:J$123)*$E$6</f>
        <v>0</v>
      </c>
      <c r="AK55" s="2608">
        <f>SUMIF('9.Инвестиционна програма'!$B$100:$B$123,$B55,'9.Инвестиционна програма'!K$100:K$123)*$E$6</f>
        <v>0</v>
      </c>
      <c r="AL55" s="2608">
        <f>SUMIF('9.Инвестиционна програма'!$B$100:$B$123,$B55,'9.Инвестиционна програма'!L$100:L$123)*$E$6</f>
        <v>0</v>
      </c>
      <c r="AM55" s="2609">
        <f>SUMIF('9.Инвестиционна програма'!$B$100:$B$123,$B55,'9.Инвестиционна програма'!M$100:M$123)*$E$6</f>
        <v>0</v>
      </c>
      <c r="AN55" s="1087">
        <f>'11.2. ДА за периода'!AN55</f>
        <v>0</v>
      </c>
      <c r="AO55" s="2607">
        <f>(SUMIF('9.Инвестиционна програма'!$B$58:$B$59,$B55,'9.Инвестиционна програма'!H$58:H$59)+SUMIF('9.Инвестиционна програма'!$B$61:$B$71,$B55,'9.Инвестиционна програма'!H$61:H$71))*$E$6</f>
        <v>0</v>
      </c>
      <c r="AP55" s="2608">
        <f>(SUMIF('9.Инвестиционна програма'!$B$58:$B$59,$B55,'9.Инвестиционна програма'!I$58:I$59)+SUMIF('9.Инвестиционна програма'!$B$61:$B$71,$B55,'9.Инвестиционна програма'!I$61:I$71))*$E$6</f>
        <v>0</v>
      </c>
      <c r="AQ55" s="2608">
        <f>(SUMIF('9.Инвестиционна програма'!$B$58:$B$59,$B55,'9.Инвестиционна програма'!J$58:J$59)+SUMIF('9.Инвестиционна програма'!$B$61:$B$71,$B55,'9.Инвестиционна програма'!J$61:J$71))*$E$6</f>
        <v>0</v>
      </c>
      <c r="AR55" s="2608">
        <f>(SUMIF('9.Инвестиционна програма'!$B$58:$B$59,$B55,'9.Инвестиционна програма'!K$58:K$59)+SUMIF('9.Инвестиционна програма'!$B$61:$B$71,$B55,'9.Инвестиционна програма'!K$61:K$71))*$E$6</f>
        <v>0</v>
      </c>
      <c r="AS55" s="2608">
        <f>(SUMIF('9.Инвестиционна програма'!$B$58:$B$59,$B55,'9.Инвестиционна програма'!L$58:L$59)+SUMIF('9.Инвестиционна програма'!$B$61:$B$71,$B55,'9.Инвестиционна програма'!L$61:L$71))*$E$6</f>
        <v>0</v>
      </c>
      <c r="AT55" s="2609">
        <f>(SUMIF('9.Инвестиционна програма'!$B$58:$B$59,$B55,'9.Инвестиционна програма'!M$58:M$59)+SUMIF('9.Инвестиционна програма'!$B$61:$B$71,$B55,'9.Инвестиционна програма'!M$61:M$71))*$E$6</f>
        <v>0</v>
      </c>
      <c r="AU55" s="4422"/>
      <c r="AV55" s="4438">
        <f t="shared" si="47"/>
        <v>0</v>
      </c>
      <c r="AW55" s="4438">
        <f t="shared" si="48"/>
        <v>0</v>
      </c>
      <c r="AX55" s="4438">
        <f t="shared" si="49"/>
        <v>0</v>
      </c>
      <c r="AY55" s="4438">
        <f t="shared" si="50"/>
        <v>0</v>
      </c>
      <c r="AZ55" s="4438">
        <f t="shared" si="51"/>
        <v>0</v>
      </c>
      <c r="BA55" s="4438">
        <f t="shared" si="52"/>
        <v>0</v>
      </c>
      <c r="BB55" s="4438">
        <f t="shared" si="53"/>
        <v>0</v>
      </c>
      <c r="BC55" s="4438">
        <f t="shared" si="54"/>
        <v>0</v>
      </c>
      <c r="BD55" s="4438">
        <f t="shared" si="55"/>
        <v>0</v>
      </c>
      <c r="BE55" s="4438">
        <f t="shared" si="56"/>
        <v>0</v>
      </c>
      <c r="BF55" s="4438">
        <f t="shared" si="57"/>
        <v>0</v>
      </c>
      <c r="BG55" s="4438">
        <f t="shared" si="58"/>
        <v>0</v>
      </c>
      <c r="BH55" s="4438">
        <f t="shared" si="59"/>
        <v>0</v>
      </c>
      <c r="BI55" s="4438">
        <f t="shared" si="60"/>
        <v>0</v>
      </c>
      <c r="BJ55" s="4438">
        <f t="shared" si="61"/>
        <v>0</v>
      </c>
      <c r="BK55" s="4438">
        <f t="shared" si="62"/>
        <v>0</v>
      </c>
      <c r="BL55" s="4438">
        <f t="shared" si="63"/>
        <v>0</v>
      </c>
      <c r="BM55" s="4438">
        <f t="shared" si="64"/>
        <v>0</v>
      </c>
      <c r="BN55" s="4438">
        <f t="shared" si="65"/>
        <v>0</v>
      </c>
      <c r="BO55" s="4438">
        <f t="shared" si="66"/>
        <v>0</v>
      </c>
      <c r="BP55" s="4438">
        <f t="shared" si="67"/>
        <v>0</v>
      </c>
      <c r="BQ55" s="4438">
        <f t="shared" si="68"/>
        <v>0</v>
      </c>
      <c r="BR55" s="4438">
        <f t="shared" si="69"/>
        <v>0</v>
      </c>
      <c r="BS55" s="4438">
        <f t="shared" si="70"/>
        <v>0</v>
      </c>
      <c r="BT55" s="4438">
        <f t="shared" si="71"/>
        <v>0</v>
      </c>
      <c r="BU55" s="4438">
        <f t="shared" si="72"/>
        <v>0</v>
      </c>
      <c r="BV55" s="4438">
        <f t="shared" si="73"/>
        <v>0</v>
      </c>
      <c r="BW55" s="4438">
        <f t="shared" si="74"/>
        <v>0</v>
      </c>
      <c r="BX55" s="4438">
        <f t="shared" si="75"/>
        <v>0</v>
      </c>
      <c r="BY55" s="4438">
        <f t="shared" si="76"/>
        <v>0</v>
      </c>
      <c r="BZ55" s="4438">
        <f t="shared" si="77"/>
        <v>0</v>
      </c>
      <c r="CA55" s="4438">
        <f t="shared" si="78"/>
        <v>0</v>
      </c>
      <c r="CB55" s="4438">
        <f t="shared" si="79"/>
        <v>0</v>
      </c>
      <c r="CC55" s="4438">
        <f t="shared" si="80"/>
        <v>0</v>
      </c>
      <c r="CD55" s="4438">
        <f t="shared" si="81"/>
        <v>0</v>
      </c>
      <c r="CE55" s="4438">
        <f t="shared" si="82"/>
        <v>0</v>
      </c>
      <c r="CF55" s="4438">
        <f t="shared" si="83"/>
        <v>0</v>
      </c>
      <c r="CG55" s="4438">
        <f t="shared" si="84"/>
        <v>0</v>
      </c>
      <c r="CH55" s="4438">
        <f t="shared" si="85"/>
        <v>0</v>
      </c>
      <c r="CI55" s="4438">
        <f t="shared" si="86"/>
        <v>0</v>
      </c>
      <c r="CJ55" s="4438">
        <f t="shared" si="87"/>
        <v>0</v>
      </c>
      <c r="CK55" s="4438">
        <f t="shared" si="88"/>
        <v>0</v>
      </c>
    </row>
    <row r="56" spans="1:89" s="30" customFormat="1" ht="17.25" customHeight="1">
      <c r="A56" s="2696">
        <v>9</v>
      </c>
      <c r="B56" s="3567">
        <v>212</v>
      </c>
      <c r="C56" s="3550">
        <v>0.2</v>
      </c>
      <c r="D56" s="2723" t="s">
        <v>214</v>
      </c>
      <c r="E56" s="2689">
        <f>'11.2. ДА за периода'!E56</f>
        <v>4</v>
      </c>
      <c r="F56" s="2620">
        <f>SUMIF('9.Инвестиционна програма'!$B$12:$B$35,$B56,'9.Инвестиционна програма'!H$12:H$35)*$E$6</f>
        <v>0</v>
      </c>
      <c r="G56" s="2608">
        <f>SUMIF('9.Инвестиционна програма'!$B$12:$B$35,$B56,'9.Инвестиционна програма'!I$12:I$35)*$E$6</f>
        <v>0</v>
      </c>
      <c r="H56" s="2608">
        <f>SUMIF('9.Инвестиционна програма'!$B$12:$B$35,$B56,'9.Инвестиционна програма'!J$12:J$35)*$E$6</f>
        <v>0</v>
      </c>
      <c r="I56" s="2608">
        <f>SUMIF('9.Инвестиционна програма'!$B$12:$B$35,$B56,'9.Инвестиционна програма'!K$12:K$35)*$E$6</f>
        <v>0</v>
      </c>
      <c r="J56" s="2608">
        <f>SUMIF('9.Инвестиционна програма'!$B$12:$B$35,$B56,'9.Инвестиционна програма'!L$12:L$35)*$E$6</f>
        <v>0</v>
      </c>
      <c r="K56" s="2627">
        <f>SUMIF('9.Инвестиционна програма'!$B$12:$B$35,$B56,'9.Инвестиционна програма'!M$12:M$35)*$E$6</f>
        <v>0</v>
      </c>
      <c r="L56" s="1087">
        <f>'11.2. ДА за периода'!L56</f>
        <v>3</v>
      </c>
      <c r="M56" s="2620">
        <f>SUMIF('9.Инвестиционна програма'!$B$37:$B$47,$B56,'9.Инвестиционна програма'!H$37:H$47)*$E$6</f>
        <v>0</v>
      </c>
      <c r="N56" s="2608">
        <f>SUMIF('9.Инвестиционна програма'!$B$37:$B$47,$B56,'9.Инвестиционна програма'!I$37:I$47)*$E$6</f>
        <v>0</v>
      </c>
      <c r="O56" s="2608">
        <f>SUMIF('9.Инвестиционна програма'!$B$37:$B$47,$B56,'9.Инвестиционна програма'!J$37:J$47)*$E$6</f>
        <v>0</v>
      </c>
      <c r="P56" s="2608">
        <f>SUMIF('9.Инвестиционна програма'!$B$37:$B$47,$B56,'9.Инвестиционна програма'!K$37:K$47)*$E$6</f>
        <v>0</v>
      </c>
      <c r="Q56" s="2608">
        <f>SUMIF('9.Инвестиционна програма'!$B$37:$B$47,$B56,'9.Инвестиционна програма'!L$37:L$47)*$E$6</f>
        <v>0</v>
      </c>
      <c r="R56" s="2609">
        <f>SUMIF('9.Инвестиционна програма'!$B$37:$B$47,$B56,'9.Инвестиционна програма'!M$37:M$47)*$E$6</f>
        <v>0</v>
      </c>
      <c r="S56" s="1087">
        <f>'11.2. ДА за периода'!S56</f>
        <v>6</v>
      </c>
      <c r="T56" s="2607">
        <f>SUMIF('9.Инвестиционна програма'!$B$49:$B$56,$B56,'9.Инвестиционна програма'!H$49:H$56)*$E$6</f>
        <v>0</v>
      </c>
      <c r="U56" s="2608">
        <f>SUMIF('9.Инвестиционна програма'!$B$49:$B$56,$B56,'9.Инвестиционна програма'!I$49:I$56)*$E$6</f>
        <v>0</v>
      </c>
      <c r="V56" s="2608">
        <f>SUMIF('9.Инвестиционна програма'!$B$49:$B$56,$B56,'9.Инвестиционна програма'!J$49:J$56)*$E$6</f>
        <v>0</v>
      </c>
      <c r="W56" s="2608">
        <f>SUMIF('9.Инвестиционна програма'!$B$49:$B$56,$B56,'9.Инвестиционна програма'!K$49:K$56)*$E$6</f>
        <v>0</v>
      </c>
      <c r="X56" s="2608">
        <f>SUMIF('9.Инвестиционна програма'!$B$49:$B$56,$B56,'9.Инвестиционна програма'!L$49:L$56)*$E$6</f>
        <v>0</v>
      </c>
      <c r="Y56" s="2609">
        <f>SUMIF('9.Инвестиционна програма'!$B$49:$B$56,$B56,'9.Инвестиционна програма'!M$49:M$56)*$E$6</f>
        <v>0</v>
      </c>
      <c r="Z56" s="1087">
        <f>'11.2. ДА за периода'!Z56</f>
        <v>0</v>
      </c>
      <c r="AA56" s="2607">
        <f>SUMIF('9.Инвестиционна програма'!$B$74:$B$97,$B56,'9.Инвестиционна програма'!H$74:H$97)*$E$6</f>
        <v>0</v>
      </c>
      <c r="AB56" s="2608">
        <f>SUMIF('9.Инвестиционна програма'!$B$74:$B$97,$B56,'9.Инвестиционна програма'!I$74:I$97)*$E$6</f>
        <v>0</v>
      </c>
      <c r="AC56" s="2608">
        <f>SUMIF('9.Инвестиционна програма'!$B$74:$B$97,$B56,'9.Инвестиционна програма'!J$74:J$97)*$E$6</f>
        <v>0</v>
      </c>
      <c r="AD56" s="2608">
        <f>SUMIF('9.Инвестиционна програма'!$B$74:$B$97,$B56,'9.Инвестиционна програма'!K$74:K$97)*$E$6</f>
        <v>0</v>
      </c>
      <c r="AE56" s="2608">
        <f>SUMIF('9.Инвестиционна програма'!$B$74:$B$97,$B56,'9.Инвестиционна програма'!L$74:L$97)*$E$6</f>
        <v>0</v>
      </c>
      <c r="AF56" s="2609">
        <f>SUMIF('9.Инвестиционна програма'!$B$74:$B$97,$B56,'9.Инвестиционна програма'!M$74:M$97)*$E$6</f>
        <v>0</v>
      </c>
      <c r="AG56" s="1087">
        <f>'11.2. ДА за периода'!AG56</f>
        <v>0</v>
      </c>
      <c r="AH56" s="2607">
        <f>SUMIF('9.Инвестиционна програма'!$B$100:$B$123,$B56,'9.Инвестиционна програма'!H$100:H$123)*$E$6</f>
        <v>0</v>
      </c>
      <c r="AI56" s="2608">
        <f>SUMIF('9.Инвестиционна програма'!$B$100:$B$123,$B56,'9.Инвестиционна програма'!I$100:I$123)*$E$6</f>
        <v>0</v>
      </c>
      <c r="AJ56" s="2608">
        <f>SUMIF('9.Инвестиционна програма'!$B$100:$B$123,$B56,'9.Инвестиционна програма'!J$100:J$123)*$E$6</f>
        <v>0</v>
      </c>
      <c r="AK56" s="2608">
        <f>SUMIF('9.Инвестиционна програма'!$B$100:$B$123,$B56,'9.Инвестиционна програма'!K$100:K$123)*$E$6</f>
        <v>0</v>
      </c>
      <c r="AL56" s="2608">
        <f>SUMIF('9.Инвестиционна програма'!$B$100:$B$123,$B56,'9.Инвестиционна програма'!L$100:L$123)*$E$6</f>
        <v>0</v>
      </c>
      <c r="AM56" s="2609">
        <f>SUMIF('9.Инвестиционна програма'!$B$100:$B$123,$B56,'9.Инвестиционна програма'!M$100:M$123)*$E$6</f>
        <v>0</v>
      </c>
      <c r="AN56" s="1087">
        <f>'11.2. ДА за периода'!AN56</f>
        <v>0</v>
      </c>
      <c r="AO56" s="2607">
        <f>(SUMIF('9.Инвестиционна програма'!$B$58:$B$59,$B56,'9.Инвестиционна програма'!H$58:H$59)+SUMIF('9.Инвестиционна програма'!$B$61:$B$71,$B56,'9.Инвестиционна програма'!H$61:H$71))*$E$6</f>
        <v>20</v>
      </c>
      <c r="AP56" s="2608">
        <f>(SUMIF('9.Инвестиционна програма'!$B$58:$B$59,$B56,'9.Инвестиционна програма'!I$58:I$59)+SUMIF('9.Инвестиционна програма'!$B$61:$B$71,$B56,'9.Инвестиционна програма'!I$61:I$71))*$E$6</f>
        <v>0</v>
      </c>
      <c r="AQ56" s="2608">
        <f>(SUMIF('9.Инвестиционна програма'!$B$58:$B$59,$B56,'9.Инвестиционна програма'!J$58:J$59)+SUMIF('9.Инвестиционна програма'!$B$61:$B$71,$B56,'9.Инвестиционна програма'!J$61:J$71))*$E$6</f>
        <v>0</v>
      </c>
      <c r="AR56" s="2608">
        <f>(SUMIF('9.Инвестиционна програма'!$B$58:$B$59,$B56,'9.Инвестиционна програма'!K$58:K$59)+SUMIF('9.Инвестиционна програма'!$B$61:$B$71,$B56,'9.Инвестиционна програма'!K$61:K$71))*$E$6</f>
        <v>0</v>
      </c>
      <c r="AS56" s="2608">
        <f>(SUMIF('9.Инвестиционна програма'!$B$58:$B$59,$B56,'9.Инвестиционна програма'!L$58:L$59)+SUMIF('9.Инвестиционна програма'!$B$61:$B$71,$B56,'9.Инвестиционна програма'!L$61:L$71))*$E$6</f>
        <v>0</v>
      </c>
      <c r="AT56" s="2609">
        <f>(SUMIF('9.Инвестиционна програма'!$B$58:$B$59,$B56,'9.Инвестиционна програма'!M$58:M$59)+SUMIF('9.Инвестиционна програма'!$B$61:$B$71,$B56,'9.Инвестиционна програма'!M$61:M$71))*$E$6</f>
        <v>0</v>
      </c>
      <c r="AU56" s="4422"/>
      <c r="AV56" s="4438">
        <f t="shared" si="47"/>
        <v>2.045167524784874</v>
      </c>
      <c r="AW56" s="4438">
        <f t="shared" si="48"/>
        <v>0</v>
      </c>
      <c r="AX56" s="4438">
        <f t="shared" si="49"/>
        <v>0</v>
      </c>
      <c r="AY56" s="4438">
        <f t="shared" si="50"/>
        <v>0</v>
      </c>
      <c r="AZ56" s="4438">
        <f t="shared" si="51"/>
        <v>0</v>
      </c>
      <c r="BA56" s="4438">
        <f t="shared" si="52"/>
        <v>0</v>
      </c>
      <c r="BB56" s="4438">
        <f t="shared" si="53"/>
        <v>0</v>
      </c>
      <c r="BC56" s="4438">
        <f t="shared" si="54"/>
        <v>1.5338756435886556</v>
      </c>
      <c r="BD56" s="4438">
        <f t="shared" si="55"/>
        <v>0</v>
      </c>
      <c r="BE56" s="4438">
        <f t="shared" si="56"/>
        <v>0</v>
      </c>
      <c r="BF56" s="4438">
        <f t="shared" si="57"/>
        <v>0</v>
      </c>
      <c r="BG56" s="4438">
        <f t="shared" si="58"/>
        <v>0</v>
      </c>
      <c r="BH56" s="4438">
        <f t="shared" si="59"/>
        <v>0</v>
      </c>
      <c r="BI56" s="4438">
        <f t="shared" si="60"/>
        <v>0</v>
      </c>
      <c r="BJ56" s="4438">
        <f t="shared" si="61"/>
        <v>3.0677512871773112</v>
      </c>
      <c r="BK56" s="4438">
        <f t="shared" si="62"/>
        <v>0</v>
      </c>
      <c r="BL56" s="4438">
        <f t="shared" si="63"/>
        <v>0</v>
      </c>
      <c r="BM56" s="4438">
        <f t="shared" si="64"/>
        <v>0</v>
      </c>
      <c r="BN56" s="4438">
        <f t="shared" si="65"/>
        <v>0</v>
      </c>
      <c r="BO56" s="4438">
        <f t="shared" si="66"/>
        <v>0</v>
      </c>
      <c r="BP56" s="4438">
        <f t="shared" si="67"/>
        <v>0</v>
      </c>
      <c r="BQ56" s="4438">
        <f t="shared" si="68"/>
        <v>0</v>
      </c>
      <c r="BR56" s="4438">
        <f t="shared" si="69"/>
        <v>0</v>
      </c>
      <c r="BS56" s="4438">
        <f t="shared" si="70"/>
        <v>0</v>
      </c>
      <c r="BT56" s="4438">
        <f t="shared" si="71"/>
        <v>0</v>
      </c>
      <c r="BU56" s="4438">
        <f t="shared" si="72"/>
        <v>0</v>
      </c>
      <c r="BV56" s="4438">
        <f t="shared" si="73"/>
        <v>0</v>
      </c>
      <c r="BW56" s="4438">
        <f t="shared" si="74"/>
        <v>0</v>
      </c>
      <c r="BX56" s="4438">
        <f t="shared" si="75"/>
        <v>0</v>
      </c>
      <c r="BY56" s="4438">
        <f t="shared" si="76"/>
        <v>0</v>
      </c>
      <c r="BZ56" s="4438">
        <f t="shared" si="77"/>
        <v>0</v>
      </c>
      <c r="CA56" s="4438">
        <f t="shared" si="78"/>
        <v>0</v>
      </c>
      <c r="CB56" s="4438">
        <f t="shared" si="79"/>
        <v>0</v>
      </c>
      <c r="CC56" s="4438">
        <f t="shared" si="80"/>
        <v>0</v>
      </c>
      <c r="CD56" s="4438">
        <f t="shared" si="81"/>
        <v>0</v>
      </c>
      <c r="CE56" s="4438">
        <f t="shared" si="82"/>
        <v>0</v>
      </c>
      <c r="CF56" s="4438">
        <f t="shared" si="83"/>
        <v>10.22583762392437</v>
      </c>
      <c r="CG56" s="4438">
        <f t="shared" si="84"/>
        <v>0</v>
      </c>
      <c r="CH56" s="4438">
        <f t="shared" si="85"/>
        <v>0</v>
      </c>
      <c r="CI56" s="4438">
        <f t="shared" si="86"/>
        <v>0</v>
      </c>
      <c r="CJ56" s="4438">
        <f t="shared" si="87"/>
        <v>0</v>
      </c>
      <c r="CK56" s="4438">
        <f t="shared" si="88"/>
        <v>0</v>
      </c>
    </row>
    <row r="57" spans="1:89" s="30" customFormat="1">
      <c r="A57" s="2696">
        <v>10</v>
      </c>
      <c r="B57" s="3567">
        <v>213</v>
      </c>
      <c r="C57" s="3550">
        <v>0.2</v>
      </c>
      <c r="D57" s="2695" t="s">
        <v>215</v>
      </c>
      <c r="E57" s="2689">
        <f>'11.2. ДА за периода'!E57</f>
        <v>0</v>
      </c>
      <c r="F57" s="2620">
        <f>SUMIF('9.Инвестиционна програма'!$B$12:$B$35,$B57,'9.Инвестиционна програма'!H$12:H$35)*$E$6</f>
        <v>0</v>
      </c>
      <c r="G57" s="2608">
        <f>SUMIF('9.Инвестиционна програма'!$B$12:$B$35,$B57,'9.Инвестиционна програма'!I$12:I$35)*$E$6</f>
        <v>0</v>
      </c>
      <c r="H57" s="2608">
        <f>SUMIF('9.Инвестиционна програма'!$B$12:$B$35,$B57,'9.Инвестиционна програма'!J$12:J$35)*$E$6</f>
        <v>0</v>
      </c>
      <c r="I57" s="2608">
        <f>SUMIF('9.Инвестиционна програма'!$B$12:$B$35,$B57,'9.Инвестиционна програма'!K$12:K$35)*$E$6</f>
        <v>0</v>
      </c>
      <c r="J57" s="2608">
        <f>SUMIF('9.Инвестиционна програма'!$B$12:$B$35,$B57,'9.Инвестиционна програма'!L$12:L$35)*$E$6</f>
        <v>0</v>
      </c>
      <c r="K57" s="2627">
        <f>SUMIF('9.Инвестиционна програма'!$B$12:$B$35,$B57,'9.Инвестиционна програма'!M$12:M$35)*$E$6</f>
        <v>0</v>
      </c>
      <c r="L57" s="1087">
        <f>'11.2. ДА за периода'!L57</f>
        <v>0</v>
      </c>
      <c r="M57" s="2620">
        <f>SUMIF('9.Инвестиционна програма'!$B$37:$B$47,$B57,'9.Инвестиционна програма'!H$37:H$47)*$E$6</f>
        <v>0</v>
      </c>
      <c r="N57" s="2608">
        <f>SUMIF('9.Инвестиционна програма'!$B$37:$B$47,$B57,'9.Инвестиционна програма'!I$37:I$47)*$E$6</f>
        <v>0</v>
      </c>
      <c r="O57" s="2608">
        <f>SUMIF('9.Инвестиционна програма'!$B$37:$B$47,$B57,'9.Инвестиционна програма'!J$37:J$47)*$E$6</f>
        <v>0</v>
      </c>
      <c r="P57" s="2608">
        <f>SUMIF('9.Инвестиционна програма'!$B$37:$B$47,$B57,'9.Инвестиционна програма'!K$37:K$47)*$E$6</f>
        <v>0</v>
      </c>
      <c r="Q57" s="2608">
        <f>SUMIF('9.Инвестиционна програма'!$B$37:$B$47,$B57,'9.Инвестиционна програма'!L$37:L$47)*$E$6</f>
        <v>0</v>
      </c>
      <c r="R57" s="2609">
        <f>SUMIF('9.Инвестиционна програма'!$B$37:$B$47,$B57,'9.Инвестиционна програма'!M$37:M$47)*$E$6</f>
        <v>0</v>
      </c>
      <c r="S57" s="1087">
        <f>'11.2. ДА за периода'!S57</f>
        <v>0</v>
      </c>
      <c r="T57" s="2607">
        <f>SUMIF('9.Инвестиционна програма'!$B$49:$B$56,$B57,'9.Инвестиционна програма'!H$49:H$56)*$E$6</f>
        <v>0</v>
      </c>
      <c r="U57" s="2608">
        <f>SUMIF('9.Инвестиционна програма'!$B$49:$B$56,$B57,'9.Инвестиционна програма'!I$49:I$56)*$E$6</f>
        <v>0</v>
      </c>
      <c r="V57" s="2608">
        <f>SUMIF('9.Инвестиционна програма'!$B$49:$B$56,$B57,'9.Инвестиционна програма'!J$49:J$56)*$E$6</f>
        <v>0</v>
      </c>
      <c r="W57" s="2608">
        <f>SUMIF('9.Инвестиционна програма'!$B$49:$B$56,$B57,'9.Инвестиционна програма'!K$49:K$56)*$E$6</f>
        <v>0</v>
      </c>
      <c r="X57" s="2608">
        <f>SUMIF('9.Инвестиционна програма'!$B$49:$B$56,$B57,'9.Инвестиционна програма'!L$49:L$56)*$E$6</f>
        <v>0</v>
      </c>
      <c r="Y57" s="2609">
        <f>SUMIF('9.Инвестиционна програма'!$B$49:$B$56,$B57,'9.Инвестиционна програма'!M$49:M$56)*$E$6</f>
        <v>0</v>
      </c>
      <c r="Z57" s="1087">
        <f>'11.2. ДА за периода'!Z57</f>
        <v>0</v>
      </c>
      <c r="AA57" s="2607">
        <f>SUMIF('9.Инвестиционна програма'!$B$74:$B$97,$B57,'9.Инвестиционна програма'!H$74:H$97)*$E$6</f>
        <v>0</v>
      </c>
      <c r="AB57" s="2608">
        <f>SUMIF('9.Инвестиционна програма'!$B$74:$B$97,$B57,'9.Инвестиционна програма'!I$74:I$97)*$E$6</f>
        <v>0</v>
      </c>
      <c r="AC57" s="2608">
        <f>SUMIF('9.Инвестиционна програма'!$B$74:$B$97,$B57,'9.Инвестиционна програма'!J$74:J$97)*$E$6</f>
        <v>0</v>
      </c>
      <c r="AD57" s="2608">
        <f>SUMIF('9.Инвестиционна програма'!$B$74:$B$97,$B57,'9.Инвестиционна програма'!K$74:K$97)*$E$6</f>
        <v>0</v>
      </c>
      <c r="AE57" s="2608">
        <f>SUMIF('9.Инвестиционна програма'!$B$74:$B$97,$B57,'9.Инвестиционна програма'!L$74:L$97)*$E$6</f>
        <v>0</v>
      </c>
      <c r="AF57" s="2609">
        <f>SUMIF('9.Инвестиционна програма'!$B$74:$B$97,$B57,'9.Инвестиционна програма'!M$74:M$97)*$E$6</f>
        <v>0</v>
      </c>
      <c r="AG57" s="1087">
        <f>'11.2. ДА за периода'!AG57</f>
        <v>0</v>
      </c>
      <c r="AH57" s="2607">
        <f>SUMIF('9.Инвестиционна програма'!$B$100:$B$123,$B57,'9.Инвестиционна програма'!H$100:H$123)*$E$6</f>
        <v>0</v>
      </c>
      <c r="AI57" s="2608">
        <f>SUMIF('9.Инвестиционна програма'!$B$100:$B$123,$B57,'9.Инвестиционна програма'!I$100:I$123)*$E$6</f>
        <v>0</v>
      </c>
      <c r="AJ57" s="2608">
        <f>SUMIF('9.Инвестиционна програма'!$B$100:$B$123,$B57,'9.Инвестиционна програма'!J$100:J$123)*$E$6</f>
        <v>0</v>
      </c>
      <c r="AK57" s="2608">
        <f>SUMIF('9.Инвестиционна програма'!$B$100:$B$123,$B57,'9.Инвестиционна програма'!K$100:K$123)*$E$6</f>
        <v>0</v>
      </c>
      <c r="AL57" s="2608">
        <f>SUMIF('9.Инвестиционна програма'!$B$100:$B$123,$B57,'9.Инвестиционна програма'!L$100:L$123)*$E$6</f>
        <v>0</v>
      </c>
      <c r="AM57" s="2609">
        <f>SUMIF('9.Инвестиционна програма'!$B$100:$B$123,$B57,'9.Инвестиционна програма'!M$100:M$123)*$E$6</f>
        <v>0</v>
      </c>
      <c r="AN57" s="1087">
        <f>'11.2. ДА за периода'!AN57</f>
        <v>0</v>
      </c>
      <c r="AO57" s="2607">
        <f>(SUMIF('9.Инвестиционна програма'!$B$58:$B$59,$B57,'9.Инвестиционна програма'!H$58:H$59)+SUMIF('9.Инвестиционна програма'!$B$61:$B$71,$B57,'9.Инвестиционна програма'!H$61:H$71))*$E$6</f>
        <v>0</v>
      </c>
      <c r="AP57" s="2608">
        <f>(SUMIF('9.Инвестиционна програма'!$B$58:$B$59,$B57,'9.Инвестиционна програма'!I$58:I$59)+SUMIF('9.Инвестиционна програма'!$B$61:$B$71,$B57,'9.Инвестиционна програма'!I$61:I$71))*$E$6</f>
        <v>0</v>
      </c>
      <c r="AQ57" s="2608">
        <f>(SUMIF('9.Инвестиционна програма'!$B$58:$B$59,$B57,'9.Инвестиционна програма'!J$58:J$59)+SUMIF('9.Инвестиционна програма'!$B$61:$B$71,$B57,'9.Инвестиционна програма'!J$61:J$71))*$E$6</f>
        <v>0</v>
      </c>
      <c r="AR57" s="2608">
        <f>(SUMIF('9.Инвестиционна програма'!$B$58:$B$59,$B57,'9.Инвестиционна програма'!K$58:K$59)+SUMIF('9.Инвестиционна програма'!$B$61:$B$71,$B57,'9.Инвестиционна програма'!K$61:K$71))*$E$6</f>
        <v>0</v>
      </c>
      <c r="AS57" s="2608">
        <f>(SUMIF('9.Инвестиционна програма'!$B$58:$B$59,$B57,'9.Инвестиционна програма'!L$58:L$59)+SUMIF('9.Инвестиционна програма'!$B$61:$B$71,$B57,'9.Инвестиционна програма'!L$61:L$71))*$E$6</f>
        <v>0</v>
      </c>
      <c r="AT57" s="2609">
        <f>(SUMIF('9.Инвестиционна програма'!$B$58:$B$59,$B57,'9.Инвестиционна програма'!M$58:M$59)+SUMIF('9.Инвестиционна програма'!$B$61:$B$71,$B57,'9.Инвестиционна програма'!M$61:M$71))*$E$6</f>
        <v>0</v>
      </c>
      <c r="AU57" s="4422"/>
      <c r="AV57" s="4438">
        <f t="shared" si="47"/>
        <v>0</v>
      </c>
      <c r="AW57" s="4438">
        <f t="shared" si="48"/>
        <v>0</v>
      </c>
      <c r="AX57" s="4438">
        <f t="shared" si="49"/>
        <v>0</v>
      </c>
      <c r="AY57" s="4438">
        <f t="shared" si="50"/>
        <v>0</v>
      </c>
      <c r="AZ57" s="4438">
        <f t="shared" si="51"/>
        <v>0</v>
      </c>
      <c r="BA57" s="4438">
        <f t="shared" si="52"/>
        <v>0</v>
      </c>
      <c r="BB57" s="4438">
        <f t="shared" si="53"/>
        <v>0</v>
      </c>
      <c r="BC57" s="4438">
        <f t="shared" si="54"/>
        <v>0</v>
      </c>
      <c r="BD57" s="4438">
        <f t="shared" si="55"/>
        <v>0</v>
      </c>
      <c r="BE57" s="4438">
        <f t="shared" si="56"/>
        <v>0</v>
      </c>
      <c r="BF57" s="4438">
        <f t="shared" si="57"/>
        <v>0</v>
      </c>
      <c r="BG57" s="4438">
        <f t="shared" si="58"/>
        <v>0</v>
      </c>
      <c r="BH57" s="4438">
        <f t="shared" si="59"/>
        <v>0</v>
      </c>
      <c r="BI57" s="4438">
        <f t="shared" si="60"/>
        <v>0</v>
      </c>
      <c r="BJ57" s="4438">
        <f t="shared" si="61"/>
        <v>0</v>
      </c>
      <c r="BK57" s="4438">
        <f t="shared" si="62"/>
        <v>0</v>
      </c>
      <c r="BL57" s="4438">
        <f t="shared" si="63"/>
        <v>0</v>
      </c>
      <c r="BM57" s="4438">
        <f t="shared" si="64"/>
        <v>0</v>
      </c>
      <c r="BN57" s="4438">
        <f t="shared" si="65"/>
        <v>0</v>
      </c>
      <c r="BO57" s="4438">
        <f t="shared" si="66"/>
        <v>0</v>
      </c>
      <c r="BP57" s="4438">
        <f t="shared" si="67"/>
        <v>0</v>
      </c>
      <c r="BQ57" s="4438">
        <f t="shared" si="68"/>
        <v>0</v>
      </c>
      <c r="BR57" s="4438">
        <f t="shared" si="69"/>
        <v>0</v>
      </c>
      <c r="BS57" s="4438">
        <f t="shared" si="70"/>
        <v>0</v>
      </c>
      <c r="BT57" s="4438">
        <f t="shared" si="71"/>
        <v>0</v>
      </c>
      <c r="BU57" s="4438">
        <f t="shared" si="72"/>
        <v>0</v>
      </c>
      <c r="BV57" s="4438">
        <f t="shared" si="73"/>
        <v>0</v>
      </c>
      <c r="BW57" s="4438">
        <f t="shared" si="74"/>
        <v>0</v>
      </c>
      <c r="BX57" s="4438">
        <f t="shared" si="75"/>
        <v>0</v>
      </c>
      <c r="BY57" s="4438">
        <f t="shared" si="76"/>
        <v>0</v>
      </c>
      <c r="BZ57" s="4438">
        <f t="shared" si="77"/>
        <v>0</v>
      </c>
      <c r="CA57" s="4438">
        <f t="shared" si="78"/>
        <v>0</v>
      </c>
      <c r="CB57" s="4438">
        <f t="shared" si="79"/>
        <v>0</v>
      </c>
      <c r="CC57" s="4438">
        <f t="shared" si="80"/>
        <v>0</v>
      </c>
      <c r="CD57" s="4438">
        <f t="shared" si="81"/>
        <v>0</v>
      </c>
      <c r="CE57" s="4438">
        <f t="shared" si="82"/>
        <v>0</v>
      </c>
      <c r="CF57" s="4438">
        <f t="shared" si="83"/>
        <v>0</v>
      </c>
      <c r="CG57" s="4438">
        <f t="shared" si="84"/>
        <v>0</v>
      </c>
      <c r="CH57" s="4438">
        <f t="shared" si="85"/>
        <v>0</v>
      </c>
      <c r="CI57" s="4438">
        <f t="shared" si="86"/>
        <v>0</v>
      </c>
      <c r="CJ57" s="4438">
        <f t="shared" si="87"/>
        <v>0</v>
      </c>
      <c r="CK57" s="4438">
        <f t="shared" si="88"/>
        <v>0</v>
      </c>
    </row>
    <row r="58" spans="1:89" s="30" customFormat="1" ht="24">
      <c r="A58" s="2696">
        <v>11</v>
      </c>
      <c r="B58" s="3567">
        <v>215</v>
      </c>
      <c r="C58" s="3550">
        <v>0.2</v>
      </c>
      <c r="D58" s="2695" t="s">
        <v>679</v>
      </c>
      <c r="E58" s="2689">
        <f>'11.2. ДА за периода'!E58</f>
        <v>0</v>
      </c>
      <c r="F58" s="2620">
        <f>SUMIF('9.Инвестиционна програма'!$B$12:$B$35,$B58,'9.Инвестиционна програма'!H$12:H$35)*$E$6</f>
        <v>10</v>
      </c>
      <c r="G58" s="2608">
        <f>SUMIF('9.Инвестиционна програма'!$B$12:$B$35,$B58,'9.Инвестиционна програма'!I$12:I$35)*$E$6</f>
        <v>0</v>
      </c>
      <c r="H58" s="2608">
        <f>SUMIF('9.Инвестиционна програма'!$B$12:$B$35,$B58,'9.Инвестиционна програма'!J$12:J$35)*$E$6</f>
        <v>0</v>
      </c>
      <c r="I58" s="2608">
        <f>SUMIF('9.Инвестиционна програма'!$B$12:$B$35,$B58,'9.Инвестиционна програма'!K$12:K$35)*$E$6</f>
        <v>0</v>
      </c>
      <c r="J58" s="2608">
        <f>SUMIF('9.Инвестиционна програма'!$B$12:$B$35,$B58,'9.Инвестиционна програма'!L$12:L$35)*$E$6</f>
        <v>0</v>
      </c>
      <c r="K58" s="2627">
        <f>SUMIF('9.Инвестиционна програма'!$B$12:$B$35,$B58,'9.Инвестиционна програма'!M$12:M$35)*$E$6</f>
        <v>0</v>
      </c>
      <c r="L58" s="1087">
        <f>'11.2. ДА за периода'!L58</f>
        <v>0</v>
      </c>
      <c r="M58" s="2620">
        <f>SUMIF('9.Инвестиционна програма'!$B$37:$B$47,$B58,'9.Инвестиционна програма'!H$37:H$47)*$E$6</f>
        <v>20</v>
      </c>
      <c r="N58" s="2608">
        <f>SUMIF('9.Инвестиционна програма'!$B$37:$B$47,$B58,'9.Инвестиционна програма'!I$37:I$47)*$E$6</f>
        <v>0</v>
      </c>
      <c r="O58" s="2608">
        <f>SUMIF('9.Инвестиционна програма'!$B$37:$B$47,$B58,'9.Инвестиционна програма'!J$37:J$47)*$E$6</f>
        <v>0</v>
      </c>
      <c r="P58" s="2608">
        <f>SUMIF('9.Инвестиционна програма'!$B$37:$B$47,$B58,'9.Инвестиционна програма'!K$37:K$47)*$E$6</f>
        <v>0</v>
      </c>
      <c r="Q58" s="2608">
        <f>SUMIF('9.Инвестиционна програма'!$B$37:$B$47,$B58,'9.Инвестиционна програма'!L$37:L$47)*$E$6</f>
        <v>0</v>
      </c>
      <c r="R58" s="2609">
        <f>SUMIF('9.Инвестиционна програма'!$B$37:$B$47,$B58,'9.Инвестиционна програма'!M$37:M$47)*$E$6</f>
        <v>0</v>
      </c>
      <c r="S58" s="1087">
        <f>'11.2. ДА за периода'!S58</f>
        <v>0</v>
      </c>
      <c r="T58" s="2607">
        <f>SUMIF('9.Инвестиционна програма'!$B$49:$B$56,$B58,'9.Инвестиционна програма'!H$49:H$56)*$E$6</f>
        <v>0</v>
      </c>
      <c r="U58" s="2608">
        <f>SUMIF('9.Инвестиционна програма'!$B$49:$B$56,$B58,'9.Инвестиционна програма'!I$49:I$56)*$E$6</f>
        <v>0</v>
      </c>
      <c r="V58" s="2608">
        <f>SUMIF('9.Инвестиционна програма'!$B$49:$B$56,$B58,'9.Инвестиционна програма'!J$49:J$56)*$E$6</f>
        <v>0</v>
      </c>
      <c r="W58" s="2608">
        <f>SUMIF('9.Инвестиционна програма'!$B$49:$B$56,$B58,'9.Инвестиционна програма'!K$49:K$56)*$E$6</f>
        <v>0</v>
      </c>
      <c r="X58" s="2608">
        <f>SUMIF('9.Инвестиционна програма'!$B$49:$B$56,$B58,'9.Инвестиционна програма'!L$49:L$56)*$E$6</f>
        <v>0</v>
      </c>
      <c r="Y58" s="2609">
        <f>SUMIF('9.Инвестиционна програма'!$B$49:$B$56,$B58,'9.Инвестиционна програма'!M$49:M$56)*$E$6</f>
        <v>0</v>
      </c>
      <c r="Z58" s="1087">
        <f>'11.2. ДА за периода'!Z58</f>
        <v>0</v>
      </c>
      <c r="AA58" s="2607">
        <f>SUMIF('9.Инвестиционна програма'!$B$74:$B$97,$B58,'9.Инвестиционна програма'!H$74:H$97)*$E$6</f>
        <v>0</v>
      </c>
      <c r="AB58" s="2608">
        <f>SUMIF('9.Инвестиционна програма'!$B$74:$B$97,$B58,'9.Инвестиционна програма'!I$74:I$97)*$E$6</f>
        <v>0</v>
      </c>
      <c r="AC58" s="2608">
        <f>SUMIF('9.Инвестиционна програма'!$B$74:$B$97,$B58,'9.Инвестиционна програма'!J$74:J$97)*$E$6</f>
        <v>0</v>
      </c>
      <c r="AD58" s="2608">
        <f>SUMIF('9.Инвестиционна програма'!$B$74:$B$97,$B58,'9.Инвестиционна програма'!K$74:K$97)*$E$6</f>
        <v>0</v>
      </c>
      <c r="AE58" s="2608">
        <f>SUMIF('9.Инвестиционна програма'!$B$74:$B$97,$B58,'9.Инвестиционна програма'!L$74:L$97)*$E$6</f>
        <v>0</v>
      </c>
      <c r="AF58" s="2609">
        <f>SUMIF('9.Инвестиционна програма'!$B$74:$B$97,$B58,'9.Инвестиционна програма'!M$74:M$97)*$E$6</f>
        <v>0</v>
      </c>
      <c r="AG58" s="1087">
        <f>'11.2. ДА за периода'!AG58</f>
        <v>0</v>
      </c>
      <c r="AH58" s="2607">
        <f>SUMIF('9.Инвестиционна програма'!$B$100:$B$123,$B58,'9.Инвестиционна програма'!H$100:H$123)*$E$6</f>
        <v>0</v>
      </c>
      <c r="AI58" s="2608">
        <f>SUMIF('9.Инвестиционна програма'!$B$100:$B$123,$B58,'9.Инвестиционна програма'!I$100:I$123)*$E$6</f>
        <v>0</v>
      </c>
      <c r="AJ58" s="2608">
        <f>SUMIF('9.Инвестиционна програма'!$B$100:$B$123,$B58,'9.Инвестиционна програма'!J$100:J$123)*$E$6</f>
        <v>0</v>
      </c>
      <c r="AK58" s="2608">
        <f>SUMIF('9.Инвестиционна програма'!$B$100:$B$123,$B58,'9.Инвестиционна програма'!K$100:K$123)*$E$6</f>
        <v>0</v>
      </c>
      <c r="AL58" s="2608">
        <f>SUMIF('9.Инвестиционна програма'!$B$100:$B$123,$B58,'9.Инвестиционна програма'!L$100:L$123)*$E$6</f>
        <v>0</v>
      </c>
      <c r="AM58" s="2609">
        <f>SUMIF('9.Инвестиционна програма'!$B$100:$B$123,$B58,'9.Инвестиционна програма'!M$100:M$123)*$E$6</f>
        <v>0</v>
      </c>
      <c r="AN58" s="1087">
        <f>'11.2. ДА за периода'!AN58</f>
        <v>0</v>
      </c>
      <c r="AO58" s="2607">
        <f>(SUMIF('9.Инвестиционна програма'!$B$58:$B$59,$B58,'9.Инвестиционна програма'!H$58:H$59)+SUMIF('9.Инвестиционна програма'!$B$61:$B$71,$B58,'9.Инвестиционна програма'!H$61:H$71))*$E$6</f>
        <v>15</v>
      </c>
      <c r="AP58" s="2608">
        <f>(SUMIF('9.Инвестиционна програма'!$B$58:$B$59,$B58,'9.Инвестиционна програма'!I$58:I$59)+SUMIF('9.Инвестиционна програма'!$B$61:$B$71,$B58,'9.Инвестиционна програма'!I$61:I$71))*$E$6</f>
        <v>0</v>
      </c>
      <c r="AQ58" s="2608">
        <f>(SUMIF('9.Инвестиционна програма'!$B$58:$B$59,$B58,'9.Инвестиционна програма'!J$58:J$59)+SUMIF('9.Инвестиционна програма'!$B$61:$B$71,$B58,'9.Инвестиционна програма'!J$61:J$71))*$E$6</f>
        <v>0</v>
      </c>
      <c r="AR58" s="2608">
        <f>(SUMIF('9.Инвестиционна програма'!$B$58:$B$59,$B58,'9.Инвестиционна програма'!K$58:K$59)+SUMIF('9.Инвестиционна програма'!$B$61:$B$71,$B58,'9.Инвестиционна програма'!K$61:K$71))*$E$6</f>
        <v>0</v>
      </c>
      <c r="AS58" s="2608">
        <f>(SUMIF('9.Инвестиционна програма'!$B$58:$B$59,$B58,'9.Инвестиционна програма'!L$58:L$59)+SUMIF('9.Инвестиционна програма'!$B$61:$B$71,$B58,'9.Инвестиционна програма'!L$61:L$71))*$E$6</f>
        <v>0</v>
      </c>
      <c r="AT58" s="2609">
        <f>(SUMIF('9.Инвестиционна програма'!$B$58:$B$59,$B58,'9.Инвестиционна програма'!M$58:M$59)+SUMIF('9.Инвестиционна програма'!$B$61:$B$71,$B58,'9.Инвестиционна програма'!M$61:M$71))*$E$6</f>
        <v>0</v>
      </c>
      <c r="AU58" s="4422"/>
      <c r="AV58" s="4438">
        <f t="shared" si="47"/>
        <v>0</v>
      </c>
      <c r="AW58" s="4438">
        <f t="shared" si="48"/>
        <v>5.1129188119621851</v>
      </c>
      <c r="AX58" s="4438">
        <f t="shared" si="49"/>
        <v>0</v>
      </c>
      <c r="AY58" s="4438">
        <f t="shared" si="50"/>
        <v>0</v>
      </c>
      <c r="AZ58" s="4438">
        <f t="shared" si="51"/>
        <v>0</v>
      </c>
      <c r="BA58" s="4438">
        <f t="shared" si="52"/>
        <v>0</v>
      </c>
      <c r="BB58" s="4438">
        <f t="shared" si="53"/>
        <v>0</v>
      </c>
      <c r="BC58" s="4438">
        <f t="shared" si="54"/>
        <v>0</v>
      </c>
      <c r="BD58" s="4438">
        <f t="shared" si="55"/>
        <v>10.22583762392437</v>
      </c>
      <c r="BE58" s="4438">
        <f t="shared" si="56"/>
        <v>0</v>
      </c>
      <c r="BF58" s="4438">
        <f t="shared" si="57"/>
        <v>0</v>
      </c>
      <c r="BG58" s="4438">
        <f t="shared" si="58"/>
        <v>0</v>
      </c>
      <c r="BH58" s="4438">
        <f t="shared" si="59"/>
        <v>0</v>
      </c>
      <c r="BI58" s="4438">
        <f t="shared" si="60"/>
        <v>0</v>
      </c>
      <c r="BJ58" s="4438">
        <f t="shared" si="61"/>
        <v>0</v>
      </c>
      <c r="BK58" s="4438">
        <f t="shared" si="62"/>
        <v>0</v>
      </c>
      <c r="BL58" s="4438">
        <f t="shared" si="63"/>
        <v>0</v>
      </c>
      <c r="BM58" s="4438">
        <f t="shared" si="64"/>
        <v>0</v>
      </c>
      <c r="BN58" s="4438">
        <f t="shared" si="65"/>
        <v>0</v>
      </c>
      <c r="BO58" s="4438">
        <f t="shared" si="66"/>
        <v>0</v>
      </c>
      <c r="BP58" s="4438">
        <f t="shared" si="67"/>
        <v>0</v>
      </c>
      <c r="BQ58" s="4438">
        <f t="shared" si="68"/>
        <v>0</v>
      </c>
      <c r="BR58" s="4438">
        <f t="shared" si="69"/>
        <v>0</v>
      </c>
      <c r="BS58" s="4438">
        <f t="shared" si="70"/>
        <v>0</v>
      </c>
      <c r="BT58" s="4438">
        <f t="shared" si="71"/>
        <v>0</v>
      </c>
      <c r="BU58" s="4438">
        <f t="shared" si="72"/>
        <v>0</v>
      </c>
      <c r="BV58" s="4438">
        <f t="shared" si="73"/>
        <v>0</v>
      </c>
      <c r="BW58" s="4438">
        <f t="shared" si="74"/>
        <v>0</v>
      </c>
      <c r="BX58" s="4438">
        <f t="shared" si="75"/>
        <v>0</v>
      </c>
      <c r="BY58" s="4438">
        <f t="shared" si="76"/>
        <v>0</v>
      </c>
      <c r="BZ58" s="4438">
        <f t="shared" si="77"/>
        <v>0</v>
      </c>
      <c r="CA58" s="4438">
        <f t="shared" si="78"/>
        <v>0</v>
      </c>
      <c r="CB58" s="4438">
        <f t="shared" si="79"/>
        <v>0</v>
      </c>
      <c r="CC58" s="4438">
        <f t="shared" si="80"/>
        <v>0</v>
      </c>
      <c r="CD58" s="4438">
        <f t="shared" si="81"/>
        <v>0</v>
      </c>
      <c r="CE58" s="4438">
        <f t="shared" si="82"/>
        <v>0</v>
      </c>
      <c r="CF58" s="4438">
        <f t="shared" si="83"/>
        <v>7.6693782179432777</v>
      </c>
      <c r="CG58" s="4438">
        <f t="shared" si="84"/>
        <v>0</v>
      </c>
      <c r="CH58" s="4438">
        <f t="shared" si="85"/>
        <v>0</v>
      </c>
      <c r="CI58" s="4438">
        <f t="shared" si="86"/>
        <v>0</v>
      </c>
      <c r="CJ58" s="4438">
        <f t="shared" si="87"/>
        <v>0</v>
      </c>
      <c r="CK58" s="4438">
        <f t="shared" si="88"/>
        <v>0</v>
      </c>
    </row>
    <row r="59" spans="1:89" s="30" customFormat="1" ht="13.5" thickBot="1">
      <c r="A59" s="2724">
        <v>12</v>
      </c>
      <c r="B59" s="3569">
        <v>219</v>
      </c>
      <c r="C59" s="3552">
        <v>0.1</v>
      </c>
      <c r="D59" s="2725" t="s">
        <v>216</v>
      </c>
      <c r="E59" s="2726">
        <f>'11.2. ДА за периода'!E59</f>
        <v>0</v>
      </c>
      <c r="F59" s="2727">
        <f>SUMIF('9.Инвестиционна програма'!$B$12:$B$35,$B59,'9.Инвестиционна програма'!H$12:H$35)*$E$6</f>
        <v>0</v>
      </c>
      <c r="G59" s="2728">
        <f>SUMIF('9.Инвестиционна програма'!$B$12:$B$35,$B59,'9.Инвестиционна програма'!I$12:I$35)*$E$6</f>
        <v>0</v>
      </c>
      <c r="H59" s="2728">
        <f>SUMIF('9.Инвестиционна програма'!$B$12:$B$35,$B59,'9.Инвестиционна програма'!J$12:J$35)*$E$6</f>
        <v>0</v>
      </c>
      <c r="I59" s="2728">
        <f>SUMIF('9.Инвестиционна програма'!$B$12:$B$35,$B59,'9.Инвестиционна програма'!K$12:K$35)*$E$6</f>
        <v>0</v>
      </c>
      <c r="J59" s="2728">
        <f>SUMIF('9.Инвестиционна програма'!$B$12:$B$35,$B59,'9.Инвестиционна програма'!L$12:L$35)*$E$6</f>
        <v>0</v>
      </c>
      <c r="K59" s="2729">
        <f>SUMIF('9.Инвестиционна програма'!$B$12:$B$35,$B59,'9.Инвестиционна програма'!M$12:M$35)*$E$6</f>
        <v>0</v>
      </c>
      <c r="L59" s="2730">
        <f>'11.2. ДА за периода'!L59</f>
        <v>0</v>
      </c>
      <c r="M59" s="2727">
        <f>SUMIF('9.Инвестиционна програма'!$B$37:$B$47,$B59,'9.Инвестиционна програма'!H$37:H$47)*$E$6</f>
        <v>0</v>
      </c>
      <c r="N59" s="2728">
        <f>SUMIF('9.Инвестиционна програма'!$B$37:$B$47,$B59,'9.Инвестиционна програма'!I$37:I$47)*$E$6</f>
        <v>0</v>
      </c>
      <c r="O59" s="2728">
        <f>SUMIF('9.Инвестиционна програма'!$B$37:$B$47,$B59,'9.Инвестиционна програма'!J$37:J$47)*$E$6</f>
        <v>0</v>
      </c>
      <c r="P59" s="2728">
        <f>SUMIF('9.Инвестиционна програма'!$B$37:$B$47,$B59,'9.Инвестиционна програма'!K$37:K$47)*$E$6</f>
        <v>0</v>
      </c>
      <c r="Q59" s="2728">
        <f>SUMIF('9.Инвестиционна програма'!$B$37:$B$47,$B59,'9.Инвестиционна програма'!L$37:L$47)*$E$6</f>
        <v>0</v>
      </c>
      <c r="R59" s="2731">
        <f>SUMIF('9.Инвестиционна програма'!$B$37:$B$47,$B59,'9.Инвестиционна програма'!M$37:M$47)*$E$6</f>
        <v>0</v>
      </c>
      <c r="S59" s="2730">
        <f>'11.2. ДА за периода'!S59</f>
        <v>0</v>
      </c>
      <c r="T59" s="2732">
        <f>SUMIF('9.Инвестиционна програма'!$B$49:$B$56,$B59,'9.Инвестиционна програма'!H$49:H$56)*$E$6</f>
        <v>0</v>
      </c>
      <c r="U59" s="2728">
        <f>SUMIF('9.Инвестиционна програма'!$B$49:$B$56,$B59,'9.Инвестиционна програма'!I$49:I$56)*$E$6</f>
        <v>0</v>
      </c>
      <c r="V59" s="2728">
        <f>SUMIF('9.Инвестиционна програма'!$B$49:$B$56,$B59,'9.Инвестиционна програма'!J$49:J$56)*$E$6</f>
        <v>0</v>
      </c>
      <c r="W59" s="2728">
        <f>SUMIF('9.Инвестиционна програма'!$B$49:$B$56,$B59,'9.Инвестиционна програма'!K$49:K$56)*$E$6</f>
        <v>0</v>
      </c>
      <c r="X59" s="2728">
        <f>SUMIF('9.Инвестиционна програма'!$B$49:$B$56,$B59,'9.Инвестиционна програма'!L$49:L$56)*$E$6</f>
        <v>0</v>
      </c>
      <c r="Y59" s="2731">
        <f>SUMIF('9.Инвестиционна програма'!$B$49:$B$56,$B59,'9.Инвестиционна програма'!M$49:M$56)*$E$6</f>
        <v>0</v>
      </c>
      <c r="Z59" s="2730">
        <f>'11.2. ДА за периода'!Z59</f>
        <v>0</v>
      </c>
      <c r="AA59" s="2732">
        <f>SUMIF('9.Инвестиционна програма'!$B$74:$B$97,$B59,'9.Инвестиционна програма'!H$74:H$97)*$E$6</f>
        <v>0</v>
      </c>
      <c r="AB59" s="2728">
        <f>SUMIF('9.Инвестиционна програма'!$B$74:$B$97,$B59,'9.Инвестиционна програма'!I$74:I$97)*$E$6</f>
        <v>0</v>
      </c>
      <c r="AC59" s="2728">
        <f>SUMIF('9.Инвестиционна програма'!$B$74:$B$97,$B59,'9.Инвестиционна програма'!J$74:J$97)*$E$6</f>
        <v>0</v>
      </c>
      <c r="AD59" s="2728">
        <f>SUMIF('9.Инвестиционна програма'!$B$74:$B$97,$B59,'9.Инвестиционна програма'!K$74:K$97)*$E$6</f>
        <v>0</v>
      </c>
      <c r="AE59" s="2728">
        <f>SUMIF('9.Инвестиционна програма'!$B$74:$B$97,$B59,'9.Инвестиционна програма'!L$74:L$97)*$E$6</f>
        <v>0</v>
      </c>
      <c r="AF59" s="2731">
        <f>SUMIF('9.Инвестиционна програма'!$B$74:$B$97,$B59,'9.Инвестиционна програма'!M$74:M$97)*$E$6</f>
        <v>0</v>
      </c>
      <c r="AG59" s="2730">
        <f>'11.2. ДА за периода'!AG59</f>
        <v>0</v>
      </c>
      <c r="AH59" s="2732">
        <f>SUMIF('9.Инвестиционна програма'!$B$100:$B$123,$B59,'9.Инвестиционна програма'!H$100:H$123)*$E$6</f>
        <v>0</v>
      </c>
      <c r="AI59" s="2728">
        <f>SUMIF('9.Инвестиционна програма'!$B$100:$B$123,$B59,'9.Инвестиционна програма'!I$100:I$123)*$E$6</f>
        <v>0</v>
      </c>
      <c r="AJ59" s="2728">
        <f>SUMIF('9.Инвестиционна програма'!$B$100:$B$123,$B59,'9.Инвестиционна програма'!J$100:J$123)*$E$6</f>
        <v>0</v>
      </c>
      <c r="AK59" s="2728">
        <f>SUMIF('9.Инвестиционна програма'!$B$100:$B$123,$B59,'9.Инвестиционна програма'!K$100:K$123)*$E$6</f>
        <v>0</v>
      </c>
      <c r="AL59" s="2728">
        <f>SUMIF('9.Инвестиционна програма'!$B$100:$B$123,$B59,'9.Инвестиционна програма'!L$100:L$123)*$E$6</f>
        <v>0</v>
      </c>
      <c r="AM59" s="2731">
        <f>SUMIF('9.Инвестиционна програма'!$B$100:$B$123,$B59,'9.Инвестиционна програма'!M$100:M$123)*$E$6</f>
        <v>0</v>
      </c>
      <c r="AN59" s="2730">
        <f>'11.2. ДА за периода'!AN59</f>
        <v>0</v>
      </c>
      <c r="AO59" s="2732">
        <f>(SUMIF('9.Инвестиционна програма'!$B$58:$B$59,$B59,'9.Инвестиционна програма'!H$58:H$59)+SUMIF('9.Инвестиционна програма'!$B$61:$B$71,$B59,'9.Инвестиционна програма'!H$61:H$71))*$E$6</f>
        <v>0</v>
      </c>
      <c r="AP59" s="2728">
        <f>(SUMIF('9.Инвестиционна програма'!$B$58:$B$59,$B59,'9.Инвестиционна програма'!I$58:I$59)+SUMIF('9.Инвестиционна програма'!$B$61:$B$71,$B59,'9.Инвестиционна програма'!I$61:I$71))*$E$6</f>
        <v>0</v>
      </c>
      <c r="AQ59" s="2728">
        <f>(SUMIF('9.Инвестиционна програма'!$B$58:$B$59,$B59,'9.Инвестиционна програма'!J$58:J$59)+SUMIF('9.Инвестиционна програма'!$B$61:$B$71,$B59,'9.Инвестиционна програма'!J$61:J$71))*$E$6</f>
        <v>0</v>
      </c>
      <c r="AR59" s="2728">
        <f>(SUMIF('9.Инвестиционна програма'!$B$58:$B$59,$B59,'9.Инвестиционна програма'!K$58:K$59)+SUMIF('9.Инвестиционна програма'!$B$61:$B$71,$B59,'9.Инвестиционна програма'!K$61:K$71))*$E$6</f>
        <v>0</v>
      </c>
      <c r="AS59" s="2728">
        <f>(SUMIF('9.Инвестиционна програма'!$B$58:$B$59,$B59,'9.Инвестиционна програма'!L$58:L$59)+SUMIF('9.Инвестиционна програма'!$B$61:$B$71,$B59,'9.Инвестиционна програма'!L$61:L$71))*$E$6</f>
        <v>0</v>
      </c>
      <c r="AT59" s="2731">
        <f>(SUMIF('9.Инвестиционна програма'!$B$58:$B$59,$B59,'9.Инвестиционна програма'!M$58:M$59)+SUMIF('9.Инвестиционна програма'!$B$61:$B$71,$B59,'9.Инвестиционна програма'!M$61:M$71))*$E$6</f>
        <v>0</v>
      </c>
      <c r="AU59" s="4422"/>
      <c r="AV59" s="4438">
        <f t="shared" si="47"/>
        <v>0</v>
      </c>
      <c r="AW59" s="4438">
        <f t="shared" si="48"/>
        <v>0</v>
      </c>
      <c r="AX59" s="4438">
        <f t="shared" si="49"/>
        <v>0</v>
      </c>
      <c r="AY59" s="4438">
        <f t="shared" si="50"/>
        <v>0</v>
      </c>
      <c r="AZ59" s="4438">
        <f t="shared" si="51"/>
        <v>0</v>
      </c>
      <c r="BA59" s="4438">
        <f t="shared" si="52"/>
        <v>0</v>
      </c>
      <c r="BB59" s="4438">
        <f t="shared" si="53"/>
        <v>0</v>
      </c>
      <c r="BC59" s="4438">
        <f t="shared" si="54"/>
        <v>0</v>
      </c>
      <c r="BD59" s="4438">
        <f t="shared" si="55"/>
        <v>0</v>
      </c>
      <c r="BE59" s="4438">
        <f t="shared" si="56"/>
        <v>0</v>
      </c>
      <c r="BF59" s="4438">
        <f t="shared" si="57"/>
        <v>0</v>
      </c>
      <c r="BG59" s="4438">
        <f t="shared" si="58"/>
        <v>0</v>
      </c>
      <c r="BH59" s="4438">
        <f t="shared" si="59"/>
        <v>0</v>
      </c>
      <c r="BI59" s="4438">
        <f t="shared" si="60"/>
        <v>0</v>
      </c>
      <c r="BJ59" s="4438">
        <f t="shared" si="61"/>
        <v>0</v>
      </c>
      <c r="BK59" s="4438">
        <f t="shared" si="62"/>
        <v>0</v>
      </c>
      <c r="BL59" s="4438">
        <f t="shared" si="63"/>
        <v>0</v>
      </c>
      <c r="BM59" s="4438">
        <f t="shared" si="64"/>
        <v>0</v>
      </c>
      <c r="BN59" s="4438">
        <f t="shared" si="65"/>
        <v>0</v>
      </c>
      <c r="BO59" s="4438">
        <f t="shared" si="66"/>
        <v>0</v>
      </c>
      <c r="BP59" s="4438">
        <f t="shared" si="67"/>
        <v>0</v>
      </c>
      <c r="BQ59" s="4438">
        <f t="shared" si="68"/>
        <v>0</v>
      </c>
      <c r="BR59" s="4438">
        <f t="shared" si="69"/>
        <v>0</v>
      </c>
      <c r="BS59" s="4438">
        <f t="shared" si="70"/>
        <v>0</v>
      </c>
      <c r="BT59" s="4438">
        <f t="shared" si="71"/>
        <v>0</v>
      </c>
      <c r="BU59" s="4438">
        <f t="shared" si="72"/>
        <v>0</v>
      </c>
      <c r="BV59" s="4438">
        <f t="shared" si="73"/>
        <v>0</v>
      </c>
      <c r="BW59" s="4438">
        <f t="shared" si="74"/>
        <v>0</v>
      </c>
      <c r="BX59" s="4438">
        <f t="shared" si="75"/>
        <v>0</v>
      </c>
      <c r="BY59" s="4438">
        <f t="shared" si="76"/>
        <v>0</v>
      </c>
      <c r="BZ59" s="4438">
        <f t="shared" si="77"/>
        <v>0</v>
      </c>
      <c r="CA59" s="4438">
        <f t="shared" si="78"/>
        <v>0</v>
      </c>
      <c r="CB59" s="4438">
        <f t="shared" si="79"/>
        <v>0</v>
      </c>
      <c r="CC59" s="4438">
        <f t="shared" si="80"/>
        <v>0</v>
      </c>
      <c r="CD59" s="4438">
        <f t="shared" si="81"/>
        <v>0</v>
      </c>
      <c r="CE59" s="4438">
        <f t="shared" si="82"/>
        <v>0</v>
      </c>
      <c r="CF59" s="4438">
        <f t="shared" si="83"/>
        <v>0</v>
      </c>
      <c r="CG59" s="4438">
        <f t="shared" si="84"/>
        <v>0</v>
      </c>
      <c r="CH59" s="4438">
        <f t="shared" si="85"/>
        <v>0</v>
      </c>
      <c r="CI59" s="4438">
        <f t="shared" si="86"/>
        <v>0</v>
      </c>
      <c r="CJ59" s="4438">
        <f t="shared" si="87"/>
        <v>0</v>
      </c>
      <c r="CK59" s="4438">
        <f t="shared" si="88"/>
        <v>0</v>
      </c>
    </row>
    <row r="60" spans="1:89" s="39" customFormat="1" ht="15" thickBot="1">
      <c r="A60" s="2671" t="s">
        <v>206</v>
      </c>
      <c r="B60" s="3570"/>
      <c r="C60" s="3553"/>
      <c r="D60" s="2672" t="s">
        <v>218</v>
      </c>
      <c r="E60" s="2673">
        <f t="shared" ref="E60:AT60" si="106">E61+E64+E67+E79+E94+E99+SUM(E103:E108)</f>
        <v>90.065000000000012</v>
      </c>
      <c r="F60" s="2674">
        <f t="shared" si="106"/>
        <v>49.449999999999989</v>
      </c>
      <c r="G60" s="2675">
        <f t="shared" si="106"/>
        <v>206.53714787999999</v>
      </c>
      <c r="H60" s="2675">
        <f t="shared" si="106"/>
        <v>457.82859152000003</v>
      </c>
      <c r="I60" s="2675">
        <f t="shared" si="106"/>
        <v>748.58718304000001</v>
      </c>
      <c r="J60" s="2675">
        <f t="shared" si="106"/>
        <v>937.13147880000008</v>
      </c>
      <c r="K60" s="2733">
        <f t="shared" si="106"/>
        <v>1017.3114788000001</v>
      </c>
      <c r="L60" s="2677">
        <f t="shared" si="106"/>
        <v>5.1800000000000006</v>
      </c>
      <c r="M60" s="2674">
        <f t="shared" si="106"/>
        <v>12.9</v>
      </c>
      <c r="N60" s="2675">
        <f t="shared" si="106"/>
        <v>36.762683600000003</v>
      </c>
      <c r="O60" s="2675">
        <f t="shared" si="106"/>
        <v>67.000734399999999</v>
      </c>
      <c r="P60" s="2675">
        <f t="shared" si="106"/>
        <v>105.0014688</v>
      </c>
      <c r="Q60" s="2675">
        <f t="shared" si="106"/>
        <v>123.92683600000001</v>
      </c>
      <c r="R60" s="2676">
        <f t="shared" si="106"/>
        <v>124.37683600000001</v>
      </c>
      <c r="S60" s="2677">
        <f t="shared" si="106"/>
        <v>10.950000000000001</v>
      </c>
      <c r="T60" s="2678">
        <f t="shared" si="106"/>
        <v>1.65</v>
      </c>
      <c r="U60" s="2675">
        <f t="shared" si="106"/>
        <v>24.33779088</v>
      </c>
      <c r="V60" s="2675">
        <f t="shared" si="106"/>
        <v>87.371163519999982</v>
      </c>
      <c r="W60" s="2675">
        <f t="shared" si="106"/>
        <v>171.70232703999997</v>
      </c>
      <c r="X60" s="2675">
        <f t="shared" si="106"/>
        <v>214.07790879999996</v>
      </c>
      <c r="Y60" s="2676">
        <f t="shared" si="106"/>
        <v>214.11790879999998</v>
      </c>
      <c r="Z60" s="2677">
        <f t="shared" ref="Z60:AM60" si="107">Z61+Z64+Z67+Z79+Z94+Z99+SUM(Z103:Z108)</f>
        <v>0</v>
      </c>
      <c r="AA60" s="2678">
        <f t="shared" si="107"/>
        <v>0</v>
      </c>
      <c r="AB60" s="2675">
        <f t="shared" si="107"/>
        <v>0</v>
      </c>
      <c r="AC60" s="2675">
        <f t="shared" si="107"/>
        <v>0</v>
      </c>
      <c r="AD60" s="2675">
        <f t="shared" si="107"/>
        <v>0</v>
      </c>
      <c r="AE60" s="2675">
        <f t="shared" si="107"/>
        <v>0</v>
      </c>
      <c r="AF60" s="2676">
        <f t="shared" si="107"/>
        <v>0</v>
      </c>
      <c r="AG60" s="2677">
        <f t="shared" si="107"/>
        <v>0</v>
      </c>
      <c r="AH60" s="2678">
        <f t="shared" si="107"/>
        <v>0</v>
      </c>
      <c r="AI60" s="2675">
        <f t="shared" si="107"/>
        <v>0</v>
      </c>
      <c r="AJ60" s="2675">
        <f t="shared" si="107"/>
        <v>0</v>
      </c>
      <c r="AK60" s="2675">
        <f t="shared" si="107"/>
        <v>0</v>
      </c>
      <c r="AL60" s="2675">
        <f t="shared" si="107"/>
        <v>0</v>
      </c>
      <c r="AM60" s="2676">
        <f t="shared" si="107"/>
        <v>0</v>
      </c>
      <c r="AN60" s="2677">
        <f t="shared" si="106"/>
        <v>0</v>
      </c>
      <c r="AO60" s="2678">
        <f t="shared" si="106"/>
        <v>21.35</v>
      </c>
      <c r="AP60" s="2675">
        <f t="shared" si="106"/>
        <v>106.9</v>
      </c>
      <c r="AQ60" s="2675">
        <f t="shared" si="106"/>
        <v>245.2</v>
      </c>
      <c r="AR60" s="2675">
        <f t="shared" si="106"/>
        <v>374.40000000000003</v>
      </c>
      <c r="AS60" s="2675">
        <f t="shared" si="106"/>
        <v>477.40999999999997</v>
      </c>
      <c r="AT60" s="2676">
        <f t="shared" si="106"/>
        <v>574.56999999999994</v>
      </c>
      <c r="AU60" s="4422"/>
      <c r="AV60" s="4438">
        <f t="shared" si="47"/>
        <v>46.049503279937426</v>
      </c>
      <c r="AW60" s="4438">
        <f t="shared" si="48"/>
        <v>25.283383525152999</v>
      </c>
      <c r="AX60" s="4438">
        <f t="shared" si="49"/>
        <v>105.60076687646676</v>
      </c>
      <c r="AY60" s="4438">
        <f t="shared" si="50"/>
        <v>234.0840418236759</v>
      </c>
      <c r="AZ60" s="4438">
        <f t="shared" si="51"/>
        <v>382.74654905589955</v>
      </c>
      <c r="BA60" s="4438">
        <f t="shared" si="52"/>
        <v>479.1477167238462</v>
      </c>
      <c r="BB60" s="4438">
        <f t="shared" si="53"/>
        <v>520.143099758159</v>
      </c>
      <c r="BC60" s="4438">
        <f t="shared" si="54"/>
        <v>2.6484919445964121</v>
      </c>
      <c r="BD60" s="4438">
        <f t="shared" si="55"/>
        <v>6.5956652674312188</v>
      </c>
      <c r="BE60" s="4438">
        <f t="shared" si="56"/>
        <v>18.796461655665372</v>
      </c>
      <c r="BF60" s="4438">
        <f t="shared" si="57"/>
        <v>34.25693153290419</v>
      </c>
      <c r="BG60" s="4438">
        <f t="shared" si="58"/>
        <v>53.686398511118043</v>
      </c>
      <c r="BH60" s="4438">
        <f t="shared" si="59"/>
        <v>63.36278510913526</v>
      </c>
      <c r="BI60" s="4438">
        <f t="shared" si="60"/>
        <v>63.592866455673558</v>
      </c>
      <c r="BJ60" s="4438">
        <f t="shared" si="61"/>
        <v>5.5986460990985929</v>
      </c>
      <c r="BK60" s="4438">
        <f t="shared" si="62"/>
        <v>0.84363160397376047</v>
      </c>
      <c r="BL60" s="4438">
        <f t="shared" si="63"/>
        <v>12.443714883195369</v>
      </c>
      <c r="BM60" s="4438">
        <f t="shared" si="64"/>
        <v>44.672166558443209</v>
      </c>
      <c r="BN60" s="4438">
        <f t="shared" si="65"/>
        <v>87.790005798049918</v>
      </c>
      <c r="BO60" s="4438">
        <f t="shared" si="66"/>
        <v>109.45629671290448</v>
      </c>
      <c r="BP60" s="4438">
        <f t="shared" si="67"/>
        <v>109.47674838815233</v>
      </c>
      <c r="BQ60" s="4438">
        <f t="shared" si="68"/>
        <v>0</v>
      </c>
      <c r="BR60" s="4438">
        <f t="shared" si="69"/>
        <v>0</v>
      </c>
      <c r="BS60" s="4438">
        <f t="shared" si="70"/>
        <v>0</v>
      </c>
      <c r="BT60" s="4438">
        <f t="shared" si="71"/>
        <v>0</v>
      </c>
      <c r="BU60" s="4438">
        <f t="shared" si="72"/>
        <v>0</v>
      </c>
      <c r="BV60" s="4438">
        <f t="shared" si="73"/>
        <v>0</v>
      </c>
      <c r="BW60" s="4438">
        <f t="shared" si="74"/>
        <v>0</v>
      </c>
      <c r="BX60" s="4438">
        <f t="shared" si="75"/>
        <v>0</v>
      </c>
      <c r="BY60" s="4438">
        <f t="shared" si="76"/>
        <v>0</v>
      </c>
      <c r="BZ60" s="4438">
        <f t="shared" si="77"/>
        <v>0</v>
      </c>
      <c r="CA60" s="4438">
        <f t="shared" si="78"/>
        <v>0</v>
      </c>
      <c r="CB60" s="4438">
        <f t="shared" si="79"/>
        <v>0</v>
      </c>
      <c r="CC60" s="4438">
        <f t="shared" si="80"/>
        <v>0</v>
      </c>
      <c r="CD60" s="4438">
        <f t="shared" si="81"/>
        <v>0</v>
      </c>
      <c r="CE60" s="4438">
        <f t="shared" si="82"/>
        <v>0</v>
      </c>
      <c r="CF60" s="4438">
        <f t="shared" si="83"/>
        <v>10.916081663539266</v>
      </c>
      <c r="CG60" s="4438">
        <f t="shared" si="84"/>
        <v>54.657102099875758</v>
      </c>
      <c r="CH60" s="4438">
        <f t="shared" si="85"/>
        <v>125.36876926931276</v>
      </c>
      <c r="CI60" s="4438">
        <f t="shared" si="86"/>
        <v>191.42768031986421</v>
      </c>
      <c r="CJ60" s="4438">
        <f t="shared" si="87"/>
        <v>244.09585700188666</v>
      </c>
      <c r="CK60" s="4438">
        <f t="shared" si="88"/>
        <v>293.77297617891122</v>
      </c>
    </row>
    <row r="61" spans="1:89" s="30" customFormat="1">
      <c r="A61" s="2734">
        <v>1</v>
      </c>
      <c r="B61" s="3571">
        <v>201</v>
      </c>
      <c r="C61" s="3554">
        <v>0</v>
      </c>
      <c r="D61" s="2735" t="s">
        <v>217</v>
      </c>
      <c r="E61" s="2736">
        <f>SUM(E62:E63)</f>
        <v>0</v>
      </c>
      <c r="F61" s="2737">
        <f>SUM(F62:F63)</f>
        <v>0</v>
      </c>
      <c r="G61" s="2738">
        <f t="shared" ref="G61:J61" si="108">SUM(G62:G63)</f>
        <v>0</v>
      </c>
      <c r="H61" s="2738">
        <f t="shared" si="108"/>
        <v>0</v>
      </c>
      <c r="I61" s="2738">
        <f t="shared" si="108"/>
        <v>0</v>
      </c>
      <c r="J61" s="2738">
        <f t="shared" si="108"/>
        <v>0</v>
      </c>
      <c r="K61" s="2739">
        <f>SUM(K62:K63)</f>
        <v>0</v>
      </c>
      <c r="L61" s="2685">
        <f>SUM(L62:L63)</f>
        <v>0</v>
      </c>
      <c r="M61" s="2737">
        <f>SUM(M62:M63)</f>
        <v>0</v>
      </c>
      <c r="N61" s="2738">
        <f t="shared" ref="N61:Q61" si="109">SUM(N62:N63)</f>
        <v>0</v>
      </c>
      <c r="O61" s="2738">
        <f t="shared" si="109"/>
        <v>0</v>
      </c>
      <c r="P61" s="2738">
        <f t="shared" si="109"/>
        <v>0</v>
      </c>
      <c r="Q61" s="2738">
        <f t="shared" si="109"/>
        <v>0</v>
      </c>
      <c r="R61" s="2740">
        <f>SUM(R62:R63)</f>
        <v>0</v>
      </c>
      <c r="S61" s="2685">
        <f>SUM(S62:S63)</f>
        <v>0</v>
      </c>
      <c r="T61" s="2741">
        <f>SUM(T62:T63)</f>
        <v>0</v>
      </c>
      <c r="U61" s="2738">
        <f t="shared" ref="U61:X61" si="110">SUM(U62:U63)</f>
        <v>0</v>
      </c>
      <c r="V61" s="2738">
        <f t="shared" si="110"/>
        <v>0</v>
      </c>
      <c r="W61" s="2738">
        <f t="shared" si="110"/>
        <v>0</v>
      </c>
      <c r="X61" s="2738">
        <f t="shared" si="110"/>
        <v>0</v>
      </c>
      <c r="Y61" s="2740">
        <f>SUM(Y62:Y63)</f>
        <v>0</v>
      </c>
      <c r="Z61" s="2685">
        <f>SUM(Z62:Z63)</f>
        <v>0</v>
      </c>
      <c r="AA61" s="2741">
        <f>SUM(AA62:AA63)</f>
        <v>0</v>
      </c>
      <c r="AB61" s="2738">
        <f t="shared" ref="AB61:AE61" si="111">SUM(AB62:AB63)</f>
        <v>0</v>
      </c>
      <c r="AC61" s="2738">
        <f t="shared" si="111"/>
        <v>0</v>
      </c>
      <c r="AD61" s="2738">
        <f t="shared" si="111"/>
        <v>0</v>
      </c>
      <c r="AE61" s="2738">
        <f t="shared" si="111"/>
        <v>0</v>
      </c>
      <c r="AF61" s="2740">
        <f>SUM(AF62:AF63)</f>
        <v>0</v>
      </c>
      <c r="AG61" s="2685">
        <f>SUM(AG62:AG63)</f>
        <v>0</v>
      </c>
      <c r="AH61" s="2741">
        <f>SUM(AH62:AH63)</f>
        <v>0</v>
      </c>
      <c r="AI61" s="2738">
        <f t="shared" ref="AI61:AL61" si="112">SUM(AI62:AI63)</f>
        <v>0</v>
      </c>
      <c r="AJ61" s="2738">
        <f t="shared" si="112"/>
        <v>0</v>
      </c>
      <c r="AK61" s="2738">
        <f t="shared" si="112"/>
        <v>0</v>
      </c>
      <c r="AL61" s="2738">
        <f t="shared" si="112"/>
        <v>0</v>
      </c>
      <c r="AM61" s="2740">
        <f>SUM(AM62:AM63)</f>
        <v>0</v>
      </c>
      <c r="AN61" s="2685">
        <f>SUM(AN62:AN63)</f>
        <v>0</v>
      </c>
      <c r="AO61" s="2737">
        <f>SUM(AO62:AO63)</f>
        <v>0</v>
      </c>
      <c r="AP61" s="2738">
        <f t="shared" ref="AP61:AS61" si="113">SUM(AP62:AP63)</f>
        <v>0</v>
      </c>
      <c r="AQ61" s="2738">
        <f t="shared" si="113"/>
        <v>0</v>
      </c>
      <c r="AR61" s="2738">
        <f t="shared" si="113"/>
        <v>0</v>
      </c>
      <c r="AS61" s="2738">
        <f t="shared" si="113"/>
        <v>0</v>
      </c>
      <c r="AT61" s="2740">
        <f>SUM(AT62:AT63)</f>
        <v>0</v>
      </c>
      <c r="AU61" s="4422"/>
      <c r="AV61" s="4438">
        <f t="shared" si="47"/>
        <v>0</v>
      </c>
      <c r="AW61" s="4438">
        <f t="shared" si="48"/>
        <v>0</v>
      </c>
      <c r="AX61" s="4438">
        <f t="shared" si="49"/>
        <v>0</v>
      </c>
      <c r="AY61" s="4438">
        <f t="shared" si="50"/>
        <v>0</v>
      </c>
      <c r="AZ61" s="4438">
        <f t="shared" si="51"/>
        <v>0</v>
      </c>
      <c r="BA61" s="4438">
        <f t="shared" si="52"/>
        <v>0</v>
      </c>
      <c r="BB61" s="4438">
        <f t="shared" si="53"/>
        <v>0</v>
      </c>
      <c r="BC61" s="4438">
        <f t="shared" si="54"/>
        <v>0</v>
      </c>
      <c r="BD61" s="4438">
        <f t="shared" si="55"/>
        <v>0</v>
      </c>
      <c r="BE61" s="4438">
        <f t="shared" si="56"/>
        <v>0</v>
      </c>
      <c r="BF61" s="4438">
        <f t="shared" si="57"/>
        <v>0</v>
      </c>
      <c r="BG61" s="4438">
        <f t="shared" si="58"/>
        <v>0</v>
      </c>
      <c r="BH61" s="4438">
        <f t="shared" si="59"/>
        <v>0</v>
      </c>
      <c r="BI61" s="4438">
        <f t="shared" si="60"/>
        <v>0</v>
      </c>
      <c r="BJ61" s="4438">
        <f t="shared" si="61"/>
        <v>0</v>
      </c>
      <c r="BK61" s="4438">
        <f t="shared" si="62"/>
        <v>0</v>
      </c>
      <c r="BL61" s="4438">
        <f t="shared" si="63"/>
        <v>0</v>
      </c>
      <c r="BM61" s="4438">
        <f t="shared" si="64"/>
        <v>0</v>
      </c>
      <c r="BN61" s="4438">
        <f t="shared" si="65"/>
        <v>0</v>
      </c>
      <c r="BO61" s="4438">
        <f t="shared" si="66"/>
        <v>0</v>
      </c>
      <c r="BP61" s="4438">
        <f t="shared" si="67"/>
        <v>0</v>
      </c>
      <c r="BQ61" s="4438">
        <f t="shared" si="68"/>
        <v>0</v>
      </c>
      <c r="BR61" s="4438">
        <f t="shared" si="69"/>
        <v>0</v>
      </c>
      <c r="BS61" s="4438">
        <f t="shared" si="70"/>
        <v>0</v>
      </c>
      <c r="BT61" s="4438">
        <f t="shared" si="71"/>
        <v>0</v>
      </c>
      <c r="BU61" s="4438">
        <f t="shared" si="72"/>
        <v>0</v>
      </c>
      <c r="BV61" s="4438">
        <f t="shared" si="73"/>
        <v>0</v>
      </c>
      <c r="BW61" s="4438">
        <f t="shared" si="74"/>
        <v>0</v>
      </c>
      <c r="BX61" s="4438">
        <f t="shared" si="75"/>
        <v>0</v>
      </c>
      <c r="BY61" s="4438">
        <f t="shared" si="76"/>
        <v>0</v>
      </c>
      <c r="BZ61" s="4438">
        <f t="shared" si="77"/>
        <v>0</v>
      </c>
      <c r="CA61" s="4438">
        <f t="shared" si="78"/>
        <v>0</v>
      </c>
      <c r="CB61" s="4438">
        <f t="shared" si="79"/>
        <v>0</v>
      </c>
      <c r="CC61" s="4438">
        <f t="shared" si="80"/>
        <v>0</v>
      </c>
      <c r="CD61" s="4438">
        <f t="shared" si="81"/>
        <v>0</v>
      </c>
      <c r="CE61" s="4438">
        <f t="shared" si="82"/>
        <v>0</v>
      </c>
      <c r="CF61" s="4438">
        <f t="shared" si="83"/>
        <v>0</v>
      </c>
      <c r="CG61" s="4438">
        <f t="shared" si="84"/>
        <v>0</v>
      </c>
      <c r="CH61" s="4438">
        <f t="shared" si="85"/>
        <v>0</v>
      </c>
      <c r="CI61" s="4438">
        <f t="shared" si="86"/>
        <v>0</v>
      </c>
      <c r="CJ61" s="4438">
        <f t="shared" si="87"/>
        <v>0</v>
      </c>
      <c r="CK61" s="4438">
        <f t="shared" si="88"/>
        <v>0</v>
      </c>
    </row>
    <row r="62" spans="1:89" s="38" customFormat="1">
      <c r="A62" s="2687"/>
      <c r="B62" s="3560">
        <v>20101</v>
      </c>
      <c r="C62" s="3543">
        <v>0</v>
      </c>
      <c r="D62" s="2688" t="s">
        <v>556</v>
      </c>
      <c r="E62" s="2689">
        <f>'11.2. ДА за периода'!E62</f>
        <v>0</v>
      </c>
      <c r="F62" s="2617">
        <f>($F13*$C62)/$E$7</f>
        <v>0</v>
      </c>
      <c r="G62" s="1110">
        <f>($F13*$C62)+($G13*$C62)/$E$7</f>
        <v>0</v>
      </c>
      <c r="H62" s="1110">
        <f>($F13*$C62)+($G13*$C62)+($H13*$C62)/$E$7</f>
        <v>0</v>
      </c>
      <c r="I62" s="1110">
        <f>($F13*$C62)+($G13*$C62)+($H13*$C62)+($I13*$C62)/$E$7</f>
        <v>0</v>
      </c>
      <c r="J62" s="1110">
        <f>($F13*$C62)+($G13*$C62)+($H13*$C62)+($I13*$C62)+($J13*$C62)/$E$7</f>
        <v>0</v>
      </c>
      <c r="K62" s="2742">
        <f>($F13*$C62)+($G13*$C62)+($H13*$C62)+($I13*$C62)+($J13*$C62)+($K13*$C62)/$E$7</f>
        <v>0</v>
      </c>
      <c r="L62" s="2689">
        <f>'11.2. ДА за периода'!L62</f>
        <v>0</v>
      </c>
      <c r="M62" s="2617">
        <f>($M13*$C62)/$E$7</f>
        <v>0</v>
      </c>
      <c r="N62" s="1110">
        <f>($M13*$C62)+($N13*$C62)/$E$7</f>
        <v>0</v>
      </c>
      <c r="O62" s="1110">
        <f>($M13*$C62)+($N13*$C62)+($O13*$C62)/$E$7</f>
        <v>0</v>
      </c>
      <c r="P62" s="1110">
        <f>($M13*$C62)+($N13*$C62)+($O13*$C62)+($P13*$C62)/$E$7</f>
        <v>0</v>
      </c>
      <c r="Q62" s="2742">
        <f>($M13*$C62)+($N13*$C62)+($O13*$C62)+($P13*$C62)+($Q13*$C62)/$E$7</f>
        <v>0</v>
      </c>
      <c r="R62" s="2618">
        <f>($M13*$C62)+($N13*$C62)+($O13*$C62)+($P13*$C62)+($Q13*$C62)+($R13*$C62)/$E$7</f>
        <v>0</v>
      </c>
      <c r="S62" s="1087">
        <f>'11.2. ДА за периода'!S62</f>
        <v>0</v>
      </c>
      <c r="T62" s="882">
        <f>(T13*$C62)/$E$7</f>
        <v>0</v>
      </c>
      <c r="U62" s="1110">
        <f>(T13*$C62)+(U13*$C62)/$E$7</f>
        <v>0</v>
      </c>
      <c r="V62" s="1110">
        <f>(T13*$C62)+(U13*$C62)+(V13*$C62)/$E$7</f>
        <v>0</v>
      </c>
      <c r="W62" s="1110">
        <f>(T13*$C62)+(U13*$C62)+(V13*$C62)+(W13*$C62)/$E$7</f>
        <v>0</v>
      </c>
      <c r="X62" s="1110">
        <f>(T13*$C62)+(U13*$C62)+(V13*$C62)+(W13*$C62)+(X13*$C62)/$E$7</f>
        <v>0</v>
      </c>
      <c r="Y62" s="2618">
        <f>(T13*$C62)+(U13*$C62)+(V13*$C62)+(W13*$C62)+(X13*$C62)+(Y13*$C62)/$E$7</f>
        <v>0</v>
      </c>
      <c r="Z62" s="1087">
        <f>'11.2. ДА за периода'!Z62</f>
        <v>0</v>
      </c>
      <c r="AA62" s="882">
        <f>(AA13*$C62)/$E$7</f>
        <v>0</v>
      </c>
      <c r="AB62" s="1110">
        <f>(AA13*$C62)+(AB13*$C62)/$E$7</f>
        <v>0</v>
      </c>
      <c r="AC62" s="1110">
        <f>(AA13*$C62)+(AB13*$C62)+(AC13*$C62)/$E$7</f>
        <v>0</v>
      </c>
      <c r="AD62" s="1110">
        <f>(AA13*$C62)+(AB13*$C62)+(AC13*$C62)+(AD13*$C62)/$E$7</f>
        <v>0</v>
      </c>
      <c r="AE62" s="1110">
        <f>(AA13*$C62)+(AB13*$C62)+(AC13*$C62)+(AD13*$C62)+(AE13*$C62)/$E$7</f>
        <v>0</v>
      </c>
      <c r="AF62" s="2742">
        <f>(AA13*$C62)+(AB13*$C62)+(AC13*$C62)+(AD13*$C62)+(AE13*$C62)+(AF13*$C62)/$E$7</f>
        <v>0</v>
      </c>
      <c r="AG62" s="1087">
        <f>'11.2. ДА за периода'!AG62</f>
        <v>0</v>
      </c>
      <c r="AH62" s="882">
        <f>(AH13*$C62)/$E$7</f>
        <v>0</v>
      </c>
      <c r="AI62" s="1110">
        <f>(AH13*$C62)+(AI13*$C62)/$E$7</f>
        <v>0</v>
      </c>
      <c r="AJ62" s="1110">
        <f>(AH13*$C62)+(AI13*$C62)+(AJ13*$C62)/$E$7</f>
        <v>0</v>
      </c>
      <c r="AK62" s="1110">
        <f>(AH13*$C62)+(AI13*$C62)+(AJ13*$C62)+(AK13*$C62)/$E$7</f>
        <v>0</v>
      </c>
      <c r="AL62" s="1110">
        <f>(AH13*$C62)+(AI13*$C62)+(AJ13*$C62)+(AK13*$C62)+(AL13*$C62)/$E$7</f>
        <v>0</v>
      </c>
      <c r="AM62" s="2742">
        <f>(AH13*$C62)+(AI13*$C62)+(AJ13*$C62)+(AK13*$C62)+(AL13*$C62)+(AM13*$C62)/$E$7</f>
        <v>0</v>
      </c>
      <c r="AN62" s="2689">
        <f>'11.2. ДА за периода'!AN62</f>
        <v>0</v>
      </c>
      <c r="AO62" s="2617">
        <f>($AO13*$C62)/$E$7</f>
        <v>0</v>
      </c>
      <c r="AP62" s="1110">
        <f>($AO13*$C62)+($AP13*$C62)/$E$7</f>
        <v>0</v>
      </c>
      <c r="AQ62" s="1110">
        <f>($AO13*$C62)+($AP13*$C62)+($AQ13*$C62)/$E$7</f>
        <v>0</v>
      </c>
      <c r="AR62" s="1110">
        <f>($AO13*$C62)+($AP13*$C62)+($AQ13*$C62)+($AR13*$C62)/$E$7</f>
        <v>0</v>
      </c>
      <c r="AS62" s="1110">
        <f>($AO13*$C62)+($AP13*$C62)+($AQ13*$C62)+($AR13*$C62)+($AS13*$C62)/$E$7</f>
        <v>0</v>
      </c>
      <c r="AT62" s="2618">
        <f>($AO13*$C62)+($AP13*$C62)+($AQ13*$C62)+($AR13*$C62)+($AS13*$C62)+($AT13*$C62)/$E$7</f>
        <v>0</v>
      </c>
      <c r="AU62" s="4422"/>
      <c r="AV62" s="4438">
        <f t="shared" si="47"/>
        <v>0</v>
      </c>
      <c r="AW62" s="4438">
        <f t="shared" si="48"/>
        <v>0</v>
      </c>
      <c r="AX62" s="4438">
        <f t="shared" si="49"/>
        <v>0</v>
      </c>
      <c r="AY62" s="4438">
        <f t="shared" si="50"/>
        <v>0</v>
      </c>
      <c r="AZ62" s="4438">
        <f t="shared" si="51"/>
        <v>0</v>
      </c>
      <c r="BA62" s="4438">
        <f t="shared" si="52"/>
        <v>0</v>
      </c>
      <c r="BB62" s="4438">
        <f t="shared" si="53"/>
        <v>0</v>
      </c>
      <c r="BC62" s="4438">
        <f t="shared" si="54"/>
        <v>0</v>
      </c>
      <c r="BD62" s="4438">
        <f t="shared" si="55"/>
        <v>0</v>
      </c>
      <c r="BE62" s="4438">
        <f t="shared" si="56"/>
        <v>0</v>
      </c>
      <c r="BF62" s="4438">
        <f t="shared" si="57"/>
        <v>0</v>
      </c>
      <c r="BG62" s="4438">
        <f t="shared" si="58"/>
        <v>0</v>
      </c>
      <c r="BH62" s="4438">
        <f t="shared" si="59"/>
        <v>0</v>
      </c>
      <c r="BI62" s="4438">
        <f t="shared" si="60"/>
        <v>0</v>
      </c>
      <c r="BJ62" s="4438">
        <f t="shared" si="61"/>
        <v>0</v>
      </c>
      <c r="BK62" s="4438">
        <f t="shared" si="62"/>
        <v>0</v>
      </c>
      <c r="BL62" s="4438">
        <f t="shared" si="63"/>
        <v>0</v>
      </c>
      <c r="BM62" s="4438">
        <f t="shared" si="64"/>
        <v>0</v>
      </c>
      <c r="BN62" s="4438">
        <f t="shared" si="65"/>
        <v>0</v>
      </c>
      <c r="BO62" s="4438">
        <f t="shared" si="66"/>
        <v>0</v>
      </c>
      <c r="BP62" s="4438">
        <f t="shared" si="67"/>
        <v>0</v>
      </c>
      <c r="BQ62" s="4438">
        <f t="shared" si="68"/>
        <v>0</v>
      </c>
      <c r="BR62" s="4438">
        <f t="shared" si="69"/>
        <v>0</v>
      </c>
      <c r="BS62" s="4438">
        <f t="shared" si="70"/>
        <v>0</v>
      </c>
      <c r="BT62" s="4438">
        <f t="shared" si="71"/>
        <v>0</v>
      </c>
      <c r="BU62" s="4438">
        <f t="shared" si="72"/>
        <v>0</v>
      </c>
      <c r="BV62" s="4438">
        <f t="shared" si="73"/>
        <v>0</v>
      </c>
      <c r="BW62" s="4438">
        <f t="shared" si="74"/>
        <v>0</v>
      </c>
      <c r="BX62" s="4438">
        <f t="shared" si="75"/>
        <v>0</v>
      </c>
      <c r="BY62" s="4438">
        <f t="shared" si="76"/>
        <v>0</v>
      </c>
      <c r="BZ62" s="4438">
        <f t="shared" si="77"/>
        <v>0</v>
      </c>
      <c r="CA62" s="4438">
        <f t="shared" si="78"/>
        <v>0</v>
      </c>
      <c r="CB62" s="4438">
        <f t="shared" si="79"/>
        <v>0</v>
      </c>
      <c r="CC62" s="4438">
        <f t="shared" si="80"/>
        <v>0</v>
      </c>
      <c r="CD62" s="4438">
        <f t="shared" si="81"/>
        <v>0</v>
      </c>
      <c r="CE62" s="4438">
        <f t="shared" si="82"/>
        <v>0</v>
      </c>
      <c r="CF62" s="4438">
        <f t="shared" si="83"/>
        <v>0</v>
      </c>
      <c r="CG62" s="4438">
        <f t="shared" si="84"/>
        <v>0</v>
      </c>
      <c r="CH62" s="4438">
        <f t="shared" si="85"/>
        <v>0</v>
      </c>
      <c r="CI62" s="4438">
        <f t="shared" si="86"/>
        <v>0</v>
      </c>
      <c r="CJ62" s="4438">
        <f t="shared" si="87"/>
        <v>0</v>
      </c>
      <c r="CK62" s="4438">
        <f t="shared" si="88"/>
        <v>0</v>
      </c>
    </row>
    <row r="63" spans="1:89" s="38" customFormat="1">
      <c r="A63" s="2687"/>
      <c r="B63" s="3560">
        <v>20102</v>
      </c>
      <c r="C63" s="3543">
        <v>0</v>
      </c>
      <c r="D63" s="2743" t="s">
        <v>558</v>
      </c>
      <c r="E63" s="2689">
        <f>'11.2. ДА за периода'!E63</f>
        <v>0</v>
      </c>
      <c r="F63" s="2617">
        <f>($F14*$C63)/$E$7</f>
        <v>0</v>
      </c>
      <c r="G63" s="1110">
        <f>($F14*$C63)+($G14*$C63)/$E$7</f>
        <v>0</v>
      </c>
      <c r="H63" s="1110">
        <f>($F14*$C63)+($G14*$C63)+($H14*$C63)/$E$7</f>
        <v>0</v>
      </c>
      <c r="I63" s="1110">
        <f>($F14*$C63)+($G14*$C63)+($H14*$C63)+($I14*$C63)/$E$7</f>
        <v>0</v>
      </c>
      <c r="J63" s="1110">
        <f>($F14*$C63)+($G14*$C63)+($H14*$C63)+($I14*$C63)+($J14*$C63)/$E$7</f>
        <v>0</v>
      </c>
      <c r="K63" s="2742">
        <f>($F14*$C63)+($G14*$C63)+($H14*$C63)+($I14*$C63)+($J14*$C63)+($K14*$C63)/$E$7</f>
        <v>0</v>
      </c>
      <c r="L63" s="2689">
        <f>'11.2. ДА за периода'!L63</f>
        <v>0</v>
      </c>
      <c r="M63" s="2617">
        <f>($M14*$C63)/$E$7</f>
        <v>0</v>
      </c>
      <c r="N63" s="1110">
        <f>($M14*$C63)+($N14*$C63)/$E$7</f>
        <v>0</v>
      </c>
      <c r="O63" s="1110">
        <f>($M14*$C63)+($N14*$C63)+($O14*$C63)/$E$7</f>
        <v>0</v>
      </c>
      <c r="P63" s="1110">
        <f>($M14*$C63)+($N14*$C63)+($O14*$C63)+($P14*$C63)/$E$7</f>
        <v>0</v>
      </c>
      <c r="Q63" s="2742">
        <f>($M14*$C63)+($N14*$C63)+($O14*$C63)+($P14*$C63)+($Q14*$C63)/$E$7</f>
        <v>0</v>
      </c>
      <c r="R63" s="2618">
        <f>($M14*$C63)+($N14*$C63)+($O14*$C63)+($P14*$C63)+($Q14*$C63)+($R14*$C63)/$E$7</f>
        <v>0</v>
      </c>
      <c r="S63" s="1087">
        <f>'11.2. ДА за периода'!S63</f>
        <v>0</v>
      </c>
      <c r="T63" s="882">
        <f>($T14*$C63)/$E$7</f>
        <v>0</v>
      </c>
      <c r="U63" s="1110">
        <f>($T14*$C63)+($U14*$C63)/$E$7</f>
        <v>0</v>
      </c>
      <c r="V63" s="1110">
        <f>($T14*$C63)+($U14*$C63)+($V14*$C63)/$E$7</f>
        <v>0</v>
      </c>
      <c r="W63" s="1110">
        <f>($T14*$C63)+($U14*$C63)+($V14*$C63)+($W14*$C63)/$E$7</f>
        <v>0</v>
      </c>
      <c r="X63" s="1110">
        <f>($T14*$C63)+($U14*$C63)+($V14*$C63)+($W14*$C63)+($X14*$C63)/$E$7</f>
        <v>0</v>
      </c>
      <c r="Y63" s="2618">
        <f>($T14*$C63)+($U14*$C63)+($V14*$C63)+($W14*$C63)+($X14*$C63)+($Y14*$C63)/$E$7</f>
        <v>0</v>
      </c>
      <c r="Z63" s="1087">
        <f>'11.2. ДА за периода'!Z63</f>
        <v>0</v>
      </c>
      <c r="AA63" s="882">
        <f>(AA14*$C63)/$E$7</f>
        <v>0</v>
      </c>
      <c r="AB63" s="1110">
        <f>(AA14*$C63)+(AB14*$C63)/$E$7</f>
        <v>0</v>
      </c>
      <c r="AC63" s="1110">
        <f>(AA14*$C63)+(AB14*$C63)+(AC14*$C63)/$E$7</f>
        <v>0</v>
      </c>
      <c r="AD63" s="1110">
        <f>(AA14*$C63)+(AB14*$C63)+(AC14*$C63)+(AD14*$C63)/$E$7</f>
        <v>0</v>
      </c>
      <c r="AE63" s="1110">
        <f>(AA14*$C63)+(AB14*$C63)+(AC14*$C63)+(AD14*$C63)+(AE14*$C63)/$E$7</f>
        <v>0</v>
      </c>
      <c r="AF63" s="2742">
        <f>(AA14*$C63)+(AB14*$C63)+(AC14*$C63)+(AD14*$C63)+(AE14*$C63)+(AF14*$C63)/$E$7</f>
        <v>0</v>
      </c>
      <c r="AG63" s="1087">
        <f>'11.2. ДА за периода'!AG63</f>
        <v>0</v>
      </c>
      <c r="AH63" s="882">
        <f>(AH14*$C63)/$E$7</f>
        <v>0</v>
      </c>
      <c r="AI63" s="1110">
        <f>(AH14*$C63)+(AI14*$C63)/$E$7</f>
        <v>0</v>
      </c>
      <c r="AJ63" s="1110">
        <f>(AH14*$C63)+(AI14*$C63)+(AJ14*$C63)/$E$7</f>
        <v>0</v>
      </c>
      <c r="AK63" s="1110">
        <f>(AH14*$C63)+(AI14*$C63)+(AJ14*$C63)+(AK14*$C63)/$E$7</f>
        <v>0</v>
      </c>
      <c r="AL63" s="1110">
        <f>(AH14*$C63)+(AI14*$C63)+(AJ14*$C63)+(AK14*$C63)+(AL14*$C63)/$E$7</f>
        <v>0</v>
      </c>
      <c r="AM63" s="2742">
        <f>(AH14*$C63)+(AI14*$C63)+(AJ14*$C63)+(AK14*$C63)+(AL14*$C63)+(AM14*$C63)/$E$7</f>
        <v>0</v>
      </c>
      <c r="AN63" s="2689">
        <f>'11.2. ДА за периода'!AN63</f>
        <v>0</v>
      </c>
      <c r="AO63" s="2617">
        <f>($AO14*$C63)/$E$7</f>
        <v>0</v>
      </c>
      <c r="AP63" s="1110">
        <f>($AO14*$C63)+($AP14*$C63)/$E$7</f>
        <v>0</v>
      </c>
      <c r="AQ63" s="1110">
        <f>($AO14*$C63)+($AP14*$C63)+($AQ14*$C63)/$E$7</f>
        <v>0</v>
      </c>
      <c r="AR63" s="1110">
        <f>($AO14*$C63)+($AP14*$C63)+($AQ14*$C63)+($AR14*$C63)/$E$7</f>
        <v>0</v>
      </c>
      <c r="AS63" s="1110">
        <f>($AO14*$C63)+($AP14*$C63)+($AQ14*$C63)+($AR14*$C63)+($AS14*$C63)/$E$7</f>
        <v>0</v>
      </c>
      <c r="AT63" s="2618">
        <f>($AO14*$C63)+($AP14*$C63)+($AQ14*$C63)+($AR14*$C63)+($AS14*$C63)+($AT14*$C63)/$E$7</f>
        <v>0</v>
      </c>
      <c r="AU63" s="4422"/>
      <c r="AV63" s="4438">
        <f t="shared" si="47"/>
        <v>0</v>
      </c>
      <c r="AW63" s="4438">
        <f t="shared" si="48"/>
        <v>0</v>
      </c>
      <c r="AX63" s="4438">
        <f t="shared" si="49"/>
        <v>0</v>
      </c>
      <c r="AY63" s="4438">
        <f t="shared" si="50"/>
        <v>0</v>
      </c>
      <c r="AZ63" s="4438">
        <f t="shared" si="51"/>
        <v>0</v>
      </c>
      <c r="BA63" s="4438">
        <f t="shared" si="52"/>
        <v>0</v>
      </c>
      <c r="BB63" s="4438">
        <f t="shared" si="53"/>
        <v>0</v>
      </c>
      <c r="BC63" s="4438">
        <f t="shared" si="54"/>
        <v>0</v>
      </c>
      <c r="BD63" s="4438">
        <f t="shared" si="55"/>
        <v>0</v>
      </c>
      <c r="BE63" s="4438">
        <f t="shared" si="56"/>
        <v>0</v>
      </c>
      <c r="BF63" s="4438">
        <f t="shared" si="57"/>
        <v>0</v>
      </c>
      <c r="BG63" s="4438">
        <f t="shared" si="58"/>
        <v>0</v>
      </c>
      <c r="BH63" s="4438">
        <f t="shared" si="59"/>
        <v>0</v>
      </c>
      <c r="BI63" s="4438">
        <f t="shared" si="60"/>
        <v>0</v>
      </c>
      <c r="BJ63" s="4438">
        <f t="shared" si="61"/>
        <v>0</v>
      </c>
      <c r="BK63" s="4438">
        <f t="shared" si="62"/>
        <v>0</v>
      </c>
      <c r="BL63" s="4438">
        <f t="shared" si="63"/>
        <v>0</v>
      </c>
      <c r="BM63" s="4438">
        <f t="shared" si="64"/>
        <v>0</v>
      </c>
      <c r="BN63" s="4438">
        <f t="shared" si="65"/>
        <v>0</v>
      </c>
      <c r="BO63" s="4438">
        <f t="shared" si="66"/>
        <v>0</v>
      </c>
      <c r="BP63" s="4438">
        <f t="shared" si="67"/>
        <v>0</v>
      </c>
      <c r="BQ63" s="4438">
        <f t="shared" si="68"/>
        <v>0</v>
      </c>
      <c r="BR63" s="4438">
        <f t="shared" si="69"/>
        <v>0</v>
      </c>
      <c r="BS63" s="4438">
        <f t="shared" si="70"/>
        <v>0</v>
      </c>
      <c r="BT63" s="4438">
        <f t="shared" si="71"/>
        <v>0</v>
      </c>
      <c r="BU63" s="4438">
        <f t="shared" si="72"/>
        <v>0</v>
      </c>
      <c r="BV63" s="4438">
        <f t="shared" si="73"/>
        <v>0</v>
      </c>
      <c r="BW63" s="4438">
        <f t="shared" si="74"/>
        <v>0</v>
      </c>
      <c r="BX63" s="4438">
        <f t="shared" si="75"/>
        <v>0</v>
      </c>
      <c r="BY63" s="4438">
        <f t="shared" si="76"/>
        <v>0</v>
      </c>
      <c r="BZ63" s="4438">
        <f t="shared" si="77"/>
        <v>0</v>
      </c>
      <c r="CA63" s="4438">
        <f t="shared" si="78"/>
        <v>0</v>
      </c>
      <c r="CB63" s="4438">
        <f t="shared" si="79"/>
        <v>0</v>
      </c>
      <c r="CC63" s="4438">
        <f t="shared" si="80"/>
        <v>0</v>
      </c>
      <c r="CD63" s="4438">
        <f t="shared" si="81"/>
        <v>0</v>
      </c>
      <c r="CE63" s="4438">
        <f t="shared" si="82"/>
        <v>0</v>
      </c>
      <c r="CF63" s="4438">
        <f t="shared" si="83"/>
        <v>0</v>
      </c>
      <c r="CG63" s="4438">
        <f t="shared" si="84"/>
        <v>0</v>
      </c>
      <c r="CH63" s="4438">
        <f t="shared" si="85"/>
        <v>0</v>
      </c>
      <c r="CI63" s="4438">
        <f t="shared" si="86"/>
        <v>0</v>
      </c>
      <c r="CJ63" s="4438">
        <f t="shared" si="87"/>
        <v>0</v>
      </c>
      <c r="CK63" s="4438">
        <f t="shared" si="88"/>
        <v>0</v>
      </c>
    </row>
    <row r="64" spans="1:89" s="30" customFormat="1">
      <c r="A64" s="2694">
        <v>2</v>
      </c>
      <c r="B64" s="3572">
        <v>202</v>
      </c>
      <c r="C64" s="3555">
        <v>0.03</v>
      </c>
      <c r="D64" s="2744" t="s">
        <v>404</v>
      </c>
      <c r="E64" s="2745">
        <f>SUM(E65:E66)</f>
        <v>0.105</v>
      </c>
      <c r="F64" s="2746">
        <f>SUM(F65:F66)</f>
        <v>0.3</v>
      </c>
      <c r="G64" s="2747">
        <f t="shared" ref="G64:AT64" si="114">SUM(G65:G66)</f>
        <v>0.6</v>
      </c>
      <c r="H64" s="2747">
        <f t="shared" si="114"/>
        <v>0.6</v>
      </c>
      <c r="I64" s="2747">
        <f t="shared" si="114"/>
        <v>0.6</v>
      </c>
      <c r="J64" s="2747">
        <f t="shared" si="114"/>
        <v>0.6</v>
      </c>
      <c r="K64" s="2748">
        <f t="shared" si="114"/>
        <v>0.6</v>
      </c>
      <c r="L64" s="2749">
        <f t="shared" si="114"/>
        <v>0</v>
      </c>
      <c r="M64" s="2746">
        <f t="shared" si="114"/>
        <v>0</v>
      </c>
      <c r="N64" s="2747">
        <f t="shared" si="114"/>
        <v>0</v>
      </c>
      <c r="O64" s="2747">
        <f t="shared" si="114"/>
        <v>0</v>
      </c>
      <c r="P64" s="2747">
        <f t="shared" si="114"/>
        <v>0</v>
      </c>
      <c r="Q64" s="2747">
        <f t="shared" si="114"/>
        <v>0</v>
      </c>
      <c r="R64" s="2750">
        <f t="shared" si="114"/>
        <v>0</v>
      </c>
      <c r="S64" s="2749">
        <f t="shared" si="114"/>
        <v>0</v>
      </c>
      <c r="T64" s="2751">
        <f t="shared" si="114"/>
        <v>0</v>
      </c>
      <c r="U64" s="2747">
        <f t="shared" si="114"/>
        <v>0</v>
      </c>
      <c r="V64" s="2747">
        <f t="shared" si="114"/>
        <v>0</v>
      </c>
      <c r="W64" s="2747">
        <f t="shared" si="114"/>
        <v>0</v>
      </c>
      <c r="X64" s="2747">
        <f t="shared" si="114"/>
        <v>0</v>
      </c>
      <c r="Y64" s="2750">
        <f t="shared" si="114"/>
        <v>0</v>
      </c>
      <c r="Z64" s="2749">
        <f t="shared" si="114"/>
        <v>0</v>
      </c>
      <c r="AA64" s="2751">
        <f t="shared" si="114"/>
        <v>0</v>
      </c>
      <c r="AB64" s="2747">
        <f t="shared" si="114"/>
        <v>0</v>
      </c>
      <c r="AC64" s="2747">
        <f t="shared" si="114"/>
        <v>0</v>
      </c>
      <c r="AD64" s="2747">
        <f t="shared" si="114"/>
        <v>0</v>
      </c>
      <c r="AE64" s="2747">
        <f t="shared" si="114"/>
        <v>0</v>
      </c>
      <c r="AF64" s="2750">
        <f t="shared" si="114"/>
        <v>0</v>
      </c>
      <c r="AG64" s="2749">
        <f t="shared" si="114"/>
        <v>0</v>
      </c>
      <c r="AH64" s="2751">
        <f t="shared" si="114"/>
        <v>0</v>
      </c>
      <c r="AI64" s="2747">
        <f t="shared" si="114"/>
        <v>0</v>
      </c>
      <c r="AJ64" s="2747">
        <f t="shared" si="114"/>
        <v>0</v>
      </c>
      <c r="AK64" s="2747">
        <f t="shared" si="114"/>
        <v>0</v>
      </c>
      <c r="AL64" s="2747">
        <f t="shared" si="114"/>
        <v>0</v>
      </c>
      <c r="AM64" s="2750">
        <f t="shared" si="114"/>
        <v>0</v>
      </c>
      <c r="AN64" s="2749">
        <f t="shared" si="114"/>
        <v>0</v>
      </c>
      <c r="AO64" s="2751">
        <f t="shared" si="114"/>
        <v>0.75</v>
      </c>
      <c r="AP64" s="2747">
        <f t="shared" si="114"/>
        <v>1.5</v>
      </c>
      <c r="AQ64" s="2747">
        <f t="shared" si="114"/>
        <v>1.5</v>
      </c>
      <c r="AR64" s="2747">
        <f t="shared" si="114"/>
        <v>1.5</v>
      </c>
      <c r="AS64" s="2747">
        <f t="shared" si="114"/>
        <v>1.5</v>
      </c>
      <c r="AT64" s="2750">
        <f t="shared" si="114"/>
        <v>1.5</v>
      </c>
      <c r="AU64" s="4422"/>
      <c r="AV64" s="4438">
        <f t="shared" si="47"/>
        <v>5.3685647525602939E-2</v>
      </c>
      <c r="AW64" s="4438">
        <f t="shared" si="48"/>
        <v>0.15338756435886555</v>
      </c>
      <c r="AX64" s="4438">
        <f t="shared" si="49"/>
        <v>0.3067751287177311</v>
      </c>
      <c r="AY64" s="4438">
        <f t="shared" si="50"/>
        <v>0.3067751287177311</v>
      </c>
      <c r="AZ64" s="4438">
        <f t="shared" si="51"/>
        <v>0.3067751287177311</v>
      </c>
      <c r="BA64" s="4438">
        <f t="shared" si="52"/>
        <v>0.3067751287177311</v>
      </c>
      <c r="BB64" s="4438">
        <f t="shared" si="53"/>
        <v>0.3067751287177311</v>
      </c>
      <c r="BC64" s="4438">
        <f t="shared" si="54"/>
        <v>0</v>
      </c>
      <c r="BD64" s="4438">
        <f t="shared" si="55"/>
        <v>0</v>
      </c>
      <c r="BE64" s="4438">
        <f t="shared" si="56"/>
        <v>0</v>
      </c>
      <c r="BF64" s="4438">
        <f t="shared" si="57"/>
        <v>0</v>
      </c>
      <c r="BG64" s="4438">
        <f t="shared" si="58"/>
        <v>0</v>
      </c>
      <c r="BH64" s="4438">
        <f t="shared" si="59"/>
        <v>0</v>
      </c>
      <c r="BI64" s="4438">
        <f t="shared" si="60"/>
        <v>0</v>
      </c>
      <c r="BJ64" s="4438">
        <f t="shared" si="61"/>
        <v>0</v>
      </c>
      <c r="BK64" s="4438">
        <f t="shared" si="62"/>
        <v>0</v>
      </c>
      <c r="BL64" s="4438">
        <f t="shared" si="63"/>
        <v>0</v>
      </c>
      <c r="BM64" s="4438">
        <f t="shared" si="64"/>
        <v>0</v>
      </c>
      <c r="BN64" s="4438">
        <f t="shared" si="65"/>
        <v>0</v>
      </c>
      <c r="BO64" s="4438">
        <f t="shared" si="66"/>
        <v>0</v>
      </c>
      <c r="BP64" s="4438">
        <f t="shared" si="67"/>
        <v>0</v>
      </c>
      <c r="BQ64" s="4438">
        <f t="shared" si="68"/>
        <v>0</v>
      </c>
      <c r="BR64" s="4438">
        <f t="shared" si="69"/>
        <v>0</v>
      </c>
      <c r="BS64" s="4438">
        <f t="shared" si="70"/>
        <v>0</v>
      </c>
      <c r="BT64" s="4438">
        <f t="shared" si="71"/>
        <v>0</v>
      </c>
      <c r="BU64" s="4438">
        <f t="shared" si="72"/>
        <v>0</v>
      </c>
      <c r="BV64" s="4438">
        <f t="shared" si="73"/>
        <v>0</v>
      </c>
      <c r="BW64" s="4438">
        <f t="shared" si="74"/>
        <v>0</v>
      </c>
      <c r="BX64" s="4438">
        <f t="shared" si="75"/>
        <v>0</v>
      </c>
      <c r="BY64" s="4438">
        <f t="shared" si="76"/>
        <v>0</v>
      </c>
      <c r="BZ64" s="4438">
        <f t="shared" si="77"/>
        <v>0</v>
      </c>
      <c r="CA64" s="4438">
        <f t="shared" si="78"/>
        <v>0</v>
      </c>
      <c r="CB64" s="4438">
        <f t="shared" si="79"/>
        <v>0</v>
      </c>
      <c r="CC64" s="4438">
        <f t="shared" si="80"/>
        <v>0</v>
      </c>
      <c r="CD64" s="4438">
        <f t="shared" si="81"/>
        <v>0</v>
      </c>
      <c r="CE64" s="4438">
        <f t="shared" si="82"/>
        <v>0</v>
      </c>
      <c r="CF64" s="4438">
        <f t="shared" si="83"/>
        <v>0.38346891089716389</v>
      </c>
      <c r="CG64" s="4438">
        <f t="shared" si="84"/>
        <v>0.76693782179432779</v>
      </c>
      <c r="CH64" s="4438">
        <f t="shared" si="85"/>
        <v>0.76693782179432779</v>
      </c>
      <c r="CI64" s="4438">
        <f t="shared" si="86"/>
        <v>0.76693782179432779</v>
      </c>
      <c r="CJ64" s="4438">
        <f t="shared" si="87"/>
        <v>0.76693782179432779</v>
      </c>
      <c r="CK64" s="4438">
        <f t="shared" si="88"/>
        <v>0.76693782179432779</v>
      </c>
    </row>
    <row r="65" spans="1:89">
      <c r="A65" s="2701"/>
      <c r="B65" s="3573">
        <v>20201</v>
      </c>
      <c r="C65" s="3556">
        <v>0.03</v>
      </c>
      <c r="D65" s="2752" t="s">
        <v>425</v>
      </c>
      <c r="E65" s="2689">
        <f>'11.2. ДА за периода'!E65</f>
        <v>0</v>
      </c>
      <c r="F65" s="2617">
        <f>($F16*$C65)/$E$7</f>
        <v>0</v>
      </c>
      <c r="G65" s="1110">
        <f>($F16*$C65)+($G16*$C65)/$E$7</f>
        <v>0</v>
      </c>
      <c r="H65" s="1110">
        <f>($F16*$C65)+($G16*$C65)+($H16*$C65)/$E$7</f>
        <v>0</v>
      </c>
      <c r="I65" s="1110">
        <f>($F16*$C65)+($G16*$C65)+($H16*$C65)+($I16*$C65)/$E$7</f>
        <v>0</v>
      </c>
      <c r="J65" s="1110">
        <f>($F16*$C65)+($G16*$C65)+($H16*$C65)+($I16*$C65)+($J16*$C65)/$E$7</f>
        <v>0</v>
      </c>
      <c r="K65" s="2742">
        <f>($F16*$C65)+($G16*$C65)+($H16*$C65)+($I16*$C65)+($J16*$C65)+($K16*$C65)/$E$7</f>
        <v>0</v>
      </c>
      <c r="L65" s="2689">
        <f>'11.2. ДА за периода'!L65</f>
        <v>0</v>
      </c>
      <c r="M65" s="2617">
        <f>($M16*$C65)/$E$7</f>
        <v>0</v>
      </c>
      <c r="N65" s="1110">
        <f>($M16*$C65)+($N16*$C65)/$E$7</f>
        <v>0</v>
      </c>
      <c r="O65" s="1110">
        <f>($M16*$C65)+($N16*$C65)+($O16*$C65)/$E$7</f>
        <v>0</v>
      </c>
      <c r="P65" s="1110">
        <f>($M16*$C65)+($N16*$C65)+($O16*$C65)+($P16*$C65)/$E$7</f>
        <v>0</v>
      </c>
      <c r="Q65" s="2742">
        <f>($M16*$C65)+($N16*$C65)+($O16*$C65)+($P16*$C65)+($Q16*$C65)/$E$7</f>
        <v>0</v>
      </c>
      <c r="R65" s="2618">
        <f>($M16*$C65)+($N16*$C65)+($O16*$C65)+($P16*$C65)+($Q16*$C65)+($R16*$C65)/$E$7</f>
        <v>0</v>
      </c>
      <c r="S65" s="1087">
        <f>'11.2. ДА за периода'!S65</f>
        <v>0</v>
      </c>
      <c r="T65" s="882">
        <f>($T16*$C65)/$E$7</f>
        <v>0</v>
      </c>
      <c r="U65" s="1110">
        <f>($T16*$C65)+($U16*$C65)/$E$7</f>
        <v>0</v>
      </c>
      <c r="V65" s="1110">
        <f>($T16*$C65)+($U16*$C65)+($V16*$C65)/$E$7</f>
        <v>0</v>
      </c>
      <c r="W65" s="1110">
        <f>($T16*$C65)+($U16*$C65)+($V16*$C65)+($W16*$C65)/$E$7</f>
        <v>0</v>
      </c>
      <c r="X65" s="1110">
        <f>($T16*$C65)+($U16*$C65)+($V16*$C65)+($W16*$C65)+($X16*$C65)/$E$7</f>
        <v>0</v>
      </c>
      <c r="Y65" s="2618">
        <f>($T16*$C65)+($U16*$C65)+($V16*$C65)+($W16*$C65)+($X16*$C65)+($Y16*$C65)/$E$7</f>
        <v>0</v>
      </c>
      <c r="Z65" s="1087">
        <f>'11.2. ДА за периода'!Z65</f>
        <v>0</v>
      </c>
      <c r="AA65" s="882">
        <f t="shared" ref="AA65:AA66" si="115">(AA16*$C65)/$E$7</f>
        <v>0</v>
      </c>
      <c r="AB65" s="1110">
        <f t="shared" ref="AB65:AB66" si="116">(AA16*$C65)+(AB16*$C65)/$E$7</f>
        <v>0</v>
      </c>
      <c r="AC65" s="1110">
        <f t="shared" ref="AC65:AC66" si="117">(AA16*$C65)+(AB16*$C65)+(AC16*$C65)/$E$7</f>
        <v>0</v>
      </c>
      <c r="AD65" s="1110">
        <f t="shared" ref="AD65:AD66" si="118">(AA16*$C65)+(AB16*$C65)+(AC16*$C65)+(AD16*$C65)/$E$7</f>
        <v>0</v>
      </c>
      <c r="AE65" s="1110">
        <f t="shared" ref="AE65:AE66" si="119">(AA16*$C65)+(AB16*$C65)+(AC16*$C65)+(AD16*$C65)+(AE16*$C65)/$E$7</f>
        <v>0</v>
      </c>
      <c r="AF65" s="2742">
        <f t="shared" ref="AF65:AF66" si="120">(AA16*$C65)+(AB16*$C65)+(AC16*$C65)+(AD16*$C65)+(AE16*$C65)+(AF16*$C65)/$E$7</f>
        <v>0</v>
      </c>
      <c r="AG65" s="1087">
        <f>'11.2. ДА за периода'!AG65</f>
        <v>0</v>
      </c>
      <c r="AH65" s="882">
        <f t="shared" ref="AH65:AH66" si="121">(AH16*$C65)/$E$7</f>
        <v>0</v>
      </c>
      <c r="AI65" s="1110">
        <f t="shared" ref="AI65:AI66" si="122">(AH16*$C65)+(AI16*$C65)/$E$7</f>
        <v>0</v>
      </c>
      <c r="AJ65" s="1110">
        <f t="shared" ref="AJ65:AJ66" si="123">(AH16*$C65)+(AI16*$C65)+(AJ16*$C65)/$E$7</f>
        <v>0</v>
      </c>
      <c r="AK65" s="1110">
        <f t="shared" ref="AK65:AK66" si="124">(AH16*$C65)+(AI16*$C65)+(AJ16*$C65)+(AK16*$C65)/$E$7</f>
        <v>0</v>
      </c>
      <c r="AL65" s="1110">
        <f t="shared" ref="AL65:AL66" si="125">(AH16*$C65)+(AI16*$C65)+(AJ16*$C65)+(AK16*$C65)+(AL16*$C65)/$E$7</f>
        <v>0</v>
      </c>
      <c r="AM65" s="2742">
        <f t="shared" ref="AM65:AM66" si="126">(AH16*$C65)+(AI16*$C65)+(AJ16*$C65)+(AK16*$C65)+(AL16*$C65)+(AM16*$C65)/$E$7</f>
        <v>0</v>
      </c>
      <c r="AN65" s="2689">
        <f>'11.2. ДА за периода'!AN65</f>
        <v>0</v>
      </c>
      <c r="AO65" s="2617">
        <f>($AO16*$C65)/$E$7</f>
        <v>0.75</v>
      </c>
      <c r="AP65" s="1110">
        <f>($AO16*$C65)+($AP16*$C65)/$E$7</f>
        <v>1.5</v>
      </c>
      <c r="AQ65" s="1110">
        <f>($AO16*$C65)+($AP16*$C65)+($AQ16*$C65)/$E$7</f>
        <v>1.5</v>
      </c>
      <c r="AR65" s="1110">
        <f>($AO16*$C65)+($AP16*$C65)+($AQ16*$C65)+($AR16*$C65)/$E$7</f>
        <v>1.5</v>
      </c>
      <c r="AS65" s="1110">
        <f>($AO16*$C65)+($AP16*$C65)+($AQ16*$C65)+($AR16*$C65)+($AS16*$C65)/$E$7</f>
        <v>1.5</v>
      </c>
      <c r="AT65" s="2618">
        <f>($AO16*$C65)+($AP16*$C65)+($AQ16*$C65)+($AR16*$C65)+($AS16*$C65)+($AT16*$C65)/$E$7</f>
        <v>1.5</v>
      </c>
      <c r="AU65" s="4422"/>
      <c r="AV65" s="4438">
        <f t="shared" si="47"/>
        <v>0</v>
      </c>
      <c r="AW65" s="4438">
        <f t="shared" si="48"/>
        <v>0</v>
      </c>
      <c r="AX65" s="4438">
        <f t="shared" si="49"/>
        <v>0</v>
      </c>
      <c r="AY65" s="4438">
        <f t="shared" si="50"/>
        <v>0</v>
      </c>
      <c r="AZ65" s="4438">
        <f t="shared" si="51"/>
        <v>0</v>
      </c>
      <c r="BA65" s="4438">
        <f t="shared" si="52"/>
        <v>0</v>
      </c>
      <c r="BB65" s="4438">
        <f t="shared" si="53"/>
        <v>0</v>
      </c>
      <c r="BC65" s="4438">
        <f t="shared" si="54"/>
        <v>0</v>
      </c>
      <c r="BD65" s="4438">
        <f t="shared" si="55"/>
        <v>0</v>
      </c>
      <c r="BE65" s="4438">
        <f t="shared" si="56"/>
        <v>0</v>
      </c>
      <c r="BF65" s="4438">
        <f t="shared" si="57"/>
        <v>0</v>
      </c>
      <c r="BG65" s="4438">
        <f t="shared" si="58"/>
        <v>0</v>
      </c>
      <c r="BH65" s="4438">
        <f t="shared" si="59"/>
        <v>0</v>
      </c>
      <c r="BI65" s="4438">
        <f t="shared" si="60"/>
        <v>0</v>
      </c>
      <c r="BJ65" s="4438">
        <f t="shared" si="61"/>
        <v>0</v>
      </c>
      <c r="BK65" s="4438">
        <f t="shared" si="62"/>
        <v>0</v>
      </c>
      <c r="BL65" s="4438">
        <f t="shared" si="63"/>
        <v>0</v>
      </c>
      <c r="BM65" s="4438">
        <f t="shared" si="64"/>
        <v>0</v>
      </c>
      <c r="BN65" s="4438">
        <f t="shared" si="65"/>
        <v>0</v>
      </c>
      <c r="BO65" s="4438">
        <f t="shared" si="66"/>
        <v>0</v>
      </c>
      <c r="BP65" s="4438">
        <f t="shared" si="67"/>
        <v>0</v>
      </c>
      <c r="BQ65" s="4438">
        <f t="shared" si="68"/>
        <v>0</v>
      </c>
      <c r="BR65" s="4438">
        <f t="shared" si="69"/>
        <v>0</v>
      </c>
      <c r="BS65" s="4438">
        <f t="shared" si="70"/>
        <v>0</v>
      </c>
      <c r="BT65" s="4438">
        <f t="shared" si="71"/>
        <v>0</v>
      </c>
      <c r="BU65" s="4438">
        <f t="shared" si="72"/>
        <v>0</v>
      </c>
      <c r="BV65" s="4438">
        <f t="shared" si="73"/>
        <v>0</v>
      </c>
      <c r="BW65" s="4438">
        <f t="shared" si="74"/>
        <v>0</v>
      </c>
      <c r="BX65" s="4438">
        <f t="shared" si="75"/>
        <v>0</v>
      </c>
      <c r="BY65" s="4438">
        <f t="shared" si="76"/>
        <v>0</v>
      </c>
      <c r="BZ65" s="4438">
        <f t="shared" si="77"/>
        <v>0</v>
      </c>
      <c r="CA65" s="4438">
        <f t="shared" si="78"/>
        <v>0</v>
      </c>
      <c r="CB65" s="4438">
        <f t="shared" si="79"/>
        <v>0</v>
      </c>
      <c r="CC65" s="4438">
        <f t="shared" si="80"/>
        <v>0</v>
      </c>
      <c r="CD65" s="4438">
        <f t="shared" si="81"/>
        <v>0</v>
      </c>
      <c r="CE65" s="4438">
        <f t="shared" si="82"/>
        <v>0</v>
      </c>
      <c r="CF65" s="4438">
        <f t="shared" si="83"/>
        <v>0.38346891089716389</v>
      </c>
      <c r="CG65" s="4438">
        <f t="shared" si="84"/>
        <v>0.76693782179432779</v>
      </c>
      <c r="CH65" s="4438">
        <f t="shared" si="85"/>
        <v>0.76693782179432779</v>
      </c>
      <c r="CI65" s="4438">
        <f t="shared" si="86"/>
        <v>0.76693782179432779</v>
      </c>
      <c r="CJ65" s="4438">
        <f t="shared" si="87"/>
        <v>0.76693782179432779</v>
      </c>
      <c r="CK65" s="4438">
        <f t="shared" si="88"/>
        <v>0.76693782179432779</v>
      </c>
    </row>
    <row r="66" spans="1:89">
      <c r="A66" s="2701"/>
      <c r="B66" s="3573">
        <v>20202</v>
      </c>
      <c r="C66" s="3556">
        <v>0.03</v>
      </c>
      <c r="D66" s="2752" t="s">
        <v>426</v>
      </c>
      <c r="E66" s="2689">
        <f>'11.2. ДА за периода'!E66</f>
        <v>0.105</v>
      </c>
      <c r="F66" s="2617">
        <f>($F17*$C66)/$E$7</f>
        <v>0.3</v>
      </c>
      <c r="G66" s="1110">
        <f>($F17*$C66)+($G17*$C66)/$E$7</f>
        <v>0.6</v>
      </c>
      <c r="H66" s="1110">
        <f>($F17*$C66)+($G17*$C66)+($H17*$C66)/$E$7</f>
        <v>0.6</v>
      </c>
      <c r="I66" s="1110">
        <f>($F17*$C66)+($G17*$C66)+($H17*$C66)+($I17*$C66)/$E$7</f>
        <v>0.6</v>
      </c>
      <c r="J66" s="1110">
        <f>($F17*$C66)+($G17*$C66)+($H17*$C66)+($I17*$C66)+($J17*$C66)/$E$7</f>
        <v>0.6</v>
      </c>
      <c r="K66" s="2742">
        <f>($F17*$C66)+($G17*$C66)+($H17*$C66)+($I17*$C66)+($J17*$C66)+($K17*$C66)/$E$7</f>
        <v>0.6</v>
      </c>
      <c r="L66" s="2689">
        <f>'11.2. ДА за периода'!L66</f>
        <v>0</v>
      </c>
      <c r="M66" s="2617">
        <f>($M17*$C66)/$E$7</f>
        <v>0</v>
      </c>
      <c r="N66" s="1110">
        <f>($M17*$C66)+($N17*$C66)/$E$7</f>
        <v>0</v>
      </c>
      <c r="O66" s="1110">
        <f>($M17*$C66)+($N17*$C66)+($O17*$C66)/$E$7</f>
        <v>0</v>
      </c>
      <c r="P66" s="1110">
        <f>($M17*$C66)+($N17*$C66)+($O17*$C66)+($P17*$C66)/$E$7</f>
        <v>0</v>
      </c>
      <c r="Q66" s="2742">
        <f>($M17*$C66)+($N17*$C66)+($O17*$C66)+($P17*$C66)+($Q17*$C66)/$E$7</f>
        <v>0</v>
      </c>
      <c r="R66" s="2618">
        <f>($M17*$C66)+($N17*$C66)+($O17*$C66)+($P17*$C66)+($Q17*$C66)+($R17*$C66)/$E$7</f>
        <v>0</v>
      </c>
      <c r="S66" s="1087">
        <f>'11.2. ДА за периода'!S66</f>
        <v>0</v>
      </c>
      <c r="T66" s="882">
        <f>($T17*$C66)/$E$7</f>
        <v>0</v>
      </c>
      <c r="U66" s="1110">
        <f>($T17*$C66)+($U17*$C66)/$E$7</f>
        <v>0</v>
      </c>
      <c r="V66" s="1110">
        <f>($T17*$C66)+($U17*$C66)+($V17*$C66)/$E$7</f>
        <v>0</v>
      </c>
      <c r="W66" s="1110">
        <f>($T17*$C66)+($U17*$C66)+($V17*$C66)+($W17*$C66)/$E$7</f>
        <v>0</v>
      </c>
      <c r="X66" s="1110">
        <f>($T17*$C66)+($U17*$C66)+($V17*$C66)+($W17*$C66)+($X17*$C66)/$E$7</f>
        <v>0</v>
      </c>
      <c r="Y66" s="2618">
        <f>($T17*$C66)+($U17*$C66)+($V17*$C66)+($W17*$C66)+($X17*$C66)+($Y17*$C66)/$E$7</f>
        <v>0</v>
      </c>
      <c r="Z66" s="1087">
        <f>'11.2. ДА за периода'!Z66</f>
        <v>0</v>
      </c>
      <c r="AA66" s="882">
        <f t="shared" si="115"/>
        <v>0</v>
      </c>
      <c r="AB66" s="1110">
        <f t="shared" si="116"/>
        <v>0</v>
      </c>
      <c r="AC66" s="1110">
        <f t="shared" si="117"/>
        <v>0</v>
      </c>
      <c r="AD66" s="1110">
        <f t="shared" si="118"/>
        <v>0</v>
      </c>
      <c r="AE66" s="1110">
        <f t="shared" si="119"/>
        <v>0</v>
      </c>
      <c r="AF66" s="2742">
        <f t="shared" si="120"/>
        <v>0</v>
      </c>
      <c r="AG66" s="1087">
        <f>'11.2. ДА за периода'!AG66</f>
        <v>0</v>
      </c>
      <c r="AH66" s="882">
        <f t="shared" si="121"/>
        <v>0</v>
      </c>
      <c r="AI66" s="1110">
        <f t="shared" si="122"/>
        <v>0</v>
      </c>
      <c r="AJ66" s="1110">
        <f t="shared" si="123"/>
        <v>0</v>
      </c>
      <c r="AK66" s="1110">
        <f t="shared" si="124"/>
        <v>0</v>
      </c>
      <c r="AL66" s="1110">
        <f t="shared" si="125"/>
        <v>0</v>
      </c>
      <c r="AM66" s="2742">
        <f t="shared" si="126"/>
        <v>0</v>
      </c>
      <c r="AN66" s="2689">
        <f>'11.2. ДА за периода'!AN66</f>
        <v>0</v>
      </c>
      <c r="AO66" s="2617">
        <f>($AO17*$C66)/$E$7</f>
        <v>0</v>
      </c>
      <c r="AP66" s="1110">
        <f>($AO17*$C66)+($AP17*$C66)/$E$7</f>
        <v>0</v>
      </c>
      <c r="AQ66" s="1110">
        <f>($AO17*$C66)+($AP17*$C66)+($AQ17*$C66)/$E$7</f>
        <v>0</v>
      </c>
      <c r="AR66" s="1110">
        <f>($AO17*$C66)+($AP17*$C66)+($AQ17*$C66)+($AR17*$C66)/$E$7</f>
        <v>0</v>
      </c>
      <c r="AS66" s="1110">
        <f>($AO17*$C66)+($AP17*$C66)+($AQ17*$C66)+($AR17*$C66)+($AS17*$C66)/$E$7</f>
        <v>0</v>
      </c>
      <c r="AT66" s="2618">
        <f>($AO17*$C66)+($AP17*$C66)+($AQ17*$C66)+($AR17*$C66)+($AS17*$C66)+($AT17*$C66)/$E$7</f>
        <v>0</v>
      </c>
      <c r="AU66" s="4422"/>
      <c r="AV66" s="4438">
        <f t="shared" si="47"/>
        <v>5.3685647525602939E-2</v>
      </c>
      <c r="AW66" s="4438">
        <f t="shared" si="48"/>
        <v>0.15338756435886555</v>
      </c>
      <c r="AX66" s="4438">
        <f t="shared" si="49"/>
        <v>0.3067751287177311</v>
      </c>
      <c r="AY66" s="4438">
        <f t="shared" si="50"/>
        <v>0.3067751287177311</v>
      </c>
      <c r="AZ66" s="4438">
        <f t="shared" si="51"/>
        <v>0.3067751287177311</v>
      </c>
      <c r="BA66" s="4438">
        <f t="shared" si="52"/>
        <v>0.3067751287177311</v>
      </c>
      <c r="BB66" s="4438">
        <f t="shared" si="53"/>
        <v>0.3067751287177311</v>
      </c>
      <c r="BC66" s="4438">
        <f t="shared" si="54"/>
        <v>0</v>
      </c>
      <c r="BD66" s="4438">
        <f t="shared" si="55"/>
        <v>0</v>
      </c>
      <c r="BE66" s="4438">
        <f t="shared" si="56"/>
        <v>0</v>
      </c>
      <c r="BF66" s="4438">
        <f t="shared" si="57"/>
        <v>0</v>
      </c>
      <c r="BG66" s="4438">
        <f t="shared" si="58"/>
        <v>0</v>
      </c>
      <c r="BH66" s="4438">
        <f t="shared" si="59"/>
        <v>0</v>
      </c>
      <c r="BI66" s="4438">
        <f t="shared" si="60"/>
        <v>0</v>
      </c>
      <c r="BJ66" s="4438">
        <f t="shared" si="61"/>
        <v>0</v>
      </c>
      <c r="BK66" s="4438">
        <f t="shared" si="62"/>
        <v>0</v>
      </c>
      <c r="BL66" s="4438">
        <f t="shared" si="63"/>
        <v>0</v>
      </c>
      <c r="BM66" s="4438">
        <f t="shared" si="64"/>
        <v>0</v>
      </c>
      <c r="BN66" s="4438">
        <f t="shared" si="65"/>
        <v>0</v>
      </c>
      <c r="BO66" s="4438">
        <f t="shared" si="66"/>
        <v>0</v>
      </c>
      <c r="BP66" s="4438">
        <f t="shared" si="67"/>
        <v>0</v>
      </c>
      <c r="BQ66" s="4438">
        <f t="shared" si="68"/>
        <v>0</v>
      </c>
      <c r="BR66" s="4438">
        <f t="shared" si="69"/>
        <v>0</v>
      </c>
      <c r="BS66" s="4438">
        <f t="shared" si="70"/>
        <v>0</v>
      </c>
      <c r="BT66" s="4438">
        <f t="shared" si="71"/>
        <v>0</v>
      </c>
      <c r="BU66" s="4438">
        <f t="shared" si="72"/>
        <v>0</v>
      </c>
      <c r="BV66" s="4438">
        <f t="shared" si="73"/>
        <v>0</v>
      </c>
      <c r="BW66" s="4438">
        <f t="shared" si="74"/>
        <v>0</v>
      </c>
      <c r="BX66" s="4438">
        <f t="shared" si="75"/>
        <v>0</v>
      </c>
      <c r="BY66" s="4438">
        <f t="shared" si="76"/>
        <v>0</v>
      </c>
      <c r="BZ66" s="4438">
        <f t="shared" si="77"/>
        <v>0</v>
      </c>
      <c r="CA66" s="4438">
        <f t="shared" si="78"/>
        <v>0</v>
      </c>
      <c r="CB66" s="4438">
        <f t="shared" si="79"/>
        <v>0</v>
      </c>
      <c r="CC66" s="4438">
        <f t="shared" si="80"/>
        <v>0</v>
      </c>
      <c r="CD66" s="4438">
        <f t="shared" si="81"/>
        <v>0</v>
      </c>
      <c r="CE66" s="4438">
        <f t="shared" si="82"/>
        <v>0</v>
      </c>
      <c r="CF66" s="4438">
        <f t="shared" si="83"/>
        <v>0</v>
      </c>
      <c r="CG66" s="4438">
        <f t="shared" si="84"/>
        <v>0</v>
      </c>
      <c r="CH66" s="4438">
        <f t="shared" si="85"/>
        <v>0</v>
      </c>
      <c r="CI66" s="4438">
        <f t="shared" si="86"/>
        <v>0</v>
      </c>
      <c r="CJ66" s="4438">
        <f t="shared" si="87"/>
        <v>0</v>
      </c>
      <c r="CK66" s="4438">
        <f t="shared" si="88"/>
        <v>0</v>
      </c>
    </row>
    <row r="67" spans="1:89" s="40" customFormat="1" ht="12.75" customHeight="1">
      <c r="A67" s="2703">
        <v>3</v>
      </c>
      <c r="B67" s="3572">
        <v>203</v>
      </c>
      <c r="C67" s="3555"/>
      <c r="D67" s="2744" t="s">
        <v>405</v>
      </c>
      <c r="E67" s="2745">
        <f t="shared" ref="E67:AT67" si="127">SUM(E68:E78)-E71-E74</f>
        <v>79.400000000000006</v>
      </c>
      <c r="F67" s="2746">
        <f t="shared" si="127"/>
        <v>36.449999999999996</v>
      </c>
      <c r="G67" s="2747">
        <f t="shared" si="127"/>
        <v>79.150000000000006</v>
      </c>
      <c r="H67" s="2747">
        <f t="shared" si="127"/>
        <v>89.75</v>
      </c>
      <c r="I67" s="2747">
        <f t="shared" si="127"/>
        <v>103.55000000000001</v>
      </c>
      <c r="J67" s="2747">
        <f t="shared" si="127"/>
        <v>127.10000000000001</v>
      </c>
      <c r="K67" s="2748">
        <f t="shared" si="127"/>
        <v>152.50000000000003</v>
      </c>
      <c r="L67" s="2749">
        <f t="shared" si="127"/>
        <v>3.9000000000000004</v>
      </c>
      <c r="M67" s="2746">
        <f t="shared" si="127"/>
        <v>10.1</v>
      </c>
      <c r="N67" s="2747">
        <f t="shared" si="127"/>
        <v>20.399999999999999</v>
      </c>
      <c r="O67" s="2747">
        <f t="shared" si="127"/>
        <v>20.599999999999998</v>
      </c>
      <c r="P67" s="2747">
        <f t="shared" si="127"/>
        <v>20.599999999999998</v>
      </c>
      <c r="Q67" s="2747">
        <f t="shared" si="127"/>
        <v>20.599999999999998</v>
      </c>
      <c r="R67" s="2750">
        <f t="shared" si="127"/>
        <v>20.599999999999998</v>
      </c>
      <c r="S67" s="2749">
        <f t="shared" si="127"/>
        <v>7.65</v>
      </c>
      <c r="T67" s="2751">
        <f t="shared" si="127"/>
        <v>1.5499999999999998</v>
      </c>
      <c r="U67" s="2747">
        <f t="shared" si="127"/>
        <v>3.0999999999999996</v>
      </c>
      <c r="V67" s="2747">
        <f t="shared" si="127"/>
        <v>3.0999999999999996</v>
      </c>
      <c r="W67" s="2747">
        <f t="shared" si="127"/>
        <v>3.0999999999999996</v>
      </c>
      <c r="X67" s="2747">
        <f t="shared" si="127"/>
        <v>3.0999999999999996</v>
      </c>
      <c r="Y67" s="2750">
        <f t="shared" si="127"/>
        <v>3.0999999999999996</v>
      </c>
      <c r="Z67" s="2749">
        <f t="shared" ref="Z67:AM67" si="128">SUM(Z68:Z78)-Z71-Z74</f>
        <v>0</v>
      </c>
      <c r="AA67" s="2751">
        <f t="shared" si="128"/>
        <v>0</v>
      </c>
      <c r="AB67" s="2747">
        <f t="shared" si="128"/>
        <v>0</v>
      </c>
      <c r="AC67" s="2747">
        <f t="shared" si="128"/>
        <v>0</v>
      </c>
      <c r="AD67" s="2747">
        <f t="shared" si="128"/>
        <v>0</v>
      </c>
      <c r="AE67" s="2747">
        <f t="shared" si="128"/>
        <v>0</v>
      </c>
      <c r="AF67" s="2750">
        <f t="shared" si="128"/>
        <v>0</v>
      </c>
      <c r="AG67" s="2749">
        <f t="shared" si="128"/>
        <v>0</v>
      </c>
      <c r="AH67" s="2751">
        <f t="shared" si="128"/>
        <v>0</v>
      </c>
      <c r="AI67" s="2747">
        <f t="shared" si="128"/>
        <v>0</v>
      </c>
      <c r="AJ67" s="2747">
        <f t="shared" si="128"/>
        <v>0</v>
      </c>
      <c r="AK67" s="2747">
        <f t="shared" si="128"/>
        <v>0</v>
      </c>
      <c r="AL67" s="2747">
        <f t="shared" si="128"/>
        <v>0</v>
      </c>
      <c r="AM67" s="2750">
        <f t="shared" si="128"/>
        <v>0</v>
      </c>
      <c r="AN67" s="2749">
        <f t="shared" si="127"/>
        <v>0</v>
      </c>
      <c r="AO67" s="2751">
        <f t="shared" si="127"/>
        <v>12.600000000000001</v>
      </c>
      <c r="AP67" s="2747">
        <f t="shared" si="127"/>
        <v>88.65</v>
      </c>
      <c r="AQ67" s="2747">
        <f t="shared" si="127"/>
        <v>225.45</v>
      </c>
      <c r="AR67" s="2747">
        <f t="shared" si="127"/>
        <v>353.15000000000003</v>
      </c>
      <c r="AS67" s="2747">
        <f t="shared" si="127"/>
        <v>454.65999999999997</v>
      </c>
      <c r="AT67" s="2750">
        <f t="shared" si="127"/>
        <v>550.31999999999994</v>
      </c>
      <c r="AU67" s="4422"/>
      <c r="AV67" s="4438">
        <f t="shared" si="47"/>
        <v>40.596575366979749</v>
      </c>
      <c r="AW67" s="4438">
        <f t="shared" si="48"/>
        <v>18.636589069602163</v>
      </c>
      <c r="AX67" s="4438">
        <f t="shared" si="49"/>
        <v>40.468752396680699</v>
      </c>
      <c r="AY67" s="4438">
        <f t="shared" si="50"/>
        <v>45.888446337360612</v>
      </c>
      <c r="AZ67" s="4438">
        <f t="shared" si="51"/>
        <v>52.944274297868432</v>
      </c>
      <c r="BA67" s="4438">
        <f t="shared" si="52"/>
        <v>64.985198100039369</v>
      </c>
      <c r="BB67" s="4438">
        <f t="shared" si="53"/>
        <v>77.972011882423331</v>
      </c>
      <c r="BC67" s="4438">
        <f t="shared" si="54"/>
        <v>1.9940383366652523</v>
      </c>
      <c r="BD67" s="4438">
        <f t="shared" si="55"/>
        <v>5.1640480000818068</v>
      </c>
      <c r="BE67" s="4438">
        <f t="shared" si="56"/>
        <v>10.430354376402857</v>
      </c>
      <c r="BF67" s="4438">
        <f t="shared" si="57"/>
        <v>10.5326127526421</v>
      </c>
      <c r="BG67" s="4438">
        <f t="shared" si="58"/>
        <v>10.5326127526421</v>
      </c>
      <c r="BH67" s="4438">
        <f t="shared" si="59"/>
        <v>10.5326127526421</v>
      </c>
      <c r="BI67" s="4438">
        <f t="shared" si="60"/>
        <v>10.5326127526421</v>
      </c>
      <c r="BJ67" s="4438">
        <f t="shared" si="61"/>
        <v>3.9113828911510717</v>
      </c>
      <c r="BK67" s="4438">
        <f t="shared" si="62"/>
        <v>0.79250241585413861</v>
      </c>
      <c r="BL67" s="4438">
        <f t="shared" si="63"/>
        <v>1.5850048317082772</v>
      </c>
      <c r="BM67" s="4438">
        <f t="shared" si="64"/>
        <v>1.5850048317082772</v>
      </c>
      <c r="BN67" s="4438">
        <f t="shared" si="65"/>
        <v>1.5850048317082772</v>
      </c>
      <c r="BO67" s="4438">
        <f t="shared" si="66"/>
        <v>1.5850048317082772</v>
      </c>
      <c r="BP67" s="4438">
        <f t="shared" si="67"/>
        <v>1.5850048317082772</v>
      </c>
      <c r="BQ67" s="4438">
        <f t="shared" si="68"/>
        <v>0</v>
      </c>
      <c r="BR67" s="4438">
        <f t="shared" si="69"/>
        <v>0</v>
      </c>
      <c r="BS67" s="4438">
        <f t="shared" si="70"/>
        <v>0</v>
      </c>
      <c r="BT67" s="4438">
        <f t="shared" si="71"/>
        <v>0</v>
      </c>
      <c r="BU67" s="4438">
        <f t="shared" si="72"/>
        <v>0</v>
      </c>
      <c r="BV67" s="4438">
        <f t="shared" si="73"/>
        <v>0</v>
      </c>
      <c r="BW67" s="4438">
        <f t="shared" si="74"/>
        <v>0</v>
      </c>
      <c r="BX67" s="4438">
        <f t="shared" si="75"/>
        <v>0</v>
      </c>
      <c r="BY67" s="4438">
        <f t="shared" si="76"/>
        <v>0</v>
      </c>
      <c r="BZ67" s="4438">
        <f t="shared" si="77"/>
        <v>0</v>
      </c>
      <c r="CA67" s="4438">
        <f t="shared" si="78"/>
        <v>0</v>
      </c>
      <c r="CB67" s="4438">
        <f t="shared" si="79"/>
        <v>0</v>
      </c>
      <c r="CC67" s="4438">
        <f t="shared" si="80"/>
        <v>0</v>
      </c>
      <c r="CD67" s="4438">
        <f t="shared" si="81"/>
        <v>0</v>
      </c>
      <c r="CE67" s="4438">
        <f t="shared" si="82"/>
        <v>0</v>
      </c>
      <c r="CF67" s="4438">
        <f t="shared" si="83"/>
        <v>6.4422777030723539</v>
      </c>
      <c r="CG67" s="4438">
        <f t="shared" si="84"/>
        <v>45.326025268044773</v>
      </c>
      <c r="CH67" s="4438">
        <f t="shared" si="85"/>
        <v>115.27075461568745</v>
      </c>
      <c r="CI67" s="4438">
        <f t="shared" si="86"/>
        <v>180.56272784444457</v>
      </c>
      <c r="CJ67" s="4438">
        <f t="shared" si="87"/>
        <v>232.46396670467269</v>
      </c>
      <c r="CK67" s="4438">
        <f t="shared" si="88"/>
        <v>281.37414805990295</v>
      </c>
    </row>
    <row r="68" spans="1:89">
      <c r="A68" s="2701"/>
      <c r="B68" s="3573">
        <v>20301</v>
      </c>
      <c r="C68" s="3556">
        <v>0.1</v>
      </c>
      <c r="D68" s="2753" t="s">
        <v>427</v>
      </c>
      <c r="E68" s="2689">
        <f>'11.2. ДА за периода'!E68</f>
        <v>0.2</v>
      </c>
      <c r="F68" s="2617">
        <f>($F19*$C68)/$E$7</f>
        <v>0</v>
      </c>
      <c r="G68" s="1110">
        <f>($F19*$C68)+($G19*$C68)/$E$7</f>
        <v>0</v>
      </c>
      <c r="H68" s="1110">
        <f>($F19*$C68)+($G19*$C68)+($H19*$C68)/$E$7</f>
        <v>0</v>
      </c>
      <c r="I68" s="1110">
        <f>($F19*$C68)+($G19*$C68)+($H19*$C68)+($I19*$C68)/$E$7</f>
        <v>0</v>
      </c>
      <c r="J68" s="1110">
        <f>($F19*$C68)+($G19*$C68)+($H19*$C68)+($I19*$C68)+($J19*$C68)/$E$7</f>
        <v>0</v>
      </c>
      <c r="K68" s="2742">
        <f>($F19*$C68)+($G19*$C68)+($H19*$C68)+($I19*$C68)+($J19*$C68)+($K19*$C68)/$E$7</f>
        <v>0</v>
      </c>
      <c r="L68" s="2689">
        <f>'11.2. ДА за периода'!L68</f>
        <v>0</v>
      </c>
      <c r="M68" s="2617">
        <f>($M19*$C68)/$E$7</f>
        <v>0</v>
      </c>
      <c r="N68" s="1110">
        <f>($M19*$C68)+($N19*$C68)/$E$7</f>
        <v>0</v>
      </c>
      <c r="O68" s="1110">
        <f>($M19*$C68)+($N19*$C68)+($O19*$C68)/$E$7</f>
        <v>0</v>
      </c>
      <c r="P68" s="1110">
        <f>($M19*$C68)+($N19*$C68)+($O19*$C68)+($P19*$C68)/$E$7</f>
        <v>0</v>
      </c>
      <c r="Q68" s="2742">
        <f>($M19*$C68)+($N19*$C68)+($O19*$C68)+($P19*$C68)+($Q19*$C68)/$E$7</f>
        <v>0</v>
      </c>
      <c r="R68" s="2618">
        <f>($M19*$C68)+($N19*$C68)+($O19*$C68)+($P19*$C68)+($Q19*$C68)+($R19*$C68)/$E$7</f>
        <v>0</v>
      </c>
      <c r="S68" s="1087">
        <f>'11.2. ДА за периода'!S68</f>
        <v>0</v>
      </c>
      <c r="T68" s="882">
        <f>($T19*$C68)/$E$7</f>
        <v>0</v>
      </c>
      <c r="U68" s="1110">
        <f>($T19*$C68)+($U19*$C68)/$E$7</f>
        <v>0</v>
      </c>
      <c r="V68" s="1110">
        <f>($T19*$C68)+($U19*$C68)+($V19*$C68)/$E$7</f>
        <v>0</v>
      </c>
      <c r="W68" s="1110">
        <f>($T19*$C68)+($U19*$C68)+($V19*$C68)+($W19*$C68)/$E$7</f>
        <v>0</v>
      </c>
      <c r="X68" s="1110">
        <f>($T19*$C68)+($U19*$C68)+($V19*$C68)+($W19*$C68)+($X19*$C68)/$E$7</f>
        <v>0</v>
      </c>
      <c r="Y68" s="2618">
        <f>($T19*$C68)+($U19*$C68)+($V19*$C68)+($W19*$C68)+($X19*$C68)+($Y19*$C68)/$E$7</f>
        <v>0</v>
      </c>
      <c r="Z68" s="1087">
        <f>'11.2. ДА за периода'!Z68</f>
        <v>0</v>
      </c>
      <c r="AA68" s="882">
        <f t="shared" ref="AA68:AA70" si="129">(AA19*$C68)/$E$7</f>
        <v>0</v>
      </c>
      <c r="AB68" s="1110">
        <f t="shared" ref="AB68:AB70" si="130">(AA19*$C68)+(AB19*$C68)/$E$7</f>
        <v>0</v>
      </c>
      <c r="AC68" s="1110">
        <f t="shared" ref="AC68:AC70" si="131">(AA19*$C68)+(AB19*$C68)+(AC19*$C68)/$E$7</f>
        <v>0</v>
      </c>
      <c r="AD68" s="1110">
        <f t="shared" ref="AD68:AD70" si="132">(AA19*$C68)+(AB19*$C68)+(AC19*$C68)+(AD19*$C68)/$E$7</f>
        <v>0</v>
      </c>
      <c r="AE68" s="1110">
        <f t="shared" ref="AE68:AE70" si="133">(AA19*$C68)+(AB19*$C68)+(AC19*$C68)+(AD19*$C68)+(AE19*$C68)/$E$7</f>
        <v>0</v>
      </c>
      <c r="AF68" s="2742">
        <f t="shared" ref="AF68:AF70" si="134">(AA19*$C68)+(AB19*$C68)+(AC19*$C68)+(AD19*$C68)+(AE19*$C68)+(AF19*$C68)/$E$7</f>
        <v>0</v>
      </c>
      <c r="AG68" s="1087">
        <f>'11.2. ДА за периода'!AG68</f>
        <v>0</v>
      </c>
      <c r="AH68" s="882">
        <f t="shared" ref="AH68:AH70" si="135">(AH19*$C68)/$E$7</f>
        <v>0</v>
      </c>
      <c r="AI68" s="1110">
        <f t="shared" ref="AI68:AI70" si="136">(AH19*$C68)+(AI19*$C68)/$E$7</f>
        <v>0</v>
      </c>
      <c r="AJ68" s="1110">
        <f t="shared" ref="AJ68:AJ70" si="137">(AH19*$C68)+(AI19*$C68)+(AJ19*$C68)/$E$7</f>
        <v>0</v>
      </c>
      <c r="AK68" s="1110">
        <f t="shared" ref="AK68:AK70" si="138">(AH19*$C68)+(AI19*$C68)+(AJ19*$C68)+(AK19*$C68)/$E$7</f>
        <v>0</v>
      </c>
      <c r="AL68" s="1110">
        <f t="shared" ref="AL68:AL70" si="139">(AH19*$C68)+(AI19*$C68)+(AJ19*$C68)+(AK19*$C68)+(AL19*$C68)/$E$7</f>
        <v>0</v>
      </c>
      <c r="AM68" s="2742">
        <f t="shared" ref="AM68:AM70" si="140">(AH19*$C68)+(AI19*$C68)+(AJ19*$C68)+(AK19*$C68)+(AL19*$C68)+(AM19*$C68)/$E$7</f>
        <v>0</v>
      </c>
      <c r="AN68" s="2689">
        <f>'11.2. ДА за периода'!AN68</f>
        <v>0</v>
      </c>
      <c r="AO68" s="2617">
        <f>($AO19*$C68)/$E$7</f>
        <v>0</v>
      </c>
      <c r="AP68" s="1110">
        <f>($AO19*$C68)+($AP19*$C68)/$E$7</f>
        <v>0</v>
      </c>
      <c r="AQ68" s="1110">
        <f>($AO19*$C68)+($AP19*$C68)+($AQ19*$C68)/$E$7</f>
        <v>0</v>
      </c>
      <c r="AR68" s="1110">
        <f>($AO19*$C68)+($AP19*$C68)+($AQ19*$C68)+($AR19*$C68)/$E$7</f>
        <v>0</v>
      </c>
      <c r="AS68" s="1110">
        <f>($AO19*$C68)+($AP19*$C68)+($AQ19*$C68)+($AR19*$C68)+($AS19*$C68)/$E$7</f>
        <v>0</v>
      </c>
      <c r="AT68" s="2618">
        <f>($AO19*$C68)+($AP19*$C68)+($AQ19*$C68)+($AR19*$C68)+($AS19*$C68)+($AT19*$C68)/$E$7</f>
        <v>0</v>
      </c>
      <c r="AU68" s="4422"/>
      <c r="AV68" s="4438">
        <f t="shared" si="47"/>
        <v>0.10225837623924371</v>
      </c>
      <c r="AW68" s="4438">
        <f t="shared" si="48"/>
        <v>0</v>
      </c>
      <c r="AX68" s="4438">
        <f t="shared" si="49"/>
        <v>0</v>
      </c>
      <c r="AY68" s="4438">
        <f t="shared" si="50"/>
        <v>0</v>
      </c>
      <c r="AZ68" s="4438">
        <f t="shared" si="51"/>
        <v>0</v>
      </c>
      <c r="BA68" s="4438">
        <f t="shared" si="52"/>
        <v>0</v>
      </c>
      <c r="BB68" s="4438">
        <f t="shared" si="53"/>
        <v>0</v>
      </c>
      <c r="BC68" s="4438">
        <f t="shared" si="54"/>
        <v>0</v>
      </c>
      <c r="BD68" s="4438">
        <f t="shared" si="55"/>
        <v>0</v>
      </c>
      <c r="BE68" s="4438">
        <f t="shared" si="56"/>
        <v>0</v>
      </c>
      <c r="BF68" s="4438">
        <f t="shared" si="57"/>
        <v>0</v>
      </c>
      <c r="BG68" s="4438">
        <f t="shared" si="58"/>
        <v>0</v>
      </c>
      <c r="BH68" s="4438">
        <f t="shared" si="59"/>
        <v>0</v>
      </c>
      <c r="BI68" s="4438">
        <f t="shared" si="60"/>
        <v>0</v>
      </c>
      <c r="BJ68" s="4438">
        <f t="shared" si="61"/>
        <v>0</v>
      </c>
      <c r="BK68" s="4438">
        <f t="shared" si="62"/>
        <v>0</v>
      </c>
      <c r="BL68" s="4438">
        <f t="shared" si="63"/>
        <v>0</v>
      </c>
      <c r="BM68" s="4438">
        <f t="shared" si="64"/>
        <v>0</v>
      </c>
      <c r="BN68" s="4438">
        <f t="shared" si="65"/>
        <v>0</v>
      </c>
      <c r="BO68" s="4438">
        <f t="shared" si="66"/>
        <v>0</v>
      </c>
      <c r="BP68" s="4438">
        <f t="shared" si="67"/>
        <v>0</v>
      </c>
      <c r="BQ68" s="4438">
        <f t="shared" si="68"/>
        <v>0</v>
      </c>
      <c r="BR68" s="4438">
        <f t="shared" si="69"/>
        <v>0</v>
      </c>
      <c r="BS68" s="4438">
        <f t="shared" si="70"/>
        <v>0</v>
      </c>
      <c r="BT68" s="4438">
        <f t="shared" si="71"/>
        <v>0</v>
      </c>
      <c r="BU68" s="4438">
        <f t="shared" si="72"/>
        <v>0</v>
      </c>
      <c r="BV68" s="4438">
        <f t="shared" si="73"/>
        <v>0</v>
      </c>
      <c r="BW68" s="4438">
        <f t="shared" si="74"/>
        <v>0</v>
      </c>
      <c r="BX68" s="4438">
        <f t="shared" si="75"/>
        <v>0</v>
      </c>
      <c r="BY68" s="4438">
        <f t="shared" si="76"/>
        <v>0</v>
      </c>
      <c r="BZ68" s="4438">
        <f t="shared" si="77"/>
        <v>0</v>
      </c>
      <c r="CA68" s="4438">
        <f t="shared" si="78"/>
        <v>0</v>
      </c>
      <c r="CB68" s="4438">
        <f t="shared" si="79"/>
        <v>0</v>
      </c>
      <c r="CC68" s="4438">
        <f t="shared" si="80"/>
        <v>0</v>
      </c>
      <c r="CD68" s="4438">
        <f t="shared" si="81"/>
        <v>0</v>
      </c>
      <c r="CE68" s="4438">
        <f t="shared" si="82"/>
        <v>0</v>
      </c>
      <c r="CF68" s="4438">
        <f t="shared" si="83"/>
        <v>0</v>
      </c>
      <c r="CG68" s="4438">
        <f t="shared" si="84"/>
        <v>0</v>
      </c>
      <c r="CH68" s="4438">
        <f t="shared" si="85"/>
        <v>0</v>
      </c>
      <c r="CI68" s="4438">
        <f t="shared" si="86"/>
        <v>0</v>
      </c>
      <c r="CJ68" s="4438">
        <f t="shared" si="87"/>
        <v>0</v>
      </c>
      <c r="CK68" s="4438">
        <f t="shared" si="88"/>
        <v>0</v>
      </c>
    </row>
    <row r="69" spans="1:89">
      <c r="A69" s="2701"/>
      <c r="B69" s="3573">
        <v>20302</v>
      </c>
      <c r="C69" s="3556">
        <v>0.1</v>
      </c>
      <c r="D69" s="2753" t="s">
        <v>428</v>
      </c>
      <c r="E69" s="2689">
        <f>'11.2. ДА за периода'!E69</f>
        <v>1.1500000000000001</v>
      </c>
      <c r="F69" s="2617">
        <f>($F20*$C69)/$E$7</f>
        <v>1</v>
      </c>
      <c r="G69" s="1198">
        <f>($F20*$C69)+($G20*$C69)/$E$7</f>
        <v>2</v>
      </c>
      <c r="H69" s="1198">
        <f>($F20*$C69)+($G20*$C69)+($H20*$C69)/$E$7</f>
        <v>2</v>
      </c>
      <c r="I69" s="1198">
        <f>($F20*$C69)+($G20*$C69)+($H20*$C69)+($I20*$C69)/$E$7</f>
        <v>2</v>
      </c>
      <c r="J69" s="1198">
        <f>($F20*$C69)+($G20*$C69)+($H20*$C69)+($I20*$C69)+($J20*$C69)/$E$7</f>
        <v>2</v>
      </c>
      <c r="K69" s="2623">
        <f>($F20*$C69)+($G20*$C69)+($H20*$C69)+($I20*$C69)+($J20*$C69)+($K20*$C69)/$E$7</f>
        <v>2</v>
      </c>
      <c r="L69" s="2689">
        <f>'11.2. ДА за периода'!L69</f>
        <v>0</v>
      </c>
      <c r="M69" s="1202">
        <f>($M20*$C69)/$E$7</f>
        <v>0</v>
      </c>
      <c r="N69" s="1198">
        <f>($M20*$C69)+($N20*$C69)/$E$7</f>
        <v>0</v>
      </c>
      <c r="O69" s="1198">
        <f>($M20*$C69)+($N20*$C69)+($O20*$C69)/$E$7</f>
        <v>0</v>
      </c>
      <c r="P69" s="1198">
        <f>($M20*$C69)+($N20*$C69)+($O20*$C69)+($P20*$C69)/$E$7</f>
        <v>0</v>
      </c>
      <c r="Q69" s="2623">
        <f>($M20*$C69)+($N20*$C69)+($O20*$C69)+($P20*$C69)+($Q20*$C69)/$E$7</f>
        <v>0</v>
      </c>
      <c r="R69" s="1203">
        <f>($M20*$C69)+($N20*$C69)+($O20*$C69)+($P20*$C69)+($Q20*$C69)+($R20*$C69)/$E$7</f>
        <v>0</v>
      </c>
      <c r="S69" s="1087">
        <f>'11.2. ДА за периода'!S69</f>
        <v>0</v>
      </c>
      <c r="T69" s="883">
        <f>($T20*$C69)/$E$7</f>
        <v>1</v>
      </c>
      <c r="U69" s="1198">
        <f>($T20*$C69)+($U20*$C69)/$E$7</f>
        <v>2</v>
      </c>
      <c r="V69" s="1198">
        <f>($T20*$C69)+($U20*$C69)+($V20*$C69)/$E$7</f>
        <v>2</v>
      </c>
      <c r="W69" s="1198">
        <f>($T20*$C69)+($U20*$C69)+($V20*$C69)+($W20*$C69)/$E$7</f>
        <v>2</v>
      </c>
      <c r="X69" s="1198">
        <f>($T20*$C69)+($U20*$C69)+($V20*$C69)+($W20*$C69)+($X20*$C69)/$E$7</f>
        <v>2</v>
      </c>
      <c r="Y69" s="1203">
        <f>($T20*$C69)+($U20*$C69)+($V20*$C69)+($W20*$C69)+($X20*$C69)+($Y20*$C69)/$E$7</f>
        <v>2</v>
      </c>
      <c r="Z69" s="1087">
        <f>'11.2. ДА за периода'!Z69</f>
        <v>0</v>
      </c>
      <c r="AA69" s="883">
        <f t="shared" si="129"/>
        <v>0</v>
      </c>
      <c r="AB69" s="1198">
        <f t="shared" si="130"/>
        <v>0</v>
      </c>
      <c r="AC69" s="1198">
        <f t="shared" si="131"/>
        <v>0</v>
      </c>
      <c r="AD69" s="1198">
        <f t="shared" si="132"/>
        <v>0</v>
      </c>
      <c r="AE69" s="1198">
        <f t="shared" si="133"/>
        <v>0</v>
      </c>
      <c r="AF69" s="2623">
        <f t="shared" si="134"/>
        <v>0</v>
      </c>
      <c r="AG69" s="1087">
        <f>'11.2. ДА за периода'!AG69</f>
        <v>0</v>
      </c>
      <c r="AH69" s="883">
        <f t="shared" si="135"/>
        <v>0</v>
      </c>
      <c r="AI69" s="1198">
        <f t="shared" si="136"/>
        <v>0</v>
      </c>
      <c r="AJ69" s="1198">
        <f t="shared" si="137"/>
        <v>0</v>
      </c>
      <c r="AK69" s="1198">
        <f t="shared" si="138"/>
        <v>0</v>
      </c>
      <c r="AL69" s="1198">
        <f t="shared" si="139"/>
        <v>0</v>
      </c>
      <c r="AM69" s="2623">
        <f t="shared" si="140"/>
        <v>0</v>
      </c>
      <c r="AN69" s="2689">
        <f>'11.2. ДА за периода'!AN69</f>
        <v>0</v>
      </c>
      <c r="AO69" s="1202">
        <f>($AO20*$C69)/$E$7</f>
        <v>0</v>
      </c>
      <c r="AP69" s="1198">
        <f>($AO20*$C69)+($AP20*$C69)/$E$7</f>
        <v>0</v>
      </c>
      <c r="AQ69" s="1198">
        <f>($AO20*$C69)+($AP20*$C69)+($AQ20*$C69)/$E$7</f>
        <v>0</v>
      </c>
      <c r="AR69" s="1198">
        <f>($AO20*$C69)+($AP20*$C69)+($AQ20*$C69)+($AR20*$C69)/$E$7</f>
        <v>0</v>
      </c>
      <c r="AS69" s="1198">
        <f>($AO20*$C69)+($AP20*$C69)+($AQ20*$C69)+($AR20*$C69)+($AS20*$C69)/$E$7</f>
        <v>0</v>
      </c>
      <c r="AT69" s="1203">
        <f>($AO20*$C69)+($AP20*$C69)+($AQ20*$C69)+($AR20*$C69)+($AS20*$C69)+($AT20*$C69)/$E$7</f>
        <v>0</v>
      </c>
      <c r="AU69" s="4422"/>
      <c r="AV69" s="4438">
        <f t="shared" si="47"/>
        <v>0.58798566337565139</v>
      </c>
      <c r="AW69" s="4438">
        <f t="shared" si="48"/>
        <v>0.51129188119621849</v>
      </c>
      <c r="AX69" s="4438">
        <f t="shared" si="49"/>
        <v>1.022583762392437</v>
      </c>
      <c r="AY69" s="4438">
        <f t="shared" si="50"/>
        <v>1.022583762392437</v>
      </c>
      <c r="AZ69" s="4438">
        <f t="shared" si="51"/>
        <v>1.022583762392437</v>
      </c>
      <c r="BA69" s="4438">
        <f t="shared" si="52"/>
        <v>1.022583762392437</v>
      </c>
      <c r="BB69" s="4438">
        <f t="shared" si="53"/>
        <v>1.022583762392437</v>
      </c>
      <c r="BC69" s="4438">
        <f t="shared" si="54"/>
        <v>0</v>
      </c>
      <c r="BD69" s="4438">
        <f t="shared" si="55"/>
        <v>0</v>
      </c>
      <c r="BE69" s="4438">
        <f t="shared" si="56"/>
        <v>0</v>
      </c>
      <c r="BF69" s="4438">
        <f t="shared" si="57"/>
        <v>0</v>
      </c>
      <c r="BG69" s="4438">
        <f t="shared" si="58"/>
        <v>0</v>
      </c>
      <c r="BH69" s="4438">
        <f t="shared" si="59"/>
        <v>0</v>
      </c>
      <c r="BI69" s="4438">
        <f t="shared" si="60"/>
        <v>0</v>
      </c>
      <c r="BJ69" s="4438">
        <f t="shared" si="61"/>
        <v>0</v>
      </c>
      <c r="BK69" s="4438">
        <f t="shared" si="62"/>
        <v>0.51129188119621849</v>
      </c>
      <c r="BL69" s="4438">
        <f t="shared" si="63"/>
        <v>1.022583762392437</v>
      </c>
      <c r="BM69" s="4438">
        <f t="shared" si="64"/>
        <v>1.022583762392437</v>
      </c>
      <c r="BN69" s="4438">
        <f t="shared" si="65"/>
        <v>1.022583762392437</v>
      </c>
      <c r="BO69" s="4438">
        <f t="shared" si="66"/>
        <v>1.022583762392437</v>
      </c>
      <c r="BP69" s="4438">
        <f t="shared" si="67"/>
        <v>1.022583762392437</v>
      </c>
      <c r="BQ69" s="4438">
        <f t="shared" si="68"/>
        <v>0</v>
      </c>
      <c r="BR69" s="4438">
        <f t="shared" si="69"/>
        <v>0</v>
      </c>
      <c r="BS69" s="4438">
        <f t="shared" si="70"/>
        <v>0</v>
      </c>
      <c r="BT69" s="4438">
        <f t="shared" si="71"/>
        <v>0</v>
      </c>
      <c r="BU69" s="4438">
        <f t="shared" si="72"/>
        <v>0</v>
      </c>
      <c r="BV69" s="4438">
        <f t="shared" si="73"/>
        <v>0</v>
      </c>
      <c r="BW69" s="4438">
        <f t="shared" si="74"/>
        <v>0</v>
      </c>
      <c r="BX69" s="4438">
        <f t="shared" si="75"/>
        <v>0</v>
      </c>
      <c r="BY69" s="4438">
        <f t="shared" si="76"/>
        <v>0</v>
      </c>
      <c r="BZ69" s="4438">
        <f t="shared" si="77"/>
        <v>0</v>
      </c>
      <c r="CA69" s="4438">
        <f t="shared" si="78"/>
        <v>0</v>
      </c>
      <c r="CB69" s="4438">
        <f t="shared" si="79"/>
        <v>0</v>
      </c>
      <c r="CC69" s="4438">
        <f t="shared" si="80"/>
        <v>0</v>
      </c>
      <c r="CD69" s="4438">
        <f t="shared" si="81"/>
        <v>0</v>
      </c>
      <c r="CE69" s="4438">
        <f t="shared" si="82"/>
        <v>0</v>
      </c>
      <c r="CF69" s="4438">
        <f t="shared" si="83"/>
        <v>0</v>
      </c>
      <c r="CG69" s="4438">
        <f t="shared" si="84"/>
        <v>0</v>
      </c>
      <c r="CH69" s="4438">
        <f t="shared" si="85"/>
        <v>0</v>
      </c>
      <c r="CI69" s="4438">
        <f t="shared" si="86"/>
        <v>0</v>
      </c>
      <c r="CJ69" s="4438">
        <f t="shared" si="87"/>
        <v>0</v>
      </c>
      <c r="CK69" s="4438">
        <f t="shared" si="88"/>
        <v>0</v>
      </c>
    </row>
    <row r="70" spans="1:89">
      <c r="A70" s="2701"/>
      <c r="B70" s="3573">
        <v>20303</v>
      </c>
      <c r="C70" s="3556">
        <v>0.1</v>
      </c>
      <c r="D70" s="2753" t="s">
        <v>406</v>
      </c>
      <c r="E70" s="2689">
        <f>'11.2. ДА за периода'!E70</f>
        <v>40.050000000000004</v>
      </c>
      <c r="F70" s="2617">
        <f>($F21*$C70)/$E$7</f>
        <v>8.8000000000000007</v>
      </c>
      <c r="G70" s="1198">
        <f>($F21*$C70)+($G21*$C70)/$E$7</f>
        <v>17.600000000000001</v>
      </c>
      <c r="H70" s="1198">
        <f>($F21*$C70)+($G21*$C70)+($H21*$C70)/$E$7</f>
        <v>17.600000000000001</v>
      </c>
      <c r="I70" s="1198">
        <f>($F21*$C70)+($G21*$C70)+($H21*$C70)+($I21*$C70)/$E$7</f>
        <v>17.600000000000001</v>
      </c>
      <c r="J70" s="1198">
        <f>($F21*$C70)+($G21*$C70)+($H21*$C70)+($I21*$C70)+($J21*$C70)/$E$7</f>
        <v>17.600000000000001</v>
      </c>
      <c r="K70" s="2623">
        <f>($F21*$C70)+($G21*$C70)+($H21*$C70)+($I21*$C70)+($J21*$C70)+($K21*$C70)/$E$7</f>
        <v>17.600000000000001</v>
      </c>
      <c r="L70" s="2689">
        <f>'11.2. ДА за периода'!L70</f>
        <v>0</v>
      </c>
      <c r="M70" s="1202">
        <f>($M21*$C70)/$E$7</f>
        <v>10</v>
      </c>
      <c r="N70" s="1198">
        <f>($M21*$C70)+($N21*$C70)/$E$7</f>
        <v>20</v>
      </c>
      <c r="O70" s="1198">
        <f>($M21*$C70)+($N21*$C70)+($O21*$C70)/$E$7</f>
        <v>20</v>
      </c>
      <c r="P70" s="1198">
        <f>($M21*$C70)+($N21*$C70)+($O21*$C70)+($P21*$C70)/$E$7</f>
        <v>20</v>
      </c>
      <c r="Q70" s="2623">
        <f>($M21*$C70)+($N21*$C70)+($O21*$C70)+($P21*$C70)+($Q21*$C70)/$E$7</f>
        <v>20</v>
      </c>
      <c r="R70" s="1203">
        <f>($M21*$C70)+($N21*$C70)+($O21*$C70)+($P21*$C70)+($Q21*$C70)+($R21*$C70)/$E$7</f>
        <v>20</v>
      </c>
      <c r="S70" s="1087">
        <f>'11.2. ДА за периода'!S70</f>
        <v>0</v>
      </c>
      <c r="T70" s="883">
        <f>($T21*$C70)/$E$7</f>
        <v>0</v>
      </c>
      <c r="U70" s="1198">
        <f>($T21*$C70)+($U21*$C70)/$E$7</f>
        <v>0</v>
      </c>
      <c r="V70" s="1198">
        <f>($T21*$C70)+($U21*$C70)+($V21*$C70)/$E$7</f>
        <v>0</v>
      </c>
      <c r="W70" s="1198">
        <f>($T21*$C70)+($U21*$C70)+($V21*$C70)+($W21*$C70)/$E$7</f>
        <v>0</v>
      </c>
      <c r="X70" s="1198">
        <f>($T21*$C70)+($U21*$C70)+($V21*$C70)+($W21*$C70)+($X21*$C70)/$E$7</f>
        <v>0</v>
      </c>
      <c r="Y70" s="1203">
        <f>($T21*$C70)+($U21*$C70)+($V21*$C70)+($W21*$C70)+($X21*$C70)+($Y21*$C70)/$E$7</f>
        <v>0</v>
      </c>
      <c r="Z70" s="1087">
        <f>'11.2. ДА за периода'!Z70</f>
        <v>0</v>
      </c>
      <c r="AA70" s="883">
        <f t="shared" si="129"/>
        <v>0</v>
      </c>
      <c r="AB70" s="1198">
        <f t="shared" si="130"/>
        <v>0</v>
      </c>
      <c r="AC70" s="1198">
        <f t="shared" si="131"/>
        <v>0</v>
      </c>
      <c r="AD70" s="1198">
        <f t="shared" si="132"/>
        <v>0</v>
      </c>
      <c r="AE70" s="1198">
        <f t="shared" si="133"/>
        <v>0</v>
      </c>
      <c r="AF70" s="2623">
        <f t="shared" si="134"/>
        <v>0</v>
      </c>
      <c r="AG70" s="1087">
        <f>'11.2. ДА за периода'!AG70</f>
        <v>0</v>
      </c>
      <c r="AH70" s="883">
        <f t="shared" si="135"/>
        <v>0</v>
      </c>
      <c r="AI70" s="1198">
        <f t="shared" si="136"/>
        <v>0</v>
      </c>
      <c r="AJ70" s="1198">
        <f t="shared" si="137"/>
        <v>0</v>
      </c>
      <c r="AK70" s="1198">
        <f t="shared" si="138"/>
        <v>0</v>
      </c>
      <c r="AL70" s="1198">
        <f t="shared" si="139"/>
        <v>0</v>
      </c>
      <c r="AM70" s="2623">
        <f t="shared" si="140"/>
        <v>0</v>
      </c>
      <c r="AN70" s="2689">
        <f>'11.2. ДА за периода'!AN70</f>
        <v>0</v>
      </c>
      <c r="AO70" s="1202">
        <f>($AO21*$C70)/$E$7</f>
        <v>0</v>
      </c>
      <c r="AP70" s="1198">
        <f>($AO21*$C70)+($AP21*$C70)/$E$7</f>
        <v>0</v>
      </c>
      <c r="AQ70" s="1198">
        <f>($AO21*$C70)+($AP21*$C70)+($AQ21*$C70)/$E$7</f>
        <v>0</v>
      </c>
      <c r="AR70" s="1198">
        <f>($AO21*$C70)+($AP21*$C70)+($AQ21*$C70)+($AR21*$C70)/$E$7</f>
        <v>0</v>
      </c>
      <c r="AS70" s="1198">
        <f>($AO21*$C70)+($AP21*$C70)+($AQ21*$C70)+($AR21*$C70)+($AS21*$C70)/$E$7</f>
        <v>0</v>
      </c>
      <c r="AT70" s="1203">
        <f>($AO21*$C70)+($AP21*$C70)+($AQ21*$C70)+($AR21*$C70)+($AS21*$C70)+($AT21*$C70)/$E$7</f>
        <v>0</v>
      </c>
      <c r="AU70" s="4422"/>
      <c r="AV70" s="4438">
        <f t="shared" si="47"/>
        <v>20.477239841908553</v>
      </c>
      <c r="AW70" s="4438">
        <f t="shared" si="48"/>
        <v>4.4993685545267228</v>
      </c>
      <c r="AX70" s="4438">
        <f t="shared" si="49"/>
        <v>8.9987371090534456</v>
      </c>
      <c r="AY70" s="4438">
        <f t="shared" si="50"/>
        <v>8.9987371090534456</v>
      </c>
      <c r="AZ70" s="4438">
        <f t="shared" si="51"/>
        <v>8.9987371090534456</v>
      </c>
      <c r="BA70" s="4438">
        <f t="shared" si="52"/>
        <v>8.9987371090534456</v>
      </c>
      <c r="BB70" s="4438">
        <f t="shared" si="53"/>
        <v>8.9987371090534456</v>
      </c>
      <c r="BC70" s="4438">
        <f t="shared" si="54"/>
        <v>0</v>
      </c>
      <c r="BD70" s="4438">
        <f t="shared" si="55"/>
        <v>5.1129188119621851</v>
      </c>
      <c r="BE70" s="4438">
        <f t="shared" si="56"/>
        <v>10.22583762392437</v>
      </c>
      <c r="BF70" s="4438">
        <f t="shared" si="57"/>
        <v>10.22583762392437</v>
      </c>
      <c r="BG70" s="4438">
        <f t="shared" si="58"/>
        <v>10.22583762392437</v>
      </c>
      <c r="BH70" s="4438">
        <f t="shared" si="59"/>
        <v>10.22583762392437</v>
      </c>
      <c r="BI70" s="4438">
        <f t="shared" si="60"/>
        <v>10.22583762392437</v>
      </c>
      <c r="BJ70" s="4438">
        <f t="shared" si="61"/>
        <v>0</v>
      </c>
      <c r="BK70" s="4438">
        <f t="shared" si="62"/>
        <v>0</v>
      </c>
      <c r="BL70" s="4438">
        <f t="shared" si="63"/>
        <v>0</v>
      </c>
      <c r="BM70" s="4438">
        <f t="shared" si="64"/>
        <v>0</v>
      </c>
      <c r="BN70" s="4438">
        <f t="shared" si="65"/>
        <v>0</v>
      </c>
      <c r="BO70" s="4438">
        <f t="shared" si="66"/>
        <v>0</v>
      </c>
      <c r="BP70" s="4438">
        <f t="shared" si="67"/>
        <v>0</v>
      </c>
      <c r="BQ70" s="4438">
        <f t="shared" si="68"/>
        <v>0</v>
      </c>
      <c r="BR70" s="4438">
        <f t="shared" si="69"/>
        <v>0</v>
      </c>
      <c r="BS70" s="4438">
        <f t="shared" si="70"/>
        <v>0</v>
      </c>
      <c r="BT70" s="4438">
        <f t="shared" si="71"/>
        <v>0</v>
      </c>
      <c r="BU70" s="4438">
        <f t="shared" si="72"/>
        <v>0</v>
      </c>
      <c r="BV70" s="4438">
        <f t="shared" si="73"/>
        <v>0</v>
      </c>
      <c r="BW70" s="4438">
        <f t="shared" si="74"/>
        <v>0</v>
      </c>
      <c r="BX70" s="4438">
        <f t="shared" si="75"/>
        <v>0</v>
      </c>
      <c r="BY70" s="4438">
        <f t="shared" si="76"/>
        <v>0</v>
      </c>
      <c r="BZ70" s="4438">
        <f t="shared" si="77"/>
        <v>0</v>
      </c>
      <c r="CA70" s="4438">
        <f t="shared" si="78"/>
        <v>0</v>
      </c>
      <c r="CB70" s="4438">
        <f t="shared" si="79"/>
        <v>0</v>
      </c>
      <c r="CC70" s="4438">
        <f t="shared" si="80"/>
        <v>0</v>
      </c>
      <c r="CD70" s="4438">
        <f t="shared" si="81"/>
        <v>0</v>
      </c>
      <c r="CE70" s="4438">
        <f t="shared" si="82"/>
        <v>0</v>
      </c>
      <c r="CF70" s="4438">
        <f t="shared" si="83"/>
        <v>0</v>
      </c>
      <c r="CG70" s="4438">
        <f t="shared" si="84"/>
        <v>0</v>
      </c>
      <c r="CH70" s="4438">
        <f t="shared" si="85"/>
        <v>0</v>
      </c>
      <c r="CI70" s="4438">
        <f t="shared" si="86"/>
        <v>0</v>
      </c>
      <c r="CJ70" s="4438">
        <f t="shared" si="87"/>
        <v>0</v>
      </c>
      <c r="CK70" s="4438">
        <f t="shared" si="88"/>
        <v>0</v>
      </c>
    </row>
    <row r="71" spans="1:89">
      <c r="A71" s="2701"/>
      <c r="B71" s="3573">
        <v>20304</v>
      </c>
      <c r="C71" s="3556">
        <v>0.1</v>
      </c>
      <c r="D71" s="2753" t="s">
        <v>407</v>
      </c>
      <c r="E71" s="2705">
        <f t="shared" ref="E71:AT71" si="141">SUM(E72:E73)</f>
        <v>14.45</v>
      </c>
      <c r="F71" s="2706">
        <f t="shared" si="141"/>
        <v>10</v>
      </c>
      <c r="G71" s="2707">
        <f t="shared" si="141"/>
        <v>25.05</v>
      </c>
      <c r="H71" s="2707">
        <f t="shared" si="141"/>
        <v>32</v>
      </c>
      <c r="I71" s="2707">
        <f t="shared" si="141"/>
        <v>39.950000000000003</v>
      </c>
      <c r="J71" s="2707">
        <f t="shared" si="141"/>
        <v>52</v>
      </c>
      <c r="K71" s="2754">
        <f t="shared" si="141"/>
        <v>64</v>
      </c>
      <c r="L71" s="2709">
        <f t="shared" si="141"/>
        <v>0</v>
      </c>
      <c r="M71" s="2706">
        <f t="shared" si="141"/>
        <v>0</v>
      </c>
      <c r="N71" s="2707">
        <f t="shared" si="141"/>
        <v>0</v>
      </c>
      <c r="O71" s="2707">
        <f t="shared" si="141"/>
        <v>0</v>
      </c>
      <c r="P71" s="2707">
        <f t="shared" si="141"/>
        <v>0</v>
      </c>
      <c r="Q71" s="2707">
        <f t="shared" si="141"/>
        <v>0</v>
      </c>
      <c r="R71" s="2708">
        <f t="shared" si="141"/>
        <v>0</v>
      </c>
      <c r="S71" s="2709">
        <f t="shared" si="141"/>
        <v>0</v>
      </c>
      <c r="T71" s="2710">
        <f t="shared" si="141"/>
        <v>0</v>
      </c>
      <c r="U71" s="2707">
        <f t="shared" si="141"/>
        <v>0</v>
      </c>
      <c r="V71" s="2707">
        <f t="shared" si="141"/>
        <v>0</v>
      </c>
      <c r="W71" s="2707">
        <f t="shared" si="141"/>
        <v>0</v>
      </c>
      <c r="X71" s="2707">
        <f t="shared" si="141"/>
        <v>0</v>
      </c>
      <c r="Y71" s="2708">
        <f t="shared" si="141"/>
        <v>0</v>
      </c>
      <c r="Z71" s="2709">
        <f t="shared" ref="Z71:AM71" si="142">SUM(Z72:Z73)</f>
        <v>0</v>
      </c>
      <c r="AA71" s="2710">
        <f t="shared" si="142"/>
        <v>0</v>
      </c>
      <c r="AB71" s="2707">
        <f t="shared" si="142"/>
        <v>0</v>
      </c>
      <c r="AC71" s="2707">
        <f t="shared" si="142"/>
        <v>0</v>
      </c>
      <c r="AD71" s="2707">
        <f t="shared" si="142"/>
        <v>0</v>
      </c>
      <c r="AE71" s="2707">
        <f t="shared" si="142"/>
        <v>0</v>
      </c>
      <c r="AF71" s="2708">
        <f t="shared" si="142"/>
        <v>0</v>
      </c>
      <c r="AG71" s="2709">
        <f t="shared" si="142"/>
        <v>0</v>
      </c>
      <c r="AH71" s="2710">
        <f t="shared" si="142"/>
        <v>0</v>
      </c>
      <c r="AI71" s="2707">
        <f t="shared" si="142"/>
        <v>0</v>
      </c>
      <c r="AJ71" s="2707">
        <f t="shared" si="142"/>
        <v>0</v>
      </c>
      <c r="AK71" s="2707">
        <f t="shared" si="142"/>
        <v>0</v>
      </c>
      <c r="AL71" s="2707">
        <f t="shared" si="142"/>
        <v>0</v>
      </c>
      <c r="AM71" s="2708">
        <f t="shared" si="142"/>
        <v>0</v>
      </c>
      <c r="AN71" s="2709">
        <f t="shared" si="141"/>
        <v>0</v>
      </c>
      <c r="AO71" s="2710">
        <f t="shared" si="141"/>
        <v>0</v>
      </c>
      <c r="AP71" s="2707">
        <f t="shared" si="141"/>
        <v>0</v>
      </c>
      <c r="AQ71" s="2707">
        <f t="shared" si="141"/>
        <v>0</v>
      </c>
      <c r="AR71" s="2707">
        <f t="shared" si="141"/>
        <v>0</v>
      </c>
      <c r="AS71" s="2707">
        <f t="shared" si="141"/>
        <v>0</v>
      </c>
      <c r="AT71" s="2708">
        <f t="shared" si="141"/>
        <v>0</v>
      </c>
      <c r="AU71" s="4422"/>
      <c r="AV71" s="4438">
        <f t="shared" si="47"/>
        <v>7.3881676832853573</v>
      </c>
      <c r="AW71" s="4438">
        <f t="shared" si="48"/>
        <v>5.1129188119621851</v>
      </c>
      <c r="AX71" s="4438">
        <f t="shared" si="49"/>
        <v>12.807861623965273</v>
      </c>
      <c r="AY71" s="4438">
        <f t="shared" si="50"/>
        <v>16.361340198278992</v>
      </c>
      <c r="AZ71" s="4438">
        <f t="shared" si="51"/>
        <v>20.426110653788932</v>
      </c>
      <c r="BA71" s="4438">
        <f t="shared" si="52"/>
        <v>26.587177822203362</v>
      </c>
      <c r="BB71" s="4438">
        <f t="shared" si="53"/>
        <v>32.722680396557983</v>
      </c>
      <c r="BC71" s="4438">
        <f t="shared" si="54"/>
        <v>0</v>
      </c>
      <c r="BD71" s="4438">
        <f t="shared" si="55"/>
        <v>0</v>
      </c>
      <c r="BE71" s="4438">
        <f t="shared" si="56"/>
        <v>0</v>
      </c>
      <c r="BF71" s="4438">
        <f t="shared" si="57"/>
        <v>0</v>
      </c>
      <c r="BG71" s="4438">
        <f t="shared" si="58"/>
        <v>0</v>
      </c>
      <c r="BH71" s="4438">
        <f t="shared" si="59"/>
        <v>0</v>
      </c>
      <c r="BI71" s="4438">
        <f t="shared" si="60"/>
        <v>0</v>
      </c>
      <c r="BJ71" s="4438">
        <f t="shared" si="61"/>
        <v>0</v>
      </c>
      <c r="BK71" s="4438">
        <f t="shared" si="62"/>
        <v>0</v>
      </c>
      <c r="BL71" s="4438">
        <f t="shared" si="63"/>
        <v>0</v>
      </c>
      <c r="BM71" s="4438">
        <f t="shared" si="64"/>
        <v>0</v>
      </c>
      <c r="BN71" s="4438">
        <f t="shared" si="65"/>
        <v>0</v>
      </c>
      <c r="BO71" s="4438">
        <f t="shared" si="66"/>
        <v>0</v>
      </c>
      <c r="BP71" s="4438">
        <f t="shared" si="67"/>
        <v>0</v>
      </c>
      <c r="BQ71" s="4438">
        <f t="shared" si="68"/>
        <v>0</v>
      </c>
      <c r="BR71" s="4438">
        <f t="shared" si="69"/>
        <v>0</v>
      </c>
      <c r="BS71" s="4438">
        <f t="shared" si="70"/>
        <v>0</v>
      </c>
      <c r="BT71" s="4438">
        <f t="shared" si="71"/>
        <v>0</v>
      </c>
      <c r="BU71" s="4438">
        <f t="shared" si="72"/>
        <v>0</v>
      </c>
      <c r="BV71" s="4438">
        <f t="shared" si="73"/>
        <v>0</v>
      </c>
      <c r="BW71" s="4438">
        <f t="shared" si="74"/>
        <v>0</v>
      </c>
      <c r="BX71" s="4438">
        <f t="shared" si="75"/>
        <v>0</v>
      </c>
      <c r="BY71" s="4438">
        <f t="shared" si="76"/>
        <v>0</v>
      </c>
      <c r="BZ71" s="4438">
        <f t="shared" si="77"/>
        <v>0</v>
      </c>
      <c r="CA71" s="4438">
        <f t="shared" si="78"/>
        <v>0</v>
      </c>
      <c r="CB71" s="4438">
        <f t="shared" si="79"/>
        <v>0</v>
      </c>
      <c r="CC71" s="4438">
        <f t="shared" si="80"/>
        <v>0</v>
      </c>
      <c r="CD71" s="4438">
        <f t="shared" si="81"/>
        <v>0</v>
      </c>
      <c r="CE71" s="4438">
        <f t="shared" si="82"/>
        <v>0</v>
      </c>
      <c r="CF71" s="4438">
        <f t="shared" si="83"/>
        <v>0</v>
      </c>
      <c r="CG71" s="4438">
        <f t="shared" si="84"/>
        <v>0</v>
      </c>
      <c r="CH71" s="4438">
        <f t="shared" si="85"/>
        <v>0</v>
      </c>
      <c r="CI71" s="4438">
        <f t="shared" si="86"/>
        <v>0</v>
      </c>
      <c r="CJ71" s="4438">
        <f t="shared" si="87"/>
        <v>0</v>
      </c>
      <c r="CK71" s="4438">
        <f t="shared" si="88"/>
        <v>0</v>
      </c>
    </row>
    <row r="72" spans="1:89" s="67" customFormat="1">
      <c r="A72" s="2755"/>
      <c r="B72" s="3574">
        <v>2030401</v>
      </c>
      <c r="C72" s="3557">
        <v>0.1</v>
      </c>
      <c r="D72" s="2756" t="s">
        <v>991</v>
      </c>
      <c r="E72" s="2689">
        <f>'11.2. ДА за периода'!E72</f>
        <v>11.75</v>
      </c>
      <c r="F72" s="2757">
        <f>($F23*$C72)/$E$7</f>
        <v>10</v>
      </c>
      <c r="G72" s="2758">
        <f>($F23*$C72)+($G23*$C72)/$E$7</f>
        <v>25.05</v>
      </c>
      <c r="H72" s="2758">
        <f>($F23*$C72)+($G23*$C72)+($H23*$C72)/$E$7</f>
        <v>32</v>
      </c>
      <c r="I72" s="2758">
        <f>($F23*$C72)+($G23*$C72)+($H23*$C72)+($I23*$C72)/$E$7</f>
        <v>39.950000000000003</v>
      </c>
      <c r="J72" s="2758">
        <f>($F23*$C72)+($G23*$C72)+($H23*$C72)+($I23*$C72)+($J23*$C72)/$E$7</f>
        <v>52</v>
      </c>
      <c r="K72" s="2759">
        <f>($F23*$C72)+($G23*$C72)+($H23*$C72)+($I23*$C72)+($J23*$C72)+($K23*$C72)/$E$7</f>
        <v>64</v>
      </c>
      <c r="L72" s="2689">
        <f>'11.2. ДА за периода'!L72</f>
        <v>0</v>
      </c>
      <c r="M72" s="2760">
        <f>($M23*$C72)/$E$7</f>
        <v>0</v>
      </c>
      <c r="N72" s="2758">
        <f>($M23*$C72)+($N23*$C72)/$E$7</f>
        <v>0</v>
      </c>
      <c r="O72" s="2758">
        <f>($M23*$C72)+($N23*$C72)+($O23*$C72)/$E$7</f>
        <v>0</v>
      </c>
      <c r="P72" s="2758">
        <f>($M23*$C72)+($N23*$C72)+($O23*$C72)+($P23*$C72)/$E$7</f>
        <v>0</v>
      </c>
      <c r="Q72" s="2759">
        <f>($M23*$C72)+($N23*$C72)+($O23*$C72)+($P23*$C72)+($Q23*$C72)/$E$7</f>
        <v>0</v>
      </c>
      <c r="R72" s="2761">
        <f>($M23*$C72)+($N23*$C72)+($O23*$C72)+($P23*$C72)+($Q23*$C72)+($R23*$C72)/$E$7</f>
        <v>0</v>
      </c>
      <c r="S72" s="1087">
        <f>'11.2. ДА за периода'!S72</f>
        <v>0</v>
      </c>
      <c r="T72" s="2762">
        <f>($T23*$C72)/$E$7</f>
        <v>0</v>
      </c>
      <c r="U72" s="2758">
        <f>($T23*$C72)+($U23*$C72)/$E$7</f>
        <v>0</v>
      </c>
      <c r="V72" s="2758">
        <f>($T23*$C72)+($U23*$C72)+($V23*$C72)/$E$7</f>
        <v>0</v>
      </c>
      <c r="W72" s="2758">
        <f>($T23*$C72)+($U23*$C72)+($V23*$C72)+($W23*$C72)/$E$7</f>
        <v>0</v>
      </c>
      <c r="X72" s="2758">
        <f>($T23*$C72)+($U23*$C72)+($V23*$C72)+($W23*$C72)+($X23*$C72)/$E$7</f>
        <v>0</v>
      </c>
      <c r="Y72" s="2761">
        <f>($T23*$C72)+($U23*$C72)+($V23*$C72)+($W23*$C72)+($X23*$C72)+($Y23*$C72)/$E$7</f>
        <v>0</v>
      </c>
      <c r="Z72" s="1087">
        <f>'11.2. ДА за периода'!Z72</f>
        <v>0</v>
      </c>
      <c r="AA72" s="2762">
        <f t="shared" ref="AA72:AA73" si="143">(AA23*$C72)/$E$7</f>
        <v>0</v>
      </c>
      <c r="AB72" s="2758">
        <f t="shared" ref="AB72:AB73" si="144">(AA23*$C72)+(AB23*$C72)/$E$7</f>
        <v>0</v>
      </c>
      <c r="AC72" s="2758">
        <f t="shared" ref="AC72:AC73" si="145">(AA23*$C72)+(AB23*$C72)+(AC23*$C72)/$E$7</f>
        <v>0</v>
      </c>
      <c r="AD72" s="2758">
        <f t="shared" ref="AD72:AD73" si="146">(AA23*$C72)+(AB23*$C72)+(AC23*$C72)+(AD23*$C72)/$E$7</f>
        <v>0</v>
      </c>
      <c r="AE72" s="2758">
        <f t="shared" ref="AE72:AE73" si="147">(AA23*$C72)+(AB23*$C72)+(AC23*$C72)+(AD23*$C72)+(AE23*$C72)/$E$7</f>
        <v>0</v>
      </c>
      <c r="AF72" s="2759">
        <f t="shared" ref="AF72:AF73" si="148">(AA23*$C72)+(AB23*$C72)+(AC23*$C72)+(AD23*$C72)+(AE23*$C72)+(AF23*$C72)/$E$7</f>
        <v>0</v>
      </c>
      <c r="AG72" s="1087">
        <f>'11.2. ДА за периода'!AG72</f>
        <v>0</v>
      </c>
      <c r="AH72" s="2762">
        <f t="shared" ref="AH72:AH73" si="149">(AH23*$C72)/$E$7</f>
        <v>0</v>
      </c>
      <c r="AI72" s="2758">
        <f t="shared" ref="AI72:AI73" si="150">(AH23*$C72)+(AI23*$C72)/$E$7</f>
        <v>0</v>
      </c>
      <c r="AJ72" s="2758">
        <f t="shared" ref="AJ72:AJ73" si="151">(AH23*$C72)+(AI23*$C72)+(AJ23*$C72)/$E$7</f>
        <v>0</v>
      </c>
      <c r="AK72" s="2758">
        <f t="shared" ref="AK72:AK73" si="152">(AH23*$C72)+(AI23*$C72)+(AJ23*$C72)+(AK23*$C72)/$E$7</f>
        <v>0</v>
      </c>
      <c r="AL72" s="2758">
        <f t="shared" ref="AL72:AL73" si="153">(AH23*$C72)+(AI23*$C72)+(AJ23*$C72)+(AK23*$C72)+(AL23*$C72)/$E$7</f>
        <v>0</v>
      </c>
      <c r="AM72" s="2759">
        <f t="shared" ref="AM72:AM73" si="154">(AH23*$C72)+(AI23*$C72)+(AJ23*$C72)+(AK23*$C72)+(AL23*$C72)+(AM23*$C72)/$E$7</f>
        <v>0</v>
      </c>
      <c r="AN72" s="2689">
        <f>'11.2. ДА за периода'!AN72</f>
        <v>0</v>
      </c>
      <c r="AO72" s="2760">
        <f>($AO23*$C72)/$E$7</f>
        <v>0</v>
      </c>
      <c r="AP72" s="2758">
        <f>($AO23*$C72)+($AP23*$C72)/$E$7</f>
        <v>0</v>
      </c>
      <c r="AQ72" s="2758">
        <f>($AO23*$C72)+($AP23*$C72)+($AQ23*$C72)/$E$7</f>
        <v>0</v>
      </c>
      <c r="AR72" s="2758">
        <f>($AO23*$C72)+($AP23*$C72)+($AQ23*$C72)+($AR23*$C72)/$E$7</f>
        <v>0</v>
      </c>
      <c r="AS72" s="2758">
        <f>($AO23*$C72)+($AP23*$C72)+($AQ23*$C72)+($AR23*$C72)+($AS23*$C72)/$E$7</f>
        <v>0</v>
      </c>
      <c r="AT72" s="2761">
        <f>($AO23*$C72)+($AP23*$C72)+($AQ23*$C72)+($AR23*$C72)+($AS23*$C72)+($AT23*$C72)/$E$7</f>
        <v>0</v>
      </c>
      <c r="AU72" s="4422"/>
      <c r="AV72" s="4438">
        <f t="shared" si="47"/>
        <v>6.0076796040555669</v>
      </c>
      <c r="AW72" s="4438">
        <f t="shared" si="48"/>
        <v>5.1129188119621851</v>
      </c>
      <c r="AX72" s="4438">
        <f t="shared" si="49"/>
        <v>12.807861623965273</v>
      </c>
      <c r="AY72" s="4438">
        <f t="shared" si="50"/>
        <v>16.361340198278992</v>
      </c>
      <c r="AZ72" s="4438">
        <f t="shared" si="51"/>
        <v>20.426110653788932</v>
      </c>
      <c r="BA72" s="4438">
        <f t="shared" si="52"/>
        <v>26.587177822203362</v>
      </c>
      <c r="BB72" s="4438">
        <f t="shared" si="53"/>
        <v>32.722680396557983</v>
      </c>
      <c r="BC72" s="4438">
        <f t="shared" si="54"/>
        <v>0</v>
      </c>
      <c r="BD72" s="4438">
        <f t="shared" si="55"/>
        <v>0</v>
      </c>
      <c r="BE72" s="4438">
        <f t="shared" si="56"/>
        <v>0</v>
      </c>
      <c r="BF72" s="4438">
        <f t="shared" si="57"/>
        <v>0</v>
      </c>
      <c r="BG72" s="4438">
        <f t="shared" si="58"/>
        <v>0</v>
      </c>
      <c r="BH72" s="4438">
        <f t="shared" si="59"/>
        <v>0</v>
      </c>
      <c r="BI72" s="4438">
        <f t="shared" si="60"/>
        <v>0</v>
      </c>
      <c r="BJ72" s="4438">
        <f t="shared" si="61"/>
        <v>0</v>
      </c>
      <c r="BK72" s="4438">
        <f t="shared" si="62"/>
        <v>0</v>
      </c>
      <c r="BL72" s="4438">
        <f t="shared" si="63"/>
        <v>0</v>
      </c>
      <c r="BM72" s="4438">
        <f t="shared" si="64"/>
        <v>0</v>
      </c>
      <c r="BN72" s="4438">
        <f t="shared" si="65"/>
        <v>0</v>
      </c>
      <c r="BO72" s="4438">
        <f t="shared" si="66"/>
        <v>0</v>
      </c>
      <c r="BP72" s="4438">
        <f t="shared" si="67"/>
        <v>0</v>
      </c>
      <c r="BQ72" s="4438">
        <f t="shared" si="68"/>
        <v>0</v>
      </c>
      <c r="BR72" s="4438">
        <f t="shared" si="69"/>
        <v>0</v>
      </c>
      <c r="BS72" s="4438">
        <f t="shared" si="70"/>
        <v>0</v>
      </c>
      <c r="BT72" s="4438">
        <f t="shared" si="71"/>
        <v>0</v>
      </c>
      <c r="BU72" s="4438">
        <f t="shared" si="72"/>
        <v>0</v>
      </c>
      <c r="BV72" s="4438">
        <f t="shared" si="73"/>
        <v>0</v>
      </c>
      <c r="BW72" s="4438">
        <f t="shared" si="74"/>
        <v>0</v>
      </c>
      <c r="BX72" s="4438">
        <f t="shared" si="75"/>
        <v>0</v>
      </c>
      <c r="BY72" s="4438">
        <f t="shared" si="76"/>
        <v>0</v>
      </c>
      <c r="BZ72" s="4438">
        <f t="shared" si="77"/>
        <v>0</v>
      </c>
      <c r="CA72" s="4438">
        <f t="shared" si="78"/>
        <v>0</v>
      </c>
      <c r="CB72" s="4438">
        <f t="shared" si="79"/>
        <v>0</v>
      </c>
      <c r="CC72" s="4438">
        <f t="shared" si="80"/>
        <v>0</v>
      </c>
      <c r="CD72" s="4438">
        <f t="shared" si="81"/>
        <v>0</v>
      </c>
      <c r="CE72" s="4438">
        <f t="shared" si="82"/>
        <v>0</v>
      </c>
      <c r="CF72" s="4438">
        <f t="shared" si="83"/>
        <v>0</v>
      </c>
      <c r="CG72" s="4438">
        <f t="shared" si="84"/>
        <v>0</v>
      </c>
      <c r="CH72" s="4438">
        <f t="shared" si="85"/>
        <v>0</v>
      </c>
      <c r="CI72" s="4438">
        <f t="shared" si="86"/>
        <v>0</v>
      </c>
      <c r="CJ72" s="4438">
        <f t="shared" si="87"/>
        <v>0</v>
      </c>
      <c r="CK72" s="4438">
        <f t="shared" si="88"/>
        <v>0</v>
      </c>
    </row>
    <row r="73" spans="1:89" s="67" customFormat="1">
      <c r="A73" s="2755"/>
      <c r="B73" s="3574">
        <v>2030402</v>
      </c>
      <c r="C73" s="3557">
        <v>0.1</v>
      </c>
      <c r="D73" s="2756" t="s">
        <v>429</v>
      </c>
      <c r="E73" s="2689">
        <f>'11.2. ДА за периода'!E73</f>
        <v>2.7</v>
      </c>
      <c r="F73" s="2757">
        <f>($F24*$C73)/$E$7</f>
        <v>0</v>
      </c>
      <c r="G73" s="2758">
        <f>($F24*$C73)+($G24*$C73)/$E$7</f>
        <v>0</v>
      </c>
      <c r="H73" s="2758">
        <f>($F24*$C73)+($G24*$C73)+($H24*$C73)/$E$7</f>
        <v>0</v>
      </c>
      <c r="I73" s="2758">
        <f>($F24*$C73)+($G24*$C73)+($H24*$C73)+($I24*$C73)/$E$7</f>
        <v>0</v>
      </c>
      <c r="J73" s="2758">
        <f>($F24*$C73)+($G24*$C73)+($H24*$C73)+($I24*$C73)+($J24*$C73)/$E$7</f>
        <v>0</v>
      </c>
      <c r="K73" s="2759">
        <f>($F24*$C73)+($G24*$C73)+($H24*$C73)+($I24*$C73)+($J24*$C73)+($K24*$C73)/$E$7</f>
        <v>0</v>
      </c>
      <c r="L73" s="2689">
        <f>'11.2. ДА за периода'!L73</f>
        <v>0</v>
      </c>
      <c r="M73" s="2760">
        <f>($M24*$C73)/$E$7</f>
        <v>0</v>
      </c>
      <c r="N73" s="2758">
        <f>($M24*$C73)+($N24*$C73)/$E$7</f>
        <v>0</v>
      </c>
      <c r="O73" s="2758">
        <f>($M24*$C73)+($N24*$C73)+($O24*$C73)/$E$7</f>
        <v>0</v>
      </c>
      <c r="P73" s="2758">
        <f>($M24*$C73)+($N24*$C73)+($O24*$C73)+($P24*$C73)/$E$7</f>
        <v>0</v>
      </c>
      <c r="Q73" s="2759">
        <f>($M24*$C73)+($N24*$C73)+($O24*$C73)+($P24*$C73)+($Q24*$C73)/$E$7</f>
        <v>0</v>
      </c>
      <c r="R73" s="2761">
        <f>($M24*$C73)+($N24*$C73)+($O24*$C73)+($P24*$C73)+($Q24*$C73)+($R24*$C73)/$E$7</f>
        <v>0</v>
      </c>
      <c r="S73" s="1087">
        <f>'11.2. ДА за периода'!S73</f>
        <v>0</v>
      </c>
      <c r="T73" s="2762">
        <f>($T24*$C73)/$E$7</f>
        <v>0</v>
      </c>
      <c r="U73" s="2758">
        <f>($T24*$C73)+($U24*$C73)/$E$7</f>
        <v>0</v>
      </c>
      <c r="V73" s="2758">
        <f>($T24*$C73)+($U24*$C73)+($V24*$C73)/$E$7</f>
        <v>0</v>
      </c>
      <c r="W73" s="2758">
        <f>($T24*$C73)+($U24*$C73)+($V24*$C73)+($W24*$C73)/$E$7</f>
        <v>0</v>
      </c>
      <c r="X73" s="2758">
        <f>($T24*$C73)+($U24*$C73)+($V24*$C73)+($W24*$C73)+($X24*$C73)/$E$7</f>
        <v>0</v>
      </c>
      <c r="Y73" s="2761">
        <f>($T24*$C73)+($U24*$C73)+($V24*$C73)+($W24*$C73)+($X24*$C73)+($Y24*$C73)/$E$7</f>
        <v>0</v>
      </c>
      <c r="Z73" s="1087">
        <f>'11.2. ДА за периода'!Z73</f>
        <v>0</v>
      </c>
      <c r="AA73" s="2762">
        <f t="shared" si="143"/>
        <v>0</v>
      </c>
      <c r="AB73" s="2758">
        <f t="shared" si="144"/>
        <v>0</v>
      </c>
      <c r="AC73" s="2758">
        <f t="shared" si="145"/>
        <v>0</v>
      </c>
      <c r="AD73" s="2758">
        <f t="shared" si="146"/>
        <v>0</v>
      </c>
      <c r="AE73" s="2758">
        <f t="shared" si="147"/>
        <v>0</v>
      </c>
      <c r="AF73" s="2759">
        <f t="shared" si="148"/>
        <v>0</v>
      </c>
      <c r="AG73" s="1087">
        <f>'11.2. ДА за периода'!AG73</f>
        <v>0</v>
      </c>
      <c r="AH73" s="2762">
        <f t="shared" si="149"/>
        <v>0</v>
      </c>
      <c r="AI73" s="2758">
        <f t="shared" si="150"/>
        <v>0</v>
      </c>
      <c r="AJ73" s="2758">
        <f t="shared" si="151"/>
        <v>0</v>
      </c>
      <c r="AK73" s="2758">
        <f t="shared" si="152"/>
        <v>0</v>
      </c>
      <c r="AL73" s="2758">
        <f t="shared" si="153"/>
        <v>0</v>
      </c>
      <c r="AM73" s="2759">
        <f t="shared" si="154"/>
        <v>0</v>
      </c>
      <c r="AN73" s="2689">
        <f>'11.2. ДА за периода'!AN73</f>
        <v>0</v>
      </c>
      <c r="AO73" s="2760">
        <f>($AO24*$C73)/$E$7</f>
        <v>0</v>
      </c>
      <c r="AP73" s="2758">
        <f>($AO24*$C73)+($AP24*$C73)/$E$7</f>
        <v>0</v>
      </c>
      <c r="AQ73" s="2758">
        <f>($AO24*$C73)+($AP24*$C73)+($AQ24*$C73)/$E$7</f>
        <v>0</v>
      </c>
      <c r="AR73" s="2758">
        <f>($AO24*$C73)+($AP24*$C73)+($AQ24*$C73)+($AR24*$C73)/$E$7</f>
        <v>0</v>
      </c>
      <c r="AS73" s="2758">
        <f>($AO24*$C73)+($AP24*$C73)+($AQ24*$C73)+($AR24*$C73)+($AS24*$C73)/$E$7</f>
        <v>0</v>
      </c>
      <c r="AT73" s="2761">
        <f>($AO24*$C73)+($AP24*$C73)+($AQ24*$C73)+($AR24*$C73)+($AS24*$C73)+($AT24*$C73)/$E$7</f>
        <v>0</v>
      </c>
      <c r="AU73" s="4422"/>
      <c r="AV73" s="4438">
        <f t="shared" si="47"/>
        <v>1.38048807922979</v>
      </c>
      <c r="AW73" s="4438">
        <f t="shared" si="48"/>
        <v>0</v>
      </c>
      <c r="AX73" s="4438">
        <f t="shared" si="49"/>
        <v>0</v>
      </c>
      <c r="AY73" s="4438">
        <f t="shared" si="50"/>
        <v>0</v>
      </c>
      <c r="AZ73" s="4438">
        <f t="shared" si="51"/>
        <v>0</v>
      </c>
      <c r="BA73" s="4438">
        <f t="shared" si="52"/>
        <v>0</v>
      </c>
      <c r="BB73" s="4438">
        <f t="shared" si="53"/>
        <v>0</v>
      </c>
      <c r="BC73" s="4438">
        <f t="shared" si="54"/>
        <v>0</v>
      </c>
      <c r="BD73" s="4438">
        <f t="shared" si="55"/>
        <v>0</v>
      </c>
      <c r="BE73" s="4438">
        <f t="shared" si="56"/>
        <v>0</v>
      </c>
      <c r="BF73" s="4438">
        <f t="shared" si="57"/>
        <v>0</v>
      </c>
      <c r="BG73" s="4438">
        <f t="shared" si="58"/>
        <v>0</v>
      </c>
      <c r="BH73" s="4438">
        <f t="shared" si="59"/>
        <v>0</v>
      </c>
      <c r="BI73" s="4438">
        <f t="shared" si="60"/>
        <v>0</v>
      </c>
      <c r="BJ73" s="4438">
        <f t="shared" si="61"/>
        <v>0</v>
      </c>
      <c r="BK73" s="4438">
        <f t="shared" si="62"/>
        <v>0</v>
      </c>
      <c r="BL73" s="4438">
        <f t="shared" si="63"/>
        <v>0</v>
      </c>
      <c r="BM73" s="4438">
        <f t="shared" si="64"/>
        <v>0</v>
      </c>
      <c r="BN73" s="4438">
        <f t="shared" si="65"/>
        <v>0</v>
      </c>
      <c r="BO73" s="4438">
        <f t="shared" si="66"/>
        <v>0</v>
      </c>
      <c r="BP73" s="4438">
        <f t="shared" si="67"/>
        <v>0</v>
      </c>
      <c r="BQ73" s="4438">
        <f t="shared" si="68"/>
        <v>0</v>
      </c>
      <c r="BR73" s="4438">
        <f t="shared" si="69"/>
        <v>0</v>
      </c>
      <c r="BS73" s="4438">
        <f t="shared" si="70"/>
        <v>0</v>
      </c>
      <c r="BT73" s="4438">
        <f t="shared" si="71"/>
        <v>0</v>
      </c>
      <c r="BU73" s="4438">
        <f t="shared" si="72"/>
        <v>0</v>
      </c>
      <c r="BV73" s="4438">
        <f t="shared" si="73"/>
        <v>0</v>
      </c>
      <c r="BW73" s="4438">
        <f t="shared" si="74"/>
        <v>0</v>
      </c>
      <c r="BX73" s="4438">
        <f t="shared" si="75"/>
        <v>0</v>
      </c>
      <c r="BY73" s="4438">
        <f t="shared" si="76"/>
        <v>0</v>
      </c>
      <c r="BZ73" s="4438">
        <f t="shared" si="77"/>
        <v>0</v>
      </c>
      <c r="CA73" s="4438">
        <f t="shared" si="78"/>
        <v>0</v>
      </c>
      <c r="CB73" s="4438">
        <f t="shared" si="79"/>
        <v>0</v>
      </c>
      <c r="CC73" s="4438">
        <f t="shared" si="80"/>
        <v>0</v>
      </c>
      <c r="CD73" s="4438">
        <f t="shared" si="81"/>
        <v>0</v>
      </c>
      <c r="CE73" s="4438">
        <f t="shared" si="82"/>
        <v>0</v>
      </c>
      <c r="CF73" s="4438">
        <f t="shared" si="83"/>
        <v>0</v>
      </c>
      <c r="CG73" s="4438">
        <f t="shared" si="84"/>
        <v>0</v>
      </c>
      <c r="CH73" s="4438">
        <f t="shared" si="85"/>
        <v>0</v>
      </c>
      <c r="CI73" s="4438">
        <f t="shared" si="86"/>
        <v>0</v>
      </c>
      <c r="CJ73" s="4438">
        <f t="shared" si="87"/>
        <v>0</v>
      </c>
      <c r="CK73" s="4438">
        <f t="shared" si="88"/>
        <v>0</v>
      </c>
    </row>
    <row r="74" spans="1:89">
      <c r="A74" s="2701"/>
      <c r="B74" s="3573">
        <v>20305</v>
      </c>
      <c r="C74" s="3556"/>
      <c r="D74" s="2753" t="s">
        <v>430</v>
      </c>
      <c r="E74" s="2705">
        <f>SUM(E75:E77)</f>
        <v>21.650000000000002</v>
      </c>
      <c r="F74" s="2706">
        <f t="shared" ref="F74:AT74" si="155">SUM(F75:F77)</f>
        <v>16.5</v>
      </c>
      <c r="G74" s="2707">
        <f t="shared" si="155"/>
        <v>34.200000000000003</v>
      </c>
      <c r="H74" s="2707">
        <f t="shared" si="155"/>
        <v>37.85</v>
      </c>
      <c r="I74" s="2707">
        <f t="shared" si="155"/>
        <v>43.699999999999996</v>
      </c>
      <c r="J74" s="2707">
        <f t="shared" si="155"/>
        <v>55.2</v>
      </c>
      <c r="K74" s="2754">
        <f t="shared" si="155"/>
        <v>68.599999999999994</v>
      </c>
      <c r="L74" s="2709">
        <f t="shared" si="155"/>
        <v>3.9000000000000004</v>
      </c>
      <c r="M74" s="2706">
        <f t="shared" si="155"/>
        <v>0.1</v>
      </c>
      <c r="N74" s="2707">
        <f t="shared" si="155"/>
        <v>0.2</v>
      </c>
      <c r="O74" s="2707">
        <f t="shared" si="155"/>
        <v>0.2</v>
      </c>
      <c r="P74" s="2707">
        <f t="shared" si="155"/>
        <v>0.2</v>
      </c>
      <c r="Q74" s="2707">
        <f t="shared" si="155"/>
        <v>0.2</v>
      </c>
      <c r="R74" s="2708">
        <f t="shared" si="155"/>
        <v>0.2</v>
      </c>
      <c r="S74" s="2709">
        <f t="shared" si="155"/>
        <v>7.65</v>
      </c>
      <c r="T74" s="2710">
        <f t="shared" si="155"/>
        <v>0.5</v>
      </c>
      <c r="U74" s="2707">
        <f t="shared" si="155"/>
        <v>1</v>
      </c>
      <c r="V74" s="2707">
        <f t="shared" si="155"/>
        <v>1</v>
      </c>
      <c r="W74" s="2707">
        <f t="shared" si="155"/>
        <v>1</v>
      </c>
      <c r="X74" s="2707">
        <f t="shared" si="155"/>
        <v>1</v>
      </c>
      <c r="Y74" s="2708">
        <f t="shared" si="155"/>
        <v>1</v>
      </c>
      <c r="Z74" s="2709">
        <f t="shared" si="155"/>
        <v>0</v>
      </c>
      <c r="AA74" s="2710">
        <f t="shared" si="155"/>
        <v>0</v>
      </c>
      <c r="AB74" s="2707">
        <f t="shared" si="155"/>
        <v>0</v>
      </c>
      <c r="AC74" s="2707">
        <f t="shared" si="155"/>
        <v>0</v>
      </c>
      <c r="AD74" s="2707">
        <f t="shared" si="155"/>
        <v>0</v>
      </c>
      <c r="AE74" s="2707">
        <f t="shared" si="155"/>
        <v>0</v>
      </c>
      <c r="AF74" s="2708">
        <f t="shared" si="155"/>
        <v>0</v>
      </c>
      <c r="AG74" s="2709">
        <f t="shared" si="155"/>
        <v>0</v>
      </c>
      <c r="AH74" s="2710">
        <f t="shared" si="155"/>
        <v>0</v>
      </c>
      <c r="AI74" s="2707">
        <f t="shared" si="155"/>
        <v>0</v>
      </c>
      <c r="AJ74" s="2707">
        <f t="shared" si="155"/>
        <v>0</v>
      </c>
      <c r="AK74" s="2707">
        <f t="shared" si="155"/>
        <v>0</v>
      </c>
      <c r="AL74" s="2707">
        <f t="shared" si="155"/>
        <v>0</v>
      </c>
      <c r="AM74" s="2708">
        <f t="shared" si="155"/>
        <v>0</v>
      </c>
      <c r="AN74" s="2709">
        <f t="shared" si="155"/>
        <v>0</v>
      </c>
      <c r="AO74" s="2710">
        <f t="shared" si="155"/>
        <v>12.600000000000001</v>
      </c>
      <c r="AP74" s="2707">
        <f t="shared" si="155"/>
        <v>86</v>
      </c>
      <c r="AQ74" s="2707">
        <f t="shared" si="155"/>
        <v>219.75</v>
      </c>
      <c r="AR74" s="2707">
        <f t="shared" si="155"/>
        <v>346.65000000000003</v>
      </c>
      <c r="AS74" s="2707">
        <f t="shared" si="155"/>
        <v>447.36</v>
      </c>
      <c r="AT74" s="2708">
        <f t="shared" si="155"/>
        <v>542.22</v>
      </c>
      <c r="AU74" s="4422"/>
      <c r="AV74" s="4438">
        <f t="shared" si="47"/>
        <v>11.069469227898132</v>
      </c>
      <c r="AW74" s="4438">
        <f t="shared" si="48"/>
        <v>8.4363160397376049</v>
      </c>
      <c r="AX74" s="4438">
        <f t="shared" si="49"/>
        <v>17.486182336910673</v>
      </c>
      <c r="AY74" s="4438">
        <f t="shared" si="50"/>
        <v>19.352397703276871</v>
      </c>
      <c r="AZ74" s="4438">
        <f t="shared" si="51"/>
        <v>22.343455208274747</v>
      </c>
      <c r="BA74" s="4438">
        <f t="shared" si="52"/>
        <v>28.223311842031261</v>
      </c>
      <c r="BB74" s="4438">
        <f t="shared" si="53"/>
        <v>35.074623050060588</v>
      </c>
      <c r="BC74" s="4438">
        <f t="shared" si="54"/>
        <v>1.9940383366652523</v>
      </c>
      <c r="BD74" s="4438">
        <f t="shared" si="55"/>
        <v>5.1129188119621853E-2</v>
      </c>
      <c r="BE74" s="4438">
        <f t="shared" si="56"/>
        <v>0.10225837623924371</v>
      </c>
      <c r="BF74" s="4438">
        <f t="shared" si="57"/>
        <v>0.10225837623924371</v>
      </c>
      <c r="BG74" s="4438">
        <f t="shared" si="58"/>
        <v>0.10225837623924371</v>
      </c>
      <c r="BH74" s="4438">
        <f t="shared" si="59"/>
        <v>0.10225837623924371</v>
      </c>
      <c r="BI74" s="4438">
        <f t="shared" si="60"/>
        <v>0.10225837623924371</v>
      </c>
      <c r="BJ74" s="4438">
        <f t="shared" si="61"/>
        <v>3.9113828911510717</v>
      </c>
      <c r="BK74" s="4438">
        <f t="shared" si="62"/>
        <v>0.25564594059810924</v>
      </c>
      <c r="BL74" s="4438">
        <f t="shared" si="63"/>
        <v>0.51129188119621849</v>
      </c>
      <c r="BM74" s="4438">
        <f t="shared" si="64"/>
        <v>0.51129188119621849</v>
      </c>
      <c r="BN74" s="4438">
        <f t="shared" si="65"/>
        <v>0.51129188119621849</v>
      </c>
      <c r="BO74" s="4438">
        <f t="shared" si="66"/>
        <v>0.51129188119621849</v>
      </c>
      <c r="BP74" s="4438">
        <f t="shared" si="67"/>
        <v>0.51129188119621849</v>
      </c>
      <c r="BQ74" s="4438">
        <f t="shared" si="68"/>
        <v>0</v>
      </c>
      <c r="BR74" s="4438">
        <f t="shared" si="69"/>
        <v>0</v>
      </c>
      <c r="BS74" s="4438">
        <f t="shared" si="70"/>
        <v>0</v>
      </c>
      <c r="BT74" s="4438">
        <f t="shared" si="71"/>
        <v>0</v>
      </c>
      <c r="BU74" s="4438">
        <f t="shared" si="72"/>
        <v>0</v>
      </c>
      <c r="BV74" s="4438">
        <f t="shared" si="73"/>
        <v>0</v>
      </c>
      <c r="BW74" s="4438">
        <f t="shared" si="74"/>
        <v>0</v>
      </c>
      <c r="BX74" s="4438">
        <f t="shared" si="75"/>
        <v>0</v>
      </c>
      <c r="BY74" s="4438">
        <f t="shared" si="76"/>
        <v>0</v>
      </c>
      <c r="BZ74" s="4438">
        <f t="shared" si="77"/>
        <v>0</v>
      </c>
      <c r="CA74" s="4438">
        <f t="shared" si="78"/>
        <v>0</v>
      </c>
      <c r="CB74" s="4438">
        <f t="shared" si="79"/>
        <v>0</v>
      </c>
      <c r="CC74" s="4438">
        <f t="shared" si="80"/>
        <v>0</v>
      </c>
      <c r="CD74" s="4438">
        <f t="shared" si="81"/>
        <v>0</v>
      </c>
      <c r="CE74" s="4438">
        <f t="shared" si="82"/>
        <v>0</v>
      </c>
      <c r="CF74" s="4438">
        <f t="shared" si="83"/>
        <v>6.4422777030723539</v>
      </c>
      <c r="CG74" s="4438">
        <f t="shared" si="84"/>
        <v>43.97110178287479</v>
      </c>
      <c r="CH74" s="4438">
        <f t="shared" si="85"/>
        <v>112.35639089286902</v>
      </c>
      <c r="CI74" s="4438">
        <f t="shared" si="86"/>
        <v>177.23933061666915</v>
      </c>
      <c r="CJ74" s="4438">
        <f t="shared" si="87"/>
        <v>228.7315359719403</v>
      </c>
      <c r="CK74" s="4438">
        <f t="shared" si="88"/>
        <v>277.23268382221363</v>
      </c>
    </row>
    <row r="75" spans="1:89" s="67" customFormat="1">
      <c r="A75" s="2755"/>
      <c r="B75" s="3574">
        <v>2030501</v>
      </c>
      <c r="C75" s="3557">
        <v>0.1</v>
      </c>
      <c r="D75" s="2756" t="s">
        <v>1001</v>
      </c>
      <c r="E75" s="2689">
        <f>'11.2. ДА за периода'!E75</f>
        <v>14.55</v>
      </c>
      <c r="F75" s="2757">
        <f>($F26*$C75)/$E$7</f>
        <v>4</v>
      </c>
      <c r="G75" s="2758">
        <f>($F26*$C75)+($G26*$C75)/$E$7</f>
        <v>8.1999999999999993</v>
      </c>
      <c r="H75" s="2758">
        <f>($F26*$C75)+($G26*$C75)+($H26*$C75)/$E$7</f>
        <v>8.75</v>
      </c>
      <c r="I75" s="2758">
        <f>($F26*$C75)+($G26*$C75)+($H26*$C75)+($I26*$C75)/$E$7</f>
        <v>10</v>
      </c>
      <c r="J75" s="2758">
        <f>($F26*$C75)+($G26*$C75)+($H26*$C75)+($I26*$C75)+($J26*$C75)/$E$7</f>
        <v>11.75</v>
      </c>
      <c r="K75" s="2759">
        <f>($F26*$C75)+($G26*$C75)+($H26*$C75)+($I26*$C75)+($J26*$C75)+($K26*$C75)/$E$7</f>
        <v>13.8</v>
      </c>
      <c r="L75" s="2689">
        <f>'11.2. ДА за периода'!L75</f>
        <v>3.9000000000000004</v>
      </c>
      <c r="M75" s="2760">
        <f>($M26*$C75)/$E$7</f>
        <v>0</v>
      </c>
      <c r="N75" s="2758">
        <f>($M26*$C75)+($N26*$C75)/$E$7</f>
        <v>0</v>
      </c>
      <c r="O75" s="2758">
        <f>($M26*$C75)+($N26*$C75)+($O26*$C75)/$E$7</f>
        <v>0</v>
      </c>
      <c r="P75" s="2758">
        <f>($M26*$C75)+($N26*$C75)+($O26*$C75)+($P26*$C75)/$E$7</f>
        <v>0</v>
      </c>
      <c r="Q75" s="2759">
        <f>($M26*$C75)+($N26*$C75)+($O26*$C75)+($P26*$C75)+($Q26*$C75)/$E$7</f>
        <v>0</v>
      </c>
      <c r="R75" s="2761">
        <f>($M26*$C75)+($N26*$C75)+($O26*$C75)+($P26*$C75)+($Q26*$C75)+($R26*$C75)/$E$7</f>
        <v>0</v>
      </c>
      <c r="S75" s="1087">
        <f>'11.2. ДА за периода'!S75</f>
        <v>7.65</v>
      </c>
      <c r="T75" s="2762">
        <f>($T26*$C75)/$E$7</f>
        <v>0</v>
      </c>
      <c r="U75" s="2758">
        <f>($T26*$C75)+($U26*$C75)/$E$7</f>
        <v>0</v>
      </c>
      <c r="V75" s="2758">
        <f>($T26*$C75)+($U26*$C75)+($V26*$C75)/$E$7</f>
        <v>0</v>
      </c>
      <c r="W75" s="2758">
        <f>($T26*$C75)+($U26*$C75)+($V26*$C75)+($W26*$C75)/$E$7</f>
        <v>0</v>
      </c>
      <c r="X75" s="2758">
        <f>($T26*$C75)+($U26*$C75)+($V26*$C75)+($W26*$C75)+($X26*$C75)/$E$7</f>
        <v>0</v>
      </c>
      <c r="Y75" s="2761">
        <f>($T26*$C75)+($U26*$C75)+($V26*$C75)+($W26*$C75)+($X26*$C75)+($Y26*$C75)/$E$7</f>
        <v>0</v>
      </c>
      <c r="Z75" s="1087">
        <f>'11.2. ДА за периода'!Z75</f>
        <v>0</v>
      </c>
      <c r="AA75" s="2762">
        <f>(AA26*$C75)/$E$7</f>
        <v>0</v>
      </c>
      <c r="AB75" s="2758">
        <f>(AA26*$C75)+(AB26*$C75)/$E$7</f>
        <v>0</v>
      </c>
      <c r="AC75" s="2758">
        <f>(AA26*$C75)+(AB26*$C75)+(AC26*$C75)/$E$7</f>
        <v>0</v>
      </c>
      <c r="AD75" s="2758">
        <f>(AA26*$C75)+(AB26*$C75)+(AC26*$C75)+(AD26*$C75)/$E$7</f>
        <v>0</v>
      </c>
      <c r="AE75" s="2758">
        <f>(AA26*$C75)+(AB26*$C75)+(AC26*$C75)+(AD26*$C75)+(AE26*$C75)/$E$7</f>
        <v>0</v>
      </c>
      <c r="AF75" s="2759">
        <f>(AA26*$C75)+(AB26*$C75)+(AC26*$C75)+(AD26*$C75)+(AE26*$C75)+(AF26*$C75)/$E$7</f>
        <v>0</v>
      </c>
      <c r="AG75" s="1087">
        <f>'11.2. ДА за периода'!AG75</f>
        <v>0</v>
      </c>
      <c r="AH75" s="2762">
        <f t="shared" ref="AH75:AH78" si="156">(AH26*$C75)/$E$7</f>
        <v>0</v>
      </c>
      <c r="AI75" s="2758">
        <f t="shared" ref="AI75:AI78" si="157">(AH26*$C75)+(AI26*$C75)/$E$7</f>
        <v>0</v>
      </c>
      <c r="AJ75" s="2758">
        <f t="shared" ref="AJ75:AJ78" si="158">(AH26*$C75)+(AI26*$C75)+(AJ26*$C75)/$E$7</f>
        <v>0</v>
      </c>
      <c r="AK75" s="2758">
        <f t="shared" ref="AK75:AK78" si="159">(AH26*$C75)+(AI26*$C75)+(AJ26*$C75)+(AK26*$C75)/$E$7</f>
        <v>0</v>
      </c>
      <c r="AL75" s="2758">
        <f t="shared" ref="AL75:AL78" si="160">(AH26*$C75)+(AI26*$C75)+(AJ26*$C75)+(AK26*$C75)+(AL26*$C75)/$E$7</f>
        <v>0</v>
      </c>
      <c r="AM75" s="2759">
        <f t="shared" ref="AM75:AM78" si="161">(AH26*$C75)+(AI26*$C75)+(AJ26*$C75)+(AK26*$C75)+(AL26*$C75)+(AM26*$C75)/$E$7</f>
        <v>0</v>
      </c>
      <c r="AN75" s="2689">
        <f>'11.2. ДА за периода'!AN75</f>
        <v>0</v>
      </c>
      <c r="AO75" s="2760">
        <f>($AO26*$C75)/$E$7</f>
        <v>12.600000000000001</v>
      </c>
      <c r="AP75" s="2758">
        <f>($AO26*$C75)+($AP26*$C75)/$E$7</f>
        <v>86</v>
      </c>
      <c r="AQ75" s="2758">
        <f>($AO26*$C75)+($AP26*$C75)+($AQ26*$C75)/$E$7</f>
        <v>219.75</v>
      </c>
      <c r="AR75" s="2758">
        <f>($AO26*$C75)+($AP26*$C75)+($AQ26*$C75)+($AR26*$C75)/$E$7</f>
        <v>346.65000000000003</v>
      </c>
      <c r="AS75" s="2758">
        <f>($AO26*$C75)+($AP26*$C75)+($AQ26*$C75)+($AR26*$C75)+($AS26*$C75)/$E$7</f>
        <v>447.36</v>
      </c>
      <c r="AT75" s="2761">
        <f>($AO26*$C75)+($AP26*$C75)+($AQ26*$C75)+($AR26*$C75)+($AS26*$C75)+($AT26*$C75)/$E$7</f>
        <v>542.22</v>
      </c>
      <c r="AU75" s="4422"/>
      <c r="AV75" s="4438">
        <f t="shared" si="47"/>
        <v>7.4392968714049799</v>
      </c>
      <c r="AW75" s="4438">
        <f t="shared" si="48"/>
        <v>2.045167524784874</v>
      </c>
      <c r="AX75" s="4438">
        <f t="shared" si="49"/>
        <v>4.1925934258089912</v>
      </c>
      <c r="AY75" s="4438">
        <f t="shared" si="50"/>
        <v>4.4738039604669115</v>
      </c>
      <c r="AZ75" s="4438">
        <f t="shared" si="51"/>
        <v>5.1129188119621851</v>
      </c>
      <c r="BA75" s="4438">
        <f t="shared" si="52"/>
        <v>6.0076796040555669</v>
      </c>
      <c r="BB75" s="4438">
        <f t="shared" si="53"/>
        <v>7.0558279605078154</v>
      </c>
      <c r="BC75" s="4438">
        <f t="shared" si="54"/>
        <v>1.9940383366652523</v>
      </c>
      <c r="BD75" s="4438">
        <f t="shared" si="55"/>
        <v>0</v>
      </c>
      <c r="BE75" s="4438">
        <f t="shared" si="56"/>
        <v>0</v>
      </c>
      <c r="BF75" s="4438">
        <f t="shared" si="57"/>
        <v>0</v>
      </c>
      <c r="BG75" s="4438">
        <f t="shared" si="58"/>
        <v>0</v>
      </c>
      <c r="BH75" s="4438">
        <f t="shared" si="59"/>
        <v>0</v>
      </c>
      <c r="BI75" s="4438">
        <f t="shared" si="60"/>
        <v>0</v>
      </c>
      <c r="BJ75" s="4438">
        <f t="shared" si="61"/>
        <v>3.9113828911510717</v>
      </c>
      <c r="BK75" s="4438">
        <f t="shared" si="62"/>
        <v>0</v>
      </c>
      <c r="BL75" s="4438">
        <f t="shared" si="63"/>
        <v>0</v>
      </c>
      <c r="BM75" s="4438">
        <f t="shared" si="64"/>
        <v>0</v>
      </c>
      <c r="BN75" s="4438">
        <f t="shared" si="65"/>
        <v>0</v>
      </c>
      <c r="BO75" s="4438">
        <f t="shared" si="66"/>
        <v>0</v>
      </c>
      <c r="BP75" s="4438">
        <f t="shared" si="67"/>
        <v>0</v>
      </c>
      <c r="BQ75" s="4438">
        <f t="shared" si="68"/>
        <v>0</v>
      </c>
      <c r="BR75" s="4438">
        <f t="shared" si="69"/>
        <v>0</v>
      </c>
      <c r="BS75" s="4438">
        <f t="shared" si="70"/>
        <v>0</v>
      </c>
      <c r="BT75" s="4438">
        <f t="shared" si="71"/>
        <v>0</v>
      </c>
      <c r="BU75" s="4438">
        <f t="shared" si="72"/>
        <v>0</v>
      </c>
      <c r="BV75" s="4438">
        <f t="shared" si="73"/>
        <v>0</v>
      </c>
      <c r="BW75" s="4438">
        <f t="shared" si="74"/>
        <v>0</v>
      </c>
      <c r="BX75" s="4438">
        <f t="shared" si="75"/>
        <v>0</v>
      </c>
      <c r="BY75" s="4438">
        <f t="shared" si="76"/>
        <v>0</v>
      </c>
      <c r="BZ75" s="4438">
        <f t="shared" si="77"/>
        <v>0</v>
      </c>
      <c r="CA75" s="4438">
        <f t="shared" si="78"/>
        <v>0</v>
      </c>
      <c r="CB75" s="4438">
        <f t="shared" si="79"/>
        <v>0</v>
      </c>
      <c r="CC75" s="4438">
        <f t="shared" si="80"/>
        <v>0</v>
      </c>
      <c r="CD75" s="4438">
        <f t="shared" si="81"/>
        <v>0</v>
      </c>
      <c r="CE75" s="4438">
        <f t="shared" si="82"/>
        <v>0</v>
      </c>
      <c r="CF75" s="4438">
        <f t="shared" si="83"/>
        <v>6.4422777030723539</v>
      </c>
      <c r="CG75" s="4438">
        <f t="shared" si="84"/>
        <v>43.97110178287479</v>
      </c>
      <c r="CH75" s="4438">
        <f t="shared" si="85"/>
        <v>112.35639089286902</v>
      </c>
      <c r="CI75" s="4438">
        <f t="shared" si="86"/>
        <v>177.23933061666915</v>
      </c>
      <c r="CJ75" s="4438">
        <f t="shared" si="87"/>
        <v>228.7315359719403</v>
      </c>
      <c r="CK75" s="4438">
        <f t="shared" si="88"/>
        <v>277.23268382221363</v>
      </c>
    </row>
    <row r="76" spans="1:89" s="3584" customFormat="1" ht="24">
      <c r="A76" s="3578"/>
      <c r="B76" s="3579">
        <v>2030502</v>
      </c>
      <c r="C76" s="3580">
        <v>0.1</v>
      </c>
      <c r="D76" s="3581" t="s">
        <v>695</v>
      </c>
      <c r="E76" s="2689">
        <f>'11.2. ДА за периода'!E76</f>
        <v>7</v>
      </c>
      <c r="F76" s="2757">
        <f>($F27*$C76)/$E$7</f>
        <v>7.5</v>
      </c>
      <c r="G76" s="3066">
        <f>($F27*$C76)+($G27*$C76)/$E$7</f>
        <v>15.9</v>
      </c>
      <c r="H76" s="3066">
        <f>($F27*$C76)+($G27*$C76)+($H27*$C76)/$E$7</f>
        <v>17.400000000000002</v>
      </c>
      <c r="I76" s="3066">
        <f>($F27*$C76)+($G27*$C76)+($H27*$C76)+($I27*$C76)/$E$7</f>
        <v>20.399999999999999</v>
      </c>
      <c r="J76" s="3066">
        <f>($F27*$C76)+($G27*$C76)+($H27*$C76)+($I27*$C76)+($J27*$C76)/$E$7</f>
        <v>25.650000000000002</v>
      </c>
      <c r="K76" s="3582">
        <f>($F27*$C76)+($G27*$C76)+($H27*$C76)+($I27*$C76)+($J27*$C76)+($K27*$C76)/$E$7</f>
        <v>31.8</v>
      </c>
      <c r="L76" s="2689">
        <f>'11.2. ДА за периода'!L76</f>
        <v>0</v>
      </c>
      <c r="M76" s="2757">
        <f>($M27*$C76)/$E$7</f>
        <v>0</v>
      </c>
      <c r="N76" s="3066">
        <f>($M27*$C76)+($N27*$C76)/$E$7</f>
        <v>0</v>
      </c>
      <c r="O76" s="3066">
        <f>($M27*$C76)+($N27*$C76)+($O27*$C76)/$E$7</f>
        <v>0</v>
      </c>
      <c r="P76" s="3066">
        <f>($M27*$C76)+($N27*$C76)+($O27*$C76)+($P27*$C76)/$E$7</f>
        <v>0</v>
      </c>
      <c r="Q76" s="3582">
        <f>($M27*$C76)+($N27*$C76)+($O27*$C76)+($P27*$C76)+($Q27*$C76)/$E$7</f>
        <v>0</v>
      </c>
      <c r="R76" s="3583">
        <f>($M27*$C76)+($N27*$C76)+($O27*$C76)+($P27*$C76)+($Q27*$C76)+($R27*$C76)/$E$7</f>
        <v>0</v>
      </c>
      <c r="S76" s="1087">
        <f>'11.2. ДА за периода'!S76</f>
        <v>0</v>
      </c>
      <c r="T76" s="3042">
        <f>($T27*$C76)/$E$7</f>
        <v>0</v>
      </c>
      <c r="U76" s="3066">
        <f>($T27*$C76)+($U27*$C76)/$E$7</f>
        <v>0</v>
      </c>
      <c r="V76" s="3066">
        <f>($T27*$C76)+($U27*$C76)+($V27*$C76)/$E$7</f>
        <v>0</v>
      </c>
      <c r="W76" s="3066">
        <f>($T27*$C76)+($U27*$C76)+($V27*$C76)+($W27*$C76)/$E$7</f>
        <v>0</v>
      </c>
      <c r="X76" s="3066">
        <f>($T27*$C76)+($U27*$C76)+($V27*$C76)+($W27*$C76)+($X27*$C76)/$E$7</f>
        <v>0</v>
      </c>
      <c r="Y76" s="3583">
        <f>($T27*$C76)+($U27*$C76)+($V27*$C76)+($W27*$C76)+($X27*$C76)+($Y27*$C76)/$E$7</f>
        <v>0</v>
      </c>
      <c r="Z76" s="1087">
        <f>'11.2. ДА за периода'!Z76</f>
        <v>0</v>
      </c>
      <c r="AA76" s="3042">
        <f>(AA27*$C76)/$E$7</f>
        <v>0</v>
      </c>
      <c r="AB76" s="3066">
        <f>(AA27*$C76)+(AB27*$C76)/$E$7</f>
        <v>0</v>
      </c>
      <c r="AC76" s="3066">
        <f>(AA27*$C76)+(AB27*$C76)+(AC27*$C76)/$E$7</f>
        <v>0</v>
      </c>
      <c r="AD76" s="3066">
        <f>(AA27*$C76)+(AB27*$C76)+(AC27*$C76)+(AD27*$C76)/$E$7</f>
        <v>0</v>
      </c>
      <c r="AE76" s="3066">
        <f>(AA27*$C76)+(AB27*$C76)+(AC27*$C76)+(AD27*$C76)+(AE27*$C76)/$E$7</f>
        <v>0</v>
      </c>
      <c r="AF76" s="3582">
        <f>(AA27*$C76)+(AB27*$C76)+(AC27*$C76)+(AD27*$C76)+(AE27*$C76)+(AF27*$C76)/$E$7</f>
        <v>0</v>
      </c>
      <c r="AG76" s="1087">
        <f>'11.2. ДА за периода'!AG76</f>
        <v>0</v>
      </c>
      <c r="AH76" s="3042">
        <f t="shared" si="156"/>
        <v>0</v>
      </c>
      <c r="AI76" s="3066">
        <f t="shared" si="157"/>
        <v>0</v>
      </c>
      <c r="AJ76" s="3066">
        <f t="shared" si="158"/>
        <v>0</v>
      </c>
      <c r="AK76" s="3066">
        <f t="shared" si="159"/>
        <v>0</v>
      </c>
      <c r="AL76" s="3066">
        <f t="shared" si="160"/>
        <v>0</v>
      </c>
      <c r="AM76" s="3582">
        <f t="shared" si="161"/>
        <v>0</v>
      </c>
      <c r="AN76" s="2689">
        <f>'11.2. ДА за периода'!AN76</f>
        <v>0</v>
      </c>
      <c r="AO76" s="2757">
        <f>($AO27*$C76)/$E$7</f>
        <v>0</v>
      </c>
      <c r="AP76" s="3066">
        <f>($AO27*$C76)+($AP27*$C76)/$E$7</f>
        <v>0</v>
      </c>
      <c r="AQ76" s="3066">
        <f>($AO27*$C76)+($AP27*$C76)+($AQ27*$C76)/$E$7</f>
        <v>0</v>
      </c>
      <c r="AR76" s="3066">
        <f>($AO27*$C76)+($AP27*$C76)+($AQ27*$C76)+($AR27*$C76)/$E$7</f>
        <v>0</v>
      </c>
      <c r="AS76" s="3066">
        <f>($AO27*$C76)+($AP27*$C76)+($AQ27*$C76)+($AR27*$C76)+($AS27*$C76)/$E$7</f>
        <v>0</v>
      </c>
      <c r="AT76" s="3583">
        <f>($AO27*$C76)+($AP27*$C76)+($AQ27*$C76)+($AR27*$C76)+($AS27*$C76)+($AT27*$C76)/$E$7</f>
        <v>0</v>
      </c>
      <c r="AU76" s="4422"/>
      <c r="AV76" s="4438">
        <f t="shared" ref="AV76:AV107" si="162">IFERROR(E76/$D$1,0)</f>
        <v>3.5790431683735293</v>
      </c>
      <c r="AW76" s="4438">
        <f t="shared" ref="AW76:AW108" si="163">IFERROR(F76/$D$1,0)</f>
        <v>3.8346891089716388</v>
      </c>
      <c r="AX76" s="4438">
        <f t="shared" ref="AX76:AX108" si="164">IFERROR(G76/$D$1,0)</f>
        <v>8.1295409110198751</v>
      </c>
      <c r="AY76" s="4438">
        <f t="shared" ref="AY76:AY108" si="165">IFERROR(H76/$D$1,0)</f>
        <v>8.8964787328142023</v>
      </c>
      <c r="AZ76" s="4438">
        <f t="shared" ref="AZ76:AZ108" si="166">IFERROR(I76/$D$1,0)</f>
        <v>10.430354376402857</v>
      </c>
      <c r="BA76" s="4438">
        <f t="shared" ref="BA76:BA108" si="167">IFERROR(J76/$D$1,0)</f>
        <v>13.114636752683005</v>
      </c>
      <c r="BB76" s="4438">
        <f t="shared" ref="BB76:BB108" si="168">IFERROR(K76/$D$1,0)</f>
        <v>16.25908182203975</v>
      </c>
      <c r="BC76" s="4438">
        <f t="shared" ref="BC76:BC108" si="169">IFERROR(L76/$D$1,0)</f>
        <v>0</v>
      </c>
      <c r="BD76" s="4438">
        <f t="shared" ref="BD76:BD108" si="170">IFERROR(M76/$D$1,0)</f>
        <v>0</v>
      </c>
      <c r="BE76" s="4438">
        <f t="shared" ref="BE76:BE108" si="171">IFERROR(N76/$D$1,0)</f>
        <v>0</v>
      </c>
      <c r="BF76" s="4438">
        <f t="shared" ref="BF76:BF108" si="172">IFERROR(O76/$D$1,0)</f>
        <v>0</v>
      </c>
      <c r="BG76" s="4438">
        <f t="shared" ref="BG76:BG108" si="173">IFERROR(P76/$D$1,0)</f>
        <v>0</v>
      </c>
      <c r="BH76" s="4438">
        <f t="shared" ref="BH76:BH108" si="174">IFERROR(Q76/$D$1,0)</f>
        <v>0</v>
      </c>
      <c r="BI76" s="4438">
        <f t="shared" ref="BI76:BI108" si="175">IFERROR(R76/$D$1,0)</f>
        <v>0</v>
      </c>
      <c r="BJ76" s="4438">
        <f t="shared" ref="BJ76:BJ108" si="176">IFERROR(S76/$D$1,0)</f>
        <v>0</v>
      </c>
      <c r="BK76" s="4438">
        <f t="shared" ref="BK76:BK108" si="177">IFERROR(T76/$D$1,0)</f>
        <v>0</v>
      </c>
      <c r="BL76" s="4438">
        <f t="shared" ref="BL76:BL108" si="178">IFERROR(U76/$D$1,0)</f>
        <v>0</v>
      </c>
      <c r="BM76" s="4438">
        <f t="shared" ref="BM76:BM108" si="179">IFERROR(V76/$D$1,0)</f>
        <v>0</v>
      </c>
      <c r="BN76" s="4438">
        <f t="shared" ref="BN76:BN108" si="180">IFERROR(W76/$D$1,0)</f>
        <v>0</v>
      </c>
      <c r="BO76" s="4438">
        <f t="shared" ref="BO76:BO108" si="181">IFERROR(X76/$D$1,0)</f>
        <v>0</v>
      </c>
      <c r="BP76" s="4438">
        <f t="shared" ref="BP76:BP108" si="182">IFERROR(Y76/$D$1,0)</f>
        <v>0</v>
      </c>
      <c r="BQ76" s="4438">
        <f t="shared" ref="BQ76:BQ108" si="183">IFERROR(Z76/$D$1,0)</f>
        <v>0</v>
      </c>
      <c r="BR76" s="4438">
        <f t="shared" ref="BR76:BR108" si="184">IFERROR(AA76/$D$1,0)</f>
        <v>0</v>
      </c>
      <c r="BS76" s="4438">
        <f t="shared" ref="BS76:BS108" si="185">IFERROR(AB76/$D$1,0)</f>
        <v>0</v>
      </c>
      <c r="BT76" s="4438">
        <f t="shared" ref="BT76:BT108" si="186">IFERROR(AC76/$D$1,0)</f>
        <v>0</v>
      </c>
      <c r="BU76" s="4438">
        <f t="shared" ref="BU76:BU108" si="187">IFERROR(AD76/$D$1,0)</f>
        <v>0</v>
      </c>
      <c r="BV76" s="4438">
        <f t="shared" ref="BV76:BV108" si="188">IFERROR(AE76/$D$1,0)</f>
        <v>0</v>
      </c>
      <c r="BW76" s="4438">
        <f t="shared" ref="BW76:BW108" si="189">IFERROR(AF76/$D$1,0)</f>
        <v>0</v>
      </c>
      <c r="BX76" s="4438">
        <f t="shared" ref="BX76:BX108" si="190">IFERROR(AG76/$D$1,0)</f>
        <v>0</v>
      </c>
      <c r="BY76" s="4438">
        <f t="shared" ref="BY76:BY108" si="191">IFERROR(AH76/$D$1,0)</f>
        <v>0</v>
      </c>
      <c r="BZ76" s="4438">
        <f t="shared" ref="BZ76:BZ108" si="192">IFERROR(AI76/$D$1,0)</f>
        <v>0</v>
      </c>
      <c r="CA76" s="4438">
        <f t="shared" ref="CA76:CA108" si="193">IFERROR(AJ76/$D$1,0)</f>
        <v>0</v>
      </c>
      <c r="CB76" s="4438">
        <f t="shared" ref="CB76:CB108" si="194">IFERROR(AK76/$D$1,0)</f>
        <v>0</v>
      </c>
      <c r="CC76" s="4438">
        <f t="shared" ref="CC76:CC108" si="195">IFERROR(AL76/$D$1,0)</f>
        <v>0</v>
      </c>
      <c r="CD76" s="4438">
        <f t="shared" ref="CD76:CD108" si="196">IFERROR(AM76/$D$1,0)</f>
        <v>0</v>
      </c>
      <c r="CE76" s="4438">
        <f t="shared" ref="CE76:CE108" si="197">IFERROR(AN76/$D$1,0)</f>
        <v>0</v>
      </c>
      <c r="CF76" s="4438">
        <f t="shared" ref="CF76:CF108" si="198">IFERROR(AO76/$D$1,0)</f>
        <v>0</v>
      </c>
      <c r="CG76" s="4438">
        <f t="shared" ref="CG76:CG108" si="199">IFERROR(AP76/$D$1,0)</f>
        <v>0</v>
      </c>
      <c r="CH76" s="4438">
        <f t="shared" ref="CH76:CH108" si="200">IFERROR(AQ76/$D$1,0)</f>
        <v>0</v>
      </c>
      <c r="CI76" s="4438">
        <f t="shared" ref="CI76:CI108" si="201">IFERROR(AR76/$D$1,0)</f>
        <v>0</v>
      </c>
      <c r="CJ76" s="4438">
        <f t="shared" ref="CJ76:CJ108" si="202">IFERROR(AS76/$D$1,0)</f>
        <v>0</v>
      </c>
      <c r="CK76" s="4438">
        <f t="shared" ref="CK76:CK108" si="203">IFERROR(AT76/$D$1,0)</f>
        <v>0</v>
      </c>
    </row>
    <row r="77" spans="1:89" s="67" customFormat="1">
      <c r="A77" s="2755"/>
      <c r="B77" s="3574">
        <v>2030503</v>
      </c>
      <c r="C77" s="3557">
        <v>0.1</v>
      </c>
      <c r="D77" s="2756" t="s">
        <v>713</v>
      </c>
      <c r="E77" s="2689">
        <f>'11.2. ДА за периода'!E77</f>
        <v>0.1</v>
      </c>
      <c r="F77" s="2757">
        <f>($F28*$C77)/$E$7</f>
        <v>5</v>
      </c>
      <c r="G77" s="2758">
        <f>($F28*$C77)+($G28*$C77)/$E$7</f>
        <v>10.1</v>
      </c>
      <c r="H77" s="2758">
        <f>($F28*$C77)+($G28*$C77)+($H28*$C77)/$E$7</f>
        <v>11.7</v>
      </c>
      <c r="I77" s="2758">
        <f>($F28*$C77)+($G28*$C77)+($H28*$C77)+($I28*$C77)/$E$7</f>
        <v>13.299999999999999</v>
      </c>
      <c r="J77" s="2758">
        <f>($F28*$C77)+($G28*$C77)+($H28*$C77)+($I28*$C77)+($J28*$C77)/$E$7</f>
        <v>17.799999999999997</v>
      </c>
      <c r="K77" s="2759">
        <f>($F28*$C77)+($G28*$C77)+($H28*$C77)+($I28*$C77)+($J28*$C77)+($K28*$C77)/$E$7</f>
        <v>23</v>
      </c>
      <c r="L77" s="2689">
        <f>'11.2. ДА за периода'!L77</f>
        <v>0</v>
      </c>
      <c r="M77" s="2760">
        <f>($M28*$C77)/$E$7</f>
        <v>0.1</v>
      </c>
      <c r="N77" s="2758">
        <f>($M28*$C77)+($N28*$C77)/$E$7</f>
        <v>0.2</v>
      </c>
      <c r="O77" s="2758">
        <f>($M28*$C77)+($N28*$C77)+($O28*$C77)/$E$7</f>
        <v>0.2</v>
      </c>
      <c r="P77" s="2758">
        <f>($M28*$C77)+($N28*$C77)+($O28*$C77)+($P28*$C77)/$E$7</f>
        <v>0.2</v>
      </c>
      <c r="Q77" s="2759">
        <f>($M28*$C77)+($N28*$C77)+($O28*$C77)+($P28*$C77)+($Q28*$C77)/$E$7</f>
        <v>0.2</v>
      </c>
      <c r="R77" s="2761">
        <f>($M28*$C77)+($N28*$C77)+($O28*$C77)+($P28*$C77)+($Q28*$C77)+($R28*$C77)/$E$7</f>
        <v>0.2</v>
      </c>
      <c r="S77" s="1087">
        <f>'11.2. ДА за периода'!S77</f>
        <v>0</v>
      </c>
      <c r="T77" s="2762">
        <f>($T28*$C77)/$E$7</f>
        <v>0.5</v>
      </c>
      <c r="U77" s="2758">
        <f>($T28*$C77)+($U28*$C77)/$E$7</f>
        <v>1</v>
      </c>
      <c r="V77" s="2758">
        <f>($T28*$C77)+($U28*$C77)+($V28*$C77)/$E$7</f>
        <v>1</v>
      </c>
      <c r="W77" s="2758">
        <f>($T28*$C77)+($U28*$C77)+($V28*$C77)+($W28*$C77)/$E$7</f>
        <v>1</v>
      </c>
      <c r="X77" s="2758">
        <f>($T28*$C77)+($U28*$C77)+($V28*$C77)+($W28*$C77)+($X28*$C77)/$E$7</f>
        <v>1</v>
      </c>
      <c r="Y77" s="2761">
        <f>($T28*$C77)+($U28*$C77)+($V28*$C77)+($W28*$C77)+($X28*$C77)+($Y28*$C77)/$E$7</f>
        <v>1</v>
      </c>
      <c r="Z77" s="1087">
        <f>'11.2. ДА за периода'!Z77</f>
        <v>0</v>
      </c>
      <c r="AA77" s="2762">
        <f t="shared" ref="AA77:AA78" si="204">(AA28*$C77)/$E$7</f>
        <v>0</v>
      </c>
      <c r="AB77" s="2758">
        <f t="shared" ref="AB77:AB78" si="205">(AA28*$C77)+(AB28*$C77)/$E$7</f>
        <v>0</v>
      </c>
      <c r="AC77" s="2758">
        <f t="shared" ref="AC77:AC78" si="206">(AA28*$C77)+(AB28*$C77)+(AC28*$C77)/$E$7</f>
        <v>0</v>
      </c>
      <c r="AD77" s="2758">
        <f t="shared" ref="AD77:AD78" si="207">(AA28*$C77)+(AB28*$C77)+(AC28*$C77)+(AD28*$C77)/$E$7</f>
        <v>0</v>
      </c>
      <c r="AE77" s="2758">
        <f t="shared" ref="AE77:AE78" si="208">(AA28*$C77)+(AB28*$C77)+(AC28*$C77)+(AD28*$C77)+(AE28*$C77)/$E$7</f>
        <v>0</v>
      </c>
      <c r="AF77" s="2759">
        <f t="shared" ref="AF77:AF78" si="209">(AA28*$C77)+(AB28*$C77)+(AC28*$C77)+(AD28*$C77)+(AE28*$C77)+(AF28*$C77)/$E$7</f>
        <v>0</v>
      </c>
      <c r="AG77" s="1087">
        <f>'11.2. ДА за периода'!AG77</f>
        <v>0</v>
      </c>
      <c r="AH77" s="2762">
        <f t="shared" si="156"/>
        <v>0</v>
      </c>
      <c r="AI77" s="2758">
        <f t="shared" si="157"/>
        <v>0</v>
      </c>
      <c r="AJ77" s="2758">
        <f t="shared" si="158"/>
        <v>0</v>
      </c>
      <c r="AK77" s="2758">
        <f t="shared" si="159"/>
        <v>0</v>
      </c>
      <c r="AL77" s="2758">
        <f t="shared" si="160"/>
        <v>0</v>
      </c>
      <c r="AM77" s="2759">
        <f t="shared" si="161"/>
        <v>0</v>
      </c>
      <c r="AN77" s="2689">
        <f>'11.2. ДА за периода'!AN77</f>
        <v>0</v>
      </c>
      <c r="AO77" s="2760">
        <f>($AO28*$C77)/$E$7</f>
        <v>0</v>
      </c>
      <c r="AP77" s="2758">
        <f>($AO28*$C77)+($AP28*$C77)/$E$7</f>
        <v>0</v>
      </c>
      <c r="AQ77" s="2758">
        <f>($AO28*$C77)+($AP28*$C77)+($AQ28*$C77)/$E$7</f>
        <v>0</v>
      </c>
      <c r="AR77" s="2758">
        <f>($AO28*$C77)+($AP28*$C77)+($AQ28*$C77)+($AR28*$C77)/$E$7</f>
        <v>0</v>
      </c>
      <c r="AS77" s="2758">
        <f>($AO28*$C77)+($AP28*$C77)+($AQ28*$C77)+($AR28*$C77)+($AS28*$C77)/$E$7</f>
        <v>0</v>
      </c>
      <c r="AT77" s="2761">
        <f>($AO28*$C77)+($AP28*$C77)+($AQ28*$C77)+($AR28*$C77)+($AS28*$C77)+($AT28*$C77)/$E$7</f>
        <v>0</v>
      </c>
      <c r="AU77" s="4422"/>
      <c r="AV77" s="4438">
        <f t="shared" si="162"/>
        <v>5.1129188119621853E-2</v>
      </c>
      <c r="AW77" s="4438">
        <f t="shared" si="163"/>
        <v>2.5564594059810926</v>
      </c>
      <c r="AX77" s="4438">
        <f t="shared" si="164"/>
        <v>5.1640480000818068</v>
      </c>
      <c r="AY77" s="4438">
        <f t="shared" si="165"/>
        <v>5.9821150099957556</v>
      </c>
      <c r="AZ77" s="4438">
        <f t="shared" si="166"/>
        <v>6.8001820199097054</v>
      </c>
      <c r="BA77" s="4438">
        <f t="shared" si="167"/>
        <v>9.1009954852926871</v>
      </c>
      <c r="BB77" s="4438">
        <f t="shared" si="168"/>
        <v>11.759713267513025</v>
      </c>
      <c r="BC77" s="4438">
        <f t="shared" si="169"/>
        <v>0</v>
      </c>
      <c r="BD77" s="4438">
        <f t="shared" si="170"/>
        <v>5.1129188119621853E-2</v>
      </c>
      <c r="BE77" s="4438">
        <f t="shared" si="171"/>
        <v>0.10225837623924371</v>
      </c>
      <c r="BF77" s="4438">
        <f t="shared" si="172"/>
        <v>0.10225837623924371</v>
      </c>
      <c r="BG77" s="4438">
        <f t="shared" si="173"/>
        <v>0.10225837623924371</v>
      </c>
      <c r="BH77" s="4438">
        <f t="shared" si="174"/>
        <v>0.10225837623924371</v>
      </c>
      <c r="BI77" s="4438">
        <f t="shared" si="175"/>
        <v>0.10225837623924371</v>
      </c>
      <c r="BJ77" s="4438">
        <f t="shared" si="176"/>
        <v>0</v>
      </c>
      <c r="BK77" s="4438">
        <f t="shared" si="177"/>
        <v>0.25564594059810924</v>
      </c>
      <c r="BL77" s="4438">
        <f t="shared" si="178"/>
        <v>0.51129188119621849</v>
      </c>
      <c r="BM77" s="4438">
        <f t="shared" si="179"/>
        <v>0.51129188119621849</v>
      </c>
      <c r="BN77" s="4438">
        <f t="shared" si="180"/>
        <v>0.51129188119621849</v>
      </c>
      <c r="BO77" s="4438">
        <f t="shared" si="181"/>
        <v>0.51129188119621849</v>
      </c>
      <c r="BP77" s="4438">
        <f t="shared" si="182"/>
        <v>0.51129188119621849</v>
      </c>
      <c r="BQ77" s="4438">
        <f t="shared" si="183"/>
        <v>0</v>
      </c>
      <c r="BR77" s="4438">
        <f t="shared" si="184"/>
        <v>0</v>
      </c>
      <c r="BS77" s="4438">
        <f t="shared" si="185"/>
        <v>0</v>
      </c>
      <c r="BT77" s="4438">
        <f t="shared" si="186"/>
        <v>0</v>
      </c>
      <c r="BU77" s="4438">
        <f t="shared" si="187"/>
        <v>0</v>
      </c>
      <c r="BV77" s="4438">
        <f t="shared" si="188"/>
        <v>0</v>
      </c>
      <c r="BW77" s="4438">
        <f t="shared" si="189"/>
        <v>0</v>
      </c>
      <c r="BX77" s="4438">
        <f t="shared" si="190"/>
        <v>0</v>
      </c>
      <c r="BY77" s="4438">
        <f t="shared" si="191"/>
        <v>0</v>
      </c>
      <c r="BZ77" s="4438">
        <f t="shared" si="192"/>
        <v>0</v>
      </c>
      <c r="CA77" s="4438">
        <f t="shared" si="193"/>
        <v>0</v>
      </c>
      <c r="CB77" s="4438">
        <f t="shared" si="194"/>
        <v>0</v>
      </c>
      <c r="CC77" s="4438">
        <f t="shared" si="195"/>
        <v>0</v>
      </c>
      <c r="CD77" s="4438">
        <f t="shared" si="196"/>
        <v>0</v>
      </c>
      <c r="CE77" s="4438">
        <f t="shared" si="197"/>
        <v>0</v>
      </c>
      <c r="CF77" s="4438">
        <f t="shared" si="198"/>
        <v>0</v>
      </c>
      <c r="CG77" s="4438">
        <f t="shared" si="199"/>
        <v>0</v>
      </c>
      <c r="CH77" s="4438">
        <f t="shared" si="200"/>
        <v>0</v>
      </c>
      <c r="CI77" s="4438">
        <f t="shared" si="201"/>
        <v>0</v>
      </c>
      <c r="CJ77" s="4438">
        <f t="shared" si="202"/>
        <v>0</v>
      </c>
      <c r="CK77" s="4438">
        <f t="shared" si="203"/>
        <v>0</v>
      </c>
    </row>
    <row r="78" spans="1:89">
      <c r="A78" s="2701"/>
      <c r="B78" s="3573">
        <v>20306</v>
      </c>
      <c r="C78" s="3546">
        <v>0.1</v>
      </c>
      <c r="D78" s="2704" t="s">
        <v>409</v>
      </c>
      <c r="E78" s="2689">
        <f>'11.2. ДА за периода'!E78</f>
        <v>1.9000000000000001</v>
      </c>
      <c r="F78" s="2617">
        <f>($F29*$C78)/$E$7</f>
        <v>0.15000000000000002</v>
      </c>
      <c r="G78" s="1198">
        <f>($F29*$C78)+($G29*$C78)/$E$7</f>
        <v>0.30000000000000004</v>
      </c>
      <c r="H78" s="1198">
        <f>($F29*$C78)+($G29*$C78)+($H29*$C78)/$E$7</f>
        <v>0.30000000000000004</v>
      </c>
      <c r="I78" s="1198">
        <f>($F29*$C78)+($G29*$C78)+($H29*$C78)+($I29*$C78)/$E$7</f>
        <v>0.30000000000000004</v>
      </c>
      <c r="J78" s="1198">
        <f>($F29*$C78)+($G29*$C78)+($H29*$C78)+($I29*$C78)+($J29*$C78)/$E$7</f>
        <v>0.30000000000000004</v>
      </c>
      <c r="K78" s="2623">
        <f>($F29*$C78)+($G29*$C78)+($H29*$C78)+($I29*$C78)+($J29*$C78)+($K29*$C78)/$E$7</f>
        <v>0.30000000000000004</v>
      </c>
      <c r="L78" s="2689">
        <f>'11.2. ДА за периода'!L78</f>
        <v>0</v>
      </c>
      <c r="M78" s="1202">
        <f>($M29*$C78)/$E$7</f>
        <v>0</v>
      </c>
      <c r="N78" s="1198">
        <f>($M29*$C78)+($N29*$C78)/$E$7</f>
        <v>0.2</v>
      </c>
      <c r="O78" s="1198">
        <f>($M29*$C78)+($N29*$C78)+($O29*$C78)/$E$7</f>
        <v>0.4</v>
      </c>
      <c r="P78" s="1198">
        <f>($M29*$C78)+($N29*$C78)+($O29*$C78)+($P29*$C78)/$E$7</f>
        <v>0.4</v>
      </c>
      <c r="Q78" s="2623">
        <f>($M29*$C78)+($N29*$C78)+($O29*$C78)+($P29*$C78)+($Q29*$C78)/$E$7</f>
        <v>0.4</v>
      </c>
      <c r="R78" s="1203">
        <f>($M29*$C78)+($N29*$C78)+($O29*$C78)+($P29*$C78)+($Q29*$C78)+($R29*$C78)/$E$7</f>
        <v>0.4</v>
      </c>
      <c r="S78" s="1087">
        <f>'11.2. ДА за периода'!S78</f>
        <v>0</v>
      </c>
      <c r="T78" s="883">
        <f>($T29*$C78)/$E$7</f>
        <v>0.05</v>
      </c>
      <c r="U78" s="1198">
        <f>($T29*$C78)+($U29*$C78)/$E$7</f>
        <v>0.1</v>
      </c>
      <c r="V78" s="1198">
        <f>($T29*$C78)+($U29*$C78)+($V29*$C78)/$E$7</f>
        <v>0.1</v>
      </c>
      <c r="W78" s="1198">
        <f>($T29*$C78)+($U29*$C78)+($V29*$C78)+($W29*$C78)/$E$7</f>
        <v>0.1</v>
      </c>
      <c r="X78" s="1198">
        <f>($T29*$C78)+($U29*$C78)+($V29*$C78)+($W29*$C78)+($X29*$C78)/$E$7</f>
        <v>0.1</v>
      </c>
      <c r="Y78" s="1203">
        <f>($T29*$C78)+($U29*$C78)+($V29*$C78)+($W29*$C78)+($X29*$C78)+($Y29*$C78)/$E$7</f>
        <v>0.1</v>
      </c>
      <c r="Z78" s="1087">
        <f>'11.2. ДА за периода'!Z78</f>
        <v>0</v>
      </c>
      <c r="AA78" s="883">
        <f t="shared" si="204"/>
        <v>0</v>
      </c>
      <c r="AB78" s="1198">
        <f t="shared" si="205"/>
        <v>0</v>
      </c>
      <c r="AC78" s="1198">
        <f t="shared" si="206"/>
        <v>0</v>
      </c>
      <c r="AD78" s="1198">
        <f t="shared" si="207"/>
        <v>0</v>
      </c>
      <c r="AE78" s="1198">
        <f t="shared" si="208"/>
        <v>0</v>
      </c>
      <c r="AF78" s="2623">
        <f t="shared" si="209"/>
        <v>0</v>
      </c>
      <c r="AG78" s="1087">
        <f>'11.2. ДА за периода'!AG78</f>
        <v>0</v>
      </c>
      <c r="AH78" s="883">
        <f t="shared" si="156"/>
        <v>0</v>
      </c>
      <c r="AI78" s="1198">
        <f t="shared" si="157"/>
        <v>0</v>
      </c>
      <c r="AJ78" s="1198">
        <f t="shared" si="158"/>
        <v>0</v>
      </c>
      <c r="AK78" s="1198">
        <f t="shared" si="159"/>
        <v>0</v>
      </c>
      <c r="AL78" s="1198">
        <f t="shared" si="160"/>
        <v>0</v>
      </c>
      <c r="AM78" s="2623">
        <f t="shared" si="161"/>
        <v>0</v>
      </c>
      <c r="AN78" s="1087">
        <f>'11.2. ДА за периода'!AN78</f>
        <v>0</v>
      </c>
      <c r="AO78" s="1202">
        <f>($AO29*$C78)/$E$7</f>
        <v>0</v>
      </c>
      <c r="AP78" s="1198">
        <f>($AO29*$C78)+($AP29*$C78)/$E$7</f>
        <v>2.6500000000000004</v>
      </c>
      <c r="AQ78" s="1198">
        <f>($AO29*$C78)+($AP29*$C78)+($AQ29*$C78)/$E$7</f>
        <v>5.7000000000000011</v>
      </c>
      <c r="AR78" s="1198">
        <f>($AO29*$C78)+($AP29*$C78)+($AQ29*$C78)+($AR29*$C78)/$E$7</f>
        <v>6.5000000000000009</v>
      </c>
      <c r="AS78" s="1198">
        <f>($AO29*$C78)+($AP29*$C78)+($AQ29*$C78)+($AR29*$C78)+($AS29*$C78)/$E$7</f>
        <v>7.3000000000000007</v>
      </c>
      <c r="AT78" s="1203">
        <f>($AO29*$C78)+($AP29*$C78)+($AQ29*$C78)+($AR29*$C78)+($AS29*$C78)+($AT29*$C78)/$E$7</f>
        <v>8.1</v>
      </c>
      <c r="AU78" s="4422"/>
      <c r="AV78" s="4438">
        <f t="shared" si="162"/>
        <v>0.97145457427281523</v>
      </c>
      <c r="AW78" s="4438">
        <f t="shared" si="163"/>
        <v>7.669378217943279E-2</v>
      </c>
      <c r="AX78" s="4438">
        <f t="shared" si="164"/>
        <v>0.15338756435886558</v>
      </c>
      <c r="AY78" s="4438">
        <f t="shared" si="165"/>
        <v>0.15338756435886558</v>
      </c>
      <c r="AZ78" s="4438">
        <f t="shared" si="166"/>
        <v>0.15338756435886558</v>
      </c>
      <c r="BA78" s="4438">
        <f t="shared" si="167"/>
        <v>0.15338756435886558</v>
      </c>
      <c r="BB78" s="4438">
        <f t="shared" si="168"/>
        <v>0.15338756435886558</v>
      </c>
      <c r="BC78" s="4438">
        <f t="shared" si="169"/>
        <v>0</v>
      </c>
      <c r="BD78" s="4438">
        <f t="shared" si="170"/>
        <v>0</v>
      </c>
      <c r="BE78" s="4438">
        <f t="shared" si="171"/>
        <v>0.10225837623924371</v>
      </c>
      <c r="BF78" s="4438">
        <f t="shared" si="172"/>
        <v>0.20451675247848741</v>
      </c>
      <c r="BG78" s="4438">
        <f t="shared" si="173"/>
        <v>0.20451675247848741</v>
      </c>
      <c r="BH78" s="4438">
        <f t="shared" si="174"/>
        <v>0.20451675247848741</v>
      </c>
      <c r="BI78" s="4438">
        <f t="shared" si="175"/>
        <v>0.20451675247848741</v>
      </c>
      <c r="BJ78" s="4438">
        <f t="shared" si="176"/>
        <v>0</v>
      </c>
      <c r="BK78" s="4438">
        <f t="shared" si="177"/>
        <v>2.5564594059810927E-2</v>
      </c>
      <c r="BL78" s="4438">
        <f t="shared" si="178"/>
        <v>5.1129188119621853E-2</v>
      </c>
      <c r="BM78" s="4438">
        <f t="shared" si="179"/>
        <v>5.1129188119621853E-2</v>
      </c>
      <c r="BN78" s="4438">
        <f t="shared" si="180"/>
        <v>5.1129188119621853E-2</v>
      </c>
      <c r="BO78" s="4438">
        <f t="shared" si="181"/>
        <v>5.1129188119621853E-2</v>
      </c>
      <c r="BP78" s="4438">
        <f t="shared" si="182"/>
        <v>5.1129188119621853E-2</v>
      </c>
      <c r="BQ78" s="4438">
        <f t="shared" si="183"/>
        <v>0</v>
      </c>
      <c r="BR78" s="4438">
        <f t="shared" si="184"/>
        <v>0</v>
      </c>
      <c r="BS78" s="4438">
        <f t="shared" si="185"/>
        <v>0</v>
      </c>
      <c r="BT78" s="4438">
        <f t="shared" si="186"/>
        <v>0</v>
      </c>
      <c r="BU78" s="4438">
        <f t="shared" si="187"/>
        <v>0</v>
      </c>
      <c r="BV78" s="4438">
        <f t="shared" si="188"/>
        <v>0</v>
      </c>
      <c r="BW78" s="4438">
        <f t="shared" si="189"/>
        <v>0</v>
      </c>
      <c r="BX78" s="4438">
        <f t="shared" si="190"/>
        <v>0</v>
      </c>
      <c r="BY78" s="4438">
        <f t="shared" si="191"/>
        <v>0</v>
      </c>
      <c r="BZ78" s="4438">
        <f t="shared" si="192"/>
        <v>0</v>
      </c>
      <c r="CA78" s="4438">
        <f t="shared" si="193"/>
        <v>0</v>
      </c>
      <c r="CB78" s="4438">
        <f t="shared" si="194"/>
        <v>0</v>
      </c>
      <c r="CC78" s="4438">
        <f t="shared" si="195"/>
        <v>0</v>
      </c>
      <c r="CD78" s="4438">
        <f t="shared" si="196"/>
        <v>0</v>
      </c>
      <c r="CE78" s="4438">
        <f t="shared" si="197"/>
        <v>0</v>
      </c>
      <c r="CF78" s="4438">
        <f t="shared" si="198"/>
        <v>0</v>
      </c>
      <c r="CG78" s="4438">
        <f t="shared" si="199"/>
        <v>1.3549234851699792</v>
      </c>
      <c r="CH78" s="4438">
        <f t="shared" si="200"/>
        <v>2.9143637228184458</v>
      </c>
      <c r="CI78" s="4438">
        <f t="shared" si="201"/>
        <v>3.3233972277754207</v>
      </c>
      <c r="CJ78" s="4438">
        <f t="shared" si="202"/>
        <v>3.7324307327323956</v>
      </c>
      <c r="CK78" s="4438">
        <f t="shared" si="203"/>
        <v>4.1414642376893696</v>
      </c>
    </row>
    <row r="79" spans="1:89" ht="14.25" customHeight="1">
      <c r="A79" s="2694">
        <v>4</v>
      </c>
      <c r="B79" s="3572">
        <v>204</v>
      </c>
      <c r="C79" s="3545"/>
      <c r="D79" s="2712" t="s">
        <v>211</v>
      </c>
      <c r="E79" s="2745">
        <f>E80+E83+E92+E93</f>
        <v>6.86</v>
      </c>
      <c r="F79" s="2746">
        <f t="shared" ref="F79:AT79" si="210">F80+F83+F92+F93</f>
        <v>8.1999999999999993</v>
      </c>
      <c r="G79" s="2747">
        <f t="shared" si="210"/>
        <v>78.187147879999998</v>
      </c>
      <c r="H79" s="2747">
        <f t="shared" si="210"/>
        <v>257.83859152000002</v>
      </c>
      <c r="I79" s="2747">
        <f t="shared" si="210"/>
        <v>491.91718304000005</v>
      </c>
      <c r="J79" s="2747">
        <f t="shared" si="210"/>
        <v>614.03147880000006</v>
      </c>
      <c r="K79" s="2748">
        <f t="shared" si="210"/>
        <v>625.93147880000015</v>
      </c>
      <c r="L79" s="2749">
        <f t="shared" si="210"/>
        <v>0.23</v>
      </c>
      <c r="M79" s="2746">
        <f t="shared" si="210"/>
        <v>0.30000000000000004</v>
      </c>
      <c r="N79" s="2747">
        <f t="shared" si="210"/>
        <v>11.362683600000002</v>
      </c>
      <c r="O79" s="2747">
        <f t="shared" si="210"/>
        <v>41.400734399999997</v>
      </c>
      <c r="P79" s="2747">
        <f t="shared" si="210"/>
        <v>79.401468800000004</v>
      </c>
      <c r="Q79" s="2747">
        <f t="shared" si="210"/>
        <v>98.326836000000014</v>
      </c>
      <c r="R79" s="2750">
        <f t="shared" si="210"/>
        <v>98.776836000000017</v>
      </c>
      <c r="S79" s="2749">
        <f t="shared" si="210"/>
        <v>1</v>
      </c>
      <c r="T79" s="2751">
        <f t="shared" si="210"/>
        <v>0.1</v>
      </c>
      <c r="U79" s="2747">
        <f t="shared" si="210"/>
        <v>21.237790879999999</v>
      </c>
      <c r="V79" s="2747">
        <f t="shared" si="210"/>
        <v>84.271163519999988</v>
      </c>
      <c r="W79" s="2747">
        <f t="shared" si="210"/>
        <v>168.60232703999998</v>
      </c>
      <c r="X79" s="2747">
        <f t="shared" si="210"/>
        <v>210.97790879999997</v>
      </c>
      <c r="Y79" s="2750">
        <f t="shared" si="210"/>
        <v>211.01790879999999</v>
      </c>
      <c r="Z79" s="2749">
        <f t="shared" si="210"/>
        <v>0</v>
      </c>
      <c r="AA79" s="2751">
        <f t="shared" si="210"/>
        <v>0</v>
      </c>
      <c r="AB79" s="2747">
        <f t="shared" si="210"/>
        <v>0</v>
      </c>
      <c r="AC79" s="2747">
        <f t="shared" si="210"/>
        <v>0</v>
      </c>
      <c r="AD79" s="2747">
        <f t="shared" si="210"/>
        <v>0</v>
      </c>
      <c r="AE79" s="2747">
        <f t="shared" si="210"/>
        <v>0</v>
      </c>
      <c r="AF79" s="2750">
        <f t="shared" si="210"/>
        <v>0</v>
      </c>
      <c r="AG79" s="2749">
        <f t="shared" si="210"/>
        <v>0</v>
      </c>
      <c r="AH79" s="2751">
        <f t="shared" si="210"/>
        <v>0</v>
      </c>
      <c r="AI79" s="2747">
        <f t="shared" si="210"/>
        <v>0</v>
      </c>
      <c r="AJ79" s="2747">
        <f t="shared" si="210"/>
        <v>0</v>
      </c>
      <c r="AK79" s="2747">
        <f t="shared" si="210"/>
        <v>0</v>
      </c>
      <c r="AL79" s="2747">
        <f t="shared" si="210"/>
        <v>0</v>
      </c>
      <c r="AM79" s="2750">
        <f t="shared" si="210"/>
        <v>0</v>
      </c>
      <c r="AN79" s="2749">
        <f t="shared" si="210"/>
        <v>0</v>
      </c>
      <c r="AO79" s="2751">
        <f t="shared" si="210"/>
        <v>0</v>
      </c>
      <c r="AP79" s="2747">
        <f t="shared" si="210"/>
        <v>0</v>
      </c>
      <c r="AQ79" s="2747">
        <f t="shared" si="210"/>
        <v>0</v>
      </c>
      <c r="AR79" s="2747">
        <f t="shared" si="210"/>
        <v>0</v>
      </c>
      <c r="AS79" s="2747">
        <f t="shared" si="210"/>
        <v>0</v>
      </c>
      <c r="AT79" s="2750">
        <f t="shared" si="210"/>
        <v>0</v>
      </c>
      <c r="AU79" s="4422"/>
      <c r="AV79" s="4438">
        <f t="shared" si="162"/>
        <v>3.5074623050060589</v>
      </c>
      <c r="AW79" s="4438">
        <f t="shared" si="163"/>
        <v>4.1925934258089912</v>
      </c>
      <c r="AX79" s="4438">
        <f t="shared" si="164"/>
        <v>39.976453924932123</v>
      </c>
      <c r="AY79" s="4438">
        <f t="shared" si="165"/>
        <v>131.83077850324415</v>
      </c>
      <c r="AZ79" s="4438">
        <f t="shared" si="166"/>
        <v>251.51326190926616</v>
      </c>
      <c r="BA79" s="4438">
        <f t="shared" si="167"/>
        <v>313.94930990934796</v>
      </c>
      <c r="BB79" s="4438">
        <f t="shared" si="168"/>
        <v>320.03368329558305</v>
      </c>
      <c r="BC79" s="4438">
        <f t="shared" si="169"/>
        <v>0.11759713267513026</v>
      </c>
      <c r="BD79" s="4438">
        <f t="shared" si="170"/>
        <v>0.15338756435886558</v>
      </c>
      <c r="BE79" s="4438">
        <f t="shared" si="171"/>
        <v>5.8096478732814214</v>
      </c>
      <c r="BF79" s="4438">
        <f t="shared" si="172"/>
        <v>21.167859374280994</v>
      </c>
      <c r="BG79" s="4438">
        <f t="shared" si="173"/>
        <v>40.597326352494854</v>
      </c>
      <c r="BH79" s="4438">
        <f t="shared" si="174"/>
        <v>50.273712950512071</v>
      </c>
      <c r="BI79" s="4438">
        <f t="shared" si="175"/>
        <v>50.503794297050369</v>
      </c>
      <c r="BJ79" s="4438">
        <f t="shared" si="176"/>
        <v>0.51129188119621849</v>
      </c>
      <c r="BK79" s="4438">
        <f t="shared" si="177"/>
        <v>5.1129188119621853E-2</v>
      </c>
      <c r="BL79" s="4438">
        <f t="shared" si="178"/>
        <v>10.858710051487092</v>
      </c>
      <c r="BM79" s="4438">
        <f t="shared" si="179"/>
        <v>43.087161726734934</v>
      </c>
      <c r="BN79" s="4438">
        <f t="shared" si="180"/>
        <v>86.205000966341643</v>
      </c>
      <c r="BO79" s="4438">
        <f t="shared" si="181"/>
        <v>107.8712918811962</v>
      </c>
      <c r="BP79" s="4438">
        <f t="shared" si="182"/>
        <v>107.89174355644407</v>
      </c>
      <c r="BQ79" s="4438">
        <f t="shared" si="183"/>
        <v>0</v>
      </c>
      <c r="BR79" s="4438">
        <f t="shared" si="184"/>
        <v>0</v>
      </c>
      <c r="BS79" s="4438">
        <f t="shared" si="185"/>
        <v>0</v>
      </c>
      <c r="BT79" s="4438">
        <f t="shared" si="186"/>
        <v>0</v>
      </c>
      <c r="BU79" s="4438">
        <f t="shared" si="187"/>
        <v>0</v>
      </c>
      <c r="BV79" s="4438">
        <f t="shared" si="188"/>
        <v>0</v>
      </c>
      <c r="BW79" s="4438">
        <f t="shared" si="189"/>
        <v>0</v>
      </c>
      <c r="BX79" s="4438">
        <f t="shared" si="190"/>
        <v>0</v>
      </c>
      <c r="BY79" s="4438">
        <f t="shared" si="191"/>
        <v>0</v>
      </c>
      <c r="BZ79" s="4438">
        <f t="shared" si="192"/>
        <v>0</v>
      </c>
      <c r="CA79" s="4438">
        <f t="shared" si="193"/>
        <v>0</v>
      </c>
      <c r="CB79" s="4438">
        <f t="shared" si="194"/>
        <v>0</v>
      </c>
      <c r="CC79" s="4438">
        <f t="shared" si="195"/>
        <v>0</v>
      </c>
      <c r="CD79" s="4438">
        <f t="shared" si="196"/>
        <v>0</v>
      </c>
      <c r="CE79" s="4438">
        <f t="shared" si="197"/>
        <v>0</v>
      </c>
      <c r="CF79" s="4438">
        <f t="shared" si="198"/>
        <v>0</v>
      </c>
      <c r="CG79" s="4438">
        <f t="shared" si="199"/>
        <v>0</v>
      </c>
      <c r="CH79" s="4438">
        <f t="shared" si="200"/>
        <v>0</v>
      </c>
      <c r="CI79" s="4438">
        <f t="shared" si="201"/>
        <v>0</v>
      </c>
      <c r="CJ79" s="4438">
        <f t="shared" si="202"/>
        <v>0</v>
      </c>
      <c r="CK79" s="4438">
        <f t="shared" si="203"/>
        <v>0</v>
      </c>
    </row>
    <row r="80" spans="1:89">
      <c r="A80" s="2701"/>
      <c r="B80" s="3573">
        <v>20401</v>
      </c>
      <c r="C80" s="3546"/>
      <c r="D80" s="2693" t="s">
        <v>417</v>
      </c>
      <c r="E80" s="2705">
        <f t="shared" ref="E80:AT80" si="211">SUM(E81:E82)</f>
        <v>0</v>
      </c>
      <c r="F80" s="2706">
        <f t="shared" si="211"/>
        <v>0</v>
      </c>
      <c r="G80" s="2707">
        <f t="shared" si="211"/>
        <v>0</v>
      </c>
      <c r="H80" s="2707">
        <f t="shared" si="211"/>
        <v>0</v>
      </c>
      <c r="I80" s="2707">
        <f t="shared" si="211"/>
        <v>0</v>
      </c>
      <c r="J80" s="2707">
        <f t="shared" si="211"/>
        <v>0</v>
      </c>
      <c r="K80" s="2754">
        <f t="shared" si="211"/>
        <v>0</v>
      </c>
      <c r="L80" s="2709">
        <f t="shared" si="211"/>
        <v>0</v>
      </c>
      <c r="M80" s="2706">
        <f t="shared" si="211"/>
        <v>0</v>
      </c>
      <c r="N80" s="2707">
        <f t="shared" si="211"/>
        <v>0</v>
      </c>
      <c r="O80" s="2707">
        <f t="shared" si="211"/>
        <v>0</v>
      </c>
      <c r="P80" s="2707">
        <f t="shared" si="211"/>
        <v>0</v>
      </c>
      <c r="Q80" s="2707">
        <f t="shared" si="211"/>
        <v>0</v>
      </c>
      <c r="R80" s="2708">
        <f t="shared" si="211"/>
        <v>0</v>
      </c>
      <c r="S80" s="2709">
        <f t="shared" si="211"/>
        <v>0</v>
      </c>
      <c r="T80" s="2710">
        <f t="shared" si="211"/>
        <v>0</v>
      </c>
      <c r="U80" s="2707">
        <f t="shared" si="211"/>
        <v>0</v>
      </c>
      <c r="V80" s="2707">
        <f t="shared" si="211"/>
        <v>0</v>
      </c>
      <c r="W80" s="2707">
        <f t="shared" si="211"/>
        <v>0</v>
      </c>
      <c r="X80" s="2707">
        <f t="shared" si="211"/>
        <v>0</v>
      </c>
      <c r="Y80" s="2708">
        <f t="shared" si="211"/>
        <v>0</v>
      </c>
      <c r="Z80" s="2709">
        <f t="shared" ref="Z80:AM80" si="212">SUM(Z81:Z82)</f>
        <v>0</v>
      </c>
      <c r="AA80" s="2710">
        <f t="shared" si="212"/>
        <v>0</v>
      </c>
      <c r="AB80" s="2707">
        <f t="shared" si="212"/>
        <v>0</v>
      </c>
      <c r="AC80" s="2707">
        <f t="shared" si="212"/>
        <v>0</v>
      </c>
      <c r="AD80" s="2707">
        <f t="shared" si="212"/>
        <v>0</v>
      </c>
      <c r="AE80" s="2707">
        <f t="shared" si="212"/>
        <v>0</v>
      </c>
      <c r="AF80" s="2708">
        <f t="shared" si="212"/>
        <v>0</v>
      </c>
      <c r="AG80" s="2709">
        <f t="shared" si="212"/>
        <v>0</v>
      </c>
      <c r="AH80" s="2710">
        <f t="shared" si="212"/>
        <v>0</v>
      </c>
      <c r="AI80" s="2707">
        <f t="shared" si="212"/>
        <v>0</v>
      </c>
      <c r="AJ80" s="2707">
        <f t="shared" si="212"/>
        <v>0</v>
      </c>
      <c r="AK80" s="2707">
        <f t="shared" si="212"/>
        <v>0</v>
      </c>
      <c r="AL80" s="2707">
        <f t="shared" si="212"/>
        <v>0</v>
      </c>
      <c r="AM80" s="2708">
        <f t="shared" si="212"/>
        <v>0</v>
      </c>
      <c r="AN80" s="2709">
        <f t="shared" si="211"/>
        <v>0</v>
      </c>
      <c r="AO80" s="2710">
        <f t="shared" si="211"/>
        <v>0</v>
      </c>
      <c r="AP80" s="2707">
        <f t="shared" si="211"/>
        <v>0</v>
      </c>
      <c r="AQ80" s="2707">
        <f t="shared" si="211"/>
        <v>0</v>
      </c>
      <c r="AR80" s="2707">
        <f t="shared" si="211"/>
        <v>0</v>
      </c>
      <c r="AS80" s="2707">
        <f t="shared" si="211"/>
        <v>0</v>
      </c>
      <c r="AT80" s="2708">
        <f t="shared" si="211"/>
        <v>0</v>
      </c>
      <c r="AU80" s="4422"/>
      <c r="AV80" s="4438">
        <f t="shared" si="162"/>
        <v>0</v>
      </c>
      <c r="AW80" s="4438">
        <f t="shared" si="163"/>
        <v>0</v>
      </c>
      <c r="AX80" s="4438">
        <f t="shared" si="164"/>
        <v>0</v>
      </c>
      <c r="AY80" s="4438">
        <f t="shared" si="165"/>
        <v>0</v>
      </c>
      <c r="AZ80" s="4438">
        <f t="shared" si="166"/>
        <v>0</v>
      </c>
      <c r="BA80" s="4438">
        <f t="shared" si="167"/>
        <v>0</v>
      </c>
      <c r="BB80" s="4438">
        <f t="shared" si="168"/>
        <v>0</v>
      </c>
      <c r="BC80" s="4438">
        <f t="shared" si="169"/>
        <v>0</v>
      </c>
      <c r="BD80" s="4438">
        <f t="shared" si="170"/>
        <v>0</v>
      </c>
      <c r="BE80" s="4438">
        <f t="shared" si="171"/>
        <v>0</v>
      </c>
      <c r="BF80" s="4438">
        <f t="shared" si="172"/>
        <v>0</v>
      </c>
      <c r="BG80" s="4438">
        <f t="shared" si="173"/>
        <v>0</v>
      </c>
      <c r="BH80" s="4438">
        <f t="shared" si="174"/>
        <v>0</v>
      </c>
      <c r="BI80" s="4438">
        <f t="shared" si="175"/>
        <v>0</v>
      </c>
      <c r="BJ80" s="4438">
        <f t="shared" si="176"/>
        <v>0</v>
      </c>
      <c r="BK80" s="4438">
        <f t="shared" si="177"/>
        <v>0</v>
      </c>
      <c r="BL80" s="4438">
        <f t="shared" si="178"/>
        <v>0</v>
      </c>
      <c r="BM80" s="4438">
        <f t="shared" si="179"/>
        <v>0</v>
      </c>
      <c r="BN80" s="4438">
        <f t="shared" si="180"/>
        <v>0</v>
      </c>
      <c r="BO80" s="4438">
        <f t="shared" si="181"/>
        <v>0</v>
      </c>
      <c r="BP80" s="4438">
        <f t="shared" si="182"/>
        <v>0</v>
      </c>
      <c r="BQ80" s="4438">
        <f t="shared" si="183"/>
        <v>0</v>
      </c>
      <c r="BR80" s="4438">
        <f t="shared" si="184"/>
        <v>0</v>
      </c>
      <c r="BS80" s="4438">
        <f t="shared" si="185"/>
        <v>0</v>
      </c>
      <c r="BT80" s="4438">
        <f t="shared" si="186"/>
        <v>0</v>
      </c>
      <c r="BU80" s="4438">
        <f t="shared" si="187"/>
        <v>0</v>
      </c>
      <c r="BV80" s="4438">
        <f t="shared" si="188"/>
        <v>0</v>
      </c>
      <c r="BW80" s="4438">
        <f t="shared" si="189"/>
        <v>0</v>
      </c>
      <c r="BX80" s="4438">
        <f t="shared" si="190"/>
        <v>0</v>
      </c>
      <c r="BY80" s="4438">
        <f t="shared" si="191"/>
        <v>0</v>
      </c>
      <c r="BZ80" s="4438">
        <f t="shared" si="192"/>
        <v>0</v>
      </c>
      <c r="CA80" s="4438">
        <f t="shared" si="193"/>
        <v>0</v>
      </c>
      <c r="CB80" s="4438">
        <f t="shared" si="194"/>
        <v>0</v>
      </c>
      <c r="CC80" s="4438">
        <f t="shared" si="195"/>
        <v>0</v>
      </c>
      <c r="CD80" s="4438">
        <f t="shared" si="196"/>
        <v>0</v>
      </c>
      <c r="CE80" s="4438">
        <f t="shared" si="197"/>
        <v>0</v>
      </c>
      <c r="CF80" s="4438">
        <f t="shared" si="198"/>
        <v>0</v>
      </c>
      <c r="CG80" s="4438">
        <f t="shared" si="199"/>
        <v>0</v>
      </c>
      <c r="CH80" s="4438">
        <f t="shared" si="200"/>
        <v>0</v>
      </c>
      <c r="CI80" s="4438">
        <f t="shared" si="201"/>
        <v>0</v>
      </c>
      <c r="CJ80" s="4438">
        <f t="shared" si="202"/>
        <v>0</v>
      </c>
      <c r="CK80" s="4438">
        <f t="shared" si="203"/>
        <v>0</v>
      </c>
    </row>
    <row r="81" spans="1:89" s="67" customFormat="1">
      <c r="A81" s="2755"/>
      <c r="B81" s="3574">
        <v>2040101</v>
      </c>
      <c r="C81" s="3547">
        <v>0.1</v>
      </c>
      <c r="D81" s="2713" t="s">
        <v>431</v>
      </c>
      <c r="E81" s="2689">
        <f>'11.2. ДА за периода'!E81</f>
        <v>0</v>
      </c>
      <c r="F81" s="2757">
        <f>($F32*$C81)/$E$7</f>
        <v>0</v>
      </c>
      <c r="G81" s="2758">
        <f>($F32*$C81)+($G32*$C81)/$E$7</f>
        <v>0</v>
      </c>
      <c r="H81" s="2758">
        <f>($F32*$C81)+($G32*$C81)+($H32*$C81)/$E$7</f>
        <v>0</v>
      </c>
      <c r="I81" s="2758">
        <f>($F32*$C81)+($G32*$C81)+($H32*$C81)+($I32*$C81)/$E$7</f>
        <v>0</v>
      </c>
      <c r="J81" s="2758">
        <f>($F32*$C81)+($G32*$C81)+($H32*$C81)+($I32*$C81)+($J32*$C81)/$E$7</f>
        <v>0</v>
      </c>
      <c r="K81" s="2759">
        <f>($F32*$C81)+($G32*$C81)+($H32*$C81)+($I32*$C81)+($J32*$C81)+($K32*$C81)/$E$7</f>
        <v>0</v>
      </c>
      <c r="L81" s="2689">
        <f>'11.2. ДА за периода'!L81</f>
        <v>0</v>
      </c>
      <c r="M81" s="2760">
        <f>($M32*$C81)/$E$7</f>
        <v>0</v>
      </c>
      <c r="N81" s="2758">
        <f>($M32*$C81)+($N32*$C81)/$E$7</f>
        <v>0</v>
      </c>
      <c r="O81" s="2758">
        <f>($M32*$C81)+($N32*$C81)+($O32*$C81)/$E$7</f>
        <v>0</v>
      </c>
      <c r="P81" s="2758">
        <f>($M32*$C81)+($N32*$C81)+($O32*$C81)+($P32*$C81)/$E$7</f>
        <v>0</v>
      </c>
      <c r="Q81" s="2759">
        <f>($M32*$C81)+($N32*$C81)+($O32*$C81)+($P32*$C81)+($Q32*$C81)/$E$7</f>
        <v>0</v>
      </c>
      <c r="R81" s="2761">
        <f>($M32*$C81)+($N32*$C81)+($O32*$C81)+($P32*$C81)+($Q32*$C81)+($R32*$C81)/$E$7</f>
        <v>0</v>
      </c>
      <c r="S81" s="1087">
        <f>'11.2. ДА за периода'!S81</f>
        <v>0</v>
      </c>
      <c r="T81" s="2762">
        <f>($T32*$C81)/$E$7</f>
        <v>0</v>
      </c>
      <c r="U81" s="2758">
        <f>($T32*$C81)+($U32*$C81)/$E$7</f>
        <v>0</v>
      </c>
      <c r="V81" s="2758">
        <f>($T32*$C81)+($U32*$C81)+($V32*$C81)/$E$7</f>
        <v>0</v>
      </c>
      <c r="W81" s="2758">
        <f>($T32*$C81)+($U32*$C81)+($V32*$C81)+($W32*$C81)/$E$7</f>
        <v>0</v>
      </c>
      <c r="X81" s="2758">
        <f>($T32*$C81)+($U32*$C81)+($V32*$C81)+($W32*$C81)+($X32*$C81)/$E$7</f>
        <v>0</v>
      </c>
      <c r="Y81" s="2761">
        <f>($T32*$C81)+($U32*$C81)+($V32*$C81)+($W32*$C81)+($X32*$C81)+($Y32*$C81)/$E$7</f>
        <v>0</v>
      </c>
      <c r="Z81" s="1087">
        <f>'11.2. ДА за периода'!Z81</f>
        <v>0</v>
      </c>
      <c r="AA81" s="2762">
        <f t="shared" ref="AA81:AA82" si="213">(AA32*$C81)/$E$7</f>
        <v>0</v>
      </c>
      <c r="AB81" s="2758">
        <f t="shared" ref="AB81:AB82" si="214">(AA32*$C81)+(AB32*$C81)/$E$7</f>
        <v>0</v>
      </c>
      <c r="AC81" s="2758">
        <f t="shared" ref="AC81:AC82" si="215">(AA32*$C81)+(AB32*$C81)+(AC32*$C81)/$E$7</f>
        <v>0</v>
      </c>
      <c r="AD81" s="2758">
        <f t="shared" ref="AD81:AD82" si="216">(AA32*$C81)+(AB32*$C81)+(AC32*$C81)+(AD32*$C81)/$E$7</f>
        <v>0</v>
      </c>
      <c r="AE81" s="2758">
        <f t="shared" ref="AE81:AE82" si="217">(AA32*$C81)+(AB32*$C81)+(AC32*$C81)+(AD32*$C81)+(AE32*$C81)/$E$7</f>
        <v>0</v>
      </c>
      <c r="AF81" s="2759">
        <f t="shared" ref="AF81:AF82" si="218">(AA32*$C81)+(AB32*$C81)+(AC32*$C81)+(AD32*$C81)+(AE32*$C81)+(AF32*$C81)/$E$7</f>
        <v>0</v>
      </c>
      <c r="AG81" s="1087">
        <f>'11.2. ДА за периода'!AG81</f>
        <v>0</v>
      </c>
      <c r="AH81" s="2762">
        <f t="shared" ref="AH81:AH82" si="219">(AH32*$C81)/$E$7</f>
        <v>0</v>
      </c>
      <c r="AI81" s="2758">
        <f t="shared" ref="AI81:AI82" si="220">(AH32*$C81)+(AI32*$C81)/$E$7</f>
        <v>0</v>
      </c>
      <c r="AJ81" s="2758">
        <f t="shared" ref="AJ81:AJ82" si="221">(AH32*$C81)+(AI32*$C81)+(AJ32*$C81)/$E$7</f>
        <v>0</v>
      </c>
      <c r="AK81" s="2758">
        <f t="shared" ref="AK81:AK82" si="222">(AH32*$C81)+(AI32*$C81)+(AJ32*$C81)+(AK32*$C81)/$E$7</f>
        <v>0</v>
      </c>
      <c r="AL81" s="2758">
        <f t="shared" ref="AL81:AL82" si="223">(AH32*$C81)+(AI32*$C81)+(AJ32*$C81)+(AK32*$C81)+(AL32*$C81)/$E$7</f>
        <v>0</v>
      </c>
      <c r="AM81" s="2759">
        <f t="shared" ref="AM81:AM82" si="224">(AH32*$C81)+(AI32*$C81)+(AJ32*$C81)+(AK32*$C81)+(AL32*$C81)+(AM32*$C81)/$E$7</f>
        <v>0</v>
      </c>
      <c r="AN81" s="1087">
        <f>'11.2. ДА за периода'!AN81</f>
        <v>0</v>
      </c>
      <c r="AO81" s="2760">
        <f>($AO32*$C81)/$E$7</f>
        <v>0</v>
      </c>
      <c r="AP81" s="2758">
        <f>($AO32*$C81)+($AP32*$C81)/$E$7</f>
        <v>0</v>
      </c>
      <c r="AQ81" s="2758">
        <f>($AO32*$C81)+($AP32*$C81)+($AQ32*$C81)/$E$7</f>
        <v>0</v>
      </c>
      <c r="AR81" s="2758">
        <f>($AO32*$C81)+($AP32*$C81)+($AQ32*$C81)+($AR32*$C81)/$E$7</f>
        <v>0</v>
      </c>
      <c r="AS81" s="2758">
        <f>($AO32*$C81)+($AP32*$C81)+($AQ32*$C81)+($AR32*$C81)+($AS32*$C81)/$E$7</f>
        <v>0</v>
      </c>
      <c r="AT81" s="2761">
        <f>($AO32*$C81)+($AP32*$C81)+($AQ32*$C81)+($AR32*$C81)+($AS32*$C81)+($AT32*$C81)/$E$7</f>
        <v>0</v>
      </c>
      <c r="AU81" s="4422"/>
      <c r="AV81" s="4438">
        <f t="shared" si="162"/>
        <v>0</v>
      </c>
      <c r="AW81" s="4438">
        <f t="shared" si="163"/>
        <v>0</v>
      </c>
      <c r="AX81" s="4438">
        <f t="shared" si="164"/>
        <v>0</v>
      </c>
      <c r="AY81" s="4438">
        <f t="shared" si="165"/>
        <v>0</v>
      </c>
      <c r="AZ81" s="4438">
        <f t="shared" si="166"/>
        <v>0</v>
      </c>
      <c r="BA81" s="4438">
        <f t="shared" si="167"/>
        <v>0</v>
      </c>
      <c r="BB81" s="4438">
        <f t="shared" si="168"/>
        <v>0</v>
      </c>
      <c r="BC81" s="4438">
        <f t="shared" si="169"/>
        <v>0</v>
      </c>
      <c r="BD81" s="4438">
        <f t="shared" si="170"/>
        <v>0</v>
      </c>
      <c r="BE81" s="4438">
        <f t="shared" si="171"/>
        <v>0</v>
      </c>
      <c r="BF81" s="4438">
        <f t="shared" si="172"/>
        <v>0</v>
      </c>
      <c r="BG81" s="4438">
        <f t="shared" si="173"/>
        <v>0</v>
      </c>
      <c r="BH81" s="4438">
        <f t="shared" si="174"/>
        <v>0</v>
      </c>
      <c r="BI81" s="4438">
        <f t="shared" si="175"/>
        <v>0</v>
      </c>
      <c r="BJ81" s="4438">
        <f t="shared" si="176"/>
        <v>0</v>
      </c>
      <c r="BK81" s="4438">
        <f t="shared" si="177"/>
        <v>0</v>
      </c>
      <c r="BL81" s="4438">
        <f t="shared" si="178"/>
        <v>0</v>
      </c>
      <c r="BM81" s="4438">
        <f t="shared" si="179"/>
        <v>0</v>
      </c>
      <c r="BN81" s="4438">
        <f t="shared" si="180"/>
        <v>0</v>
      </c>
      <c r="BO81" s="4438">
        <f t="shared" si="181"/>
        <v>0</v>
      </c>
      <c r="BP81" s="4438">
        <f t="shared" si="182"/>
        <v>0</v>
      </c>
      <c r="BQ81" s="4438">
        <f t="shared" si="183"/>
        <v>0</v>
      </c>
      <c r="BR81" s="4438">
        <f t="shared" si="184"/>
        <v>0</v>
      </c>
      <c r="BS81" s="4438">
        <f t="shared" si="185"/>
        <v>0</v>
      </c>
      <c r="BT81" s="4438">
        <f t="shared" si="186"/>
        <v>0</v>
      </c>
      <c r="BU81" s="4438">
        <f t="shared" si="187"/>
        <v>0</v>
      </c>
      <c r="BV81" s="4438">
        <f t="shared" si="188"/>
        <v>0</v>
      </c>
      <c r="BW81" s="4438">
        <f t="shared" si="189"/>
        <v>0</v>
      </c>
      <c r="BX81" s="4438">
        <f t="shared" si="190"/>
        <v>0</v>
      </c>
      <c r="BY81" s="4438">
        <f t="shared" si="191"/>
        <v>0</v>
      </c>
      <c r="BZ81" s="4438">
        <f t="shared" si="192"/>
        <v>0</v>
      </c>
      <c r="CA81" s="4438">
        <f t="shared" si="193"/>
        <v>0</v>
      </c>
      <c r="CB81" s="4438">
        <f t="shared" si="194"/>
        <v>0</v>
      </c>
      <c r="CC81" s="4438">
        <f t="shared" si="195"/>
        <v>0</v>
      </c>
      <c r="CD81" s="4438">
        <f t="shared" si="196"/>
        <v>0</v>
      </c>
      <c r="CE81" s="4438">
        <f t="shared" si="197"/>
        <v>0</v>
      </c>
      <c r="CF81" s="4438">
        <f t="shared" si="198"/>
        <v>0</v>
      </c>
      <c r="CG81" s="4438">
        <f t="shared" si="199"/>
        <v>0</v>
      </c>
      <c r="CH81" s="4438">
        <f t="shared" si="200"/>
        <v>0</v>
      </c>
      <c r="CI81" s="4438">
        <f t="shared" si="201"/>
        <v>0</v>
      </c>
      <c r="CJ81" s="4438">
        <f t="shared" si="202"/>
        <v>0</v>
      </c>
      <c r="CK81" s="4438">
        <f t="shared" si="203"/>
        <v>0</v>
      </c>
    </row>
    <row r="82" spans="1:89" s="67" customFormat="1">
      <c r="A82" s="2755"/>
      <c r="B82" s="3574">
        <v>2040102</v>
      </c>
      <c r="C82" s="3547">
        <v>0.04</v>
      </c>
      <c r="D82" s="2713" t="s">
        <v>432</v>
      </c>
      <c r="E82" s="2689">
        <f>'11.2. ДА за периода'!E82</f>
        <v>0</v>
      </c>
      <c r="F82" s="2757">
        <f>($F33*$C82)/$E$7</f>
        <v>0</v>
      </c>
      <c r="G82" s="2758">
        <f>($F33*$C82)+($G33*$C82)/$E$7</f>
        <v>0</v>
      </c>
      <c r="H82" s="2758">
        <f>($F33*$C82)+($G33*$C82)+($H33*$C82)/$E$7</f>
        <v>0</v>
      </c>
      <c r="I82" s="2758">
        <f>($F33*$C82)+($G33*$C82)+($H33*$C82)+($I33*$C82)/$E$7</f>
        <v>0</v>
      </c>
      <c r="J82" s="2758">
        <f>($F33*$C82)+($G33*$C82)+($H33*$C82)+($I33*$C82)+($J33*$C82)/$E$7</f>
        <v>0</v>
      </c>
      <c r="K82" s="2759">
        <f>($F33*$C82)+($G33*$C82)+($H33*$C82)+($I33*$C82)+($J33*$C82)+($K33*$C82)/$E$7</f>
        <v>0</v>
      </c>
      <c r="L82" s="2689">
        <f>'11.2. ДА за периода'!L82</f>
        <v>0</v>
      </c>
      <c r="M82" s="2760">
        <f>($M33*$C82)/$E$7</f>
        <v>0</v>
      </c>
      <c r="N82" s="2758">
        <f>($M33*$C82)+($N33*$C82)/$E$7</f>
        <v>0</v>
      </c>
      <c r="O82" s="2758">
        <f>($M33*$C82)+($N33*$C82)+($O33*$C82)/$E$7</f>
        <v>0</v>
      </c>
      <c r="P82" s="2758">
        <f>($M33*$C82)+($N33*$C82)+($O33*$C82)+($P33*$C82)/$E$7</f>
        <v>0</v>
      </c>
      <c r="Q82" s="2759">
        <f>($M33*$C82)+($N33*$C82)+($O33*$C82)+($P33*$C82)+($Q33*$C82)/$E$7</f>
        <v>0</v>
      </c>
      <c r="R82" s="2761">
        <f>($M33*$C82)+($N33*$C82)+($O33*$C82)+($P33*$C82)+($Q33*$C82)+($R33*$C82)/$E$7</f>
        <v>0</v>
      </c>
      <c r="S82" s="1087">
        <f>'11.2. ДА за периода'!S82</f>
        <v>0</v>
      </c>
      <c r="T82" s="2762">
        <f>($T33*$C82)/$E$7</f>
        <v>0</v>
      </c>
      <c r="U82" s="2758">
        <f>($T33*$C82)+($U33*$C82)/$E$7</f>
        <v>0</v>
      </c>
      <c r="V82" s="2758">
        <f>($T33*$C82)+($U33*$C82)+($V33*$C82)/$E$7</f>
        <v>0</v>
      </c>
      <c r="W82" s="2758">
        <f>($T33*$C82)+($U33*$C82)+($V33*$C82)+($W33*$C82)/$E$7</f>
        <v>0</v>
      </c>
      <c r="X82" s="2758">
        <f>($T33*$C82)+($U33*$C82)+($V33*$C82)+($W33*$C82)+($X33*$C82)/$E$7</f>
        <v>0</v>
      </c>
      <c r="Y82" s="2761">
        <f>($T33*$C82)+($U33*$C82)+($V33*$C82)+($W33*$C82)+($X33*$C82)+($Y33*$C82)/$E$7</f>
        <v>0</v>
      </c>
      <c r="Z82" s="1087">
        <f>'11.2. ДА за периода'!Z82</f>
        <v>0</v>
      </c>
      <c r="AA82" s="2762">
        <f t="shared" si="213"/>
        <v>0</v>
      </c>
      <c r="AB82" s="2758">
        <f t="shared" si="214"/>
        <v>0</v>
      </c>
      <c r="AC82" s="2758">
        <f t="shared" si="215"/>
        <v>0</v>
      </c>
      <c r="AD82" s="2758">
        <f t="shared" si="216"/>
        <v>0</v>
      </c>
      <c r="AE82" s="2758">
        <f t="shared" si="217"/>
        <v>0</v>
      </c>
      <c r="AF82" s="2759">
        <f t="shared" si="218"/>
        <v>0</v>
      </c>
      <c r="AG82" s="1087">
        <f>'11.2. ДА за периода'!AG82</f>
        <v>0</v>
      </c>
      <c r="AH82" s="2762">
        <f t="shared" si="219"/>
        <v>0</v>
      </c>
      <c r="AI82" s="2758">
        <f t="shared" si="220"/>
        <v>0</v>
      </c>
      <c r="AJ82" s="2758">
        <f t="shared" si="221"/>
        <v>0</v>
      </c>
      <c r="AK82" s="2758">
        <f t="shared" si="222"/>
        <v>0</v>
      </c>
      <c r="AL82" s="2758">
        <f t="shared" si="223"/>
        <v>0</v>
      </c>
      <c r="AM82" s="2759">
        <f t="shared" si="224"/>
        <v>0</v>
      </c>
      <c r="AN82" s="1087">
        <f>'11.2. ДА за периода'!AN82</f>
        <v>0</v>
      </c>
      <c r="AO82" s="2760">
        <f>($AO33*$C82)/$E$7</f>
        <v>0</v>
      </c>
      <c r="AP82" s="2758">
        <f>($AO33*$C82)+($AP33*$C82)/$E$7</f>
        <v>0</v>
      </c>
      <c r="AQ82" s="2758">
        <f>($AO33*$C82)+($AP33*$C82)+($AQ33*$C82)/$E$7</f>
        <v>0</v>
      </c>
      <c r="AR82" s="2758">
        <f>($AO33*$C82)+($AP33*$C82)+($AQ33*$C82)+($AR33*$C82)/$E$7</f>
        <v>0</v>
      </c>
      <c r="AS82" s="2758">
        <f>($AO33*$C82)+($AP33*$C82)+($AQ33*$C82)+($AR33*$C82)+($AS33*$C82)/$E$7</f>
        <v>0</v>
      </c>
      <c r="AT82" s="2761">
        <f>($AO33*$C82)+($AP33*$C82)+($AQ33*$C82)+($AR33*$C82)+($AS33*$C82)+($AT33*$C82)/$E$7</f>
        <v>0</v>
      </c>
      <c r="AU82" s="4422"/>
      <c r="AV82" s="4438">
        <f t="shared" si="162"/>
        <v>0</v>
      </c>
      <c r="AW82" s="4438">
        <f t="shared" si="163"/>
        <v>0</v>
      </c>
      <c r="AX82" s="4438">
        <f t="shared" si="164"/>
        <v>0</v>
      </c>
      <c r="AY82" s="4438">
        <f t="shared" si="165"/>
        <v>0</v>
      </c>
      <c r="AZ82" s="4438">
        <f t="shared" si="166"/>
        <v>0</v>
      </c>
      <c r="BA82" s="4438">
        <f t="shared" si="167"/>
        <v>0</v>
      </c>
      <c r="BB82" s="4438">
        <f t="shared" si="168"/>
        <v>0</v>
      </c>
      <c r="BC82" s="4438">
        <f t="shared" si="169"/>
        <v>0</v>
      </c>
      <c r="BD82" s="4438">
        <f t="shared" si="170"/>
        <v>0</v>
      </c>
      <c r="BE82" s="4438">
        <f t="shared" si="171"/>
        <v>0</v>
      </c>
      <c r="BF82" s="4438">
        <f t="shared" si="172"/>
        <v>0</v>
      </c>
      <c r="BG82" s="4438">
        <f t="shared" si="173"/>
        <v>0</v>
      </c>
      <c r="BH82" s="4438">
        <f t="shared" si="174"/>
        <v>0</v>
      </c>
      <c r="BI82" s="4438">
        <f t="shared" si="175"/>
        <v>0</v>
      </c>
      <c r="BJ82" s="4438">
        <f t="shared" si="176"/>
        <v>0</v>
      </c>
      <c r="BK82" s="4438">
        <f t="shared" si="177"/>
        <v>0</v>
      </c>
      <c r="BL82" s="4438">
        <f t="shared" si="178"/>
        <v>0</v>
      </c>
      <c r="BM82" s="4438">
        <f t="shared" si="179"/>
        <v>0</v>
      </c>
      <c r="BN82" s="4438">
        <f t="shared" si="180"/>
        <v>0</v>
      </c>
      <c r="BO82" s="4438">
        <f t="shared" si="181"/>
        <v>0</v>
      </c>
      <c r="BP82" s="4438">
        <f t="shared" si="182"/>
        <v>0</v>
      </c>
      <c r="BQ82" s="4438">
        <f t="shared" si="183"/>
        <v>0</v>
      </c>
      <c r="BR82" s="4438">
        <f t="shared" si="184"/>
        <v>0</v>
      </c>
      <c r="BS82" s="4438">
        <f t="shared" si="185"/>
        <v>0</v>
      </c>
      <c r="BT82" s="4438">
        <f t="shared" si="186"/>
        <v>0</v>
      </c>
      <c r="BU82" s="4438">
        <f t="shared" si="187"/>
        <v>0</v>
      </c>
      <c r="BV82" s="4438">
        <f t="shared" si="188"/>
        <v>0</v>
      </c>
      <c r="BW82" s="4438">
        <f t="shared" si="189"/>
        <v>0</v>
      </c>
      <c r="BX82" s="4438">
        <f t="shared" si="190"/>
        <v>0</v>
      </c>
      <c r="BY82" s="4438">
        <f t="shared" si="191"/>
        <v>0</v>
      </c>
      <c r="BZ82" s="4438">
        <f t="shared" si="192"/>
        <v>0</v>
      </c>
      <c r="CA82" s="4438">
        <f t="shared" si="193"/>
        <v>0</v>
      </c>
      <c r="CB82" s="4438">
        <f t="shared" si="194"/>
        <v>0</v>
      </c>
      <c r="CC82" s="4438">
        <f t="shared" si="195"/>
        <v>0</v>
      </c>
      <c r="CD82" s="4438">
        <f t="shared" si="196"/>
        <v>0</v>
      </c>
      <c r="CE82" s="4438">
        <f t="shared" si="197"/>
        <v>0</v>
      </c>
      <c r="CF82" s="4438">
        <f t="shared" si="198"/>
        <v>0</v>
      </c>
      <c r="CG82" s="4438">
        <f t="shared" si="199"/>
        <v>0</v>
      </c>
      <c r="CH82" s="4438">
        <f t="shared" si="200"/>
        <v>0</v>
      </c>
      <c r="CI82" s="4438">
        <f t="shared" si="201"/>
        <v>0</v>
      </c>
      <c r="CJ82" s="4438">
        <f t="shared" si="202"/>
        <v>0</v>
      </c>
      <c r="CK82" s="4438">
        <f t="shared" si="203"/>
        <v>0</v>
      </c>
    </row>
    <row r="83" spans="1:89">
      <c r="A83" s="2701"/>
      <c r="B83" s="3573">
        <v>20402</v>
      </c>
      <c r="C83" s="3546"/>
      <c r="D83" s="2693" t="s">
        <v>433</v>
      </c>
      <c r="E83" s="2705">
        <f>SUM(E84:E91)</f>
        <v>6.86</v>
      </c>
      <c r="F83" s="2706">
        <f t="shared" ref="F83:AT83" si="225">SUM(F84:F91)</f>
        <v>8.1999999999999993</v>
      </c>
      <c r="G83" s="2707">
        <f t="shared" si="225"/>
        <v>78.187147879999998</v>
      </c>
      <c r="H83" s="2707">
        <f t="shared" si="225"/>
        <v>257.83859152000002</v>
      </c>
      <c r="I83" s="2707">
        <f t="shared" si="225"/>
        <v>491.91718304000005</v>
      </c>
      <c r="J83" s="2707">
        <f t="shared" si="225"/>
        <v>614.03147880000006</v>
      </c>
      <c r="K83" s="2754">
        <f t="shared" si="225"/>
        <v>625.93147880000015</v>
      </c>
      <c r="L83" s="2709">
        <f t="shared" si="225"/>
        <v>0.23</v>
      </c>
      <c r="M83" s="2706">
        <f t="shared" si="225"/>
        <v>0.30000000000000004</v>
      </c>
      <c r="N83" s="2707">
        <f t="shared" si="225"/>
        <v>11.362683600000002</v>
      </c>
      <c r="O83" s="2707">
        <f t="shared" si="225"/>
        <v>41.400734399999997</v>
      </c>
      <c r="P83" s="2707">
        <f t="shared" si="225"/>
        <v>79.401468800000004</v>
      </c>
      <c r="Q83" s="2707">
        <f t="shared" si="225"/>
        <v>98.326836000000014</v>
      </c>
      <c r="R83" s="2708">
        <f t="shared" si="225"/>
        <v>98.776836000000017</v>
      </c>
      <c r="S83" s="2709">
        <f t="shared" si="225"/>
        <v>0.76</v>
      </c>
      <c r="T83" s="2710">
        <f t="shared" si="225"/>
        <v>0.1</v>
      </c>
      <c r="U83" s="2707">
        <f t="shared" si="225"/>
        <v>21.237790879999999</v>
      </c>
      <c r="V83" s="2707">
        <f t="shared" si="225"/>
        <v>84.271163519999988</v>
      </c>
      <c r="W83" s="2707">
        <f t="shared" si="225"/>
        <v>168.60232703999998</v>
      </c>
      <c r="X83" s="2707">
        <f t="shared" si="225"/>
        <v>210.97790879999997</v>
      </c>
      <c r="Y83" s="2708">
        <f t="shared" si="225"/>
        <v>211.01790879999999</v>
      </c>
      <c r="Z83" s="2709">
        <f t="shared" si="225"/>
        <v>0</v>
      </c>
      <c r="AA83" s="2710">
        <f t="shared" si="225"/>
        <v>0</v>
      </c>
      <c r="AB83" s="2707">
        <f t="shared" si="225"/>
        <v>0</v>
      </c>
      <c r="AC83" s="2707">
        <f t="shared" si="225"/>
        <v>0</v>
      </c>
      <c r="AD83" s="2707">
        <f t="shared" si="225"/>
        <v>0</v>
      </c>
      <c r="AE83" s="2707">
        <f t="shared" si="225"/>
        <v>0</v>
      </c>
      <c r="AF83" s="2708">
        <f t="shared" si="225"/>
        <v>0</v>
      </c>
      <c r="AG83" s="2709">
        <f t="shared" si="225"/>
        <v>0</v>
      </c>
      <c r="AH83" s="2710">
        <f t="shared" si="225"/>
        <v>0</v>
      </c>
      <c r="AI83" s="2707">
        <f t="shared" si="225"/>
        <v>0</v>
      </c>
      <c r="AJ83" s="2707">
        <f t="shared" si="225"/>
        <v>0</v>
      </c>
      <c r="AK83" s="2707">
        <f t="shared" si="225"/>
        <v>0</v>
      </c>
      <c r="AL83" s="2707">
        <f t="shared" si="225"/>
        <v>0</v>
      </c>
      <c r="AM83" s="2708">
        <f t="shared" si="225"/>
        <v>0</v>
      </c>
      <c r="AN83" s="2709">
        <f t="shared" si="225"/>
        <v>0</v>
      </c>
      <c r="AO83" s="2710">
        <f t="shared" si="225"/>
        <v>0</v>
      </c>
      <c r="AP83" s="2707">
        <f t="shared" si="225"/>
        <v>0</v>
      </c>
      <c r="AQ83" s="2707">
        <f t="shared" si="225"/>
        <v>0</v>
      </c>
      <c r="AR83" s="2707">
        <f t="shared" si="225"/>
        <v>0</v>
      </c>
      <c r="AS83" s="2707">
        <f t="shared" si="225"/>
        <v>0</v>
      </c>
      <c r="AT83" s="2708">
        <f t="shared" si="225"/>
        <v>0</v>
      </c>
      <c r="AU83" s="4422"/>
      <c r="AV83" s="4438">
        <f t="shared" si="162"/>
        <v>3.5074623050060589</v>
      </c>
      <c r="AW83" s="4438">
        <f t="shared" si="163"/>
        <v>4.1925934258089912</v>
      </c>
      <c r="AX83" s="4438">
        <f t="shared" si="164"/>
        <v>39.976453924932123</v>
      </c>
      <c r="AY83" s="4438">
        <f t="shared" si="165"/>
        <v>131.83077850324415</v>
      </c>
      <c r="AZ83" s="4438">
        <f t="shared" si="166"/>
        <v>251.51326190926616</v>
      </c>
      <c r="BA83" s="4438">
        <f t="shared" si="167"/>
        <v>313.94930990934796</v>
      </c>
      <c r="BB83" s="4438">
        <f t="shared" si="168"/>
        <v>320.03368329558305</v>
      </c>
      <c r="BC83" s="4438">
        <f t="shared" si="169"/>
        <v>0.11759713267513026</v>
      </c>
      <c r="BD83" s="4438">
        <f t="shared" si="170"/>
        <v>0.15338756435886558</v>
      </c>
      <c r="BE83" s="4438">
        <f t="shared" si="171"/>
        <v>5.8096478732814214</v>
      </c>
      <c r="BF83" s="4438">
        <f t="shared" si="172"/>
        <v>21.167859374280994</v>
      </c>
      <c r="BG83" s="4438">
        <f t="shared" si="173"/>
        <v>40.597326352494854</v>
      </c>
      <c r="BH83" s="4438">
        <f t="shared" si="174"/>
        <v>50.273712950512071</v>
      </c>
      <c r="BI83" s="4438">
        <f t="shared" si="175"/>
        <v>50.503794297050369</v>
      </c>
      <c r="BJ83" s="4438">
        <f t="shared" si="176"/>
        <v>0.38858182970912608</v>
      </c>
      <c r="BK83" s="4438">
        <f t="shared" si="177"/>
        <v>5.1129188119621853E-2</v>
      </c>
      <c r="BL83" s="4438">
        <f t="shared" si="178"/>
        <v>10.858710051487092</v>
      </c>
      <c r="BM83" s="4438">
        <f t="shared" si="179"/>
        <v>43.087161726734934</v>
      </c>
      <c r="BN83" s="4438">
        <f t="shared" si="180"/>
        <v>86.205000966341643</v>
      </c>
      <c r="BO83" s="4438">
        <f t="shared" si="181"/>
        <v>107.8712918811962</v>
      </c>
      <c r="BP83" s="4438">
        <f t="shared" si="182"/>
        <v>107.89174355644407</v>
      </c>
      <c r="BQ83" s="4438">
        <f t="shared" si="183"/>
        <v>0</v>
      </c>
      <c r="BR83" s="4438">
        <f t="shared" si="184"/>
        <v>0</v>
      </c>
      <c r="BS83" s="4438">
        <f t="shared" si="185"/>
        <v>0</v>
      </c>
      <c r="BT83" s="4438">
        <f t="shared" si="186"/>
        <v>0</v>
      </c>
      <c r="BU83" s="4438">
        <f t="shared" si="187"/>
        <v>0</v>
      </c>
      <c r="BV83" s="4438">
        <f t="shared" si="188"/>
        <v>0</v>
      </c>
      <c r="BW83" s="4438">
        <f t="shared" si="189"/>
        <v>0</v>
      </c>
      <c r="BX83" s="4438">
        <f t="shared" si="190"/>
        <v>0</v>
      </c>
      <c r="BY83" s="4438">
        <f t="shared" si="191"/>
        <v>0</v>
      </c>
      <c r="BZ83" s="4438">
        <f t="shared" si="192"/>
        <v>0</v>
      </c>
      <c r="CA83" s="4438">
        <f t="shared" si="193"/>
        <v>0</v>
      </c>
      <c r="CB83" s="4438">
        <f t="shared" si="194"/>
        <v>0</v>
      </c>
      <c r="CC83" s="4438">
        <f t="shared" si="195"/>
        <v>0</v>
      </c>
      <c r="CD83" s="4438">
        <f t="shared" si="196"/>
        <v>0</v>
      </c>
      <c r="CE83" s="4438">
        <f t="shared" si="197"/>
        <v>0</v>
      </c>
      <c r="CF83" s="4438">
        <f t="shared" si="198"/>
        <v>0</v>
      </c>
      <c r="CG83" s="4438">
        <f t="shared" si="199"/>
        <v>0</v>
      </c>
      <c r="CH83" s="4438">
        <f t="shared" si="200"/>
        <v>0</v>
      </c>
      <c r="CI83" s="4438">
        <f t="shared" si="201"/>
        <v>0</v>
      </c>
      <c r="CJ83" s="4438">
        <f t="shared" si="202"/>
        <v>0</v>
      </c>
      <c r="CK83" s="4438">
        <f t="shared" si="203"/>
        <v>0</v>
      </c>
    </row>
    <row r="84" spans="1:89" s="67" customFormat="1">
      <c r="A84" s="2755"/>
      <c r="B84" s="3574">
        <v>2040201</v>
      </c>
      <c r="C84" s="3547">
        <v>0.02</v>
      </c>
      <c r="D84" s="2711" t="s">
        <v>738</v>
      </c>
      <c r="E84" s="2689">
        <f>'11.2. ДА за периода'!E84</f>
        <v>0</v>
      </c>
      <c r="F84" s="2757">
        <f t="shared" ref="F84:F93" si="226">($F35*$C84)/$E$7</f>
        <v>0</v>
      </c>
      <c r="G84" s="2758">
        <f t="shared" ref="G84:G93" si="227">($F35*$C84)+($G35*$C84)/$E$7</f>
        <v>0</v>
      </c>
      <c r="H84" s="2758">
        <f t="shared" ref="H84:H93" si="228">($F35*$C84)+($G35*$C84)+($H35*$C84)/$E$7</f>
        <v>0</v>
      </c>
      <c r="I84" s="2758">
        <f t="shared" ref="I84:I93" si="229">($F35*$C84)+($G35*$C84)+($H35*$C84)+($I35*$C84)/$E$7</f>
        <v>0</v>
      </c>
      <c r="J84" s="2758">
        <f t="shared" ref="J84:J93" si="230">($F35*$C84)+($G35*$C84)+($H35*$C84)+($I35*$C84)+($J35*$C84)/$E$7</f>
        <v>0</v>
      </c>
      <c r="K84" s="2759">
        <f t="shared" ref="K84:K93" si="231">($F35*$C84)+($G35*$C84)+($H35*$C84)+($I35*$C84)+($J35*$C84)+($K35*$C84)/$E$7</f>
        <v>0</v>
      </c>
      <c r="L84" s="2689">
        <f>'11.2. ДА за периода'!L84</f>
        <v>0</v>
      </c>
      <c r="M84" s="2760">
        <f t="shared" ref="M84:M93" si="232">($M35*$C84)/$E$7</f>
        <v>0</v>
      </c>
      <c r="N84" s="2758">
        <f t="shared" ref="N84:N93" si="233">($M35*$C84)+($N35*$C84)/$E$7</f>
        <v>0</v>
      </c>
      <c r="O84" s="2758">
        <f t="shared" ref="O84:O93" si="234">($M35*$C84)+($N35*$C84)+($O35*$C84)/$E$7</f>
        <v>0</v>
      </c>
      <c r="P84" s="2758">
        <f t="shared" ref="P84:P93" si="235">($M35*$C84)+($N35*$C84)+($O35*$C84)+($P35*$C84)/$E$7</f>
        <v>0</v>
      </c>
      <c r="Q84" s="2759">
        <f t="shared" ref="Q84:Q93" si="236">($M35*$C84)+($N35*$C84)+($O35*$C84)+($P35*$C84)+($Q35*$C84)/$E$7</f>
        <v>0</v>
      </c>
      <c r="R84" s="2761">
        <f t="shared" ref="R84:R93" si="237">($M35*$C84)+($N35*$C84)+($O35*$C84)+($P35*$C84)+($Q35*$C84)+($R35*$C84)/$E$7</f>
        <v>0</v>
      </c>
      <c r="S84" s="1087">
        <f>'11.2. ДА за периода'!S84</f>
        <v>0</v>
      </c>
      <c r="T84" s="2762">
        <f t="shared" ref="T84:T93" si="238">($T35*$C84)/$E$7</f>
        <v>0</v>
      </c>
      <c r="U84" s="2758">
        <f t="shared" ref="U84:U93" si="239">($T35*$C84)+($U35*$C84)/$E$7</f>
        <v>0</v>
      </c>
      <c r="V84" s="2758">
        <f t="shared" ref="V84:V93" si="240">($T35*$C84)+($U35*$C84)+($V35*$C84)/$E$7</f>
        <v>0</v>
      </c>
      <c r="W84" s="2758">
        <f t="shared" ref="W84:W93" si="241">($T35*$C84)+($U35*$C84)+($V35*$C84)+($W35*$C84)/$E$7</f>
        <v>0</v>
      </c>
      <c r="X84" s="2758">
        <f t="shared" ref="X84:X93" si="242">($T35*$C84)+($U35*$C84)+($V35*$C84)+($W35*$C84)+($X35*$C84)/$E$7</f>
        <v>0</v>
      </c>
      <c r="Y84" s="2761">
        <f t="shared" ref="Y84:Y93" si="243">($T35*$C84)+($U35*$C84)+($V35*$C84)+($W35*$C84)+($X35*$C84)+($Y35*$C84)/$E$7</f>
        <v>0</v>
      </c>
      <c r="Z84" s="1087">
        <f>'11.2. ДА за периода'!Z84</f>
        <v>0</v>
      </c>
      <c r="AA84" s="2762">
        <f t="shared" ref="AA84:AA93" si="244">(AA35*$C84)/$E$7</f>
        <v>0</v>
      </c>
      <c r="AB84" s="2758">
        <f t="shared" ref="AB84:AB93" si="245">(AA35*$C84)+(AB35*$C84)/$E$7</f>
        <v>0</v>
      </c>
      <c r="AC84" s="2758">
        <f t="shared" ref="AC84:AC93" si="246">(AA35*$C84)+(AB35*$C84)+(AC35*$C84)/$E$7</f>
        <v>0</v>
      </c>
      <c r="AD84" s="2758">
        <f t="shared" ref="AD84:AD93" si="247">(AA35*$C84)+(AB35*$C84)+(AC35*$C84)+(AD35*$C84)/$E$7</f>
        <v>0</v>
      </c>
      <c r="AE84" s="2758">
        <f t="shared" ref="AE84:AE93" si="248">(AA35*$C84)+(AB35*$C84)+(AC35*$C84)+(AD35*$C84)+(AE35*$C84)/$E$7</f>
        <v>0</v>
      </c>
      <c r="AF84" s="2759">
        <f t="shared" ref="AF84:AF93" si="249">(AA35*$C84)+(AB35*$C84)+(AC35*$C84)+(AD35*$C84)+(AE35*$C84)+(AF35*$C84)/$E$7</f>
        <v>0</v>
      </c>
      <c r="AG84" s="1087">
        <f>'11.2. ДА за периода'!AG84</f>
        <v>0</v>
      </c>
      <c r="AH84" s="2762">
        <f t="shared" ref="AH84:AH93" si="250">(AH35*$C84)/$E$7</f>
        <v>0</v>
      </c>
      <c r="AI84" s="2758">
        <f t="shared" ref="AI84:AI93" si="251">(AH35*$C84)+(AI35*$C84)/$E$7</f>
        <v>0</v>
      </c>
      <c r="AJ84" s="2758">
        <f t="shared" ref="AJ84:AJ93" si="252">(AH35*$C84)+(AI35*$C84)+(AJ35*$C84)/$E$7</f>
        <v>0</v>
      </c>
      <c r="AK84" s="2758">
        <f t="shared" ref="AK84:AK93" si="253">(AH35*$C84)+(AI35*$C84)+(AJ35*$C84)+(AK35*$C84)/$E$7</f>
        <v>0</v>
      </c>
      <c r="AL84" s="2758">
        <f t="shared" ref="AL84:AL93" si="254">(AH35*$C84)+(AI35*$C84)+(AJ35*$C84)+(AK35*$C84)+(AL35*$C84)/$E$7</f>
        <v>0</v>
      </c>
      <c r="AM84" s="2759">
        <f t="shared" ref="AM84:AM93" si="255">(AH35*$C84)+(AI35*$C84)+(AJ35*$C84)+(AK35*$C84)+(AL35*$C84)+(AM35*$C84)/$E$7</f>
        <v>0</v>
      </c>
      <c r="AN84" s="1087">
        <f>'11.2. ДА за периода'!AN84</f>
        <v>0</v>
      </c>
      <c r="AO84" s="2760">
        <f t="shared" ref="AO84:AO93" si="256">($AO35*$C84)/$E$7</f>
        <v>0</v>
      </c>
      <c r="AP84" s="2758">
        <f t="shared" ref="AP84:AP93" si="257">($AO35*$C84)+($AP35*$C84)/$E$7</f>
        <v>0</v>
      </c>
      <c r="AQ84" s="2758">
        <f t="shared" ref="AQ84:AQ93" si="258">($AO35*$C84)+($AP35*$C84)+($AQ35*$C84)/$E$7</f>
        <v>0</v>
      </c>
      <c r="AR84" s="2758">
        <f t="shared" ref="AR84:AR93" si="259">($AO35*$C84)+($AP35*$C84)+($AQ35*$C84)+($AR35*$C84)/$E$7</f>
        <v>0</v>
      </c>
      <c r="AS84" s="2758">
        <f t="shared" ref="AS84:AS93" si="260">($AO35*$C84)+($AP35*$C84)+($AQ35*$C84)+($AR35*$C84)+($AS35*$C84)/$E$7</f>
        <v>0</v>
      </c>
      <c r="AT84" s="2761">
        <f t="shared" ref="AT84:AT93" si="261">($AO35*$C84)+($AP35*$C84)+($AQ35*$C84)+($AR35*$C84)+($AS35*$C84)+($AT35*$C84)/$E$7</f>
        <v>0</v>
      </c>
      <c r="AU84" s="4422"/>
      <c r="AV84" s="4438">
        <f t="shared" si="162"/>
        <v>0</v>
      </c>
      <c r="AW84" s="4438">
        <f t="shared" si="163"/>
        <v>0</v>
      </c>
      <c r="AX84" s="4438">
        <f t="shared" si="164"/>
        <v>0</v>
      </c>
      <c r="AY84" s="4438">
        <f t="shared" si="165"/>
        <v>0</v>
      </c>
      <c r="AZ84" s="4438">
        <f t="shared" si="166"/>
        <v>0</v>
      </c>
      <c r="BA84" s="4438">
        <f t="shared" si="167"/>
        <v>0</v>
      </c>
      <c r="BB84" s="4438">
        <f t="shared" si="168"/>
        <v>0</v>
      </c>
      <c r="BC84" s="4438">
        <f t="shared" si="169"/>
        <v>0</v>
      </c>
      <c r="BD84" s="4438">
        <f t="shared" si="170"/>
        <v>0</v>
      </c>
      <c r="BE84" s="4438">
        <f t="shared" si="171"/>
        <v>0</v>
      </c>
      <c r="BF84" s="4438">
        <f t="shared" si="172"/>
        <v>0</v>
      </c>
      <c r="BG84" s="4438">
        <f t="shared" si="173"/>
        <v>0</v>
      </c>
      <c r="BH84" s="4438">
        <f t="shared" si="174"/>
        <v>0</v>
      </c>
      <c r="BI84" s="4438">
        <f t="shared" si="175"/>
        <v>0</v>
      </c>
      <c r="BJ84" s="4438">
        <f t="shared" si="176"/>
        <v>0</v>
      </c>
      <c r="BK84" s="4438">
        <f t="shared" si="177"/>
        <v>0</v>
      </c>
      <c r="BL84" s="4438">
        <f t="shared" si="178"/>
        <v>0</v>
      </c>
      <c r="BM84" s="4438">
        <f t="shared" si="179"/>
        <v>0</v>
      </c>
      <c r="BN84" s="4438">
        <f t="shared" si="180"/>
        <v>0</v>
      </c>
      <c r="BO84" s="4438">
        <f t="shared" si="181"/>
        <v>0</v>
      </c>
      <c r="BP84" s="4438">
        <f t="shared" si="182"/>
        <v>0</v>
      </c>
      <c r="BQ84" s="4438">
        <f t="shared" si="183"/>
        <v>0</v>
      </c>
      <c r="BR84" s="4438">
        <f t="shared" si="184"/>
        <v>0</v>
      </c>
      <c r="BS84" s="4438">
        <f t="shared" si="185"/>
        <v>0</v>
      </c>
      <c r="BT84" s="4438">
        <f t="shared" si="186"/>
        <v>0</v>
      </c>
      <c r="BU84" s="4438">
        <f t="shared" si="187"/>
        <v>0</v>
      </c>
      <c r="BV84" s="4438">
        <f t="shared" si="188"/>
        <v>0</v>
      </c>
      <c r="BW84" s="4438">
        <f t="shared" si="189"/>
        <v>0</v>
      </c>
      <c r="BX84" s="4438">
        <f t="shared" si="190"/>
        <v>0</v>
      </c>
      <c r="BY84" s="4438">
        <f t="shared" si="191"/>
        <v>0</v>
      </c>
      <c r="BZ84" s="4438">
        <f t="shared" si="192"/>
        <v>0</v>
      </c>
      <c r="CA84" s="4438">
        <f t="shared" si="193"/>
        <v>0</v>
      </c>
      <c r="CB84" s="4438">
        <f t="shared" si="194"/>
        <v>0</v>
      </c>
      <c r="CC84" s="4438">
        <f t="shared" si="195"/>
        <v>0</v>
      </c>
      <c r="CD84" s="4438">
        <f t="shared" si="196"/>
        <v>0</v>
      </c>
      <c r="CE84" s="4438">
        <f t="shared" si="197"/>
        <v>0</v>
      </c>
      <c r="CF84" s="4438">
        <f t="shared" si="198"/>
        <v>0</v>
      </c>
      <c r="CG84" s="4438">
        <f t="shared" si="199"/>
        <v>0</v>
      </c>
      <c r="CH84" s="4438">
        <f t="shared" si="200"/>
        <v>0</v>
      </c>
      <c r="CI84" s="4438">
        <f t="shared" si="201"/>
        <v>0</v>
      </c>
      <c r="CJ84" s="4438">
        <f t="shared" si="202"/>
        <v>0</v>
      </c>
      <c r="CK84" s="4438">
        <f t="shared" si="203"/>
        <v>0</v>
      </c>
    </row>
    <row r="85" spans="1:89" s="67" customFormat="1">
      <c r="A85" s="2755"/>
      <c r="B85" s="3574">
        <v>2040202</v>
      </c>
      <c r="C85" s="3547">
        <v>0.02</v>
      </c>
      <c r="D85" s="2711" t="s">
        <v>739</v>
      </c>
      <c r="E85" s="2689">
        <f>'11.2. ДА за периода'!E85</f>
        <v>0.4</v>
      </c>
      <c r="F85" s="2757">
        <f t="shared" si="226"/>
        <v>0</v>
      </c>
      <c r="G85" s="2758">
        <f t="shared" si="227"/>
        <v>0</v>
      </c>
      <c r="H85" s="2758">
        <f t="shared" si="228"/>
        <v>0</v>
      </c>
      <c r="I85" s="2758">
        <f t="shared" si="229"/>
        <v>0</v>
      </c>
      <c r="J85" s="2758">
        <f t="shared" si="230"/>
        <v>0</v>
      </c>
      <c r="K85" s="2759">
        <f t="shared" si="231"/>
        <v>0</v>
      </c>
      <c r="L85" s="2689">
        <f>'11.2. ДА за периода'!L85</f>
        <v>0</v>
      </c>
      <c r="M85" s="2760">
        <f t="shared" si="232"/>
        <v>0</v>
      </c>
      <c r="N85" s="2758">
        <f t="shared" si="233"/>
        <v>0</v>
      </c>
      <c r="O85" s="2758">
        <f t="shared" si="234"/>
        <v>0</v>
      </c>
      <c r="P85" s="2758">
        <f t="shared" si="235"/>
        <v>0</v>
      </c>
      <c r="Q85" s="2759">
        <f t="shared" si="236"/>
        <v>0</v>
      </c>
      <c r="R85" s="2761">
        <f t="shared" si="237"/>
        <v>0</v>
      </c>
      <c r="S85" s="1087">
        <f>'11.2. ДА за периода'!S85</f>
        <v>0</v>
      </c>
      <c r="T85" s="2762">
        <f t="shared" si="238"/>
        <v>0</v>
      </c>
      <c r="U85" s="2758">
        <f t="shared" si="239"/>
        <v>0</v>
      </c>
      <c r="V85" s="2758">
        <f t="shared" si="240"/>
        <v>0</v>
      </c>
      <c r="W85" s="2758">
        <f t="shared" si="241"/>
        <v>0</v>
      </c>
      <c r="X85" s="2758">
        <f t="shared" si="242"/>
        <v>0</v>
      </c>
      <c r="Y85" s="2761">
        <f t="shared" si="243"/>
        <v>0</v>
      </c>
      <c r="Z85" s="1087">
        <f>'11.2. ДА за периода'!Z85</f>
        <v>0</v>
      </c>
      <c r="AA85" s="2762">
        <f t="shared" si="244"/>
        <v>0</v>
      </c>
      <c r="AB85" s="2758">
        <f t="shared" si="245"/>
        <v>0</v>
      </c>
      <c r="AC85" s="2758">
        <f t="shared" si="246"/>
        <v>0</v>
      </c>
      <c r="AD85" s="2758">
        <f t="shared" si="247"/>
        <v>0</v>
      </c>
      <c r="AE85" s="2758">
        <f t="shared" si="248"/>
        <v>0</v>
      </c>
      <c r="AF85" s="2759">
        <f t="shared" si="249"/>
        <v>0</v>
      </c>
      <c r="AG85" s="1087">
        <f>'11.2. ДА за периода'!AG85</f>
        <v>0</v>
      </c>
      <c r="AH85" s="2762">
        <f t="shared" si="250"/>
        <v>0</v>
      </c>
      <c r="AI85" s="2758">
        <f t="shared" si="251"/>
        <v>0</v>
      </c>
      <c r="AJ85" s="2758">
        <f t="shared" si="252"/>
        <v>0</v>
      </c>
      <c r="AK85" s="2758">
        <f t="shared" si="253"/>
        <v>0</v>
      </c>
      <c r="AL85" s="2758">
        <f t="shared" si="254"/>
        <v>0</v>
      </c>
      <c r="AM85" s="2759">
        <f t="shared" si="255"/>
        <v>0</v>
      </c>
      <c r="AN85" s="1087">
        <f>'11.2. ДА за периода'!AN85</f>
        <v>0</v>
      </c>
      <c r="AO85" s="2760">
        <f t="shared" si="256"/>
        <v>0</v>
      </c>
      <c r="AP85" s="2758">
        <f t="shared" si="257"/>
        <v>0</v>
      </c>
      <c r="AQ85" s="2758">
        <f t="shared" si="258"/>
        <v>0</v>
      </c>
      <c r="AR85" s="2758">
        <f t="shared" si="259"/>
        <v>0</v>
      </c>
      <c r="AS85" s="2758">
        <f t="shared" si="260"/>
        <v>0</v>
      </c>
      <c r="AT85" s="2761">
        <f t="shared" si="261"/>
        <v>0</v>
      </c>
      <c r="AU85" s="4422"/>
      <c r="AV85" s="4438">
        <f t="shared" si="162"/>
        <v>0.20451675247848741</v>
      </c>
      <c r="AW85" s="4438">
        <f t="shared" si="163"/>
        <v>0</v>
      </c>
      <c r="AX85" s="4438">
        <f t="shared" si="164"/>
        <v>0</v>
      </c>
      <c r="AY85" s="4438">
        <f t="shared" si="165"/>
        <v>0</v>
      </c>
      <c r="AZ85" s="4438">
        <f t="shared" si="166"/>
        <v>0</v>
      </c>
      <c r="BA85" s="4438">
        <f t="shared" si="167"/>
        <v>0</v>
      </c>
      <c r="BB85" s="4438">
        <f t="shared" si="168"/>
        <v>0</v>
      </c>
      <c r="BC85" s="4438">
        <f t="shared" si="169"/>
        <v>0</v>
      </c>
      <c r="BD85" s="4438">
        <f t="shared" si="170"/>
        <v>0</v>
      </c>
      <c r="BE85" s="4438">
        <f t="shared" si="171"/>
        <v>0</v>
      </c>
      <c r="BF85" s="4438">
        <f t="shared" si="172"/>
        <v>0</v>
      </c>
      <c r="BG85" s="4438">
        <f t="shared" si="173"/>
        <v>0</v>
      </c>
      <c r="BH85" s="4438">
        <f t="shared" si="174"/>
        <v>0</v>
      </c>
      <c r="BI85" s="4438">
        <f t="shared" si="175"/>
        <v>0</v>
      </c>
      <c r="BJ85" s="4438">
        <f t="shared" si="176"/>
        <v>0</v>
      </c>
      <c r="BK85" s="4438">
        <f t="shared" si="177"/>
        <v>0</v>
      </c>
      <c r="BL85" s="4438">
        <f t="shared" si="178"/>
        <v>0</v>
      </c>
      <c r="BM85" s="4438">
        <f t="shared" si="179"/>
        <v>0</v>
      </c>
      <c r="BN85" s="4438">
        <f t="shared" si="180"/>
        <v>0</v>
      </c>
      <c r="BO85" s="4438">
        <f t="shared" si="181"/>
        <v>0</v>
      </c>
      <c r="BP85" s="4438">
        <f t="shared" si="182"/>
        <v>0</v>
      </c>
      <c r="BQ85" s="4438">
        <f t="shared" si="183"/>
        <v>0</v>
      </c>
      <c r="BR85" s="4438">
        <f t="shared" si="184"/>
        <v>0</v>
      </c>
      <c r="BS85" s="4438">
        <f t="shared" si="185"/>
        <v>0</v>
      </c>
      <c r="BT85" s="4438">
        <f t="shared" si="186"/>
        <v>0</v>
      </c>
      <c r="BU85" s="4438">
        <f t="shared" si="187"/>
        <v>0</v>
      </c>
      <c r="BV85" s="4438">
        <f t="shared" si="188"/>
        <v>0</v>
      </c>
      <c r="BW85" s="4438">
        <f t="shared" si="189"/>
        <v>0</v>
      </c>
      <c r="BX85" s="4438">
        <f t="shared" si="190"/>
        <v>0</v>
      </c>
      <c r="BY85" s="4438">
        <f t="shared" si="191"/>
        <v>0</v>
      </c>
      <c r="BZ85" s="4438">
        <f t="shared" si="192"/>
        <v>0</v>
      </c>
      <c r="CA85" s="4438">
        <f t="shared" si="193"/>
        <v>0</v>
      </c>
      <c r="CB85" s="4438">
        <f t="shared" si="194"/>
        <v>0</v>
      </c>
      <c r="CC85" s="4438">
        <f t="shared" si="195"/>
        <v>0</v>
      </c>
      <c r="CD85" s="4438">
        <f t="shared" si="196"/>
        <v>0</v>
      </c>
      <c r="CE85" s="4438">
        <f t="shared" si="197"/>
        <v>0</v>
      </c>
      <c r="CF85" s="4438">
        <f t="shared" si="198"/>
        <v>0</v>
      </c>
      <c r="CG85" s="4438">
        <f t="shared" si="199"/>
        <v>0</v>
      </c>
      <c r="CH85" s="4438">
        <f t="shared" si="200"/>
        <v>0</v>
      </c>
      <c r="CI85" s="4438">
        <f t="shared" si="201"/>
        <v>0</v>
      </c>
      <c r="CJ85" s="4438">
        <f t="shared" si="202"/>
        <v>0</v>
      </c>
      <c r="CK85" s="4438">
        <f t="shared" si="203"/>
        <v>0</v>
      </c>
    </row>
    <row r="86" spans="1:89" s="67" customFormat="1">
      <c r="A86" s="2755"/>
      <c r="B86" s="3574">
        <v>2040203</v>
      </c>
      <c r="C86" s="3547">
        <v>0.02</v>
      </c>
      <c r="D86" s="2711" t="s">
        <v>418</v>
      </c>
      <c r="E86" s="2689">
        <f>'11.2. ДА за периода'!E86</f>
        <v>0</v>
      </c>
      <c r="F86" s="2757">
        <f t="shared" si="226"/>
        <v>0</v>
      </c>
      <c r="G86" s="2758">
        <f t="shared" si="227"/>
        <v>0</v>
      </c>
      <c r="H86" s="2758">
        <f t="shared" si="228"/>
        <v>0</v>
      </c>
      <c r="I86" s="2758">
        <f t="shared" si="229"/>
        <v>0</v>
      </c>
      <c r="J86" s="2758">
        <f t="shared" si="230"/>
        <v>0</v>
      </c>
      <c r="K86" s="2759">
        <f t="shared" si="231"/>
        <v>0</v>
      </c>
      <c r="L86" s="2689">
        <f>'11.2. ДА за периода'!L86</f>
        <v>0</v>
      </c>
      <c r="M86" s="2760">
        <f t="shared" si="232"/>
        <v>0</v>
      </c>
      <c r="N86" s="2758">
        <f t="shared" si="233"/>
        <v>0</v>
      </c>
      <c r="O86" s="2758">
        <f t="shared" si="234"/>
        <v>0</v>
      </c>
      <c r="P86" s="2758">
        <f t="shared" si="235"/>
        <v>0</v>
      </c>
      <c r="Q86" s="2759">
        <f t="shared" si="236"/>
        <v>0</v>
      </c>
      <c r="R86" s="2761">
        <f t="shared" si="237"/>
        <v>0</v>
      </c>
      <c r="S86" s="1087">
        <f>'11.2. ДА за периода'!S86</f>
        <v>0</v>
      </c>
      <c r="T86" s="2762">
        <f t="shared" si="238"/>
        <v>0</v>
      </c>
      <c r="U86" s="2758">
        <f t="shared" si="239"/>
        <v>0</v>
      </c>
      <c r="V86" s="2758">
        <f t="shared" si="240"/>
        <v>0</v>
      </c>
      <c r="W86" s="2758">
        <f t="shared" si="241"/>
        <v>0</v>
      </c>
      <c r="X86" s="2758">
        <f t="shared" si="242"/>
        <v>0</v>
      </c>
      <c r="Y86" s="2761">
        <f t="shared" si="243"/>
        <v>0</v>
      </c>
      <c r="Z86" s="1087">
        <f>'11.2. ДА за периода'!Z86</f>
        <v>0</v>
      </c>
      <c r="AA86" s="2762">
        <f t="shared" si="244"/>
        <v>0</v>
      </c>
      <c r="AB86" s="2758">
        <f t="shared" si="245"/>
        <v>0</v>
      </c>
      <c r="AC86" s="2758">
        <f t="shared" si="246"/>
        <v>0</v>
      </c>
      <c r="AD86" s="2758">
        <f t="shared" si="247"/>
        <v>0</v>
      </c>
      <c r="AE86" s="2758">
        <f t="shared" si="248"/>
        <v>0</v>
      </c>
      <c r="AF86" s="2759">
        <f t="shared" si="249"/>
        <v>0</v>
      </c>
      <c r="AG86" s="1087">
        <f>'11.2. ДА за периода'!AG86</f>
        <v>0</v>
      </c>
      <c r="AH86" s="2762">
        <f t="shared" si="250"/>
        <v>0</v>
      </c>
      <c r="AI86" s="2758">
        <f t="shared" si="251"/>
        <v>0</v>
      </c>
      <c r="AJ86" s="2758">
        <f t="shared" si="252"/>
        <v>0</v>
      </c>
      <c r="AK86" s="2758">
        <f t="shared" si="253"/>
        <v>0</v>
      </c>
      <c r="AL86" s="2758">
        <f t="shared" si="254"/>
        <v>0</v>
      </c>
      <c r="AM86" s="2759">
        <f t="shared" si="255"/>
        <v>0</v>
      </c>
      <c r="AN86" s="1087">
        <f>'11.2. ДА за периода'!AN86</f>
        <v>0</v>
      </c>
      <c r="AO86" s="2760">
        <f t="shared" si="256"/>
        <v>0</v>
      </c>
      <c r="AP86" s="2758">
        <f t="shared" si="257"/>
        <v>0</v>
      </c>
      <c r="AQ86" s="2758">
        <f t="shared" si="258"/>
        <v>0</v>
      </c>
      <c r="AR86" s="2758">
        <f t="shared" si="259"/>
        <v>0</v>
      </c>
      <c r="AS86" s="2758">
        <f t="shared" si="260"/>
        <v>0</v>
      </c>
      <c r="AT86" s="2761">
        <f t="shared" si="261"/>
        <v>0</v>
      </c>
      <c r="AU86" s="4422"/>
      <c r="AV86" s="4438">
        <f t="shared" si="162"/>
        <v>0</v>
      </c>
      <c r="AW86" s="4438">
        <f t="shared" si="163"/>
        <v>0</v>
      </c>
      <c r="AX86" s="4438">
        <f t="shared" si="164"/>
        <v>0</v>
      </c>
      <c r="AY86" s="4438">
        <f t="shared" si="165"/>
        <v>0</v>
      </c>
      <c r="AZ86" s="4438">
        <f t="shared" si="166"/>
        <v>0</v>
      </c>
      <c r="BA86" s="4438">
        <f t="shared" si="167"/>
        <v>0</v>
      </c>
      <c r="BB86" s="4438">
        <f t="shared" si="168"/>
        <v>0</v>
      </c>
      <c r="BC86" s="4438">
        <f t="shared" si="169"/>
        <v>0</v>
      </c>
      <c r="BD86" s="4438">
        <f t="shared" si="170"/>
        <v>0</v>
      </c>
      <c r="BE86" s="4438">
        <f t="shared" si="171"/>
        <v>0</v>
      </c>
      <c r="BF86" s="4438">
        <f t="shared" si="172"/>
        <v>0</v>
      </c>
      <c r="BG86" s="4438">
        <f t="shared" si="173"/>
        <v>0</v>
      </c>
      <c r="BH86" s="4438">
        <f t="shared" si="174"/>
        <v>0</v>
      </c>
      <c r="BI86" s="4438">
        <f t="shared" si="175"/>
        <v>0</v>
      </c>
      <c r="BJ86" s="4438">
        <f t="shared" si="176"/>
        <v>0</v>
      </c>
      <c r="BK86" s="4438">
        <f t="shared" si="177"/>
        <v>0</v>
      </c>
      <c r="BL86" s="4438">
        <f t="shared" si="178"/>
        <v>0</v>
      </c>
      <c r="BM86" s="4438">
        <f t="shared" si="179"/>
        <v>0</v>
      </c>
      <c r="BN86" s="4438">
        <f t="shared" si="180"/>
        <v>0</v>
      </c>
      <c r="BO86" s="4438">
        <f t="shared" si="181"/>
        <v>0</v>
      </c>
      <c r="BP86" s="4438">
        <f t="shared" si="182"/>
        <v>0</v>
      </c>
      <c r="BQ86" s="4438">
        <f t="shared" si="183"/>
        <v>0</v>
      </c>
      <c r="BR86" s="4438">
        <f t="shared" si="184"/>
        <v>0</v>
      </c>
      <c r="BS86" s="4438">
        <f t="shared" si="185"/>
        <v>0</v>
      </c>
      <c r="BT86" s="4438">
        <f t="shared" si="186"/>
        <v>0</v>
      </c>
      <c r="BU86" s="4438">
        <f t="shared" si="187"/>
        <v>0</v>
      </c>
      <c r="BV86" s="4438">
        <f t="shared" si="188"/>
        <v>0</v>
      </c>
      <c r="BW86" s="4438">
        <f t="shared" si="189"/>
        <v>0</v>
      </c>
      <c r="BX86" s="4438">
        <f t="shared" si="190"/>
        <v>0</v>
      </c>
      <c r="BY86" s="4438">
        <f t="shared" si="191"/>
        <v>0</v>
      </c>
      <c r="BZ86" s="4438">
        <f t="shared" si="192"/>
        <v>0</v>
      </c>
      <c r="CA86" s="4438">
        <f t="shared" si="193"/>
        <v>0</v>
      </c>
      <c r="CB86" s="4438">
        <f t="shared" si="194"/>
        <v>0</v>
      </c>
      <c r="CC86" s="4438">
        <f t="shared" si="195"/>
        <v>0</v>
      </c>
      <c r="CD86" s="4438">
        <f t="shared" si="196"/>
        <v>0</v>
      </c>
      <c r="CE86" s="4438">
        <f t="shared" si="197"/>
        <v>0</v>
      </c>
      <c r="CF86" s="4438">
        <f t="shared" si="198"/>
        <v>0</v>
      </c>
      <c r="CG86" s="4438">
        <f t="shared" si="199"/>
        <v>0</v>
      </c>
      <c r="CH86" s="4438">
        <f t="shared" si="200"/>
        <v>0</v>
      </c>
      <c r="CI86" s="4438">
        <f t="shared" si="201"/>
        <v>0</v>
      </c>
      <c r="CJ86" s="4438">
        <f t="shared" si="202"/>
        <v>0</v>
      </c>
      <c r="CK86" s="4438">
        <f t="shared" si="203"/>
        <v>0</v>
      </c>
    </row>
    <row r="87" spans="1:89" s="67" customFormat="1">
      <c r="A87" s="2755"/>
      <c r="B87" s="3574">
        <v>2040204</v>
      </c>
      <c r="C87" s="3547">
        <v>0.02</v>
      </c>
      <c r="D87" s="2713" t="s">
        <v>419</v>
      </c>
      <c r="E87" s="2689">
        <f>'11.2. ДА за периода'!E87</f>
        <v>0.47000000000000003</v>
      </c>
      <c r="F87" s="2757">
        <f t="shared" si="226"/>
        <v>0</v>
      </c>
      <c r="G87" s="2758">
        <f t="shared" si="227"/>
        <v>0.15</v>
      </c>
      <c r="H87" s="2758">
        <f t="shared" si="228"/>
        <v>0.3</v>
      </c>
      <c r="I87" s="2758">
        <f t="shared" si="229"/>
        <v>0.3</v>
      </c>
      <c r="J87" s="2758">
        <f t="shared" si="230"/>
        <v>0.32</v>
      </c>
      <c r="K87" s="2759">
        <f t="shared" si="231"/>
        <v>0.6</v>
      </c>
      <c r="L87" s="2689">
        <f>'11.2. ДА за периода'!L87</f>
        <v>0</v>
      </c>
      <c r="M87" s="2760">
        <f t="shared" si="232"/>
        <v>0</v>
      </c>
      <c r="N87" s="2758">
        <f t="shared" si="233"/>
        <v>0</v>
      </c>
      <c r="O87" s="2758">
        <f t="shared" si="234"/>
        <v>0</v>
      </c>
      <c r="P87" s="2758">
        <f t="shared" si="235"/>
        <v>0</v>
      </c>
      <c r="Q87" s="2759">
        <f t="shared" si="236"/>
        <v>0</v>
      </c>
      <c r="R87" s="2761">
        <f t="shared" si="237"/>
        <v>0</v>
      </c>
      <c r="S87" s="1087">
        <f>'11.2. ДА за периода'!S87</f>
        <v>0</v>
      </c>
      <c r="T87" s="2762">
        <f t="shared" si="238"/>
        <v>0</v>
      </c>
      <c r="U87" s="2758">
        <f t="shared" si="239"/>
        <v>0</v>
      </c>
      <c r="V87" s="2758">
        <f t="shared" si="240"/>
        <v>0</v>
      </c>
      <c r="W87" s="2758">
        <f t="shared" si="241"/>
        <v>0</v>
      </c>
      <c r="X87" s="2758">
        <f t="shared" si="242"/>
        <v>0</v>
      </c>
      <c r="Y87" s="2761">
        <f t="shared" si="243"/>
        <v>0</v>
      </c>
      <c r="Z87" s="1087">
        <f>'11.2. ДА за периода'!Z87</f>
        <v>0</v>
      </c>
      <c r="AA87" s="2762">
        <f t="shared" si="244"/>
        <v>0</v>
      </c>
      <c r="AB87" s="2758">
        <f t="shared" si="245"/>
        <v>0</v>
      </c>
      <c r="AC87" s="2758">
        <f t="shared" si="246"/>
        <v>0</v>
      </c>
      <c r="AD87" s="2758">
        <f t="shared" si="247"/>
        <v>0</v>
      </c>
      <c r="AE87" s="2758">
        <f t="shared" si="248"/>
        <v>0</v>
      </c>
      <c r="AF87" s="2759">
        <f t="shared" si="249"/>
        <v>0</v>
      </c>
      <c r="AG87" s="1087">
        <f>'11.2. ДА за периода'!AG87</f>
        <v>0</v>
      </c>
      <c r="AH87" s="2762">
        <f t="shared" si="250"/>
        <v>0</v>
      </c>
      <c r="AI87" s="2758">
        <f t="shared" si="251"/>
        <v>0</v>
      </c>
      <c r="AJ87" s="2758">
        <f t="shared" si="252"/>
        <v>0</v>
      </c>
      <c r="AK87" s="2758">
        <f t="shared" si="253"/>
        <v>0</v>
      </c>
      <c r="AL87" s="2758">
        <f t="shared" si="254"/>
        <v>0</v>
      </c>
      <c r="AM87" s="2759">
        <f t="shared" si="255"/>
        <v>0</v>
      </c>
      <c r="AN87" s="1087">
        <f>'11.2. ДА за периода'!AN87</f>
        <v>0</v>
      </c>
      <c r="AO87" s="2760">
        <f t="shared" si="256"/>
        <v>0</v>
      </c>
      <c r="AP87" s="2758">
        <f t="shared" si="257"/>
        <v>0</v>
      </c>
      <c r="AQ87" s="2758">
        <f t="shared" si="258"/>
        <v>0</v>
      </c>
      <c r="AR87" s="2758">
        <f t="shared" si="259"/>
        <v>0</v>
      </c>
      <c r="AS87" s="2758">
        <f t="shared" si="260"/>
        <v>0</v>
      </c>
      <c r="AT87" s="2761">
        <f t="shared" si="261"/>
        <v>0</v>
      </c>
      <c r="AU87" s="4422"/>
      <c r="AV87" s="4438">
        <f t="shared" si="162"/>
        <v>0.24030718416222271</v>
      </c>
      <c r="AW87" s="4438">
        <f t="shared" si="163"/>
        <v>0</v>
      </c>
      <c r="AX87" s="4438">
        <f t="shared" si="164"/>
        <v>7.6693782179432776E-2</v>
      </c>
      <c r="AY87" s="4438">
        <f t="shared" si="165"/>
        <v>0.15338756435886555</v>
      </c>
      <c r="AZ87" s="4438">
        <f t="shared" si="166"/>
        <v>0.15338756435886555</v>
      </c>
      <c r="BA87" s="4438">
        <f t="shared" si="167"/>
        <v>0.16361340198278992</v>
      </c>
      <c r="BB87" s="4438">
        <f t="shared" si="168"/>
        <v>0.3067751287177311</v>
      </c>
      <c r="BC87" s="4438">
        <f t="shared" si="169"/>
        <v>0</v>
      </c>
      <c r="BD87" s="4438">
        <f t="shared" si="170"/>
        <v>0</v>
      </c>
      <c r="BE87" s="4438">
        <f t="shared" si="171"/>
        <v>0</v>
      </c>
      <c r="BF87" s="4438">
        <f t="shared" si="172"/>
        <v>0</v>
      </c>
      <c r="BG87" s="4438">
        <f t="shared" si="173"/>
        <v>0</v>
      </c>
      <c r="BH87" s="4438">
        <f t="shared" si="174"/>
        <v>0</v>
      </c>
      <c r="BI87" s="4438">
        <f t="shared" si="175"/>
        <v>0</v>
      </c>
      <c r="BJ87" s="4438">
        <f t="shared" si="176"/>
        <v>0</v>
      </c>
      <c r="BK87" s="4438">
        <f t="shared" si="177"/>
        <v>0</v>
      </c>
      <c r="BL87" s="4438">
        <f t="shared" si="178"/>
        <v>0</v>
      </c>
      <c r="BM87" s="4438">
        <f t="shared" si="179"/>
        <v>0</v>
      </c>
      <c r="BN87" s="4438">
        <f t="shared" si="180"/>
        <v>0</v>
      </c>
      <c r="BO87" s="4438">
        <f t="shared" si="181"/>
        <v>0</v>
      </c>
      <c r="BP87" s="4438">
        <f t="shared" si="182"/>
        <v>0</v>
      </c>
      <c r="BQ87" s="4438">
        <f t="shared" si="183"/>
        <v>0</v>
      </c>
      <c r="BR87" s="4438">
        <f t="shared" si="184"/>
        <v>0</v>
      </c>
      <c r="BS87" s="4438">
        <f t="shared" si="185"/>
        <v>0</v>
      </c>
      <c r="BT87" s="4438">
        <f t="shared" si="186"/>
        <v>0</v>
      </c>
      <c r="BU87" s="4438">
        <f t="shared" si="187"/>
        <v>0</v>
      </c>
      <c r="BV87" s="4438">
        <f t="shared" si="188"/>
        <v>0</v>
      </c>
      <c r="BW87" s="4438">
        <f t="shared" si="189"/>
        <v>0</v>
      </c>
      <c r="BX87" s="4438">
        <f t="shared" si="190"/>
        <v>0</v>
      </c>
      <c r="BY87" s="4438">
        <f t="shared" si="191"/>
        <v>0</v>
      </c>
      <c r="BZ87" s="4438">
        <f t="shared" si="192"/>
        <v>0</v>
      </c>
      <c r="CA87" s="4438">
        <f t="shared" si="193"/>
        <v>0</v>
      </c>
      <c r="CB87" s="4438">
        <f t="shared" si="194"/>
        <v>0</v>
      </c>
      <c r="CC87" s="4438">
        <f t="shared" si="195"/>
        <v>0</v>
      </c>
      <c r="CD87" s="4438">
        <f t="shared" si="196"/>
        <v>0</v>
      </c>
      <c r="CE87" s="4438">
        <f t="shared" si="197"/>
        <v>0</v>
      </c>
      <c r="CF87" s="4438">
        <f t="shared" si="198"/>
        <v>0</v>
      </c>
      <c r="CG87" s="4438">
        <f t="shared" si="199"/>
        <v>0</v>
      </c>
      <c r="CH87" s="4438">
        <f t="shared" si="200"/>
        <v>0</v>
      </c>
      <c r="CI87" s="4438">
        <f t="shared" si="201"/>
        <v>0</v>
      </c>
      <c r="CJ87" s="4438">
        <f t="shared" si="202"/>
        <v>0</v>
      </c>
      <c r="CK87" s="4438">
        <f t="shared" si="203"/>
        <v>0</v>
      </c>
    </row>
    <row r="88" spans="1:89" s="67" customFormat="1">
      <c r="A88" s="2755"/>
      <c r="B88" s="3574">
        <v>2040205</v>
      </c>
      <c r="C88" s="3547">
        <v>0.02</v>
      </c>
      <c r="D88" s="2711" t="s">
        <v>420</v>
      </c>
      <c r="E88" s="2689">
        <f>'11.2. ДА за периода'!E88</f>
        <v>5.83</v>
      </c>
      <c r="F88" s="2757">
        <f t="shared" si="226"/>
        <v>6</v>
      </c>
      <c r="G88" s="2758">
        <f t="shared" si="227"/>
        <v>38.825769520000009</v>
      </c>
      <c r="H88" s="2758">
        <f t="shared" si="228"/>
        <v>114.83307808000004</v>
      </c>
      <c r="I88" s="2758">
        <f t="shared" si="229"/>
        <v>215.32615616000004</v>
      </c>
      <c r="J88" s="2758">
        <f t="shared" si="230"/>
        <v>271.93769520000006</v>
      </c>
      <c r="K88" s="2759">
        <f t="shared" si="231"/>
        <v>282.53769520000009</v>
      </c>
      <c r="L88" s="2689">
        <f>'11.2. ДА за периода'!L88</f>
        <v>0</v>
      </c>
      <c r="M88" s="2760">
        <f t="shared" si="232"/>
        <v>0</v>
      </c>
      <c r="N88" s="2758">
        <f t="shared" si="233"/>
        <v>0</v>
      </c>
      <c r="O88" s="2758">
        <f t="shared" si="234"/>
        <v>0</v>
      </c>
      <c r="P88" s="2758">
        <f t="shared" si="235"/>
        <v>0</v>
      </c>
      <c r="Q88" s="2759">
        <f t="shared" si="236"/>
        <v>0</v>
      </c>
      <c r="R88" s="2761">
        <f t="shared" si="237"/>
        <v>0</v>
      </c>
      <c r="S88" s="1087">
        <f>'11.2. ДА за периода'!S88</f>
        <v>0</v>
      </c>
      <c r="T88" s="2762">
        <f t="shared" si="238"/>
        <v>0</v>
      </c>
      <c r="U88" s="2758">
        <f t="shared" si="239"/>
        <v>0</v>
      </c>
      <c r="V88" s="2758">
        <f t="shared" si="240"/>
        <v>0</v>
      </c>
      <c r="W88" s="2758">
        <f t="shared" si="241"/>
        <v>0</v>
      </c>
      <c r="X88" s="2758">
        <f t="shared" si="242"/>
        <v>0</v>
      </c>
      <c r="Y88" s="2761">
        <f t="shared" si="243"/>
        <v>0</v>
      </c>
      <c r="Z88" s="1087">
        <f>'11.2. ДА за периода'!Z88</f>
        <v>0</v>
      </c>
      <c r="AA88" s="2762">
        <f t="shared" si="244"/>
        <v>0</v>
      </c>
      <c r="AB88" s="2758">
        <f t="shared" si="245"/>
        <v>0</v>
      </c>
      <c r="AC88" s="2758">
        <f t="shared" si="246"/>
        <v>0</v>
      </c>
      <c r="AD88" s="2758">
        <f t="shared" si="247"/>
        <v>0</v>
      </c>
      <c r="AE88" s="2758">
        <f t="shared" si="248"/>
        <v>0</v>
      </c>
      <c r="AF88" s="2759">
        <f t="shared" si="249"/>
        <v>0</v>
      </c>
      <c r="AG88" s="1087">
        <f>'11.2. ДА за периода'!AG88</f>
        <v>0</v>
      </c>
      <c r="AH88" s="2762">
        <f t="shared" si="250"/>
        <v>0</v>
      </c>
      <c r="AI88" s="2758">
        <f t="shared" si="251"/>
        <v>0</v>
      </c>
      <c r="AJ88" s="2758">
        <f t="shared" si="252"/>
        <v>0</v>
      </c>
      <c r="AK88" s="2758">
        <f t="shared" si="253"/>
        <v>0</v>
      </c>
      <c r="AL88" s="2758">
        <f t="shared" si="254"/>
        <v>0</v>
      </c>
      <c r="AM88" s="2759">
        <f t="shared" si="255"/>
        <v>0</v>
      </c>
      <c r="AN88" s="1087">
        <f>'11.2. ДА за периода'!AN88</f>
        <v>0</v>
      </c>
      <c r="AO88" s="2760">
        <f t="shared" si="256"/>
        <v>0</v>
      </c>
      <c r="AP88" s="2758">
        <f t="shared" si="257"/>
        <v>0</v>
      </c>
      <c r="AQ88" s="2758">
        <f t="shared" si="258"/>
        <v>0</v>
      </c>
      <c r="AR88" s="2758">
        <f t="shared" si="259"/>
        <v>0</v>
      </c>
      <c r="AS88" s="2758">
        <f t="shared" si="260"/>
        <v>0</v>
      </c>
      <c r="AT88" s="2761">
        <f t="shared" si="261"/>
        <v>0</v>
      </c>
      <c r="AU88" s="4422"/>
      <c r="AV88" s="4438">
        <f t="shared" si="162"/>
        <v>2.9808316673739537</v>
      </c>
      <c r="AW88" s="4438">
        <f t="shared" si="163"/>
        <v>3.0677512871773112</v>
      </c>
      <c r="AX88" s="4438">
        <f t="shared" si="164"/>
        <v>19.851300736771606</v>
      </c>
      <c r="AY88" s="4438">
        <f t="shared" si="165"/>
        <v>58.713220515075463</v>
      </c>
      <c r="AZ88" s="4438">
        <f t="shared" si="166"/>
        <v>110.09451545379713</v>
      </c>
      <c r="BA88" s="4438">
        <f t="shared" si="167"/>
        <v>139.03953574697192</v>
      </c>
      <c r="BB88" s="4438">
        <f t="shared" si="168"/>
        <v>144.45922968765183</v>
      </c>
      <c r="BC88" s="4438">
        <f t="shared" si="169"/>
        <v>0</v>
      </c>
      <c r="BD88" s="4438">
        <f t="shared" si="170"/>
        <v>0</v>
      </c>
      <c r="BE88" s="4438">
        <f t="shared" si="171"/>
        <v>0</v>
      </c>
      <c r="BF88" s="4438">
        <f t="shared" si="172"/>
        <v>0</v>
      </c>
      <c r="BG88" s="4438">
        <f t="shared" si="173"/>
        <v>0</v>
      </c>
      <c r="BH88" s="4438">
        <f t="shared" si="174"/>
        <v>0</v>
      </c>
      <c r="BI88" s="4438">
        <f t="shared" si="175"/>
        <v>0</v>
      </c>
      <c r="BJ88" s="4438">
        <f t="shared" si="176"/>
        <v>0</v>
      </c>
      <c r="BK88" s="4438">
        <f t="shared" si="177"/>
        <v>0</v>
      </c>
      <c r="BL88" s="4438">
        <f t="shared" si="178"/>
        <v>0</v>
      </c>
      <c r="BM88" s="4438">
        <f t="shared" si="179"/>
        <v>0</v>
      </c>
      <c r="BN88" s="4438">
        <f t="shared" si="180"/>
        <v>0</v>
      </c>
      <c r="BO88" s="4438">
        <f t="shared" si="181"/>
        <v>0</v>
      </c>
      <c r="BP88" s="4438">
        <f t="shared" si="182"/>
        <v>0</v>
      </c>
      <c r="BQ88" s="4438">
        <f t="shared" si="183"/>
        <v>0</v>
      </c>
      <c r="BR88" s="4438">
        <f t="shared" si="184"/>
        <v>0</v>
      </c>
      <c r="BS88" s="4438">
        <f t="shared" si="185"/>
        <v>0</v>
      </c>
      <c r="BT88" s="4438">
        <f t="shared" si="186"/>
        <v>0</v>
      </c>
      <c r="BU88" s="4438">
        <f t="shared" si="187"/>
        <v>0</v>
      </c>
      <c r="BV88" s="4438">
        <f t="shared" si="188"/>
        <v>0</v>
      </c>
      <c r="BW88" s="4438">
        <f t="shared" si="189"/>
        <v>0</v>
      </c>
      <c r="BX88" s="4438">
        <f t="shared" si="190"/>
        <v>0</v>
      </c>
      <c r="BY88" s="4438">
        <f t="shared" si="191"/>
        <v>0</v>
      </c>
      <c r="BZ88" s="4438">
        <f t="shared" si="192"/>
        <v>0</v>
      </c>
      <c r="CA88" s="4438">
        <f t="shared" si="193"/>
        <v>0</v>
      </c>
      <c r="CB88" s="4438">
        <f t="shared" si="194"/>
        <v>0</v>
      </c>
      <c r="CC88" s="4438">
        <f t="shared" si="195"/>
        <v>0</v>
      </c>
      <c r="CD88" s="4438">
        <f t="shared" si="196"/>
        <v>0</v>
      </c>
      <c r="CE88" s="4438">
        <f t="shared" si="197"/>
        <v>0</v>
      </c>
      <c r="CF88" s="4438">
        <f t="shared" si="198"/>
        <v>0</v>
      </c>
      <c r="CG88" s="4438">
        <f t="shared" si="199"/>
        <v>0</v>
      </c>
      <c r="CH88" s="4438">
        <f t="shared" si="200"/>
        <v>0</v>
      </c>
      <c r="CI88" s="4438">
        <f t="shared" si="201"/>
        <v>0</v>
      </c>
      <c r="CJ88" s="4438">
        <f t="shared" si="202"/>
        <v>0</v>
      </c>
      <c r="CK88" s="4438">
        <f t="shared" si="203"/>
        <v>0</v>
      </c>
    </row>
    <row r="89" spans="1:89" s="67" customFormat="1">
      <c r="A89" s="2755"/>
      <c r="B89" s="3574">
        <v>2040206</v>
      </c>
      <c r="C89" s="3547">
        <v>0.02</v>
      </c>
      <c r="D89" s="2711" t="s">
        <v>421</v>
      </c>
      <c r="E89" s="2689">
        <f>'11.2. ДА за периода'!E89</f>
        <v>0</v>
      </c>
      <c r="F89" s="2757">
        <f t="shared" si="226"/>
        <v>0</v>
      </c>
      <c r="G89" s="2758">
        <f t="shared" si="227"/>
        <v>0</v>
      </c>
      <c r="H89" s="2758">
        <f t="shared" si="228"/>
        <v>0</v>
      </c>
      <c r="I89" s="2758">
        <f t="shared" si="229"/>
        <v>0</v>
      </c>
      <c r="J89" s="2758">
        <f t="shared" si="230"/>
        <v>0</v>
      </c>
      <c r="K89" s="2759">
        <f t="shared" si="231"/>
        <v>0</v>
      </c>
      <c r="L89" s="2689">
        <f>'11.2. ДА за периода'!L89</f>
        <v>0.23</v>
      </c>
      <c r="M89" s="2760">
        <f t="shared" si="232"/>
        <v>0.2</v>
      </c>
      <c r="N89" s="2758">
        <f t="shared" si="233"/>
        <v>10.062683600000002</v>
      </c>
      <c r="O89" s="2758">
        <f t="shared" si="234"/>
        <v>39.000734399999999</v>
      </c>
      <c r="P89" s="2758">
        <f t="shared" si="235"/>
        <v>77.001468799999998</v>
      </c>
      <c r="Q89" s="2759">
        <f t="shared" si="236"/>
        <v>95.926836000000009</v>
      </c>
      <c r="R89" s="2761">
        <f t="shared" si="237"/>
        <v>96.376836000000011</v>
      </c>
      <c r="S89" s="1087">
        <f>'11.2. ДА за периода'!S89</f>
        <v>0</v>
      </c>
      <c r="T89" s="2762">
        <f t="shared" si="238"/>
        <v>0</v>
      </c>
      <c r="U89" s="2758">
        <f t="shared" si="239"/>
        <v>0</v>
      </c>
      <c r="V89" s="2758">
        <f t="shared" si="240"/>
        <v>0</v>
      </c>
      <c r="W89" s="2758">
        <f t="shared" si="241"/>
        <v>0</v>
      </c>
      <c r="X89" s="2758">
        <f t="shared" si="242"/>
        <v>0</v>
      </c>
      <c r="Y89" s="2761">
        <f t="shared" si="243"/>
        <v>0</v>
      </c>
      <c r="Z89" s="1087">
        <f>'11.2. ДА за периода'!Z89</f>
        <v>0</v>
      </c>
      <c r="AA89" s="2762">
        <f t="shared" si="244"/>
        <v>0</v>
      </c>
      <c r="AB89" s="2758">
        <f t="shared" si="245"/>
        <v>0</v>
      </c>
      <c r="AC89" s="2758">
        <f t="shared" si="246"/>
        <v>0</v>
      </c>
      <c r="AD89" s="2758">
        <f t="shared" si="247"/>
        <v>0</v>
      </c>
      <c r="AE89" s="2758">
        <f t="shared" si="248"/>
        <v>0</v>
      </c>
      <c r="AF89" s="2759">
        <f t="shared" si="249"/>
        <v>0</v>
      </c>
      <c r="AG89" s="1087">
        <f>'11.2. ДА за периода'!AG89</f>
        <v>0</v>
      </c>
      <c r="AH89" s="2762">
        <f t="shared" si="250"/>
        <v>0</v>
      </c>
      <c r="AI89" s="2758">
        <f t="shared" si="251"/>
        <v>0</v>
      </c>
      <c r="AJ89" s="2758">
        <f t="shared" si="252"/>
        <v>0</v>
      </c>
      <c r="AK89" s="2758">
        <f t="shared" si="253"/>
        <v>0</v>
      </c>
      <c r="AL89" s="2758">
        <f t="shared" si="254"/>
        <v>0</v>
      </c>
      <c r="AM89" s="2759">
        <f t="shared" si="255"/>
        <v>0</v>
      </c>
      <c r="AN89" s="1087">
        <f>'11.2. ДА за периода'!AN89</f>
        <v>0</v>
      </c>
      <c r="AO89" s="2760">
        <f t="shared" si="256"/>
        <v>0</v>
      </c>
      <c r="AP89" s="2758">
        <f t="shared" si="257"/>
        <v>0</v>
      </c>
      <c r="AQ89" s="2758">
        <f t="shared" si="258"/>
        <v>0</v>
      </c>
      <c r="AR89" s="2758">
        <f t="shared" si="259"/>
        <v>0</v>
      </c>
      <c r="AS89" s="2758">
        <f t="shared" si="260"/>
        <v>0</v>
      </c>
      <c r="AT89" s="2761">
        <f t="shared" si="261"/>
        <v>0</v>
      </c>
      <c r="AU89" s="4422"/>
      <c r="AV89" s="4438">
        <f t="shared" si="162"/>
        <v>0</v>
      </c>
      <c r="AW89" s="4438">
        <f t="shared" si="163"/>
        <v>0</v>
      </c>
      <c r="AX89" s="4438">
        <f t="shared" si="164"/>
        <v>0</v>
      </c>
      <c r="AY89" s="4438">
        <f t="shared" si="165"/>
        <v>0</v>
      </c>
      <c r="AZ89" s="4438">
        <f t="shared" si="166"/>
        <v>0</v>
      </c>
      <c r="BA89" s="4438">
        <f t="shared" si="167"/>
        <v>0</v>
      </c>
      <c r="BB89" s="4438">
        <f t="shared" si="168"/>
        <v>0</v>
      </c>
      <c r="BC89" s="4438">
        <f t="shared" si="169"/>
        <v>0.11759713267513026</v>
      </c>
      <c r="BD89" s="4438">
        <f t="shared" si="170"/>
        <v>0.10225837623924371</v>
      </c>
      <c r="BE89" s="4438">
        <f t="shared" si="171"/>
        <v>5.1449684277263374</v>
      </c>
      <c r="BF89" s="4438">
        <f t="shared" si="172"/>
        <v>19.940758859410071</v>
      </c>
      <c r="BG89" s="4438">
        <f t="shared" si="173"/>
        <v>39.370225837623927</v>
      </c>
      <c r="BH89" s="4438">
        <f t="shared" si="174"/>
        <v>49.046612435641137</v>
      </c>
      <c r="BI89" s="4438">
        <f t="shared" si="175"/>
        <v>49.276693782179443</v>
      </c>
      <c r="BJ89" s="4438">
        <f t="shared" si="176"/>
        <v>0</v>
      </c>
      <c r="BK89" s="4438">
        <f t="shared" si="177"/>
        <v>0</v>
      </c>
      <c r="BL89" s="4438">
        <f t="shared" si="178"/>
        <v>0</v>
      </c>
      <c r="BM89" s="4438">
        <f t="shared" si="179"/>
        <v>0</v>
      </c>
      <c r="BN89" s="4438">
        <f t="shared" si="180"/>
        <v>0</v>
      </c>
      <c r="BO89" s="4438">
        <f t="shared" si="181"/>
        <v>0</v>
      </c>
      <c r="BP89" s="4438">
        <f t="shared" si="182"/>
        <v>0</v>
      </c>
      <c r="BQ89" s="4438">
        <f t="shared" si="183"/>
        <v>0</v>
      </c>
      <c r="BR89" s="4438">
        <f t="shared" si="184"/>
        <v>0</v>
      </c>
      <c r="BS89" s="4438">
        <f t="shared" si="185"/>
        <v>0</v>
      </c>
      <c r="BT89" s="4438">
        <f t="shared" si="186"/>
        <v>0</v>
      </c>
      <c r="BU89" s="4438">
        <f t="shared" si="187"/>
        <v>0</v>
      </c>
      <c r="BV89" s="4438">
        <f t="shared" si="188"/>
        <v>0</v>
      </c>
      <c r="BW89" s="4438">
        <f t="shared" si="189"/>
        <v>0</v>
      </c>
      <c r="BX89" s="4438">
        <f t="shared" si="190"/>
        <v>0</v>
      </c>
      <c r="BY89" s="4438">
        <f t="shared" si="191"/>
        <v>0</v>
      </c>
      <c r="BZ89" s="4438">
        <f t="shared" si="192"/>
        <v>0</v>
      </c>
      <c r="CA89" s="4438">
        <f t="shared" si="193"/>
        <v>0</v>
      </c>
      <c r="CB89" s="4438">
        <f t="shared" si="194"/>
        <v>0</v>
      </c>
      <c r="CC89" s="4438">
        <f t="shared" si="195"/>
        <v>0</v>
      </c>
      <c r="CD89" s="4438">
        <f t="shared" si="196"/>
        <v>0</v>
      </c>
      <c r="CE89" s="4438">
        <f t="shared" si="197"/>
        <v>0</v>
      </c>
      <c r="CF89" s="4438">
        <f t="shared" si="198"/>
        <v>0</v>
      </c>
      <c r="CG89" s="4438">
        <f t="shared" si="199"/>
        <v>0</v>
      </c>
      <c r="CH89" s="4438">
        <f t="shared" si="200"/>
        <v>0</v>
      </c>
      <c r="CI89" s="4438">
        <f t="shared" si="201"/>
        <v>0</v>
      </c>
      <c r="CJ89" s="4438">
        <f t="shared" si="202"/>
        <v>0</v>
      </c>
      <c r="CK89" s="4438">
        <f t="shared" si="203"/>
        <v>0</v>
      </c>
    </row>
    <row r="90" spans="1:89" s="67" customFormat="1" ht="24">
      <c r="A90" s="2755"/>
      <c r="B90" s="3574">
        <v>2040207</v>
      </c>
      <c r="C90" s="3547">
        <v>0.04</v>
      </c>
      <c r="D90" s="2711" t="s">
        <v>422</v>
      </c>
      <c r="E90" s="2689">
        <f>'11.2. ДА за периода'!E90</f>
        <v>0.16</v>
      </c>
      <c r="F90" s="2757">
        <f t="shared" si="226"/>
        <v>2.2000000000000002</v>
      </c>
      <c r="G90" s="2758">
        <f t="shared" si="227"/>
        <v>39.211378359999998</v>
      </c>
      <c r="H90" s="2758">
        <f t="shared" si="228"/>
        <v>142.70551344</v>
      </c>
      <c r="I90" s="2758">
        <f t="shared" si="229"/>
        <v>276.29102688</v>
      </c>
      <c r="J90" s="2758">
        <f t="shared" si="230"/>
        <v>341.77378359999994</v>
      </c>
      <c r="K90" s="2759">
        <f t="shared" si="231"/>
        <v>342.79378359999998</v>
      </c>
      <c r="L90" s="2689">
        <f>'11.2. ДА за периода'!L90</f>
        <v>0</v>
      </c>
      <c r="M90" s="2760">
        <f t="shared" si="232"/>
        <v>0.1</v>
      </c>
      <c r="N90" s="2758">
        <f t="shared" si="233"/>
        <v>1.3</v>
      </c>
      <c r="O90" s="2758">
        <f t="shared" si="234"/>
        <v>2.4000000000000004</v>
      </c>
      <c r="P90" s="2758">
        <f t="shared" si="235"/>
        <v>2.4000000000000004</v>
      </c>
      <c r="Q90" s="2759">
        <f t="shared" si="236"/>
        <v>2.4000000000000004</v>
      </c>
      <c r="R90" s="2761">
        <f t="shared" si="237"/>
        <v>2.4000000000000004</v>
      </c>
      <c r="S90" s="1087">
        <f>'11.2. ДА за периода'!S90</f>
        <v>0.76</v>
      </c>
      <c r="T90" s="2762">
        <f t="shared" si="238"/>
        <v>0.1</v>
      </c>
      <c r="U90" s="2758">
        <f t="shared" si="239"/>
        <v>21.237790879999999</v>
      </c>
      <c r="V90" s="2758">
        <f t="shared" si="240"/>
        <v>84.271163519999988</v>
      </c>
      <c r="W90" s="2758">
        <f t="shared" si="241"/>
        <v>168.60232703999998</v>
      </c>
      <c r="X90" s="2758">
        <f t="shared" si="242"/>
        <v>210.97790879999997</v>
      </c>
      <c r="Y90" s="2761">
        <f t="shared" si="243"/>
        <v>211.01790879999999</v>
      </c>
      <c r="Z90" s="1087">
        <f>'11.2. ДА за периода'!Z90</f>
        <v>0</v>
      </c>
      <c r="AA90" s="2762">
        <f t="shared" si="244"/>
        <v>0</v>
      </c>
      <c r="AB90" s="2758">
        <f t="shared" si="245"/>
        <v>0</v>
      </c>
      <c r="AC90" s="2758">
        <f t="shared" si="246"/>
        <v>0</v>
      </c>
      <c r="AD90" s="2758">
        <f t="shared" si="247"/>
        <v>0</v>
      </c>
      <c r="AE90" s="2758">
        <f t="shared" si="248"/>
        <v>0</v>
      </c>
      <c r="AF90" s="2759">
        <f t="shared" si="249"/>
        <v>0</v>
      </c>
      <c r="AG90" s="1087">
        <f>'11.2. ДА за периода'!AG90</f>
        <v>0</v>
      </c>
      <c r="AH90" s="2762">
        <f t="shared" si="250"/>
        <v>0</v>
      </c>
      <c r="AI90" s="2758">
        <f t="shared" si="251"/>
        <v>0</v>
      </c>
      <c r="AJ90" s="2758">
        <f t="shared" si="252"/>
        <v>0</v>
      </c>
      <c r="AK90" s="2758">
        <f t="shared" si="253"/>
        <v>0</v>
      </c>
      <c r="AL90" s="2758">
        <f t="shared" si="254"/>
        <v>0</v>
      </c>
      <c r="AM90" s="2759">
        <f t="shared" si="255"/>
        <v>0</v>
      </c>
      <c r="AN90" s="1087">
        <f>'11.2. ДА за периода'!AN90</f>
        <v>0</v>
      </c>
      <c r="AO90" s="2760">
        <f t="shared" si="256"/>
        <v>0</v>
      </c>
      <c r="AP90" s="2758">
        <f t="shared" si="257"/>
        <v>0</v>
      </c>
      <c r="AQ90" s="2758">
        <f t="shared" si="258"/>
        <v>0</v>
      </c>
      <c r="AR90" s="2758">
        <f t="shared" si="259"/>
        <v>0</v>
      </c>
      <c r="AS90" s="2758">
        <f t="shared" si="260"/>
        <v>0</v>
      </c>
      <c r="AT90" s="2761">
        <f t="shared" si="261"/>
        <v>0</v>
      </c>
      <c r="AU90" s="4422"/>
      <c r="AV90" s="4438">
        <f t="shared" si="162"/>
        <v>8.1806700991394962E-2</v>
      </c>
      <c r="AW90" s="4438">
        <f t="shared" si="163"/>
        <v>1.1248421386316807</v>
      </c>
      <c r="AX90" s="4438">
        <f t="shared" si="164"/>
        <v>20.048459405981092</v>
      </c>
      <c r="AY90" s="4438">
        <f t="shared" si="165"/>
        <v>72.964170423809847</v>
      </c>
      <c r="AZ90" s="4438">
        <f t="shared" si="166"/>
        <v>141.26535889111017</v>
      </c>
      <c r="BA90" s="4438">
        <f t="shared" si="167"/>
        <v>174.74616076039325</v>
      </c>
      <c r="BB90" s="4438">
        <f t="shared" si="168"/>
        <v>175.26767847921343</v>
      </c>
      <c r="BC90" s="4438">
        <f t="shared" si="169"/>
        <v>0</v>
      </c>
      <c r="BD90" s="4438">
        <f t="shared" si="170"/>
        <v>5.1129188119621853E-2</v>
      </c>
      <c r="BE90" s="4438">
        <f t="shared" si="171"/>
        <v>0.66467944555508407</v>
      </c>
      <c r="BF90" s="4438">
        <f t="shared" si="172"/>
        <v>1.2271005148709246</v>
      </c>
      <c r="BG90" s="4438">
        <f t="shared" si="173"/>
        <v>1.2271005148709246</v>
      </c>
      <c r="BH90" s="4438">
        <f t="shared" si="174"/>
        <v>1.2271005148709246</v>
      </c>
      <c r="BI90" s="4438">
        <f t="shared" si="175"/>
        <v>1.2271005148709246</v>
      </c>
      <c r="BJ90" s="4438">
        <f t="shared" si="176"/>
        <v>0.38858182970912608</v>
      </c>
      <c r="BK90" s="4438">
        <f t="shared" si="177"/>
        <v>5.1129188119621853E-2</v>
      </c>
      <c r="BL90" s="4438">
        <f t="shared" si="178"/>
        <v>10.858710051487092</v>
      </c>
      <c r="BM90" s="4438">
        <f t="shared" si="179"/>
        <v>43.087161726734934</v>
      </c>
      <c r="BN90" s="4438">
        <f t="shared" si="180"/>
        <v>86.205000966341643</v>
      </c>
      <c r="BO90" s="4438">
        <f t="shared" si="181"/>
        <v>107.8712918811962</v>
      </c>
      <c r="BP90" s="4438">
        <f t="shared" si="182"/>
        <v>107.89174355644407</v>
      </c>
      <c r="BQ90" s="4438">
        <f t="shared" si="183"/>
        <v>0</v>
      </c>
      <c r="BR90" s="4438">
        <f t="shared" si="184"/>
        <v>0</v>
      </c>
      <c r="BS90" s="4438">
        <f t="shared" si="185"/>
        <v>0</v>
      </c>
      <c r="BT90" s="4438">
        <f t="shared" si="186"/>
        <v>0</v>
      </c>
      <c r="BU90" s="4438">
        <f t="shared" si="187"/>
        <v>0</v>
      </c>
      <c r="BV90" s="4438">
        <f t="shared" si="188"/>
        <v>0</v>
      </c>
      <c r="BW90" s="4438">
        <f t="shared" si="189"/>
        <v>0</v>
      </c>
      <c r="BX90" s="4438">
        <f t="shared" si="190"/>
        <v>0</v>
      </c>
      <c r="BY90" s="4438">
        <f t="shared" si="191"/>
        <v>0</v>
      </c>
      <c r="BZ90" s="4438">
        <f t="shared" si="192"/>
        <v>0</v>
      </c>
      <c r="CA90" s="4438">
        <f t="shared" si="193"/>
        <v>0</v>
      </c>
      <c r="CB90" s="4438">
        <f t="shared" si="194"/>
        <v>0</v>
      </c>
      <c r="CC90" s="4438">
        <f t="shared" si="195"/>
        <v>0</v>
      </c>
      <c r="CD90" s="4438">
        <f t="shared" si="196"/>
        <v>0</v>
      </c>
      <c r="CE90" s="4438">
        <f t="shared" si="197"/>
        <v>0</v>
      </c>
      <c r="CF90" s="4438">
        <f t="shared" si="198"/>
        <v>0</v>
      </c>
      <c r="CG90" s="4438">
        <f t="shared" si="199"/>
        <v>0</v>
      </c>
      <c r="CH90" s="4438">
        <f t="shared" si="200"/>
        <v>0</v>
      </c>
      <c r="CI90" s="4438">
        <f t="shared" si="201"/>
        <v>0</v>
      </c>
      <c r="CJ90" s="4438">
        <f t="shared" si="202"/>
        <v>0</v>
      </c>
      <c r="CK90" s="4438">
        <f t="shared" si="203"/>
        <v>0</v>
      </c>
    </row>
    <row r="91" spans="1:89" s="67" customFormat="1">
      <c r="A91" s="2755"/>
      <c r="B91" s="3574">
        <v>2040208</v>
      </c>
      <c r="C91" s="3547">
        <v>0.04</v>
      </c>
      <c r="D91" s="2711" t="s">
        <v>423</v>
      </c>
      <c r="E91" s="2689">
        <f>'11.2. ДА за периода'!E91</f>
        <v>0</v>
      </c>
      <c r="F91" s="2757">
        <f t="shared" si="226"/>
        <v>0</v>
      </c>
      <c r="G91" s="2758">
        <f t="shared" si="227"/>
        <v>0</v>
      </c>
      <c r="H91" s="2758">
        <f t="shared" si="228"/>
        <v>0</v>
      </c>
      <c r="I91" s="2758">
        <f t="shared" si="229"/>
        <v>0</v>
      </c>
      <c r="J91" s="2758">
        <f t="shared" si="230"/>
        <v>0</v>
      </c>
      <c r="K91" s="2759">
        <f t="shared" si="231"/>
        <v>0</v>
      </c>
      <c r="L91" s="2689">
        <f>'11.2. ДА за периода'!L91</f>
        <v>0</v>
      </c>
      <c r="M91" s="2760">
        <f t="shared" si="232"/>
        <v>0</v>
      </c>
      <c r="N91" s="2758">
        <f t="shared" si="233"/>
        <v>0</v>
      </c>
      <c r="O91" s="2758">
        <f t="shared" si="234"/>
        <v>0</v>
      </c>
      <c r="P91" s="2758">
        <f t="shared" si="235"/>
        <v>0</v>
      </c>
      <c r="Q91" s="2759">
        <f t="shared" si="236"/>
        <v>0</v>
      </c>
      <c r="R91" s="2761">
        <f t="shared" si="237"/>
        <v>0</v>
      </c>
      <c r="S91" s="1087">
        <f>'11.2. ДА за периода'!S91</f>
        <v>0</v>
      </c>
      <c r="T91" s="2762">
        <f t="shared" si="238"/>
        <v>0</v>
      </c>
      <c r="U91" s="2758">
        <f t="shared" si="239"/>
        <v>0</v>
      </c>
      <c r="V91" s="2758">
        <f t="shared" si="240"/>
        <v>0</v>
      </c>
      <c r="W91" s="2758">
        <f t="shared" si="241"/>
        <v>0</v>
      </c>
      <c r="X91" s="2758">
        <f t="shared" si="242"/>
        <v>0</v>
      </c>
      <c r="Y91" s="2761">
        <f t="shared" si="243"/>
        <v>0</v>
      </c>
      <c r="Z91" s="1087">
        <f>'11.2. ДА за периода'!Z91</f>
        <v>0</v>
      </c>
      <c r="AA91" s="2762">
        <f t="shared" si="244"/>
        <v>0</v>
      </c>
      <c r="AB91" s="2758">
        <f t="shared" si="245"/>
        <v>0</v>
      </c>
      <c r="AC91" s="2758">
        <f t="shared" si="246"/>
        <v>0</v>
      </c>
      <c r="AD91" s="2758">
        <f t="shared" si="247"/>
        <v>0</v>
      </c>
      <c r="AE91" s="2758">
        <f t="shared" si="248"/>
        <v>0</v>
      </c>
      <c r="AF91" s="2759">
        <f t="shared" si="249"/>
        <v>0</v>
      </c>
      <c r="AG91" s="1087">
        <f>'11.2. ДА за периода'!AG91</f>
        <v>0</v>
      </c>
      <c r="AH91" s="2762">
        <f t="shared" si="250"/>
        <v>0</v>
      </c>
      <c r="AI91" s="2758">
        <f t="shared" si="251"/>
        <v>0</v>
      </c>
      <c r="AJ91" s="2758">
        <f t="shared" si="252"/>
        <v>0</v>
      </c>
      <c r="AK91" s="2758">
        <f t="shared" si="253"/>
        <v>0</v>
      </c>
      <c r="AL91" s="2758">
        <f t="shared" si="254"/>
        <v>0</v>
      </c>
      <c r="AM91" s="2759">
        <f t="shared" si="255"/>
        <v>0</v>
      </c>
      <c r="AN91" s="1087">
        <f>'11.2. ДА за периода'!AN91</f>
        <v>0</v>
      </c>
      <c r="AO91" s="2760">
        <f t="shared" si="256"/>
        <v>0</v>
      </c>
      <c r="AP91" s="2758">
        <f t="shared" si="257"/>
        <v>0</v>
      </c>
      <c r="AQ91" s="2758">
        <f t="shared" si="258"/>
        <v>0</v>
      </c>
      <c r="AR91" s="2758">
        <f t="shared" si="259"/>
        <v>0</v>
      </c>
      <c r="AS91" s="2758">
        <f t="shared" si="260"/>
        <v>0</v>
      </c>
      <c r="AT91" s="2761">
        <f t="shared" si="261"/>
        <v>0</v>
      </c>
      <c r="AU91" s="4422"/>
      <c r="AV91" s="4438">
        <f t="shared" si="162"/>
        <v>0</v>
      </c>
      <c r="AW91" s="4438">
        <f t="shared" si="163"/>
        <v>0</v>
      </c>
      <c r="AX91" s="4438">
        <f t="shared" si="164"/>
        <v>0</v>
      </c>
      <c r="AY91" s="4438">
        <f t="shared" si="165"/>
        <v>0</v>
      </c>
      <c r="AZ91" s="4438">
        <f t="shared" si="166"/>
        <v>0</v>
      </c>
      <c r="BA91" s="4438">
        <f t="shared" si="167"/>
        <v>0</v>
      </c>
      <c r="BB91" s="4438">
        <f t="shared" si="168"/>
        <v>0</v>
      </c>
      <c r="BC91" s="4438">
        <f t="shared" si="169"/>
        <v>0</v>
      </c>
      <c r="BD91" s="4438">
        <f t="shared" si="170"/>
        <v>0</v>
      </c>
      <c r="BE91" s="4438">
        <f t="shared" si="171"/>
        <v>0</v>
      </c>
      <c r="BF91" s="4438">
        <f t="shared" si="172"/>
        <v>0</v>
      </c>
      <c r="BG91" s="4438">
        <f t="shared" si="173"/>
        <v>0</v>
      </c>
      <c r="BH91" s="4438">
        <f t="shared" si="174"/>
        <v>0</v>
      </c>
      <c r="BI91" s="4438">
        <f t="shared" si="175"/>
        <v>0</v>
      </c>
      <c r="BJ91" s="4438">
        <f t="shared" si="176"/>
        <v>0</v>
      </c>
      <c r="BK91" s="4438">
        <f t="shared" si="177"/>
        <v>0</v>
      </c>
      <c r="BL91" s="4438">
        <f t="shared" si="178"/>
        <v>0</v>
      </c>
      <c r="BM91" s="4438">
        <f t="shared" si="179"/>
        <v>0</v>
      </c>
      <c r="BN91" s="4438">
        <f t="shared" si="180"/>
        <v>0</v>
      </c>
      <c r="BO91" s="4438">
        <f t="shared" si="181"/>
        <v>0</v>
      </c>
      <c r="BP91" s="4438">
        <f t="shared" si="182"/>
        <v>0</v>
      </c>
      <c r="BQ91" s="4438">
        <f t="shared" si="183"/>
        <v>0</v>
      </c>
      <c r="BR91" s="4438">
        <f t="shared" si="184"/>
        <v>0</v>
      </c>
      <c r="BS91" s="4438">
        <f t="shared" si="185"/>
        <v>0</v>
      </c>
      <c r="BT91" s="4438">
        <f t="shared" si="186"/>
        <v>0</v>
      </c>
      <c r="BU91" s="4438">
        <f t="shared" si="187"/>
        <v>0</v>
      </c>
      <c r="BV91" s="4438">
        <f t="shared" si="188"/>
        <v>0</v>
      </c>
      <c r="BW91" s="4438">
        <f t="shared" si="189"/>
        <v>0</v>
      </c>
      <c r="BX91" s="4438">
        <f t="shared" si="190"/>
        <v>0</v>
      </c>
      <c r="BY91" s="4438">
        <f t="shared" si="191"/>
        <v>0</v>
      </c>
      <c r="BZ91" s="4438">
        <f t="shared" si="192"/>
        <v>0</v>
      </c>
      <c r="CA91" s="4438">
        <f t="shared" si="193"/>
        <v>0</v>
      </c>
      <c r="CB91" s="4438">
        <f t="shared" si="194"/>
        <v>0</v>
      </c>
      <c r="CC91" s="4438">
        <f t="shared" si="195"/>
        <v>0</v>
      </c>
      <c r="CD91" s="4438">
        <f t="shared" si="196"/>
        <v>0</v>
      </c>
      <c r="CE91" s="4438">
        <f t="shared" si="197"/>
        <v>0</v>
      </c>
      <c r="CF91" s="4438">
        <f t="shared" si="198"/>
        <v>0</v>
      </c>
      <c r="CG91" s="4438">
        <f t="shared" si="199"/>
        <v>0</v>
      </c>
      <c r="CH91" s="4438">
        <f t="shared" si="200"/>
        <v>0</v>
      </c>
      <c r="CI91" s="4438">
        <f t="shared" si="201"/>
        <v>0</v>
      </c>
      <c r="CJ91" s="4438">
        <f t="shared" si="202"/>
        <v>0</v>
      </c>
      <c r="CK91" s="4438">
        <f t="shared" si="203"/>
        <v>0</v>
      </c>
    </row>
    <row r="92" spans="1:89">
      <c r="A92" s="2701"/>
      <c r="B92" s="3565">
        <v>20403</v>
      </c>
      <c r="C92" s="3548">
        <v>0.04</v>
      </c>
      <c r="D92" s="2714" t="s">
        <v>1050</v>
      </c>
      <c r="E92" s="2689">
        <f>'11.2. ДА за периода'!E92</f>
        <v>0</v>
      </c>
      <c r="F92" s="2617">
        <f t="shared" si="226"/>
        <v>0</v>
      </c>
      <c r="G92" s="1198">
        <f t="shared" si="227"/>
        <v>0</v>
      </c>
      <c r="H92" s="1198">
        <f t="shared" si="228"/>
        <v>0</v>
      </c>
      <c r="I92" s="1198">
        <f t="shared" si="229"/>
        <v>0</v>
      </c>
      <c r="J92" s="1198">
        <f t="shared" si="230"/>
        <v>0</v>
      </c>
      <c r="K92" s="2623">
        <f t="shared" si="231"/>
        <v>0</v>
      </c>
      <c r="L92" s="2689">
        <f>'11.2. ДА за периода'!L92</f>
        <v>0</v>
      </c>
      <c r="M92" s="1202">
        <f t="shared" si="232"/>
        <v>0</v>
      </c>
      <c r="N92" s="1198">
        <f t="shared" si="233"/>
        <v>0</v>
      </c>
      <c r="O92" s="1198">
        <f t="shared" si="234"/>
        <v>0</v>
      </c>
      <c r="P92" s="1198">
        <f t="shared" si="235"/>
        <v>0</v>
      </c>
      <c r="Q92" s="2623">
        <f t="shared" si="236"/>
        <v>0</v>
      </c>
      <c r="R92" s="1203">
        <f t="shared" si="237"/>
        <v>0</v>
      </c>
      <c r="S92" s="1087">
        <f>'11.2. ДА за периода'!S92</f>
        <v>0</v>
      </c>
      <c r="T92" s="883">
        <f t="shared" si="238"/>
        <v>0</v>
      </c>
      <c r="U92" s="1198">
        <f t="shared" si="239"/>
        <v>0</v>
      </c>
      <c r="V92" s="1198">
        <f t="shared" si="240"/>
        <v>0</v>
      </c>
      <c r="W92" s="1198">
        <f t="shared" si="241"/>
        <v>0</v>
      </c>
      <c r="X92" s="1198">
        <f t="shared" si="242"/>
        <v>0</v>
      </c>
      <c r="Y92" s="1203">
        <f t="shared" si="243"/>
        <v>0</v>
      </c>
      <c r="Z92" s="1087">
        <f>'11.2. ДА за периода'!Z92</f>
        <v>0</v>
      </c>
      <c r="AA92" s="883">
        <f t="shared" si="244"/>
        <v>0</v>
      </c>
      <c r="AB92" s="1198">
        <f t="shared" si="245"/>
        <v>0</v>
      </c>
      <c r="AC92" s="1198">
        <f t="shared" si="246"/>
        <v>0</v>
      </c>
      <c r="AD92" s="1198">
        <f t="shared" si="247"/>
        <v>0</v>
      </c>
      <c r="AE92" s="1198">
        <f t="shared" si="248"/>
        <v>0</v>
      </c>
      <c r="AF92" s="2623">
        <f t="shared" si="249"/>
        <v>0</v>
      </c>
      <c r="AG92" s="1087">
        <f>'11.2. ДА за периода'!AG92</f>
        <v>0</v>
      </c>
      <c r="AH92" s="883">
        <f t="shared" si="250"/>
        <v>0</v>
      </c>
      <c r="AI92" s="1198">
        <f t="shared" si="251"/>
        <v>0</v>
      </c>
      <c r="AJ92" s="1198">
        <f t="shared" si="252"/>
        <v>0</v>
      </c>
      <c r="AK92" s="1198">
        <f t="shared" si="253"/>
        <v>0</v>
      </c>
      <c r="AL92" s="1198">
        <f t="shared" si="254"/>
        <v>0</v>
      </c>
      <c r="AM92" s="2623">
        <f t="shared" si="255"/>
        <v>0</v>
      </c>
      <c r="AN92" s="1087">
        <f>'11.2. ДА за периода'!AN92</f>
        <v>0</v>
      </c>
      <c r="AO92" s="1202">
        <f t="shared" si="256"/>
        <v>0</v>
      </c>
      <c r="AP92" s="1198">
        <f t="shared" si="257"/>
        <v>0</v>
      </c>
      <c r="AQ92" s="1198">
        <f t="shared" si="258"/>
        <v>0</v>
      </c>
      <c r="AR92" s="1198">
        <f t="shared" si="259"/>
        <v>0</v>
      </c>
      <c r="AS92" s="1198">
        <f t="shared" si="260"/>
        <v>0</v>
      </c>
      <c r="AT92" s="1203">
        <f t="shared" si="261"/>
        <v>0</v>
      </c>
      <c r="AU92" s="4422"/>
      <c r="AV92" s="4438">
        <f t="shared" si="162"/>
        <v>0</v>
      </c>
      <c r="AW92" s="4438">
        <f t="shared" si="163"/>
        <v>0</v>
      </c>
      <c r="AX92" s="4438">
        <f t="shared" si="164"/>
        <v>0</v>
      </c>
      <c r="AY92" s="4438">
        <f t="shared" si="165"/>
        <v>0</v>
      </c>
      <c r="AZ92" s="4438">
        <f t="shared" si="166"/>
        <v>0</v>
      </c>
      <c r="BA92" s="4438">
        <f t="shared" si="167"/>
        <v>0</v>
      </c>
      <c r="BB92" s="4438">
        <f t="shared" si="168"/>
        <v>0</v>
      </c>
      <c r="BC92" s="4438">
        <f t="shared" si="169"/>
        <v>0</v>
      </c>
      <c r="BD92" s="4438">
        <f t="shared" si="170"/>
        <v>0</v>
      </c>
      <c r="BE92" s="4438">
        <f t="shared" si="171"/>
        <v>0</v>
      </c>
      <c r="BF92" s="4438">
        <f t="shared" si="172"/>
        <v>0</v>
      </c>
      <c r="BG92" s="4438">
        <f t="shared" si="173"/>
        <v>0</v>
      </c>
      <c r="BH92" s="4438">
        <f t="shared" si="174"/>
        <v>0</v>
      </c>
      <c r="BI92" s="4438">
        <f t="shared" si="175"/>
        <v>0</v>
      </c>
      <c r="BJ92" s="4438">
        <f t="shared" si="176"/>
        <v>0</v>
      </c>
      <c r="BK92" s="4438">
        <f t="shared" si="177"/>
        <v>0</v>
      </c>
      <c r="BL92" s="4438">
        <f t="shared" si="178"/>
        <v>0</v>
      </c>
      <c r="BM92" s="4438">
        <f t="shared" si="179"/>
        <v>0</v>
      </c>
      <c r="BN92" s="4438">
        <f t="shared" si="180"/>
        <v>0</v>
      </c>
      <c r="BO92" s="4438">
        <f t="shared" si="181"/>
        <v>0</v>
      </c>
      <c r="BP92" s="4438">
        <f t="shared" si="182"/>
        <v>0</v>
      </c>
      <c r="BQ92" s="4438">
        <f t="shared" si="183"/>
        <v>0</v>
      </c>
      <c r="BR92" s="4438">
        <f t="shared" si="184"/>
        <v>0</v>
      </c>
      <c r="BS92" s="4438">
        <f t="shared" si="185"/>
        <v>0</v>
      </c>
      <c r="BT92" s="4438">
        <f t="shared" si="186"/>
        <v>0</v>
      </c>
      <c r="BU92" s="4438">
        <f t="shared" si="187"/>
        <v>0</v>
      </c>
      <c r="BV92" s="4438">
        <f t="shared" si="188"/>
        <v>0</v>
      </c>
      <c r="BW92" s="4438">
        <f t="shared" si="189"/>
        <v>0</v>
      </c>
      <c r="BX92" s="4438">
        <f t="shared" si="190"/>
        <v>0</v>
      </c>
      <c r="BY92" s="4438">
        <f t="shared" si="191"/>
        <v>0</v>
      </c>
      <c r="BZ92" s="4438">
        <f t="shared" si="192"/>
        <v>0</v>
      </c>
      <c r="CA92" s="4438">
        <f t="shared" si="193"/>
        <v>0</v>
      </c>
      <c r="CB92" s="4438">
        <f t="shared" si="194"/>
        <v>0</v>
      </c>
      <c r="CC92" s="4438">
        <f t="shared" si="195"/>
        <v>0</v>
      </c>
      <c r="CD92" s="4438">
        <f t="shared" si="196"/>
        <v>0</v>
      </c>
      <c r="CE92" s="4438">
        <f t="shared" si="197"/>
        <v>0</v>
      </c>
      <c r="CF92" s="4438">
        <f t="shared" si="198"/>
        <v>0</v>
      </c>
      <c r="CG92" s="4438">
        <f t="shared" si="199"/>
        <v>0</v>
      </c>
      <c r="CH92" s="4438">
        <f t="shared" si="200"/>
        <v>0</v>
      </c>
      <c r="CI92" s="4438">
        <f t="shared" si="201"/>
        <v>0</v>
      </c>
      <c r="CJ92" s="4438">
        <f t="shared" si="202"/>
        <v>0</v>
      </c>
      <c r="CK92" s="4438">
        <f t="shared" si="203"/>
        <v>0</v>
      </c>
    </row>
    <row r="93" spans="1:89" ht="25.5">
      <c r="A93" s="2701"/>
      <c r="B93" s="3565" t="s">
        <v>1051</v>
      </c>
      <c r="C93" s="3548">
        <v>0.04</v>
      </c>
      <c r="D93" s="2714" t="s">
        <v>1052</v>
      </c>
      <c r="E93" s="2689">
        <f>'11.2. ДА за периода'!E93</f>
        <v>0</v>
      </c>
      <c r="F93" s="2617">
        <f t="shared" si="226"/>
        <v>0</v>
      </c>
      <c r="G93" s="1198">
        <f t="shared" si="227"/>
        <v>0</v>
      </c>
      <c r="H93" s="1198">
        <f t="shared" si="228"/>
        <v>0</v>
      </c>
      <c r="I93" s="1198">
        <f t="shared" si="229"/>
        <v>0</v>
      </c>
      <c r="J93" s="1198">
        <f t="shared" si="230"/>
        <v>0</v>
      </c>
      <c r="K93" s="2623">
        <f t="shared" si="231"/>
        <v>0</v>
      </c>
      <c r="L93" s="2689">
        <f>'11.2. ДА за периода'!L93</f>
        <v>0</v>
      </c>
      <c r="M93" s="1202">
        <f t="shared" si="232"/>
        <v>0</v>
      </c>
      <c r="N93" s="1198">
        <f t="shared" si="233"/>
        <v>0</v>
      </c>
      <c r="O93" s="1198">
        <f t="shared" si="234"/>
        <v>0</v>
      </c>
      <c r="P93" s="1198">
        <f t="shared" si="235"/>
        <v>0</v>
      </c>
      <c r="Q93" s="2623">
        <f t="shared" si="236"/>
        <v>0</v>
      </c>
      <c r="R93" s="1203">
        <f t="shared" si="237"/>
        <v>0</v>
      </c>
      <c r="S93" s="1087">
        <f>'11.2. ДА за периода'!S93</f>
        <v>0.24</v>
      </c>
      <c r="T93" s="883">
        <f t="shared" si="238"/>
        <v>0</v>
      </c>
      <c r="U93" s="1198">
        <f t="shared" si="239"/>
        <v>0</v>
      </c>
      <c r="V93" s="1198">
        <f t="shared" si="240"/>
        <v>0</v>
      </c>
      <c r="W93" s="1198">
        <f t="shared" si="241"/>
        <v>0</v>
      </c>
      <c r="X93" s="1198">
        <f t="shared" si="242"/>
        <v>0</v>
      </c>
      <c r="Y93" s="1203">
        <f t="shared" si="243"/>
        <v>0</v>
      </c>
      <c r="Z93" s="1087">
        <f>'11.2. ДА за периода'!Z93</f>
        <v>0</v>
      </c>
      <c r="AA93" s="883">
        <f t="shared" si="244"/>
        <v>0</v>
      </c>
      <c r="AB93" s="1198">
        <f t="shared" si="245"/>
        <v>0</v>
      </c>
      <c r="AC93" s="1198">
        <f t="shared" si="246"/>
        <v>0</v>
      </c>
      <c r="AD93" s="1198">
        <f t="shared" si="247"/>
        <v>0</v>
      </c>
      <c r="AE93" s="1198">
        <f t="shared" si="248"/>
        <v>0</v>
      </c>
      <c r="AF93" s="2623">
        <f t="shared" si="249"/>
        <v>0</v>
      </c>
      <c r="AG93" s="1087">
        <f>'11.2. ДА за периода'!AG93</f>
        <v>0</v>
      </c>
      <c r="AH93" s="883">
        <f t="shared" si="250"/>
        <v>0</v>
      </c>
      <c r="AI93" s="1198">
        <f t="shared" si="251"/>
        <v>0</v>
      </c>
      <c r="AJ93" s="1198">
        <f t="shared" si="252"/>
        <v>0</v>
      </c>
      <c r="AK93" s="1198">
        <f t="shared" si="253"/>
        <v>0</v>
      </c>
      <c r="AL93" s="1198">
        <f t="shared" si="254"/>
        <v>0</v>
      </c>
      <c r="AM93" s="2623">
        <f t="shared" si="255"/>
        <v>0</v>
      </c>
      <c r="AN93" s="1087">
        <f>'11.2. ДА за периода'!AN93</f>
        <v>0</v>
      </c>
      <c r="AO93" s="1202">
        <f t="shared" si="256"/>
        <v>0</v>
      </c>
      <c r="AP93" s="1198">
        <f t="shared" si="257"/>
        <v>0</v>
      </c>
      <c r="AQ93" s="1198">
        <f t="shared" si="258"/>
        <v>0</v>
      </c>
      <c r="AR93" s="1198">
        <f t="shared" si="259"/>
        <v>0</v>
      </c>
      <c r="AS93" s="1198">
        <f t="shared" si="260"/>
        <v>0</v>
      </c>
      <c r="AT93" s="1203">
        <f t="shared" si="261"/>
        <v>0</v>
      </c>
      <c r="AU93" s="4422"/>
      <c r="AV93" s="4438">
        <f t="shared" si="162"/>
        <v>0</v>
      </c>
      <c r="AW93" s="4438">
        <f t="shared" si="163"/>
        <v>0</v>
      </c>
      <c r="AX93" s="4438">
        <f t="shared" si="164"/>
        <v>0</v>
      </c>
      <c r="AY93" s="4438">
        <f t="shared" si="165"/>
        <v>0</v>
      </c>
      <c r="AZ93" s="4438">
        <f t="shared" si="166"/>
        <v>0</v>
      </c>
      <c r="BA93" s="4438">
        <f t="shared" si="167"/>
        <v>0</v>
      </c>
      <c r="BB93" s="4438">
        <f t="shared" si="168"/>
        <v>0</v>
      </c>
      <c r="BC93" s="4438">
        <f t="shared" si="169"/>
        <v>0</v>
      </c>
      <c r="BD93" s="4438">
        <f t="shared" si="170"/>
        <v>0</v>
      </c>
      <c r="BE93" s="4438">
        <f t="shared" si="171"/>
        <v>0</v>
      </c>
      <c r="BF93" s="4438">
        <f t="shared" si="172"/>
        <v>0</v>
      </c>
      <c r="BG93" s="4438">
        <f t="shared" si="173"/>
        <v>0</v>
      </c>
      <c r="BH93" s="4438">
        <f t="shared" si="174"/>
        <v>0</v>
      </c>
      <c r="BI93" s="4438">
        <f t="shared" si="175"/>
        <v>0</v>
      </c>
      <c r="BJ93" s="4438">
        <f t="shared" si="176"/>
        <v>0.12271005148709244</v>
      </c>
      <c r="BK93" s="4438">
        <f t="shared" si="177"/>
        <v>0</v>
      </c>
      <c r="BL93" s="4438">
        <f t="shared" si="178"/>
        <v>0</v>
      </c>
      <c r="BM93" s="4438">
        <f t="shared" si="179"/>
        <v>0</v>
      </c>
      <c r="BN93" s="4438">
        <f t="shared" si="180"/>
        <v>0</v>
      </c>
      <c r="BO93" s="4438">
        <f t="shared" si="181"/>
        <v>0</v>
      </c>
      <c r="BP93" s="4438">
        <f t="shared" si="182"/>
        <v>0</v>
      </c>
      <c r="BQ93" s="4438">
        <f t="shared" si="183"/>
        <v>0</v>
      </c>
      <c r="BR93" s="4438">
        <f t="shared" si="184"/>
        <v>0</v>
      </c>
      <c r="BS93" s="4438">
        <f t="shared" si="185"/>
        <v>0</v>
      </c>
      <c r="BT93" s="4438">
        <f t="shared" si="186"/>
        <v>0</v>
      </c>
      <c r="BU93" s="4438">
        <f t="shared" si="187"/>
        <v>0</v>
      </c>
      <c r="BV93" s="4438">
        <f t="shared" si="188"/>
        <v>0</v>
      </c>
      <c r="BW93" s="4438">
        <f t="shared" si="189"/>
        <v>0</v>
      </c>
      <c r="BX93" s="4438">
        <f t="shared" si="190"/>
        <v>0</v>
      </c>
      <c r="BY93" s="4438">
        <f t="shared" si="191"/>
        <v>0</v>
      </c>
      <c r="BZ93" s="4438">
        <f t="shared" si="192"/>
        <v>0</v>
      </c>
      <c r="CA93" s="4438">
        <f t="shared" si="193"/>
        <v>0</v>
      </c>
      <c r="CB93" s="4438">
        <f t="shared" si="194"/>
        <v>0</v>
      </c>
      <c r="CC93" s="4438">
        <f t="shared" si="195"/>
        <v>0</v>
      </c>
      <c r="CD93" s="4438">
        <f t="shared" si="196"/>
        <v>0</v>
      </c>
      <c r="CE93" s="4438">
        <f t="shared" si="197"/>
        <v>0</v>
      </c>
      <c r="CF93" s="4438">
        <f t="shared" si="198"/>
        <v>0</v>
      </c>
      <c r="CG93" s="4438">
        <f t="shared" si="199"/>
        <v>0</v>
      </c>
      <c r="CH93" s="4438">
        <f t="shared" si="200"/>
        <v>0</v>
      </c>
      <c r="CI93" s="4438">
        <f t="shared" si="201"/>
        <v>0</v>
      </c>
      <c r="CJ93" s="4438">
        <f t="shared" si="202"/>
        <v>0</v>
      </c>
      <c r="CK93" s="4438">
        <f t="shared" si="203"/>
        <v>0</v>
      </c>
    </row>
    <row r="94" spans="1:89">
      <c r="A94" s="2694">
        <v>5</v>
      </c>
      <c r="B94" s="3572">
        <v>205</v>
      </c>
      <c r="C94" s="3545"/>
      <c r="D94" s="2695" t="s">
        <v>212</v>
      </c>
      <c r="E94" s="2745">
        <f>SUM(E95:E98)</f>
        <v>0</v>
      </c>
      <c r="F94" s="2746">
        <f>SUM(F95:F98)</f>
        <v>3.5</v>
      </c>
      <c r="G94" s="2747">
        <f>SUM(G95:G98)</f>
        <v>46.6</v>
      </c>
      <c r="H94" s="2747">
        <f t="shared" ref="H94:K94" si="262">SUM(H95:H98)</f>
        <v>107.64</v>
      </c>
      <c r="I94" s="2747">
        <f t="shared" si="262"/>
        <v>150.52000000000001</v>
      </c>
      <c r="J94" s="2747">
        <f t="shared" si="262"/>
        <v>193.4</v>
      </c>
      <c r="K94" s="2748">
        <f t="shared" si="262"/>
        <v>236.28</v>
      </c>
      <c r="L94" s="2749">
        <f>SUM(L95:L98)</f>
        <v>0</v>
      </c>
      <c r="M94" s="2746">
        <f>SUM(M95:M98)</f>
        <v>0.5</v>
      </c>
      <c r="N94" s="2747">
        <f>SUM(N95:N98)</f>
        <v>1</v>
      </c>
      <c r="O94" s="2747">
        <f t="shared" ref="O94:R94" si="263">SUM(O95:O98)</f>
        <v>1</v>
      </c>
      <c r="P94" s="2747">
        <f t="shared" si="263"/>
        <v>1</v>
      </c>
      <c r="Q94" s="2747">
        <f t="shared" si="263"/>
        <v>1</v>
      </c>
      <c r="R94" s="2750">
        <f t="shared" si="263"/>
        <v>1</v>
      </c>
      <c r="S94" s="2749">
        <f>SUM(S95:S98)</f>
        <v>0</v>
      </c>
      <c r="T94" s="2751">
        <f>SUM(T95:T98)</f>
        <v>0</v>
      </c>
      <c r="U94" s="2747">
        <f>SUM(U95:U98)</f>
        <v>0</v>
      </c>
      <c r="V94" s="2747">
        <f t="shared" ref="V94:Y94" si="264">SUM(V95:V98)</f>
        <v>0</v>
      </c>
      <c r="W94" s="2747">
        <f t="shared" si="264"/>
        <v>0</v>
      </c>
      <c r="X94" s="2747">
        <f t="shared" si="264"/>
        <v>0</v>
      </c>
      <c r="Y94" s="2750">
        <f t="shared" si="264"/>
        <v>0</v>
      </c>
      <c r="Z94" s="2749">
        <f>SUM(Z95:Z98)</f>
        <v>0</v>
      </c>
      <c r="AA94" s="2751">
        <f>SUM(AA95:AA98)</f>
        <v>0</v>
      </c>
      <c r="AB94" s="2747">
        <f>SUM(AB95:AB98)</f>
        <v>0</v>
      </c>
      <c r="AC94" s="2747">
        <f t="shared" ref="AC94:AF94" si="265">SUM(AC95:AC98)</f>
        <v>0</v>
      </c>
      <c r="AD94" s="2747">
        <f t="shared" si="265"/>
        <v>0</v>
      </c>
      <c r="AE94" s="2747">
        <f t="shared" si="265"/>
        <v>0</v>
      </c>
      <c r="AF94" s="2750">
        <f t="shared" si="265"/>
        <v>0</v>
      </c>
      <c r="AG94" s="2749">
        <f>SUM(AG95:AG98)</f>
        <v>0</v>
      </c>
      <c r="AH94" s="2751">
        <f>SUM(AH95:AH98)</f>
        <v>0</v>
      </c>
      <c r="AI94" s="2747">
        <f>SUM(AI95:AI98)</f>
        <v>0</v>
      </c>
      <c r="AJ94" s="2747">
        <f t="shared" ref="AJ94:AM94" si="266">SUM(AJ95:AJ98)</f>
        <v>0</v>
      </c>
      <c r="AK94" s="2747">
        <f t="shared" si="266"/>
        <v>0</v>
      </c>
      <c r="AL94" s="2747">
        <f t="shared" si="266"/>
        <v>0</v>
      </c>
      <c r="AM94" s="2750">
        <f t="shared" si="266"/>
        <v>0</v>
      </c>
      <c r="AN94" s="2749">
        <f>SUM(AN95:AN98)</f>
        <v>0</v>
      </c>
      <c r="AO94" s="2751">
        <f>SUM(AO95:AO98)</f>
        <v>1.5</v>
      </c>
      <c r="AP94" s="2747">
        <f>SUM(AP95:AP98)</f>
        <v>3</v>
      </c>
      <c r="AQ94" s="2747">
        <f t="shared" ref="AQ94:AS94" si="267">SUM(AQ95:AQ98)</f>
        <v>3</v>
      </c>
      <c r="AR94" s="2747">
        <f t="shared" si="267"/>
        <v>3</v>
      </c>
      <c r="AS94" s="2747">
        <f t="shared" si="267"/>
        <v>3</v>
      </c>
      <c r="AT94" s="2750">
        <f>SUM(AT95:AT98)</f>
        <v>3</v>
      </c>
      <c r="AU94" s="4422"/>
      <c r="AV94" s="4438">
        <f t="shared" si="162"/>
        <v>0</v>
      </c>
      <c r="AW94" s="4438">
        <f t="shared" si="163"/>
        <v>1.7895215841867647</v>
      </c>
      <c r="AX94" s="4438">
        <f t="shared" si="164"/>
        <v>23.826201663743781</v>
      </c>
      <c r="AY94" s="4438">
        <f t="shared" si="165"/>
        <v>55.035458091960962</v>
      </c>
      <c r="AZ94" s="4438">
        <f t="shared" si="166"/>
        <v>76.959653957654808</v>
      </c>
      <c r="BA94" s="4438">
        <f t="shared" si="167"/>
        <v>98.883849823348655</v>
      </c>
      <c r="BB94" s="4438">
        <f t="shared" si="168"/>
        <v>120.8080456890425</v>
      </c>
      <c r="BC94" s="4438">
        <f t="shared" si="169"/>
        <v>0</v>
      </c>
      <c r="BD94" s="4438">
        <f t="shared" si="170"/>
        <v>0.25564594059810924</v>
      </c>
      <c r="BE94" s="4438">
        <f t="shared" si="171"/>
        <v>0.51129188119621849</v>
      </c>
      <c r="BF94" s="4438">
        <f t="shared" si="172"/>
        <v>0.51129188119621849</v>
      </c>
      <c r="BG94" s="4438">
        <f t="shared" si="173"/>
        <v>0.51129188119621849</v>
      </c>
      <c r="BH94" s="4438">
        <f t="shared" si="174"/>
        <v>0.51129188119621849</v>
      </c>
      <c r="BI94" s="4438">
        <f t="shared" si="175"/>
        <v>0.51129188119621849</v>
      </c>
      <c r="BJ94" s="4438">
        <f t="shared" si="176"/>
        <v>0</v>
      </c>
      <c r="BK94" s="4438">
        <f t="shared" si="177"/>
        <v>0</v>
      </c>
      <c r="BL94" s="4438">
        <f t="shared" si="178"/>
        <v>0</v>
      </c>
      <c r="BM94" s="4438">
        <f t="shared" si="179"/>
        <v>0</v>
      </c>
      <c r="BN94" s="4438">
        <f t="shared" si="180"/>
        <v>0</v>
      </c>
      <c r="BO94" s="4438">
        <f t="shared" si="181"/>
        <v>0</v>
      </c>
      <c r="BP94" s="4438">
        <f t="shared" si="182"/>
        <v>0</v>
      </c>
      <c r="BQ94" s="4438">
        <f t="shared" si="183"/>
        <v>0</v>
      </c>
      <c r="BR94" s="4438">
        <f t="shared" si="184"/>
        <v>0</v>
      </c>
      <c r="BS94" s="4438">
        <f t="shared" si="185"/>
        <v>0</v>
      </c>
      <c r="BT94" s="4438">
        <f t="shared" si="186"/>
        <v>0</v>
      </c>
      <c r="BU94" s="4438">
        <f t="shared" si="187"/>
        <v>0</v>
      </c>
      <c r="BV94" s="4438">
        <f t="shared" si="188"/>
        <v>0</v>
      </c>
      <c r="BW94" s="4438">
        <f t="shared" si="189"/>
        <v>0</v>
      </c>
      <c r="BX94" s="4438">
        <f t="shared" si="190"/>
        <v>0</v>
      </c>
      <c r="BY94" s="4438">
        <f t="shared" si="191"/>
        <v>0</v>
      </c>
      <c r="BZ94" s="4438">
        <f t="shared" si="192"/>
        <v>0</v>
      </c>
      <c r="CA94" s="4438">
        <f t="shared" si="193"/>
        <v>0</v>
      </c>
      <c r="CB94" s="4438">
        <f t="shared" si="194"/>
        <v>0</v>
      </c>
      <c r="CC94" s="4438">
        <f t="shared" si="195"/>
        <v>0</v>
      </c>
      <c r="CD94" s="4438">
        <f t="shared" si="196"/>
        <v>0</v>
      </c>
      <c r="CE94" s="4438">
        <f t="shared" si="197"/>
        <v>0</v>
      </c>
      <c r="CF94" s="4438">
        <f t="shared" si="198"/>
        <v>0.76693782179432779</v>
      </c>
      <c r="CG94" s="4438">
        <f t="shared" si="199"/>
        <v>1.5338756435886556</v>
      </c>
      <c r="CH94" s="4438">
        <f t="shared" si="200"/>
        <v>1.5338756435886556</v>
      </c>
      <c r="CI94" s="4438">
        <f t="shared" si="201"/>
        <v>1.5338756435886556</v>
      </c>
      <c r="CJ94" s="4438">
        <f t="shared" si="202"/>
        <v>1.5338756435886556</v>
      </c>
      <c r="CK94" s="4438">
        <f t="shared" si="203"/>
        <v>1.5338756435886556</v>
      </c>
    </row>
    <row r="95" spans="1:89">
      <c r="A95" s="2721"/>
      <c r="B95" s="3575">
        <v>20501</v>
      </c>
      <c r="C95" s="3549">
        <v>0.08</v>
      </c>
      <c r="D95" s="2722" t="s">
        <v>563</v>
      </c>
      <c r="E95" s="2689">
        <f>'11.2. ДА за периода'!E95</f>
        <v>0</v>
      </c>
      <c r="F95" s="2617">
        <f>($F46*$C95)/$E$7</f>
        <v>2</v>
      </c>
      <c r="G95" s="1110">
        <f>($F46*$C95)+($G46*$C95)/$E$7</f>
        <v>43.6</v>
      </c>
      <c r="H95" s="1110">
        <f>($F46*$C95)+($G46*$C95)+($H46*$C95)/$E$7</f>
        <v>104.64</v>
      </c>
      <c r="I95" s="1110">
        <f>($F46*$C95)+($G46*$C95)+($H46*$C95)+($I46*$C95)/$E$7</f>
        <v>147.52000000000001</v>
      </c>
      <c r="J95" s="1110">
        <f>($F46*$C95)+($G46*$C95)+($H46*$C95)+($I46*$C95)+($J46*$C95)/$E$7</f>
        <v>190.4</v>
      </c>
      <c r="K95" s="2742">
        <f>($F46*$C95)+($G46*$C95)+($H46*$C95)+($I46*$C95)+($J46*$C95)+($K46*$C95)/$E$7</f>
        <v>233.28</v>
      </c>
      <c r="L95" s="2689">
        <f>'11.2. ДА за периода'!L95</f>
        <v>0</v>
      </c>
      <c r="M95" s="2617">
        <f>($M46*$C95)/$E$7</f>
        <v>0</v>
      </c>
      <c r="N95" s="1110">
        <f>($M46*$C95)+($N46*$C95)/$E$7</f>
        <v>0</v>
      </c>
      <c r="O95" s="1110">
        <f>($M46*$C95)+($N46*$C95)+($O46*$C95)/$E$7</f>
        <v>0</v>
      </c>
      <c r="P95" s="1110">
        <f>($M46*$C95)+($N46*$C95)+($O46*$C95)+($P46*$C95)/$E$7</f>
        <v>0</v>
      </c>
      <c r="Q95" s="2742">
        <f>($M46*$C95)+($N46*$C95)+($O46*$C95)+($P46*$C95)+($Q46*$C95)/$E$7</f>
        <v>0</v>
      </c>
      <c r="R95" s="2618">
        <f>($M46*$C95)+($N46*$C95)+($O46*$C95)+($P46*$C95)+($Q46*$C95)+($R46*$C95)/$E$7</f>
        <v>0</v>
      </c>
      <c r="S95" s="1087">
        <f>'11.2. ДА за периода'!S95</f>
        <v>0</v>
      </c>
      <c r="T95" s="882">
        <f>($T46*$C95)/$E$7</f>
        <v>0</v>
      </c>
      <c r="U95" s="1110">
        <f>($T46*$C95)+($U46*$C95)/$E$7</f>
        <v>0</v>
      </c>
      <c r="V95" s="1110">
        <f>($T46*$C95)+($U46*$C95)+($V46*$C95)/$E$7</f>
        <v>0</v>
      </c>
      <c r="W95" s="1110">
        <f>($T46*$C95)+($U46*$C95)+($V46*$C95)+($W46*$C95)/$E$7</f>
        <v>0</v>
      </c>
      <c r="X95" s="1110">
        <f>($T46*$C95)+($U46*$C95)+($V46*$C95)+($W46*$C95)+($X46*$C95)/$E$7</f>
        <v>0</v>
      </c>
      <c r="Y95" s="2618">
        <f>($T46*$C95)+($U46*$C95)+($V46*$C95)+($W46*$C95)+($X46*$C95)+($Y46*$C95)/$E$7</f>
        <v>0</v>
      </c>
      <c r="Z95" s="1087">
        <f>'11.2. ДА за периода'!Z95</f>
        <v>0</v>
      </c>
      <c r="AA95" s="882">
        <f t="shared" ref="AA95:AA98" si="268">(AA46*$C95)/$E$7</f>
        <v>0</v>
      </c>
      <c r="AB95" s="1110">
        <f t="shared" ref="AB95:AB98" si="269">(AA46*$C95)+(AB46*$C95)/$E$7</f>
        <v>0</v>
      </c>
      <c r="AC95" s="1110">
        <f t="shared" ref="AC95:AC98" si="270">(AA46*$C95)+(AB46*$C95)+(AC46*$C95)/$E$7</f>
        <v>0</v>
      </c>
      <c r="AD95" s="1110">
        <f t="shared" ref="AD95:AD98" si="271">(AA46*$C95)+(AB46*$C95)+(AC46*$C95)+(AD46*$C95)/$E$7</f>
        <v>0</v>
      </c>
      <c r="AE95" s="1110">
        <f t="shared" ref="AE95:AE98" si="272">(AA46*$C95)+(AB46*$C95)+(AC46*$C95)+(AD46*$C95)+(AE46*$C95)/$E$7</f>
        <v>0</v>
      </c>
      <c r="AF95" s="2742">
        <f t="shared" ref="AF95:AF98" si="273">(AA46*$C95)+(AB46*$C95)+(AC46*$C95)+(AD46*$C95)+(AE46*$C95)+(AF46*$C95)/$E$7</f>
        <v>0</v>
      </c>
      <c r="AG95" s="1087">
        <f>'11.2. ДА за периода'!AG95</f>
        <v>0</v>
      </c>
      <c r="AH95" s="882">
        <f t="shared" ref="AH95:AH98" si="274">(AH46*$C95)/$E$7</f>
        <v>0</v>
      </c>
      <c r="AI95" s="1110">
        <f t="shared" ref="AI95:AI98" si="275">(AH46*$C95)+(AI46*$C95)/$E$7</f>
        <v>0</v>
      </c>
      <c r="AJ95" s="1110">
        <f t="shared" ref="AJ95:AJ98" si="276">(AH46*$C95)+(AI46*$C95)+(AJ46*$C95)/$E$7</f>
        <v>0</v>
      </c>
      <c r="AK95" s="1110">
        <f t="shared" ref="AK95:AK98" si="277">(AH46*$C95)+(AI46*$C95)+(AJ46*$C95)+(AK46*$C95)/$E$7</f>
        <v>0</v>
      </c>
      <c r="AL95" s="1110">
        <f t="shared" ref="AL95:AL98" si="278">(AH46*$C95)+(AI46*$C95)+(AJ46*$C95)+(AK46*$C95)+(AL46*$C95)/$E$7</f>
        <v>0</v>
      </c>
      <c r="AM95" s="2742">
        <f t="shared" ref="AM95:AM98" si="279">(AH46*$C95)+(AI46*$C95)+(AJ46*$C95)+(AK46*$C95)+(AL46*$C95)+(AM46*$C95)/$E$7</f>
        <v>0</v>
      </c>
      <c r="AN95" s="1087">
        <f>'11.2. ДА за периода'!AN95</f>
        <v>0</v>
      </c>
      <c r="AO95" s="2617">
        <f>($AO46*$C95)/$E$7</f>
        <v>0</v>
      </c>
      <c r="AP95" s="1110">
        <f>($AO46*$C95)+($AP46*$C95)/$E$7</f>
        <v>0</v>
      </c>
      <c r="AQ95" s="1110">
        <f>($AO46*$C95)+($AP46*$C95)+($AQ46*$C95)/$E$7</f>
        <v>0</v>
      </c>
      <c r="AR95" s="1110">
        <f>($AO46*$C95)+($AP46*$C95)+($AQ46*$C95)+($AR46*$C95)/$E$7</f>
        <v>0</v>
      </c>
      <c r="AS95" s="1110">
        <f>($AO46*$C95)+($AP46*$C95)+($AQ46*$C95)+($AR46*$C95)+($AS46*$C95)/$E$7</f>
        <v>0</v>
      </c>
      <c r="AT95" s="2618">
        <f>($AO46*$C95)+($AP46*$C95)+($AQ46*$C95)+($AR46*$C95)+($AS46*$C95)+($AT46*$C95)/$E$7</f>
        <v>0</v>
      </c>
      <c r="AU95" s="4422"/>
      <c r="AV95" s="4438">
        <f t="shared" si="162"/>
        <v>0</v>
      </c>
      <c r="AW95" s="4438">
        <f t="shared" si="163"/>
        <v>1.022583762392437</v>
      </c>
      <c r="AX95" s="4438">
        <f t="shared" si="164"/>
        <v>22.292326020155127</v>
      </c>
      <c r="AY95" s="4438">
        <f t="shared" si="165"/>
        <v>53.501582448372304</v>
      </c>
      <c r="AZ95" s="4438">
        <f t="shared" si="166"/>
        <v>75.425778314066164</v>
      </c>
      <c r="BA95" s="4438">
        <f t="shared" si="167"/>
        <v>97.349974179760011</v>
      </c>
      <c r="BB95" s="4438">
        <f t="shared" si="168"/>
        <v>119.27417004545386</v>
      </c>
      <c r="BC95" s="4438">
        <f t="shared" si="169"/>
        <v>0</v>
      </c>
      <c r="BD95" s="4438">
        <f t="shared" si="170"/>
        <v>0</v>
      </c>
      <c r="BE95" s="4438">
        <f t="shared" si="171"/>
        <v>0</v>
      </c>
      <c r="BF95" s="4438">
        <f t="shared" si="172"/>
        <v>0</v>
      </c>
      <c r="BG95" s="4438">
        <f t="shared" si="173"/>
        <v>0</v>
      </c>
      <c r="BH95" s="4438">
        <f t="shared" si="174"/>
        <v>0</v>
      </c>
      <c r="BI95" s="4438">
        <f t="shared" si="175"/>
        <v>0</v>
      </c>
      <c r="BJ95" s="4438">
        <f t="shared" si="176"/>
        <v>0</v>
      </c>
      <c r="BK95" s="4438">
        <f t="shared" si="177"/>
        <v>0</v>
      </c>
      <c r="BL95" s="4438">
        <f t="shared" si="178"/>
        <v>0</v>
      </c>
      <c r="BM95" s="4438">
        <f t="shared" si="179"/>
        <v>0</v>
      </c>
      <c r="BN95" s="4438">
        <f t="shared" si="180"/>
        <v>0</v>
      </c>
      <c r="BO95" s="4438">
        <f t="shared" si="181"/>
        <v>0</v>
      </c>
      <c r="BP95" s="4438">
        <f t="shared" si="182"/>
        <v>0</v>
      </c>
      <c r="BQ95" s="4438">
        <f t="shared" si="183"/>
        <v>0</v>
      </c>
      <c r="BR95" s="4438">
        <f t="shared" si="184"/>
        <v>0</v>
      </c>
      <c r="BS95" s="4438">
        <f t="shared" si="185"/>
        <v>0</v>
      </c>
      <c r="BT95" s="4438">
        <f t="shared" si="186"/>
        <v>0</v>
      </c>
      <c r="BU95" s="4438">
        <f t="shared" si="187"/>
        <v>0</v>
      </c>
      <c r="BV95" s="4438">
        <f t="shared" si="188"/>
        <v>0</v>
      </c>
      <c r="BW95" s="4438">
        <f t="shared" si="189"/>
        <v>0</v>
      </c>
      <c r="BX95" s="4438">
        <f t="shared" si="190"/>
        <v>0</v>
      </c>
      <c r="BY95" s="4438">
        <f t="shared" si="191"/>
        <v>0</v>
      </c>
      <c r="BZ95" s="4438">
        <f t="shared" si="192"/>
        <v>0</v>
      </c>
      <c r="CA95" s="4438">
        <f t="shared" si="193"/>
        <v>0</v>
      </c>
      <c r="CB95" s="4438">
        <f t="shared" si="194"/>
        <v>0</v>
      </c>
      <c r="CC95" s="4438">
        <f t="shared" si="195"/>
        <v>0</v>
      </c>
      <c r="CD95" s="4438">
        <f t="shared" si="196"/>
        <v>0</v>
      </c>
      <c r="CE95" s="4438">
        <f t="shared" si="197"/>
        <v>0</v>
      </c>
      <c r="CF95" s="4438">
        <f t="shared" si="198"/>
        <v>0</v>
      </c>
      <c r="CG95" s="4438">
        <f t="shared" si="199"/>
        <v>0</v>
      </c>
      <c r="CH95" s="4438">
        <f t="shared" si="200"/>
        <v>0</v>
      </c>
      <c r="CI95" s="4438">
        <f t="shared" si="201"/>
        <v>0</v>
      </c>
      <c r="CJ95" s="4438">
        <f t="shared" si="202"/>
        <v>0</v>
      </c>
      <c r="CK95" s="4438">
        <f t="shared" si="203"/>
        <v>0</v>
      </c>
    </row>
    <row r="96" spans="1:89">
      <c r="A96" s="2721"/>
      <c r="B96" s="3575">
        <v>20502</v>
      </c>
      <c r="C96" s="3549">
        <v>0.1</v>
      </c>
      <c r="D96" s="2722" t="s">
        <v>411</v>
      </c>
      <c r="E96" s="2689">
        <f>'11.2. ДА за периода'!E96</f>
        <v>0</v>
      </c>
      <c r="F96" s="2617">
        <f>($F47*$C96)/$E$7</f>
        <v>1.5</v>
      </c>
      <c r="G96" s="1198">
        <f>($F47*$C96)+($G47*$C96)/$E$7</f>
        <v>3</v>
      </c>
      <c r="H96" s="1198">
        <f>($F47*$C96)+($G47*$C96)+($H47*$C96)/$E$7</f>
        <v>3</v>
      </c>
      <c r="I96" s="1198">
        <f>($F47*$C96)+($G47*$C96)+($H47*$C96)+($I47*$C96)/$E$7</f>
        <v>3</v>
      </c>
      <c r="J96" s="1198">
        <f>($F47*$C96)+($G47*$C96)+($H47*$C96)+($I47*$C96)+($J47*$C96)/$E$7</f>
        <v>3</v>
      </c>
      <c r="K96" s="2623">
        <f>($F47*$C96)+($G47*$C96)+($H47*$C96)+($I47*$C96)+($J47*$C96)+($K47*$C96)/$E$7</f>
        <v>3</v>
      </c>
      <c r="L96" s="2689">
        <f>'11.2. ДА за периода'!L96</f>
        <v>0</v>
      </c>
      <c r="M96" s="1202">
        <f>($M47*$C96)/$E$7</f>
        <v>0.5</v>
      </c>
      <c r="N96" s="1198">
        <f>($M47*$C96)+($N47*$C96)/$E$7</f>
        <v>1</v>
      </c>
      <c r="O96" s="1198">
        <f>($M47*$C96)+($N47*$C96)+($O47*$C96)/$E$7</f>
        <v>1</v>
      </c>
      <c r="P96" s="1198">
        <f>($M47*$C96)+($N47*$C96)+($O47*$C96)+($P47*$C96)/$E$7</f>
        <v>1</v>
      </c>
      <c r="Q96" s="2623">
        <f>($M47*$C96)+($N47*$C96)+($O47*$C96)+($P47*$C96)+($Q47*$C96)/$E$7</f>
        <v>1</v>
      </c>
      <c r="R96" s="1203">
        <f>($M47*$C96)+($N47*$C96)+($O47*$C96)+($P47*$C96)+($Q47*$C96)+($R47*$C96)/$E$7</f>
        <v>1</v>
      </c>
      <c r="S96" s="1087">
        <f>'11.2. ДА за периода'!S96</f>
        <v>0</v>
      </c>
      <c r="T96" s="883">
        <f>($T47*$C96)/$E$7</f>
        <v>0</v>
      </c>
      <c r="U96" s="1198">
        <f>($T47*$C96)+($U47*$C96)/$E$7</f>
        <v>0</v>
      </c>
      <c r="V96" s="1198">
        <f>($T47*$C96)+($U47*$C96)+($V47*$C96)/$E$7</f>
        <v>0</v>
      </c>
      <c r="W96" s="1198">
        <f>($T47*$C96)+($U47*$C96)+($V47*$C96)+($W47*$C96)/$E$7</f>
        <v>0</v>
      </c>
      <c r="X96" s="1198">
        <f>($T47*$C96)+($U47*$C96)+($V47*$C96)+($W47*$C96)+($X47*$C96)/$E$7</f>
        <v>0</v>
      </c>
      <c r="Y96" s="1203">
        <f>($T47*$C96)+($U47*$C96)+($V47*$C96)+($W47*$C96)+($X47*$C96)+($Y47*$C96)/$E$7</f>
        <v>0</v>
      </c>
      <c r="Z96" s="1087">
        <f>'11.2. ДА за периода'!Z96</f>
        <v>0</v>
      </c>
      <c r="AA96" s="883">
        <f t="shared" si="268"/>
        <v>0</v>
      </c>
      <c r="AB96" s="1198">
        <f t="shared" si="269"/>
        <v>0</v>
      </c>
      <c r="AC96" s="1198">
        <f t="shared" si="270"/>
        <v>0</v>
      </c>
      <c r="AD96" s="1198">
        <f t="shared" si="271"/>
        <v>0</v>
      </c>
      <c r="AE96" s="1198">
        <f t="shared" si="272"/>
        <v>0</v>
      </c>
      <c r="AF96" s="2623">
        <f t="shared" si="273"/>
        <v>0</v>
      </c>
      <c r="AG96" s="1087">
        <f>'11.2. ДА за периода'!AG96</f>
        <v>0</v>
      </c>
      <c r="AH96" s="883">
        <f t="shared" si="274"/>
        <v>0</v>
      </c>
      <c r="AI96" s="1198">
        <f t="shared" si="275"/>
        <v>0</v>
      </c>
      <c r="AJ96" s="1198">
        <f t="shared" si="276"/>
        <v>0</v>
      </c>
      <c r="AK96" s="1198">
        <f t="shared" si="277"/>
        <v>0</v>
      </c>
      <c r="AL96" s="1198">
        <f t="shared" si="278"/>
        <v>0</v>
      </c>
      <c r="AM96" s="2623">
        <f t="shared" si="279"/>
        <v>0</v>
      </c>
      <c r="AN96" s="1087">
        <f>'11.2. ДА за периода'!AN96</f>
        <v>0</v>
      </c>
      <c r="AO96" s="1202">
        <f>($AO47*$C96)/$E$7</f>
        <v>0.5</v>
      </c>
      <c r="AP96" s="1198">
        <f>($AO47*$C96)+($AP47*$C96)/$E$7</f>
        <v>1</v>
      </c>
      <c r="AQ96" s="1198">
        <f>($AO47*$C96)+($AP47*$C96)+($AQ47*$C96)/$E$7</f>
        <v>1</v>
      </c>
      <c r="AR96" s="1198">
        <f>($AO47*$C96)+($AP47*$C96)+($AQ47*$C96)+($AR47*$C96)/$E$7</f>
        <v>1</v>
      </c>
      <c r="AS96" s="1198">
        <f>($AO47*$C96)+($AP47*$C96)+($AQ47*$C96)+($AR47*$C96)+($AS47*$C96)/$E$7</f>
        <v>1</v>
      </c>
      <c r="AT96" s="1203">
        <f>($AO47*$C96)+($AP47*$C96)+($AQ47*$C96)+($AR47*$C96)+($AS47*$C96)+($AT47*$C96)/$E$7</f>
        <v>1</v>
      </c>
      <c r="AU96" s="4422"/>
      <c r="AV96" s="4438">
        <f t="shared" si="162"/>
        <v>0</v>
      </c>
      <c r="AW96" s="4438">
        <f t="shared" si="163"/>
        <v>0.76693782179432779</v>
      </c>
      <c r="AX96" s="4438">
        <f t="shared" si="164"/>
        <v>1.5338756435886556</v>
      </c>
      <c r="AY96" s="4438">
        <f t="shared" si="165"/>
        <v>1.5338756435886556</v>
      </c>
      <c r="AZ96" s="4438">
        <f t="shared" si="166"/>
        <v>1.5338756435886556</v>
      </c>
      <c r="BA96" s="4438">
        <f t="shared" si="167"/>
        <v>1.5338756435886556</v>
      </c>
      <c r="BB96" s="4438">
        <f t="shared" si="168"/>
        <v>1.5338756435886556</v>
      </c>
      <c r="BC96" s="4438">
        <f t="shared" si="169"/>
        <v>0</v>
      </c>
      <c r="BD96" s="4438">
        <f t="shared" si="170"/>
        <v>0.25564594059810924</v>
      </c>
      <c r="BE96" s="4438">
        <f t="shared" si="171"/>
        <v>0.51129188119621849</v>
      </c>
      <c r="BF96" s="4438">
        <f t="shared" si="172"/>
        <v>0.51129188119621849</v>
      </c>
      <c r="BG96" s="4438">
        <f t="shared" si="173"/>
        <v>0.51129188119621849</v>
      </c>
      <c r="BH96" s="4438">
        <f t="shared" si="174"/>
        <v>0.51129188119621849</v>
      </c>
      <c r="BI96" s="4438">
        <f t="shared" si="175"/>
        <v>0.51129188119621849</v>
      </c>
      <c r="BJ96" s="4438">
        <f t="shared" si="176"/>
        <v>0</v>
      </c>
      <c r="BK96" s="4438">
        <f t="shared" si="177"/>
        <v>0</v>
      </c>
      <c r="BL96" s="4438">
        <f t="shared" si="178"/>
        <v>0</v>
      </c>
      <c r="BM96" s="4438">
        <f t="shared" si="179"/>
        <v>0</v>
      </c>
      <c r="BN96" s="4438">
        <f t="shared" si="180"/>
        <v>0</v>
      </c>
      <c r="BO96" s="4438">
        <f t="shared" si="181"/>
        <v>0</v>
      </c>
      <c r="BP96" s="4438">
        <f t="shared" si="182"/>
        <v>0</v>
      </c>
      <c r="BQ96" s="4438">
        <f t="shared" si="183"/>
        <v>0</v>
      </c>
      <c r="BR96" s="4438">
        <f t="shared" si="184"/>
        <v>0</v>
      </c>
      <c r="BS96" s="4438">
        <f t="shared" si="185"/>
        <v>0</v>
      </c>
      <c r="BT96" s="4438">
        <f t="shared" si="186"/>
        <v>0</v>
      </c>
      <c r="BU96" s="4438">
        <f t="shared" si="187"/>
        <v>0</v>
      </c>
      <c r="BV96" s="4438">
        <f t="shared" si="188"/>
        <v>0</v>
      </c>
      <c r="BW96" s="4438">
        <f t="shared" si="189"/>
        <v>0</v>
      </c>
      <c r="BX96" s="4438">
        <f t="shared" si="190"/>
        <v>0</v>
      </c>
      <c r="BY96" s="4438">
        <f t="shared" si="191"/>
        <v>0</v>
      </c>
      <c r="BZ96" s="4438">
        <f t="shared" si="192"/>
        <v>0</v>
      </c>
      <c r="CA96" s="4438">
        <f t="shared" si="193"/>
        <v>0</v>
      </c>
      <c r="CB96" s="4438">
        <f t="shared" si="194"/>
        <v>0</v>
      </c>
      <c r="CC96" s="4438">
        <f t="shared" si="195"/>
        <v>0</v>
      </c>
      <c r="CD96" s="4438">
        <f t="shared" si="196"/>
        <v>0</v>
      </c>
      <c r="CE96" s="4438">
        <f t="shared" si="197"/>
        <v>0</v>
      </c>
      <c r="CF96" s="4438">
        <f t="shared" si="198"/>
        <v>0.25564594059810924</v>
      </c>
      <c r="CG96" s="4438">
        <f t="shared" si="199"/>
        <v>0.51129188119621849</v>
      </c>
      <c r="CH96" s="4438">
        <f t="shared" si="200"/>
        <v>0.51129188119621849</v>
      </c>
      <c r="CI96" s="4438">
        <f t="shared" si="201"/>
        <v>0.51129188119621849</v>
      </c>
      <c r="CJ96" s="4438">
        <f t="shared" si="202"/>
        <v>0.51129188119621849</v>
      </c>
      <c r="CK96" s="4438">
        <f t="shared" si="203"/>
        <v>0.51129188119621849</v>
      </c>
    </row>
    <row r="97" spans="1:89">
      <c r="A97" s="2721"/>
      <c r="B97" s="3575">
        <v>20503</v>
      </c>
      <c r="C97" s="3549">
        <v>0.1</v>
      </c>
      <c r="D97" s="2704" t="s">
        <v>412</v>
      </c>
      <c r="E97" s="2689">
        <f>'11.2. ДА за периода'!E97</f>
        <v>0</v>
      </c>
      <c r="F97" s="2617">
        <f>($F48*$C97)/$E$7</f>
        <v>0</v>
      </c>
      <c r="G97" s="1198">
        <f>($F48*$C97)+($G48*$C97)/$E$7</f>
        <v>0</v>
      </c>
      <c r="H97" s="1198">
        <f>($F48*$C97)+($G48*$C97)+($H48*$C97)/$E$7</f>
        <v>0</v>
      </c>
      <c r="I97" s="1198">
        <f>($F48*$C97)+($G48*$C97)+($H48*$C97)+($I48*$C97)/$E$7</f>
        <v>0</v>
      </c>
      <c r="J97" s="1198">
        <f>($F48*$C97)+($G48*$C97)+($H48*$C97)+($I48*$C97)+($J48*$C97)/$E$7</f>
        <v>0</v>
      </c>
      <c r="K97" s="2623">
        <f>($F48*$C97)+($G48*$C97)+($H48*$C97)+($I48*$C97)+($J48*$C97)+($K48*$C97)/$E$7</f>
        <v>0</v>
      </c>
      <c r="L97" s="2689">
        <f>'11.2. ДА за периода'!L97</f>
        <v>0</v>
      </c>
      <c r="M97" s="1202">
        <f>($M48*$C97)/$E$7</f>
        <v>0</v>
      </c>
      <c r="N97" s="1198">
        <f>($M48*$C97)+($N48*$C97)/$E$7</f>
        <v>0</v>
      </c>
      <c r="O97" s="1198">
        <f>($M48*$C97)+($N48*$C97)+($O48*$C97)/$E$7</f>
        <v>0</v>
      </c>
      <c r="P97" s="1198">
        <f>($M48*$C97)+($N48*$C97)+($O48*$C97)+($P48*$C97)/$E$7</f>
        <v>0</v>
      </c>
      <c r="Q97" s="2623">
        <f>($M48*$C97)+($N48*$C97)+($O48*$C97)+($P48*$C97)+($Q48*$C97)/$E$7</f>
        <v>0</v>
      </c>
      <c r="R97" s="1203">
        <f>($M48*$C97)+($N48*$C97)+($O48*$C97)+($P48*$C97)+($Q48*$C97)+($R48*$C97)/$E$7</f>
        <v>0</v>
      </c>
      <c r="S97" s="1087">
        <f>'11.2. ДА за периода'!S97</f>
        <v>0</v>
      </c>
      <c r="T97" s="883">
        <f>($T48*$C97)/$E$7</f>
        <v>0</v>
      </c>
      <c r="U97" s="1198">
        <f>($T48*$C97)+($U48*$C97)/$E$7</f>
        <v>0</v>
      </c>
      <c r="V97" s="1198">
        <f>($T48*$C97)+($U48*$C97)+($V48*$C97)/$E$7</f>
        <v>0</v>
      </c>
      <c r="W97" s="1198">
        <f>($T48*$C97)+($U48*$C97)+($V48*$C97)+($W48*$C97)/$E$7</f>
        <v>0</v>
      </c>
      <c r="X97" s="1198">
        <f>($T48*$C97)+($U48*$C97)+($V48*$C97)+($W48*$C97)+($X48*$C97)/$E$7</f>
        <v>0</v>
      </c>
      <c r="Y97" s="1203">
        <f>($T48*$C97)+($U48*$C97)+($V48*$C97)+($W48*$C97)+($X48*$C97)+($Y48*$C97)/$E$7</f>
        <v>0</v>
      </c>
      <c r="Z97" s="1087">
        <f>'11.2. ДА за периода'!Z97</f>
        <v>0</v>
      </c>
      <c r="AA97" s="883">
        <f t="shared" si="268"/>
        <v>0</v>
      </c>
      <c r="AB97" s="1198">
        <f t="shared" si="269"/>
        <v>0</v>
      </c>
      <c r="AC97" s="1198">
        <f t="shared" si="270"/>
        <v>0</v>
      </c>
      <c r="AD97" s="1198">
        <f t="shared" si="271"/>
        <v>0</v>
      </c>
      <c r="AE97" s="1198">
        <f t="shared" si="272"/>
        <v>0</v>
      </c>
      <c r="AF97" s="2623">
        <f t="shared" si="273"/>
        <v>0</v>
      </c>
      <c r="AG97" s="1087">
        <f>'11.2. ДА за периода'!AG97</f>
        <v>0</v>
      </c>
      <c r="AH97" s="883">
        <f t="shared" si="274"/>
        <v>0</v>
      </c>
      <c r="AI97" s="1198">
        <f t="shared" si="275"/>
        <v>0</v>
      </c>
      <c r="AJ97" s="1198">
        <f t="shared" si="276"/>
        <v>0</v>
      </c>
      <c r="AK97" s="1198">
        <f t="shared" si="277"/>
        <v>0</v>
      </c>
      <c r="AL97" s="1198">
        <f t="shared" si="278"/>
        <v>0</v>
      </c>
      <c r="AM97" s="2623">
        <f t="shared" si="279"/>
        <v>0</v>
      </c>
      <c r="AN97" s="1087">
        <f>'11.2. ДА за периода'!AN97</f>
        <v>0</v>
      </c>
      <c r="AO97" s="1202">
        <f>($AO48*$C97)/$E$7</f>
        <v>1</v>
      </c>
      <c r="AP97" s="1198">
        <f>($AO48*$C97)+($AP48*$C97)/$E$7</f>
        <v>2</v>
      </c>
      <c r="AQ97" s="1198">
        <f>($AO48*$C97)+($AP48*$C97)+($AQ48*$C97)/$E$7</f>
        <v>2</v>
      </c>
      <c r="AR97" s="1198">
        <f>($AO48*$C97)+($AP48*$C97)+($AQ48*$C97)+($AR48*$C97)/$E$7</f>
        <v>2</v>
      </c>
      <c r="AS97" s="1198">
        <f>($AO48*$C97)+($AP48*$C97)+($AQ48*$C97)+($AR48*$C97)+($AS48*$C97)/$E$7</f>
        <v>2</v>
      </c>
      <c r="AT97" s="1203">
        <f>($AO48*$C97)+($AP48*$C97)+($AQ48*$C97)+($AR48*$C97)+($AS48*$C97)+($AT48*$C97)/$E$7</f>
        <v>2</v>
      </c>
      <c r="AU97" s="4422"/>
      <c r="AV97" s="4438">
        <f t="shared" si="162"/>
        <v>0</v>
      </c>
      <c r="AW97" s="4438">
        <f t="shared" si="163"/>
        <v>0</v>
      </c>
      <c r="AX97" s="4438">
        <f t="shared" si="164"/>
        <v>0</v>
      </c>
      <c r="AY97" s="4438">
        <f t="shared" si="165"/>
        <v>0</v>
      </c>
      <c r="AZ97" s="4438">
        <f t="shared" si="166"/>
        <v>0</v>
      </c>
      <c r="BA97" s="4438">
        <f t="shared" si="167"/>
        <v>0</v>
      </c>
      <c r="BB97" s="4438">
        <f t="shared" si="168"/>
        <v>0</v>
      </c>
      <c r="BC97" s="4438">
        <f t="shared" si="169"/>
        <v>0</v>
      </c>
      <c r="BD97" s="4438">
        <f t="shared" si="170"/>
        <v>0</v>
      </c>
      <c r="BE97" s="4438">
        <f t="shared" si="171"/>
        <v>0</v>
      </c>
      <c r="BF97" s="4438">
        <f t="shared" si="172"/>
        <v>0</v>
      </c>
      <c r="BG97" s="4438">
        <f t="shared" si="173"/>
        <v>0</v>
      </c>
      <c r="BH97" s="4438">
        <f t="shared" si="174"/>
        <v>0</v>
      </c>
      <c r="BI97" s="4438">
        <f t="shared" si="175"/>
        <v>0</v>
      </c>
      <c r="BJ97" s="4438">
        <f t="shared" si="176"/>
        <v>0</v>
      </c>
      <c r="BK97" s="4438">
        <f t="shared" si="177"/>
        <v>0</v>
      </c>
      <c r="BL97" s="4438">
        <f t="shared" si="178"/>
        <v>0</v>
      </c>
      <c r="BM97" s="4438">
        <f t="shared" si="179"/>
        <v>0</v>
      </c>
      <c r="BN97" s="4438">
        <f t="shared" si="180"/>
        <v>0</v>
      </c>
      <c r="BO97" s="4438">
        <f t="shared" si="181"/>
        <v>0</v>
      </c>
      <c r="BP97" s="4438">
        <f t="shared" si="182"/>
        <v>0</v>
      </c>
      <c r="BQ97" s="4438">
        <f t="shared" si="183"/>
        <v>0</v>
      </c>
      <c r="BR97" s="4438">
        <f t="shared" si="184"/>
        <v>0</v>
      </c>
      <c r="BS97" s="4438">
        <f t="shared" si="185"/>
        <v>0</v>
      </c>
      <c r="BT97" s="4438">
        <f t="shared" si="186"/>
        <v>0</v>
      </c>
      <c r="BU97" s="4438">
        <f t="shared" si="187"/>
        <v>0</v>
      </c>
      <c r="BV97" s="4438">
        <f t="shared" si="188"/>
        <v>0</v>
      </c>
      <c r="BW97" s="4438">
        <f t="shared" si="189"/>
        <v>0</v>
      </c>
      <c r="BX97" s="4438">
        <f t="shared" si="190"/>
        <v>0</v>
      </c>
      <c r="BY97" s="4438">
        <f t="shared" si="191"/>
        <v>0</v>
      </c>
      <c r="BZ97" s="4438">
        <f t="shared" si="192"/>
        <v>0</v>
      </c>
      <c r="CA97" s="4438">
        <f t="shared" si="193"/>
        <v>0</v>
      </c>
      <c r="CB97" s="4438">
        <f t="shared" si="194"/>
        <v>0</v>
      </c>
      <c r="CC97" s="4438">
        <f t="shared" si="195"/>
        <v>0</v>
      </c>
      <c r="CD97" s="4438">
        <f t="shared" si="196"/>
        <v>0</v>
      </c>
      <c r="CE97" s="4438">
        <f t="shared" si="197"/>
        <v>0</v>
      </c>
      <c r="CF97" s="4438">
        <f t="shared" si="198"/>
        <v>0.51129188119621849</v>
      </c>
      <c r="CG97" s="4438">
        <f t="shared" si="199"/>
        <v>1.022583762392437</v>
      </c>
      <c r="CH97" s="4438">
        <f t="shared" si="200"/>
        <v>1.022583762392437</v>
      </c>
      <c r="CI97" s="4438">
        <f t="shared" si="201"/>
        <v>1.022583762392437</v>
      </c>
      <c r="CJ97" s="4438">
        <f t="shared" si="202"/>
        <v>1.022583762392437</v>
      </c>
      <c r="CK97" s="4438">
        <f t="shared" si="203"/>
        <v>1.022583762392437</v>
      </c>
    </row>
    <row r="98" spans="1:89">
      <c r="A98" s="2721"/>
      <c r="B98" s="3575">
        <v>20504</v>
      </c>
      <c r="C98" s="3549">
        <v>0.1</v>
      </c>
      <c r="D98" s="2704" t="s">
        <v>557</v>
      </c>
      <c r="E98" s="2689">
        <f>'11.2. ДА за периода'!E98</f>
        <v>0</v>
      </c>
      <c r="F98" s="2617">
        <f>($F49*$C98)/$E$7</f>
        <v>0</v>
      </c>
      <c r="G98" s="1198">
        <f>($F49*$C98)+($G49*$C98)/$E$7</f>
        <v>0</v>
      </c>
      <c r="H98" s="1198">
        <f>($F49*$C98)+($G49*$C98)+($H49*$C98)/$E$7</f>
        <v>0</v>
      </c>
      <c r="I98" s="1198">
        <f>($F49*$C98)+($G49*$C98)+($H49*$C98)+($I49*$C98)/$E$7</f>
        <v>0</v>
      </c>
      <c r="J98" s="1198">
        <f>($F49*$C98)+($G49*$C98)+($H49*$C98)+($I49*$C98)+($J49*$C98)/$E$7</f>
        <v>0</v>
      </c>
      <c r="K98" s="2623">
        <f>($F49*$C98)+($G49*$C98)+($H49*$C98)+($I49*$C98)+($J49*$C98)+($K49*$C98)/$E$7</f>
        <v>0</v>
      </c>
      <c r="L98" s="2689">
        <f>'11.2. ДА за периода'!L98</f>
        <v>0</v>
      </c>
      <c r="M98" s="1202">
        <f>($M49*$C98)/$E$7</f>
        <v>0</v>
      </c>
      <c r="N98" s="1198">
        <f>($M49*$C98)+($N49*$C98)/$E$7</f>
        <v>0</v>
      </c>
      <c r="O98" s="1198">
        <f>($M49*$C98)+($N49*$C98)+($O49*$C98)/$E$7</f>
        <v>0</v>
      </c>
      <c r="P98" s="1198">
        <f>($M49*$C98)+($N49*$C98)+($O49*$C98)+($P49*$C98)/$E$7</f>
        <v>0</v>
      </c>
      <c r="Q98" s="2623">
        <f>($M49*$C98)+($N49*$C98)+($O49*$C98)+($P49*$C98)+($Q49*$C98)/$E$7</f>
        <v>0</v>
      </c>
      <c r="R98" s="1203">
        <f>($M49*$C98)+($N49*$C98)+($O49*$C98)+($P49*$C98)+($Q49*$C98)+($R49*$C98)/$E$7</f>
        <v>0</v>
      </c>
      <c r="S98" s="1087">
        <f>'11.2. ДА за периода'!S98</f>
        <v>0</v>
      </c>
      <c r="T98" s="883">
        <f>($T49*$C98)/$E$7</f>
        <v>0</v>
      </c>
      <c r="U98" s="1198">
        <f>($T49*$C98)+($U49*$C98)/$E$7</f>
        <v>0</v>
      </c>
      <c r="V98" s="1198">
        <f>($T49*$C98)+($U49*$C98)+($V49*$C98)/$E$7</f>
        <v>0</v>
      </c>
      <c r="W98" s="1198">
        <f>($T49*$C98)+($U49*$C98)+($V49*$C98)+($W49*$C98)/$E$7</f>
        <v>0</v>
      </c>
      <c r="X98" s="1198">
        <f>($T49*$C98)+($U49*$C98)+($V49*$C98)+($W49*$C98)+($X49*$C98)/$E$7</f>
        <v>0</v>
      </c>
      <c r="Y98" s="1203">
        <f>($T49*$C98)+($U49*$C98)+($V49*$C98)+($W49*$C98)+($X49*$C98)+($Y49*$C98)/$E$7</f>
        <v>0</v>
      </c>
      <c r="Z98" s="1087">
        <f>'11.2. ДА за периода'!Z98</f>
        <v>0</v>
      </c>
      <c r="AA98" s="883">
        <f t="shared" si="268"/>
        <v>0</v>
      </c>
      <c r="AB98" s="1198">
        <f t="shared" si="269"/>
        <v>0</v>
      </c>
      <c r="AC98" s="1198">
        <f t="shared" si="270"/>
        <v>0</v>
      </c>
      <c r="AD98" s="1198">
        <f t="shared" si="271"/>
        <v>0</v>
      </c>
      <c r="AE98" s="1198">
        <f t="shared" si="272"/>
        <v>0</v>
      </c>
      <c r="AF98" s="2623">
        <f t="shared" si="273"/>
        <v>0</v>
      </c>
      <c r="AG98" s="1087">
        <f>'11.2. ДА за периода'!AG98</f>
        <v>0</v>
      </c>
      <c r="AH98" s="883">
        <f t="shared" si="274"/>
        <v>0</v>
      </c>
      <c r="AI98" s="1198">
        <f t="shared" si="275"/>
        <v>0</v>
      </c>
      <c r="AJ98" s="1198">
        <f t="shared" si="276"/>
        <v>0</v>
      </c>
      <c r="AK98" s="1198">
        <f t="shared" si="277"/>
        <v>0</v>
      </c>
      <c r="AL98" s="1198">
        <f t="shared" si="278"/>
        <v>0</v>
      </c>
      <c r="AM98" s="2623">
        <f t="shared" si="279"/>
        <v>0</v>
      </c>
      <c r="AN98" s="1087">
        <f>'11.2. ДА за периода'!AN98</f>
        <v>0</v>
      </c>
      <c r="AO98" s="1202">
        <f>($AO49*$C98)/$E$7</f>
        <v>0</v>
      </c>
      <c r="AP98" s="1198">
        <f>($AO49*$C98)+($AP49*$C98)/$E$7</f>
        <v>0</v>
      </c>
      <c r="AQ98" s="1198">
        <f>($AO49*$C98)+($AP49*$C98)+($AQ49*$C98)/$E$7</f>
        <v>0</v>
      </c>
      <c r="AR98" s="1198">
        <f>($AO49*$C98)+($AP49*$C98)+($AQ49*$C98)+($AR49*$C98)/$E$7</f>
        <v>0</v>
      </c>
      <c r="AS98" s="1198">
        <f>($AO49*$C98)+($AP49*$C98)+($AQ49*$C98)+($AR49*$C98)+($AS49*$C98)/$E$7</f>
        <v>0</v>
      </c>
      <c r="AT98" s="1203">
        <f>($AO49*$C98)+($AP49*$C98)+($AQ49*$C98)+($AR49*$C98)+($AS49*$C98)+($AT49*$C98)/$E$7</f>
        <v>0</v>
      </c>
      <c r="AU98" s="4422"/>
      <c r="AV98" s="4438">
        <f t="shared" si="162"/>
        <v>0</v>
      </c>
      <c r="AW98" s="4438">
        <f t="shared" si="163"/>
        <v>0</v>
      </c>
      <c r="AX98" s="4438">
        <f t="shared" si="164"/>
        <v>0</v>
      </c>
      <c r="AY98" s="4438">
        <f t="shared" si="165"/>
        <v>0</v>
      </c>
      <c r="AZ98" s="4438">
        <f t="shared" si="166"/>
        <v>0</v>
      </c>
      <c r="BA98" s="4438">
        <f t="shared" si="167"/>
        <v>0</v>
      </c>
      <c r="BB98" s="4438">
        <f t="shared" si="168"/>
        <v>0</v>
      </c>
      <c r="BC98" s="4438">
        <f t="shared" si="169"/>
        <v>0</v>
      </c>
      <c r="BD98" s="4438">
        <f t="shared" si="170"/>
        <v>0</v>
      </c>
      <c r="BE98" s="4438">
        <f t="shared" si="171"/>
        <v>0</v>
      </c>
      <c r="BF98" s="4438">
        <f t="shared" si="172"/>
        <v>0</v>
      </c>
      <c r="BG98" s="4438">
        <f t="shared" si="173"/>
        <v>0</v>
      </c>
      <c r="BH98" s="4438">
        <f t="shared" si="174"/>
        <v>0</v>
      </c>
      <c r="BI98" s="4438">
        <f t="shared" si="175"/>
        <v>0</v>
      </c>
      <c r="BJ98" s="4438">
        <f t="shared" si="176"/>
        <v>0</v>
      </c>
      <c r="BK98" s="4438">
        <f t="shared" si="177"/>
        <v>0</v>
      </c>
      <c r="BL98" s="4438">
        <f t="shared" si="178"/>
        <v>0</v>
      </c>
      <c r="BM98" s="4438">
        <f t="shared" si="179"/>
        <v>0</v>
      </c>
      <c r="BN98" s="4438">
        <f t="shared" si="180"/>
        <v>0</v>
      </c>
      <c r="BO98" s="4438">
        <f t="shared" si="181"/>
        <v>0</v>
      </c>
      <c r="BP98" s="4438">
        <f t="shared" si="182"/>
        <v>0</v>
      </c>
      <c r="BQ98" s="4438">
        <f t="shared" si="183"/>
        <v>0</v>
      </c>
      <c r="BR98" s="4438">
        <f t="shared" si="184"/>
        <v>0</v>
      </c>
      <c r="BS98" s="4438">
        <f t="shared" si="185"/>
        <v>0</v>
      </c>
      <c r="BT98" s="4438">
        <f t="shared" si="186"/>
        <v>0</v>
      </c>
      <c r="BU98" s="4438">
        <f t="shared" si="187"/>
        <v>0</v>
      </c>
      <c r="BV98" s="4438">
        <f t="shared" si="188"/>
        <v>0</v>
      </c>
      <c r="BW98" s="4438">
        <f t="shared" si="189"/>
        <v>0</v>
      </c>
      <c r="BX98" s="4438">
        <f t="shared" si="190"/>
        <v>0</v>
      </c>
      <c r="BY98" s="4438">
        <f t="shared" si="191"/>
        <v>0</v>
      </c>
      <c r="BZ98" s="4438">
        <f t="shared" si="192"/>
        <v>0</v>
      </c>
      <c r="CA98" s="4438">
        <f t="shared" si="193"/>
        <v>0</v>
      </c>
      <c r="CB98" s="4438">
        <f t="shared" si="194"/>
        <v>0</v>
      </c>
      <c r="CC98" s="4438">
        <f t="shared" si="195"/>
        <v>0</v>
      </c>
      <c r="CD98" s="4438">
        <f t="shared" si="196"/>
        <v>0</v>
      </c>
      <c r="CE98" s="4438">
        <f t="shared" si="197"/>
        <v>0</v>
      </c>
      <c r="CF98" s="4438">
        <f t="shared" si="198"/>
        <v>0</v>
      </c>
      <c r="CG98" s="4438">
        <f t="shared" si="199"/>
        <v>0</v>
      </c>
      <c r="CH98" s="4438">
        <f t="shared" si="200"/>
        <v>0</v>
      </c>
      <c r="CI98" s="4438">
        <f t="shared" si="201"/>
        <v>0</v>
      </c>
      <c r="CJ98" s="4438">
        <f t="shared" si="202"/>
        <v>0</v>
      </c>
      <c r="CK98" s="4438">
        <f t="shared" si="203"/>
        <v>0</v>
      </c>
    </row>
    <row r="99" spans="1:89" s="30" customFormat="1">
      <c r="A99" s="2696">
        <v>6</v>
      </c>
      <c r="B99" s="3576">
        <v>206</v>
      </c>
      <c r="C99" s="3550">
        <v>0.1</v>
      </c>
      <c r="D99" s="2712" t="s">
        <v>394</v>
      </c>
      <c r="E99" s="2745">
        <f t="shared" ref="E99:K99" si="280">SUM(E100:E102)</f>
        <v>1.7000000000000002</v>
      </c>
      <c r="F99" s="2746">
        <f t="shared" si="280"/>
        <v>0</v>
      </c>
      <c r="G99" s="2747">
        <f t="shared" si="280"/>
        <v>0</v>
      </c>
      <c r="H99" s="2747">
        <f t="shared" si="280"/>
        <v>0</v>
      </c>
      <c r="I99" s="2747">
        <f t="shared" si="280"/>
        <v>0</v>
      </c>
      <c r="J99" s="2747">
        <f t="shared" si="280"/>
        <v>0</v>
      </c>
      <c r="K99" s="2748">
        <f t="shared" si="280"/>
        <v>0</v>
      </c>
      <c r="L99" s="2749">
        <f t="shared" ref="L99:AT99" si="281">SUM(L100:L102)</f>
        <v>0.35</v>
      </c>
      <c r="M99" s="2746">
        <f t="shared" si="281"/>
        <v>0</v>
      </c>
      <c r="N99" s="2747">
        <f t="shared" si="281"/>
        <v>0</v>
      </c>
      <c r="O99" s="2747">
        <f t="shared" si="281"/>
        <v>0</v>
      </c>
      <c r="P99" s="2747">
        <f t="shared" si="281"/>
        <v>0</v>
      </c>
      <c r="Q99" s="2747">
        <f t="shared" si="281"/>
        <v>0</v>
      </c>
      <c r="R99" s="2750">
        <f t="shared" si="281"/>
        <v>0</v>
      </c>
      <c r="S99" s="2749">
        <f t="shared" si="281"/>
        <v>0.9</v>
      </c>
      <c r="T99" s="2751">
        <f t="shared" si="281"/>
        <v>0</v>
      </c>
      <c r="U99" s="2747">
        <f t="shared" si="281"/>
        <v>0</v>
      </c>
      <c r="V99" s="2747">
        <f t="shared" si="281"/>
        <v>0</v>
      </c>
      <c r="W99" s="2747">
        <f t="shared" si="281"/>
        <v>0</v>
      </c>
      <c r="X99" s="2747">
        <f t="shared" si="281"/>
        <v>0</v>
      </c>
      <c r="Y99" s="2750">
        <f t="shared" si="281"/>
        <v>0</v>
      </c>
      <c r="Z99" s="2749">
        <f t="shared" si="281"/>
        <v>0</v>
      </c>
      <c r="AA99" s="2751">
        <f t="shared" si="281"/>
        <v>0</v>
      </c>
      <c r="AB99" s="2747">
        <f t="shared" si="281"/>
        <v>0</v>
      </c>
      <c r="AC99" s="2747">
        <f t="shared" si="281"/>
        <v>0</v>
      </c>
      <c r="AD99" s="2747">
        <f t="shared" si="281"/>
        <v>0</v>
      </c>
      <c r="AE99" s="2747">
        <f t="shared" si="281"/>
        <v>0</v>
      </c>
      <c r="AF99" s="2750">
        <f t="shared" si="281"/>
        <v>0</v>
      </c>
      <c r="AG99" s="2749">
        <f t="shared" si="281"/>
        <v>0</v>
      </c>
      <c r="AH99" s="2751">
        <f t="shared" si="281"/>
        <v>0</v>
      </c>
      <c r="AI99" s="2747">
        <f t="shared" si="281"/>
        <v>0</v>
      </c>
      <c r="AJ99" s="2747">
        <f t="shared" si="281"/>
        <v>0</v>
      </c>
      <c r="AK99" s="2747">
        <f t="shared" si="281"/>
        <v>0</v>
      </c>
      <c r="AL99" s="2747">
        <f t="shared" si="281"/>
        <v>0</v>
      </c>
      <c r="AM99" s="2750">
        <f t="shared" si="281"/>
        <v>0</v>
      </c>
      <c r="AN99" s="2749">
        <f t="shared" si="281"/>
        <v>0</v>
      </c>
      <c r="AO99" s="2751">
        <f t="shared" si="281"/>
        <v>1</v>
      </c>
      <c r="AP99" s="2747">
        <f t="shared" si="281"/>
        <v>2.75</v>
      </c>
      <c r="AQ99" s="2747">
        <f t="shared" si="281"/>
        <v>4.25</v>
      </c>
      <c r="AR99" s="2747">
        <f t="shared" si="281"/>
        <v>5.75</v>
      </c>
      <c r="AS99" s="2747">
        <f t="shared" si="281"/>
        <v>7.25</v>
      </c>
      <c r="AT99" s="2750">
        <f t="shared" si="281"/>
        <v>8.75</v>
      </c>
      <c r="AU99" s="4422"/>
      <c r="AV99" s="4438">
        <f t="shared" si="162"/>
        <v>0.86919619803357151</v>
      </c>
      <c r="AW99" s="4438">
        <f t="shared" si="163"/>
        <v>0</v>
      </c>
      <c r="AX99" s="4438">
        <f t="shared" si="164"/>
        <v>0</v>
      </c>
      <c r="AY99" s="4438">
        <f t="shared" si="165"/>
        <v>0</v>
      </c>
      <c r="AZ99" s="4438">
        <f t="shared" si="166"/>
        <v>0</v>
      </c>
      <c r="BA99" s="4438">
        <f t="shared" si="167"/>
        <v>0</v>
      </c>
      <c r="BB99" s="4438">
        <f t="shared" si="168"/>
        <v>0</v>
      </c>
      <c r="BC99" s="4438">
        <f t="shared" si="169"/>
        <v>0.17895215841867645</v>
      </c>
      <c r="BD99" s="4438">
        <f t="shared" si="170"/>
        <v>0</v>
      </c>
      <c r="BE99" s="4438">
        <f t="shared" si="171"/>
        <v>0</v>
      </c>
      <c r="BF99" s="4438">
        <f t="shared" si="172"/>
        <v>0</v>
      </c>
      <c r="BG99" s="4438">
        <f t="shared" si="173"/>
        <v>0</v>
      </c>
      <c r="BH99" s="4438">
        <f t="shared" si="174"/>
        <v>0</v>
      </c>
      <c r="BI99" s="4438">
        <f t="shared" si="175"/>
        <v>0</v>
      </c>
      <c r="BJ99" s="4438">
        <f t="shared" si="176"/>
        <v>0.46016269307659668</v>
      </c>
      <c r="BK99" s="4438">
        <f t="shared" si="177"/>
        <v>0</v>
      </c>
      <c r="BL99" s="4438">
        <f t="shared" si="178"/>
        <v>0</v>
      </c>
      <c r="BM99" s="4438">
        <f t="shared" si="179"/>
        <v>0</v>
      </c>
      <c r="BN99" s="4438">
        <f t="shared" si="180"/>
        <v>0</v>
      </c>
      <c r="BO99" s="4438">
        <f t="shared" si="181"/>
        <v>0</v>
      </c>
      <c r="BP99" s="4438">
        <f t="shared" si="182"/>
        <v>0</v>
      </c>
      <c r="BQ99" s="4438">
        <f t="shared" si="183"/>
        <v>0</v>
      </c>
      <c r="BR99" s="4438">
        <f t="shared" si="184"/>
        <v>0</v>
      </c>
      <c r="BS99" s="4438">
        <f t="shared" si="185"/>
        <v>0</v>
      </c>
      <c r="BT99" s="4438">
        <f t="shared" si="186"/>
        <v>0</v>
      </c>
      <c r="BU99" s="4438">
        <f t="shared" si="187"/>
        <v>0</v>
      </c>
      <c r="BV99" s="4438">
        <f t="shared" si="188"/>
        <v>0</v>
      </c>
      <c r="BW99" s="4438">
        <f t="shared" si="189"/>
        <v>0</v>
      </c>
      <c r="BX99" s="4438">
        <f t="shared" si="190"/>
        <v>0</v>
      </c>
      <c r="BY99" s="4438">
        <f t="shared" si="191"/>
        <v>0</v>
      </c>
      <c r="BZ99" s="4438">
        <f t="shared" si="192"/>
        <v>0</v>
      </c>
      <c r="CA99" s="4438">
        <f t="shared" si="193"/>
        <v>0</v>
      </c>
      <c r="CB99" s="4438">
        <f t="shared" si="194"/>
        <v>0</v>
      </c>
      <c r="CC99" s="4438">
        <f t="shared" si="195"/>
        <v>0</v>
      </c>
      <c r="CD99" s="4438">
        <f t="shared" si="196"/>
        <v>0</v>
      </c>
      <c r="CE99" s="4438">
        <f t="shared" si="197"/>
        <v>0</v>
      </c>
      <c r="CF99" s="4438">
        <f t="shared" si="198"/>
        <v>0.51129188119621849</v>
      </c>
      <c r="CG99" s="4438">
        <f t="shared" si="199"/>
        <v>1.4060526732896008</v>
      </c>
      <c r="CH99" s="4438">
        <f t="shared" si="200"/>
        <v>2.1729904950839285</v>
      </c>
      <c r="CI99" s="4438">
        <f t="shared" si="201"/>
        <v>2.9399283168782562</v>
      </c>
      <c r="CJ99" s="4438">
        <f t="shared" si="202"/>
        <v>3.7068661386725843</v>
      </c>
      <c r="CK99" s="4438">
        <f t="shared" si="203"/>
        <v>4.4738039604669115</v>
      </c>
    </row>
    <row r="100" spans="1:89">
      <c r="A100" s="2696"/>
      <c r="B100" s="3575">
        <v>20601</v>
      </c>
      <c r="C100" s="3549">
        <v>0.1</v>
      </c>
      <c r="D100" s="2704" t="s">
        <v>564</v>
      </c>
      <c r="E100" s="2689">
        <f>'11.2. ДА за периода'!E100</f>
        <v>0.35000000000000003</v>
      </c>
      <c r="F100" s="2617">
        <f t="shared" ref="F100:F108" si="282">($F51*$C100)/$E$7</f>
        <v>0</v>
      </c>
      <c r="G100" s="1198">
        <f t="shared" ref="G100:G108" si="283">($F51*$C100)+($G51*$C100)/$E$7</f>
        <v>0</v>
      </c>
      <c r="H100" s="1198">
        <f t="shared" ref="H100:H108" si="284">($F51*$C100)+($G51*$C100)+($H51*$C100)/$E$7</f>
        <v>0</v>
      </c>
      <c r="I100" s="1198">
        <f t="shared" ref="I100:I108" si="285">($F51*$C100)+($G51*$C100)+($H51*$C100)+($I51*$C100)/$E$7</f>
        <v>0</v>
      </c>
      <c r="J100" s="1198">
        <f t="shared" ref="J100:J108" si="286">($F51*$C100)+($G51*$C100)+($H51*$C100)+($I51*$C100)+($J51*$C100)/$E$7</f>
        <v>0</v>
      </c>
      <c r="K100" s="2623">
        <f t="shared" ref="K100:K108" si="287">($F51*$C100)+($G51*$C100)+($H51*$C100)+($I51*$C100)+($J51*$C100)+($K51*$C100)/$E$7</f>
        <v>0</v>
      </c>
      <c r="L100" s="2689">
        <f>'11.2. ДА за периода'!L100</f>
        <v>0.1</v>
      </c>
      <c r="M100" s="1202">
        <f t="shared" ref="M100:M108" si="288">($M51*$C100)/$E$7</f>
        <v>0</v>
      </c>
      <c r="N100" s="1198">
        <f t="shared" ref="N100:N108" si="289">($M51*$C100)+($N51*$C100)/$E$7</f>
        <v>0</v>
      </c>
      <c r="O100" s="1198">
        <f t="shared" ref="O100:O108" si="290">($M51*$C100)+($N51*$C100)+($O51*$C100)/$E$7</f>
        <v>0</v>
      </c>
      <c r="P100" s="1198">
        <f t="shared" ref="P100:P108" si="291">($M51*$C100)+($N51*$C100)+($O51*$C100)+($P51*$C100)/$E$7</f>
        <v>0</v>
      </c>
      <c r="Q100" s="2623">
        <f t="shared" ref="Q100:Q108" si="292">($M51*$C100)+($N51*$C100)+($O51*$C100)+($P51*$C100)+($Q51*$C100)/$E$7</f>
        <v>0</v>
      </c>
      <c r="R100" s="1203">
        <f t="shared" ref="R100:R108" si="293">($M51*$C100)+($N51*$C100)+($O51*$C100)+($P51*$C100)+($Q51*$C100)+($R51*$C100)/$E$7</f>
        <v>0</v>
      </c>
      <c r="S100" s="1087">
        <f>'11.2. ДА за периода'!S100</f>
        <v>0.25</v>
      </c>
      <c r="T100" s="883">
        <f t="shared" ref="T100:T108" si="294">($T51*$C100)/$E$7</f>
        <v>0</v>
      </c>
      <c r="U100" s="1198">
        <f t="shared" ref="U100:U108" si="295">($T51*$C100)+($U51*$C100)/$E$7</f>
        <v>0</v>
      </c>
      <c r="V100" s="1198">
        <f t="shared" ref="V100:V108" si="296">($T51*$C100)+($U51*$C100)+($V51*$C100)/$E$7</f>
        <v>0</v>
      </c>
      <c r="W100" s="1198">
        <f t="shared" ref="W100:W108" si="297">($T51*$C100)+($U51*$C100)+($V51*$C100)+($W51*$C100)/$E$7</f>
        <v>0</v>
      </c>
      <c r="X100" s="1198">
        <f t="shared" ref="X100:X108" si="298">($T51*$C100)+($U51*$C100)+($V51*$C100)+($W51*$C100)+($X51*$C100)/$E$7</f>
        <v>0</v>
      </c>
      <c r="Y100" s="1203">
        <f t="shared" ref="Y100:Y108" si="299">($T51*$C100)+($U51*$C100)+($V51*$C100)+($W51*$C100)+($X51*$C100)+($Y51*$C100)/$E$7</f>
        <v>0</v>
      </c>
      <c r="Z100" s="1087">
        <f>'11.2. ДА за периода'!Z100</f>
        <v>0</v>
      </c>
      <c r="AA100" s="883">
        <f t="shared" ref="AA100:AA108" si="300">(AA51*$C100)/$E$7</f>
        <v>0</v>
      </c>
      <c r="AB100" s="1198">
        <f t="shared" ref="AB100:AB108" si="301">(AA51*$C100)+(AB51*$C100)/$E$7</f>
        <v>0</v>
      </c>
      <c r="AC100" s="1198">
        <f t="shared" ref="AC100:AC108" si="302">(AA51*$C100)+(AB51*$C100)+(AC51*$C100)/$E$7</f>
        <v>0</v>
      </c>
      <c r="AD100" s="1198">
        <f t="shared" ref="AD100:AD108" si="303">(AA51*$C100)+(AB51*$C100)+(AC51*$C100)+(AD51*$C100)/$E$7</f>
        <v>0</v>
      </c>
      <c r="AE100" s="1198">
        <f t="shared" ref="AE100:AE108" si="304">(AA51*$C100)+(AB51*$C100)+(AC51*$C100)+(AD51*$C100)+(AE51*$C100)/$E$7</f>
        <v>0</v>
      </c>
      <c r="AF100" s="2623">
        <f t="shared" ref="AF100:AF108" si="305">(AA51*$C100)+(AB51*$C100)+(AC51*$C100)+(AD51*$C100)+(AE51*$C100)+(AF51*$C100)/$E$7</f>
        <v>0</v>
      </c>
      <c r="AG100" s="1087">
        <f>'11.2. ДА за периода'!AG100</f>
        <v>0</v>
      </c>
      <c r="AH100" s="883">
        <f t="shared" ref="AH100:AH108" si="306">(AH51*$C100)/$E$7</f>
        <v>0</v>
      </c>
      <c r="AI100" s="1198">
        <f t="shared" ref="AI100:AI108" si="307">(AH51*$C100)+(AI51*$C100)/$E$7</f>
        <v>0</v>
      </c>
      <c r="AJ100" s="1198">
        <f t="shared" ref="AJ100:AJ108" si="308">(AH51*$C100)+(AI51*$C100)+(AJ51*$C100)/$E$7</f>
        <v>0</v>
      </c>
      <c r="AK100" s="1198">
        <f t="shared" ref="AK100:AK108" si="309">(AH51*$C100)+(AI51*$C100)+(AJ51*$C100)+(AK51*$C100)/$E$7</f>
        <v>0</v>
      </c>
      <c r="AL100" s="1198">
        <f t="shared" ref="AL100:AL108" si="310">(AH51*$C100)+(AI51*$C100)+(AJ51*$C100)+(AK51*$C100)+(AL51*$C100)/$E$7</f>
        <v>0</v>
      </c>
      <c r="AM100" s="2623">
        <f t="shared" ref="AM100:AM108" si="311">(AH51*$C100)+(AI51*$C100)+(AJ51*$C100)+(AK51*$C100)+(AL51*$C100)+(AM51*$C100)/$E$7</f>
        <v>0</v>
      </c>
      <c r="AN100" s="1087">
        <f>'11.2. ДА за периода'!AN100</f>
        <v>0</v>
      </c>
      <c r="AO100" s="1202">
        <f t="shared" ref="AO100:AO108" si="312">($AO51*$C100)/$E$7</f>
        <v>1</v>
      </c>
      <c r="AP100" s="1198">
        <f t="shared" ref="AP100:AP108" si="313">($AO51*$C100)+($AP51*$C100)/$E$7</f>
        <v>2.75</v>
      </c>
      <c r="AQ100" s="1198">
        <f t="shared" ref="AQ100:AQ108" si="314">($AO51*$C100)+($AP51*$C100)+($AQ51*$C100)/$E$7</f>
        <v>4.25</v>
      </c>
      <c r="AR100" s="1198">
        <f t="shared" ref="AR100:AR108" si="315">($AO51*$C100)+($AP51*$C100)+($AQ51*$C100)+($AR51*$C100)/$E$7</f>
        <v>5.75</v>
      </c>
      <c r="AS100" s="1198">
        <f t="shared" ref="AS100:AS108" si="316">($AO51*$C100)+($AP51*$C100)+($AQ51*$C100)+($AR51*$C100)+($AS51*$C100)/$E$7</f>
        <v>7.25</v>
      </c>
      <c r="AT100" s="1203">
        <f t="shared" ref="AT100:AT108" si="317">($AO51*$C100)+($AP51*$C100)+($AQ51*$C100)+($AR51*$C100)+($AS51*$C100)+($AT51*$C100)/$E$7</f>
        <v>8.75</v>
      </c>
      <c r="AU100" s="4422"/>
      <c r="AV100" s="4438">
        <f t="shared" si="162"/>
        <v>0.17895215841867648</v>
      </c>
      <c r="AW100" s="4438">
        <f t="shared" si="163"/>
        <v>0</v>
      </c>
      <c r="AX100" s="4438">
        <f t="shared" si="164"/>
        <v>0</v>
      </c>
      <c r="AY100" s="4438">
        <f t="shared" si="165"/>
        <v>0</v>
      </c>
      <c r="AZ100" s="4438">
        <f t="shared" si="166"/>
        <v>0</v>
      </c>
      <c r="BA100" s="4438">
        <f t="shared" si="167"/>
        <v>0</v>
      </c>
      <c r="BB100" s="4438">
        <f t="shared" si="168"/>
        <v>0</v>
      </c>
      <c r="BC100" s="4438">
        <f t="shared" si="169"/>
        <v>5.1129188119621853E-2</v>
      </c>
      <c r="BD100" s="4438">
        <f t="shared" si="170"/>
        <v>0</v>
      </c>
      <c r="BE100" s="4438">
        <f t="shared" si="171"/>
        <v>0</v>
      </c>
      <c r="BF100" s="4438">
        <f t="shared" si="172"/>
        <v>0</v>
      </c>
      <c r="BG100" s="4438">
        <f t="shared" si="173"/>
        <v>0</v>
      </c>
      <c r="BH100" s="4438">
        <f t="shared" si="174"/>
        <v>0</v>
      </c>
      <c r="BI100" s="4438">
        <f t="shared" si="175"/>
        <v>0</v>
      </c>
      <c r="BJ100" s="4438">
        <f t="shared" si="176"/>
        <v>0.12782297029905462</v>
      </c>
      <c r="BK100" s="4438">
        <f t="shared" si="177"/>
        <v>0</v>
      </c>
      <c r="BL100" s="4438">
        <f t="shared" si="178"/>
        <v>0</v>
      </c>
      <c r="BM100" s="4438">
        <f t="shared" si="179"/>
        <v>0</v>
      </c>
      <c r="BN100" s="4438">
        <f t="shared" si="180"/>
        <v>0</v>
      </c>
      <c r="BO100" s="4438">
        <f t="shared" si="181"/>
        <v>0</v>
      </c>
      <c r="BP100" s="4438">
        <f t="shared" si="182"/>
        <v>0</v>
      </c>
      <c r="BQ100" s="4438">
        <f t="shared" si="183"/>
        <v>0</v>
      </c>
      <c r="BR100" s="4438">
        <f t="shared" si="184"/>
        <v>0</v>
      </c>
      <c r="BS100" s="4438">
        <f t="shared" si="185"/>
        <v>0</v>
      </c>
      <c r="BT100" s="4438">
        <f t="shared" si="186"/>
        <v>0</v>
      </c>
      <c r="BU100" s="4438">
        <f t="shared" si="187"/>
        <v>0</v>
      </c>
      <c r="BV100" s="4438">
        <f t="shared" si="188"/>
        <v>0</v>
      </c>
      <c r="BW100" s="4438">
        <f t="shared" si="189"/>
        <v>0</v>
      </c>
      <c r="BX100" s="4438">
        <f t="shared" si="190"/>
        <v>0</v>
      </c>
      <c r="BY100" s="4438">
        <f t="shared" si="191"/>
        <v>0</v>
      </c>
      <c r="BZ100" s="4438">
        <f t="shared" si="192"/>
        <v>0</v>
      </c>
      <c r="CA100" s="4438">
        <f t="shared" si="193"/>
        <v>0</v>
      </c>
      <c r="CB100" s="4438">
        <f t="shared" si="194"/>
        <v>0</v>
      </c>
      <c r="CC100" s="4438">
        <f t="shared" si="195"/>
        <v>0</v>
      </c>
      <c r="CD100" s="4438">
        <f t="shared" si="196"/>
        <v>0</v>
      </c>
      <c r="CE100" s="4438">
        <f t="shared" si="197"/>
        <v>0</v>
      </c>
      <c r="CF100" s="4438">
        <f t="shared" si="198"/>
        <v>0.51129188119621849</v>
      </c>
      <c r="CG100" s="4438">
        <f t="shared" si="199"/>
        <v>1.4060526732896008</v>
      </c>
      <c r="CH100" s="4438">
        <f t="shared" si="200"/>
        <v>2.1729904950839285</v>
      </c>
      <c r="CI100" s="4438">
        <f t="shared" si="201"/>
        <v>2.9399283168782562</v>
      </c>
      <c r="CJ100" s="4438">
        <f t="shared" si="202"/>
        <v>3.7068661386725843</v>
      </c>
      <c r="CK100" s="4438">
        <f t="shared" si="203"/>
        <v>4.4738039604669115</v>
      </c>
    </row>
    <row r="101" spans="1:89">
      <c r="A101" s="2696"/>
      <c r="B101" s="3575">
        <v>20602</v>
      </c>
      <c r="C101" s="3549">
        <v>0.1</v>
      </c>
      <c r="D101" s="2704" t="s">
        <v>435</v>
      </c>
      <c r="E101" s="2689">
        <f>'11.2. ДА за периода'!E101</f>
        <v>1.35</v>
      </c>
      <c r="F101" s="2617">
        <f t="shared" si="282"/>
        <v>0</v>
      </c>
      <c r="G101" s="1198">
        <f t="shared" si="283"/>
        <v>0</v>
      </c>
      <c r="H101" s="1198">
        <f t="shared" si="284"/>
        <v>0</v>
      </c>
      <c r="I101" s="1198">
        <f t="shared" si="285"/>
        <v>0</v>
      </c>
      <c r="J101" s="1198">
        <f t="shared" si="286"/>
        <v>0</v>
      </c>
      <c r="K101" s="2623">
        <f t="shared" si="287"/>
        <v>0</v>
      </c>
      <c r="L101" s="2689">
        <f>'11.2. ДА за периода'!L101</f>
        <v>0.25</v>
      </c>
      <c r="M101" s="1202">
        <f t="shared" si="288"/>
        <v>0</v>
      </c>
      <c r="N101" s="1198">
        <f t="shared" si="289"/>
        <v>0</v>
      </c>
      <c r="O101" s="1198">
        <f t="shared" si="290"/>
        <v>0</v>
      </c>
      <c r="P101" s="1198">
        <f t="shared" si="291"/>
        <v>0</v>
      </c>
      <c r="Q101" s="2623">
        <f t="shared" si="292"/>
        <v>0</v>
      </c>
      <c r="R101" s="1203">
        <f t="shared" si="293"/>
        <v>0</v>
      </c>
      <c r="S101" s="1087">
        <f>'11.2. ДА за периода'!S101</f>
        <v>0.65</v>
      </c>
      <c r="T101" s="883">
        <f t="shared" si="294"/>
        <v>0</v>
      </c>
      <c r="U101" s="1198">
        <f t="shared" si="295"/>
        <v>0</v>
      </c>
      <c r="V101" s="1198">
        <f t="shared" si="296"/>
        <v>0</v>
      </c>
      <c r="W101" s="1198">
        <f t="shared" si="297"/>
        <v>0</v>
      </c>
      <c r="X101" s="1198">
        <f t="shared" si="298"/>
        <v>0</v>
      </c>
      <c r="Y101" s="1203">
        <f t="shared" si="299"/>
        <v>0</v>
      </c>
      <c r="Z101" s="1087">
        <f>'11.2. ДА за периода'!Z101</f>
        <v>0</v>
      </c>
      <c r="AA101" s="883">
        <f t="shared" si="300"/>
        <v>0</v>
      </c>
      <c r="AB101" s="1198">
        <f t="shared" si="301"/>
        <v>0</v>
      </c>
      <c r="AC101" s="1198">
        <f t="shared" si="302"/>
        <v>0</v>
      </c>
      <c r="AD101" s="1198">
        <f t="shared" si="303"/>
        <v>0</v>
      </c>
      <c r="AE101" s="1198">
        <f t="shared" si="304"/>
        <v>0</v>
      </c>
      <c r="AF101" s="2623">
        <f t="shared" si="305"/>
        <v>0</v>
      </c>
      <c r="AG101" s="1087">
        <f>'11.2. ДА за периода'!AG101</f>
        <v>0</v>
      </c>
      <c r="AH101" s="883">
        <f t="shared" si="306"/>
        <v>0</v>
      </c>
      <c r="AI101" s="1198">
        <f t="shared" si="307"/>
        <v>0</v>
      </c>
      <c r="AJ101" s="1198">
        <f t="shared" si="308"/>
        <v>0</v>
      </c>
      <c r="AK101" s="1198">
        <f t="shared" si="309"/>
        <v>0</v>
      </c>
      <c r="AL101" s="1198">
        <f t="shared" si="310"/>
        <v>0</v>
      </c>
      <c r="AM101" s="2623">
        <f t="shared" si="311"/>
        <v>0</v>
      </c>
      <c r="AN101" s="1087">
        <f>'11.2. ДА за периода'!AN101</f>
        <v>0</v>
      </c>
      <c r="AO101" s="1202">
        <f t="shared" si="312"/>
        <v>0</v>
      </c>
      <c r="AP101" s="1198">
        <f t="shared" si="313"/>
        <v>0</v>
      </c>
      <c r="AQ101" s="1198">
        <f t="shared" si="314"/>
        <v>0</v>
      </c>
      <c r="AR101" s="1198">
        <f t="shared" si="315"/>
        <v>0</v>
      </c>
      <c r="AS101" s="1198">
        <f t="shared" si="316"/>
        <v>0</v>
      </c>
      <c r="AT101" s="1203">
        <f t="shared" si="317"/>
        <v>0</v>
      </c>
      <c r="AU101" s="4422"/>
      <c r="AV101" s="4438">
        <f t="shared" si="162"/>
        <v>0.690244039614895</v>
      </c>
      <c r="AW101" s="4438">
        <f t="shared" si="163"/>
        <v>0</v>
      </c>
      <c r="AX101" s="4438">
        <f t="shared" si="164"/>
        <v>0</v>
      </c>
      <c r="AY101" s="4438">
        <f t="shared" si="165"/>
        <v>0</v>
      </c>
      <c r="AZ101" s="4438">
        <f t="shared" si="166"/>
        <v>0</v>
      </c>
      <c r="BA101" s="4438">
        <f t="shared" si="167"/>
        <v>0</v>
      </c>
      <c r="BB101" s="4438">
        <f t="shared" si="168"/>
        <v>0</v>
      </c>
      <c r="BC101" s="4438">
        <f t="shared" si="169"/>
        <v>0.12782297029905462</v>
      </c>
      <c r="BD101" s="4438">
        <f t="shared" si="170"/>
        <v>0</v>
      </c>
      <c r="BE101" s="4438">
        <f t="shared" si="171"/>
        <v>0</v>
      </c>
      <c r="BF101" s="4438">
        <f t="shared" si="172"/>
        <v>0</v>
      </c>
      <c r="BG101" s="4438">
        <f t="shared" si="173"/>
        <v>0</v>
      </c>
      <c r="BH101" s="4438">
        <f t="shared" si="174"/>
        <v>0</v>
      </c>
      <c r="BI101" s="4438">
        <f t="shared" si="175"/>
        <v>0</v>
      </c>
      <c r="BJ101" s="4438">
        <f t="shared" si="176"/>
        <v>0.33233972277754203</v>
      </c>
      <c r="BK101" s="4438">
        <f t="shared" si="177"/>
        <v>0</v>
      </c>
      <c r="BL101" s="4438">
        <f t="shared" si="178"/>
        <v>0</v>
      </c>
      <c r="BM101" s="4438">
        <f t="shared" si="179"/>
        <v>0</v>
      </c>
      <c r="BN101" s="4438">
        <f t="shared" si="180"/>
        <v>0</v>
      </c>
      <c r="BO101" s="4438">
        <f t="shared" si="181"/>
        <v>0</v>
      </c>
      <c r="BP101" s="4438">
        <f t="shared" si="182"/>
        <v>0</v>
      </c>
      <c r="BQ101" s="4438">
        <f t="shared" si="183"/>
        <v>0</v>
      </c>
      <c r="BR101" s="4438">
        <f t="shared" si="184"/>
        <v>0</v>
      </c>
      <c r="BS101" s="4438">
        <f t="shared" si="185"/>
        <v>0</v>
      </c>
      <c r="BT101" s="4438">
        <f t="shared" si="186"/>
        <v>0</v>
      </c>
      <c r="BU101" s="4438">
        <f t="shared" si="187"/>
        <v>0</v>
      </c>
      <c r="BV101" s="4438">
        <f t="shared" si="188"/>
        <v>0</v>
      </c>
      <c r="BW101" s="4438">
        <f t="shared" si="189"/>
        <v>0</v>
      </c>
      <c r="BX101" s="4438">
        <f t="shared" si="190"/>
        <v>0</v>
      </c>
      <c r="BY101" s="4438">
        <f t="shared" si="191"/>
        <v>0</v>
      </c>
      <c r="BZ101" s="4438">
        <f t="shared" si="192"/>
        <v>0</v>
      </c>
      <c r="CA101" s="4438">
        <f t="shared" si="193"/>
        <v>0</v>
      </c>
      <c r="CB101" s="4438">
        <f t="shared" si="194"/>
        <v>0</v>
      </c>
      <c r="CC101" s="4438">
        <f t="shared" si="195"/>
        <v>0</v>
      </c>
      <c r="CD101" s="4438">
        <f t="shared" si="196"/>
        <v>0</v>
      </c>
      <c r="CE101" s="4438">
        <f t="shared" si="197"/>
        <v>0</v>
      </c>
      <c r="CF101" s="4438">
        <f t="shared" si="198"/>
        <v>0</v>
      </c>
      <c r="CG101" s="4438">
        <f t="shared" si="199"/>
        <v>0</v>
      </c>
      <c r="CH101" s="4438">
        <f t="shared" si="200"/>
        <v>0</v>
      </c>
      <c r="CI101" s="4438">
        <f t="shared" si="201"/>
        <v>0</v>
      </c>
      <c r="CJ101" s="4438">
        <f t="shared" si="202"/>
        <v>0</v>
      </c>
      <c r="CK101" s="4438">
        <f t="shared" si="203"/>
        <v>0</v>
      </c>
    </row>
    <row r="102" spans="1:89">
      <c r="A102" s="2696"/>
      <c r="B102" s="3568">
        <v>20603</v>
      </c>
      <c r="C102" s="3551">
        <v>0.5</v>
      </c>
      <c r="D102" s="2714" t="s">
        <v>1015</v>
      </c>
      <c r="E102" s="2689">
        <f>'11.2. ДА за периода'!E102</f>
        <v>0</v>
      </c>
      <c r="F102" s="2617">
        <f t="shared" si="282"/>
        <v>0</v>
      </c>
      <c r="G102" s="1198">
        <f t="shared" si="283"/>
        <v>0</v>
      </c>
      <c r="H102" s="1198">
        <f t="shared" si="284"/>
        <v>0</v>
      </c>
      <c r="I102" s="1198">
        <f t="shared" si="285"/>
        <v>0</v>
      </c>
      <c r="J102" s="1198">
        <f t="shared" si="286"/>
        <v>0</v>
      </c>
      <c r="K102" s="2623">
        <f t="shared" si="287"/>
        <v>0</v>
      </c>
      <c r="L102" s="2689">
        <f>'11.2. ДА за периода'!L102</f>
        <v>0</v>
      </c>
      <c r="M102" s="1202">
        <f t="shared" si="288"/>
        <v>0</v>
      </c>
      <c r="N102" s="1198">
        <f t="shared" si="289"/>
        <v>0</v>
      </c>
      <c r="O102" s="1198">
        <f t="shared" si="290"/>
        <v>0</v>
      </c>
      <c r="P102" s="1198">
        <f t="shared" si="291"/>
        <v>0</v>
      </c>
      <c r="Q102" s="2623">
        <f t="shared" si="292"/>
        <v>0</v>
      </c>
      <c r="R102" s="1203">
        <f t="shared" si="293"/>
        <v>0</v>
      </c>
      <c r="S102" s="1087">
        <f>'11.2. ДА за периода'!S102</f>
        <v>0</v>
      </c>
      <c r="T102" s="883">
        <f t="shared" si="294"/>
        <v>0</v>
      </c>
      <c r="U102" s="1198">
        <f t="shared" si="295"/>
        <v>0</v>
      </c>
      <c r="V102" s="1198">
        <f t="shared" si="296"/>
        <v>0</v>
      </c>
      <c r="W102" s="1198">
        <f t="shared" si="297"/>
        <v>0</v>
      </c>
      <c r="X102" s="1198">
        <f t="shared" si="298"/>
        <v>0</v>
      </c>
      <c r="Y102" s="1203">
        <f t="shared" si="299"/>
        <v>0</v>
      </c>
      <c r="Z102" s="1087">
        <f>'11.2. ДА за периода'!Z102</f>
        <v>0</v>
      </c>
      <c r="AA102" s="883">
        <f t="shared" si="300"/>
        <v>0</v>
      </c>
      <c r="AB102" s="1198">
        <f t="shared" si="301"/>
        <v>0</v>
      </c>
      <c r="AC102" s="1198">
        <f t="shared" si="302"/>
        <v>0</v>
      </c>
      <c r="AD102" s="1198">
        <f t="shared" si="303"/>
        <v>0</v>
      </c>
      <c r="AE102" s="1198">
        <f t="shared" si="304"/>
        <v>0</v>
      </c>
      <c r="AF102" s="2623">
        <f t="shared" si="305"/>
        <v>0</v>
      </c>
      <c r="AG102" s="1087">
        <f>'11.2. ДА за периода'!AG102</f>
        <v>0</v>
      </c>
      <c r="AH102" s="883">
        <f t="shared" si="306"/>
        <v>0</v>
      </c>
      <c r="AI102" s="1198">
        <f t="shared" si="307"/>
        <v>0</v>
      </c>
      <c r="AJ102" s="1198">
        <f t="shared" si="308"/>
        <v>0</v>
      </c>
      <c r="AK102" s="1198">
        <f t="shared" si="309"/>
        <v>0</v>
      </c>
      <c r="AL102" s="1198">
        <f t="shared" si="310"/>
        <v>0</v>
      </c>
      <c r="AM102" s="2623">
        <f t="shared" si="311"/>
        <v>0</v>
      </c>
      <c r="AN102" s="1087">
        <f>'11.2. ДА за периода'!AN102</f>
        <v>0</v>
      </c>
      <c r="AO102" s="1202">
        <f t="shared" si="312"/>
        <v>0</v>
      </c>
      <c r="AP102" s="1198">
        <f t="shared" si="313"/>
        <v>0</v>
      </c>
      <c r="AQ102" s="1198">
        <f t="shared" si="314"/>
        <v>0</v>
      </c>
      <c r="AR102" s="1198">
        <f t="shared" si="315"/>
        <v>0</v>
      </c>
      <c r="AS102" s="1198">
        <f t="shared" si="316"/>
        <v>0</v>
      </c>
      <c r="AT102" s="1203">
        <f t="shared" si="317"/>
        <v>0</v>
      </c>
      <c r="AU102" s="4422"/>
      <c r="AV102" s="4438">
        <f t="shared" si="162"/>
        <v>0</v>
      </c>
      <c r="AW102" s="4438">
        <f t="shared" si="163"/>
        <v>0</v>
      </c>
      <c r="AX102" s="4438">
        <f t="shared" si="164"/>
        <v>0</v>
      </c>
      <c r="AY102" s="4438">
        <f t="shared" si="165"/>
        <v>0</v>
      </c>
      <c r="AZ102" s="4438">
        <f t="shared" si="166"/>
        <v>0</v>
      </c>
      <c r="BA102" s="4438">
        <f t="shared" si="167"/>
        <v>0</v>
      </c>
      <c r="BB102" s="4438">
        <f t="shared" si="168"/>
        <v>0</v>
      </c>
      <c r="BC102" s="4438">
        <f t="shared" si="169"/>
        <v>0</v>
      </c>
      <c r="BD102" s="4438">
        <f t="shared" si="170"/>
        <v>0</v>
      </c>
      <c r="BE102" s="4438">
        <f t="shared" si="171"/>
        <v>0</v>
      </c>
      <c r="BF102" s="4438">
        <f t="shared" si="172"/>
        <v>0</v>
      </c>
      <c r="BG102" s="4438">
        <f t="shared" si="173"/>
        <v>0</v>
      </c>
      <c r="BH102" s="4438">
        <f t="shared" si="174"/>
        <v>0</v>
      </c>
      <c r="BI102" s="4438">
        <f t="shared" si="175"/>
        <v>0</v>
      </c>
      <c r="BJ102" s="4438">
        <f t="shared" si="176"/>
        <v>0</v>
      </c>
      <c r="BK102" s="4438">
        <f t="shared" si="177"/>
        <v>0</v>
      </c>
      <c r="BL102" s="4438">
        <f t="shared" si="178"/>
        <v>0</v>
      </c>
      <c r="BM102" s="4438">
        <f t="shared" si="179"/>
        <v>0</v>
      </c>
      <c r="BN102" s="4438">
        <f t="shared" si="180"/>
        <v>0</v>
      </c>
      <c r="BO102" s="4438">
        <f t="shared" si="181"/>
        <v>0</v>
      </c>
      <c r="BP102" s="4438">
        <f t="shared" si="182"/>
        <v>0</v>
      </c>
      <c r="BQ102" s="4438">
        <f t="shared" si="183"/>
        <v>0</v>
      </c>
      <c r="BR102" s="4438">
        <f t="shared" si="184"/>
        <v>0</v>
      </c>
      <c r="BS102" s="4438">
        <f t="shared" si="185"/>
        <v>0</v>
      </c>
      <c r="BT102" s="4438">
        <f t="shared" si="186"/>
        <v>0</v>
      </c>
      <c r="BU102" s="4438">
        <f t="shared" si="187"/>
        <v>0</v>
      </c>
      <c r="BV102" s="4438">
        <f t="shared" si="188"/>
        <v>0</v>
      </c>
      <c r="BW102" s="4438">
        <f t="shared" si="189"/>
        <v>0</v>
      </c>
      <c r="BX102" s="4438">
        <f t="shared" si="190"/>
        <v>0</v>
      </c>
      <c r="BY102" s="4438">
        <f t="shared" si="191"/>
        <v>0</v>
      </c>
      <c r="BZ102" s="4438">
        <f t="shared" si="192"/>
        <v>0</v>
      </c>
      <c r="CA102" s="4438">
        <f t="shared" si="193"/>
        <v>0</v>
      </c>
      <c r="CB102" s="4438">
        <f t="shared" si="194"/>
        <v>0</v>
      </c>
      <c r="CC102" s="4438">
        <f t="shared" si="195"/>
        <v>0</v>
      </c>
      <c r="CD102" s="4438">
        <f t="shared" si="196"/>
        <v>0</v>
      </c>
      <c r="CE102" s="4438">
        <f t="shared" si="197"/>
        <v>0</v>
      </c>
      <c r="CF102" s="4438">
        <f t="shared" si="198"/>
        <v>0</v>
      </c>
      <c r="CG102" s="4438">
        <f t="shared" si="199"/>
        <v>0</v>
      </c>
      <c r="CH102" s="4438">
        <f t="shared" si="200"/>
        <v>0</v>
      </c>
      <c r="CI102" s="4438">
        <f t="shared" si="201"/>
        <v>0</v>
      </c>
      <c r="CJ102" s="4438">
        <f t="shared" si="202"/>
        <v>0</v>
      </c>
      <c r="CK102" s="4438">
        <f t="shared" si="203"/>
        <v>0</v>
      </c>
    </row>
    <row r="103" spans="1:89" s="30" customFormat="1">
      <c r="A103" s="2696">
        <v>7</v>
      </c>
      <c r="B103" s="3576">
        <v>208</v>
      </c>
      <c r="C103" s="3550">
        <v>0.2</v>
      </c>
      <c r="D103" s="2712" t="s">
        <v>413</v>
      </c>
      <c r="E103" s="2736">
        <f>'11.2. ДА за периода'!E103</f>
        <v>1.6</v>
      </c>
      <c r="F103" s="2763">
        <f t="shared" si="282"/>
        <v>0</v>
      </c>
      <c r="G103" s="1133">
        <f t="shared" si="283"/>
        <v>0</v>
      </c>
      <c r="H103" s="1133">
        <f t="shared" si="284"/>
        <v>0</v>
      </c>
      <c r="I103" s="1133">
        <f t="shared" si="285"/>
        <v>0</v>
      </c>
      <c r="J103" s="1133">
        <f t="shared" si="286"/>
        <v>0</v>
      </c>
      <c r="K103" s="2764">
        <f t="shared" si="287"/>
        <v>0</v>
      </c>
      <c r="L103" s="2736">
        <f>'11.2. ДА за периода'!L103</f>
        <v>0.4</v>
      </c>
      <c r="M103" s="2763">
        <f t="shared" si="288"/>
        <v>0</v>
      </c>
      <c r="N103" s="1133">
        <f t="shared" si="289"/>
        <v>0</v>
      </c>
      <c r="O103" s="1133">
        <f t="shared" si="290"/>
        <v>0</v>
      </c>
      <c r="P103" s="1133">
        <f t="shared" si="291"/>
        <v>0</v>
      </c>
      <c r="Q103" s="2764">
        <f t="shared" si="292"/>
        <v>0</v>
      </c>
      <c r="R103" s="2765">
        <f t="shared" si="293"/>
        <v>0</v>
      </c>
      <c r="S103" s="2766">
        <f>'11.2. ДА за периода'!S103</f>
        <v>0.8</v>
      </c>
      <c r="T103" s="1132">
        <f t="shared" si="294"/>
        <v>0</v>
      </c>
      <c r="U103" s="1133">
        <f t="shared" si="295"/>
        <v>0</v>
      </c>
      <c r="V103" s="1133">
        <f t="shared" si="296"/>
        <v>0</v>
      </c>
      <c r="W103" s="1133">
        <f t="shared" si="297"/>
        <v>0</v>
      </c>
      <c r="X103" s="1133">
        <f t="shared" si="298"/>
        <v>0</v>
      </c>
      <c r="Y103" s="2765">
        <f t="shared" si="299"/>
        <v>0</v>
      </c>
      <c r="Z103" s="2766">
        <f>'11.2. ДА за периода'!Z103</f>
        <v>0</v>
      </c>
      <c r="AA103" s="1132">
        <f t="shared" si="300"/>
        <v>0</v>
      </c>
      <c r="AB103" s="1133">
        <f t="shared" si="301"/>
        <v>0</v>
      </c>
      <c r="AC103" s="1133">
        <f t="shared" si="302"/>
        <v>0</v>
      </c>
      <c r="AD103" s="1133">
        <f t="shared" si="303"/>
        <v>0</v>
      </c>
      <c r="AE103" s="1133">
        <f t="shared" si="304"/>
        <v>0</v>
      </c>
      <c r="AF103" s="2765">
        <f t="shared" si="305"/>
        <v>0</v>
      </c>
      <c r="AG103" s="2766">
        <f>'11.2. ДА за периода'!AG103</f>
        <v>0</v>
      </c>
      <c r="AH103" s="1132">
        <f t="shared" si="306"/>
        <v>0</v>
      </c>
      <c r="AI103" s="1133">
        <f t="shared" si="307"/>
        <v>0</v>
      </c>
      <c r="AJ103" s="1133">
        <f t="shared" si="308"/>
        <v>0</v>
      </c>
      <c r="AK103" s="1133">
        <f t="shared" si="309"/>
        <v>0</v>
      </c>
      <c r="AL103" s="1133">
        <f t="shared" si="310"/>
        <v>0</v>
      </c>
      <c r="AM103" s="2765">
        <f t="shared" si="311"/>
        <v>0</v>
      </c>
      <c r="AN103" s="2766">
        <f>'11.2. ДА за периода'!AN103</f>
        <v>0</v>
      </c>
      <c r="AO103" s="1132">
        <f t="shared" si="312"/>
        <v>2</v>
      </c>
      <c r="AP103" s="1133">
        <f t="shared" si="313"/>
        <v>4</v>
      </c>
      <c r="AQ103" s="1133">
        <f t="shared" si="314"/>
        <v>4</v>
      </c>
      <c r="AR103" s="1133">
        <f t="shared" si="315"/>
        <v>4</v>
      </c>
      <c r="AS103" s="1133">
        <f t="shared" si="316"/>
        <v>4</v>
      </c>
      <c r="AT103" s="2765">
        <f t="shared" si="317"/>
        <v>4</v>
      </c>
      <c r="AU103" s="4422"/>
      <c r="AV103" s="4438">
        <f t="shared" si="162"/>
        <v>0.81806700991394965</v>
      </c>
      <c r="AW103" s="4438">
        <f t="shared" si="163"/>
        <v>0</v>
      </c>
      <c r="AX103" s="4438">
        <f t="shared" si="164"/>
        <v>0</v>
      </c>
      <c r="AY103" s="4438">
        <f t="shared" si="165"/>
        <v>0</v>
      </c>
      <c r="AZ103" s="4438">
        <f t="shared" si="166"/>
        <v>0</v>
      </c>
      <c r="BA103" s="4438">
        <f t="shared" si="167"/>
        <v>0</v>
      </c>
      <c r="BB103" s="4438">
        <f t="shared" si="168"/>
        <v>0</v>
      </c>
      <c r="BC103" s="4438">
        <f t="shared" si="169"/>
        <v>0.20451675247848741</v>
      </c>
      <c r="BD103" s="4438">
        <f t="shared" si="170"/>
        <v>0</v>
      </c>
      <c r="BE103" s="4438">
        <f t="shared" si="171"/>
        <v>0</v>
      </c>
      <c r="BF103" s="4438">
        <f t="shared" si="172"/>
        <v>0</v>
      </c>
      <c r="BG103" s="4438">
        <f t="shared" si="173"/>
        <v>0</v>
      </c>
      <c r="BH103" s="4438">
        <f t="shared" si="174"/>
        <v>0</v>
      </c>
      <c r="BI103" s="4438">
        <f t="shared" si="175"/>
        <v>0</v>
      </c>
      <c r="BJ103" s="4438">
        <f t="shared" si="176"/>
        <v>0.40903350495697482</v>
      </c>
      <c r="BK103" s="4438">
        <f t="shared" si="177"/>
        <v>0</v>
      </c>
      <c r="BL103" s="4438">
        <f t="shared" si="178"/>
        <v>0</v>
      </c>
      <c r="BM103" s="4438">
        <f t="shared" si="179"/>
        <v>0</v>
      </c>
      <c r="BN103" s="4438">
        <f t="shared" si="180"/>
        <v>0</v>
      </c>
      <c r="BO103" s="4438">
        <f t="shared" si="181"/>
        <v>0</v>
      </c>
      <c r="BP103" s="4438">
        <f t="shared" si="182"/>
        <v>0</v>
      </c>
      <c r="BQ103" s="4438">
        <f t="shared" si="183"/>
        <v>0</v>
      </c>
      <c r="BR103" s="4438">
        <f t="shared" si="184"/>
        <v>0</v>
      </c>
      <c r="BS103" s="4438">
        <f t="shared" si="185"/>
        <v>0</v>
      </c>
      <c r="BT103" s="4438">
        <f t="shared" si="186"/>
        <v>0</v>
      </c>
      <c r="BU103" s="4438">
        <f t="shared" si="187"/>
        <v>0</v>
      </c>
      <c r="BV103" s="4438">
        <f t="shared" si="188"/>
        <v>0</v>
      </c>
      <c r="BW103" s="4438">
        <f t="shared" si="189"/>
        <v>0</v>
      </c>
      <c r="BX103" s="4438">
        <f t="shared" si="190"/>
        <v>0</v>
      </c>
      <c r="BY103" s="4438">
        <f t="shared" si="191"/>
        <v>0</v>
      </c>
      <c r="BZ103" s="4438">
        <f t="shared" si="192"/>
        <v>0</v>
      </c>
      <c r="CA103" s="4438">
        <f t="shared" si="193"/>
        <v>0</v>
      </c>
      <c r="CB103" s="4438">
        <f t="shared" si="194"/>
        <v>0</v>
      </c>
      <c r="CC103" s="4438">
        <f t="shared" si="195"/>
        <v>0</v>
      </c>
      <c r="CD103" s="4438">
        <f t="shared" si="196"/>
        <v>0</v>
      </c>
      <c r="CE103" s="4438">
        <f t="shared" si="197"/>
        <v>0</v>
      </c>
      <c r="CF103" s="4438">
        <f t="shared" si="198"/>
        <v>1.022583762392437</v>
      </c>
      <c r="CG103" s="4438">
        <f t="shared" si="199"/>
        <v>2.045167524784874</v>
      </c>
      <c r="CH103" s="4438">
        <f t="shared" si="200"/>
        <v>2.045167524784874</v>
      </c>
      <c r="CI103" s="4438">
        <f t="shared" si="201"/>
        <v>2.045167524784874</v>
      </c>
      <c r="CJ103" s="4438">
        <f t="shared" si="202"/>
        <v>2.045167524784874</v>
      </c>
      <c r="CK103" s="4438">
        <f t="shared" si="203"/>
        <v>2.045167524784874</v>
      </c>
    </row>
    <row r="104" spans="1:89" s="30" customFormat="1">
      <c r="A104" s="2696">
        <v>8</v>
      </c>
      <c r="B104" s="3576">
        <v>209</v>
      </c>
      <c r="C104" s="3550">
        <v>0.1</v>
      </c>
      <c r="D104" s="2712" t="s">
        <v>213</v>
      </c>
      <c r="E104" s="2736">
        <f>'11.2. ДА за периода'!E104</f>
        <v>0</v>
      </c>
      <c r="F104" s="2763">
        <f t="shared" si="282"/>
        <v>0</v>
      </c>
      <c r="G104" s="1133">
        <f t="shared" si="283"/>
        <v>0</v>
      </c>
      <c r="H104" s="1133">
        <f t="shared" si="284"/>
        <v>0</v>
      </c>
      <c r="I104" s="1133">
        <f t="shared" si="285"/>
        <v>0</v>
      </c>
      <c r="J104" s="1133">
        <f t="shared" si="286"/>
        <v>0</v>
      </c>
      <c r="K104" s="2764">
        <f t="shared" si="287"/>
        <v>0</v>
      </c>
      <c r="L104" s="2736">
        <f>'11.2. ДА за периода'!L104</f>
        <v>0</v>
      </c>
      <c r="M104" s="2763">
        <f t="shared" si="288"/>
        <v>0</v>
      </c>
      <c r="N104" s="1133">
        <f t="shared" si="289"/>
        <v>0</v>
      </c>
      <c r="O104" s="1133">
        <f t="shared" si="290"/>
        <v>0</v>
      </c>
      <c r="P104" s="1133">
        <f t="shared" si="291"/>
        <v>0</v>
      </c>
      <c r="Q104" s="2764">
        <f t="shared" si="292"/>
        <v>0</v>
      </c>
      <c r="R104" s="2765">
        <f t="shared" si="293"/>
        <v>0</v>
      </c>
      <c r="S104" s="2766">
        <f>'11.2. ДА за периода'!S104</f>
        <v>0</v>
      </c>
      <c r="T104" s="1132">
        <f t="shared" si="294"/>
        <v>0</v>
      </c>
      <c r="U104" s="1133">
        <f t="shared" si="295"/>
        <v>0</v>
      </c>
      <c r="V104" s="1133">
        <f t="shared" si="296"/>
        <v>0</v>
      </c>
      <c r="W104" s="1133">
        <f t="shared" si="297"/>
        <v>0</v>
      </c>
      <c r="X104" s="1133">
        <f t="shared" si="298"/>
        <v>0</v>
      </c>
      <c r="Y104" s="2765">
        <f t="shared" si="299"/>
        <v>0</v>
      </c>
      <c r="Z104" s="2766">
        <f>'11.2. ДА за периода'!Z104</f>
        <v>0</v>
      </c>
      <c r="AA104" s="1132">
        <f t="shared" si="300"/>
        <v>0</v>
      </c>
      <c r="AB104" s="1133">
        <f t="shared" si="301"/>
        <v>0</v>
      </c>
      <c r="AC104" s="1133">
        <f t="shared" si="302"/>
        <v>0</v>
      </c>
      <c r="AD104" s="1133">
        <f t="shared" si="303"/>
        <v>0</v>
      </c>
      <c r="AE104" s="1133">
        <f t="shared" si="304"/>
        <v>0</v>
      </c>
      <c r="AF104" s="2765">
        <f t="shared" si="305"/>
        <v>0</v>
      </c>
      <c r="AG104" s="2766">
        <f>'11.2. ДА за периода'!AG104</f>
        <v>0</v>
      </c>
      <c r="AH104" s="1132">
        <f t="shared" si="306"/>
        <v>0</v>
      </c>
      <c r="AI104" s="1133">
        <f t="shared" si="307"/>
        <v>0</v>
      </c>
      <c r="AJ104" s="1133">
        <f t="shared" si="308"/>
        <v>0</v>
      </c>
      <c r="AK104" s="1133">
        <f t="shared" si="309"/>
        <v>0</v>
      </c>
      <c r="AL104" s="1133">
        <f t="shared" si="310"/>
        <v>0</v>
      </c>
      <c r="AM104" s="2765">
        <f t="shared" si="311"/>
        <v>0</v>
      </c>
      <c r="AN104" s="2766">
        <f>'11.2. ДА за периода'!AN104</f>
        <v>0</v>
      </c>
      <c r="AO104" s="1132">
        <f t="shared" si="312"/>
        <v>0</v>
      </c>
      <c r="AP104" s="1133">
        <f t="shared" si="313"/>
        <v>0</v>
      </c>
      <c r="AQ104" s="1133">
        <f t="shared" si="314"/>
        <v>0</v>
      </c>
      <c r="AR104" s="1133">
        <f t="shared" si="315"/>
        <v>0</v>
      </c>
      <c r="AS104" s="1133">
        <f t="shared" si="316"/>
        <v>0</v>
      </c>
      <c r="AT104" s="2765">
        <f t="shared" si="317"/>
        <v>0</v>
      </c>
      <c r="AU104" s="4422"/>
      <c r="AV104" s="4438">
        <f t="shared" si="162"/>
        <v>0</v>
      </c>
      <c r="AW104" s="4438">
        <f t="shared" si="163"/>
        <v>0</v>
      </c>
      <c r="AX104" s="4438">
        <f t="shared" si="164"/>
        <v>0</v>
      </c>
      <c r="AY104" s="4438">
        <f t="shared" si="165"/>
        <v>0</v>
      </c>
      <c r="AZ104" s="4438">
        <f t="shared" si="166"/>
        <v>0</v>
      </c>
      <c r="BA104" s="4438">
        <f t="shared" si="167"/>
        <v>0</v>
      </c>
      <c r="BB104" s="4438">
        <f t="shared" si="168"/>
        <v>0</v>
      </c>
      <c r="BC104" s="4438">
        <f t="shared" si="169"/>
        <v>0</v>
      </c>
      <c r="BD104" s="4438">
        <f t="shared" si="170"/>
        <v>0</v>
      </c>
      <c r="BE104" s="4438">
        <f t="shared" si="171"/>
        <v>0</v>
      </c>
      <c r="BF104" s="4438">
        <f t="shared" si="172"/>
        <v>0</v>
      </c>
      <c r="BG104" s="4438">
        <f t="shared" si="173"/>
        <v>0</v>
      </c>
      <c r="BH104" s="4438">
        <f t="shared" si="174"/>
        <v>0</v>
      </c>
      <c r="BI104" s="4438">
        <f t="shared" si="175"/>
        <v>0</v>
      </c>
      <c r="BJ104" s="4438">
        <f t="shared" si="176"/>
        <v>0</v>
      </c>
      <c r="BK104" s="4438">
        <f t="shared" si="177"/>
        <v>0</v>
      </c>
      <c r="BL104" s="4438">
        <f t="shared" si="178"/>
        <v>0</v>
      </c>
      <c r="BM104" s="4438">
        <f t="shared" si="179"/>
        <v>0</v>
      </c>
      <c r="BN104" s="4438">
        <f t="shared" si="180"/>
        <v>0</v>
      </c>
      <c r="BO104" s="4438">
        <f t="shared" si="181"/>
        <v>0</v>
      </c>
      <c r="BP104" s="4438">
        <f t="shared" si="182"/>
        <v>0</v>
      </c>
      <c r="BQ104" s="4438">
        <f t="shared" si="183"/>
        <v>0</v>
      </c>
      <c r="BR104" s="4438">
        <f t="shared" si="184"/>
        <v>0</v>
      </c>
      <c r="BS104" s="4438">
        <f t="shared" si="185"/>
        <v>0</v>
      </c>
      <c r="BT104" s="4438">
        <f t="shared" si="186"/>
        <v>0</v>
      </c>
      <c r="BU104" s="4438">
        <f t="shared" si="187"/>
        <v>0</v>
      </c>
      <c r="BV104" s="4438">
        <f t="shared" si="188"/>
        <v>0</v>
      </c>
      <c r="BW104" s="4438">
        <f t="shared" si="189"/>
        <v>0</v>
      </c>
      <c r="BX104" s="4438">
        <f t="shared" si="190"/>
        <v>0</v>
      </c>
      <c r="BY104" s="4438">
        <f t="shared" si="191"/>
        <v>0</v>
      </c>
      <c r="BZ104" s="4438">
        <f t="shared" si="192"/>
        <v>0</v>
      </c>
      <c r="CA104" s="4438">
        <f t="shared" si="193"/>
        <v>0</v>
      </c>
      <c r="CB104" s="4438">
        <f t="shared" si="194"/>
        <v>0</v>
      </c>
      <c r="CC104" s="4438">
        <f t="shared" si="195"/>
        <v>0</v>
      </c>
      <c r="CD104" s="4438">
        <f t="shared" si="196"/>
        <v>0</v>
      </c>
      <c r="CE104" s="4438">
        <f t="shared" si="197"/>
        <v>0</v>
      </c>
      <c r="CF104" s="4438">
        <f t="shared" si="198"/>
        <v>0</v>
      </c>
      <c r="CG104" s="4438">
        <f t="shared" si="199"/>
        <v>0</v>
      </c>
      <c r="CH104" s="4438">
        <f t="shared" si="200"/>
        <v>0</v>
      </c>
      <c r="CI104" s="4438">
        <f t="shared" si="201"/>
        <v>0</v>
      </c>
      <c r="CJ104" s="4438">
        <f t="shared" si="202"/>
        <v>0</v>
      </c>
      <c r="CK104" s="4438">
        <f t="shared" si="203"/>
        <v>0</v>
      </c>
    </row>
    <row r="105" spans="1:89" s="30" customFormat="1">
      <c r="A105" s="2696">
        <v>9</v>
      </c>
      <c r="B105" s="3576">
        <v>212</v>
      </c>
      <c r="C105" s="3550">
        <v>0.2</v>
      </c>
      <c r="D105" s="2723" t="s">
        <v>214</v>
      </c>
      <c r="E105" s="2736">
        <f>'11.2. ДА за периода'!E105</f>
        <v>0.4</v>
      </c>
      <c r="F105" s="2763">
        <f t="shared" si="282"/>
        <v>0</v>
      </c>
      <c r="G105" s="1133">
        <f t="shared" si="283"/>
        <v>0</v>
      </c>
      <c r="H105" s="1133">
        <f t="shared" si="284"/>
        <v>0</v>
      </c>
      <c r="I105" s="1133">
        <f t="shared" si="285"/>
        <v>0</v>
      </c>
      <c r="J105" s="1133">
        <f t="shared" si="286"/>
        <v>0</v>
      </c>
      <c r="K105" s="2764">
        <f t="shared" si="287"/>
        <v>0</v>
      </c>
      <c r="L105" s="2736">
        <f>'11.2. ДА за периода'!L105</f>
        <v>0.30000000000000004</v>
      </c>
      <c r="M105" s="2763">
        <f t="shared" si="288"/>
        <v>0</v>
      </c>
      <c r="N105" s="1133">
        <f t="shared" si="289"/>
        <v>0</v>
      </c>
      <c r="O105" s="1133">
        <f t="shared" si="290"/>
        <v>0</v>
      </c>
      <c r="P105" s="1133">
        <f t="shared" si="291"/>
        <v>0</v>
      </c>
      <c r="Q105" s="2764">
        <f t="shared" si="292"/>
        <v>0</v>
      </c>
      <c r="R105" s="2765">
        <f t="shared" si="293"/>
        <v>0</v>
      </c>
      <c r="S105" s="2766">
        <f>'11.2. ДА за периода'!S105</f>
        <v>0.60000000000000009</v>
      </c>
      <c r="T105" s="1132">
        <f t="shared" si="294"/>
        <v>0</v>
      </c>
      <c r="U105" s="1133">
        <f t="shared" si="295"/>
        <v>0</v>
      </c>
      <c r="V105" s="1133">
        <f t="shared" si="296"/>
        <v>0</v>
      </c>
      <c r="W105" s="1133">
        <f t="shared" si="297"/>
        <v>0</v>
      </c>
      <c r="X105" s="1133">
        <f t="shared" si="298"/>
        <v>0</v>
      </c>
      <c r="Y105" s="2765">
        <f t="shared" si="299"/>
        <v>0</v>
      </c>
      <c r="Z105" s="2766">
        <f>'11.2. ДА за периода'!Z105</f>
        <v>0</v>
      </c>
      <c r="AA105" s="1132">
        <f t="shared" si="300"/>
        <v>0</v>
      </c>
      <c r="AB105" s="1133">
        <f t="shared" si="301"/>
        <v>0</v>
      </c>
      <c r="AC105" s="1133">
        <f t="shared" si="302"/>
        <v>0</v>
      </c>
      <c r="AD105" s="1133">
        <f t="shared" si="303"/>
        <v>0</v>
      </c>
      <c r="AE105" s="1133">
        <f t="shared" si="304"/>
        <v>0</v>
      </c>
      <c r="AF105" s="2765">
        <f t="shared" si="305"/>
        <v>0</v>
      </c>
      <c r="AG105" s="2766">
        <f>'11.2. ДА за периода'!AG105</f>
        <v>0</v>
      </c>
      <c r="AH105" s="1132">
        <f t="shared" si="306"/>
        <v>0</v>
      </c>
      <c r="AI105" s="1133">
        <f t="shared" si="307"/>
        <v>0</v>
      </c>
      <c r="AJ105" s="1133">
        <f t="shared" si="308"/>
        <v>0</v>
      </c>
      <c r="AK105" s="1133">
        <f t="shared" si="309"/>
        <v>0</v>
      </c>
      <c r="AL105" s="1133">
        <f t="shared" si="310"/>
        <v>0</v>
      </c>
      <c r="AM105" s="2765">
        <f t="shared" si="311"/>
        <v>0</v>
      </c>
      <c r="AN105" s="2766">
        <f>'11.2. ДА за периода'!AN105</f>
        <v>0</v>
      </c>
      <c r="AO105" s="1132">
        <f t="shared" si="312"/>
        <v>2</v>
      </c>
      <c r="AP105" s="1133">
        <f t="shared" si="313"/>
        <v>4</v>
      </c>
      <c r="AQ105" s="1133">
        <f t="shared" si="314"/>
        <v>4</v>
      </c>
      <c r="AR105" s="1133">
        <f t="shared" si="315"/>
        <v>4</v>
      </c>
      <c r="AS105" s="1133">
        <f t="shared" si="316"/>
        <v>4</v>
      </c>
      <c r="AT105" s="2765">
        <f t="shared" si="317"/>
        <v>4</v>
      </c>
      <c r="AU105" s="4422"/>
      <c r="AV105" s="4438">
        <f t="shared" si="162"/>
        <v>0.20451675247848741</v>
      </c>
      <c r="AW105" s="4438">
        <f t="shared" si="163"/>
        <v>0</v>
      </c>
      <c r="AX105" s="4438">
        <f t="shared" si="164"/>
        <v>0</v>
      </c>
      <c r="AY105" s="4438">
        <f t="shared" si="165"/>
        <v>0</v>
      </c>
      <c r="AZ105" s="4438">
        <f t="shared" si="166"/>
        <v>0</v>
      </c>
      <c r="BA105" s="4438">
        <f t="shared" si="167"/>
        <v>0</v>
      </c>
      <c r="BB105" s="4438">
        <f t="shared" si="168"/>
        <v>0</v>
      </c>
      <c r="BC105" s="4438">
        <f t="shared" si="169"/>
        <v>0.15338756435886558</v>
      </c>
      <c r="BD105" s="4438">
        <f t="shared" si="170"/>
        <v>0</v>
      </c>
      <c r="BE105" s="4438">
        <f t="shared" si="171"/>
        <v>0</v>
      </c>
      <c r="BF105" s="4438">
        <f t="shared" si="172"/>
        <v>0</v>
      </c>
      <c r="BG105" s="4438">
        <f t="shared" si="173"/>
        <v>0</v>
      </c>
      <c r="BH105" s="4438">
        <f t="shared" si="174"/>
        <v>0</v>
      </c>
      <c r="BI105" s="4438">
        <f t="shared" si="175"/>
        <v>0</v>
      </c>
      <c r="BJ105" s="4438">
        <f t="shared" si="176"/>
        <v>0.30677512871773116</v>
      </c>
      <c r="BK105" s="4438">
        <f t="shared" si="177"/>
        <v>0</v>
      </c>
      <c r="BL105" s="4438">
        <f t="shared" si="178"/>
        <v>0</v>
      </c>
      <c r="BM105" s="4438">
        <f t="shared" si="179"/>
        <v>0</v>
      </c>
      <c r="BN105" s="4438">
        <f t="shared" si="180"/>
        <v>0</v>
      </c>
      <c r="BO105" s="4438">
        <f t="shared" si="181"/>
        <v>0</v>
      </c>
      <c r="BP105" s="4438">
        <f t="shared" si="182"/>
        <v>0</v>
      </c>
      <c r="BQ105" s="4438">
        <f t="shared" si="183"/>
        <v>0</v>
      </c>
      <c r="BR105" s="4438">
        <f t="shared" si="184"/>
        <v>0</v>
      </c>
      <c r="BS105" s="4438">
        <f t="shared" si="185"/>
        <v>0</v>
      </c>
      <c r="BT105" s="4438">
        <f t="shared" si="186"/>
        <v>0</v>
      </c>
      <c r="BU105" s="4438">
        <f t="shared" si="187"/>
        <v>0</v>
      </c>
      <c r="BV105" s="4438">
        <f t="shared" si="188"/>
        <v>0</v>
      </c>
      <c r="BW105" s="4438">
        <f t="shared" si="189"/>
        <v>0</v>
      </c>
      <c r="BX105" s="4438">
        <f t="shared" si="190"/>
        <v>0</v>
      </c>
      <c r="BY105" s="4438">
        <f t="shared" si="191"/>
        <v>0</v>
      </c>
      <c r="BZ105" s="4438">
        <f t="shared" si="192"/>
        <v>0</v>
      </c>
      <c r="CA105" s="4438">
        <f t="shared" si="193"/>
        <v>0</v>
      </c>
      <c r="CB105" s="4438">
        <f t="shared" si="194"/>
        <v>0</v>
      </c>
      <c r="CC105" s="4438">
        <f t="shared" si="195"/>
        <v>0</v>
      </c>
      <c r="CD105" s="4438">
        <f t="shared" si="196"/>
        <v>0</v>
      </c>
      <c r="CE105" s="4438">
        <f t="shared" si="197"/>
        <v>0</v>
      </c>
      <c r="CF105" s="4438">
        <f t="shared" si="198"/>
        <v>1.022583762392437</v>
      </c>
      <c r="CG105" s="4438">
        <f t="shared" si="199"/>
        <v>2.045167524784874</v>
      </c>
      <c r="CH105" s="4438">
        <f t="shared" si="200"/>
        <v>2.045167524784874</v>
      </c>
      <c r="CI105" s="4438">
        <f t="shared" si="201"/>
        <v>2.045167524784874</v>
      </c>
      <c r="CJ105" s="4438">
        <f t="shared" si="202"/>
        <v>2.045167524784874</v>
      </c>
      <c r="CK105" s="4438">
        <f t="shared" si="203"/>
        <v>2.045167524784874</v>
      </c>
    </row>
    <row r="106" spans="1:89" s="30" customFormat="1">
      <c r="A106" s="2696">
        <v>10</v>
      </c>
      <c r="B106" s="3576">
        <v>213</v>
      </c>
      <c r="C106" s="3550">
        <v>0.2</v>
      </c>
      <c r="D106" s="2695" t="s">
        <v>215</v>
      </c>
      <c r="E106" s="2736">
        <f>'11.2. ДА за периода'!E106</f>
        <v>0</v>
      </c>
      <c r="F106" s="2763">
        <f t="shared" si="282"/>
        <v>0</v>
      </c>
      <c r="G106" s="1133">
        <f t="shared" si="283"/>
        <v>0</v>
      </c>
      <c r="H106" s="1133">
        <f t="shared" si="284"/>
        <v>0</v>
      </c>
      <c r="I106" s="1133">
        <f t="shared" si="285"/>
        <v>0</v>
      </c>
      <c r="J106" s="1133">
        <f t="shared" si="286"/>
        <v>0</v>
      </c>
      <c r="K106" s="2764">
        <f t="shared" si="287"/>
        <v>0</v>
      </c>
      <c r="L106" s="2736">
        <f>'11.2. ДА за периода'!L106</f>
        <v>0</v>
      </c>
      <c r="M106" s="2763">
        <f t="shared" si="288"/>
        <v>0</v>
      </c>
      <c r="N106" s="1133">
        <f t="shared" si="289"/>
        <v>0</v>
      </c>
      <c r="O106" s="1133">
        <f t="shared" si="290"/>
        <v>0</v>
      </c>
      <c r="P106" s="1133">
        <f t="shared" si="291"/>
        <v>0</v>
      </c>
      <c r="Q106" s="2764">
        <f t="shared" si="292"/>
        <v>0</v>
      </c>
      <c r="R106" s="2765">
        <f t="shared" si="293"/>
        <v>0</v>
      </c>
      <c r="S106" s="2766">
        <f>'11.2. ДА за периода'!S106</f>
        <v>0</v>
      </c>
      <c r="T106" s="1132">
        <f t="shared" si="294"/>
        <v>0</v>
      </c>
      <c r="U106" s="1133">
        <f t="shared" si="295"/>
        <v>0</v>
      </c>
      <c r="V106" s="1133">
        <f t="shared" si="296"/>
        <v>0</v>
      </c>
      <c r="W106" s="1133">
        <f t="shared" si="297"/>
        <v>0</v>
      </c>
      <c r="X106" s="1133">
        <f t="shared" si="298"/>
        <v>0</v>
      </c>
      <c r="Y106" s="2765">
        <f t="shared" si="299"/>
        <v>0</v>
      </c>
      <c r="Z106" s="2766">
        <f>'11.2. ДА за периода'!Z106</f>
        <v>0</v>
      </c>
      <c r="AA106" s="1132">
        <f t="shared" si="300"/>
        <v>0</v>
      </c>
      <c r="AB106" s="1133">
        <f t="shared" si="301"/>
        <v>0</v>
      </c>
      <c r="AC106" s="1133">
        <f t="shared" si="302"/>
        <v>0</v>
      </c>
      <c r="AD106" s="1133">
        <f t="shared" si="303"/>
        <v>0</v>
      </c>
      <c r="AE106" s="1133">
        <f t="shared" si="304"/>
        <v>0</v>
      </c>
      <c r="AF106" s="2765">
        <f t="shared" si="305"/>
        <v>0</v>
      </c>
      <c r="AG106" s="2766">
        <f>'11.2. ДА за периода'!AG106</f>
        <v>0</v>
      </c>
      <c r="AH106" s="1132">
        <f t="shared" si="306"/>
        <v>0</v>
      </c>
      <c r="AI106" s="1133">
        <f t="shared" si="307"/>
        <v>0</v>
      </c>
      <c r="AJ106" s="1133">
        <f t="shared" si="308"/>
        <v>0</v>
      </c>
      <c r="AK106" s="1133">
        <f t="shared" si="309"/>
        <v>0</v>
      </c>
      <c r="AL106" s="1133">
        <f t="shared" si="310"/>
        <v>0</v>
      </c>
      <c r="AM106" s="2765">
        <f t="shared" si="311"/>
        <v>0</v>
      </c>
      <c r="AN106" s="2766">
        <f>'11.2. ДА за периода'!AN106</f>
        <v>0</v>
      </c>
      <c r="AO106" s="1132">
        <f t="shared" si="312"/>
        <v>0</v>
      </c>
      <c r="AP106" s="1133">
        <f t="shared" si="313"/>
        <v>0</v>
      </c>
      <c r="AQ106" s="1133">
        <f t="shared" si="314"/>
        <v>0</v>
      </c>
      <c r="AR106" s="1133">
        <f t="shared" si="315"/>
        <v>0</v>
      </c>
      <c r="AS106" s="1133">
        <f t="shared" si="316"/>
        <v>0</v>
      </c>
      <c r="AT106" s="2765">
        <f t="shared" si="317"/>
        <v>0</v>
      </c>
      <c r="AU106" s="4422"/>
      <c r="AV106" s="4438">
        <f t="shared" si="162"/>
        <v>0</v>
      </c>
      <c r="AW106" s="4438">
        <f t="shared" si="163"/>
        <v>0</v>
      </c>
      <c r="AX106" s="4438">
        <f t="shared" si="164"/>
        <v>0</v>
      </c>
      <c r="AY106" s="4438">
        <f t="shared" si="165"/>
        <v>0</v>
      </c>
      <c r="AZ106" s="4438">
        <f t="shared" si="166"/>
        <v>0</v>
      </c>
      <c r="BA106" s="4438">
        <f t="shared" si="167"/>
        <v>0</v>
      </c>
      <c r="BB106" s="4438">
        <f t="shared" si="168"/>
        <v>0</v>
      </c>
      <c r="BC106" s="4438">
        <f t="shared" si="169"/>
        <v>0</v>
      </c>
      <c r="BD106" s="4438">
        <f t="shared" si="170"/>
        <v>0</v>
      </c>
      <c r="BE106" s="4438">
        <f t="shared" si="171"/>
        <v>0</v>
      </c>
      <c r="BF106" s="4438">
        <f t="shared" si="172"/>
        <v>0</v>
      </c>
      <c r="BG106" s="4438">
        <f t="shared" si="173"/>
        <v>0</v>
      </c>
      <c r="BH106" s="4438">
        <f t="shared" si="174"/>
        <v>0</v>
      </c>
      <c r="BI106" s="4438">
        <f t="shared" si="175"/>
        <v>0</v>
      </c>
      <c r="BJ106" s="4438">
        <f t="shared" si="176"/>
        <v>0</v>
      </c>
      <c r="BK106" s="4438">
        <f t="shared" si="177"/>
        <v>0</v>
      </c>
      <c r="BL106" s="4438">
        <f t="shared" si="178"/>
        <v>0</v>
      </c>
      <c r="BM106" s="4438">
        <f t="shared" si="179"/>
        <v>0</v>
      </c>
      <c r="BN106" s="4438">
        <f t="shared" si="180"/>
        <v>0</v>
      </c>
      <c r="BO106" s="4438">
        <f t="shared" si="181"/>
        <v>0</v>
      </c>
      <c r="BP106" s="4438">
        <f t="shared" si="182"/>
        <v>0</v>
      </c>
      <c r="BQ106" s="4438">
        <f t="shared" si="183"/>
        <v>0</v>
      </c>
      <c r="BR106" s="4438">
        <f t="shared" si="184"/>
        <v>0</v>
      </c>
      <c r="BS106" s="4438">
        <f t="shared" si="185"/>
        <v>0</v>
      </c>
      <c r="BT106" s="4438">
        <f t="shared" si="186"/>
        <v>0</v>
      </c>
      <c r="BU106" s="4438">
        <f t="shared" si="187"/>
        <v>0</v>
      </c>
      <c r="BV106" s="4438">
        <f t="shared" si="188"/>
        <v>0</v>
      </c>
      <c r="BW106" s="4438">
        <f t="shared" si="189"/>
        <v>0</v>
      </c>
      <c r="BX106" s="4438">
        <f t="shared" si="190"/>
        <v>0</v>
      </c>
      <c r="BY106" s="4438">
        <f t="shared" si="191"/>
        <v>0</v>
      </c>
      <c r="BZ106" s="4438">
        <f t="shared" si="192"/>
        <v>0</v>
      </c>
      <c r="CA106" s="4438">
        <f t="shared" si="193"/>
        <v>0</v>
      </c>
      <c r="CB106" s="4438">
        <f t="shared" si="194"/>
        <v>0</v>
      </c>
      <c r="CC106" s="4438">
        <f t="shared" si="195"/>
        <v>0</v>
      </c>
      <c r="CD106" s="4438">
        <f t="shared" si="196"/>
        <v>0</v>
      </c>
      <c r="CE106" s="4438">
        <f t="shared" si="197"/>
        <v>0</v>
      </c>
      <c r="CF106" s="4438">
        <f t="shared" si="198"/>
        <v>0</v>
      </c>
      <c r="CG106" s="4438">
        <f t="shared" si="199"/>
        <v>0</v>
      </c>
      <c r="CH106" s="4438">
        <f t="shared" si="200"/>
        <v>0</v>
      </c>
      <c r="CI106" s="4438">
        <f t="shared" si="201"/>
        <v>0</v>
      </c>
      <c r="CJ106" s="4438">
        <f t="shared" si="202"/>
        <v>0</v>
      </c>
      <c r="CK106" s="4438">
        <f t="shared" si="203"/>
        <v>0</v>
      </c>
    </row>
    <row r="107" spans="1:89" s="30" customFormat="1" ht="24">
      <c r="A107" s="2767">
        <v>11</v>
      </c>
      <c r="B107" s="3577">
        <v>215</v>
      </c>
      <c r="C107" s="3550">
        <v>0.2</v>
      </c>
      <c r="D107" s="2695" t="s">
        <v>679</v>
      </c>
      <c r="E107" s="2736">
        <f>'11.2. ДА за периода'!E107</f>
        <v>0</v>
      </c>
      <c r="F107" s="2763">
        <f t="shared" si="282"/>
        <v>1</v>
      </c>
      <c r="G107" s="1133">
        <f t="shared" si="283"/>
        <v>2</v>
      </c>
      <c r="H107" s="1133">
        <f t="shared" si="284"/>
        <v>2</v>
      </c>
      <c r="I107" s="1133">
        <f t="shared" si="285"/>
        <v>2</v>
      </c>
      <c r="J107" s="1133">
        <f t="shared" si="286"/>
        <v>2</v>
      </c>
      <c r="K107" s="2764">
        <f t="shared" si="287"/>
        <v>2</v>
      </c>
      <c r="L107" s="2736">
        <f>'11.2. ДА за периода'!L107</f>
        <v>0</v>
      </c>
      <c r="M107" s="2763">
        <f t="shared" si="288"/>
        <v>2</v>
      </c>
      <c r="N107" s="1133">
        <f t="shared" si="289"/>
        <v>4</v>
      </c>
      <c r="O107" s="1133">
        <f t="shared" si="290"/>
        <v>4</v>
      </c>
      <c r="P107" s="1133">
        <f t="shared" si="291"/>
        <v>4</v>
      </c>
      <c r="Q107" s="2764">
        <f t="shared" si="292"/>
        <v>4</v>
      </c>
      <c r="R107" s="2765">
        <f t="shared" si="293"/>
        <v>4</v>
      </c>
      <c r="S107" s="2766">
        <f>'11.2. ДА за периода'!S107</f>
        <v>0</v>
      </c>
      <c r="T107" s="1132">
        <f t="shared" si="294"/>
        <v>0</v>
      </c>
      <c r="U107" s="1133">
        <f t="shared" si="295"/>
        <v>0</v>
      </c>
      <c r="V107" s="1133">
        <f t="shared" si="296"/>
        <v>0</v>
      </c>
      <c r="W107" s="1133">
        <f t="shared" si="297"/>
        <v>0</v>
      </c>
      <c r="X107" s="1133">
        <f t="shared" si="298"/>
        <v>0</v>
      </c>
      <c r="Y107" s="2765">
        <f t="shared" si="299"/>
        <v>0</v>
      </c>
      <c r="Z107" s="2766">
        <f>'11.2. ДА за периода'!Z107</f>
        <v>0</v>
      </c>
      <c r="AA107" s="1132">
        <f t="shared" si="300"/>
        <v>0</v>
      </c>
      <c r="AB107" s="1133">
        <f t="shared" si="301"/>
        <v>0</v>
      </c>
      <c r="AC107" s="1133">
        <f t="shared" si="302"/>
        <v>0</v>
      </c>
      <c r="AD107" s="1133">
        <f t="shared" si="303"/>
        <v>0</v>
      </c>
      <c r="AE107" s="1133">
        <f t="shared" si="304"/>
        <v>0</v>
      </c>
      <c r="AF107" s="2765">
        <f t="shared" si="305"/>
        <v>0</v>
      </c>
      <c r="AG107" s="2766">
        <f>'11.2. ДА за периода'!AG107</f>
        <v>0</v>
      </c>
      <c r="AH107" s="1132">
        <f t="shared" si="306"/>
        <v>0</v>
      </c>
      <c r="AI107" s="1133">
        <f t="shared" si="307"/>
        <v>0</v>
      </c>
      <c r="AJ107" s="1133">
        <f t="shared" si="308"/>
        <v>0</v>
      </c>
      <c r="AK107" s="1133">
        <f t="shared" si="309"/>
        <v>0</v>
      </c>
      <c r="AL107" s="1133">
        <f t="shared" si="310"/>
        <v>0</v>
      </c>
      <c r="AM107" s="2765">
        <f t="shared" si="311"/>
        <v>0</v>
      </c>
      <c r="AN107" s="2766">
        <f>'11.2. ДА за периода'!AN107</f>
        <v>0</v>
      </c>
      <c r="AO107" s="1132">
        <f t="shared" si="312"/>
        <v>1.5</v>
      </c>
      <c r="AP107" s="1133">
        <f t="shared" si="313"/>
        <v>3</v>
      </c>
      <c r="AQ107" s="1133">
        <f t="shared" si="314"/>
        <v>3</v>
      </c>
      <c r="AR107" s="1133">
        <f t="shared" si="315"/>
        <v>3</v>
      </c>
      <c r="AS107" s="1133">
        <f t="shared" si="316"/>
        <v>3</v>
      </c>
      <c r="AT107" s="2765">
        <f t="shared" si="317"/>
        <v>3</v>
      </c>
      <c r="AU107" s="4422"/>
      <c r="AV107" s="4438">
        <f t="shared" si="162"/>
        <v>0</v>
      </c>
      <c r="AW107" s="4438">
        <f t="shared" si="163"/>
        <v>0.51129188119621849</v>
      </c>
      <c r="AX107" s="4438">
        <f t="shared" si="164"/>
        <v>1.022583762392437</v>
      </c>
      <c r="AY107" s="4438">
        <f t="shared" si="165"/>
        <v>1.022583762392437</v>
      </c>
      <c r="AZ107" s="4438">
        <f t="shared" si="166"/>
        <v>1.022583762392437</v>
      </c>
      <c r="BA107" s="4438">
        <f t="shared" si="167"/>
        <v>1.022583762392437</v>
      </c>
      <c r="BB107" s="4438">
        <f t="shared" si="168"/>
        <v>1.022583762392437</v>
      </c>
      <c r="BC107" s="4438">
        <f t="shared" si="169"/>
        <v>0</v>
      </c>
      <c r="BD107" s="4438">
        <f t="shared" si="170"/>
        <v>1.022583762392437</v>
      </c>
      <c r="BE107" s="4438">
        <f t="shared" si="171"/>
        <v>2.045167524784874</v>
      </c>
      <c r="BF107" s="4438">
        <f t="shared" si="172"/>
        <v>2.045167524784874</v>
      </c>
      <c r="BG107" s="4438">
        <f t="shared" si="173"/>
        <v>2.045167524784874</v>
      </c>
      <c r="BH107" s="4438">
        <f t="shared" si="174"/>
        <v>2.045167524784874</v>
      </c>
      <c r="BI107" s="4438">
        <f t="shared" si="175"/>
        <v>2.045167524784874</v>
      </c>
      <c r="BJ107" s="4438">
        <f t="shared" si="176"/>
        <v>0</v>
      </c>
      <c r="BK107" s="4438">
        <f t="shared" si="177"/>
        <v>0</v>
      </c>
      <c r="BL107" s="4438">
        <f t="shared" si="178"/>
        <v>0</v>
      </c>
      <c r="BM107" s="4438">
        <f t="shared" si="179"/>
        <v>0</v>
      </c>
      <c r="BN107" s="4438">
        <f t="shared" si="180"/>
        <v>0</v>
      </c>
      <c r="BO107" s="4438">
        <f t="shared" si="181"/>
        <v>0</v>
      </c>
      <c r="BP107" s="4438">
        <f t="shared" si="182"/>
        <v>0</v>
      </c>
      <c r="BQ107" s="4438">
        <f t="shared" si="183"/>
        <v>0</v>
      </c>
      <c r="BR107" s="4438">
        <f t="shared" si="184"/>
        <v>0</v>
      </c>
      <c r="BS107" s="4438">
        <f t="shared" si="185"/>
        <v>0</v>
      </c>
      <c r="BT107" s="4438">
        <f t="shared" si="186"/>
        <v>0</v>
      </c>
      <c r="BU107" s="4438">
        <f t="shared" si="187"/>
        <v>0</v>
      </c>
      <c r="BV107" s="4438">
        <f t="shared" si="188"/>
        <v>0</v>
      </c>
      <c r="BW107" s="4438">
        <f t="shared" si="189"/>
        <v>0</v>
      </c>
      <c r="BX107" s="4438">
        <f t="shared" si="190"/>
        <v>0</v>
      </c>
      <c r="BY107" s="4438">
        <f t="shared" si="191"/>
        <v>0</v>
      </c>
      <c r="BZ107" s="4438">
        <f t="shared" si="192"/>
        <v>0</v>
      </c>
      <c r="CA107" s="4438">
        <f t="shared" si="193"/>
        <v>0</v>
      </c>
      <c r="CB107" s="4438">
        <f t="shared" si="194"/>
        <v>0</v>
      </c>
      <c r="CC107" s="4438">
        <f t="shared" si="195"/>
        <v>0</v>
      </c>
      <c r="CD107" s="4438">
        <f t="shared" si="196"/>
        <v>0</v>
      </c>
      <c r="CE107" s="4438">
        <f t="shared" si="197"/>
        <v>0</v>
      </c>
      <c r="CF107" s="4438">
        <f t="shared" si="198"/>
        <v>0.76693782179432779</v>
      </c>
      <c r="CG107" s="4438">
        <f t="shared" si="199"/>
        <v>1.5338756435886556</v>
      </c>
      <c r="CH107" s="4438">
        <f t="shared" si="200"/>
        <v>1.5338756435886556</v>
      </c>
      <c r="CI107" s="4438">
        <f t="shared" si="201"/>
        <v>1.5338756435886556</v>
      </c>
      <c r="CJ107" s="4438">
        <f t="shared" si="202"/>
        <v>1.5338756435886556</v>
      </c>
      <c r="CK107" s="4438">
        <f t="shared" si="203"/>
        <v>1.5338756435886556</v>
      </c>
    </row>
    <row r="108" spans="1:89" s="30" customFormat="1" ht="13.5" thickBot="1">
      <c r="A108" s="2724">
        <v>12</v>
      </c>
      <c r="B108" s="3569">
        <v>219</v>
      </c>
      <c r="C108" s="3558">
        <v>0.1</v>
      </c>
      <c r="D108" s="2768" t="s">
        <v>216</v>
      </c>
      <c r="E108" s="2769">
        <f>'11.2. ДА за периода'!E108</f>
        <v>0</v>
      </c>
      <c r="F108" s="2770">
        <f t="shared" si="282"/>
        <v>0</v>
      </c>
      <c r="G108" s="2771">
        <f t="shared" si="283"/>
        <v>0</v>
      </c>
      <c r="H108" s="2771">
        <f t="shared" si="284"/>
        <v>0</v>
      </c>
      <c r="I108" s="2771">
        <f t="shared" si="285"/>
        <v>0</v>
      </c>
      <c r="J108" s="2771">
        <f t="shared" si="286"/>
        <v>0</v>
      </c>
      <c r="K108" s="2772">
        <f t="shared" si="287"/>
        <v>0</v>
      </c>
      <c r="L108" s="2769">
        <f>'11.2. ДА за периода'!L108</f>
        <v>0</v>
      </c>
      <c r="M108" s="2770">
        <f t="shared" si="288"/>
        <v>0</v>
      </c>
      <c r="N108" s="2771">
        <f t="shared" si="289"/>
        <v>0</v>
      </c>
      <c r="O108" s="2771">
        <f t="shared" si="290"/>
        <v>0</v>
      </c>
      <c r="P108" s="2771">
        <f t="shared" si="291"/>
        <v>0</v>
      </c>
      <c r="Q108" s="2772">
        <f t="shared" si="292"/>
        <v>0</v>
      </c>
      <c r="R108" s="2773">
        <f t="shared" si="293"/>
        <v>0</v>
      </c>
      <c r="S108" s="2769">
        <f>'11.2. ДА за периода'!S108</f>
        <v>0</v>
      </c>
      <c r="T108" s="2774">
        <f t="shared" si="294"/>
        <v>0</v>
      </c>
      <c r="U108" s="2771">
        <f t="shared" si="295"/>
        <v>0</v>
      </c>
      <c r="V108" s="2771">
        <f t="shared" si="296"/>
        <v>0</v>
      </c>
      <c r="W108" s="2771">
        <f t="shared" si="297"/>
        <v>0</v>
      </c>
      <c r="X108" s="2771">
        <f t="shared" si="298"/>
        <v>0</v>
      </c>
      <c r="Y108" s="2773">
        <f t="shared" si="299"/>
        <v>0</v>
      </c>
      <c r="Z108" s="2769">
        <f>'11.2. ДА за периода'!Z108</f>
        <v>0</v>
      </c>
      <c r="AA108" s="2774">
        <f t="shared" si="300"/>
        <v>0</v>
      </c>
      <c r="AB108" s="2771">
        <f t="shared" si="301"/>
        <v>0</v>
      </c>
      <c r="AC108" s="2771">
        <f t="shared" si="302"/>
        <v>0</v>
      </c>
      <c r="AD108" s="2771">
        <f t="shared" si="303"/>
        <v>0</v>
      </c>
      <c r="AE108" s="2771">
        <f t="shared" si="304"/>
        <v>0</v>
      </c>
      <c r="AF108" s="2773">
        <f t="shared" si="305"/>
        <v>0</v>
      </c>
      <c r="AG108" s="2769">
        <f>'11.2. ДА за периода'!AG108</f>
        <v>0</v>
      </c>
      <c r="AH108" s="2774">
        <f t="shared" si="306"/>
        <v>0</v>
      </c>
      <c r="AI108" s="2771">
        <f t="shared" si="307"/>
        <v>0</v>
      </c>
      <c r="AJ108" s="2771">
        <f t="shared" si="308"/>
        <v>0</v>
      </c>
      <c r="AK108" s="2771">
        <f t="shared" si="309"/>
        <v>0</v>
      </c>
      <c r="AL108" s="2771">
        <f t="shared" si="310"/>
        <v>0</v>
      </c>
      <c r="AM108" s="2773">
        <f t="shared" si="311"/>
        <v>0</v>
      </c>
      <c r="AN108" s="2769">
        <f>'11.2. ДА за периода'!AN108</f>
        <v>0</v>
      </c>
      <c r="AO108" s="2774">
        <f t="shared" si="312"/>
        <v>0</v>
      </c>
      <c r="AP108" s="2771">
        <f t="shared" si="313"/>
        <v>0</v>
      </c>
      <c r="AQ108" s="2771">
        <f t="shared" si="314"/>
        <v>0</v>
      </c>
      <c r="AR108" s="2771">
        <f t="shared" si="315"/>
        <v>0</v>
      </c>
      <c r="AS108" s="2771">
        <f t="shared" si="316"/>
        <v>0</v>
      </c>
      <c r="AT108" s="2773">
        <f t="shared" si="317"/>
        <v>0</v>
      </c>
      <c r="AU108" s="4422"/>
      <c r="AV108" s="4438">
        <f>IFERROR(E108/$D$1,0)</f>
        <v>0</v>
      </c>
      <c r="AW108" s="4438">
        <f t="shared" si="163"/>
        <v>0</v>
      </c>
      <c r="AX108" s="4438">
        <f t="shared" si="164"/>
        <v>0</v>
      </c>
      <c r="AY108" s="4438">
        <f t="shared" si="165"/>
        <v>0</v>
      </c>
      <c r="AZ108" s="4438">
        <f t="shared" si="166"/>
        <v>0</v>
      </c>
      <c r="BA108" s="4438">
        <f t="shared" si="167"/>
        <v>0</v>
      </c>
      <c r="BB108" s="4438">
        <f t="shared" si="168"/>
        <v>0</v>
      </c>
      <c r="BC108" s="4438">
        <f t="shared" si="169"/>
        <v>0</v>
      </c>
      <c r="BD108" s="4438">
        <f t="shared" si="170"/>
        <v>0</v>
      </c>
      <c r="BE108" s="4438">
        <f t="shared" si="171"/>
        <v>0</v>
      </c>
      <c r="BF108" s="4438">
        <f t="shared" si="172"/>
        <v>0</v>
      </c>
      <c r="BG108" s="4438">
        <f t="shared" si="173"/>
        <v>0</v>
      </c>
      <c r="BH108" s="4438">
        <f t="shared" si="174"/>
        <v>0</v>
      </c>
      <c r="BI108" s="4438">
        <f t="shared" si="175"/>
        <v>0</v>
      </c>
      <c r="BJ108" s="4438">
        <f t="shared" si="176"/>
        <v>0</v>
      </c>
      <c r="BK108" s="4438">
        <f t="shared" si="177"/>
        <v>0</v>
      </c>
      <c r="BL108" s="4438">
        <f t="shared" si="178"/>
        <v>0</v>
      </c>
      <c r="BM108" s="4438">
        <f t="shared" si="179"/>
        <v>0</v>
      </c>
      <c r="BN108" s="4438">
        <f t="shared" si="180"/>
        <v>0</v>
      </c>
      <c r="BO108" s="4438">
        <f t="shared" si="181"/>
        <v>0</v>
      </c>
      <c r="BP108" s="4438">
        <f t="shared" si="182"/>
        <v>0</v>
      </c>
      <c r="BQ108" s="4438">
        <f t="shared" si="183"/>
        <v>0</v>
      </c>
      <c r="BR108" s="4438">
        <f t="shared" si="184"/>
        <v>0</v>
      </c>
      <c r="BS108" s="4438">
        <f t="shared" si="185"/>
        <v>0</v>
      </c>
      <c r="BT108" s="4438">
        <f t="shared" si="186"/>
        <v>0</v>
      </c>
      <c r="BU108" s="4438">
        <f t="shared" si="187"/>
        <v>0</v>
      </c>
      <c r="BV108" s="4438">
        <f t="shared" si="188"/>
        <v>0</v>
      </c>
      <c r="BW108" s="4438">
        <f t="shared" si="189"/>
        <v>0</v>
      </c>
      <c r="BX108" s="4438">
        <f t="shared" si="190"/>
        <v>0</v>
      </c>
      <c r="BY108" s="4438">
        <f t="shared" si="191"/>
        <v>0</v>
      </c>
      <c r="BZ108" s="4438">
        <f t="shared" si="192"/>
        <v>0</v>
      </c>
      <c r="CA108" s="4438">
        <f t="shared" si="193"/>
        <v>0</v>
      </c>
      <c r="CB108" s="4438">
        <f t="shared" si="194"/>
        <v>0</v>
      </c>
      <c r="CC108" s="4438">
        <f t="shared" si="195"/>
        <v>0</v>
      </c>
      <c r="CD108" s="4438">
        <f t="shared" si="196"/>
        <v>0</v>
      </c>
      <c r="CE108" s="4438">
        <f t="shared" si="197"/>
        <v>0</v>
      </c>
      <c r="CF108" s="4438">
        <f t="shared" si="198"/>
        <v>0</v>
      </c>
      <c r="CG108" s="4438">
        <f t="shared" si="199"/>
        <v>0</v>
      </c>
      <c r="CH108" s="4438">
        <f t="shared" si="200"/>
        <v>0</v>
      </c>
      <c r="CI108" s="4438">
        <f t="shared" si="201"/>
        <v>0</v>
      </c>
      <c r="CJ108" s="4438">
        <f t="shared" si="202"/>
        <v>0</v>
      </c>
      <c r="CK108" s="4438">
        <f t="shared" si="203"/>
        <v>0</v>
      </c>
    </row>
    <row r="109" spans="1:89" ht="13.5" thickBot="1">
      <c r="A109" s="2775"/>
      <c r="B109" s="2776"/>
      <c r="C109" s="2776"/>
      <c r="D109" s="2776"/>
      <c r="E109" s="2777"/>
      <c r="F109" s="2777"/>
      <c r="G109" s="2777"/>
      <c r="H109" s="2777"/>
      <c r="I109" s="2777"/>
      <c r="J109" s="2777"/>
      <c r="K109" s="2777"/>
      <c r="L109" s="2777"/>
      <c r="M109" s="2777"/>
      <c r="N109" s="2777"/>
      <c r="O109" s="2777"/>
      <c r="P109" s="2777"/>
      <c r="Q109" s="2777"/>
      <c r="R109" s="2777"/>
      <c r="S109" s="2777"/>
      <c r="T109" s="2777"/>
      <c r="U109" s="2777"/>
      <c r="V109" s="2777"/>
      <c r="W109" s="2777"/>
      <c r="X109" s="2777"/>
      <c r="Y109" s="2777"/>
      <c r="Z109" s="2777"/>
      <c r="AA109" s="2777"/>
      <c r="AB109" s="2777"/>
      <c r="AC109" s="2777"/>
      <c r="AD109" s="2777"/>
      <c r="AE109" s="2777"/>
      <c r="AF109" s="2777"/>
      <c r="AG109" s="2777"/>
      <c r="AH109" s="2777"/>
      <c r="AI109" s="2777"/>
      <c r="AJ109" s="2777"/>
      <c r="AK109" s="2777"/>
      <c r="AL109" s="2777"/>
      <c r="AM109" s="2777"/>
      <c r="AN109" s="2777"/>
      <c r="AO109" s="2777"/>
      <c r="AP109" s="2777"/>
      <c r="AQ109" s="2777"/>
      <c r="AR109" s="2777"/>
      <c r="AS109" s="2777"/>
      <c r="AT109" s="2777"/>
      <c r="AU109" s="2652"/>
    </row>
    <row r="110" spans="1:89">
      <c r="A110" s="2775"/>
      <c r="B110" s="2776"/>
      <c r="C110" s="2776"/>
      <c r="D110" s="2778" t="s">
        <v>398</v>
      </c>
      <c r="E110" s="2779"/>
      <c r="F110" s="2780">
        <f>IFERROR(F60/(F$60+M$60+T$60),0)</f>
        <v>0.77265625000000004</v>
      </c>
      <c r="G110" s="2781">
        <f t="shared" ref="G110:K110" si="318">IFERROR(G60/(G$60+N$60+U$60),0)</f>
        <v>0.77170446388955871</v>
      </c>
      <c r="H110" s="2781">
        <f t="shared" si="318"/>
        <v>0.74784094331383333</v>
      </c>
      <c r="I110" s="2781">
        <f t="shared" si="318"/>
        <v>0.73012169077868638</v>
      </c>
      <c r="J110" s="2781">
        <f t="shared" si="318"/>
        <v>0.7349265603593822</v>
      </c>
      <c r="K110" s="2782">
        <f t="shared" si="318"/>
        <v>0.75033692949040098</v>
      </c>
      <c r="L110" s="2783"/>
      <c r="M110" s="2777"/>
      <c r="N110" s="2777"/>
      <c r="O110" s="2777"/>
      <c r="P110" s="2777"/>
      <c r="Q110" s="2777"/>
      <c r="R110" s="2777"/>
      <c r="S110" s="2777"/>
      <c r="T110" s="2777"/>
      <c r="U110" s="2777"/>
      <c r="V110" s="2777"/>
      <c r="W110" s="2777"/>
      <c r="X110" s="2777"/>
      <c r="Y110" s="2777"/>
      <c r="Z110" s="2777"/>
      <c r="AA110" s="2777"/>
      <c r="AB110" s="2777"/>
      <c r="AC110" s="2777"/>
      <c r="AD110" s="2777"/>
      <c r="AE110" s="2777"/>
      <c r="AF110" s="2777"/>
      <c r="AG110" s="2777"/>
      <c r="AH110" s="2777"/>
      <c r="AI110" s="2777"/>
      <c r="AJ110" s="2777"/>
      <c r="AK110" s="2777"/>
      <c r="AL110" s="2777"/>
      <c r="AM110" s="2777"/>
      <c r="AN110" s="2777"/>
      <c r="AO110" s="2777"/>
      <c r="AP110" s="2777"/>
      <c r="AQ110" s="2777"/>
      <c r="AR110" s="2777"/>
      <c r="AS110" s="2777"/>
      <c r="AT110" s="2777"/>
      <c r="AU110" s="2652"/>
    </row>
    <row r="111" spans="1:89">
      <c r="A111" s="2775"/>
      <c r="B111" s="2776"/>
      <c r="C111" s="2776"/>
      <c r="D111" s="2784" t="s">
        <v>646</v>
      </c>
      <c r="E111" s="2785"/>
      <c r="F111" s="2786">
        <f>IFERROR(M60/(F$60+M$60+T$60),0)</f>
        <v>0.20156250000000006</v>
      </c>
      <c r="G111" s="2787">
        <f t="shared" ref="G111:K111" si="319">IFERROR(N60/(G$60+N$60+U$60),0)</f>
        <v>0.13735992449727574</v>
      </c>
      <c r="H111" s="2787">
        <f t="shared" si="319"/>
        <v>0.10944247114419622</v>
      </c>
      <c r="I111" s="2787">
        <f t="shared" si="319"/>
        <v>0.10241138463414624</v>
      </c>
      <c r="J111" s="2787">
        <f t="shared" si="319"/>
        <v>9.7187134759709304E-2</v>
      </c>
      <c r="K111" s="2788">
        <f t="shared" si="319"/>
        <v>9.1736439791335972E-2</v>
      </c>
      <c r="L111" s="2783"/>
      <c r="M111" s="2777"/>
      <c r="N111" s="2777"/>
      <c r="O111" s="2777"/>
      <c r="P111" s="2777"/>
      <c r="Q111" s="2777"/>
      <c r="R111" s="2777"/>
      <c r="S111" s="2777"/>
      <c r="T111" s="2777"/>
      <c r="U111" s="2777"/>
      <c r="V111" s="2777"/>
      <c r="W111" s="2777"/>
      <c r="X111" s="2777"/>
      <c r="Y111" s="2777"/>
      <c r="Z111" s="2777"/>
      <c r="AA111" s="2777"/>
      <c r="AB111" s="2777"/>
      <c r="AC111" s="2777"/>
      <c r="AD111" s="2777"/>
      <c r="AE111" s="2777"/>
      <c r="AF111" s="2777"/>
      <c r="AG111" s="2777"/>
      <c r="AH111" s="2777"/>
      <c r="AI111" s="2777"/>
      <c r="AJ111" s="2777"/>
      <c r="AK111" s="2777"/>
      <c r="AL111" s="2777"/>
      <c r="AM111" s="2777"/>
      <c r="AN111" s="2777"/>
      <c r="AO111" s="2777"/>
      <c r="AP111" s="2777"/>
      <c r="AQ111" s="2777"/>
      <c r="AR111" s="2777"/>
      <c r="AS111" s="2777"/>
      <c r="AT111" s="2777"/>
      <c r="AU111" s="2652"/>
    </row>
    <row r="112" spans="1:89" ht="13.5" thickBot="1">
      <c r="A112" s="2775"/>
      <c r="B112" s="2776"/>
      <c r="C112" s="2776"/>
      <c r="D112" s="2789" t="s">
        <v>399</v>
      </c>
      <c r="E112" s="2790"/>
      <c r="F112" s="2791">
        <f>IFERROR(T60/(F$60+M$60+T$60),0)</f>
        <v>2.5781250000000006E-2</v>
      </c>
      <c r="G112" s="2792">
        <f t="shared" ref="G112:K112" si="320">IFERROR(U60/(G$60+N$60+U$60),0)</f>
        <v>9.0935611613165421E-2</v>
      </c>
      <c r="H112" s="2792">
        <f t="shared" si="320"/>
        <v>0.14271658554197053</v>
      </c>
      <c r="I112" s="2792">
        <f t="shared" si="320"/>
        <v>0.16746692458716736</v>
      </c>
      <c r="J112" s="2792">
        <f t="shared" si="320"/>
        <v>0.16788630488090853</v>
      </c>
      <c r="K112" s="2793">
        <f t="shared" si="320"/>
        <v>0.15792663071826304</v>
      </c>
      <c r="L112" s="2783"/>
      <c r="M112" s="2777"/>
      <c r="N112" s="2777"/>
      <c r="O112" s="2777"/>
      <c r="P112" s="2777"/>
      <c r="Q112" s="2777"/>
      <c r="R112" s="2777"/>
      <c r="S112" s="2777"/>
      <c r="T112" s="2777"/>
      <c r="U112" s="2777"/>
      <c r="V112" s="2777"/>
      <c r="W112" s="2777"/>
      <c r="X112" s="2777"/>
      <c r="Y112" s="2777"/>
      <c r="Z112" s="2777"/>
      <c r="AA112" s="2777"/>
      <c r="AB112" s="2777"/>
      <c r="AC112" s="2777"/>
      <c r="AD112" s="2777"/>
      <c r="AE112" s="2777"/>
      <c r="AF112" s="2777"/>
      <c r="AG112" s="2777"/>
      <c r="AH112" s="2777"/>
      <c r="AI112" s="2777"/>
      <c r="AJ112" s="2777"/>
      <c r="AK112" s="2777"/>
      <c r="AL112" s="2777"/>
      <c r="AM112" s="2777"/>
      <c r="AN112" s="2777"/>
      <c r="AO112" s="2777"/>
      <c r="AP112" s="2777"/>
      <c r="AQ112" s="2777"/>
      <c r="AR112" s="2777"/>
      <c r="AS112" s="2777"/>
      <c r="AT112" s="2777"/>
      <c r="AU112" s="2652"/>
    </row>
    <row r="113" spans="1:47" ht="13.5" thickBot="1">
      <c r="A113" s="2775"/>
      <c r="B113" s="2776"/>
      <c r="C113" s="2776"/>
      <c r="D113" s="2776"/>
      <c r="E113" s="2777"/>
      <c r="F113" s="2794">
        <f>SUM(F110:F112)</f>
        <v>1.0000000000000002</v>
      </c>
      <c r="G113" s="2795">
        <f t="shared" ref="G113:K113" si="321">SUM(G110:G112)</f>
        <v>0.99999999999999989</v>
      </c>
      <c r="H113" s="2795">
        <f t="shared" si="321"/>
        <v>1</v>
      </c>
      <c r="I113" s="2795">
        <f t="shared" si="321"/>
        <v>1</v>
      </c>
      <c r="J113" s="2795">
        <f t="shared" si="321"/>
        <v>1</v>
      </c>
      <c r="K113" s="2796">
        <f t="shared" si="321"/>
        <v>1</v>
      </c>
      <c r="L113" s="2777"/>
      <c r="M113" s="2777"/>
      <c r="N113" s="2777"/>
      <c r="O113" s="2777"/>
      <c r="P113" s="2777"/>
      <c r="Q113" s="2777"/>
      <c r="R113" s="2777"/>
      <c r="S113" s="2777"/>
      <c r="T113" s="2777"/>
      <c r="U113" s="2650"/>
      <c r="V113" s="2650"/>
      <c r="W113" s="2797"/>
      <c r="X113" s="2798"/>
      <c r="Y113" s="2798"/>
      <c r="Z113" s="2777"/>
      <c r="AA113" s="2777"/>
      <c r="AC113" s="2652"/>
      <c r="AD113" s="2797"/>
      <c r="AE113" s="2798"/>
      <c r="AF113" s="2798"/>
      <c r="AG113" s="2777"/>
      <c r="AH113" s="2777"/>
      <c r="AI113" s="2777"/>
      <c r="AJ113" s="2777"/>
      <c r="AK113" s="2800"/>
      <c r="AL113" s="2801"/>
      <c r="AM113" s="2802"/>
      <c r="AN113" s="2803"/>
      <c r="AO113" s="2804"/>
      <c r="AP113" s="2650"/>
      <c r="AQ113" s="2777"/>
      <c r="AR113" s="2777"/>
      <c r="AS113" s="2777"/>
      <c r="AT113" s="2777"/>
      <c r="AU113" s="2652"/>
    </row>
    <row r="114" spans="1:47">
      <c r="A114" s="2775"/>
      <c r="B114" s="2776"/>
      <c r="C114" s="2776"/>
      <c r="D114" s="2776"/>
      <c r="E114" s="2777"/>
      <c r="F114" s="2777"/>
      <c r="G114" s="2777"/>
      <c r="H114" s="2777"/>
      <c r="I114" s="2777"/>
      <c r="J114" s="2777"/>
      <c r="K114" s="2777"/>
      <c r="L114" s="2777"/>
      <c r="M114" s="2777"/>
      <c r="N114" s="2777"/>
      <c r="O114" s="2777"/>
      <c r="P114" s="2777"/>
      <c r="Q114" s="2777"/>
      <c r="R114" s="2650"/>
      <c r="S114" s="2650"/>
      <c r="T114" s="2650"/>
      <c r="U114" s="2650"/>
      <c r="V114" s="2650"/>
      <c r="W114" s="2650"/>
      <c r="X114" s="2650"/>
      <c r="Y114" s="2650"/>
      <c r="Z114" s="2777"/>
      <c r="AA114" s="2777"/>
      <c r="AB114" s="2650"/>
      <c r="AC114" s="2805"/>
      <c r="AD114" s="2802"/>
      <c r="AE114" s="2803"/>
      <c r="AF114" s="2804"/>
      <c r="AG114" s="2777"/>
      <c r="AH114" s="2777"/>
      <c r="AI114" s="2777"/>
      <c r="AJ114" s="2777"/>
      <c r="AK114" s="2800"/>
      <c r="AL114" s="2806"/>
      <c r="AM114" s="2802"/>
      <c r="AN114" s="2803"/>
      <c r="AO114" s="2804"/>
      <c r="AP114" s="2650"/>
      <c r="AQ114" s="2777"/>
      <c r="AR114" s="2777"/>
      <c r="AS114" s="2777"/>
      <c r="AT114" s="2777"/>
      <c r="AU114" s="2652"/>
    </row>
    <row r="115" spans="1:47">
      <c r="A115" s="2775"/>
      <c r="B115" s="2776"/>
      <c r="C115" s="2807"/>
      <c r="D115" s="2776"/>
      <c r="E115" s="2799" t="str">
        <f>'Приложение '!B82</f>
        <v>Дата: 29.06.2026</v>
      </c>
      <c r="G115" s="2777"/>
      <c r="H115" s="2777"/>
      <c r="I115" s="2777"/>
      <c r="J115" s="2777"/>
      <c r="K115" s="2777"/>
      <c r="L115" s="2777"/>
      <c r="M115" s="2777"/>
      <c r="N115" s="2777"/>
      <c r="O115" s="2777"/>
      <c r="P115" s="2777"/>
      <c r="Q115" s="2777"/>
      <c r="R115" s="2650"/>
      <c r="S115" s="2650"/>
      <c r="T115" s="2650"/>
      <c r="U115" s="2650"/>
      <c r="V115" s="2650"/>
      <c r="W115" s="2650"/>
      <c r="X115" s="2650"/>
      <c r="Y115" s="2650"/>
      <c r="Z115" s="2777"/>
      <c r="AA115" s="2777"/>
      <c r="AB115" s="2650"/>
      <c r="AC115" s="2805"/>
      <c r="AD115" s="2802"/>
      <c r="AE115" s="2803"/>
      <c r="AF115" s="2804"/>
      <c r="AG115" s="2777"/>
      <c r="AH115" s="2650"/>
      <c r="AI115" s="2650"/>
      <c r="AJ115" s="2650"/>
      <c r="AK115" s="2800"/>
      <c r="AL115" s="2801"/>
      <c r="AM115" s="2802"/>
      <c r="AN115" s="2803"/>
      <c r="AO115" s="2804"/>
      <c r="AP115" s="2650"/>
      <c r="AQ115" s="2777"/>
      <c r="AR115" s="2777"/>
      <c r="AS115" s="2777"/>
      <c r="AT115" s="2777"/>
      <c r="AU115" s="2652"/>
    </row>
    <row r="116" spans="1:47">
      <c r="A116" s="2647"/>
      <c r="B116" s="2650"/>
      <c r="C116" s="2650"/>
      <c r="D116" s="2650"/>
      <c r="E116" s="2650"/>
      <c r="F116" s="2650"/>
      <c r="G116" s="2650"/>
      <c r="H116" s="2650"/>
      <c r="I116" s="2650"/>
      <c r="J116" s="2650"/>
      <c r="K116" s="2650"/>
      <c r="L116" s="2650"/>
      <c r="M116" s="2650"/>
      <c r="N116" s="2650"/>
      <c r="O116" s="2650"/>
      <c r="P116" s="2650"/>
      <c r="Q116" s="2650"/>
      <c r="R116" s="2650"/>
      <c r="S116" s="2650"/>
      <c r="T116" s="2650"/>
      <c r="U116" s="2650"/>
      <c r="V116" s="2650"/>
      <c r="W116" s="2650"/>
      <c r="X116" s="2650"/>
      <c r="Y116" s="2650"/>
      <c r="Z116" s="2650"/>
      <c r="AA116" s="2650"/>
      <c r="AB116" s="2650"/>
      <c r="AC116" s="2805"/>
      <c r="AD116" s="2802"/>
      <c r="AE116" s="2803"/>
      <c r="AF116" s="2804"/>
      <c r="AG116" s="2650"/>
      <c r="AH116" s="2650"/>
      <c r="AI116" s="2650"/>
      <c r="AJ116" s="2650"/>
      <c r="AK116" s="2800"/>
      <c r="AL116" s="2801"/>
      <c r="AM116" s="2802"/>
      <c r="AN116" s="2803"/>
      <c r="AO116" s="2804"/>
      <c r="AP116" s="2650"/>
      <c r="AQ116" s="2650"/>
      <c r="AR116" s="2650"/>
      <c r="AS116" s="2650"/>
      <c r="AT116" s="2650"/>
      <c r="AU116" s="2652"/>
    </row>
    <row r="117" spans="1:47">
      <c r="A117" s="2647"/>
      <c r="B117" s="2650"/>
      <c r="C117" s="2650"/>
      <c r="D117" s="2650"/>
      <c r="E117" s="2650"/>
      <c r="F117" s="2650"/>
      <c r="G117" s="2650"/>
      <c r="H117" s="2650"/>
      <c r="I117" s="2650"/>
      <c r="J117" s="2650"/>
      <c r="K117" s="2650"/>
      <c r="L117" s="2650"/>
      <c r="M117" s="2650"/>
      <c r="N117" s="2650"/>
      <c r="O117" s="2650"/>
      <c r="P117" s="2650"/>
      <c r="Q117" s="2650"/>
      <c r="R117" s="2650"/>
      <c r="S117" s="2650"/>
      <c r="T117" s="2650"/>
      <c r="U117" s="2650"/>
      <c r="V117" s="2650"/>
      <c r="W117" s="2650"/>
      <c r="X117" s="2650"/>
      <c r="Y117" s="2650"/>
      <c r="Z117" s="2650"/>
      <c r="AA117" s="2650"/>
      <c r="AB117" s="2650"/>
      <c r="AC117" s="2805"/>
      <c r="AD117" s="2802"/>
      <c r="AE117" s="2803"/>
      <c r="AF117" s="2804"/>
      <c r="AG117" s="2650"/>
      <c r="AH117" s="2650"/>
      <c r="AI117" s="2650"/>
      <c r="AJ117" s="2650"/>
      <c r="AK117" s="2800"/>
      <c r="AL117" s="2801"/>
      <c r="AM117" s="2802"/>
      <c r="AN117" s="2803"/>
      <c r="AO117" s="2804"/>
      <c r="AP117" s="2650"/>
      <c r="AQ117" s="2650"/>
      <c r="AR117" s="2650"/>
      <c r="AS117" s="2650"/>
      <c r="AT117" s="2650"/>
      <c r="AU117" s="2652"/>
    </row>
    <row r="118" spans="1:47" ht="12.75" customHeight="1">
      <c r="B118" s="3836"/>
      <c r="C118" s="3836"/>
      <c r="D118" s="3836"/>
      <c r="E118" s="3837" t="s">
        <v>187</v>
      </c>
      <c r="F118" s="3836"/>
      <c r="G118" s="2650"/>
      <c r="H118" s="2650"/>
      <c r="I118" s="2650"/>
      <c r="J118" s="2650"/>
      <c r="K118" s="2650"/>
      <c r="L118" s="2650"/>
      <c r="M118" s="2650"/>
      <c r="N118" s="2650"/>
      <c r="O118" s="2650"/>
      <c r="P118" s="2650"/>
      <c r="Q118" s="2650"/>
      <c r="R118" s="2650"/>
      <c r="S118" s="2650"/>
      <c r="T118" s="2650"/>
      <c r="U118" s="2650"/>
      <c r="V118" s="2650"/>
      <c r="W118" s="2650"/>
      <c r="X118" s="2650"/>
      <c r="Y118" s="2650"/>
      <c r="Z118" s="2650"/>
      <c r="AA118" s="2650"/>
      <c r="AB118" s="2650"/>
      <c r="AC118" s="2805"/>
      <c r="AD118" s="2802"/>
      <c r="AE118" s="2803"/>
      <c r="AF118" s="2804"/>
      <c r="AG118" s="2650"/>
      <c r="AH118" s="2650"/>
      <c r="AI118" s="2650"/>
      <c r="AJ118" s="2650"/>
      <c r="AK118" s="2799"/>
      <c r="AL118" s="2806"/>
      <c r="AM118" s="2650"/>
      <c r="AN118" s="2798"/>
      <c r="AO118" s="2798"/>
      <c r="AP118" s="2650"/>
      <c r="AQ118" s="2650"/>
      <c r="AR118" s="2650"/>
      <c r="AS118" s="2650"/>
      <c r="AT118" s="2650"/>
      <c r="AU118" s="2652"/>
    </row>
    <row r="119" spans="1:47" ht="20.25" customHeight="1">
      <c r="B119" s="3754"/>
      <c r="C119" s="3754"/>
      <c r="D119" s="3754"/>
      <c r="E119" s="3838" t="s">
        <v>1480</v>
      </c>
      <c r="F119" s="3754"/>
      <c r="G119" s="2650"/>
      <c r="H119" s="2650"/>
      <c r="I119" s="2650"/>
      <c r="J119" s="2650"/>
      <c r="K119" s="2650"/>
      <c r="L119" s="2650"/>
      <c r="M119" s="2650"/>
      <c r="N119" s="2650"/>
      <c r="O119" s="2650"/>
      <c r="P119" s="2650"/>
      <c r="Q119" s="2650"/>
      <c r="R119" s="2650"/>
      <c r="S119" s="2650"/>
      <c r="T119" s="2650"/>
      <c r="U119" s="2650"/>
      <c r="V119" s="2650"/>
      <c r="W119" s="2650"/>
      <c r="X119" s="2650"/>
      <c r="Y119" s="2650"/>
      <c r="Z119" s="2650"/>
      <c r="AA119" s="2650"/>
      <c r="AB119" s="2650"/>
      <c r="AC119" s="2808"/>
      <c r="AD119" s="2650"/>
      <c r="AE119" s="2798"/>
      <c r="AF119" s="2798"/>
      <c r="AG119" s="2650"/>
      <c r="AH119" s="2650"/>
      <c r="AI119" s="2650"/>
      <c r="AJ119" s="2650"/>
      <c r="AK119" s="2799"/>
      <c r="AL119" s="2808"/>
      <c r="AM119" s="2797"/>
      <c r="AN119" s="2803"/>
      <c r="AO119" s="2804"/>
      <c r="AP119" s="2650"/>
      <c r="AQ119" s="2650"/>
      <c r="AR119" s="2650"/>
      <c r="AS119" s="2650"/>
      <c r="AT119" s="2650"/>
      <c r="AU119" s="2652"/>
    </row>
    <row r="120" spans="1:47">
      <c r="A120" s="2809"/>
      <c r="B120" s="2650"/>
      <c r="C120" s="2650"/>
      <c r="D120" s="2650"/>
      <c r="E120" s="2650"/>
      <c r="F120" s="2650"/>
      <c r="G120" s="2650"/>
      <c r="H120" s="2650"/>
      <c r="I120" s="2650"/>
      <c r="J120" s="2650"/>
      <c r="K120" s="2650"/>
      <c r="L120" s="2650"/>
      <c r="M120" s="2650"/>
      <c r="N120" s="2650"/>
      <c r="O120" s="2650"/>
      <c r="P120" s="2650"/>
      <c r="Q120" s="2650"/>
      <c r="R120" s="2650"/>
      <c r="S120" s="2650"/>
      <c r="T120" s="2650"/>
      <c r="U120" s="2650"/>
      <c r="V120" s="2650"/>
      <c r="W120" s="2650"/>
      <c r="X120" s="2650"/>
      <c r="Y120" s="2650"/>
      <c r="Z120" s="2650"/>
      <c r="AA120" s="2650"/>
      <c r="AB120" s="2650"/>
      <c r="AC120" s="2805"/>
      <c r="AD120" s="2797"/>
      <c r="AE120" s="2803"/>
      <c r="AF120" s="2804"/>
      <c r="AG120" s="2650"/>
      <c r="AH120" s="2650"/>
      <c r="AI120" s="2650"/>
      <c r="AJ120" s="2805"/>
      <c r="AK120" s="2797"/>
      <c r="AL120" s="2803"/>
      <c r="AM120" s="2804"/>
      <c r="AN120" s="2803"/>
      <c r="AO120" s="2650"/>
      <c r="AP120" s="2650"/>
      <c r="AQ120" s="2650"/>
      <c r="AR120" s="2650"/>
      <c r="AS120" s="2650"/>
      <c r="AT120" s="2650"/>
      <c r="AU120" s="2652"/>
    </row>
    <row r="121" spans="1:47">
      <c r="A121" s="2650"/>
      <c r="B121" s="2650"/>
      <c r="C121" s="2650"/>
      <c r="D121" s="2650"/>
      <c r="E121" s="2810"/>
      <c r="F121" s="2810"/>
      <c r="G121" s="2811"/>
      <c r="H121" s="2811"/>
      <c r="I121" s="2811"/>
      <c r="J121" s="2811"/>
      <c r="K121" s="2650"/>
      <c r="L121" s="2650"/>
      <c r="M121" s="2650"/>
      <c r="N121" s="2650"/>
      <c r="O121" s="2650"/>
      <c r="P121" s="2650"/>
      <c r="Q121" s="2650"/>
      <c r="R121" s="2650"/>
      <c r="S121" s="2650"/>
      <c r="T121" s="2650"/>
      <c r="U121" s="2650"/>
      <c r="V121" s="2650"/>
      <c r="W121" s="2650"/>
      <c r="X121" s="2650"/>
      <c r="Y121" s="2650"/>
      <c r="Z121" s="2650"/>
      <c r="AA121" s="2650"/>
      <c r="AB121" s="2650"/>
      <c r="AC121" s="2650"/>
      <c r="AD121" s="2650"/>
      <c r="AE121" s="2650"/>
      <c r="AF121" s="2650"/>
      <c r="AG121" s="2650"/>
      <c r="AH121" s="2650"/>
      <c r="AI121" s="2650"/>
      <c r="AJ121" s="2650"/>
      <c r="AK121" s="2650"/>
      <c r="AL121" s="2650"/>
      <c r="AM121" s="2650"/>
      <c r="AN121" s="2650"/>
      <c r="AO121" s="2650"/>
      <c r="AP121" s="2650"/>
      <c r="AQ121" s="2650"/>
      <c r="AR121" s="2650"/>
      <c r="AS121" s="2650"/>
      <c r="AT121" s="2650"/>
      <c r="AU121" s="2652"/>
    </row>
    <row r="122" spans="1:47">
      <c r="A122" s="2647"/>
      <c r="B122" s="2650"/>
      <c r="C122" s="2650"/>
      <c r="D122" s="2650"/>
      <c r="E122" s="2812"/>
      <c r="F122" s="2812"/>
      <c r="G122" s="2811"/>
      <c r="H122" s="2811"/>
      <c r="I122" s="2811"/>
      <c r="J122" s="2811"/>
      <c r="K122" s="2650"/>
      <c r="L122" s="2650"/>
      <c r="M122" s="2650"/>
      <c r="N122" s="2650"/>
      <c r="O122" s="2650"/>
      <c r="P122" s="2650"/>
      <c r="Q122" s="2650"/>
      <c r="R122" s="2650"/>
      <c r="S122" s="2650"/>
      <c r="T122" s="2650"/>
      <c r="U122" s="2650"/>
      <c r="V122" s="2650"/>
      <c r="W122" s="2650"/>
      <c r="X122" s="2650"/>
      <c r="Y122" s="2650"/>
      <c r="Z122" s="2650"/>
      <c r="AA122" s="2650"/>
      <c r="AB122" s="2650"/>
      <c r="AC122" s="2650"/>
      <c r="AD122" s="2650"/>
      <c r="AE122" s="2650"/>
      <c r="AF122" s="2650"/>
      <c r="AG122" s="2650"/>
      <c r="AH122" s="2650"/>
      <c r="AI122" s="2650"/>
      <c r="AJ122" s="2650"/>
      <c r="AK122" s="2650"/>
      <c r="AL122" s="2650"/>
      <c r="AM122" s="2650"/>
      <c r="AN122" s="2650"/>
      <c r="AO122" s="2650"/>
      <c r="AP122" s="2650"/>
      <c r="AQ122" s="2650"/>
      <c r="AR122" s="2650"/>
      <c r="AS122" s="2650"/>
      <c r="AT122" s="2650"/>
      <c r="AU122" s="2652"/>
    </row>
    <row r="123" spans="1:47">
      <c r="M123" s="29"/>
      <c r="N123" s="29"/>
      <c r="O123" s="29"/>
      <c r="P123" s="29"/>
      <c r="Q123" s="29"/>
    </row>
    <row r="124" spans="1:47">
      <c r="U124" s="42"/>
      <c r="V124" s="33"/>
      <c r="W124" s="24"/>
      <c r="X124" s="24"/>
      <c r="Y124" s="24"/>
      <c r="AB124" s="42"/>
      <c r="AC124" s="33"/>
      <c r="AD124" s="24"/>
      <c r="AE124" s="24"/>
      <c r="AF124" s="24"/>
      <c r="AI124" s="42"/>
      <c r="AJ124" s="33"/>
      <c r="AK124" s="24"/>
      <c r="AL124" s="24"/>
      <c r="AM124" s="24"/>
    </row>
    <row r="125" spans="1:47">
      <c r="U125" s="32"/>
      <c r="V125" s="27"/>
      <c r="W125" s="34"/>
      <c r="X125" s="35"/>
      <c r="Y125" s="24"/>
      <c r="AB125" s="32"/>
      <c r="AC125" s="27"/>
      <c r="AD125" s="34"/>
      <c r="AE125" s="35"/>
      <c r="AF125" s="24"/>
      <c r="AI125" s="32"/>
      <c r="AJ125" s="27"/>
      <c r="AK125" s="34"/>
      <c r="AL125" s="35"/>
      <c r="AM125" s="24"/>
    </row>
    <row r="126" spans="1:47">
      <c r="U126" s="32"/>
      <c r="V126" s="27"/>
      <c r="W126" s="34"/>
      <c r="X126" s="35"/>
      <c r="Y126" s="24"/>
      <c r="AB126" s="32"/>
      <c r="AC126" s="27"/>
      <c r="AD126" s="34"/>
      <c r="AE126" s="35"/>
      <c r="AF126" s="24"/>
      <c r="AI126" s="32"/>
      <c r="AJ126" s="27"/>
      <c r="AK126" s="34"/>
      <c r="AL126" s="35"/>
      <c r="AM126" s="24"/>
    </row>
    <row r="127" spans="1:47">
      <c r="T127" s="43"/>
      <c r="U127" s="32"/>
      <c r="V127" s="27"/>
      <c r="W127" s="34"/>
      <c r="X127" s="35"/>
      <c r="Y127" s="24"/>
      <c r="AA127" s="43"/>
      <c r="AB127" s="32"/>
      <c r="AC127" s="27"/>
      <c r="AD127" s="34"/>
      <c r="AE127" s="35"/>
      <c r="AF127" s="24"/>
      <c r="AH127" s="43"/>
      <c r="AI127" s="32"/>
      <c r="AJ127" s="27"/>
      <c r="AK127" s="34"/>
      <c r="AL127" s="35"/>
      <c r="AM127" s="24"/>
    </row>
    <row r="128" spans="1:47">
      <c r="U128" s="32"/>
      <c r="V128" s="27"/>
      <c r="W128" s="34"/>
      <c r="X128" s="35"/>
      <c r="Y128" s="24"/>
      <c r="AB128" s="32"/>
      <c r="AC128" s="27"/>
      <c r="AD128" s="34"/>
      <c r="AE128" s="35"/>
      <c r="AF128" s="24"/>
      <c r="AI128" s="32"/>
      <c r="AJ128" s="27"/>
      <c r="AK128" s="34"/>
      <c r="AL128" s="35"/>
      <c r="AM128" s="24"/>
    </row>
    <row r="129" spans="21:39">
      <c r="U129" s="32"/>
      <c r="V129" s="27"/>
      <c r="W129" s="34"/>
      <c r="X129" s="35"/>
      <c r="Y129" s="24"/>
      <c r="AB129" s="32"/>
      <c r="AC129" s="27"/>
      <c r="AD129" s="34"/>
      <c r="AE129" s="35"/>
      <c r="AF129" s="24"/>
      <c r="AI129" s="32"/>
      <c r="AJ129" s="27"/>
      <c r="AK129" s="34"/>
      <c r="AL129" s="35"/>
      <c r="AM129" s="24"/>
    </row>
    <row r="130" spans="21:39">
      <c r="U130" s="36"/>
      <c r="W130" s="24"/>
      <c r="X130" s="24"/>
      <c r="Y130" s="24"/>
      <c r="AB130" s="36"/>
      <c r="AD130" s="24"/>
      <c r="AE130" s="24"/>
      <c r="AF130" s="24"/>
      <c r="AI130" s="36"/>
      <c r="AK130" s="24"/>
      <c r="AL130" s="24"/>
      <c r="AM130" s="24"/>
    </row>
    <row r="131" spans="21:39">
      <c r="U131" s="32"/>
      <c r="V131" s="37"/>
      <c r="W131" s="34"/>
      <c r="X131" s="35"/>
      <c r="Y131" s="34"/>
      <c r="AB131" s="32"/>
      <c r="AC131" s="37"/>
      <c r="AD131" s="34"/>
      <c r="AE131" s="35"/>
      <c r="AF131" s="34"/>
      <c r="AI131" s="32"/>
      <c r="AJ131" s="37"/>
      <c r="AK131" s="34"/>
      <c r="AL131" s="35"/>
      <c r="AM131" s="34"/>
    </row>
  </sheetData>
  <sheetProtection algorithmName="SHA-512" hashValue="sqmXgrqWDxht7UJKbDR8pUYsTihJft1/E/dfFx3Z7JXeNNKtxOvtl1Rp0sQR8r4WPpKf59Vyf2Ljq4D+cCkDlw==" saltValue="1M4LStxS7rMHjXiwoxKcjw==" spinCount="100000" sheet="1" objects="1" scenarios="1"/>
  <mergeCells count="21">
    <mergeCell ref="CE9:CK9"/>
    <mergeCell ref="A1:C1"/>
    <mergeCell ref="AV9:BB9"/>
    <mergeCell ref="BC9:BI9"/>
    <mergeCell ref="BJ9:BP9"/>
    <mergeCell ref="BQ9:BW9"/>
    <mergeCell ref="BX9:CD9"/>
    <mergeCell ref="A9:A10"/>
    <mergeCell ref="D9:D10"/>
    <mergeCell ref="E9:K9"/>
    <mergeCell ref="L9:R9"/>
    <mergeCell ref="A2:Y2"/>
    <mergeCell ref="A3:Y3"/>
    <mergeCell ref="A4:Y4"/>
    <mergeCell ref="A5:Y5"/>
    <mergeCell ref="S9:Y9"/>
    <mergeCell ref="AN9:AT9"/>
    <mergeCell ref="B9:B10"/>
    <mergeCell ref="C9:C10"/>
    <mergeCell ref="Z9:AF9"/>
    <mergeCell ref="AG9:AM9"/>
  </mergeCells>
  <printOptions horizontalCentered="1"/>
  <pageMargins left="0" right="0" top="0.55118110236220474" bottom="0.15748031496062992" header="0.31496062992125984" footer="0.31496062992125984"/>
  <pageSetup paperSize="9" scale="60" orientation="landscape" verticalDpi="2" r:id="rId1"/>
  <headerFooter alignWithMargins="0">
    <oddFooter>&amp;C&amp;A&amp;RСтр. &amp;P от &amp;N</oddFooter>
  </headerFooter>
  <rowBreaks count="1" manualBreakCount="1">
    <brk id="59" max="45" man="1"/>
  </rowBreaks>
  <colBreaks count="1" manualBreakCount="1">
    <brk id="25" max="121"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CP193"/>
  <sheetViews>
    <sheetView zoomScale="55" zoomScaleNormal="55" zoomScaleSheetLayoutView="100" workbookViewId="0">
      <pane xSplit="4" ySplit="10" topLeftCell="E11" activePane="bottomRight" state="frozen"/>
      <selection pane="topRight" activeCell="E1" sqref="E1"/>
      <selection pane="bottomLeft" activeCell="A11" sqref="A11"/>
      <selection pane="bottomRight" activeCell="F13" sqref="F13"/>
    </sheetView>
  </sheetViews>
  <sheetFormatPr defaultColWidth="9.140625" defaultRowHeight="12.75"/>
  <cols>
    <col min="1" max="1" width="4.42578125" style="1293" customWidth="1"/>
    <col min="2" max="2" width="9.42578125" style="678" customWidth="1"/>
    <col min="3" max="3" width="7.5703125" style="678" customWidth="1"/>
    <col min="4" max="4" width="38.42578125" style="678" customWidth="1"/>
    <col min="5" max="12" width="7.5703125" style="678" customWidth="1"/>
    <col min="13" max="13" width="7.5703125" style="659" customWidth="1"/>
    <col min="14" max="14" width="7.5703125" style="1294" customWidth="1"/>
    <col min="15" max="15" width="7.5703125" style="659" customWidth="1"/>
    <col min="16" max="39" width="7.5703125" style="143" customWidth="1"/>
    <col min="40" max="46" width="7.5703125" style="143" hidden="1" customWidth="1"/>
    <col min="47" max="47" width="2.5703125" style="143" customWidth="1"/>
    <col min="48" max="16384" width="9.140625" style="143"/>
  </cols>
  <sheetData>
    <row r="1" spans="1:94" ht="28.35" customHeight="1" thickBot="1">
      <c r="A1" s="5121" t="str">
        <f>+'1. Обща информация'!B40</f>
        <v>Фиксиран курс на лева към 1 евро</v>
      </c>
      <c r="B1" s="5122"/>
      <c r="C1" s="5123"/>
      <c r="D1" s="4442">
        <f>+'1. Обща информация'!$C$40</f>
        <v>1.95583</v>
      </c>
      <c r="H1" s="659"/>
      <c r="I1" s="2813"/>
      <c r="K1" s="674"/>
      <c r="P1" s="659"/>
      <c r="R1" s="659"/>
      <c r="S1" s="659"/>
      <c r="T1" s="659"/>
      <c r="U1" s="659"/>
      <c r="V1" s="659"/>
      <c r="W1" s="659"/>
      <c r="X1" s="659"/>
      <c r="Y1" s="2814" t="s">
        <v>189</v>
      </c>
      <c r="Z1" s="659"/>
      <c r="AA1" s="659"/>
      <c r="AB1" s="659"/>
      <c r="AC1" s="659"/>
      <c r="AD1" s="659"/>
      <c r="AE1" s="659"/>
      <c r="AG1" s="659"/>
      <c r="AH1" s="659"/>
      <c r="AI1" s="659"/>
      <c r="AJ1" s="659"/>
      <c r="AK1" s="659"/>
      <c r="AL1" s="659"/>
      <c r="AO1" s="659"/>
      <c r="AP1" s="659"/>
      <c r="AQ1" s="659"/>
      <c r="AR1" s="659"/>
      <c r="AS1" s="659"/>
      <c r="AT1" s="2814"/>
      <c r="AU1" s="659"/>
      <c r="AV1" s="659"/>
      <c r="AW1" s="659"/>
      <c r="AX1" s="659"/>
      <c r="AY1" s="659"/>
      <c r="AZ1" s="659"/>
      <c r="BA1" s="659"/>
      <c r="BB1" s="659"/>
      <c r="BC1" s="659"/>
      <c r="BD1" s="659"/>
      <c r="BE1" s="659"/>
      <c r="BF1" s="659"/>
      <c r="BG1" s="659"/>
      <c r="BH1" s="659"/>
      <c r="BI1" s="659"/>
      <c r="BJ1" s="659"/>
      <c r="BK1" s="659"/>
      <c r="BL1" s="659"/>
      <c r="BM1" s="659"/>
      <c r="BN1" s="659"/>
      <c r="BO1" s="659"/>
      <c r="BP1" s="659"/>
      <c r="BQ1" s="659"/>
      <c r="BR1" s="659"/>
      <c r="BS1" s="659"/>
      <c r="BT1" s="659"/>
      <c r="BU1" s="659"/>
      <c r="BV1" s="659"/>
      <c r="BW1" s="659"/>
      <c r="BX1" s="659"/>
      <c r="BY1" s="659"/>
      <c r="BZ1" s="659"/>
      <c r="CA1" s="659"/>
      <c r="CB1" s="659"/>
      <c r="CC1" s="659"/>
      <c r="CD1" s="659"/>
      <c r="CE1" s="659"/>
      <c r="CF1" s="659"/>
      <c r="CG1" s="659"/>
      <c r="CH1" s="659"/>
      <c r="CI1" s="659"/>
      <c r="CJ1" s="659"/>
      <c r="CK1" s="659"/>
      <c r="CL1" s="659"/>
      <c r="CM1" s="659"/>
      <c r="CN1" s="659"/>
      <c r="CO1" s="659"/>
      <c r="CP1" s="659"/>
    </row>
    <row r="2" spans="1:94" ht="35.1" customHeight="1">
      <c r="A2" s="5155" t="s">
        <v>1010</v>
      </c>
      <c r="B2" s="5155"/>
      <c r="C2" s="5155"/>
      <c r="D2" s="5155"/>
      <c r="E2" s="5155"/>
      <c r="F2" s="5155"/>
      <c r="G2" s="5155"/>
      <c r="H2" s="5155"/>
      <c r="I2" s="5155"/>
      <c r="J2" s="5155"/>
      <c r="K2" s="5155"/>
      <c r="L2" s="5155"/>
      <c r="M2" s="5155"/>
      <c r="N2" s="5155"/>
      <c r="O2" s="5155"/>
      <c r="P2" s="5155"/>
      <c r="Q2" s="5155"/>
      <c r="R2" s="5155"/>
      <c r="S2" s="5155"/>
      <c r="T2" s="5155"/>
      <c r="U2" s="5155"/>
      <c r="V2" s="5155"/>
      <c r="W2" s="5155"/>
      <c r="X2" s="5155"/>
      <c r="Y2" s="5155"/>
      <c r="Z2" s="659"/>
      <c r="AA2" s="659"/>
      <c r="AB2" s="659"/>
      <c r="AC2" s="659"/>
      <c r="AD2" s="659"/>
      <c r="AE2" s="659"/>
      <c r="AF2" s="659"/>
      <c r="AG2" s="659"/>
      <c r="AH2" s="659"/>
      <c r="AI2" s="659"/>
      <c r="AJ2" s="659"/>
      <c r="AK2" s="659"/>
      <c r="AL2" s="659"/>
      <c r="AM2" s="659"/>
      <c r="AN2" s="659"/>
      <c r="AO2" s="659"/>
      <c r="AP2" s="659"/>
      <c r="AQ2" s="659"/>
      <c r="AR2" s="659"/>
      <c r="AS2" s="659"/>
      <c r="AT2" s="659"/>
      <c r="AU2" s="659"/>
      <c r="AV2" s="659"/>
      <c r="AW2" s="659"/>
      <c r="AX2" s="659"/>
      <c r="AY2" s="659"/>
      <c r="AZ2" s="659"/>
      <c r="BA2" s="659"/>
      <c r="BB2" s="659"/>
      <c r="BC2" s="659"/>
      <c r="BD2" s="659"/>
      <c r="BE2" s="659"/>
      <c r="BF2" s="659"/>
      <c r="BG2" s="659"/>
      <c r="BH2" s="659"/>
      <c r="BI2" s="659"/>
      <c r="BJ2" s="659"/>
      <c r="BK2" s="659"/>
      <c r="BL2" s="659"/>
      <c r="BM2" s="659"/>
      <c r="BN2" s="659"/>
      <c r="BO2" s="659"/>
      <c r="BP2" s="659"/>
      <c r="BQ2" s="659"/>
      <c r="BR2" s="659"/>
      <c r="BS2" s="659"/>
      <c r="BT2" s="659"/>
      <c r="BU2" s="659"/>
      <c r="BV2" s="659"/>
      <c r="BW2" s="659"/>
      <c r="BX2" s="659"/>
      <c r="BY2" s="659"/>
      <c r="BZ2" s="659"/>
      <c r="CA2" s="659"/>
      <c r="CB2" s="659"/>
      <c r="CC2" s="659"/>
      <c r="CD2" s="659"/>
      <c r="CE2" s="659"/>
      <c r="CF2" s="659"/>
      <c r="CG2" s="659"/>
      <c r="CH2" s="659"/>
      <c r="CI2" s="659"/>
      <c r="CJ2" s="659"/>
      <c r="CK2" s="659"/>
      <c r="CL2" s="659"/>
      <c r="CM2" s="659"/>
      <c r="CN2" s="659"/>
      <c r="CO2" s="659"/>
      <c r="CP2" s="659"/>
    </row>
    <row r="3" spans="1:94" ht="18.75" customHeight="1">
      <c r="A3" s="5174" t="s">
        <v>1509</v>
      </c>
      <c r="B3" s="5174"/>
      <c r="C3" s="5174"/>
      <c r="D3" s="5174"/>
      <c r="E3" s="5174"/>
      <c r="F3" s="5174"/>
      <c r="G3" s="5174"/>
      <c r="H3" s="5174"/>
      <c r="I3" s="5174"/>
      <c r="J3" s="5174"/>
      <c r="K3" s="5174"/>
      <c r="L3" s="5174"/>
      <c r="M3" s="5174"/>
      <c r="N3" s="5174"/>
      <c r="O3" s="5174"/>
      <c r="P3" s="5174"/>
      <c r="Q3" s="5174"/>
      <c r="R3" s="5174"/>
      <c r="S3" s="5174"/>
      <c r="T3" s="5174"/>
      <c r="U3" s="5174"/>
      <c r="V3" s="5174"/>
      <c r="W3" s="5174"/>
      <c r="X3" s="5174"/>
      <c r="Y3" s="5174"/>
      <c r="Z3" s="659"/>
      <c r="AA3" s="659"/>
      <c r="AB3" s="659"/>
      <c r="AC3" s="659"/>
      <c r="AD3" s="659"/>
      <c r="AE3" s="659"/>
      <c r="AF3" s="659"/>
      <c r="AG3" s="659"/>
      <c r="AH3" s="659"/>
      <c r="AI3" s="659"/>
      <c r="AJ3" s="659"/>
      <c r="AK3" s="659"/>
      <c r="AL3" s="659"/>
      <c r="AM3" s="659"/>
      <c r="AN3" s="659"/>
      <c r="AO3" s="659"/>
      <c r="AP3" s="659"/>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59"/>
      <c r="CC3" s="659"/>
      <c r="CD3" s="659"/>
      <c r="CE3" s="659"/>
      <c r="CF3" s="659"/>
      <c r="CG3" s="659"/>
      <c r="CH3" s="659"/>
      <c r="CI3" s="659"/>
      <c r="CJ3" s="659"/>
      <c r="CK3" s="659"/>
      <c r="CL3" s="659"/>
      <c r="CM3" s="659"/>
      <c r="CN3" s="659"/>
      <c r="CO3" s="659"/>
      <c r="CP3" s="659"/>
    </row>
    <row r="4" spans="1:94" ht="19.5" customHeight="1">
      <c r="A4" s="5175" t="str">
        <f>'1. Обща информация'!A4:D4</f>
        <v>на ВОДОСНАБДЯВАНЕ И КАНАЛИЗАЦИЯ ЕООД, гр. ХАСКОВО</v>
      </c>
      <c r="B4" s="5175"/>
      <c r="C4" s="5175"/>
      <c r="D4" s="5175"/>
      <c r="E4" s="5175"/>
      <c r="F4" s="5175"/>
      <c r="G4" s="5175"/>
      <c r="H4" s="5175"/>
      <c r="I4" s="5175"/>
      <c r="J4" s="5175"/>
      <c r="K4" s="5175"/>
      <c r="L4" s="5175"/>
      <c r="M4" s="5175"/>
      <c r="N4" s="5175"/>
      <c r="O4" s="5175"/>
      <c r="P4" s="5175"/>
      <c r="Q4" s="5175"/>
      <c r="R4" s="5175"/>
      <c r="S4" s="5175"/>
      <c r="T4" s="5175"/>
      <c r="U4" s="5175"/>
      <c r="V4" s="5175"/>
      <c r="W4" s="5175"/>
      <c r="X4" s="5175"/>
      <c r="Y4" s="5175"/>
      <c r="Z4" s="659"/>
      <c r="AA4" s="659"/>
      <c r="AB4" s="659"/>
      <c r="AC4" s="659"/>
      <c r="AD4" s="659"/>
      <c r="AE4" s="659"/>
      <c r="AF4" s="659"/>
      <c r="AG4" s="659"/>
      <c r="AH4" s="659"/>
      <c r="AI4" s="659"/>
      <c r="AJ4" s="659"/>
      <c r="AK4" s="659"/>
      <c r="AL4" s="659"/>
      <c r="AM4" s="659"/>
      <c r="AN4" s="659"/>
      <c r="AO4" s="659"/>
      <c r="AP4" s="659"/>
      <c r="AQ4" s="659"/>
      <c r="AR4" s="659"/>
      <c r="AS4" s="659"/>
      <c r="AT4" s="659"/>
      <c r="AU4" s="659"/>
      <c r="AV4" s="659"/>
      <c r="AW4" s="659"/>
      <c r="AX4" s="659"/>
      <c r="AY4" s="659"/>
      <c r="AZ4" s="659"/>
      <c r="BA4" s="659"/>
      <c r="BB4" s="659"/>
      <c r="BC4" s="659"/>
      <c r="BD4" s="659"/>
      <c r="BE4" s="659"/>
      <c r="BF4" s="659"/>
      <c r="BG4" s="659"/>
      <c r="BH4" s="659"/>
      <c r="BI4" s="659"/>
      <c r="BJ4" s="659"/>
      <c r="BK4" s="659"/>
      <c r="BL4" s="659"/>
      <c r="BM4" s="659"/>
      <c r="BN4" s="659"/>
      <c r="BO4" s="659"/>
      <c r="BP4" s="659"/>
      <c r="BQ4" s="659"/>
      <c r="BR4" s="659"/>
      <c r="BS4" s="659"/>
      <c r="BT4" s="659"/>
      <c r="BU4" s="659"/>
      <c r="BV4" s="659"/>
      <c r="BW4" s="659"/>
      <c r="BX4" s="659"/>
      <c r="BY4" s="659"/>
      <c r="BZ4" s="659"/>
      <c r="CA4" s="659"/>
      <c r="CB4" s="659"/>
      <c r="CC4" s="659"/>
      <c r="CD4" s="659"/>
      <c r="CE4" s="659"/>
      <c r="CF4" s="659"/>
      <c r="CG4" s="659"/>
      <c r="CH4" s="659"/>
      <c r="CI4" s="659"/>
      <c r="CJ4" s="659"/>
      <c r="CK4" s="659"/>
      <c r="CL4" s="659"/>
      <c r="CM4" s="659"/>
      <c r="CN4" s="659"/>
      <c r="CO4" s="659"/>
      <c r="CP4" s="659"/>
    </row>
    <row r="5" spans="1:94" ht="19.5" customHeight="1">
      <c r="A5" s="5175" t="str">
        <f>'1. Обща информация'!A5:D5</f>
        <v>ЕИК по БУЛСТАТ: 126004284</v>
      </c>
      <c r="B5" s="5175"/>
      <c r="C5" s="5175"/>
      <c r="D5" s="5175"/>
      <c r="E5" s="5175"/>
      <c r="F5" s="5175"/>
      <c r="G5" s="5175"/>
      <c r="H5" s="5175"/>
      <c r="I5" s="5175"/>
      <c r="J5" s="5175"/>
      <c r="K5" s="5175"/>
      <c r="L5" s="5175"/>
      <c r="M5" s="5175"/>
      <c r="N5" s="5175"/>
      <c r="O5" s="5175"/>
      <c r="P5" s="5175"/>
      <c r="Q5" s="5175"/>
      <c r="R5" s="5175"/>
      <c r="S5" s="5175"/>
      <c r="T5" s="5175"/>
      <c r="U5" s="5175"/>
      <c r="V5" s="5175"/>
      <c r="W5" s="5175"/>
      <c r="X5" s="5175"/>
      <c r="Y5" s="5175"/>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AY5" s="659"/>
      <c r="AZ5" s="659"/>
      <c r="BA5" s="659"/>
      <c r="BB5" s="659"/>
      <c r="BC5" s="659"/>
      <c r="BD5" s="659"/>
      <c r="BE5" s="659"/>
      <c r="BF5" s="659"/>
      <c r="BG5" s="659"/>
      <c r="BH5" s="659"/>
      <c r="BI5" s="659"/>
      <c r="BJ5" s="659"/>
      <c r="BK5" s="659"/>
      <c r="BL5" s="659"/>
      <c r="BM5" s="659"/>
      <c r="BN5" s="659"/>
      <c r="BO5" s="659"/>
      <c r="BP5" s="659"/>
      <c r="BQ5" s="659"/>
      <c r="BR5" s="659"/>
      <c r="BS5" s="659"/>
      <c r="BT5" s="659"/>
      <c r="BU5" s="659"/>
      <c r="BV5" s="659"/>
      <c r="BW5" s="659"/>
      <c r="BX5" s="659"/>
      <c r="BY5" s="659"/>
      <c r="BZ5" s="659"/>
      <c r="CA5" s="659"/>
      <c r="CB5" s="659"/>
      <c r="CC5" s="659"/>
      <c r="CD5" s="659"/>
      <c r="CE5" s="659"/>
      <c r="CF5" s="659"/>
      <c r="CG5" s="659"/>
      <c r="CH5" s="659"/>
      <c r="CI5" s="659"/>
      <c r="CJ5" s="659"/>
      <c r="CK5" s="659"/>
      <c r="CL5" s="659"/>
      <c r="CM5" s="659"/>
      <c r="CN5" s="659"/>
      <c r="CO5" s="659"/>
      <c r="CP5" s="659"/>
    </row>
    <row r="6" spans="1:94" ht="18" customHeight="1">
      <c r="A6" s="642"/>
      <c r="B6" s="642"/>
      <c r="C6" s="642"/>
      <c r="D6" s="642"/>
      <c r="E6" s="642"/>
      <c r="F6" s="642"/>
      <c r="G6" s="642"/>
      <c r="H6" s="642"/>
      <c r="I6" s="642"/>
      <c r="J6" s="642"/>
      <c r="K6" s="642"/>
      <c r="L6" s="642"/>
      <c r="P6" s="659"/>
      <c r="Q6" s="659"/>
      <c r="R6" s="659"/>
      <c r="S6" s="659"/>
      <c r="T6" s="659"/>
      <c r="U6" s="659"/>
      <c r="V6" s="659"/>
      <c r="W6" s="65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AY6" s="659"/>
      <c r="AZ6" s="659"/>
      <c r="BA6" s="659"/>
      <c r="BB6" s="659"/>
      <c r="BC6" s="659"/>
      <c r="BD6" s="659"/>
      <c r="BE6" s="659"/>
      <c r="BF6" s="659"/>
      <c r="BG6" s="659"/>
      <c r="BH6" s="659"/>
      <c r="BI6" s="659"/>
      <c r="BJ6" s="659"/>
      <c r="BK6" s="659"/>
      <c r="BL6" s="659"/>
      <c r="BM6" s="659"/>
      <c r="BN6" s="659"/>
      <c r="BO6" s="659"/>
      <c r="BP6" s="659"/>
      <c r="BQ6" s="659"/>
      <c r="BR6" s="659"/>
      <c r="BS6" s="659"/>
      <c r="BT6" s="659"/>
      <c r="BU6" s="659"/>
      <c r="BV6" s="659"/>
      <c r="BW6" s="659"/>
      <c r="BX6" s="659"/>
      <c r="BY6" s="659"/>
      <c r="BZ6" s="659"/>
      <c r="CA6" s="659"/>
      <c r="CB6" s="659"/>
      <c r="CC6" s="659"/>
      <c r="CE6" s="659"/>
      <c r="CF6" s="659"/>
      <c r="CG6" s="659"/>
      <c r="CH6" s="659"/>
      <c r="CI6" s="659"/>
      <c r="CJ6" s="659"/>
      <c r="CK6" s="659"/>
      <c r="CL6" s="659"/>
      <c r="CM6" s="659"/>
      <c r="CN6" s="659"/>
      <c r="CO6" s="659"/>
      <c r="CP6" s="659"/>
    </row>
    <row r="7" spans="1:94" ht="18" customHeight="1" thickBot="1">
      <c r="A7" s="642"/>
      <c r="B7" s="642"/>
      <c r="C7" s="642"/>
      <c r="D7" s="642"/>
      <c r="E7" s="642"/>
      <c r="F7" s="642"/>
      <c r="G7" s="642"/>
      <c r="H7" s="642"/>
      <c r="I7" s="642"/>
      <c r="J7" s="642"/>
      <c r="K7" s="642"/>
      <c r="L7" s="642"/>
      <c r="P7" s="659"/>
      <c r="Q7" s="659"/>
      <c r="R7" s="659"/>
      <c r="S7" s="659"/>
      <c r="T7" s="659"/>
      <c r="U7" s="659"/>
      <c r="V7" s="659"/>
      <c r="W7" s="659"/>
      <c r="X7" s="659"/>
      <c r="Y7" s="659"/>
      <c r="Z7" s="659"/>
      <c r="AA7" s="659"/>
      <c r="AB7" s="659"/>
      <c r="AC7" s="659"/>
      <c r="AD7" s="659"/>
      <c r="AE7" s="659"/>
      <c r="AF7" s="659"/>
      <c r="AG7" s="659"/>
      <c r="AH7" s="659"/>
      <c r="AI7" s="659"/>
      <c r="AJ7" s="659"/>
      <c r="AK7" s="659"/>
      <c r="AL7" s="659"/>
      <c r="AM7" s="650" t="s">
        <v>190</v>
      </c>
      <c r="AN7" s="659"/>
      <c r="AO7" s="659"/>
      <c r="AP7" s="659"/>
      <c r="AQ7" s="659"/>
      <c r="AR7" s="659"/>
      <c r="AS7" s="659"/>
      <c r="AT7" s="659"/>
      <c r="AV7" s="659"/>
      <c r="AW7" s="659"/>
      <c r="AX7" s="659"/>
      <c r="AY7" s="659"/>
      <c r="AZ7" s="659"/>
      <c r="BA7" s="659"/>
      <c r="BB7" s="659"/>
      <c r="BC7" s="659"/>
      <c r="BD7" s="659"/>
      <c r="BE7" s="659"/>
      <c r="BF7" s="659"/>
      <c r="BG7" s="659"/>
      <c r="BH7" s="659"/>
      <c r="BI7" s="659"/>
      <c r="BJ7" s="659"/>
      <c r="BK7" s="659"/>
      <c r="BL7" s="659"/>
      <c r="BM7" s="659"/>
      <c r="BN7" s="659"/>
      <c r="BO7" s="659"/>
      <c r="BP7" s="659"/>
      <c r="BQ7" s="659"/>
      <c r="BR7" s="659"/>
      <c r="BS7" s="659"/>
      <c r="BT7" s="659"/>
      <c r="BU7" s="659"/>
      <c r="BV7" s="659"/>
      <c r="BW7" s="659"/>
      <c r="BX7" s="659"/>
      <c r="BY7" s="659"/>
      <c r="BZ7" s="659"/>
      <c r="CA7" s="659"/>
      <c r="CB7" s="659"/>
      <c r="CC7" s="659"/>
      <c r="CD7" s="650" t="s">
        <v>1892</v>
      </c>
      <c r="CE7" s="659"/>
      <c r="CF7" s="659"/>
      <c r="CG7" s="659"/>
      <c r="CH7" s="659"/>
      <c r="CI7" s="659"/>
      <c r="CJ7" s="659"/>
      <c r="CK7" s="659"/>
      <c r="CL7" s="659"/>
      <c r="CM7" s="659"/>
      <c r="CN7" s="659"/>
      <c r="CO7" s="659"/>
      <c r="CP7" s="659"/>
    </row>
    <row r="8" spans="1:94" s="659" customFormat="1" ht="20.100000000000001" customHeight="1" thickBot="1">
      <c r="A8" s="5176" t="s">
        <v>1</v>
      </c>
      <c r="B8" s="5157" t="s">
        <v>1044</v>
      </c>
      <c r="C8" s="5157" t="s">
        <v>1043</v>
      </c>
      <c r="D8" s="5176" t="s">
        <v>87</v>
      </c>
      <c r="E8" s="5176" t="s">
        <v>210</v>
      </c>
      <c r="F8" s="5178"/>
      <c r="G8" s="5178"/>
      <c r="H8" s="5178"/>
      <c r="I8" s="5178"/>
      <c r="J8" s="5178"/>
      <c r="K8" s="5178"/>
      <c r="L8" s="5176" t="s">
        <v>174</v>
      </c>
      <c r="M8" s="5178"/>
      <c r="N8" s="5178"/>
      <c r="O8" s="5178"/>
      <c r="P8" s="5178"/>
      <c r="Q8" s="5178"/>
      <c r="R8" s="5179"/>
      <c r="S8" s="5176" t="s">
        <v>184</v>
      </c>
      <c r="T8" s="5178"/>
      <c r="U8" s="5178"/>
      <c r="V8" s="5178"/>
      <c r="W8" s="5178"/>
      <c r="X8" s="5178"/>
      <c r="Y8" s="5179"/>
      <c r="Z8" s="5176" t="s">
        <v>1029</v>
      </c>
      <c r="AA8" s="5178"/>
      <c r="AB8" s="5178"/>
      <c r="AC8" s="5178"/>
      <c r="AD8" s="5178"/>
      <c r="AE8" s="5178"/>
      <c r="AF8" s="5179"/>
      <c r="AG8" s="5176" t="s">
        <v>1092</v>
      </c>
      <c r="AH8" s="5178"/>
      <c r="AI8" s="5178"/>
      <c r="AJ8" s="5178"/>
      <c r="AK8" s="5178"/>
      <c r="AL8" s="5178"/>
      <c r="AM8" s="5179"/>
      <c r="AN8" s="5180" t="s">
        <v>662</v>
      </c>
      <c r="AO8" s="5181"/>
      <c r="AP8" s="5181"/>
      <c r="AQ8" s="5181"/>
      <c r="AR8" s="5181"/>
      <c r="AS8" s="5181"/>
      <c r="AT8" s="5182"/>
      <c r="AU8" s="4422"/>
      <c r="AV8" s="5150" t="s">
        <v>210</v>
      </c>
      <c r="AW8" s="5150"/>
      <c r="AX8" s="5150"/>
      <c r="AY8" s="5150"/>
      <c r="AZ8" s="5150"/>
      <c r="BA8" s="5150"/>
      <c r="BB8" s="5150"/>
      <c r="BC8" s="5150" t="s">
        <v>174</v>
      </c>
      <c r="BD8" s="5150"/>
      <c r="BE8" s="5150"/>
      <c r="BF8" s="5150"/>
      <c r="BG8" s="5150"/>
      <c r="BH8" s="5150"/>
      <c r="BI8" s="5150"/>
      <c r="BJ8" s="5150" t="s">
        <v>184</v>
      </c>
      <c r="BK8" s="5150"/>
      <c r="BL8" s="5150"/>
      <c r="BM8" s="5150"/>
      <c r="BN8" s="5150"/>
      <c r="BO8" s="5150"/>
      <c r="BP8" s="5150"/>
      <c r="BQ8" s="5150" t="s">
        <v>1029</v>
      </c>
      <c r="BR8" s="5150"/>
      <c r="BS8" s="5150"/>
      <c r="BT8" s="5150"/>
      <c r="BU8" s="5150"/>
      <c r="BV8" s="5150"/>
      <c r="BW8" s="5150"/>
      <c r="BX8" s="5150" t="s">
        <v>1092</v>
      </c>
      <c r="BY8" s="5150"/>
      <c r="BZ8" s="5150"/>
      <c r="CA8" s="5150"/>
      <c r="CB8" s="5150"/>
      <c r="CC8" s="5150"/>
      <c r="CD8" s="5150"/>
    </row>
    <row r="9" spans="1:94" s="659" customFormat="1" ht="22.5" customHeight="1" thickBot="1">
      <c r="A9" s="5177"/>
      <c r="B9" s="5158"/>
      <c r="C9" s="5158"/>
      <c r="D9" s="5177"/>
      <c r="E9" s="2815" t="str">
        <f>+'11. Амортиз. план'!E8</f>
        <v>2025 г.</v>
      </c>
      <c r="F9" s="2816" t="str">
        <f>'Приложение '!C13</f>
        <v>2026 г.</v>
      </c>
      <c r="G9" s="2817" t="str">
        <f>'Приложение '!C14</f>
        <v>2027 г.</v>
      </c>
      <c r="H9" s="2817" t="str">
        <f>'Приложение '!C15</f>
        <v>2028 г.</v>
      </c>
      <c r="I9" s="2817" t="str">
        <f>'Приложение '!C16</f>
        <v>2029 г.</v>
      </c>
      <c r="J9" s="2817" t="str">
        <f>'Приложение '!C17</f>
        <v>2030 г.</v>
      </c>
      <c r="K9" s="2818" t="str">
        <f>'Приложение '!C18</f>
        <v>2031 г.</v>
      </c>
      <c r="L9" s="2819" t="str">
        <f t="shared" ref="L9:AM9" si="0">E9</f>
        <v>2025 г.</v>
      </c>
      <c r="M9" s="2820" t="str">
        <f t="shared" si="0"/>
        <v>2026 г.</v>
      </c>
      <c r="N9" s="2817" t="str">
        <f t="shared" si="0"/>
        <v>2027 г.</v>
      </c>
      <c r="O9" s="2817" t="str">
        <f t="shared" si="0"/>
        <v>2028 г.</v>
      </c>
      <c r="P9" s="2817" t="str">
        <f t="shared" si="0"/>
        <v>2029 г.</v>
      </c>
      <c r="Q9" s="2817" t="str">
        <f t="shared" si="0"/>
        <v>2030 г.</v>
      </c>
      <c r="R9" s="2818" t="str">
        <f t="shared" si="0"/>
        <v>2031 г.</v>
      </c>
      <c r="S9" s="2819" t="str">
        <f t="shared" si="0"/>
        <v>2025 г.</v>
      </c>
      <c r="T9" s="2820" t="str">
        <f t="shared" si="0"/>
        <v>2026 г.</v>
      </c>
      <c r="U9" s="2817" t="str">
        <f t="shared" si="0"/>
        <v>2027 г.</v>
      </c>
      <c r="V9" s="2817" t="str">
        <f t="shared" si="0"/>
        <v>2028 г.</v>
      </c>
      <c r="W9" s="2817" t="str">
        <f t="shared" si="0"/>
        <v>2029 г.</v>
      </c>
      <c r="X9" s="2817" t="str">
        <f t="shared" si="0"/>
        <v>2030 г.</v>
      </c>
      <c r="Y9" s="2821" t="str">
        <f t="shared" si="0"/>
        <v>2031 г.</v>
      </c>
      <c r="Z9" s="2819" t="str">
        <f t="shared" si="0"/>
        <v>2025 г.</v>
      </c>
      <c r="AA9" s="2820" t="str">
        <f t="shared" si="0"/>
        <v>2026 г.</v>
      </c>
      <c r="AB9" s="2817" t="str">
        <f t="shared" si="0"/>
        <v>2027 г.</v>
      </c>
      <c r="AC9" s="2817" t="str">
        <f t="shared" si="0"/>
        <v>2028 г.</v>
      </c>
      <c r="AD9" s="2817" t="str">
        <f t="shared" si="0"/>
        <v>2029 г.</v>
      </c>
      <c r="AE9" s="2817" t="str">
        <f t="shared" si="0"/>
        <v>2030 г.</v>
      </c>
      <c r="AF9" s="2821" t="str">
        <f t="shared" si="0"/>
        <v>2031 г.</v>
      </c>
      <c r="AG9" s="2819" t="str">
        <f t="shared" si="0"/>
        <v>2025 г.</v>
      </c>
      <c r="AH9" s="2820" t="str">
        <f t="shared" si="0"/>
        <v>2026 г.</v>
      </c>
      <c r="AI9" s="2817" t="str">
        <f t="shared" si="0"/>
        <v>2027 г.</v>
      </c>
      <c r="AJ9" s="2817" t="str">
        <f t="shared" si="0"/>
        <v>2028 г.</v>
      </c>
      <c r="AK9" s="2817" t="str">
        <f t="shared" si="0"/>
        <v>2029 г.</v>
      </c>
      <c r="AL9" s="2817" t="str">
        <f t="shared" si="0"/>
        <v>2030 г.</v>
      </c>
      <c r="AM9" s="2821" t="str">
        <f t="shared" si="0"/>
        <v>2031 г.</v>
      </c>
      <c r="AN9" s="2819" t="str">
        <f t="shared" ref="AN9:AT9" si="1">S9</f>
        <v>2025 г.</v>
      </c>
      <c r="AO9" s="2820" t="str">
        <f t="shared" si="1"/>
        <v>2026 г.</v>
      </c>
      <c r="AP9" s="2817" t="str">
        <f t="shared" si="1"/>
        <v>2027 г.</v>
      </c>
      <c r="AQ9" s="2817" t="str">
        <f t="shared" si="1"/>
        <v>2028 г.</v>
      </c>
      <c r="AR9" s="2817" t="str">
        <f t="shared" si="1"/>
        <v>2029 г.</v>
      </c>
      <c r="AS9" s="2817" t="str">
        <f t="shared" si="1"/>
        <v>2030 г.</v>
      </c>
      <c r="AT9" s="2821" t="str">
        <f t="shared" si="1"/>
        <v>2031 г.</v>
      </c>
      <c r="AU9" s="4422"/>
      <c r="AV9" s="4443" t="str">
        <f>+E9</f>
        <v>2025 г.</v>
      </c>
      <c r="AW9" s="4443" t="str">
        <f t="shared" ref="AW9:BB9" si="2">+F9</f>
        <v>2026 г.</v>
      </c>
      <c r="AX9" s="4443" t="str">
        <f t="shared" si="2"/>
        <v>2027 г.</v>
      </c>
      <c r="AY9" s="4443" t="str">
        <f t="shared" si="2"/>
        <v>2028 г.</v>
      </c>
      <c r="AZ9" s="4443" t="str">
        <f t="shared" si="2"/>
        <v>2029 г.</v>
      </c>
      <c r="BA9" s="4443" t="str">
        <f t="shared" si="2"/>
        <v>2030 г.</v>
      </c>
      <c r="BB9" s="4443" t="str">
        <f t="shared" si="2"/>
        <v>2031 г.</v>
      </c>
      <c r="BC9" s="4443" t="str">
        <f t="shared" ref="BC9" si="3">AV9</f>
        <v>2025 г.</v>
      </c>
      <c r="BD9" s="4443" t="str">
        <f t="shared" ref="BD9" si="4">AW9</f>
        <v>2026 г.</v>
      </c>
      <c r="BE9" s="4443" t="str">
        <f t="shared" ref="BE9" si="5">AX9</f>
        <v>2027 г.</v>
      </c>
      <c r="BF9" s="4443" t="str">
        <f t="shared" ref="BF9" si="6">AY9</f>
        <v>2028 г.</v>
      </c>
      <c r="BG9" s="4443" t="str">
        <f t="shared" ref="BG9" si="7">AZ9</f>
        <v>2029 г.</v>
      </c>
      <c r="BH9" s="4443" t="str">
        <f t="shared" ref="BH9" si="8">BA9</f>
        <v>2030 г.</v>
      </c>
      <c r="BI9" s="4443" t="str">
        <f t="shared" ref="BI9" si="9">BB9</f>
        <v>2031 г.</v>
      </c>
      <c r="BJ9" s="4443" t="str">
        <f t="shared" ref="BJ9" si="10">BC9</f>
        <v>2025 г.</v>
      </c>
      <c r="BK9" s="4443" t="str">
        <f t="shared" ref="BK9" si="11">BD9</f>
        <v>2026 г.</v>
      </c>
      <c r="BL9" s="4443" t="str">
        <f t="shared" ref="BL9" si="12">BE9</f>
        <v>2027 г.</v>
      </c>
      <c r="BM9" s="4443" t="str">
        <f t="shared" ref="BM9" si="13">BF9</f>
        <v>2028 г.</v>
      </c>
      <c r="BN9" s="4443" t="str">
        <f t="shared" ref="BN9" si="14">BG9</f>
        <v>2029 г.</v>
      </c>
      <c r="BO9" s="4443" t="str">
        <f t="shared" ref="BO9" si="15">BH9</f>
        <v>2030 г.</v>
      </c>
      <c r="BP9" s="4443" t="str">
        <f t="shared" ref="BP9" si="16">BI9</f>
        <v>2031 г.</v>
      </c>
      <c r="BQ9" s="4443" t="str">
        <f t="shared" ref="BQ9" si="17">BJ9</f>
        <v>2025 г.</v>
      </c>
      <c r="BR9" s="4443" t="str">
        <f t="shared" ref="BR9" si="18">BK9</f>
        <v>2026 г.</v>
      </c>
      <c r="BS9" s="4443" t="str">
        <f t="shared" ref="BS9" si="19">BL9</f>
        <v>2027 г.</v>
      </c>
      <c r="BT9" s="4443" t="str">
        <f t="shared" ref="BT9" si="20">BM9</f>
        <v>2028 г.</v>
      </c>
      <c r="BU9" s="4443" t="str">
        <f t="shared" ref="BU9" si="21">BN9</f>
        <v>2029 г.</v>
      </c>
      <c r="BV9" s="4443" t="str">
        <f t="shared" ref="BV9" si="22">BO9</f>
        <v>2030 г.</v>
      </c>
      <c r="BW9" s="4443" t="str">
        <f t="shared" ref="BW9" si="23">BP9</f>
        <v>2031 г.</v>
      </c>
      <c r="BX9" s="4443" t="str">
        <f t="shared" ref="BX9" si="24">BQ9</f>
        <v>2025 г.</v>
      </c>
      <c r="BY9" s="4443" t="str">
        <f t="shared" ref="BY9" si="25">BR9</f>
        <v>2026 г.</v>
      </c>
      <c r="BZ9" s="4443" t="str">
        <f t="shared" ref="BZ9" si="26">BS9</f>
        <v>2027 г.</v>
      </c>
      <c r="CA9" s="4443" t="str">
        <f t="shared" ref="CA9" si="27">BT9</f>
        <v>2028 г.</v>
      </c>
      <c r="CB9" s="4443" t="str">
        <f t="shared" ref="CB9" si="28">BU9</f>
        <v>2029 г.</v>
      </c>
      <c r="CC9" s="4443" t="str">
        <f t="shared" ref="CC9" si="29">BV9</f>
        <v>2030 г.</v>
      </c>
      <c r="CD9" s="4443" t="str">
        <f t="shared" ref="CD9" si="30">BW9</f>
        <v>2031 г.</v>
      </c>
    </row>
    <row r="10" spans="1:94" s="40" customFormat="1" ht="39" thickBot="1">
      <c r="A10" s="2822" t="s">
        <v>1055</v>
      </c>
      <c r="B10" s="2822"/>
      <c r="C10" s="2822"/>
      <c r="D10" s="2823" t="s">
        <v>1504</v>
      </c>
      <c r="E10" s="2824" t="s">
        <v>1505</v>
      </c>
      <c r="F10" s="5170" t="s">
        <v>1506</v>
      </c>
      <c r="G10" s="5171"/>
      <c r="H10" s="5171"/>
      <c r="I10" s="5171"/>
      <c r="J10" s="5171"/>
      <c r="K10" s="5172"/>
      <c r="L10" s="2824" t="s">
        <v>1505</v>
      </c>
      <c r="M10" s="5170" t="s">
        <v>1506</v>
      </c>
      <c r="N10" s="5171"/>
      <c r="O10" s="5171"/>
      <c r="P10" s="5171"/>
      <c r="Q10" s="5171"/>
      <c r="R10" s="5172"/>
      <c r="S10" s="2824" t="s">
        <v>1505</v>
      </c>
      <c r="T10" s="5170" t="s">
        <v>1506</v>
      </c>
      <c r="U10" s="5171"/>
      <c r="V10" s="5171"/>
      <c r="W10" s="5171"/>
      <c r="X10" s="5171"/>
      <c r="Y10" s="5172"/>
      <c r="Z10" s="2824" t="s">
        <v>1505</v>
      </c>
      <c r="AA10" s="5170" t="s">
        <v>1506</v>
      </c>
      <c r="AB10" s="5171"/>
      <c r="AC10" s="5171"/>
      <c r="AD10" s="5171"/>
      <c r="AE10" s="5171"/>
      <c r="AF10" s="5172"/>
      <c r="AG10" s="2824" t="s">
        <v>1505</v>
      </c>
      <c r="AH10" s="5170" t="s">
        <v>1506</v>
      </c>
      <c r="AI10" s="5171"/>
      <c r="AJ10" s="5171"/>
      <c r="AK10" s="5171"/>
      <c r="AL10" s="5171"/>
      <c r="AM10" s="5172"/>
      <c r="AN10" s="2824" t="s">
        <v>1505</v>
      </c>
      <c r="AO10" s="5170" t="s">
        <v>1506</v>
      </c>
      <c r="AP10" s="5171"/>
      <c r="AQ10" s="5171"/>
      <c r="AR10" s="5171"/>
      <c r="AS10" s="5171"/>
      <c r="AT10" s="5172"/>
      <c r="AU10" s="4422"/>
    </row>
    <row r="11" spans="1:94" s="674" customFormat="1" ht="14.25" customHeight="1" thickBot="1">
      <c r="A11" s="2825" t="s">
        <v>205</v>
      </c>
      <c r="B11" s="2826"/>
      <c r="C11" s="2826"/>
      <c r="D11" s="2826" t="s">
        <v>334</v>
      </c>
      <c r="E11" s="2830">
        <f t="shared" ref="E11:AT11" si="31">E12+E15+E18+E30+E45+E50+SUM(E54:E59)</f>
        <v>2327</v>
      </c>
      <c r="F11" s="2827">
        <f t="shared" si="31"/>
        <v>89</v>
      </c>
      <c r="G11" s="2828">
        <f t="shared" si="31"/>
        <v>73</v>
      </c>
      <c r="H11" s="2828">
        <f t="shared" si="31"/>
        <v>258</v>
      </c>
      <c r="I11" s="2828">
        <f t="shared" si="31"/>
        <v>218</v>
      </c>
      <c r="J11" s="2828">
        <f t="shared" si="31"/>
        <v>284</v>
      </c>
      <c r="K11" s="2829">
        <f t="shared" si="31"/>
        <v>423</v>
      </c>
      <c r="L11" s="2830">
        <f t="shared" si="31"/>
        <v>115</v>
      </c>
      <c r="M11" s="2827">
        <f t="shared" si="31"/>
        <v>0</v>
      </c>
      <c r="N11" s="2828">
        <f t="shared" si="31"/>
        <v>0</v>
      </c>
      <c r="O11" s="2828">
        <f t="shared" si="31"/>
        <v>1</v>
      </c>
      <c r="P11" s="2828">
        <f t="shared" si="31"/>
        <v>866</v>
      </c>
      <c r="Q11" s="2828">
        <f t="shared" si="31"/>
        <v>10</v>
      </c>
      <c r="R11" s="2829">
        <f t="shared" si="31"/>
        <v>31</v>
      </c>
      <c r="S11" s="2830">
        <f t="shared" si="31"/>
        <v>235</v>
      </c>
      <c r="T11" s="2827">
        <f t="shared" si="31"/>
        <v>2</v>
      </c>
      <c r="U11" s="2828">
        <f t="shared" si="31"/>
        <v>0</v>
      </c>
      <c r="V11" s="2828">
        <f t="shared" si="31"/>
        <v>0</v>
      </c>
      <c r="W11" s="2828">
        <f t="shared" si="31"/>
        <v>1</v>
      </c>
      <c r="X11" s="2828">
        <f t="shared" si="31"/>
        <v>7</v>
      </c>
      <c r="Y11" s="2831">
        <f t="shared" si="31"/>
        <v>0</v>
      </c>
      <c r="Z11" s="2830">
        <f t="shared" ref="Z11:AF11" si="32">Z12+Z15+Z18+Z30+Z45+Z50+SUM(Z54:Z59)</f>
        <v>0</v>
      </c>
      <c r="AA11" s="2827">
        <f t="shared" si="32"/>
        <v>0</v>
      </c>
      <c r="AB11" s="2828">
        <f t="shared" si="32"/>
        <v>0</v>
      </c>
      <c r="AC11" s="2828">
        <f t="shared" si="32"/>
        <v>0</v>
      </c>
      <c r="AD11" s="2828">
        <f t="shared" si="32"/>
        <v>0</v>
      </c>
      <c r="AE11" s="2828">
        <f t="shared" si="32"/>
        <v>0</v>
      </c>
      <c r="AF11" s="2831">
        <f t="shared" si="32"/>
        <v>0</v>
      </c>
      <c r="AG11" s="2830">
        <f t="shared" ref="AG11:AM11" si="33">AG12+AG15+AG18+AG30+AG45+AG50+SUM(AG54:AG59)</f>
        <v>0</v>
      </c>
      <c r="AH11" s="2827">
        <f t="shared" si="33"/>
        <v>0</v>
      </c>
      <c r="AI11" s="2828">
        <f t="shared" si="33"/>
        <v>0</v>
      </c>
      <c r="AJ11" s="2828">
        <f t="shared" si="33"/>
        <v>0</v>
      </c>
      <c r="AK11" s="2828">
        <f t="shared" si="33"/>
        <v>0</v>
      </c>
      <c r="AL11" s="2828">
        <f t="shared" si="33"/>
        <v>0</v>
      </c>
      <c r="AM11" s="2829">
        <f t="shared" si="33"/>
        <v>0</v>
      </c>
      <c r="AN11" s="2830">
        <f t="shared" si="31"/>
        <v>0</v>
      </c>
      <c r="AO11" s="2827">
        <f>AO12+AO15+AO18+AO30+AO45+AO50+SUM(AO54:AO59)</f>
        <v>0</v>
      </c>
      <c r="AP11" s="2828">
        <f t="shared" si="31"/>
        <v>0</v>
      </c>
      <c r="AQ11" s="2828">
        <f t="shared" si="31"/>
        <v>0</v>
      </c>
      <c r="AR11" s="2828">
        <f t="shared" si="31"/>
        <v>0</v>
      </c>
      <c r="AS11" s="2828">
        <f t="shared" si="31"/>
        <v>0</v>
      </c>
      <c r="AT11" s="2831">
        <f t="shared" si="31"/>
        <v>0</v>
      </c>
      <c r="AU11" s="4422"/>
      <c r="AV11" s="4438">
        <f>IFERROR(E11/$D$1,0)</f>
        <v>1189.7762075436005</v>
      </c>
      <c r="AW11" s="4438">
        <f t="shared" ref="AW11:CC11" si="34">IFERROR(F11/$D$1,0)</f>
        <v>45.504977426463448</v>
      </c>
      <c r="AX11" s="4438">
        <f t="shared" si="34"/>
        <v>37.32430732732395</v>
      </c>
      <c r="AY11" s="4438">
        <f t="shared" si="34"/>
        <v>131.91330534862436</v>
      </c>
      <c r="AZ11" s="4438">
        <f t="shared" si="34"/>
        <v>111.46163010077564</v>
      </c>
      <c r="BA11" s="4438">
        <f t="shared" si="34"/>
        <v>145.20689425972606</v>
      </c>
      <c r="BB11" s="4438">
        <f t="shared" si="34"/>
        <v>216.27646574600041</v>
      </c>
      <c r="BC11" s="4438">
        <f t="shared" si="34"/>
        <v>58.798566337565127</v>
      </c>
      <c r="BD11" s="4438">
        <f t="shared" si="34"/>
        <v>0</v>
      </c>
      <c r="BE11" s="4438">
        <f t="shared" si="34"/>
        <v>0</v>
      </c>
      <c r="BF11" s="4438">
        <f t="shared" si="34"/>
        <v>0.51129188119621849</v>
      </c>
      <c r="BG11" s="4438">
        <f t="shared" si="34"/>
        <v>442.77876911592523</v>
      </c>
      <c r="BH11" s="4438">
        <f t="shared" si="34"/>
        <v>5.1129188119621851</v>
      </c>
      <c r="BI11" s="4438">
        <f t="shared" si="34"/>
        <v>15.850048317082774</v>
      </c>
      <c r="BJ11" s="4438">
        <f t="shared" si="34"/>
        <v>120.15359208111134</v>
      </c>
      <c r="BK11" s="4438">
        <f t="shared" si="34"/>
        <v>1.022583762392437</v>
      </c>
      <c r="BL11" s="4438">
        <f t="shared" si="34"/>
        <v>0</v>
      </c>
      <c r="BM11" s="4438">
        <f t="shared" si="34"/>
        <v>0</v>
      </c>
      <c r="BN11" s="4438">
        <f t="shared" si="34"/>
        <v>0.51129188119621849</v>
      </c>
      <c r="BO11" s="4438">
        <f t="shared" si="34"/>
        <v>3.5790431683735293</v>
      </c>
      <c r="BP11" s="4438">
        <f t="shared" si="34"/>
        <v>0</v>
      </c>
      <c r="BQ11" s="4438">
        <f t="shared" si="34"/>
        <v>0</v>
      </c>
      <c r="BR11" s="4438">
        <f t="shared" si="34"/>
        <v>0</v>
      </c>
      <c r="BS11" s="4438">
        <f t="shared" si="34"/>
        <v>0</v>
      </c>
      <c r="BT11" s="4438">
        <f t="shared" si="34"/>
        <v>0</v>
      </c>
      <c r="BU11" s="4438">
        <f t="shared" si="34"/>
        <v>0</v>
      </c>
      <c r="BV11" s="4438">
        <f t="shared" si="34"/>
        <v>0</v>
      </c>
      <c r="BW11" s="4438">
        <f t="shared" si="34"/>
        <v>0</v>
      </c>
      <c r="BX11" s="4438">
        <f t="shared" si="34"/>
        <v>0</v>
      </c>
      <c r="BY11" s="4438">
        <f t="shared" si="34"/>
        <v>0</v>
      </c>
      <c r="BZ11" s="4438">
        <f t="shared" si="34"/>
        <v>0</v>
      </c>
      <c r="CA11" s="4438">
        <f t="shared" si="34"/>
        <v>0</v>
      </c>
      <c r="CB11" s="4438">
        <f t="shared" si="34"/>
        <v>0</v>
      </c>
      <c r="CC11" s="4438">
        <f t="shared" si="34"/>
        <v>0</v>
      </c>
      <c r="CD11" s="4438">
        <f>IFERROR(AM11/$D$1,0)</f>
        <v>0</v>
      </c>
    </row>
    <row r="12" spans="1:94" s="40" customFormat="1">
      <c r="A12" s="2832">
        <v>1</v>
      </c>
      <c r="B12" s="2832">
        <v>201</v>
      </c>
      <c r="C12" s="2833">
        <v>0</v>
      </c>
      <c r="D12" s="2834" t="s">
        <v>217</v>
      </c>
      <c r="E12" s="2835">
        <f>SUM(E13:E14)</f>
        <v>0</v>
      </c>
      <c r="F12" s="2836">
        <f>SUM(F13:F14)</f>
        <v>0</v>
      </c>
      <c r="G12" s="2837">
        <f>SUM(G13:G14)</f>
        <v>0</v>
      </c>
      <c r="H12" s="2837">
        <f>SUM(H13:H14)</f>
        <v>0</v>
      </c>
      <c r="I12" s="2837">
        <f t="shared" ref="I12:K12" si="35">SUM(I13:I14)</f>
        <v>0</v>
      </c>
      <c r="J12" s="2837">
        <f t="shared" si="35"/>
        <v>0</v>
      </c>
      <c r="K12" s="2838">
        <f t="shared" si="35"/>
        <v>0</v>
      </c>
      <c r="L12" s="2835">
        <f>SUM(L13:L14)</f>
        <v>0</v>
      </c>
      <c r="M12" s="2836">
        <f>SUM(M13:M14)</f>
        <v>0</v>
      </c>
      <c r="N12" s="2837">
        <f>SUM(N13:N14)</f>
        <v>0</v>
      </c>
      <c r="O12" s="2837">
        <f>SUM(O13:O14)</f>
        <v>0</v>
      </c>
      <c r="P12" s="2837">
        <f t="shared" ref="P12:R12" si="36">SUM(P13:P14)</f>
        <v>0</v>
      </c>
      <c r="Q12" s="2837">
        <f t="shared" si="36"/>
        <v>0</v>
      </c>
      <c r="R12" s="2838">
        <f t="shared" si="36"/>
        <v>0</v>
      </c>
      <c r="S12" s="2835">
        <f>SUM(S13:S14)</f>
        <v>0</v>
      </c>
      <c r="T12" s="2836">
        <f>SUM(T13:T14)</f>
        <v>0</v>
      </c>
      <c r="U12" s="2837">
        <f>SUM(U13:U14)</f>
        <v>0</v>
      </c>
      <c r="V12" s="2837">
        <f>SUM(V13:V14)</f>
        <v>0</v>
      </c>
      <c r="W12" s="2837">
        <f t="shared" ref="W12:Y12" si="37">SUM(W13:W14)</f>
        <v>0</v>
      </c>
      <c r="X12" s="2837">
        <f t="shared" si="37"/>
        <v>0</v>
      </c>
      <c r="Y12" s="2839">
        <f t="shared" si="37"/>
        <v>0</v>
      </c>
      <c r="Z12" s="2835">
        <f>SUM(Z13:Z14)</f>
        <v>0</v>
      </c>
      <c r="AA12" s="2836">
        <f>SUM(AA13:AA14)</f>
        <v>0</v>
      </c>
      <c r="AB12" s="2837">
        <f>SUM(AB13:AB14)</f>
        <v>0</v>
      </c>
      <c r="AC12" s="2837">
        <f>SUM(AC13:AC14)</f>
        <v>0</v>
      </c>
      <c r="AD12" s="2837">
        <f t="shared" ref="AD12:AF12" si="38">SUM(AD13:AD14)</f>
        <v>0</v>
      </c>
      <c r="AE12" s="2837">
        <f t="shared" si="38"/>
        <v>0</v>
      </c>
      <c r="AF12" s="2839">
        <f t="shared" si="38"/>
        <v>0</v>
      </c>
      <c r="AG12" s="2835">
        <f>SUM(AG13:AG14)</f>
        <v>0</v>
      </c>
      <c r="AH12" s="2836">
        <f>SUM(AH13:AH14)</f>
        <v>0</v>
      </c>
      <c r="AI12" s="2837">
        <f>SUM(AI13:AI14)</f>
        <v>0</v>
      </c>
      <c r="AJ12" s="2837">
        <f>SUM(AJ13:AJ14)</f>
        <v>0</v>
      </c>
      <c r="AK12" s="2837">
        <f t="shared" ref="AK12:AM12" si="39">SUM(AK13:AK14)</f>
        <v>0</v>
      </c>
      <c r="AL12" s="2837">
        <f t="shared" si="39"/>
        <v>0</v>
      </c>
      <c r="AM12" s="2838">
        <f t="shared" si="39"/>
        <v>0</v>
      </c>
      <c r="AN12" s="4065">
        <f>SUM(AN13:AN14)</f>
        <v>0</v>
      </c>
      <c r="AO12" s="2985"/>
      <c r="AP12" s="2986"/>
      <c r="AQ12" s="2986"/>
      <c r="AR12" s="2986"/>
      <c r="AS12" s="2986"/>
      <c r="AT12" s="2987"/>
      <c r="AU12" s="4422"/>
      <c r="AV12" s="4438">
        <f t="shared" ref="AV12:AV75" si="40">IFERROR(E12/$D$1,0)</f>
        <v>0</v>
      </c>
      <c r="AW12" s="4438">
        <f t="shared" ref="AW12:AW75" si="41">IFERROR(F12/$D$1,0)</f>
        <v>0</v>
      </c>
      <c r="AX12" s="4438">
        <f t="shared" ref="AX12:AX75" si="42">IFERROR(G12/$D$1,0)</f>
        <v>0</v>
      </c>
      <c r="AY12" s="4438">
        <f t="shared" ref="AY12:AY75" si="43">IFERROR(H12/$D$1,0)</f>
        <v>0</v>
      </c>
      <c r="AZ12" s="4438">
        <f t="shared" ref="AZ12:AZ75" si="44">IFERROR(I12/$D$1,0)</f>
        <v>0</v>
      </c>
      <c r="BA12" s="4438">
        <f t="shared" ref="BA12:BA75" si="45">IFERROR(J12/$D$1,0)</f>
        <v>0</v>
      </c>
      <c r="BB12" s="4438">
        <f t="shared" ref="BB12:BB75" si="46">IFERROR(K12/$D$1,0)</f>
        <v>0</v>
      </c>
      <c r="BC12" s="4438">
        <f t="shared" ref="BC12:BC75" si="47">IFERROR(L12/$D$1,0)</f>
        <v>0</v>
      </c>
      <c r="BD12" s="4438">
        <f t="shared" ref="BD12:BD75" si="48">IFERROR(M12/$D$1,0)</f>
        <v>0</v>
      </c>
      <c r="BE12" s="4438">
        <f t="shared" ref="BE12:BE75" si="49">IFERROR(N12/$D$1,0)</f>
        <v>0</v>
      </c>
      <c r="BF12" s="4438">
        <f t="shared" ref="BF12:BF75" si="50">IFERROR(O12/$D$1,0)</f>
        <v>0</v>
      </c>
      <c r="BG12" s="4438">
        <f t="shared" ref="BG12:BG75" si="51">IFERROR(P12/$D$1,0)</f>
        <v>0</v>
      </c>
      <c r="BH12" s="4438">
        <f t="shared" ref="BH12:BH75" si="52">IFERROR(Q12/$D$1,0)</f>
        <v>0</v>
      </c>
      <c r="BI12" s="4438">
        <f t="shared" ref="BI12:BI75" si="53">IFERROR(R12/$D$1,0)</f>
        <v>0</v>
      </c>
      <c r="BJ12" s="4438">
        <f t="shared" ref="BJ12:BJ75" si="54">IFERROR(S12/$D$1,0)</f>
        <v>0</v>
      </c>
      <c r="BK12" s="4438">
        <f t="shared" ref="BK12:BK75" si="55">IFERROR(T12/$D$1,0)</f>
        <v>0</v>
      </c>
      <c r="BL12" s="4438">
        <f t="shared" ref="BL12:BL75" si="56">IFERROR(U12/$D$1,0)</f>
        <v>0</v>
      </c>
      <c r="BM12" s="4438">
        <f t="shared" ref="BM12:BM75" si="57">IFERROR(V12/$D$1,0)</f>
        <v>0</v>
      </c>
      <c r="BN12" s="4438">
        <f t="shared" ref="BN12:BN75" si="58">IFERROR(W12/$D$1,0)</f>
        <v>0</v>
      </c>
      <c r="BO12" s="4438">
        <f t="shared" ref="BO12:BO75" si="59">IFERROR(X12/$D$1,0)</f>
        <v>0</v>
      </c>
      <c r="BP12" s="4438">
        <f t="shared" ref="BP12:BP75" si="60">IFERROR(Y12/$D$1,0)</f>
        <v>0</v>
      </c>
      <c r="BQ12" s="4438">
        <f t="shared" ref="BQ12:BQ75" si="61">IFERROR(Z12/$D$1,0)</f>
        <v>0</v>
      </c>
      <c r="BR12" s="4438">
        <f t="shared" ref="BR12:BR75" si="62">IFERROR(AA12/$D$1,0)</f>
        <v>0</v>
      </c>
      <c r="BS12" s="4438">
        <f t="shared" ref="BS12:BS75" si="63">IFERROR(AB12/$D$1,0)</f>
        <v>0</v>
      </c>
      <c r="BT12" s="4438">
        <f t="shared" ref="BT12:BT75" si="64">IFERROR(AC12/$D$1,0)</f>
        <v>0</v>
      </c>
      <c r="BU12" s="4438">
        <f t="shared" ref="BU12:BU75" si="65">IFERROR(AD12/$D$1,0)</f>
        <v>0</v>
      </c>
      <c r="BV12" s="4438">
        <f t="shared" ref="BV12:BV75" si="66">IFERROR(AE12/$D$1,0)</f>
        <v>0</v>
      </c>
      <c r="BW12" s="4438">
        <f t="shared" ref="BW12:BW75" si="67">IFERROR(AF12/$D$1,0)</f>
        <v>0</v>
      </c>
      <c r="BX12" s="4438">
        <f t="shared" ref="BX12:BX75" si="68">IFERROR(AG12/$D$1,0)</f>
        <v>0</v>
      </c>
      <c r="BY12" s="4438">
        <f t="shared" ref="BY12:BY75" si="69">IFERROR(AH12/$D$1,0)</f>
        <v>0</v>
      </c>
      <c r="BZ12" s="4438">
        <f t="shared" ref="BZ12:BZ75" si="70">IFERROR(AI12/$D$1,0)</f>
        <v>0</v>
      </c>
      <c r="CA12" s="4438">
        <f t="shared" ref="CA12:CA75" si="71">IFERROR(AJ12/$D$1,0)</f>
        <v>0</v>
      </c>
      <c r="CB12" s="4438">
        <f t="shared" ref="CB12:CB75" si="72">IFERROR(AK12/$D$1,0)</f>
        <v>0</v>
      </c>
      <c r="CC12" s="4438">
        <f t="shared" ref="CC12:CC75" si="73">IFERROR(AL12/$D$1,0)</f>
        <v>0</v>
      </c>
      <c r="CD12" s="4438">
        <f t="shared" ref="CD12:CD75" si="74">IFERROR(AM12/$D$1,0)</f>
        <v>0</v>
      </c>
    </row>
    <row r="13" spans="1:94" s="674" customFormat="1">
      <c r="A13" s="2840"/>
      <c r="B13" s="2841">
        <v>20101</v>
      </c>
      <c r="C13" s="2842">
        <v>0</v>
      </c>
      <c r="D13" s="2843" t="s">
        <v>556</v>
      </c>
      <c r="E13" s="4387">
        <f>SUMIF('11.3. ДА Базова година'!$B$12:$B$39,$B13,'11.3. ДА Базова година'!F$12:F$39)+SUMIF('11.3. ДА Базова година'!$B$92:$B$110,$B13,'11.3. ДА Базова година'!F$92:F$110)</f>
        <v>0</v>
      </c>
      <c r="F13" s="404"/>
      <c r="G13" s="402"/>
      <c r="H13" s="402"/>
      <c r="I13" s="402"/>
      <c r="J13" s="402"/>
      <c r="K13" s="264"/>
      <c r="L13" s="4387">
        <f>SUMIF('11.3. ДА Базова година'!$B$12:$B$39,$B13,'11.3. ДА Базова година'!J$12:J$39)+SUMIF('11.3. ДА Базова година'!$B$92:$B$110,$B13,'11.3. ДА Базова година'!J$92:J$110)</f>
        <v>0</v>
      </c>
      <c r="M13" s="404"/>
      <c r="N13" s="402"/>
      <c r="O13" s="402"/>
      <c r="P13" s="402"/>
      <c r="Q13" s="402"/>
      <c r="R13" s="264"/>
      <c r="S13" s="4387">
        <f>SUMIF('11.3. ДА Базова година'!$B$12:$B$39,$B13,'11.3. ДА Базова година'!N$12:N$39)+SUMIF('11.3. ДА Базова година'!$B$92:$B$110,$B13,'11.3. ДА Базова година'!N$92:N$110)</f>
        <v>0</v>
      </c>
      <c r="T13" s="404"/>
      <c r="U13" s="402"/>
      <c r="V13" s="402"/>
      <c r="W13" s="402"/>
      <c r="X13" s="402"/>
      <c r="Y13" s="403"/>
      <c r="Z13" s="4387">
        <f>SUMIF('11.3. ДА Базова година'!$B$12:$B$39,$B13,'11.3. ДА Базова година'!R$12:R$39)+SUMIF('11.3. ДА Базова година'!$B$92:$B$110,$B13,'11.3. ДА Базова година'!R$92:R$110)</f>
        <v>0</v>
      </c>
      <c r="AA13" s="404"/>
      <c r="AB13" s="402"/>
      <c r="AC13" s="402"/>
      <c r="AD13" s="402"/>
      <c r="AE13" s="402"/>
      <c r="AF13" s="403"/>
      <c r="AG13" s="4387">
        <f>SUMIF('11.3. ДА Базова година'!$B$12:$B$39,$B13,'11.3. ДА Базова година'!V$12:V$39)+SUMIF('11.3. ДА Базова година'!$B$92:$B$110,$B13,'11.3. ДА Базова година'!V$92:V$110)</f>
        <v>0</v>
      </c>
      <c r="AH13" s="404"/>
      <c r="AI13" s="402"/>
      <c r="AJ13" s="402"/>
      <c r="AK13" s="402"/>
      <c r="AL13" s="402"/>
      <c r="AM13" s="264"/>
      <c r="AN13" s="4066"/>
      <c r="AO13" s="2988"/>
      <c r="AP13" s="2989"/>
      <c r="AQ13" s="2989"/>
      <c r="AR13" s="2989"/>
      <c r="AS13" s="2989"/>
      <c r="AT13" s="2990"/>
      <c r="AU13" s="4422"/>
      <c r="AV13" s="4438">
        <f t="shared" si="40"/>
        <v>0</v>
      </c>
      <c r="AW13" s="4438">
        <f t="shared" si="41"/>
        <v>0</v>
      </c>
      <c r="AX13" s="4438">
        <f t="shared" si="42"/>
        <v>0</v>
      </c>
      <c r="AY13" s="4438">
        <f t="shared" si="43"/>
        <v>0</v>
      </c>
      <c r="AZ13" s="4438">
        <f t="shared" si="44"/>
        <v>0</v>
      </c>
      <c r="BA13" s="4438">
        <f t="shared" si="45"/>
        <v>0</v>
      </c>
      <c r="BB13" s="4438">
        <f t="shared" si="46"/>
        <v>0</v>
      </c>
      <c r="BC13" s="4438">
        <f t="shared" si="47"/>
        <v>0</v>
      </c>
      <c r="BD13" s="4438">
        <f t="shared" si="48"/>
        <v>0</v>
      </c>
      <c r="BE13" s="4438">
        <f t="shared" si="49"/>
        <v>0</v>
      </c>
      <c r="BF13" s="4438">
        <f t="shared" si="50"/>
        <v>0</v>
      </c>
      <c r="BG13" s="4438">
        <f t="shared" si="51"/>
        <v>0</v>
      </c>
      <c r="BH13" s="4438">
        <f t="shared" si="52"/>
        <v>0</v>
      </c>
      <c r="BI13" s="4438">
        <f t="shared" si="53"/>
        <v>0</v>
      </c>
      <c r="BJ13" s="4438">
        <f t="shared" si="54"/>
        <v>0</v>
      </c>
      <c r="BK13" s="4438">
        <f t="shared" si="55"/>
        <v>0</v>
      </c>
      <c r="BL13" s="4438">
        <f t="shared" si="56"/>
        <v>0</v>
      </c>
      <c r="BM13" s="4438">
        <f t="shared" si="57"/>
        <v>0</v>
      </c>
      <c r="BN13" s="4438">
        <f t="shared" si="58"/>
        <v>0</v>
      </c>
      <c r="BO13" s="4438">
        <f t="shared" si="59"/>
        <v>0</v>
      </c>
      <c r="BP13" s="4438">
        <f t="shared" si="60"/>
        <v>0</v>
      </c>
      <c r="BQ13" s="4438">
        <f t="shared" si="61"/>
        <v>0</v>
      </c>
      <c r="BR13" s="4438">
        <f t="shared" si="62"/>
        <v>0</v>
      </c>
      <c r="BS13" s="4438">
        <f t="shared" si="63"/>
        <v>0</v>
      </c>
      <c r="BT13" s="4438">
        <f t="shared" si="64"/>
        <v>0</v>
      </c>
      <c r="BU13" s="4438">
        <f t="shared" si="65"/>
        <v>0</v>
      </c>
      <c r="BV13" s="4438">
        <f t="shared" si="66"/>
        <v>0</v>
      </c>
      <c r="BW13" s="4438">
        <f t="shared" si="67"/>
        <v>0</v>
      </c>
      <c r="BX13" s="4438">
        <f t="shared" si="68"/>
        <v>0</v>
      </c>
      <c r="BY13" s="4438">
        <f t="shared" si="69"/>
        <v>0</v>
      </c>
      <c r="BZ13" s="4438">
        <f t="shared" si="70"/>
        <v>0</v>
      </c>
      <c r="CA13" s="4438">
        <f t="shared" si="71"/>
        <v>0</v>
      </c>
      <c r="CB13" s="4438">
        <f t="shared" si="72"/>
        <v>0</v>
      </c>
      <c r="CC13" s="4438">
        <f t="shared" si="73"/>
        <v>0</v>
      </c>
      <c r="CD13" s="4438">
        <f t="shared" si="74"/>
        <v>0</v>
      </c>
    </row>
    <row r="14" spans="1:94" s="674" customFormat="1">
      <c r="A14" s="2840"/>
      <c r="B14" s="2841">
        <v>20102</v>
      </c>
      <c r="C14" s="2842">
        <v>0</v>
      </c>
      <c r="D14" s="2844" t="s">
        <v>558</v>
      </c>
      <c r="E14" s="4387">
        <f>SUMIF('11.3. ДА Базова година'!$B$12:$B$39,$B14,'11.3. ДА Базова година'!F$12:F$39)+SUMIF('11.3. ДА Базова година'!$B$92:$B$110,$B14,'11.3. ДА Базова година'!F$92:F$110)</f>
        <v>0</v>
      </c>
      <c r="F14" s="404"/>
      <c r="G14" s="402"/>
      <c r="H14" s="402"/>
      <c r="I14" s="402"/>
      <c r="J14" s="402"/>
      <c r="K14" s="264"/>
      <c r="L14" s="4387">
        <f>SUMIF('11.3. ДА Базова година'!$B$12:$B$39,$B14,'11.3. ДА Базова година'!J$12:J$39)+SUMIF('11.3. ДА Базова година'!$B$92:$B$110,$B14,'11.3. ДА Базова година'!J$92:J$110)</f>
        <v>0</v>
      </c>
      <c r="M14" s="404"/>
      <c r="N14" s="402"/>
      <c r="O14" s="402"/>
      <c r="P14" s="402"/>
      <c r="Q14" s="402"/>
      <c r="R14" s="264"/>
      <c r="S14" s="4387">
        <f>SUMIF('11.3. ДА Базова година'!$B$12:$B$39,$B14,'11.3. ДА Базова година'!N$12:N$39)+SUMIF('11.3. ДА Базова година'!$B$92:$B$110,$B14,'11.3. ДА Базова година'!N$92:N$110)</f>
        <v>0</v>
      </c>
      <c r="T14" s="404"/>
      <c r="U14" s="402"/>
      <c r="V14" s="402"/>
      <c r="W14" s="402"/>
      <c r="X14" s="402"/>
      <c r="Y14" s="403"/>
      <c r="Z14" s="4387">
        <f>SUMIF('11.3. ДА Базова година'!$B$12:$B$39,$B14,'11.3. ДА Базова година'!R$12:R$39)+SUMIF('11.3. ДА Базова година'!$B$92:$B$110,$B14,'11.3. ДА Базова година'!R$92:R$110)</f>
        <v>0</v>
      </c>
      <c r="AA14" s="404"/>
      <c r="AB14" s="402"/>
      <c r="AC14" s="402"/>
      <c r="AD14" s="402"/>
      <c r="AE14" s="402"/>
      <c r="AF14" s="403"/>
      <c r="AG14" s="4387">
        <f>SUMIF('11.3. ДА Базова година'!$B$12:$B$39,$B14,'11.3. ДА Базова година'!V$12:V$39)+SUMIF('11.3. ДА Базова година'!$B$92:$B$110,$B14,'11.3. ДА Базова година'!V$92:V$110)</f>
        <v>0</v>
      </c>
      <c r="AH14" s="404"/>
      <c r="AI14" s="402"/>
      <c r="AJ14" s="402"/>
      <c r="AK14" s="402"/>
      <c r="AL14" s="402"/>
      <c r="AM14" s="264"/>
      <c r="AN14" s="4066"/>
      <c r="AO14" s="2988"/>
      <c r="AP14" s="2989"/>
      <c r="AQ14" s="2989"/>
      <c r="AR14" s="2989"/>
      <c r="AS14" s="2989"/>
      <c r="AT14" s="2990"/>
      <c r="AU14" s="4422"/>
      <c r="AV14" s="4438">
        <f t="shared" si="40"/>
        <v>0</v>
      </c>
      <c r="AW14" s="4438">
        <f t="shared" si="41"/>
        <v>0</v>
      </c>
      <c r="AX14" s="4438">
        <f t="shared" si="42"/>
        <v>0</v>
      </c>
      <c r="AY14" s="4438">
        <f t="shared" si="43"/>
        <v>0</v>
      </c>
      <c r="AZ14" s="4438">
        <f t="shared" si="44"/>
        <v>0</v>
      </c>
      <c r="BA14" s="4438">
        <f t="shared" si="45"/>
        <v>0</v>
      </c>
      <c r="BB14" s="4438">
        <f t="shared" si="46"/>
        <v>0</v>
      </c>
      <c r="BC14" s="4438">
        <f t="shared" si="47"/>
        <v>0</v>
      </c>
      <c r="BD14" s="4438">
        <f t="shared" si="48"/>
        <v>0</v>
      </c>
      <c r="BE14" s="4438">
        <f t="shared" si="49"/>
        <v>0</v>
      </c>
      <c r="BF14" s="4438">
        <f t="shared" si="50"/>
        <v>0</v>
      </c>
      <c r="BG14" s="4438">
        <f t="shared" si="51"/>
        <v>0</v>
      </c>
      <c r="BH14" s="4438">
        <f t="shared" si="52"/>
        <v>0</v>
      </c>
      <c r="BI14" s="4438">
        <f t="shared" si="53"/>
        <v>0</v>
      </c>
      <c r="BJ14" s="4438">
        <f t="shared" si="54"/>
        <v>0</v>
      </c>
      <c r="BK14" s="4438">
        <f t="shared" si="55"/>
        <v>0</v>
      </c>
      <c r="BL14" s="4438">
        <f t="shared" si="56"/>
        <v>0</v>
      </c>
      <c r="BM14" s="4438">
        <f t="shared" si="57"/>
        <v>0</v>
      </c>
      <c r="BN14" s="4438">
        <f t="shared" si="58"/>
        <v>0</v>
      </c>
      <c r="BO14" s="4438">
        <f t="shared" si="59"/>
        <v>0</v>
      </c>
      <c r="BP14" s="4438">
        <f t="shared" si="60"/>
        <v>0</v>
      </c>
      <c r="BQ14" s="4438">
        <f t="shared" si="61"/>
        <v>0</v>
      </c>
      <c r="BR14" s="4438">
        <f t="shared" si="62"/>
        <v>0</v>
      </c>
      <c r="BS14" s="4438">
        <f t="shared" si="63"/>
        <v>0</v>
      </c>
      <c r="BT14" s="4438">
        <f t="shared" si="64"/>
        <v>0</v>
      </c>
      <c r="BU14" s="4438">
        <f t="shared" si="65"/>
        <v>0</v>
      </c>
      <c r="BV14" s="4438">
        <f t="shared" si="66"/>
        <v>0</v>
      </c>
      <c r="BW14" s="4438">
        <f t="shared" si="67"/>
        <v>0</v>
      </c>
      <c r="BX14" s="4438">
        <f t="shared" si="68"/>
        <v>0</v>
      </c>
      <c r="BY14" s="4438">
        <f t="shared" si="69"/>
        <v>0</v>
      </c>
      <c r="BZ14" s="4438">
        <f t="shared" si="70"/>
        <v>0</v>
      </c>
      <c r="CA14" s="4438">
        <f t="shared" si="71"/>
        <v>0</v>
      </c>
      <c r="CB14" s="4438">
        <f t="shared" si="72"/>
        <v>0</v>
      </c>
      <c r="CC14" s="4438">
        <f t="shared" si="73"/>
        <v>0</v>
      </c>
      <c r="CD14" s="4438">
        <f t="shared" si="74"/>
        <v>0</v>
      </c>
    </row>
    <row r="15" spans="1:94" s="40" customFormat="1">
      <c r="A15" s="2845">
        <v>2</v>
      </c>
      <c r="B15" s="2846">
        <v>202</v>
      </c>
      <c r="C15" s="2847">
        <v>0.03</v>
      </c>
      <c r="D15" s="2848" t="s">
        <v>404</v>
      </c>
      <c r="E15" s="2849">
        <f>SUM(E16:E17)</f>
        <v>7</v>
      </c>
      <c r="F15" s="2850">
        <f>SUM(F16:F17)</f>
        <v>0</v>
      </c>
      <c r="G15" s="2851">
        <f t="shared" ref="G15:AN15" si="75">SUM(G16:G17)</f>
        <v>0</v>
      </c>
      <c r="H15" s="2851">
        <f t="shared" si="75"/>
        <v>0</v>
      </c>
      <c r="I15" s="2851">
        <f t="shared" si="75"/>
        <v>22</v>
      </c>
      <c r="J15" s="2851">
        <f t="shared" si="75"/>
        <v>0</v>
      </c>
      <c r="K15" s="2852">
        <f t="shared" si="75"/>
        <v>84</v>
      </c>
      <c r="L15" s="2849">
        <f t="shared" si="75"/>
        <v>0</v>
      </c>
      <c r="M15" s="2850">
        <f t="shared" si="75"/>
        <v>0</v>
      </c>
      <c r="N15" s="2851">
        <f t="shared" si="75"/>
        <v>0</v>
      </c>
      <c r="O15" s="2851">
        <f t="shared" si="75"/>
        <v>0</v>
      </c>
      <c r="P15" s="2851">
        <f t="shared" si="75"/>
        <v>0</v>
      </c>
      <c r="Q15" s="2851">
        <f t="shared" si="75"/>
        <v>0</v>
      </c>
      <c r="R15" s="2852">
        <f t="shared" si="75"/>
        <v>0</v>
      </c>
      <c r="S15" s="2849">
        <f t="shared" si="75"/>
        <v>0</v>
      </c>
      <c r="T15" s="2850">
        <f t="shared" si="75"/>
        <v>0</v>
      </c>
      <c r="U15" s="2851">
        <f t="shared" si="75"/>
        <v>0</v>
      </c>
      <c r="V15" s="2851">
        <f t="shared" si="75"/>
        <v>0</v>
      </c>
      <c r="W15" s="2851">
        <f t="shared" si="75"/>
        <v>0</v>
      </c>
      <c r="X15" s="2851">
        <f t="shared" si="75"/>
        <v>0</v>
      </c>
      <c r="Y15" s="2853">
        <f t="shared" si="75"/>
        <v>0</v>
      </c>
      <c r="Z15" s="2849">
        <f t="shared" si="75"/>
        <v>0</v>
      </c>
      <c r="AA15" s="2850">
        <f t="shared" si="75"/>
        <v>0</v>
      </c>
      <c r="AB15" s="2851">
        <f t="shared" si="75"/>
        <v>0</v>
      </c>
      <c r="AC15" s="2851">
        <f t="shared" si="75"/>
        <v>0</v>
      </c>
      <c r="AD15" s="2851">
        <f t="shared" si="75"/>
        <v>0</v>
      </c>
      <c r="AE15" s="2851">
        <f t="shared" si="75"/>
        <v>0</v>
      </c>
      <c r="AF15" s="2853">
        <f t="shared" si="75"/>
        <v>0</v>
      </c>
      <c r="AG15" s="2849">
        <f>SUM(AG16:AG17)</f>
        <v>0</v>
      </c>
      <c r="AH15" s="2850">
        <f>SUM(AH16:AH17)</f>
        <v>0</v>
      </c>
      <c r="AI15" s="2851">
        <f t="shared" ref="AI15:AM15" si="76">SUM(AI16:AI17)</f>
        <v>0</v>
      </c>
      <c r="AJ15" s="2851">
        <f t="shared" si="76"/>
        <v>0</v>
      </c>
      <c r="AK15" s="2851">
        <f t="shared" si="76"/>
        <v>0</v>
      </c>
      <c r="AL15" s="2851">
        <f t="shared" si="76"/>
        <v>0</v>
      </c>
      <c r="AM15" s="2852">
        <f t="shared" si="76"/>
        <v>0</v>
      </c>
      <c r="AN15" s="4067">
        <f t="shared" si="75"/>
        <v>0</v>
      </c>
      <c r="AO15" s="2988"/>
      <c r="AP15" s="2989"/>
      <c r="AQ15" s="2989"/>
      <c r="AR15" s="2989"/>
      <c r="AS15" s="2989"/>
      <c r="AT15" s="2990"/>
      <c r="AU15" s="4422"/>
      <c r="AV15" s="4438">
        <f t="shared" si="40"/>
        <v>3.5790431683735293</v>
      </c>
      <c r="AW15" s="4438">
        <f t="shared" si="41"/>
        <v>0</v>
      </c>
      <c r="AX15" s="4438">
        <f t="shared" si="42"/>
        <v>0</v>
      </c>
      <c r="AY15" s="4438">
        <f t="shared" si="43"/>
        <v>0</v>
      </c>
      <c r="AZ15" s="4438">
        <f t="shared" si="44"/>
        <v>11.248421386316807</v>
      </c>
      <c r="BA15" s="4438">
        <f t="shared" si="45"/>
        <v>0</v>
      </c>
      <c r="BB15" s="4438">
        <f t="shared" si="46"/>
        <v>42.948518020482354</v>
      </c>
      <c r="BC15" s="4438">
        <f t="shared" si="47"/>
        <v>0</v>
      </c>
      <c r="BD15" s="4438">
        <f t="shared" si="48"/>
        <v>0</v>
      </c>
      <c r="BE15" s="4438">
        <f t="shared" si="49"/>
        <v>0</v>
      </c>
      <c r="BF15" s="4438">
        <f t="shared" si="50"/>
        <v>0</v>
      </c>
      <c r="BG15" s="4438">
        <f t="shared" si="51"/>
        <v>0</v>
      </c>
      <c r="BH15" s="4438">
        <f t="shared" si="52"/>
        <v>0</v>
      </c>
      <c r="BI15" s="4438">
        <f t="shared" si="53"/>
        <v>0</v>
      </c>
      <c r="BJ15" s="4438">
        <f t="shared" si="54"/>
        <v>0</v>
      </c>
      <c r="BK15" s="4438">
        <f t="shared" si="55"/>
        <v>0</v>
      </c>
      <c r="BL15" s="4438">
        <f t="shared" si="56"/>
        <v>0</v>
      </c>
      <c r="BM15" s="4438">
        <f t="shared" si="57"/>
        <v>0</v>
      </c>
      <c r="BN15" s="4438">
        <f t="shared" si="58"/>
        <v>0</v>
      </c>
      <c r="BO15" s="4438">
        <f t="shared" si="59"/>
        <v>0</v>
      </c>
      <c r="BP15" s="4438">
        <f t="shared" si="60"/>
        <v>0</v>
      </c>
      <c r="BQ15" s="4438">
        <f t="shared" si="61"/>
        <v>0</v>
      </c>
      <c r="BR15" s="4438">
        <f t="shared" si="62"/>
        <v>0</v>
      </c>
      <c r="BS15" s="4438">
        <f t="shared" si="63"/>
        <v>0</v>
      </c>
      <c r="BT15" s="4438">
        <f t="shared" si="64"/>
        <v>0</v>
      </c>
      <c r="BU15" s="4438">
        <f t="shared" si="65"/>
        <v>0</v>
      </c>
      <c r="BV15" s="4438">
        <f t="shared" si="66"/>
        <v>0</v>
      </c>
      <c r="BW15" s="4438">
        <f t="shared" si="67"/>
        <v>0</v>
      </c>
      <c r="BX15" s="4438">
        <f t="shared" si="68"/>
        <v>0</v>
      </c>
      <c r="BY15" s="4438">
        <f t="shared" si="69"/>
        <v>0</v>
      </c>
      <c r="BZ15" s="4438">
        <f t="shared" si="70"/>
        <v>0</v>
      </c>
      <c r="CA15" s="4438">
        <f t="shared" si="71"/>
        <v>0</v>
      </c>
      <c r="CB15" s="4438">
        <f t="shared" si="72"/>
        <v>0</v>
      </c>
      <c r="CC15" s="4438">
        <f t="shared" si="73"/>
        <v>0</v>
      </c>
      <c r="CD15" s="4438">
        <f t="shared" si="74"/>
        <v>0</v>
      </c>
    </row>
    <row r="16" spans="1:94" s="659" customFormat="1">
      <c r="A16" s="2854"/>
      <c r="B16" s="2574">
        <v>20201</v>
      </c>
      <c r="C16" s="2855">
        <v>0.03</v>
      </c>
      <c r="D16" s="2856" t="s">
        <v>425</v>
      </c>
      <c r="E16" s="4387">
        <f>SUMIF('11.3. ДА Базова година'!$B$12:$B$39,$B16,'11.3. ДА Базова година'!F$12:F$39)+SUMIF('11.3. ДА Базова година'!$B$92:$B$110,$B16,'11.3. ДА Базова година'!F$92:F$110)</f>
        <v>0</v>
      </c>
      <c r="F16" s="404"/>
      <c r="G16" s="402"/>
      <c r="H16" s="402"/>
      <c r="I16" s="402">
        <v>22</v>
      </c>
      <c r="J16" s="402"/>
      <c r="K16" s="264">
        <v>84</v>
      </c>
      <c r="L16" s="4387">
        <f>SUMIF('11.3. ДА Базова година'!$B$12:$B$39,$B16,'11.3. ДА Базова година'!J$12:J$39)+SUMIF('11.3. ДА Базова година'!$B$92:$B$110,$B16,'11.3. ДА Базова година'!J$92:J$110)</f>
        <v>0</v>
      </c>
      <c r="M16" s="404"/>
      <c r="N16" s="402"/>
      <c r="O16" s="402"/>
      <c r="P16" s="402"/>
      <c r="Q16" s="402"/>
      <c r="R16" s="264"/>
      <c r="S16" s="4387">
        <f>SUMIF('11.3. ДА Базова година'!$B$12:$B$39,$B16,'11.3. ДА Базова година'!N$12:N$39)+SUMIF('11.3. ДА Базова година'!$B$92:$B$110,$B16,'11.3. ДА Базова година'!N$92:N$110)</f>
        <v>0</v>
      </c>
      <c r="T16" s="404"/>
      <c r="U16" s="402"/>
      <c r="V16" s="402"/>
      <c r="W16" s="402"/>
      <c r="X16" s="402"/>
      <c r="Y16" s="403"/>
      <c r="Z16" s="4387">
        <f>SUMIF('11.3. ДА Базова година'!$B$12:$B$39,$B16,'11.3. ДА Базова година'!R$12:R$39)+SUMIF('11.3. ДА Базова година'!$B$92:$B$110,$B16,'11.3. ДА Базова година'!R$92:R$110)</f>
        <v>0</v>
      </c>
      <c r="AA16" s="404"/>
      <c r="AB16" s="402"/>
      <c r="AC16" s="402"/>
      <c r="AD16" s="402"/>
      <c r="AE16" s="402"/>
      <c r="AF16" s="403"/>
      <c r="AG16" s="4387">
        <f>SUMIF('11.3. ДА Базова година'!$B$12:$B$39,$B16,'11.3. ДА Базова година'!V$12:V$39)+SUMIF('11.3. ДА Базова година'!$B$92:$B$110,$B16,'11.3. ДА Базова година'!V$92:V$110)</f>
        <v>0</v>
      </c>
      <c r="AH16" s="404"/>
      <c r="AI16" s="402"/>
      <c r="AJ16" s="402"/>
      <c r="AK16" s="402"/>
      <c r="AL16" s="402"/>
      <c r="AM16" s="264"/>
      <c r="AN16" s="4066"/>
      <c r="AO16" s="2988"/>
      <c r="AP16" s="2989"/>
      <c r="AQ16" s="2989"/>
      <c r="AR16" s="2989"/>
      <c r="AS16" s="2989"/>
      <c r="AT16" s="2990"/>
      <c r="AU16" s="4422"/>
      <c r="AV16" s="4438">
        <f t="shared" si="40"/>
        <v>0</v>
      </c>
      <c r="AW16" s="4438">
        <f t="shared" si="41"/>
        <v>0</v>
      </c>
      <c r="AX16" s="4438">
        <f t="shared" si="42"/>
        <v>0</v>
      </c>
      <c r="AY16" s="4438">
        <f t="shared" si="43"/>
        <v>0</v>
      </c>
      <c r="AZ16" s="4438">
        <f t="shared" si="44"/>
        <v>11.248421386316807</v>
      </c>
      <c r="BA16" s="4438">
        <f t="shared" si="45"/>
        <v>0</v>
      </c>
      <c r="BB16" s="4438">
        <f t="shared" si="46"/>
        <v>42.948518020482354</v>
      </c>
      <c r="BC16" s="4438">
        <f t="shared" si="47"/>
        <v>0</v>
      </c>
      <c r="BD16" s="4438">
        <f t="shared" si="48"/>
        <v>0</v>
      </c>
      <c r="BE16" s="4438">
        <f t="shared" si="49"/>
        <v>0</v>
      </c>
      <c r="BF16" s="4438">
        <f t="shared" si="50"/>
        <v>0</v>
      </c>
      <c r="BG16" s="4438">
        <f t="shared" si="51"/>
        <v>0</v>
      </c>
      <c r="BH16" s="4438">
        <f t="shared" si="52"/>
        <v>0</v>
      </c>
      <c r="BI16" s="4438">
        <f t="shared" si="53"/>
        <v>0</v>
      </c>
      <c r="BJ16" s="4438">
        <f t="shared" si="54"/>
        <v>0</v>
      </c>
      <c r="BK16" s="4438">
        <f t="shared" si="55"/>
        <v>0</v>
      </c>
      <c r="BL16" s="4438">
        <f t="shared" si="56"/>
        <v>0</v>
      </c>
      <c r="BM16" s="4438">
        <f t="shared" si="57"/>
        <v>0</v>
      </c>
      <c r="BN16" s="4438">
        <f t="shared" si="58"/>
        <v>0</v>
      </c>
      <c r="BO16" s="4438">
        <f t="shared" si="59"/>
        <v>0</v>
      </c>
      <c r="BP16" s="4438">
        <f t="shared" si="60"/>
        <v>0</v>
      </c>
      <c r="BQ16" s="4438">
        <f t="shared" si="61"/>
        <v>0</v>
      </c>
      <c r="BR16" s="4438">
        <f t="shared" si="62"/>
        <v>0</v>
      </c>
      <c r="BS16" s="4438">
        <f t="shared" si="63"/>
        <v>0</v>
      </c>
      <c r="BT16" s="4438">
        <f t="shared" si="64"/>
        <v>0</v>
      </c>
      <c r="BU16" s="4438">
        <f t="shared" si="65"/>
        <v>0</v>
      </c>
      <c r="BV16" s="4438">
        <f t="shared" si="66"/>
        <v>0</v>
      </c>
      <c r="BW16" s="4438">
        <f t="shared" si="67"/>
        <v>0</v>
      </c>
      <c r="BX16" s="4438">
        <f t="shared" si="68"/>
        <v>0</v>
      </c>
      <c r="BY16" s="4438">
        <f t="shared" si="69"/>
        <v>0</v>
      </c>
      <c r="BZ16" s="4438">
        <f t="shared" si="70"/>
        <v>0</v>
      </c>
      <c r="CA16" s="4438">
        <f t="shared" si="71"/>
        <v>0</v>
      </c>
      <c r="CB16" s="4438">
        <f t="shared" si="72"/>
        <v>0</v>
      </c>
      <c r="CC16" s="4438">
        <f t="shared" si="73"/>
        <v>0</v>
      </c>
      <c r="CD16" s="4438">
        <f t="shared" si="74"/>
        <v>0</v>
      </c>
    </row>
    <row r="17" spans="1:82" s="659" customFormat="1">
      <c r="A17" s="2854"/>
      <c r="B17" s="2574">
        <v>20202</v>
      </c>
      <c r="C17" s="2855">
        <v>0.03</v>
      </c>
      <c r="D17" s="2856" t="s">
        <v>426</v>
      </c>
      <c r="E17" s="4387">
        <f>SUMIF('11.3. ДА Базова година'!$B$12:$B$39,$B17,'11.3. ДА Базова година'!F$12:F$39)+SUMIF('11.3. ДА Базова година'!$B$92:$B$110,$B17,'11.3. ДА Базова година'!F$92:F$110)</f>
        <v>7</v>
      </c>
      <c r="F17" s="404"/>
      <c r="G17" s="402"/>
      <c r="H17" s="402"/>
      <c r="I17" s="402"/>
      <c r="J17" s="402"/>
      <c r="K17" s="264"/>
      <c r="L17" s="4387">
        <f>SUMIF('11.3. ДА Базова година'!$B$12:$B$39,$B17,'11.3. ДА Базова година'!J$12:J$39)+SUMIF('11.3. ДА Базова година'!$B$92:$B$110,$B17,'11.3. ДА Базова година'!J$92:J$110)</f>
        <v>0</v>
      </c>
      <c r="M17" s="404"/>
      <c r="N17" s="402"/>
      <c r="O17" s="402"/>
      <c r="P17" s="402"/>
      <c r="Q17" s="402"/>
      <c r="R17" s="264"/>
      <c r="S17" s="4387">
        <f>SUMIF('11.3. ДА Базова година'!$B$12:$B$39,$B17,'11.3. ДА Базова година'!N$12:N$39)+SUMIF('11.3. ДА Базова година'!$B$92:$B$110,$B17,'11.3. ДА Базова година'!N$92:N$110)</f>
        <v>0</v>
      </c>
      <c r="T17" s="404"/>
      <c r="U17" s="402"/>
      <c r="V17" s="402"/>
      <c r="W17" s="402"/>
      <c r="X17" s="402"/>
      <c r="Y17" s="403"/>
      <c r="Z17" s="4387">
        <f>SUMIF('11.3. ДА Базова година'!$B$12:$B$39,$B17,'11.3. ДА Базова година'!R$12:R$39)+SUMIF('11.3. ДА Базова година'!$B$92:$B$110,$B17,'11.3. ДА Базова година'!R$92:R$110)</f>
        <v>0</v>
      </c>
      <c r="AA17" s="404"/>
      <c r="AB17" s="402"/>
      <c r="AC17" s="402"/>
      <c r="AD17" s="402"/>
      <c r="AE17" s="402"/>
      <c r="AF17" s="403"/>
      <c r="AG17" s="4387">
        <f>SUMIF('11.3. ДА Базова година'!$B$12:$B$39,$B17,'11.3. ДА Базова година'!V$12:V$39)+SUMIF('11.3. ДА Базова година'!$B$92:$B$110,$B17,'11.3. ДА Базова година'!V$92:V$110)</f>
        <v>0</v>
      </c>
      <c r="AH17" s="404"/>
      <c r="AI17" s="402"/>
      <c r="AJ17" s="402"/>
      <c r="AK17" s="402"/>
      <c r="AL17" s="402"/>
      <c r="AM17" s="264"/>
      <c r="AN17" s="4066"/>
      <c r="AO17" s="2988"/>
      <c r="AP17" s="2989"/>
      <c r="AQ17" s="2989"/>
      <c r="AR17" s="2989"/>
      <c r="AS17" s="2989"/>
      <c r="AT17" s="2990"/>
      <c r="AU17" s="4422"/>
      <c r="AV17" s="4438">
        <f t="shared" si="40"/>
        <v>3.5790431683735293</v>
      </c>
      <c r="AW17" s="4438">
        <f t="shared" si="41"/>
        <v>0</v>
      </c>
      <c r="AX17" s="4438">
        <f t="shared" si="42"/>
        <v>0</v>
      </c>
      <c r="AY17" s="4438">
        <f t="shared" si="43"/>
        <v>0</v>
      </c>
      <c r="AZ17" s="4438">
        <f t="shared" si="44"/>
        <v>0</v>
      </c>
      <c r="BA17" s="4438">
        <f t="shared" si="45"/>
        <v>0</v>
      </c>
      <c r="BB17" s="4438">
        <f t="shared" si="46"/>
        <v>0</v>
      </c>
      <c r="BC17" s="4438">
        <f t="shared" si="47"/>
        <v>0</v>
      </c>
      <c r="BD17" s="4438">
        <f t="shared" si="48"/>
        <v>0</v>
      </c>
      <c r="BE17" s="4438">
        <f t="shared" si="49"/>
        <v>0</v>
      </c>
      <c r="BF17" s="4438">
        <f t="shared" si="50"/>
        <v>0</v>
      </c>
      <c r="BG17" s="4438">
        <f t="shared" si="51"/>
        <v>0</v>
      </c>
      <c r="BH17" s="4438">
        <f t="shared" si="52"/>
        <v>0</v>
      </c>
      <c r="BI17" s="4438">
        <f t="shared" si="53"/>
        <v>0</v>
      </c>
      <c r="BJ17" s="4438">
        <f t="shared" si="54"/>
        <v>0</v>
      </c>
      <c r="BK17" s="4438">
        <f t="shared" si="55"/>
        <v>0</v>
      </c>
      <c r="BL17" s="4438">
        <f t="shared" si="56"/>
        <v>0</v>
      </c>
      <c r="BM17" s="4438">
        <f t="shared" si="57"/>
        <v>0</v>
      </c>
      <c r="BN17" s="4438">
        <f t="shared" si="58"/>
        <v>0</v>
      </c>
      <c r="BO17" s="4438">
        <f t="shared" si="59"/>
        <v>0</v>
      </c>
      <c r="BP17" s="4438">
        <f t="shared" si="60"/>
        <v>0</v>
      </c>
      <c r="BQ17" s="4438">
        <f t="shared" si="61"/>
        <v>0</v>
      </c>
      <c r="BR17" s="4438">
        <f t="shared" si="62"/>
        <v>0</v>
      </c>
      <c r="BS17" s="4438">
        <f t="shared" si="63"/>
        <v>0</v>
      </c>
      <c r="BT17" s="4438">
        <f t="shared" si="64"/>
        <v>0</v>
      </c>
      <c r="BU17" s="4438">
        <f t="shared" si="65"/>
        <v>0</v>
      </c>
      <c r="BV17" s="4438">
        <f t="shared" si="66"/>
        <v>0</v>
      </c>
      <c r="BW17" s="4438">
        <f t="shared" si="67"/>
        <v>0</v>
      </c>
      <c r="BX17" s="4438">
        <f t="shared" si="68"/>
        <v>0</v>
      </c>
      <c r="BY17" s="4438">
        <f t="shared" si="69"/>
        <v>0</v>
      </c>
      <c r="BZ17" s="4438">
        <f t="shared" si="70"/>
        <v>0</v>
      </c>
      <c r="CA17" s="4438">
        <f t="shared" si="71"/>
        <v>0</v>
      </c>
      <c r="CB17" s="4438">
        <f t="shared" si="72"/>
        <v>0</v>
      </c>
      <c r="CC17" s="4438">
        <f t="shared" si="73"/>
        <v>0</v>
      </c>
      <c r="CD17" s="4438">
        <f t="shared" si="74"/>
        <v>0</v>
      </c>
    </row>
    <row r="18" spans="1:82" s="40" customFormat="1" ht="12.75" customHeight="1">
      <c r="A18" s="2845">
        <v>3</v>
      </c>
      <c r="B18" s="2846">
        <v>203</v>
      </c>
      <c r="C18" s="2847"/>
      <c r="D18" s="2857" t="s">
        <v>405</v>
      </c>
      <c r="E18" s="2849">
        <f t="shared" ref="E18:AN18" si="77">SUM(E19:E29)-E22-E25</f>
        <v>1588</v>
      </c>
      <c r="F18" s="2850">
        <f t="shared" si="77"/>
        <v>54</v>
      </c>
      <c r="G18" s="2851">
        <f>SUM(G19:G29)-G22-G25</f>
        <v>10</v>
      </c>
      <c r="H18" s="2851">
        <f t="shared" si="77"/>
        <v>181</v>
      </c>
      <c r="I18" s="2851">
        <f t="shared" si="77"/>
        <v>157</v>
      </c>
      <c r="J18" s="2851">
        <f t="shared" si="77"/>
        <v>181</v>
      </c>
      <c r="K18" s="2852">
        <f t="shared" si="77"/>
        <v>101</v>
      </c>
      <c r="L18" s="2849">
        <f t="shared" si="77"/>
        <v>78</v>
      </c>
      <c r="M18" s="2850">
        <f t="shared" si="77"/>
        <v>0</v>
      </c>
      <c r="N18" s="2851">
        <f t="shared" si="77"/>
        <v>0</v>
      </c>
      <c r="O18" s="2851">
        <f t="shared" si="77"/>
        <v>1</v>
      </c>
      <c r="P18" s="2851">
        <f t="shared" si="77"/>
        <v>0</v>
      </c>
      <c r="Q18" s="2851">
        <f t="shared" si="77"/>
        <v>2</v>
      </c>
      <c r="R18" s="2852">
        <f t="shared" si="77"/>
        <v>27</v>
      </c>
      <c r="S18" s="2849">
        <f t="shared" si="77"/>
        <v>153</v>
      </c>
      <c r="T18" s="2850">
        <f t="shared" si="77"/>
        <v>2</v>
      </c>
      <c r="U18" s="2851">
        <f t="shared" si="77"/>
        <v>0</v>
      </c>
      <c r="V18" s="2851">
        <f t="shared" si="77"/>
        <v>0</v>
      </c>
      <c r="W18" s="2851">
        <f t="shared" si="77"/>
        <v>0</v>
      </c>
      <c r="X18" s="2851">
        <f t="shared" si="77"/>
        <v>7</v>
      </c>
      <c r="Y18" s="2853">
        <f t="shared" si="77"/>
        <v>0</v>
      </c>
      <c r="Z18" s="2849">
        <f t="shared" ref="Z18:AM18" si="78">SUM(Z19:Z29)-Z22-Z25</f>
        <v>0</v>
      </c>
      <c r="AA18" s="2850">
        <f t="shared" si="78"/>
        <v>0</v>
      </c>
      <c r="AB18" s="2851">
        <f t="shared" si="78"/>
        <v>0</v>
      </c>
      <c r="AC18" s="2851">
        <f t="shared" si="78"/>
        <v>0</v>
      </c>
      <c r="AD18" s="2851">
        <f t="shared" si="78"/>
        <v>0</v>
      </c>
      <c r="AE18" s="2851">
        <f t="shared" si="78"/>
        <v>0</v>
      </c>
      <c r="AF18" s="2853">
        <f t="shared" si="78"/>
        <v>0</v>
      </c>
      <c r="AG18" s="2849">
        <f t="shared" si="78"/>
        <v>0</v>
      </c>
      <c r="AH18" s="2850">
        <f t="shared" si="78"/>
        <v>0</v>
      </c>
      <c r="AI18" s="2851">
        <f>SUM(AI19:AI29)-AI22-AI25</f>
        <v>0</v>
      </c>
      <c r="AJ18" s="2851">
        <f t="shared" si="78"/>
        <v>0</v>
      </c>
      <c r="AK18" s="2851">
        <f t="shared" si="78"/>
        <v>0</v>
      </c>
      <c r="AL18" s="2851">
        <f t="shared" si="78"/>
        <v>0</v>
      </c>
      <c r="AM18" s="2852">
        <f t="shared" si="78"/>
        <v>0</v>
      </c>
      <c r="AN18" s="4067">
        <f t="shared" si="77"/>
        <v>0</v>
      </c>
      <c r="AO18" s="2988"/>
      <c r="AP18" s="2989"/>
      <c r="AQ18" s="2989"/>
      <c r="AR18" s="2989"/>
      <c r="AS18" s="2989"/>
      <c r="AT18" s="2990"/>
      <c r="AU18" s="4422"/>
      <c r="AV18" s="4438">
        <f t="shared" si="40"/>
        <v>811.93150733959499</v>
      </c>
      <c r="AW18" s="4438">
        <f t="shared" si="41"/>
        <v>27.609761584595798</v>
      </c>
      <c r="AX18" s="4438">
        <f t="shared" si="42"/>
        <v>5.1129188119621851</v>
      </c>
      <c r="AY18" s="4438">
        <f t="shared" si="43"/>
        <v>92.543830496515554</v>
      </c>
      <c r="AZ18" s="4438">
        <f t="shared" si="44"/>
        <v>80.272825347806304</v>
      </c>
      <c r="BA18" s="4438">
        <f t="shared" si="45"/>
        <v>92.543830496515554</v>
      </c>
      <c r="BB18" s="4438">
        <f t="shared" si="46"/>
        <v>51.640480000818066</v>
      </c>
      <c r="BC18" s="4438">
        <f t="shared" si="47"/>
        <v>39.880766733305045</v>
      </c>
      <c r="BD18" s="4438">
        <f t="shared" si="48"/>
        <v>0</v>
      </c>
      <c r="BE18" s="4438">
        <f t="shared" si="49"/>
        <v>0</v>
      </c>
      <c r="BF18" s="4438">
        <f t="shared" si="50"/>
        <v>0.51129188119621849</v>
      </c>
      <c r="BG18" s="4438">
        <f t="shared" si="51"/>
        <v>0</v>
      </c>
      <c r="BH18" s="4438">
        <f t="shared" si="52"/>
        <v>1.022583762392437</v>
      </c>
      <c r="BI18" s="4438">
        <f t="shared" si="53"/>
        <v>13.804880792297899</v>
      </c>
      <c r="BJ18" s="4438">
        <f t="shared" si="54"/>
        <v>78.227657823021431</v>
      </c>
      <c r="BK18" s="4438">
        <f t="shared" si="55"/>
        <v>1.022583762392437</v>
      </c>
      <c r="BL18" s="4438">
        <f t="shared" si="56"/>
        <v>0</v>
      </c>
      <c r="BM18" s="4438">
        <f t="shared" si="57"/>
        <v>0</v>
      </c>
      <c r="BN18" s="4438">
        <f t="shared" si="58"/>
        <v>0</v>
      </c>
      <c r="BO18" s="4438">
        <f t="shared" si="59"/>
        <v>3.5790431683735293</v>
      </c>
      <c r="BP18" s="4438">
        <f t="shared" si="60"/>
        <v>0</v>
      </c>
      <c r="BQ18" s="4438">
        <f t="shared" si="61"/>
        <v>0</v>
      </c>
      <c r="BR18" s="4438">
        <f t="shared" si="62"/>
        <v>0</v>
      </c>
      <c r="BS18" s="4438">
        <f t="shared" si="63"/>
        <v>0</v>
      </c>
      <c r="BT18" s="4438">
        <f t="shared" si="64"/>
        <v>0</v>
      </c>
      <c r="BU18" s="4438">
        <f t="shared" si="65"/>
        <v>0</v>
      </c>
      <c r="BV18" s="4438">
        <f t="shared" si="66"/>
        <v>0</v>
      </c>
      <c r="BW18" s="4438">
        <f t="shared" si="67"/>
        <v>0</v>
      </c>
      <c r="BX18" s="4438">
        <f t="shared" si="68"/>
        <v>0</v>
      </c>
      <c r="BY18" s="4438">
        <f t="shared" si="69"/>
        <v>0</v>
      </c>
      <c r="BZ18" s="4438">
        <f t="shared" si="70"/>
        <v>0</v>
      </c>
      <c r="CA18" s="4438">
        <f t="shared" si="71"/>
        <v>0</v>
      </c>
      <c r="CB18" s="4438">
        <f t="shared" si="72"/>
        <v>0</v>
      </c>
      <c r="CC18" s="4438">
        <f t="shared" si="73"/>
        <v>0</v>
      </c>
      <c r="CD18" s="4438">
        <f t="shared" si="74"/>
        <v>0</v>
      </c>
    </row>
    <row r="19" spans="1:82" s="659" customFormat="1">
      <c r="A19" s="2854"/>
      <c r="B19" s="2574">
        <v>20301</v>
      </c>
      <c r="C19" s="2855">
        <v>0.1</v>
      </c>
      <c r="D19" s="2858" t="s">
        <v>427</v>
      </c>
      <c r="E19" s="4387">
        <f>SUMIF('11.3. ДА Базова година'!$B$12:$B$39,$B19,'11.3. ДА Базова година'!F$12:F$39)+SUMIF('11.3. ДА Базова година'!$B$92:$B$110,$B19,'11.3. ДА Базова година'!F$92:F$110)</f>
        <v>4</v>
      </c>
      <c r="F19" s="404">
        <v>13</v>
      </c>
      <c r="G19" s="402"/>
      <c r="H19" s="402"/>
      <c r="I19" s="402"/>
      <c r="J19" s="402"/>
      <c r="K19" s="264"/>
      <c r="L19" s="4387">
        <f>SUMIF('11.3. ДА Базова година'!$B$12:$B$39,$B19,'11.3. ДА Базова година'!J$12:J$39)+SUMIF('11.3. ДА Базова година'!$B$92:$B$110,$B19,'11.3. ДА Базова година'!J$92:J$110)</f>
        <v>0</v>
      </c>
      <c r="M19" s="404"/>
      <c r="N19" s="402"/>
      <c r="O19" s="402"/>
      <c r="P19" s="402"/>
      <c r="Q19" s="402"/>
      <c r="R19" s="264"/>
      <c r="S19" s="4387">
        <f>SUMIF('11.3. ДА Базова година'!$B$12:$B$39,$B19,'11.3. ДА Базова година'!N$12:N$39)+SUMIF('11.3. ДА Базова година'!$B$92:$B$110,$B19,'11.3. ДА Базова година'!N$92:N$110)</f>
        <v>0</v>
      </c>
      <c r="T19" s="404"/>
      <c r="U19" s="402"/>
      <c r="V19" s="402"/>
      <c r="W19" s="402"/>
      <c r="X19" s="402"/>
      <c r="Y19" s="403"/>
      <c r="Z19" s="4387">
        <f>SUMIF('11.3. ДА Базова година'!$B$12:$B$39,$B19,'11.3. ДА Базова година'!R$12:R$39)+SUMIF('11.3. ДА Базова година'!$B$92:$B$110,$B19,'11.3. ДА Базова година'!R$92:R$110)</f>
        <v>0</v>
      </c>
      <c r="AA19" s="404"/>
      <c r="AB19" s="402"/>
      <c r="AC19" s="402"/>
      <c r="AD19" s="402"/>
      <c r="AE19" s="402"/>
      <c r="AF19" s="403"/>
      <c r="AG19" s="4387">
        <f>SUMIF('11.3. ДА Базова година'!$B$12:$B$39,$B19,'11.3. ДА Базова година'!V$12:V$39)+SUMIF('11.3. ДА Базова година'!$B$92:$B$110,$B19,'11.3. ДА Базова година'!V$92:V$110)</f>
        <v>0</v>
      </c>
      <c r="AH19" s="404"/>
      <c r="AI19" s="402"/>
      <c r="AJ19" s="402"/>
      <c r="AK19" s="402"/>
      <c r="AL19" s="402"/>
      <c r="AM19" s="264"/>
      <c r="AN19" s="4066"/>
      <c r="AO19" s="2988"/>
      <c r="AP19" s="2989"/>
      <c r="AQ19" s="2989"/>
      <c r="AR19" s="2989"/>
      <c r="AS19" s="2989"/>
      <c r="AT19" s="2990"/>
      <c r="AU19" s="4422"/>
      <c r="AV19" s="4438">
        <f t="shared" si="40"/>
        <v>2.045167524784874</v>
      </c>
      <c r="AW19" s="4438">
        <f t="shared" si="41"/>
        <v>6.6467944555508405</v>
      </c>
      <c r="AX19" s="4438">
        <f t="shared" si="42"/>
        <v>0</v>
      </c>
      <c r="AY19" s="4438">
        <f t="shared" si="43"/>
        <v>0</v>
      </c>
      <c r="AZ19" s="4438">
        <f t="shared" si="44"/>
        <v>0</v>
      </c>
      <c r="BA19" s="4438">
        <f t="shared" si="45"/>
        <v>0</v>
      </c>
      <c r="BB19" s="4438">
        <f t="shared" si="46"/>
        <v>0</v>
      </c>
      <c r="BC19" s="4438">
        <f t="shared" si="47"/>
        <v>0</v>
      </c>
      <c r="BD19" s="4438">
        <f t="shared" si="48"/>
        <v>0</v>
      </c>
      <c r="BE19" s="4438">
        <f t="shared" si="49"/>
        <v>0</v>
      </c>
      <c r="BF19" s="4438">
        <f t="shared" si="50"/>
        <v>0</v>
      </c>
      <c r="BG19" s="4438">
        <f t="shared" si="51"/>
        <v>0</v>
      </c>
      <c r="BH19" s="4438">
        <f t="shared" si="52"/>
        <v>0</v>
      </c>
      <c r="BI19" s="4438">
        <f t="shared" si="53"/>
        <v>0</v>
      </c>
      <c r="BJ19" s="4438">
        <f t="shared" si="54"/>
        <v>0</v>
      </c>
      <c r="BK19" s="4438">
        <f t="shared" si="55"/>
        <v>0</v>
      </c>
      <c r="BL19" s="4438">
        <f t="shared" si="56"/>
        <v>0</v>
      </c>
      <c r="BM19" s="4438">
        <f t="shared" si="57"/>
        <v>0</v>
      </c>
      <c r="BN19" s="4438">
        <f t="shared" si="58"/>
        <v>0</v>
      </c>
      <c r="BO19" s="4438">
        <f t="shared" si="59"/>
        <v>0</v>
      </c>
      <c r="BP19" s="4438">
        <f t="shared" si="60"/>
        <v>0</v>
      </c>
      <c r="BQ19" s="4438">
        <f t="shared" si="61"/>
        <v>0</v>
      </c>
      <c r="BR19" s="4438">
        <f t="shared" si="62"/>
        <v>0</v>
      </c>
      <c r="BS19" s="4438">
        <f t="shared" si="63"/>
        <v>0</v>
      </c>
      <c r="BT19" s="4438">
        <f t="shared" si="64"/>
        <v>0</v>
      </c>
      <c r="BU19" s="4438">
        <f t="shared" si="65"/>
        <v>0</v>
      </c>
      <c r="BV19" s="4438">
        <f t="shared" si="66"/>
        <v>0</v>
      </c>
      <c r="BW19" s="4438">
        <f t="shared" si="67"/>
        <v>0</v>
      </c>
      <c r="BX19" s="4438">
        <f t="shared" si="68"/>
        <v>0</v>
      </c>
      <c r="BY19" s="4438">
        <f t="shared" si="69"/>
        <v>0</v>
      </c>
      <c r="BZ19" s="4438">
        <f t="shared" si="70"/>
        <v>0</v>
      </c>
      <c r="CA19" s="4438">
        <f t="shared" si="71"/>
        <v>0</v>
      </c>
      <c r="CB19" s="4438">
        <f t="shared" si="72"/>
        <v>0</v>
      </c>
      <c r="CC19" s="4438">
        <f t="shared" si="73"/>
        <v>0</v>
      </c>
      <c r="CD19" s="4438">
        <f t="shared" si="74"/>
        <v>0</v>
      </c>
    </row>
    <row r="20" spans="1:82" s="659" customFormat="1">
      <c r="A20" s="2854"/>
      <c r="B20" s="2574">
        <v>20302</v>
      </c>
      <c r="C20" s="2855">
        <v>0.1</v>
      </c>
      <c r="D20" s="2858" t="s">
        <v>428</v>
      </c>
      <c r="E20" s="4387">
        <f>SUMIF('11.3. ДА Базова година'!$B$12:$B$39,$B20,'11.3. ДА Базова година'!F$12:F$39)+SUMIF('11.3. ДА Базова година'!$B$92:$B$110,$B20,'11.3. ДА Базова година'!F$92:F$110)</f>
        <v>23</v>
      </c>
      <c r="F20" s="404">
        <v>11</v>
      </c>
      <c r="G20" s="402">
        <v>8</v>
      </c>
      <c r="H20" s="402"/>
      <c r="I20" s="402"/>
      <c r="J20" s="402"/>
      <c r="K20" s="264"/>
      <c r="L20" s="4387">
        <f>SUMIF('11.3. ДА Базова година'!$B$12:$B$39,$B20,'11.3. ДА Базова година'!J$12:J$39)+SUMIF('11.3. ДА Базова година'!$B$92:$B$110,$B20,'11.3. ДА Базова година'!J$92:J$110)</f>
        <v>0</v>
      </c>
      <c r="M20" s="404"/>
      <c r="N20" s="402"/>
      <c r="O20" s="402"/>
      <c r="P20" s="402"/>
      <c r="Q20" s="402"/>
      <c r="R20" s="264"/>
      <c r="S20" s="4387">
        <f>SUMIF('11.3. ДА Базова година'!$B$12:$B$39,$B20,'11.3. ДА Базова година'!N$12:N$39)+SUMIF('11.3. ДА Базова година'!$B$92:$B$110,$B20,'11.3. ДА Базова година'!N$92:N$110)</f>
        <v>0</v>
      </c>
      <c r="T20" s="404"/>
      <c r="U20" s="402"/>
      <c r="V20" s="402"/>
      <c r="W20" s="402"/>
      <c r="X20" s="402"/>
      <c r="Y20" s="403"/>
      <c r="Z20" s="4387">
        <f>SUMIF('11.3. ДА Базова година'!$B$12:$B$39,$B20,'11.3. ДА Базова година'!R$12:R$39)+SUMIF('11.3. ДА Базова година'!$B$92:$B$110,$B20,'11.3. ДА Базова година'!R$92:R$110)</f>
        <v>0</v>
      </c>
      <c r="AA20" s="404"/>
      <c r="AB20" s="402"/>
      <c r="AC20" s="402"/>
      <c r="AD20" s="402"/>
      <c r="AE20" s="402"/>
      <c r="AF20" s="403"/>
      <c r="AG20" s="4387">
        <f>SUMIF('11.3. ДА Базова година'!$B$12:$B$39,$B20,'11.3. ДА Базова година'!V$12:V$39)+SUMIF('11.3. ДА Базова година'!$B$92:$B$110,$B20,'11.3. ДА Базова година'!V$92:V$110)</f>
        <v>0</v>
      </c>
      <c r="AH20" s="404"/>
      <c r="AI20" s="402"/>
      <c r="AJ20" s="402"/>
      <c r="AK20" s="402"/>
      <c r="AL20" s="402"/>
      <c r="AM20" s="264"/>
      <c r="AN20" s="4066"/>
      <c r="AO20" s="2988"/>
      <c r="AP20" s="2989"/>
      <c r="AQ20" s="2989"/>
      <c r="AR20" s="2989"/>
      <c r="AS20" s="2989"/>
      <c r="AT20" s="2990"/>
      <c r="AU20" s="4422"/>
      <c r="AV20" s="4438">
        <f t="shared" si="40"/>
        <v>11.759713267513025</v>
      </c>
      <c r="AW20" s="4438">
        <f t="shared" si="41"/>
        <v>5.6242106931584033</v>
      </c>
      <c r="AX20" s="4438">
        <f t="shared" si="42"/>
        <v>4.0903350495697479</v>
      </c>
      <c r="AY20" s="4438">
        <f t="shared" si="43"/>
        <v>0</v>
      </c>
      <c r="AZ20" s="4438">
        <f t="shared" si="44"/>
        <v>0</v>
      </c>
      <c r="BA20" s="4438">
        <f t="shared" si="45"/>
        <v>0</v>
      </c>
      <c r="BB20" s="4438">
        <f t="shared" si="46"/>
        <v>0</v>
      </c>
      <c r="BC20" s="4438">
        <f t="shared" si="47"/>
        <v>0</v>
      </c>
      <c r="BD20" s="4438">
        <f t="shared" si="48"/>
        <v>0</v>
      </c>
      <c r="BE20" s="4438">
        <f t="shared" si="49"/>
        <v>0</v>
      </c>
      <c r="BF20" s="4438">
        <f t="shared" si="50"/>
        <v>0</v>
      </c>
      <c r="BG20" s="4438">
        <f t="shared" si="51"/>
        <v>0</v>
      </c>
      <c r="BH20" s="4438">
        <f t="shared" si="52"/>
        <v>0</v>
      </c>
      <c r="BI20" s="4438">
        <f t="shared" si="53"/>
        <v>0</v>
      </c>
      <c r="BJ20" s="4438">
        <f t="shared" si="54"/>
        <v>0</v>
      </c>
      <c r="BK20" s="4438">
        <f t="shared" si="55"/>
        <v>0</v>
      </c>
      <c r="BL20" s="4438">
        <f t="shared" si="56"/>
        <v>0</v>
      </c>
      <c r="BM20" s="4438">
        <f t="shared" si="57"/>
        <v>0</v>
      </c>
      <c r="BN20" s="4438">
        <f t="shared" si="58"/>
        <v>0</v>
      </c>
      <c r="BO20" s="4438">
        <f t="shared" si="59"/>
        <v>0</v>
      </c>
      <c r="BP20" s="4438">
        <f t="shared" si="60"/>
        <v>0</v>
      </c>
      <c r="BQ20" s="4438">
        <f t="shared" si="61"/>
        <v>0</v>
      </c>
      <c r="BR20" s="4438">
        <f t="shared" si="62"/>
        <v>0</v>
      </c>
      <c r="BS20" s="4438">
        <f t="shared" si="63"/>
        <v>0</v>
      </c>
      <c r="BT20" s="4438">
        <f t="shared" si="64"/>
        <v>0</v>
      </c>
      <c r="BU20" s="4438">
        <f t="shared" si="65"/>
        <v>0</v>
      </c>
      <c r="BV20" s="4438">
        <f t="shared" si="66"/>
        <v>0</v>
      </c>
      <c r="BW20" s="4438">
        <f t="shared" si="67"/>
        <v>0</v>
      </c>
      <c r="BX20" s="4438">
        <f t="shared" si="68"/>
        <v>0</v>
      </c>
      <c r="BY20" s="4438">
        <f t="shared" si="69"/>
        <v>0</v>
      </c>
      <c r="BZ20" s="4438">
        <f t="shared" si="70"/>
        <v>0</v>
      </c>
      <c r="CA20" s="4438">
        <f t="shared" si="71"/>
        <v>0</v>
      </c>
      <c r="CB20" s="4438">
        <f t="shared" si="72"/>
        <v>0</v>
      </c>
      <c r="CC20" s="4438">
        <f t="shared" si="73"/>
        <v>0</v>
      </c>
      <c r="CD20" s="4438">
        <f t="shared" si="74"/>
        <v>0</v>
      </c>
    </row>
    <row r="21" spans="1:82" s="659" customFormat="1">
      <c r="A21" s="2854"/>
      <c r="B21" s="2574">
        <v>20303</v>
      </c>
      <c r="C21" s="2855">
        <v>0.1</v>
      </c>
      <c r="D21" s="2858" t="s">
        <v>406</v>
      </c>
      <c r="E21" s="4387">
        <f>SUMIF('11.3. ДА Базова година'!$B$12:$B$39,$B21,'11.3. ДА Базова година'!F$12:F$39)+SUMIF('11.3. ДА Базова година'!$B$92:$B$110,$B21,'11.3. ДА Базова година'!F$92:F$110)</f>
        <v>801</v>
      </c>
      <c r="F21" s="404"/>
      <c r="G21" s="402"/>
      <c r="H21" s="402"/>
      <c r="I21" s="402">
        <v>11</v>
      </c>
      <c r="J21" s="402">
        <v>38</v>
      </c>
      <c r="K21" s="264"/>
      <c r="L21" s="4387">
        <f>SUMIF('11.3. ДА Базова година'!$B$12:$B$39,$B21,'11.3. ДА Базова година'!J$12:J$39)+SUMIF('11.3. ДА Базова година'!$B$92:$B$110,$B21,'11.3. ДА Базова година'!J$92:J$110)</f>
        <v>0</v>
      </c>
      <c r="M21" s="404"/>
      <c r="N21" s="402"/>
      <c r="O21" s="402"/>
      <c r="P21" s="402"/>
      <c r="Q21" s="402"/>
      <c r="R21" s="264"/>
      <c r="S21" s="4387">
        <f>SUMIF('11.3. ДА Базова година'!$B$12:$B$39,$B21,'11.3. ДА Базова година'!N$12:N$39)+SUMIF('11.3. ДА Базова година'!$B$92:$B$110,$B21,'11.3. ДА Базова година'!N$92:N$110)</f>
        <v>0</v>
      </c>
      <c r="T21" s="404"/>
      <c r="U21" s="402"/>
      <c r="V21" s="402"/>
      <c r="W21" s="402"/>
      <c r="X21" s="402"/>
      <c r="Y21" s="403"/>
      <c r="Z21" s="4387">
        <f>SUMIF('11.3. ДА Базова година'!$B$12:$B$39,$B21,'11.3. ДА Базова година'!R$12:R$39)+SUMIF('11.3. ДА Базова година'!$B$92:$B$110,$B21,'11.3. ДА Базова година'!R$92:R$110)</f>
        <v>0</v>
      </c>
      <c r="AA21" s="404"/>
      <c r="AB21" s="402"/>
      <c r="AC21" s="402"/>
      <c r="AD21" s="402"/>
      <c r="AE21" s="402"/>
      <c r="AF21" s="403"/>
      <c r="AG21" s="4387">
        <f>SUMIF('11.3. ДА Базова година'!$B$12:$B$39,$B21,'11.3. ДА Базова година'!V$12:V$39)+SUMIF('11.3. ДА Базова година'!$B$92:$B$110,$B21,'11.3. ДА Базова година'!V$92:V$110)</f>
        <v>0</v>
      </c>
      <c r="AH21" s="404"/>
      <c r="AI21" s="402"/>
      <c r="AJ21" s="402"/>
      <c r="AK21" s="402"/>
      <c r="AL21" s="402"/>
      <c r="AM21" s="264"/>
      <c r="AN21" s="4066"/>
      <c r="AO21" s="2988"/>
      <c r="AP21" s="2989"/>
      <c r="AQ21" s="2989"/>
      <c r="AR21" s="2989"/>
      <c r="AS21" s="2989"/>
      <c r="AT21" s="2990"/>
      <c r="AU21" s="4422"/>
      <c r="AV21" s="4438">
        <f t="shared" si="40"/>
        <v>409.54479683817101</v>
      </c>
      <c r="AW21" s="4438">
        <f t="shared" si="41"/>
        <v>0</v>
      </c>
      <c r="AX21" s="4438">
        <f t="shared" si="42"/>
        <v>0</v>
      </c>
      <c r="AY21" s="4438">
        <f t="shared" si="43"/>
        <v>0</v>
      </c>
      <c r="AZ21" s="4438">
        <f t="shared" si="44"/>
        <v>5.6242106931584033</v>
      </c>
      <c r="BA21" s="4438">
        <f t="shared" si="45"/>
        <v>19.429091485456304</v>
      </c>
      <c r="BB21" s="4438">
        <f t="shared" si="46"/>
        <v>0</v>
      </c>
      <c r="BC21" s="4438">
        <f t="shared" si="47"/>
        <v>0</v>
      </c>
      <c r="BD21" s="4438">
        <f t="shared" si="48"/>
        <v>0</v>
      </c>
      <c r="BE21" s="4438">
        <f t="shared" si="49"/>
        <v>0</v>
      </c>
      <c r="BF21" s="4438">
        <f t="shared" si="50"/>
        <v>0</v>
      </c>
      <c r="BG21" s="4438">
        <f t="shared" si="51"/>
        <v>0</v>
      </c>
      <c r="BH21" s="4438">
        <f t="shared" si="52"/>
        <v>0</v>
      </c>
      <c r="BI21" s="4438">
        <f t="shared" si="53"/>
        <v>0</v>
      </c>
      <c r="BJ21" s="4438">
        <f t="shared" si="54"/>
        <v>0</v>
      </c>
      <c r="BK21" s="4438">
        <f t="shared" si="55"/>
        <v>0</v>
      </c>
      <c r="BL21" s="4438">
        <f t="shared" si="56"/>
        <v>0</v>
      </c>
      <c r="BM21" s="4438">
        <f t="shared" si="57"/>
        <v>0</v>
      </c>
      <c r="BN21" s="4438">
        <f t="shared" si="58"/>
        <v>0</v>
      </c>
      <c r="BO21" s="4438">
        <f t="shared" si="59"/>
        <v>0</v>
      </c>
      <c r="BP21" s="4438">
        <f t="shared" si="60"/>
        <v>0</v>
      </c>
      <c r="BQ21" s="4438">
        <f t="shared" si="61"/>
        <v>0</v>
      </c>
      <c r="BR21" s="4438">
        <f t="shared" si="62"/>
        <v>0</v>
      </c>
      <c r="BS21" s="4438">
        <f t="shared" si="63"/>
        <v>0</v>
      </c>
      <c r="BT21" s="4438">
        <f t="shared" si="64"/>
        <v>0</v>
      </c>
      <c r="BU21" s="4438">
        <f t="shared" si="65"/>
        <v>0</v>
      </c>
      <c r="BV21" s="4438">
        <f t="shared" si="66"/>
        <v>0</v>
      </c>
      <c r="BW21" s="4438">
        <f t="shared" si="67"/>
        <v>0</v>
      </c>
      <c r="BX21" s="4438">
        <f t="shared" si="68"/>
        <v>0</v>
      </c>
      <c r="BY21" s="4438">
        <f t="shared" si="69"/>
        <v>0</v>
      </c>
      <c r="BZ21" s="4438">
        <f t="shared" si="70"/>
        <v>0</v>
      </c>
      <c r="CA21" s="4438">
        <f t="shared" si="71"/>
        <v>0</v>
      </c>
      <c r="CB21" s="4438">
        <f t="shared" si="72"/>
        <v>0</v>
      </c>
      <c r="CC21" s="4438">
        <f t="shared" si="73"/>
        <v>0</v>
      </c>
      <c r="CD21" s="4438">
        <f t="shared" si="74"/>
        <v>0</v>
      </c>
    </row>
    <row r="22" spans="1:82" s="659" customFormat="1">
      <c r="A22" s="2854"/>
      <c r="B22" s="2574">
        <v>20304</v>
      </c>
      <c r="C22" s="2855">
        <v>0.1</v>
      </c>
      <c r="D22" s="2858" t="s">
        <v>407</v>
      </c>
      <c r="E22" s="2859">
        <f t="shared" ref="E22:AN22" si="79">SUM(E23:E24)</f>
        <v>289</v>
      </c>
      <c r="F22" s="2860">
        <f t="shared" si="79"/>
        <v>0</v>
      </c>
      <c r="G22" s="2861">
        <f t="shared" si="79"/>
        <v>0</v>
      </c>
      <c r="H22" s="2861">
        <f t="shared" si="79"/>
        <v>61</v>
      </c>
      <c r="I22" s="2861">
        <f t="shared" si="79"/>
        <v>33</v>
      </c>
      <c r="J22" s="2861">
        <f t="shared" si="79"/>
        <v>31</v>
      </c>
      <c r="K22" s="2862">
        <f t="shared" si="79"/>
        <v>40</v>
      </c>
      <c r="L22" s="2859">
        <f t="shared" si="79"/>
        <v>0</v>
      </c>
      <c r="M22" s="2860">
        <f t="shared" si="79"/>
        <v>0</v>
      </c>
      <c r="N22" s="2861">
        <f t="shared" si="79"/>
        <v>0</v>
      </c>
      <c r="O22" s="2861">
        <f t="shared" si="79"/>
        <v>1</v>
      </c>
      <c r="P22" s="2861">
        <f t="shared" si="79"/>
        <v>0</v>
      </c>
      <c r="Q22" s="2861">
        <f t="shared" si="79"/>
        <v>0</v>
      </c>
      <c r="R22" s="2862">
        <f t="shared" si="79"/>
        <v>22</v>
      </c>
      <c r="S22" s="2859">
        <f t="shared" si="79"/>
        <v>0</v>
      </c>
      <c r="T22" s="2860">
        <f t="shared" si="79"/>
        <v>0</v>
      </c>
      <c r="U22" s="2861">
        <f t="shared" si="79"/>
        <v>0</v>
      </c>
      <c r="V22" s="2861">
        <f t="shared" si="79"/>
        <v>0</v>
      </c>
      <c r="W22" s="2861">
        <f t="shared" si="79"/>
        <v>0</v>
      </c>
      <c r="X22" s="2861">
        <f t="shared" si="79"/>
        <v>1</v>
      </c>
      <c r="Y22" s="2863">
        <f t="shared" si="79"/>
        <v>0</v>
      </c>
      <c r="Z22" s="2859">
        <f t="shared" ref="Z22:AM22" si="80">SUM(Z23:Z24)</f>
        <v>0</v>
      </c>
      <c r="AA22" s="2860">
        <f t="shared" si="80"/>
        <v>0</v>
      </c>
      <c r="AB22" s="2861">
        <f t="shared" si="80"/>
        <v>0</v>
      </c>
      <c r="AC22" s="2861">
        <f t="shared" si="80"/>
        <v>0</v>
      </c>
      <c r="AD22" s="2861">
        <f t="shared" si="80"/>
        <v>0</v>
      </c>
      <c r="AE22" s="2861">
        <f t="shared" si="80"/>
        <v>0</v>
      </c>
      <c r="AF22" s="2863">
        <f t="shared" si="80"/>
        <v>0</v>
      </c>
      <c r="AG22" s="2859">
        <f t="shared" si="80"/>
        <v>0</v>
      </c>
      <c r="AH22" s="2860">
        <f t="shared" si="80"/>
        <v>0</v>
      </c>
      <c r="AI22" s="2861">
        <f t="shared" si="80"/>
        <v>0</v>
      </c>
      <c r="AJ22" s="2861">
        <f t="shared" si="80"/>
        <v>0</v>
      </c>
      <c r="AK22" s="2861">
        <f t="shared" si="80"/>
        <v>0</v>
      </c>
      <c r="AL22" s="2861">
        <f t="shared" si="80"/>
        <v>0</v>
      </c>
      <c r="AM22" s="2862">
        <f t="shared" si="80"/>
        <v>0</v>
      </c>
      <c r="AN22" s="4068">
        <f t="shared" si="79"/>
        <v>0</v>
      </c>
      <c r="AO22" s="2988"/>
      <c r="AP22" s="2989"/>
      <c r="AQ22" s="2989"/>
      <c r="AR22" s="2989"/>
      <c r="AS22" s="2989"/>
      <c r="AT22" s="2990"/>
      <c r="AU22" s="4422"/>
      <c r="AV22" s="4438">
        <f t="shared" si="40"/>
        <v>147.76335366570714</v>
      </c>
      <c r="AW22" s="4438">
        <f t="shared" si="41"/>
        <v>0</v>
      </c>
      <c r="AX22" s="4438">
        <f t="shared" si="42"/>
        <v>0</v>
      </c>
      <c r="AY22" s="4438">
        <f t="shared" si="43"/>
        <v>31.188804752969329</v>
      </c>
      <c r="AZ22" s="4438">
        <f t="shared" si="44"/>
        <v>16.87263207947521</v>
      </c>
      <c r="BA22" s="4438">
        <f t="shared" si="45"/>
        <v>15.850048317082774</v>
      </c>
      <c r="BB22" s="4438">
        <f t="shared" si="46"/>
        <v>20.45167524784874</v>
      </c>
      <c r="BC22" s="4438">
        <f t="shared" si="47"/>
        <v>0</v>
      </c>
      <c r="BD22" s="4438">
        <f t="shared" si="48"/>
        <v>0</v>
      </c>
      <c r="BE22" s="4438">
        <f t="shared" si="49"/>
        <v>0</v>
      </c>
      <c r="BF22" s="4438">
        <f t="shared" si="50"/>
        <v>0.51129188119621849</v>
      </c>
      <c r="BG22" s="4438">
        <f t="shared" si="51"/>
        <v>0</v>
      </c>
      <c r="BH22" s="4438">
        <f t="shared" si="52"/>
        <v>0</v>
      </c>
      <c r="BI22" s="4438">
        <f t="shared" si="53"/>
        <v>11.248421386316807</v>
      </c>
      <c r="BJ22" s="4438">
        <f t="shared" si="54"/>
        <v>0</v>
      </c>
      <c r="BK22" s="4438">
        <f t="shared" si="55"/>
        <v>0</v>
      </c>
      <c r="BL22" s="4438">
        <f t="shared" si="56"/>
        <v>0</v>
      </c>
      <c r="BM22" s="4438">
        <f t="shared" si="57"/>
        <v>0</v>
      </c>
      <c r="BN22" s="4438">
        <f t="shared" si="58"/>
        <v>0</v>
      </c>
      <c r="BO22" s="4438">
        <f t="shared" si="59"/>
        <v>0.51129188119621849</v>
      </c>
      <c r="BP22" s="4438">
        <f t="shared" si="60"/>
        <v>0</v>
      </c>
      <c r="BQ22" s="4438">
        <f t="shared" si="61"/>
        <v>0</v>
      </c>
      <c r="BR22" s="4438">
        <f t="shared" si="62"/>
        <v>0</v>
      </c>
      <c r="BS22" s="4438">
        <f t="shared" si="63"/>
        <v>0</v>
      </c>
      <c r="BT22" s="4438">
        <f t="shared" si="64"/>
        <v>0</v>
      </c>
      <c r="BU22" s="4438">
        <f t="shared" si="65"/>
        <v>0</v>
      </c>
      <c r="BV22" s="4438">
        <f t="shared" si="66"/>
        <v>0</v>
      </c>
      <c r="BW22" s="4438">
        <f t="shared" si="67"/>
        <v>0</v>
      </c>
      <c r="BX22" s="4438">
        <f t="shared" si="68"/>
        <v>0</v>
      </c>
      <c r="BY22" s="4438">
        <f t="shared" si="69"/>
        <v>0</v>
      </c>
      <c r="BZ22" s="4438">
        <f t="shared" si="70"/>
        <v>0</v>
      </c>
      <c r="CA22" s="4438">
        <f t="shared" si="71"/>
        <v>0</v>
      </c>
      <c r="CB22" s="4438">
        <f t="shared" si="72"/>
        <v>0</v>
      </c>
      <c r="CC22" s="4438">
        <f t="shared" si="73"/>
        <v>0</v>
      </c>
      <c r="CD22" s="4438">
        <f t="shared" si="74"/>
        <v>0</v>
      </c>
    </row>
    <row r="23" spans="1:82" s="659" customFormat="1">
      <c r="A23" s="2854"/>
      <c r="B23" s="2864">
        <v>2030401</v>
      </c>
      <c r="C23" s="2865">
        <v>0.1</v>
      </c>
      <c r="D23" s="2866" t="s">
        <v>991</v>
      </c>
      <c r="E23" s="4387">
        <f>SUMIF('11.3. ДА Базова година'!$B$12:$B$39,$B23,'11.3. ДА Базова година'!F$12:F$39)+SUMIF('11.3. ДА Базова година'!$B$92:$B$110,$B23,'11.3. ДА Базова година'!F$92:F$110)</f>
        <v>235</v>
      </c>
      <c r="F23" s="404"/>
      <c r="G23" s="402"/>
      <c r="H23" s="402">
        <v>50</v>
      </c>
      <c r="I23" s="402">
        <v>27</v>
      </c>
      <c r="J23" s="402">
        <v>13</v>
      </c>
      <c r="K23" s="264">
        <v>40</v>
      </c>
      <c r="L23" s="4387">
        <f>SUMIF('11.3. ДА Базова година'!$B$12:$B$39,$B23,'11.3. ДА Базова година'!J$12:J$39)+SUMIF('11.3. ДА Базова година'!$B$92:$B$110,$B23,'11.3. ДА Базова година'!J$92:J$110)</f>
        <v>0</v>
      </c>
      <c r="M23" s="404"/>
      <c r="N23" s="402"/>
      <c r="O23" s="402"/>
      <c r="P23" s="402"/>
      <c r="Q23" s="402"/>
      <c r="R23" s="264">
        <v>22</v>
      </c>
      <c r="S23" s="4387">
        <f>SUMIF('11.3. ДА Базова година'!$B$12:$B$39,$B23,'11.3. ДА Базова година'!N$12:N$39)+SUMIF('11.3. ДА Базова година'!$B$92:$B$110,$B23,'11.3. ДА Базова година'!N$92:N$110)</f>
        <v>0</v>
      </c>
      <c r="T23" s="404"/>
      <c r="U23" s="402"/>
      <c r="V23" s="402"/>
      <c r="W23" s="402"/>
      <c r="X23" s="402"/>
      <c r="Y23" s="403"/>
      <c r="Z23" s="4387">
        <f>SUMIF('11.3. ДА Базова година'!$B$12:$B$39,$B23,'11.3. ДА Базова година'!R$12:R$39)+SUMIF('11.3. ДА Базова година'!$B$92:$B$110,$B23,'11.3. ДА Базова година'!R$92:R$110)</f>
        <v>0</v>
      </c>
      <c r="AA23" s="404"/>
      <c r="AB23" s="402"/>
      <c r="AC23" s="402"/>
      <c r="AD23" s="402"/>
      <c r="AE23" s="402"/>
      <c r="AF23" s="403"/>
      <c r="AG23" s="4387">
        <f>SUMIF('11.3. ДА Базова година'!$B$12:$B$39,$B23,'11.3. ДА Базова година'!V$12:V$39)+SUMIF('11.3. ДА Базова година'!$B$92:$B$110,$B23,'11.3. ДА Базова година'!V$92:V$110)</f>
        <v>0</v>
      </c>
      <c r="AH23" s="404"/>
      <c r="AI23" s="402"/>
      <c r="AJ23" s="402"/>
      <c r="AK23" s="402"/>
      <c r="AL23" s="402"/>
      <c r="AM23" s="264"/>
      <c r="AN23" s="4066"/>
      <c r="AO23" s="2988"/>
      <c r="AP23" s="2989"/>
      <c r="AQ23" s="2989"/>
      <c r="AR23" s="2989"/>
      <c r="AS23" s="2989"/>
      <c r="AT23" s="2990"/>
      <c r="AU23" s="4422"/>
      <c r="AV23" s="4438">
        <f t="shared" si="40"/>
        <v>120.15359208111134</v>
      </c>
      <c r="AW23" s="4438">
        <f t="shared" si="41"/>
        <v>0</v>
      </c>
      <c r="AX23" s="4438">
        <f t="shared" si="42"/>
        <v>0</v>
      </c>
      <c r="AY23" s="4438">
        <f t="shared" si="43"/>
        <v>25.564594059810926</v>
      </c>
      <c r="AZ23" s="4438">
        <f t="shared" si="44"/>
        <v>13.804880792297899</v>
      </c>
      <c r="BA23" s="4438">
        <f t="shared" si="45"/>
        <v>6.6467944555508405</v>
      </c>
      <c r="BB23" s="4438">
        <f t="shared" si="46"/>
        <v>20.45167524784874</v>
      </c>
      <c r="BC23" s="4438">
        <f t="shared" si="47"/>
        <v>0</v>
      </c>
      <c r="BD23" s="4438">
        <f t="shared" si="48"/>
        <v>0</v>
      </c>
      <c r="BE23" s="4438">
        <f t="shared" si="49"/>
        <v>0</v>
      </c>
      <c r="BF23" s="4438">
        <f t="shared" si="50"/>
        <v>0</v>
      </c>
      <c r="BG23" s="4438">
        <f t="shared" si="51"/>
        <v>0</v>
      </c>
      <c r="BH23" s="4438">
        <f t="shared" si="52"/>
        <v>0</v>
      </c>
      <c r="BI23" s="4438">
        <f t="shared" si="53"/>
        <v>11.248421386316807</v>
      </c>
      <c r="BJ23" s="4438">
        <f t="shared" si="54"/>
        <v>0</v>
      </c>
      <c r="BK23" s="4438">
        <f t="shared" si="55"/>
        <v>0</v>
      </c>
      <c r="BL23" s="4438">
        <f t="shared" si="56"/>
        <v>0</v>
      </c>
      <c r="BM23" s="4438">
        <f t="shared" si="57"/>
        <v>0</v>
      </c>
      <c r="BN23" s="4438">
        <f t="shared" si="58"/>
        <v>0</v>
      </c>
      <c r="BO23" s="4438">
        <f t="shared" si="59"/>
        <v>0</v>
      </c>
      <c r="BP23" s="4438">
        <f t="shared" si="60"/>
        <v>0</v>
      </c>
      <c r="BQ23" s="4438">
        <f t="shared" si="61"/>
        <v>0</v>
      </c>
      <c r="BR23" s="4438">
        <f t="shared" si="62"/>
        <v>0</v>
      </c>
      <c r="BS23" s="4438">
        <f t="shared" si="63"/>
        <v>0</v>
      </c>
      <c r="BT23" s="4438">
        <f t="shared" si="64"/>
        <v>0</v>
      </c>
      <c r="BU23" s="4438">
        <f t="shared" si="65"/>
        <v>0</v>
      </c>
      <c r="BV23" s="4438">
        <f t="shared" si="66"/>
        <v>0</v>
      </c>
      <c r="BW23" s="4438">
        <f t="shared" si="67"/>
        <v>0</v>
      </c>
      <c r="BX23" s="4438">
        <f t="shared" si="68"/>
        <v>0</v>
      </c>
      <c r="BY23" s="4438">
        <f t="shared" si="69"/>
        <v>0</v>
      </c>
      <c r="BZ23" s="4438">
        <f t="shared" si="70"/>
        <v>0</v>
      </c>
      <c r="CA23" s="4438">
        <f t="shared" si="71"/>
        <v>0</v>
      </c>
      <c r="CB23" s="4438">
        <f t="shared" si="72"/>
        <v>0</v>
      </c>
      <c r="CC23" s="4438">
        <f t="shared" si="73"/>
        <v>0</v>
      </c>
      <c r="CD23" s="4438">
        <f t="shared" si="74"/>
        <v>0</v>
      </c>
    </row>
    <row r="24" spans="1:82" s="659" customFormat="1">
      <c r="A24" s="2854"/>
      <c r="B24" s="2864">
        <v>2030402</v>
      </c>
      <c r="C24" s="2865">
        <v>0.1</v>
      </c>
      <c r="D24" s="2866" t="s">
        <v>429</v>
      </c>
      <c r="E24" s="4387">
        <f>SUMIF('11.3. ДА Базова година'!$B$12:$B$39,$B24,'11.3. ДА Базова година'!F$12:F$39)+SUMIF('11.3. ДА Базова година'!$B$92:$B$110,$B24,'11.3. ДА Базова година'!F$92:F$110)</f>
        <v>54</v>
      </c>
      <c r="F24" s="404"/>
      <c r="G24" s="402"/>
      <c r="H24" s="402">
        <v>11</v>
      </c>
      <c r="I24" s="402">
        <v>6</v>
      </c>
      <c r="J24" s="402">
        <v>18</v>
      </c>
      <c r="K24" s="264"/>
      <c r="L24" s="4387">
        <f>SUMIF('11.3. ДА Базова година'!$B$12:$B$39,$B24,'11.3. ДА Базова година'!J$12:J$39)+SUMIF('11.3. ДА Базова година'!$B$92:$B$110,$B24,'11.3. ДА Базова година'!J$92:J$110)</f>
        <v>0</v>
      </c>
      <c r="M24" s="404"/>
      <c r="N24" s="402"/>
      <c r="O24" s="402">
        <v>1</v>
      </c>
      <c r="P24" s="402"/>
      <c r="Q24" s="402"/>
      <c r="R24" s="264"/>
      <c r="S24" s="4387">
        <f>SUMIF('11.3. ДА Базова година'!$B$12:$B$39,$B24,'11.3. ДА Базова година'!N$12:N$39)+SUMIF('11.3. ДА Базова година'!$B$92:$B$110,$B24,'11.3. ДА Базова година'!N$92:N$110)</f>
        <v>0</v>
      </c>
      <c r="T24" s="404"/>
      <c r="U24" s="402"/>
      <c r="V24" s="402"/>
      <c r="W24" s="402"/>
      <c r="X24" s="402">
        <v>1</v>
      </c>
      <c r="Y24" s="403"/>
      <c r="Z24" s="4387">
        <f>SUMIF('11.3. ДА Базова година'!$B$12:$B$39,$B24,'11.3. ДА Базова година'!R$12:R$39)+SUMIF('11.3. ДА Базова година'!$B$92:$B$110,$B24,'11.3. ДА Базова година'!R$92:R$110)</f>
        <v>0</v>
      </c>
      <c r="AA24" s="404"/>
      <c r="AB24" s="402"/>
      <c r="AC24" s="402"/>
      <c r="AD24" s="402"/>
      <c r="AE24" s="402"/>
      <c r="AF24" s="403"/>
      <c r="AG24" s="4387">
        <f>SUMIF('11.3. ДА Базова година'!$B$12:$B$39,$B24,'11.3. ДА Базова година'!V$12:V$39)+SUMIF('11.3. ДА Базова година'!$B$92:$B$110,$B24,'11.3. ДА Базова година'!V$92:V$110)</f>
        <v>0</v>
      </c>
      <c r="AH24" s="404"/>
      <c r="AI24" s="402"/>
      <c r="AJ24" s="402"/>
      <c r="AK24" s="402"/>
      <c r="AL24" s="402"/>
      <c r="AM24" s="264"/>
      <c r="AN24" s="4066"/>
      <c r="AO24" s="2988"/>
      <c r="AP24" s="2989"/>
      <c r="AQ24" s="2989"/>
      <c r="AR24" s="2989"/>
      <c r="AS24" s="2989"/>
      <c r="AT24" s="2990"/>
      <c r="AU24" s="4422"/>
      <c r="AV24" s="4438">
        <f t="shared" si="40"/>
        <v>27.609761584595798</v>
      </c>
      <c r="AW24" s="4438">
        <f t="shared" si="41"/>
        <v>0</v>
      </c>
      <c r="AX24" s="4438">
        <f t="shared" si="42"/>
        <v>0</v>
      </c>
      <c r="AY24" s="4438">
        <f t="shared" si="43"/>
        <v>5.6242106931584033</v>
      </c>
      <c r="AZ24" s="4438">
        <f t="shared" si="44"/>
        <v>3.0677512871773112</v>
      </c>
      <c r="BA24" s="4438">
        <f t="shared" si="45"/>
        <v>9.2032538615319321</v>
      </c>
      <c r="BB24" s="4438">
        <f t="shared" si="46"/>
        <v>0</v>
      </c>
      <c r="BC24" s="4438">
        <f t="shared" si="47"/>
        <v>0</v>
      </c>
      <c r="BD24" s="4438">
        <f t="shared" si="48"/>
        <v>0</v>
      </c>
      <c r="BE24" s="4438">
        <f t="shared" si="49"/>
        <v>0</v>
      </c>
      <c r="BF24" s="4438">
        <f t="shared" si="50"/>
        <v>0.51129188119621849</v>
      </c>
      <c r="BG24" s="4438">
        <f t="shared" si="51"/>
        <v>0</v>
      </c>
      <c r="BH24" s="4438">
        <f t="shared" si="52"/>
        <v>0</v>
      </c>
      <c r="BI24" s="4438">
        <f t="shared" si="53"/>
        <v>0</v>
      </c>
      <c r="BJ24" s="4438">
        <f t="shared" si="54"/>
        <v>0</v>
      </c>
      <c r="BK24" s="4438">
        <f t="shared" si="55"/>
        <v>0</v>
      </c>
      <c r="BL24" s="4438">
        <f t="shared" si="56"/>
        <v>0</v>
      </c>
      <c r="BM24" s="4438">
        <f t="shared" si="57"/>
        <v>0</v>
      </c>
      <c r="BN24" s="4438">
        <f t="shared" si="58"/>
        <v>0</v>
      </c>
      <c r="BO24" s="4438">
        <f t="shared" si="59"/>
        <v>0.51129188119621849</v>
      </c>
      <c r="BP24" s="4438">
        <f t="shared" si="60"/>
        <v>0</v>
      </c>
      <c r="BQ24" s="4438">
        <f t="shared" si="61"/>
        <v>0</v>
      </c>
      <c r="BR24" s="4438">
        <f t="shared" si="62"/>
        <v>0</v>
      </c>
      <c r="BS24" s="4438">
        <f t="shared" si="63"/>
        <v>0</v>
      </c>
      <c r="BT24" s="4438">
        <f t="shared" si="64"/>
        <v>0</v>
      </c>
      <c r="BU24" s="4438">
        <f t="shared" si="65"/>
        <v>0</v>
      </c>
      <c r="BV24" s="4438">
        <f t="shared" si="66"/>
        <v>0</v>
      </c>
      <c r="BW24" s="4438">
        <f t="shared" si="67"/>
        <v>0</v>
      </c>
      <c r="BX24" s="4438">
        <f t="shared" si="68"/>
        <v>0</v>
      </c>
      <c r="BY24" s="4438">
        <f t="shared" si="69"/>
        <v>0</v>
      </c>
      <c r="BZ24" s="4438">
        <f t="shared" si="70"/>
        <v>0</v>
      </c>
      <c r="CA24" s="4438">
        <f t="shared" si="71"/>
        <v>0</v>
      </c>
      <c r="CB24" s="4438">
        <f t="shared" si="72"/>
        <v>0</v>
      </c>
      <c r="CC24" s="4438">
        <f t="shared" si="73"/>
        <v>0</v>
      </c>
      <c r="CD24" s="4438">
        <f t="shared" si="74"/>
        <v>0</v>
      </c>
    </row>
    <row r="25" spans="1:82" s="659" customFormat="1">
      <c r="A25" s="2854"/>
      <c r="B25" s="2574">
        <v>20305</v>
      </c>
      <c r="C25" s="2867">
        <v>0.1</v>
      </c>
      <c r="D25" s="2858" t="s">
        <v>430</v>
      </c>
      <c r="E25" s="2859">
        <f>SUM(E26:E28)</f>
        <v>433</v>
      </c>
      <c r="F25" s="2860">
        <f t="shared" ref="F25:AN25" si="81">SUM(F26:F28)</f>
        <v>0</v>
      </c>
      <c r="G25" s="2861">
        <f t="shared" si="81"/>
        <v>0</v>
      </c>
      <c r="H25" s="2861">
        <f t="shared" si="81"/>
        <v>120</v>
      </c>
      <c r="I25" s="2861">
        <f t="shared" si="81"/>
        <v>111</v>
      </c>
      <c r="J25" s="2861">
        <f t="shared" si="81"/>
        <v>112</v>
      </c>
      <c r="K25" s="2862">
        <f t="shared" si="81"/>
        <v>56</v>
      </c>
      <c r="L25" s="2859">
        <f t="shared" si="81"/>
        <v>78</v>
      </c>
      <c r="M25" s="2860">
        <f t="shared" si="81"/>
        <v>0</v>
      </c>
      <c r="N25" s="2861">
        <f t="shared" si="81"/>
        <v>0</v>
      </c>
      <c r="O25" s="2861">
        <f t="shared" si="81"/>
        <v>0</v>
      </c>
      <c r="P25" s="2861">
        <f t="shared" si="81"/>
        <v>0</v>
      </c>
      <c r="Q25" s="2861">
        <f t="shared" si="81"/>
        <v>2</v>
      </c>
      <c r="R25" s="2862">
        <f t="shared" si="81"/>
        <v>5</v>
      </c>
      <c r="S25" s="2859">
        <f t="shared" si="81"/>
        <v>153</v>
      </c>
      <c r="T25" s="2860">
        <f t="shared" si="81"/>
        <v>0</v>
      </c>
      <c r="U25" s="2861">
        <f t="shared" si="81"/>
        <v>0</v>
      </c>
      <c r="V25" s="2861">
        <f t="shared" si="81"/>
        <v>0</v>
      </c>
      <c r="W25" s="2861">
        <f t="shared" si="81"/>
        <v>0</v>
      </c>
      <c r="X25" s="2861">
        <f t="shared" si="81"/>
        <v>6</v>
      </c>
      <c r="Y25" s="2863">
        <f t="shared" si="81"/>
        <v>0</v>
      </c>
      <c r="Z25" s="2859">
        <f t="shared" si="81"/>
        <v>0</v>
      </c>
      <c r="AA25" s="2860">
        <f t="shared" si="81"/>
        <v>0</v>
      </c>
      <c r="AB25" s="2861">
        <f t="shared" si="81"/>
        <v>0</v>
      </c>
      <c r="AC25" s="2861">
        <f t="shared" si="81"/>
        <v>0</v>
      </c>
      <c r="AD25" s="2861">
        <f t="shared" si="81"/>
        <v>0</v>
      </c>
      <c r="AE25" s="2861">
        <f t="shared" si="81"/>
        <v>0</v>
      </c>
      <c r="AF25" s="2863">
        <f t="shared" si="81"/>
        <v>0</v>
      </c>
      <c r="AG25" s="2859">
        <f>SUM(AG26:AG28)</f>
        <v>0</v>
      </c>
      <c r="AH25" s="2860">
        <f t="shared" ref="AH25:AM25" si="82">SUM(AH26:AH28)</f>
        <v>0</v>
      </c>
      <c r="AI25" s="2861">
        <f t="shared" si="82"/>
        <v>0</v>
      </c>
      <c r="AJ25" s="2861">
        <f t="shared" si="82"/>
        <v>0</v>
      </c>
      <c r="AK25" s="2861">
        <f t="shared" si="82"/>
        <v>0</v>
      </c>
      <c r="AL25" s="2861">
        <f t="shared" si="82"/>
        <v>0</v>
      </c>
      <c r="AM25" s="2862">
        <f t="shared" si="82"/>
        <v>0</v>
      </c>
      <c r="AN25" s="4068">
        <f t="shared" si="81"/>
        <v>0</v>
      </c>
      <c r="AO25" s="2988"/>
      <c r="AP25" s="2989"/>
      <c r="AQ25" s="2989"/>
      <c r="AR25" s="2989"/>
      <c r="AS25" s="2989"/>
      <c r="AT25" s="2990"/>
      <c r="AU25" s="4422"/>
      <c r="AV25" s="4438">
        <f t="shared" si="40"/>
        <v>221.38938455796261</v>
      </c>
      <c r="AW25" s="4438">
        <f t="shared" si="41"/>
        <v>0</v>
      </c>
      <c r="AX25" s="4438">
        <f t="shared" si="42"/>
        <v>0</v>
      </c>
      <c r="AY25" s="4438">
        <f t="shared" si="43"/>
        <v>61.355025743546221</v>
      </c>
      <c r="AZ25" s="4438">
        <f t="shared" si="44"/>
        <v>56.753398812780254</v>
      </c>
      <c r="BA25" s="4438">
        <f t="shared" si="45"/>
        <v>57.264690693976469</v>
      </c>
      <c r="BB25" s="4438">
        <f t="shared" si="46"/>
        <v>28.632345346988235</v>
      </c>
      <c r="BC25" s="4438">
        <f t="shared" si="47"/>
        <v>39.880766733305045</v>
      </c>
      <c r="BD25" s="4438">
        <f t="shared" si="48"/>
        <v>0</v>
      </c>
      <c r="BE25" s="4438">
        <f t="shared" si="49"/>
        <v>0</v>
      </c>
      <c r="BF25" s="4438">
        <f t="shared" si="50"/>
        <v>0</v>
      </c>
      <c r="BG25" s="4438">
        <f t="shared" si="51"/>
        <v>0</v>
      </c>
      <c r="BH25" s="4438">
        <f t="shared" si="52"/>
        <v>1.022583762392437</v>
      </c>
      <c r="BI25" s="4438">
        <f t="shared" si="53"/>
        <v>2.5564594059810926</v>
      </c>
      <c r="BJ25" s="4438">
        <f t="shared" si="54"/>
        <v>78.227657823021431</v>
      </c>
      <c r="BK25" s="4438">
        <f t="shared" si="55"/>
        <v>0</v>
      </c>
      <c r="BL25" s="4438">
        <f t="shared" si="56"/>
        <v>0</v>
      </c>
      <c r="BM25" s="4438">
        <f t="shared" si="57"/>
        <v>0</v>
      </c>
      <c r="BN25" s="4438">
        <f t="shared" si="58"/>
        <v>0</v>
      </c>
      <c r="BO25" s="4438">
        <f t="shared" si="59"/>
        <v>3.0677512871773112</v>
      </c>
      <c r="BP25" s="4438">
        <f t="shared" si="60"/>
        <v>0</v>
      </c>
      <c r="BQ25" s="4438">
        <f t="shared" si="61"/>
        <v>0</v>
      </c>
      <c r="BR25" s="4438">
        <f t="shared" si="62"/>
        <v>0</v>
      </c>
      <c r="BS25" s="4438">
        <f t="shared" si="63"/>
        <v>0</v>
      </c>
      <c r="BT25" s="4438">
        <f t="shared" si="64"/>
        <v>0</v>
      </c>
      <c r="BU25" s="4438">
        <f t="shared" si="65"/>
        <v>0</v>
      </c>
      <c r="BV25" s="4438">
        <f t="shared" si="66"/>
        <v>0</v>
      </c>
      <c r="BW25" s="4438">
        <f t="shared" si="67"/>
        <v>0</v>
      </c>
      <c r="BX25" s="4438">
        <f t="shared" si="68"/>
        <v>0</v>
      </c>
      <c r="BY25" s="4438">
        <f t="shared" si="69"/>
        <v>0</v>
      </c>
      <c r="BZ25" s="4438">
        <f t="shared" si="70"/>
        <v>0</v>
      </c>
      <c r="CA25" s="4438">
        <f t="shared" si="71"/>
        <v>0</v>
      </c>
      <c r="CB25" s="4438">
        <f t="shared" si="72"/>
        <v>0</v>
      </c>
      <c r="CC25" s="4438">
        <f t="shared" si="73"/>
        <v>0</v>
      </c>
      <c r="CD25" s="4438">
        <f t="shared" si="74"/>
        <v>0</v>
      </c>
    </row>
    <row r="26" spans="1:82" s="659" customFormat="1">
      <c r="A26" s="2854"/>
      <c r="B26" s="2574">
        <v>2030501</v>
      </c>
      <c r="C26" s="2868">
        <v>0.1</v>
      </c>
      <c r="D26" s="2866" t="s">
        <v>1001</v>
      </c>
      <c r="E26" s="4387">
        <f>SUMIF('11.3. ДА Базова година'!$B$12:$B$39,$B26,'11.3. ДА Базова година'!F$12:F$39)+SUMIF('11.3. ДА Базова година'!$B$92:$B$110,$B26,'11.3. ДА Базова година'!F$92:F$110)</f>
        <v>291</v>
      </c>
      <c r="F26" s="404"/>
      <c r="G26" s="402"/>
      <c r="H26" s="402">
        <v>36</v>
      </c>
      <c r="I26" s="402">
        <f>1+41</f>
        <v>42</v>
      </c>
      <c r="J26" s="402">
        <v>28</v>
      </c>
      <c r="K26" s="264">
        <v>6</v>
      </c>
      <c r="L26" s="4387">
        <f>SUMIF('11.3. ДА Базова година'!$B$12:$B$39,$B26,'11.3. ДА Базова година'!J$12:J$39)+SUMIF('11.3. ДА Базова година'!$B$92:$B$110,$B26,'11.3. ДА Базова година'!J$92:J$110)</f>
        <v>78</v>
      </c>
      <c r="M26" s="404"/>
      <c r="N26" s="402"/>
      <c r="O26" s="402"/>
      <c r="P26" s="402"/>
      <c r="Q26" s="4682">
        <v>2</v>
      </c>
      <c r="R26" s="4683">
        <v>5</v>
      </c>
      <c r="S26" s="4387">
        <f>SUMIF('11.3. ДА Базова година'!$B$12:$B$39,$B26,'11.3. ДА Базова година'!N$12:N$39)+SUMIF('11.3. ДА Базова година'!$B$92:$B$110,$B26,'11.3. ДА Базова година'!N$92:N$110)</f>
        <v>153</v>
      </c>
      <c r="T26" s="404"/>
      <c r="U26" s="402"/>
      <c r="V26" s="402"/>
      <c r="W26" s="402"/>
      <c r="X26" s="402"/>
      <c r="Y26" s="403"/>
      <c r="Z26" s="4387">
        <f>SUMIF('11.3. ДА Базова година'!$B$12:$B$39,$B26,'11.3. ДА Базова година'!R$12:R$39)+SUMIF('11.3. ДА Базова година'!$B$92:$B$110,$B26,'11.3. ДА Базова година'!R$92:R$110)</f>
        <v>0</v>
      </c>
      <c r="AA26" s="404"/>
      <c r="AB26" s="402"/>
      <c r="AC26" s="402"/>
      <c r="AD26" s="402"/>
      <c r="AE26" s="402"/>
      <c r="AF26" s="403"/>
      <c r="AG26" s="4387">
        <f>SUMIF('11.3. ДА Базова година'!$B$12:$B$39,$B26,'11.3. ДА Базова година'!V$12:V$39)+SUMIF('11.3. ДА Базова година'!$B$92:$B$110,$B26,'11.3. ДА Базова година'!V$92:V$110)</f>
        <v>0</v>
      </c>
      <c r="AH26" s="404"/>
      <c r="AI26" s="402"/>
      <c r="AJ26" s="402"/>
      <c r="AK26" s="402"/>
      <c r="AL26" s="402"/>
      <c r="AM26" s="264"/>
      <c r="AN26" s="4066"/>
      <c r="AO26" s="2988"/>
      <c r="AP26" s="2989"/>
      <c r="AQ26" s="2989"/>
      <c r="AR26" s="2989"/>
      <c r="AS26" s="2989"/>
      <c r="AT26" s="2990"/>
      <c r="AU26" s="4422"/>
      <c r="AV26" s="4438">
        <f t="shared" si="40"/>
        <v>148.78593742809957</v>
      </c>
      <c r="AW26" s="4438">
        <f t="shared" si="41"/>
        <v>0</v>
      </c>
      <c r="AX26" s="4438">
        <f t="shared" si="42"/>
        <v>0</v>
      </c>
      <c r="AY26" s="4438">
        <f t="shared" si="43"/>
        <v>18.406507723063864</v>
      </c>
      <c r="AZ26" s="4438">
        <f t="shared" si="44"/>
        <v>21.474259010241177</v>
      </c>
      <c r="BA26" s="4438">
        <f t="shared" si="45"/>
        <v>14.316172673494117</v>
      </c>
      <c r="BB26" s="4438">
        <f t="shared" si="46"/>
        <v>3.0677512871773112</v>
      </c>
      <c r="BC26" s="4438">
        <f t="shared" si="47"/>
        <v>39.880766733305045</v>
      </c>
      <c r="BD26" s="4438">
        <f t="shared" si="48"/>
        <v>0</v>
      </c>
      <c r="BE26" s="4438">
        <f t="shared" si="49"/>
        <v>0</v>
      </c>
      <c r="BF26" s="4438">
        <f t="shared" si="50"/>
        <v>0</v>
      </c>
      <c r="BG26" s="4438">
        <f t="shared" si="51"/>
        <v>0</v>
      </c>
      <c r="BH26" s="4438">
        <f t="shared" si="52"/>
        <v>1.022583762392437</v>
      </c>
      <c r="BI26" s="4438">
        <f t="shared" si="53"/>
        <v>2.5564594059810926</v>
      </c>
      <c r="BJ26" s="4438">
        <f t="shared" si="54"/>
        <v>78.227657823021431</v>
      </c>
      <c r="BK26" s="4438">
        <f t="shared" si="55"/>
        <v>0</v>
      </c>
      <c r="BL26" s="4438">
        <f t="shared" si="56"/>
        <v>0</v>
      </c>
      <c r="BM26" s="4438">
        <f t="shared" si="57"/>
        <v>0</v>
      </c>
      <c r="BN26" s="4438">
        <f t="shared" si="58"/>
        <v>0</v>
      </c>
      <c r="BO26" s="4438">
        <f t="shared" si="59"/>
        <v>0</v>
      </c>
      <c r="BP26" s="4438">
        <f t="shared" si="60"/>
        <v>0</v>
      </c>
      <c r="BQ26" s="4438">
        <f t="shared" si="61"/>
        <v>0</v>
      </c>
      <c r="BR26" s="4438">
        <f t="shared" si="62"/>
        <v>0</v>
      </c>
      <c r="BS26" s="4438">
        <f t="shared" si="63"/>
        <v>0</v>
      </c>
      <c r="BT26" s="4438">
        <f t="shared" si="64"/>
        <v>0</v>
      </c>
      <c r="BU26" s="4438">
        <f t="shared" si="65"/>
        <v>0</v>
      </c>
      <c r="BV26" s="4438">
        <f t="shared" si="66"/>
        <v>0</v>
      </c>
      <c r="BW26" s="4438">
        <f t="shared" si="67"/>
        <v>0</v>
      </c>
      <c r="BX26" s="4438">
        <f t="shared" si="68"/>
        <v>0</v>
      </c>
      <c r="BY26" s="4438">
        <f t="shared" si="69"/>
        <v>0</v>
      </c>
      <c r="BZ26" s="4438">
        <f t="shared" si="70"/>
        <v>0</v>
      </c>
      <c r="CA26" s="4438">
        <f t="shared" si="71"/>
        <v>0</v>
      </c>
      <c r="CB26" s="4438">
        <f t="shared" si="72"/>
        <v>0</v>
      </c>
      <c r="CC26" s="4438">
        <f t="shared" si="73"/>
        <v>0</v>
      </c>
      <c r="CD26" s="4438">
        <f t="shared" si="74"/>
        <v>0</v>
      </c>
    </row>
    <row r="27" spans="1:82" s="659" customFormat="1" ht="38.25">
      <c r="A27" s="2854"/>
      <c r="B27" s="2574">
        <v>2030502</v>
      </c>
      <c r="C27" s="2868">
        <v>0.1</v>
      </c>
      <c r="D27" s="2866" t="s">
        <v>695</v>
      </c>
      <c r="E27" s="4387">
        <f>SUMIF('11.3. ДА Базова година'!$B$12:$B$39,$B27,'11.3. ДА Базова година'!F$12:F$39)+SUMIF('11.3. ДА Базова година'!$B$92:$B$110,$B27,'11.3. ДА Базова година'!F$92:F$110)</f>
        <v>140</v>
      </c>
      <c r="F27" s="404"/>
      <c r="G27" s="402"/>
      <c r="H27" s="402">
        <v>67</v>
      </c>
      <c r="I27" s="402">
        <v>67</v>
      </c>
      <c r="J27" s="402">
        <v>67</v>
      </c>
      <c r="K27" s="264">
        <v>41</v>
      </c>
      <c r="L27" s="4387">
        <f>SUMIF('11.3. ДА Базова година'!$B$12:$B$39,$B27,'11.3. ДА Базова година'!J$12:J$39)+SUMIF('11.3. ДА Базова година'!$B$92:$B$110,$B27,'11.3. ДА Базова година'!J$92:J$110)</f>
        <v>0</v>
      </c>
      <c r="M27" s="404"/>
      <c r="N27" s="402"/>
      <c r="O27" s="402"/>
      <c r="P27" s="402"/>
      <c r="Q27" s="402"/>
      <c r="R27" s="264"/>
      <c r="S27" s="4387">
        <f>SUMIF('11.3. ДА Базова година'!$B$12:$B$39,$B27,'11.3. ДА Базова година'!N$12:N$39)+SUMIF('11.3. ДА Базова година'!$B$92:$B$110,$B27,'11.3. ДА Базова година'!N$92:N$110)</f>
        <v>0</v>
      </c>
      <c r="T27" s="404"/>
      <c r="U27" s="402"/>
      <c r="V27" s="402"/>
      <c r="W27" s="402"/>
      <c r="X27" s="402"/>
      <c r="Y27" s="403"/>
      <c r="Z27" s="4387">
        <f>SUMIF('11.3. ДА Базова година'!$B$12:$B$39,$B27,'11.3. ДА Базова година'!R$12:R$39)+SUMIF('11.3. ДА Базова година'!$B$92:$B$110,$B27,'11.3. ДА Базова година'!R$92:R$110)</f>
        <v>0</v>
      </c>
      <c r="AA27" s="404"/>
      <c r="AB27" s="402"/>
      <c r="AC27" s="402"/>
      <c r="AD27" s="402"/>
      <c r="AE27" s="402"/>
      <c r="AF27" s="403"/>
      <c r="AG27" s="4387">
        <f>SUMIF('11.3. ДА Базова година'!$B$12:$B$39,$B27,'11.3. ДА Базова година'!V$12:V$39)+SUMIF('11.3. ДА Базова година'!$B$92:$B$110,$B27,'11.3. ДА Базова година'!V$92:V$110)</f>
        <v>0</v>
      </c>
      <c r="AH27" s="404"/>
      <c r="AI27" s="402"/>
      <c r="AJ27" s="402"/>
      <c r="AK27" s="402"/>
      <c r="AL27" s="402"/>
      <c r="AM27" s="264"/>
      <c r="AN27" s="4066"/>
      <c r="AO27" s="2988"/>
      <c r="AP27" s="2989"/>
      <c r="AQ27" s="2989"/>
      <c r="AR27" s="2989"/>
      <c r="AS27" s="2989"/>
      <c r="AT27" s="2990"/>
      <c r="AU27" s="4422"/>
      <c r="AV27" s="4438">
        <f t="shared" si="40"/>
        <v>71.580863367470585</v>
      </c>
      <c r="AW27" s="4438">
        <f t="shared" si="41"/>
        <v>0</v>
      </c>
      <c r="AX27" s="4438">
        <f t="shared" si="42"/>
        <v>0</v>
      </c>
      <c r="AY27" s="4438">
        <f t="shared" si="43"/>
        <v>34.256556040146641</v>
      </c>
      <c r="AZ27" s="4438">
        <f t="shared" si="44"/>
        <v>34.256556040146641</v>
      </c>
      <c r="BA27" s="4438">
        <f t="shared" si="45"/>
        <v>34.256556040146641</v>
      </c>
      <c r="BB27" s="4438">
        <f t="shared" si="46"/>
        <v>20.962967129044959</v>
      </c>
      <c r="BC27" s="4438">
        <f t="shared" si="47"/>
        <v>0</v>
      </c>
      <c r="BD27" s="4438">
        <f t="shared" si="48"/>
        <v>0</v>
      </c>
      <c r="BE27" s="4438">
        <f t="shared" si="49"/>
        <v>0</v>
      </c>
      <c r="BF27" s="4438">
        <f t="shared" si="50"/>
        <v>0</v>
      </c>
      <c r="BG27" s="4438">
        <f t="shared" si="51"/>
        <v>0</v>
      </c>
      <c r="BH27" s="4438">
        <f t="shared" si="52"/>
        <v>0</v>
      </c>
      <c r="BI27" s="4438">
        <f t="shared" si="53"/>
        <v>0</v>
      </c>
      <c r="BJ27" s="4438">
        <f t="shared" si="54"/>
        <v>0</v>
      </c>
      <c r="BK27" s="4438">
        <f t="shared" si="55"/>
        <v>0</v>
      </c>
      <c r="BL27" s="4438">
        <f t="shared" si="56"/>
        <v>0</v>
      </c>
      <c r="BM27" s="4438">
        <f t="shared" si="57"/>
        <v>0</v>
      </c>
      <c r="BN27" s="4438">
        <f t="shared" si="58"/>
        <v>0</v>
      </c>
      <c r="BO27" s="4438">
        <f t="shared" si="59"/>
        <v>0</v>
      </c>
      <c r="BP27" s="4438">
        <f t="shared" si="60"/>
        <v>0</v>
      </c>
      <c r="BQ27" s="4438">
        <f t="shared" si="61"/>
        <v>0</v>
      </c>
      <c r="BR27" s="4438">
        <f t="shared" si="62"/>
        <v>0</v>
      </c>
      <c r="BS27" s="4438">
        <f t="shared" si="63"/>
        <v>0</v>
      </c>
      <c r="BT27" s="4438">
        <f t="shared" si="64"/>
        <v>0</v>
      </c>
      <c r="BU27" s="4438">
        <f t="shared" si="65"/>
        <v>0</v>
      </c>
      <c r="BV27" s="4438">
        <f t="shared" si="66"/>
        <v>0</v>
      </c>
      <c r="BW27" s="4438">
        <f t="shared" si="67"/>
        <v>0</v>
      </c>
      <c r="BX27" s="4438">
        <f t="shared" si="68"/>
        <v>0</v>
      </c>
      <c r="BY27" s="4438">
        <f t="shared" si="69"/>
        <v>0</v>
      </c>
      <c r="BZ27" s="4438">
        <f t="shared" si="70"/>
        <v>0</v>
      </c>
      <c r="CA27" s="4438">
        <f t="shared" si="71"/>
        <v>0</v>
      </c>
      <c r="CB27" s="4438">
        <f t="shared" si="72"/>
        <v>0</v>
      </c>
      <c r="CC27" s="4438">
        <f t="shared" si="73"/>
        <v>0</v>
      </c>
      <c r="CD27" s="4438">
        <f t="shared" si="74"/>
        <v>0</v>
      </c>
    </row>
    <row r="28" spans="1:82" s="659" customFormat="1">
      <c r="A28" s="2854"/>
      <c r="B28" s="2574">
        <v>2030503</v>
      </c>
      <c r="C28" s="2868">
        <v>0.1</v>
      </c>
      <c r="D28" s="2866" t="s">
        <v>713</v>
      </c>
      <c r="E28" s="4387">
        <f>SUMIF('11.3. ДА Базова година'!$B$12:$B$39,$B28,'11.3. ДА Базова година'!F$12:F$39)+SUMIF('11.3. ДА Базова година'!$B$92:$B$110,$B28,'11.3. ДА Базова година'!F$92:F$110)</f>
        <v>2</v>
      </c>
      <c r="F28" s="404"/>
      <c r="G28" s="402"/>
      <c r="H28" s="402">
        <v>17</v>
      </c>
      <c r="I28" s="402">
        <v>2</v>
      </c>
      <c r="J28" s="402">
        <v>17</v>
      </c>
      <c r="K28" s="264">
        <v>9</v>
      </c>
      <c r="L28" s="4387">
        <f>SUMIF('11.3. ДА Базова година'!$B$12:$B$39,$B28,'11.3. ДА Базова година'!J$12:J$39)+SUMIF('11.3. ДА Базова година'!$B$92:$B$110,$B28,'11.3. ДА Базова година'!J$92:J$110)</f>
        <v>0</v>
      </c>
      <c r="M28" s="404"/>
      <c r="N28" s="402"/>
      <c r="O28" s="402"/>
      <c r="P28" s="402"/>
      <c r="Q28" s="402"/>
      <c r="R28" s="264"/>
      <c r="S28" s="4387">
        <f>SUMIF('11.3. ДА Базова година'!$B$12:$B$39,$B28,'11.3. ДА Базова година'!N$12:N$39)+SUMIF('11.3. ДА Базова година'!$B$92:$B$110,$B28,'11.3. ДА Базова година'!N$92:N$110)</f>
        <v>0</v>
      </c>
      <c r="T28" s="404"/>
      <c r="U28" s="402"/>
      <c r="V28" s="402"/>
      <c r="W28" s="402"/>
      <c r="X28" s="402">
        <v>6</v>
      </c>
      <c r="Y28" s="403"/>
      <c r="Z28" s="4387">
        <f>SUMIF('11.3. ДА Базова година'!$B$12:$B$39,$B28,'11.3. ДА Базова година'!R$12:R$39)+SUMIF('11.3. ДА Базова година'!$B$92:$B$110,$B28,'11.3. ДА Базова година'!R$92:R$110)</f>
        <v>0</v>
      </c>
      <c r="AA28" s="404"/>
      <c r="AB28" s="402"/>
      <c r="AC28" s="402"/>
      <c r="AD28" s="402"/>
      <c r="AE28" s="402"/>
      <c r="AF28" s="403"/>
      <c r="AG28" s="4387">
        <f>SUMIF('11.3. ДА Базова година'!$B$12:$B$39,$B28,'11.3. ДА Базова година'!V$12:V$39)+SUMIF('11.3. ДА Базова година'!$B$92:$B$110,$B28,'11.3. ДА Базова година'!V$92:V$110)</f>
        <v>0</v>
      </c>
      <c r="AH28" s="404"/>
      <c r="AI28" s="402"/>
      <c r="AJ28" s="402"/>
      <c r="AK28" s="402"/>
      <c r="AL28" s="402"/>
      <c r="AM28" s="264"/>
      <c r="AN28" s="4066"/>
      <c r="AO28" s="2988"/>
      <c r="AP28" s="2989"/>
      <c r="AQ28" s="2989"/>
      <c r="AR28" s="2989"/>
      <c r="AS28" s="2989"/>
      <c r="AT28" s="2990"/>
      <c r="AU28" s="4422"/>
      <c r="AV28" s="4438">
        <f t="shared" si="40"/>
        <v>1.022583762392437</v>
      </c>
      <c r="AW28" s="4438">
        <f t="shared" si="41"/>
        <v>0</v>
      </c>
      <c r="AX28" s="4438">
        <f t="shared" si="42"/>
        <v>0</v>
      </c>
      <c r="AY28" s="4438">
        <f t="shared" si="43"/>
        <v>8.691961980335714</v>
      </c>
      <c r="AZ28" s="4438">
        <f t="shared" si="44"/>
        <v>1.022583762392437</v>
      </c>
      <c r="BA28" s="4438">
        <f t="shared" si="45"/>
        <v>8.691961980335714</v>
      </c>
      <c r="BB28" s="4438">
        <f t="shared" si="46"/>
        <v>4.6016269307659661</v>
      </c>
      <c r="BC28" s="4438">
        <f t="shared" si="47"/>
        <v>0</v>
      </c>
      <c r="BD28" s="4438">
        <f t="shared" si="48"/>
        <v>0</v>
      </c>
      <c r="BE28" s="4438">
        <f t="shared" si="49"/>
        <v>0</v>
      </c>
      <c r="BF28" s="4438">
        <f t="shared" si="50"/>
        <v>0</v>
      </c>
      <c r="BG28" s="4438">
        <f t="shared" si="51"/>
        <v>0</v>
      </c>
      <c r="BH28" s="4438">
        <f t="shared" si="52"/>
        <v>0</v>
      </c>
      <c r="BI28" s="4438">
        <f t="shared" si="53"/>
        <v>0</v>
      </c>
      <c r="BJ28" s="4438">
        <f t="shared" si="54"/>
        <v>0</v>
      </c>
      <c r="BK28" s="4438">
        <f t="shared" si="55"/>
        <v>0</v>
      </c>
      <c r="BL28" s="4438">
        <f t="shared" si="56"/>
        <v>0</v>
      </c>
      <c r="BM28" s="4438">
        <f t="shared" si="57"/>
        <v>0</v>
      </c>
      <c r="BN28" s="4438">
        <f t="shared" si="58"/>
        <v>0</v>
      </c>
      <c r="BO28" s="4438">
        <f t="shared" si="59"/>
        <v>3.0677512871773112</v>
      </c>
      <c r="BP28" s="4438">
        <f t="shared" si="60"/>
        <v>0</v>
      </c>
      <c r="BQ28" s="4438">
        <f t="shared" si="61"/>
        <v>0</v>
      </c>
      <c r="BR28" s="4438">
        <f t="shared" si="62"/>
        <v>0</v>
      </c>
      <c r="BS28" s="4438">
        <f t="shared" si="63"/>
        <v>0</v>
      </c>
      <c r="BT28" s="4438">
        <f t="shared" si="64"/>
        <v>0</v>
      </c>
      <c r="BU28" s="4438">
        <f t="shared" si="65"/>
        <v>0</v>
      </c>
      <c r="BV28" s="4438">
        <f t="shared" si="66"/>
        <v>0</v>
      </c>
      <c r="BW28" s="4438">
        <f t="shared" si="67"/>
        <v>0</v>
      </c>
      <c r="BX28" s="4438">
        <f t="shared" si="68"/>
        <v>0</v>
      </c>
      <c r="BY28" s="4438">
        <f t="shared" si="69"/>
        <v>0</v>
      </c>
      <c r="BZ28" s="4438">
        <f t="shared" si="70"/>
        <v>0</v>
      </c>
      <c r="CA28" s="4438">
        <f t="shared" si="71"/>
        <v>0</v>
      </c>
      <c r="CB28" s="4438">
        <f t="shared" si="72"/>
        <v>0</v>
      </c>
      <c r="CC28" s="4438">
        <f t="shared" si="73"/>
        <v>0</v>
      </c>
      <c r="CD28" s="4438">
        <f t="shared" si="74"/>
        <v>0</v>
      </c>
    </row>
    <row r="29" spans="1:82" s="659" customFormat="1">
      <c r="A29" s="2854"/>
      <c r="B29" s="2574">
        <v>20306</v>
      </c>
      <c r="C29" s="2855">
        <v>0.1</v>
      </c>
      <c r="D29" s="2858" t="s">
        <v>409</v>
      </c>
      <c r="E29" s="4387">
        <f>SUMIF('11.3. ДА Базова година'!$B$12:$B$39,$B29,'11.3. ДА Базова година'!F$12:F$39)+SUMIF('11.3. ДА Базова година'!$B$92:$B$110,$B29,'11.3. ДА Базова година'!F$92:F$110)</f>
        <v>38</v>
      </c>
      <c r="F29" s="404">
        <v>30</v>
      </c>
      <c r="G29" s="402">
        <v>2</v>
      </c>
      <c r="H29" s="402"/>
      <c r="I29" s="402">
        <v>2</v>
      </c>
      <c r="J29" s="402"/>
      <c r="K29" s="264">
        <v>5</v>
      </c>
      <c r="L29" s="4387">
        <f>SUMIF('11.3. ДА Базова година'!$B$12:$B$39,$B29,'11.3. ДА Базова година'!J$12:J$39)+SUMIF('11.3. ДА Базова година'!$B$92:$B$110,$B29,'11.3. ДА Базова година'!J$92:J$110)</f>
        <v>0</v>
      </c>
      <c r="M29" s="404"/>
      <c r="N29" s="402"/>
      <c r="O29" s="402"/>
      <c r="P29" s="402"/>
      <c r="Q29" s="402"/>
      <c r="R29" s="264"/>
      <c r="S29" s="4387">
        <f>SUMIF('11.3. ДА Базова година'!$B$12:$B$39,$B29,'11.3. ДА Базова година'!N$12:N$39)+SUMIF('11.3. ДА Базова година'!$B$92:$B$110,$B29,'11.3. ДА Базова година'!N$92:N$110)</f>
        <v>0</v>
      </c>
      <c r="T29" s="404">
        <v>2</v>
      </c>
      <c r="U29" s="402"/>
      <c r="V29" s="402"/>
      <c r="W29" s="402"/>
      <c r="X29" s="402"/>
      <c r="Y29" s="403"/>
      <c r="Z29" s="4387">
        <f>SUMIF('11.3. ДА Базова година'!$B$12:$B$39,$B29,'11.3. ДА Базова година'!R$12:R$39)+SUMIF('11.3. ДА Базова година'!$B$92:$B$110,$B29,'11.3. ДА Базова година'!R$92:R$110)</f>
        <v>0</v>
      </c>
      <c r="AA29" s="404"/>
      <c r="AB29" s="402"/>
      <c r="AC29" s="402"/>
      <c r="AD29" s="402"/>
      <c r="AE29" s="402"/>
      <c r="AF29" s="403"/>
      <c r="AG29" s="4387">
        <f>SUMIF('11.3. ДА Базова година'!$B$12:$B$39,$B29,'11.3. ДА Базова година'!V$12:V$39)+SUMIF('11.3. ДА Базова година'!$B$92:$B$110,$B29,'11.3. ДА Базова година'!V$92:V$110)</f>
        <v>0</v>
      </c>
      <c r="AH29" s="404"/>
      <c r="AI29" s="402"/>
      <c r="AJ29" s="402"/>
      <c r="AK29" s="402"/>
      <c r="AL29" s="402"/>
      <c r="AM29" s="264"/>
      <c r="AN29" s="4066"/>
      <c r="AO29" s="2988"/>
      <c r="AP29" s="2989"/>
      <c r="AQ29" s="2989"/>
      <c r="AR29" s="2989"/>
      <c r="AS29" s="2989"/>
      <c r="AT29" s="2990"/>
      <c r="AU29" s="4422"/>
      <c r="AV29" s="4438">
        <f t="shared" si="40"/>
        <v>19.429091485456304</v>
      </c>
      <c r="AW29" s="4438">
        <f t="shared" si="41"/>
        <v>15.338756435886555</v>
      </c>
      <c r="AX29" s="4438">
        <f t="shared" si="42"/>
        <v>1.022583762392437</v>
      </c>
      <c r="AY29" s="4438">
        <f t="shared" si="43"/>
        <v>0</v>
      </c>
      <c r="AZ29" s="4438">
        <f t="shared" si="44"/>
        <v>1.022583762392437</v>
      </c>
      <c r="BA29" s="4438">
        <f t="shared" si="45"/>
        <v>0</v>
      </c>
      <c r="BB29" s="4438">
        <f t="shared" si="46"/>
        <v>2.5564594059810926</v>
      </c>
      <c r="BC29" s="4438">
        <f t="shared" si="47"/>
        <v>0</v>
      </c>
      <c r="BD29" s="4438">
        <f t="shared" si="48"/>
        <v>0</v>
      </c>
      <c r="BE29" s="4438">
        <f t="shared" si="49"/>
        <v>0</v>
      </c>
      <c r="BF29" s="4438">
        <f t="shared" si="50"/>
        <v>0</v>
      </c>
      <c r="BG29" s="4438">
        <f t="shared" si="51"/>
        <v>0</v>
      </c>
      <c r="BH29" s="4438">
        <f t="shared" si="52"/>
        <v>0</v>
      </c>
      <c r="BI29" s="4438">
        <f t="shared" si="53"/>
        <v>0</v>
      </c>
      <c r="BJ29" s="4438">
        <f t="shared" si="54"/>
        <v>0</v>
      </c>
      <c r="BK29" s="4438">
        <f t="shared" si="55"/>
        <v>1.022583762392437</v>
      </c>
      <c r="BL29" s="4438">
        <f t="shared" si="56"/>
        <v>0</v>
      </c>
      <c r="BM29" s="4438">
        <f t="shared" si="57"/>
        <v>0</v>
      </c>
      <c r="BN29" s="4438">
        <f t="shared" si="58"/>
        <v>0</v>
      </c>
      <c r="BO29" s="4438">
        <f t="shared" si="59"/>
        <v>0</v>
      </c>
      <c r="BP29" s="4438">
        <f t="shared" si="60"/>
        <v>0</v>
      </c>
      <c r="BQ29" s="4438">
        <f t="shared" si="61"/>
        <v>0</v>
      </c>
      <c r="BR29" s="4438">
        <f t="shared" si="62"/>
        <v>0</v>
      </c>
      <c r="BS29" s="4438">
        <f t="shared" si="63"/>
        <v>0</v>
      </c>
      <c r="BT29" s="4438">
        <f t="shared" si="64"/>
        <v>0</v>
      </c>
      <c r="BU29" s="4438">
        <f t="shared" si="65"/>
        <v>0</v>
      </c>
      <c r="BV29" s="4438">
        <f t="shared" si="66"/>
        <v>0</v>
      </c>
      <c r="BW29" s="4438">
        <f t="shared" si="67"/>
        <v>0</v>
      </c>
      <c r="BX29" s="4438">
        <f t="shared" si="68"/>
        <v>0</v>
      </c>
      <c r="BY29" s="4438">
        <f t="shared" si="69"/>
        <v>0</v>
      </c>
      <c r="BZ29" s="4438">
        <f t="shared" si="70"/>
        <v>0</v>
      </c>
      <c r="CA29" s="4438">
        <f t="shared" si="71"/>
        <v>0</v>
      </c>
      <c r="CB29" s="4438">
        <f t="shared" si="72"/>
        <v>0</v>
      </c>
      <c r="CC29" s="4438">
        <f t="shared" si="73"/>
        <v>0</v>
      </c>
      <c r="CD29" s="4438">
        <f t="shared" si="74"/>
        <v>0</v>
      </c>
    </row>
    <row r="30" spans="1:82" s="659" customFormat="1" ht="14.25" customHeight="1">
      <c r="A30" s="2845">
        <v>4</v>
      </c>
      <c r="B30" s="2846">
        <v>204</v>
      </c>
      <c r="C30" s="2847"/>
      <c r="D30" s="2869" t="s">
        <v>211</v>
      </c>
      <c r="E30" s="2849">
        <f>E31+E34+E43+E44</f>
        <v>678</v>
      </c>
      <c r="F30" s="2850">
        <f t="shared" ref="F30:K30" si="83">F31+F34+F43+F44</f>
        <v>0</v>
      </c>
      <c r="G30" s="2851">
        <f t="shared" si="83"/>
        <v>0</v>
      </c>
      <c r="H30" s="2851">
        <f t="shared" si="83"/>
        <v>0</v>
      </c>
      <c r="I30" s="2851">
        <f t="shared" si="83"/>
        <v>6</v>
      </c>
      <c r="J30" s="2851">
        <f t="shared" si="83"/>
        <v>46</v>
      </c>
      <c r="K30" s="2852">
        <f t="shared" si="83"/>
        <v>8</v>
      </c>
      <c r="L30" s="2849">
        <f>L31+L34+L43+L44</f>
        <v>23</v>
      </c>
      <c r="M30" s="2850">
        <f t="shared" ref="M30:R30" si="84">M31+M34+M43+M44</f>
        <v>0</v>
      </c>
      <c r="N30" s="2851">
        <f t="shared" si="84"/>
        <v>0</v>
      </c>
      <c r="O30" s="2851">
        <f t="shared" si="84"/>
        <v>0</v>
      </c>
      <c r="P30" s="2851">
        <f t="shared" si="84"/>
        <v>0</v>
      </c>
      <c r="Q30" s="2851">
        <f t="shared" si="84"/>
        <v>0</v>
      </c>
      <c r="R30" s="2852">
        <f t="shared" si="84"/>
        <v>0</v>
      </c>
      <c r="S30" s="2849">
        <f>S31+S34+S43+S44</f>
        <v>50</v>
      </c>
      <c r="T30" s="2850">
        <f t="shared" ref="T30:AN30" si="85">T31+T34+T43+T44</f>
        <v>0</v>
      </c>
      <c r="U30" s="2851">
        <f t="shared" si="85"/>
        <v>0</v>
      </c>
      <c r="V30" s="2851">
        <f t="shared" si="85"/>
        <v>0</v>
      </c>
      <c r="W30" s="2851">
        <f t="shared" si="85"/>
        <v>1</v>
      </c>
      <c r="X30" s="2851">
        <f t="shared" si="85"/>
        <v>0</v>
      </c>
      <c r="Y30" s="2853">
        <f t="shared" si="85"/>
        <v>0</v>
      </c>
      <c r="Z30" s="2849">
        <f>Z31+Z34+Z43+Z44</f>
        <v>0</v>
      </c>
      <c r="AA30" s="2850">
        <f t="shared" ref="AA30:AF30" si="86">AA31+AA34+AA43+AA44</f>
        <v>0</v>
      </c>
      <c r="AB30" s="2851">
        <f t="shared" si="86"/>
        <v>0</v>
      </c>
      <c r="AC30" s="2851">
        <f t="shared" si="86"/>
        <v>0</v>
      </c>
      <c r="AD30" s="2851">
        <f t="shared" si="86"/>
        <v>0</v>
      </c>
      <c r="AE30" s="2851">
        <f t="shared" si="86"/>
        <v>0</v>
      </c>
      <c r="AF30" s="2853">
        <f t="shared" si="86"/>
        <v>0</v>
      </c>
      <c r="AG30" s="2849">
        <f>AG31+AG34+AG43+AG44</f>
        <v>0</v>
      </c>
      <c r="AH30" s="2850">
        <f t="shared" ref="AH30:AM30" si="87">AH31+AH34+AH43+AH44</f>
        <v>0</v>
      </c>
      <c r="AI30" s="2851">
        <f t="shared" si="87"/>
        <v>0</v>
      </c>
      <c r="AJ30" s="2851">
        <f t="shared" si="87"/>
        <v>0</v>
      </c>
      <c r="AK30" s="2851">
        <f t="shared" si="87"/>
        <v>0</v>
      </c>
      <c r="AL30" s="2851">
        <f t="shared" si="87"/>
        <v>0</v>
      </c>
      <c r="AM30" s="2852">
        <f t="shared" si="87"/>
        <v>0</v>
      </c>
      <c r="AN30" s="4067">
        <f t="shared" si="85"/>
        <v>0</v>
      </c>
      <c r="AO30" s="2988"/>
      <c r="AP30" s="2989"/>
      <c r="AQ30" s="2989"/>
      <c r="AR30" s="2989"/>
      <c r="AS30" s="2989"/>
      <c r="AT30" s="2990"/>
      <c r="AU30" s="4422"/>
      <c r="AV30" s="4438">
        <f t="shared" si="40"/>
        <v>346.65589545103614</v>
      </c>
      <c r="AW30" s="4438">
        <f t="shared" si="41"/>
        <v>0</v>
      </c>
      <c r="AX30" s="4438">
        <f t="shared" si="42"/>
        <v>0</v>
      </c>
      <c r="AY30" s="4438">
        <f t="shared" si="43"/>
        <v>0</v>
      </c>
      <c r="AZ30" s="4438">
        <f t="shared" si="44"/>
        <v>3.0677512871773112</v>
      </c>
      <c r="BA30" s="4438">
        <f t="shared" si="45"/>
        <v>23.519426535026049</v>
      </c>
      <c r="BB30" s="4438">
        <f t="shared" si="46"/>
        <v>4.0903350495697479</v>
      </c>
      <c r="BC30" s="4438">
        <f t="shared" si="47"/>
        <v>11.759713267513025</v>
      </c>
      <c r="BD30" s="4438">
        <f t="shared" si="48"/>
        <v>0</v>
      </c>
      <c r="BE30" s="4438">
        <f t="shared" si="49"/>
        <v>0</v>
      </c>
      <c r="BF30" s="4438">
        <f t="shared" si="50"/>
        <v>0</v>
      </c>
      <c r="BG30" s="4438">
        <f t="shared" si="51"/>
        <v>0</v>
      </c>
      <c r="BH30" s="4438">
        <f t="shared" si="52"/>
        <v>0</v>
      </c>
      <c r="BI30" s="4438">
        <f t="shared" si="53"/>
        <v>0</v>
      </c>
      <c r="BJ30" s="4438">
        <f t="shared" si="54"/>
        <v>25.564594059810926</v>
      </c>
      <c r="BK30" s="4438">
        <f t="shared" si="55"/>
        <v>0</v>
      </c>
      <c r="BL30" s="4438">
        <f t="shared" si="56"/>
        <v>0</v>
      </c>
      <c r="BM30" s="4438">
        <f t="shared" si="57"/>
        <v>0</v>
      </c>
      <c r="BN30" s="4438">
        <f t="shared" si="58"/>
        <v>0.51129188119621849</v>
      </c>
      <c r="BO30" s="4438">
        <f t="shared" si="59"/>
        <v>0</v>
      </c>
      <c r="BP30" s="4438">
        <f t="shared" si="60"/>
        <v>0</v>
      </c>
      <c r="BQ30" s="4438">
        <f t="shared" si="61"/>
        <v>0</v>
      </c>
      <c r="BR30" s="4438">
        <f t="shared" si="62"/>
        <v>0</v>
      </c>
      <c r="BS30" s="4438">
        <f t="shared" si="63"/>
        <v>0</v>
      </c>
      <c r="BT30" s="4438">
        <f t="shared" si="64"/>
        <v>0</v>
      </c>
      <c r="BU30" s="4438">
        <f t="shared" si="65"/>
        <v>0</v>
      </c>
      <c r="BV30" s="4438">
        <f t="shared" si="66"/>
        <v>0</v>
      </c>
      <c r="BW30" s="4438">
        <f t="shared" si="67"/>
        <v>0</v>
      </c>
      <c r="BX30" s="4438">
        <f t="shared" si="68"/>
        <v>0</v>
      </c>
      <c r="BY30" s="4438">
        <f t="shared" si="69"/>
        <v>0</v>
      </c>
      <c r="BZ30" s="4438">
        <f t="shared" si="70"/>
        <v>0</v>
      </c>
      <c r="CA30" s="4438">
        <f t="shared" si="71"/>
        <v>0</v>
      </c>
      <c r="CB30" s="4438">
        <f t="shared" si="72"/>
        <v>0</v>
      </c>
      <c r="CC30" s="4438">
        <f t="shared" si="73"/>
        <v>0</v>
      </c>
      <c r="CD30" s="4438">
        <f t="shared" si="74"/>
        <v>0</v>
      </c>
    </row>
    <row r="31" spans="1:82" s="659" customFormat="1">
      <c r="A31" s="2854"/>
      <c r="B31" s="2574">
        <v>20401</v>
      </c>
      <c r="C31" s="2867"/>
      <c r="D31" s="2844" t="s">
        <v>417</v>
      </c>
      <c r="E31" s="2859">
        <f t="shared" ref="E31:AN31" si="88">SUM(E32:E33)</f>
        <v>0</v>
      </c>
      <c r="F31" s="2860">
        <f t="shared" si="88"/>
        <v>0</v>
      </c>
      <c r="G31" s="2861">
        <f t="shared" si="88"/>
        <v>0</v>
      </c>
      <c r="H31" s="2861">
        <f t="shared" si="88"/>
        <v>0</v>
      </c>
      <c r="I31" s="2861">
        <f t="shared" si="88"/>
        <v>6</v>
      </c>
      <c r="J31" s="2861">
        <f t="shared" si="88"/>
        <v>0</v>
      </c>
      <c r="K31" s="2862">
        <f t="shared" si="88"/>
        <v>8</v>
      </c>
      <c r="L31" s="2859">
        <f t="shared" si="88"/>
        <v>0</v>
      </c>
      <c r="M31" s="2860">
        <f t="shared" si="88"/>
        <v>0</v>
      </c>
      <c r="N31" s="2861">
        <f t="shared" si="88"/>
        <v>0</v>
      </c>
      <c r="O31" s="2861">
        <f t="shared" si="88"/>
        <v>0</v>
      </c>
      <c r="P31" s="2861">
        <f t="shared" si="88"/>
        <v>0</v>
      </c>
      <c r="Q31" s="2861">
        <f t="shared" si="88"/>
        <v>0</v>
      </c>
      <c r="R31" s="2862">
        <f t="shared" si="88"/>
        <v>0</v>
      </c>
      <c r="S31" s="2859">
        <f t="shared" si="88"/>
        <v>0</v>
      </c>
      <c r="T31" s="2860">
        <f t="shared" si="88"/>
        <v>0</v>
      </c>
      <c r="U31" s="2861">
        <f t="shared" si="88"/>
        <v>0</v>
      </c>
      <c r="V31" s="2861">
        <f t="shared" si="88"/>
        <v>0</v>
      </c>
      <c r="W31" s="2861">
        <f t="shared" si="88"/>
        <v>1</v>
      </c>
      <c r="X31" s="2861">
        <f t="shared" si="88"/>
        <v>0</v>
      </c>
      <c r="Y31" s="2863">
        <f t="shared" si="88"/>
        <v>0</v>
      </c>
      <c r="Z31" s="2859">
        <f t="shared" ref="Z31:AM31" si="89">SUM(Z32:Z33)</f>
        <v>0</v>
      </c>
      <c r="AA31" s="2860">
        <f t="shared" si="89"/>
        <v>0</v>
      </c>
      <c r="AB31" s="2861">
        <f t="shared" si="89"/>
        <v>0</v>
      </c>
      <c r="AC31" s="2861">
        <f t="shared" si="89"/>
        <v>0</v>
      </c>
      <c r="AD31" s="2861">
        <f t="shared" si="89"/>
        <v>0</v>
      </c>
      <c r="AE31" s="2861">
        <f t="shared" si="89"/>
        <v>0</v>
      </c>
      <c r="AF31" s="2863">
        <f t="shared" si="89"/>
        <v>0</v>
      </c>
      <c r="AG31" s="2859">
        <f t="shared" si="89"/>
        <v>0</v>
      </c>
      <c r="AH31" s="2860">
        <f t="shared" si="89"/>
        <v>0</v>
      </c>
      <c r="AI31" s="2861">
        <f t="shared" si="89"/>
        <v>0</v>
      </c>
      <c r="AJ31" s="2861">
        <f t="shared" si="89"/>
        <v>0</v>
      </c>
      <c r="AK31" s="2861">
        <f t="shared" si="89"/>
        <v>0</v>
      </c>
      <c r="AL31" s="2861">
        <f t="shared" si="89"/>
        <v>0</v>
      </c>
      <c r="AM31" s="2862">
        <f t="shared" si="89"/>
        <v>0</v>
      </c>
      <c r="AN31" s="4068">
        <f t="shared" si="88"/>
        <v>0</v>
      </c>
      <c r="AO31" s="2988"/>
      <c r="AP31" s="2989"/>
      <c r="AQ31" s="2989"/>
      <c r="AR31" s="2989"/>
      <c r="AS31" s="2989"/>
      <c r="AT31" s="2990"/>
      <c r="AU31" s="4422"/>
      <c r="AV31" s="4438">
        <f t="shared" si="40"/>
        <v>0</v>
      </c>
      <c r="AW31" s="4438">
        <f t="shared" si="41"/>
        <v>0</v>
      </c>
      <c r="AX31" s="4438">
        <f t="shared" si="42"/>
        <v>0</v>
      </c>
      <c r="AY31" s="4438">
        <f t="shared" si="43"/>
        <v>0</v>
      </c>
      <c r="AZ31" s="4438">
        <f t="shared" si="44"/>
        <v>3.0677512871773112</v>
      </c>
      <c r="BA31" s="4438">
        <f t="shared" si="45"/>
        <v>0</v>
      </c>
      <c r="BB31" s="4438">
        <f t="shared" si="46"/>
        <v>4.0903350495697479</v>
      </c>
      <c r="BC31" s="4438">
        <f t="shared" si="47"/>
        <v>0</v>
      </c>
      <c r="BD31" s="4438">
        <f t="shared" si="48"/>
        <v>0</v>
      </c>
      <c r="BE31" s="4438">
        <f t="shared" si="49"/>
        <v>0</v>
      </c>
      <c r="BF31" s="4438">
        <f t="shared" si="50"/>
        <v>0</v>
      </c>
      <c r="BG31" s="4438">
        <f t="shared" si="51"/>
        <v>0</v>
      </c>
      <c r="BH31" s="4438">
        <f t="shared" si="52"/>
        <v>0</v>
      </c>
      <c r="BI31" s="4438">
        <f t="shared" si="53"/>
        <v>0</v>
      </c>
      <c r="BJ31" s="4438">
        <f t="shared" si="54"/>
        <v>0</v>
      </c>
      <c r="BK31" s="4438">
        <f t="shared" si="55"/>
        <v>0</v>
      </c>
      <c r="BL31" s="4438">
        <f t="shared" si="56"/>
        <v>0</v>
      </c>
      <c r="BM31" s="4438">
        <f t="shared" si="57"/>
        <v>0</v>
      </c>
      <c r="BN31" s="4438">
        <f t="shared" si="58"/>
        <v>0.51129188119621849</v>
      </c>
      <c r="BO31" s="4438">
        <f t="shared" si="59"/>
        <v>0</v>
      </c>
      <c r="BP31" s="4438">
        <f t="shared" si="60"/>
        <v>0</v>
      </c>
      <c r="BQ31" s="4438">
        <f t="shared" si="61"/>
        <v>0</v>
      </c>
      <c r="BR31" s="4438">
        <f t="shared" si="62"/>
        <v>0</v>
      </c>
      <c r="BS31" s="4438">
        <f t="shared" si="63"/>
        <v>0</v>
      </c>
      <c r="BT31" s="4438">
        <f t="shared" si="64"/>
        <v>0</v>
      </c>
      <c r="BU31" s="4438">
        <f t="shared" si="65"/>
        <v>0</v>
      </c>
      <c r="BV31" s="4438">
        <f t="shared" si="66"/>
        <v>0</v>
      </c>
      <c r="BW31" s="4438">
        <f t="shared" si="67"/>
        <v>0</v>
      </c>
      <c r="BX31" s="4438">
        <f t="shared" si="68"/>
        <v>0</v>
      </c>
      <c r="BY31" s="4438">
        <f t="shared" si="69"/>
        <v>0</v>
      </c>
      <c r="BZ31" s="4438">
        <f t="shared" si="70"/>
        <v>0</v>
      </c>
      <c r="CA31" s="4438">
        <f t="shared" si="71"/>
        <v>0</v>
      </c>
      <c r="CB31" s="4438">
        <f t="shared" si="72"/>
        <v>0</v>
      </c>
      <c r="CC31" s="4438">
        <f t="shared" si="73"/>
        <v>0</v>
      </c>
      <c r="CD31" s="4438">
        <f t="shared" si="74"/>
        <v>0</v>
      </c>
    </row>
    <row r="32" spans="1:82" s="659" customFormat="1">
      <c r="A32" s="2854"/>
      <c r="B32" s="2864">
        <v>2040101</v>
      </c>
      <c r="C32" s="2865">
        <v>0.1</v>
      </c>
      <c r="D32" s="2870" t="s">
        <v>431</v>
      </c>
      <c r="E32" s="4387">
        <f>SUMIF('11.3. ДА Базова година'!$B$12:$B$39,$B32,'11.3. ДА Базова година'!F$12:F$39)+SUMIF('11.3. ДА Базова година'!$B$92:$B$110,$B32,'11.3. ДА Базова година'!F$92:F$110)</f>
        <v>0</v>
      </c>
      <c r="F32" s="404"/>
      <c r="G32" s="402"/>
      <c r="H32" s="402"/>
      <c r="I32" s="402">
        <v>6</v>
      </c>
      <c r="J32" s="402"/>
      <c r="K32" s="264">
        <v>8</v>
      </c>
      <c r="L32" s="4387">
        <f>SUMIF('11.3. ДА Базова година'!$B$12:$B$39,$B32,'11.3. ДА Базова година'!J$12:J$39)+SUMIF('11.3. ДА Базова година'!$B$92:$B$110,$B32,'11.3. ДА Базова година'!J$92:J$110)</f>
        <v>0</v>
      </c>
      <c r="M32" s="404"/>
      <c r="N32" s="402"/>
      <c r="O32" s="402"/>
      <c r="P32" s="402"/>
      <c r="Q32" s="402"/>
      <c r="R32" s="264"/>
      <c r="S32" s="4387">
        <f>SUMIF('11.3. ДА Базова година'!$B$12:$B$39,$B32,'11.3. ДА Базова година'!N$12:N$39)+SUMIF('11.3. ДА Базова година'!$B$92:$B$110,$B32,'11.3. ДА Базова година'!N$92:N$110)</f>
        <v>0</v>
      </c>
      <c r="T32" s="404"/>
      <c r="U32" s="402"/>
      <c r="V32" s="402"/>
      <c r="W32" s="402">
        <v>1</v>
      </c>
      <c r="X32" s="402"/>
      <c r="Y32" s="403"/>
      <c r="Z32" s="4387">
        <f>SUMIF('11.3. ДА Базова година'!$B$12:$B$39,$B32,'11.3. ДА Базова година'!R$12:R$39)+SUMIF('11.3. ДА Базова година'!$B$92:$B$110,$B32,'11.3. ДА Базова година'!R$92:R$110)</f>
        <v>0</v>
      </c>
      <c r="AA32" s="404"/>
      <c r="AB32" s="402"/>
      <c r="AC32" s="402"/>
      <c r="AD32" s="402"/>
      <c r="AE32" s="402"/>
      <c r="AF32" s="403"/>
      <c r="AG32" s="4387">
        <f>SUMIF('11.3. ДА Базова година'!$B$12:$B$39,$B32,'11.3. ДА Базова година'!V$12:V$39)+SUMIF('11.3. ДА Базова година'!$B$92:$B$110,$B32,'11.3. ДА Базова година'!V$92:V$110)</f>
        <v>0</v>
      </c>
      <c r="AH32" s="404"/>
      <c r="AI32" s="402"/>
      <c r="AJ32" s="402"/>
      <c r="AK32" s="402"/>
      <c r="AL32" s="402"/>
      <c r="AM32" s="264"/>
      <c r="AN32" s="4066"/>
      <c r="AO32" s="2988"/>
      <c r="AP32" s="2989"/>
      <c r="AQ32" s="2989"/>
      <c r="AR32" s="2989"/>
      <c r="AS32" s="2989"/>
      <c r="AT32" s="2990"/>
      <c r="AU32" s="4422"/>
      <c r="AV32" s="4438">
        <f t="shared" si="40"/>
        <v>0</v>
      </c>
      <c r="AW32" s="4438">
        <f t="shared" si="41"/>
        <v>0</v>
      </c>
      <c r="AX32" s="4438">
        <f t="shared" si="42"/>
        <v>0</v>
      </c>
      <c r="AY32" s="4438">
        <f t="shared" si="43"/>
        <v>0</v>
      </c>
      <c r="AZ32" s="4438">
        <f t="shared" si="44"/>
        <v>3.0677512871773112</v>
      </c>
      <c r="BA32" s="4438">
        <f t="shared" si="45"/>
        <v>0</v>
      </c>
      <c r="BB32" s="4438">
        <f t="shared" si="46"/>
        <v>4.0903350495697479</v>
      </c>
      <c r="BC32" s="4438">
        <f t="shared" si="47"/>
        <v>0</v>
      </c>
      <c r="BD32" s="4438">
        <f t="shared" si="48"/>
        <v>0</v>
      </c>
      <c r="BE32" s="4438">
        <f t="shared" si="49"/>
        <v>0</v>
      </c>
      <c r="BF32" s="4438">
        <f t="shared" si="50"/>
        <v>0</v>
      </c>
      <c r="BG32" s="4438">
        <f t="shared" si="51"/>
        <v>0</v>
      </c>
      <c r="BH32" s="4438">
        <f t="shared" si="52"/>
        <v>0</v>
      </c>
      <c r="BI32" s="4438">
        <f t="shared" si="53"/>
        <v>0</v>
      </c>
      <c r="BJ32" s="4438">
        <f t="shared" si="54"/>
        <v>0</v>
      </c>
      <c r="BK32" s="4438">
        <f t="shared" si="55"/>
        <v>0</v>
      </c>
      <c r="BL32" s="4438">
        <f t="shared" si="56"/>
        <v>0</v>
      </c>
      <c r="BM32" s="4438">
        <f t="shared" si="57"/>
        <v>0</v>
      </c>
      <c r="BN32" s="4438">
        <f t="shared" si="58"/>
        <v>0.51129188119621849</v>
      </c>
      <c r="BO32" s="4438">
        <f t="shared" si="59"/>
        <v>0</v>
      </c>
      <c r="BP32" s="4438">
        <f t="shared" si="60"/>
        <v>0</v>
      </c>
      <c r="BQ32" s="4438">
        <f t="shared" si="61"/>
        <v>0</v>
      </c>
      <c r="BR32" s="4438">
        <f t="shared" si="62"/>
        <v>0</v>
      </c>
      <c r="BS32" s="4438">
        <f t="shared" si="63"/>
        <v>0</v>
      </c>
      <c r="BT32" s="4438">
        <f t="shared" si="64"/>
        <v>0</v>
      </c>
      <c r="BU32" s="4438">
        <f t="shared" si="65"/>
        <v>0</v>
      </c>
      <c r="BV32" s="4438">
        <f t="shared" si="66"/>
        <v>0</v>
      </c>
      <c r="BW32" s="4438">
        <f t="shared" si="67"/>
        <v>0</v>
      </c>
      <c r="BX32" s="4438">
        <f t="shared" si="68"/>
        <v>0</v>
      </c>
      <c r="BY32" s="4438">
        <f t="shared" si="69"/>
        <v>0</v>
      </c>
      <c r="BZ32" s="4438">
        <f t="shared" si="70"/>
        <v>0</v>
      </c>
      <c r="CA32" s="4438">
        <f t="shared" si="71"/>
        <v>0</v>
      </c>
      <c r="CB32" s="4438">
        <f t="shared" si="72"/>
        <v>0</v>
      </c>
      <c r="CC32" s="4438">
        <f t="shared" si="73"/>
        <v>0</v>
      </c>
      <c r="CD32" s="4438">
        <f t="shared" si="74"/>
        <v>0</v>
      </c>
    </row>
    <row r="33" spans="1:82" s="659" customFormat="1">
      <c r="A33" s="2854"/>
      <c r="B33" s="2864">
        <v>2040102</v>
      </c>
      <c r="C33" s="2865">
        <v>0.04</v>
      </c>
      <c r="D33" s="2870" t="s">
        <v>432</v>
      </c>
      <c r="E33" s="4387">
        <f>SUMIF('11.3. ДА Базова година'!$B$12:$B$39,$B33,'11.3. ДА Базова година'!F$12:F$39)+SUMIF('11.3. ДА Базова година'!$B$92:$B$110,$B33,'11.3. ДА Базова година'!F$92:F$110)</f>
        <v>0</v>
      </c>
      <c r="F33" s="404"/>
      <c r="G33" s="402"/>
      <c r="H33" s="402"/>
      <c r="I33" s="402"/>
      <c r="J33" s="402"/>
      <c r="K33" s="264"/>
      <c r="L33" s="4387">
        <f>SUMIF('11.3. ДА Базова година'!$B$12:$B$39,$B33,'11.3. ДА Базова година'!J$12:J$39)+SUMIF('11.3. ДА Базова година'!$B$92:$B$110,$B33,'11.3. ДА Базова година'!J$92:J$110)</f>
        <v>0</v>
      </c>
      <c r="M33" s="404"/>
      <c r="N33" s="402"/>
      <c r="O33" s="402"/>
      <c r="P33" s="402"/>
      <c r="Q33" s="402"/>
      <c r="R33" s="264"/>
      <c r="S33" s="4387">
        <f>SUMIF('11.3. ДА Базова година'!$B$12:$B$39,$B33,'11.3. ДА Базова година'!N$12:N$39)+SUMIF('11.3. ДА Базова година'!$B$92:$B$110,$B33,'11.3. ДА Базова година'!N$92:N$110)</f>
        <v>0</v>
      </c>
      <c r="T33" s="404"/>
      <c r="U33" s="402"/>
      <c r="V33" s="402"/>
      <c r="W33" s="402"/>
      <c r="X33" s="402"/>
      <c r="Y33" s="403"/>
      <c r="Z33" s="4387">
        <f>SUMIF('11.3. ДА Базова година'!$B$12:$B$39,$B33,'11.3. ДА Базова година'!R$12:R$39)+SUMIF('11.3. ДА Базова година'!$B$92:$B$110,$B33,'11.3. ДА Базова година'!R$92:R$110)</f>
        <v>0</v>
      </c>
      <c r="AA33" s="404"/>
      <c r="AB33" s="402"/>
      <c r="AC33" s="402"/>
      <c r="AD33" s="402"/>
      <c r="AE33" s="402"/>
      <c r="AF33" s="403"/>
      <c r="AG33" s="4387">
        <f>SUMIF('11.3. ДА Базова година'!$B$12:$B$39,$B33,'11.3. ДА Базова година'!V$12:V$39)+SUMIF('11.3. ДА Базова година'!$B$92:$B$110,$B33,'11.3. ДА Базова година'!V$92:V$110)</f>
        <v>0</v>
      </c>
      <c r="AH33" s="404"/>
      <c r="AI33" s="402"/>
      <c r="AJ33" s="402"/>
      <c r="AK33" s="402"/>
      <c r="AL33" s="402"/>
      <c r="AM33" s="264"/>
      <c r="AN33" s="4066"/>
      <c r="AO33" s="2988"/>
      <c r="AP33" s="2989"/>
      <c r="AQ33" s="2989"/>
      <c r="AR33" s="2989"/>
      <c r="AS33" s="2989"/>
      <c r="AT33" s="2990"/>
      <c r="AU33" s="4422"/>
      <c r="AV33" s="4438">
        <f t="shared" si="40"/>
        <v>0</v>
      </c>
      <c r="AW33" s="4438">
        <f t="shared" si="41"/>
        <v>0</v>
      </c>
      <c r="AX33" s="4438">
        <f t="shared" si="42"/>
        <v>0</v>
      </c>
      <c r="AY33" s="4438">
        <f t="shared" si="43"/>
        <v>0</v>
      </c>
      <c r="AZ33" s="4438">
        <f t="shared" si="44"/>
        <v>0</v>
      </c>
      <c r="BA33" s="4438">
        <f t="shared" si="45"/>
        <v>0</v>
      </c>
      <c r="BB33" s="4438">
        <f t="shared" si="46"/>
        <v>0</v>
      </c>
      <c r="BC33" s="4438">
        <f t="shared" si="47"/>
        <v>0</v>
      </c>
      <c r="BD33" s="4438">
        <f t="shared" si="48"/>
        <v>0</v>
      </c>
      <c r="BE33" s="4438">
        <f t="shared" si="49"/>
        <v>0</v>
      </c>
      <c r="BF33" s="4438">
        <f t="shared" si="50"/>
        <v>0</v>
      </c>
      <c r="BG33" s="4438">
        <f t="shared" si="51"/>
        <v>0</v>
      </c>
      <c r="BH33" s="4438">
        <f t="shared" si="52"/>
        <v>0</v>
      </c>
      <c r="BI33" s="4438">
        <f t="shared" si="53"/>
        <v>0</v>
      </c>
      <c r="BJ33" s="4438">
        <f t="shared" si="54"/>
        <v>0</v>
      </c>
      <c r="BK33" s="4438">
        <f t="shared" si="55"/>
        <v>0</v>
      </c>
      <c r="BL33" s="4438">
        <f t="shared" si="56"/>
        <v>0</v>
      </c>
      <c r="BM33" s="4438">
        <f t="shared" si="57"/>
        <v>0</v>
      </c>
      <c r="BN33" s="4438">
        <f t="shared" si="58"/>
        <v>0</v>
      </c>
      <c r="BO33" s="4438">
        <f t="shared" si="59"/>
        <v>0</v>
      </c>
      <c r="BP33" s="4438">
        <f t="shared" si="60"/>
        <v>0</v>
      </c>
      <c r="BQ33" s="4438">
        <f t="shared" si="61"/>
        <v>0</v>
      </c>
      <c r="BR33" s="4438">
        <f t="shared" si="62"/>
        <v>0</v>
      </c>
      <c r="BS33" s="4438">
        <f t="shared" si="63"/>
        <v>0</v>
      </c>
      <c r="BT33" s="4438">
        <f t="shared" si="64"/>
        <v>0</v>
      </c>
      <c r="BU33" s="4438">
        <f t="shared" si="65"/>
        <v>0</v>
      </c>
      <c r="BV33" s="4438">
        <f t="shared" si="66"/>
        <v>0</v>
      </c>
      <c r="BW33" s="4438">
        <f t="shared" si="67"/>
        <v>0</v>
      </c>
      <c r="BX33" s="4438">
        <f t="shared" si="68"/>
        <v>0</v>
      </c>
      <c r="BY33" s="4438">
        <f t="shared" si="69"/>
        <v>0</v>
      </c>
      <c r="BZ33" s="4438">
        <f t="shared" si="70"/>
        <v>0</v>
      </c>
      <c r="CA33" s="4438">
        <f t="shared" si="71"/>
        <v>0</v>
      </c>
      <c r="CB33" s="4438">
        <f t="shared" si="72"/>
        <v>0</v>
      </c>
      <c r="CC33" s="4438">
        <f t="shared" si="73"/>
        <v>0</v>
      </c>
      <c r="CD33" s="4438">
        <f t="shared" si="74"/>
        <v>0</v>
      </c>
    </row>
    <row r="34" spans="1:82" s="659" customFormat="1">
      <c r="A34" s="2854"/>
      <c r="B34" s="2574">
        <v>20402</v>
      </c>
      <c r="C34" s="2867"/>
      <c r="D34" s="2844" t="s">
        <v>433</v>
      </c>
      <c r="E34" s="2859">
        <f>SUM(E35:E42)</f>
        <v>678</v>
      </c>
      <c r="F34" s="2860">
        <f>SUM(F35:F42)</f>
        <v>0</v>
      </c>
      <c r="G34" s="2861">
        <f t="shared" ref="G34:K34" si="90">SUM(G35:G42)</f>
        <v>0</v>
      </c>
      <c r="H34" s="2861">
        <f t="shared" si="90"/>
        <v>0</v>
      </c>
      <c r="I34" s="2861">
        <f t="shared" si="90"/>
        <v>0</v>
      </c>
      <c r="J34" s="2861">
        <f t="shared" si="90"/>
        <v>10</v>
      </c>
      <c r="K34" s="2862">
        <f t="shared" si="90"/>
        <v>0</v>
      </c>
      <c r="L34" s="2859">
        <f>SUM(L35:L42)</f>
        <v>23</v>
      </c>
      <c r="M34" s="2860">
        <f t="shared" ref="M34:AN34" si="91">SUM(M35:M42)</f>
        <v>0</v>
      </c>
      <c r="N34" s="2861">
        <f t="shared" si="91"/>
        <v>0</v>
      </c>
      <c r="O34" s="2861">
        <f t="shared" si="91"/>
        <v>0</v>
      </c>
      <c r="P34" s="2861">
        <f t="shared" si="91"/>
        <v>0</v>
      </c>
      <c r="Q34" s="2861">
        <f t="shared" si="91"/>
        <v>0</v>
      </c>
      <c r="R34" s="2862">
        <f t="shared" si="91"/>
        <v>0</v>
      </c>
      <c r="S34" s="2859">
        <f t="shared" si="91"/>
        <v>38</v>
      </c>
      <c r="T34" s="2860">
        <f t="shared" si="91"/>
        <v>0</v>
      </c>
      <c r="U34" s="2861">
        <f t="shared" si="91"/>
        <v>0</v>
      </c>
      <c r="V34" s="2861">
        <f t="shared" si="91"/>
        <v>0</v>
      </c>
      <c r="W34" s="2861">
        <f t="shared" si="91"/>
        <v>0</v>
      </c>
      <c r="X34" s="2861">
        <f t="shared" si="91"/>
        <v>0</v>
      </c>
      <c r="Y34" s="2863">
        <f t="shared" si="91"/>
        <v>0</v>
      </c>
      <c r="Z34" s="2859">
        <f t="shared" si="91"/>
        <v>0</v>
      </c>
      <c r="AA34" s="2860">
        <f t="shared" si="91"/>
        <v>0</v>
      </c>
      <c r="AB34" s="2861">
        <f t="shared" si="91"/>
        <v>0</v>
      </c>
      <c r="AC34" s="2861">
        <f t="shared" si="91"/>
        <v>0</v>
      </c>
      <c r="AD34" s="2861">
        <f t="shared" si="91"/>
        <v>0</v>
      </c>
      <c r="AE34" s="2861">
        <f t="shared" si="91"/>
        <v>0</v>
      </c>
      <c r="AF34" s="2863">
        <f t="shared" si="91"/>
        <v>0</v>
      </c>
      <c r="AG34" s="2859">
        <f>SUM(AG35:AG42)</f>
        <v>0</v>
      </c>
      <c r="AH34" s="2860">
        <f>SUM(AH35:AH42)</f>
        <v>0</v>
      </c>
      <c r="AI34" s="2861">
        <f t="shared" ref="AI34:AM34" si="92">SUM(AI35:AI42)</f>
        <v>0</v>
      </c>
      <c r="AJ34" s="2861">
        <f t="shared" si="92"/>
        <v>0</v>
      </c>
      <c r="AK34" s="2861">
        <f t="shared" si="92"/>
        <v>0</v>
      </c>
      <c r="AL34" s="2861">
        <f t="shared" si="92"/>
        <v>0</v>
      </c>
      <c r="AM34" s="2862">
        <f t="shared" si="92"/>
        <v>0</v>
      </c>
      <c r="AN34" s="4068">
        <f t="shared" si="91"/>
        <v>0</v>
      </c>
      <c r="AO34" s="2988"/>
      <c r="AP34" s="2989"/>
      <c r="AQ34" s="2989"/>
      <c r="AR34" s="2989"/>
      <c r="AS34" s="2989"/>
      <c r="AT34" s="2990"/>
      <c r="AU34" s="4422"/>
      <c r="AV34" s="4438">
        <f t="shared" si="40"/>
        <v>346.65589545103614</v>
      </c>
      <c r="AW34" s="4438">
        <f t="shared" si="41"/>
        <v>0</v>
      </c>
      <c r="AX34" s="4438">
        <f t="shared" si="42"/>
        <v>0</v>
      </c>
      <c r="AY34" s="4438">
        <f t="shared" si="43"/>
        <v>0</v>
      </c>
      <c r="AZ34" s="4438">
        <f t="shared" si="44"/>
        <v>0</v>
      </c>
      <c r="BA34" s="4438">
        <f t="shared" si="45"/>
        <v>5.1129188119621851</v>
      </c>
      <c r="BB34" s="4438">
        <f t="shared" si="46"/>
        <v>0</v>
      </c>
      <c r="BC34" s="4438">
        <f t="shared" si="47"/>
        <v>11.759713267513025</v>
      </c>
      <c r="BD34" s="4438">
        <f t="shared" si="48"/>
        <v>0</v>
      </c>
      <c r="BE34" s="4438">
        <f t="shared" si="49"/>
        <v>0</v>
      </c>
      <c r="BF34" s="4438">
        <f t="shared" si="50"/>
        <v>0</v>
      </c>
      <c r="BG34" s="4438">
        <f t="shared" si="51"/>
        <v>0</v>
      </c>
      <c r="BH34" s="4438">
        <f t="shared" si="52"/>
        <v>0</v>
      </c>
      <c r="BI34" s="4438">
        <f t="shared" si="53"/>
        <v>0</v>
      </c>
      <c r="BJ34" s="4438">
        <f t="shared" si="54"/>
        <v>19.429091485456304</v>
      </c>
      <c r="BK34" s="4438">
        <f t="shared" si="55"/>
        <v>0</v>
      </c>
      <c r="BL34" s="4438">
        <f t="shared" si="56"/>
        <v>0</v>
      </c>
      <c r="BM34" s="4438">
        <f t="shared" si="57"/>
        <v>0</v>
      </c>
      <c r="BN34" s="4438">
        <f t="shared" si="58"/>
        <v>0</v>
      </c>
      <c r="BO34" s="4438">
        <f t="shared" si="59"/>
        <v>0</v>
      </c>
      <c r="BP34" s="4438">
        <f t="shared" si="60"/>
        <v>0</v>
      </c>
      <c r="BQ34" s="4438">
        <f t="shared" si="61"/>
        <v>0</v>
      </c>
      <c r="BR34" s="4438">
        <f t="shared" si="62"/>
        <v>0</v>
      </c>
      <c r="BS34" s="4438">
        <f t="shared" si="63"/>
        <v>0</v>
      </c>
      <c r="BT34" s="4438">
        <f t="shared" si="64"/>
        <v>0</v>
      </c>
      <c r="BU34" s="4438">
        <f t="shared" si="65"/>
        <v>0</v>
      </c>
      <c r="BV34" s="4438">
        <f t="shared" si="66"/>
        <v>0</v>
      </c>
      <c r="BW34" s="4438">
        <f t="shared" si="67"/>
        <v>0</v>
      </c>
      <c r="BX34" s="4438">
        <f t="shared" si="68"/>
        <v>0</v>
      </c>
      <c r="BY34" s="4438">
        <f t="shared" si="69"/>
        <v>0</v>
      </c>
      <c r="BZ34" s="4438">
        <f t="shared" si="70"/>
        <v>0</v>
      </c>
      <c r="CA34" s="4438">
        <f t="shared" si="71"/>
        <v>0</v>
      </c>
      <c r="CB34" s="4438">
        <f t="shared" si="72"/>
        <v>0</v>
      </c>
      <c r="CC34" s="4438">
        <f t="shared" si="73"/>
        <v>0</v>
      </c>
      <c r="CD34" s="4438">
        <f t="shared" si="74"/>
        <v>0</v>
      </c>
    </row>
    <row r="35" spans="1:82" s="659" customFormat="1">
      <c r="A35" s="2854"/>
      <c r="B35" s="2574">
        <v>2040201</v>
      </c>
      <c r="C35" s="2855">
        <v>0.02</v>
      </c>
      <c r="D35" s="2866" t="s">
        <v>738</v>
      </c>
      <c r="E35" s="4387">
        <f>SUMIF('11.3. ДА Базова година'!$B$12:$B$39,$B35,'11.3. ДА Базова година'!F$12:F$39)+SUMIF('11.3. ДА Базова година'!$B$92:$B$110,$B35,'11.3. ДА Базова година'!F$92:F$110)</f>
        <v>0</v>
      </c>
      <c r="F35" s="404"/>
      <c r="G35" s="402"/>
      <c r="H35" s="402"/>
      <c r="I35" s="402"/>
      <c r="J35" s="402"/>
      <c r="K35" s="264"/>
      <c r="L35" s="4387">
        <f>SUMIF('11.3. ДА Базова година'!$B$12:$B$39,$B35,'11.3. ДА Базова година'!J$12:J$39)+SUMIF('11.3. ДА Базова година'!$B$92:$B$110,$B35,'11.3. ДА Базова година'!J$92:J$110)</f>
        <v>0</v>
      </c>
      <c r="M35" s="404"/>
      <c r="N35" s="402"/>
      <c r="O35" s="402"/>
      <c r="P35" s="402"/>
      <c r="Q35" s="402"/>
      <c r="R35" s="264"/>
      <c r="S35" s="4387">
        <f>SUMIF('11.3. ДА Базова година'!$B$12:$B$39,$B35,'11.3. ДА Базова година'!N$12:N$39)+SUMIF('11.3. ДА Базова година'!$B$92:$B$110,$B35,'11.3. ДА Базова година'!N$92:N$110)</f>
        <v>0</v>
      </c>
      <c r="T35" s="404"/>
      <c r="U35" s="402"/>
      <c r="V35" s="402"/>
      <c r="W35" s="402"/>
      <c r="X35" s="402"/>
      <c r="Y35" s="403"/>
      <c r="Z35" s="4387">
        <f>SUMIF('11.3. ДА Базова година'!$B$12:$B$39,$B35,'11.3. ДА Базова година'!R$12:R$39)+SUMIF('11.3. ДА Базова година'!$B$92:$B$110,$B35,'11.3. ДА Базова година'!R$92:R$110)</f>
        <v>0</v>
      </c>
      <c r="AA35" s="404"/>
      <c r="AB35" s="402"/>
      <c r="AC35" s="402"/>
      <c r="AD35" s="402"/>
      <c r="AE35" s="402"/>
      <c r="AF35" s="403"/>
      <c r="AG35" s="4387">
        <f>SUMIF('11.3. ДА Базова година'!$B$12:$B$39,$B35,'11.3. ДА Базова година'!V$12:V$39)+SUMIF('11.3. ДА Базова година'!$B$92:$B$110,$B35,'11.3. ДА Базова година'!V$92:V$110)</f>
        <v>0</v>
      </c>
      <c r="AH35" s="404"/>
      <c r="AI35" s="402"/>
      <c r="AJ35" s="402"/>
      <c r="AK35" s="402"/>
      <c r="AL35" s="402"/>
      <c r="AM35" s="264"/>
      <c r="AN35" s="4066"/>
      <c r="AO35" s="2988"/>
      <c r="AP35" s="2989"/>
      <c r="AQ35" s="2989"/>
      <c r="AR35" s="2989"/>
      <c r="AS35" s="2989"/>
      <c r="AT35" s="2990"/>
      <c r="AU35" s="4422"/>
      <c r="AV35" s="4438">
        <f t="shared" si="40"/>
        <v>0</v>
      </c>
      <c r="AW35" s="4438">
        <f t="shared" si="41"/>
        <v>0</v>
      </c>
      <c r="AX35" s="4438">
        <f t="shared" si="42"/>
        <v>0</v>
      </c>
      <c r="AY35" s="4438">
        <f t="shared" si="43"/>
        <v>0</v>
      </c>
      <c r="AZ35" s="4438">
        <f t="shared" si="44"/>
        <v>0</v>
      </c>
      <c r="BA35" s="4438">
        <f t="shared" si="45"/>
        <v>0</v>
      </c>
      <c r="BB35" s="4438">
        <f t="shared" si="46"/>
        <v>0</v>
      </c>
      <c r="BC35" s="4438">
        <f t="shared" si="47"/>
        <v>0</v>
      </c>
      <c r="BD35" s="4438">
        <f t="shared" si="48"/>
        <v>0</v>
      </c>
      <c r="BE35" s="4438">
        <f t="shared" si="49"/>
        <v>0</v>
      </c>
      <c r="BF35" s="4438">
        <f t="shared" si="50"/>
        <v>0</v>
      </c>
      <c r="BG35" s="4438">
        <f t="shared" si="51"/>
        <v>0</v>
      </c>
      <c r="BH35" s="4438">
        <f t="shared" si="52"/>
        <v>0</v>
      </c>
      <c r="BI35" s="4438">
        <f t="shared" si="53"/>
        <v>0</v>
      </c>
      <c r="BJ35" s="4438">
        <f t="shared" si="54"/>
        <v>0</v>
      </c>
      <c r="BK35" s="4438">
        <f t="shared" si="55"/>
        <v>0</v>
      </c>
      <c r="BL35" s="4438">
        <f t="shared" si="56"/>
        <v>0</v>
      </c>
      <c r="BM35" s="4438">
        <f t="shared" si="57"/>
        <v>0</v>
      </c>
      <c r="BN35" s="4438">
        <f t="shared" si="58"/>
        <v>0</v>
      </c>
      <c r="BO35" s="4438">
        <f t="shared" si="59"/>
        <v>0</v>
      </c>
      <c r="BP35" s="4438">
        <f t="shared" si="60"/>
        <v>0</v>
      </c>
      <c r="BQ35" s="4438">
        <f t="shared" si="61"/>
        <v>0</v>
      </c>
      <c r="BR35" s="4438">
        <f t="shared" si="62"/>
        <v>0</v>
      </c>
      <c r="BS35" s="4438">
        <f t="shared" si="63"/>
        <v>0</v>
      </c>
      <c r="BT35" s="4438">
        <f t="shared" si="64"/>
        <v>0</v>
      </c>
      <c r="BU35" s="4438">
        <f t="shared" si="65"/>
        <v>0</v>
      </c>
      <c r="BV35" s="4438">
        <f t="shared" si="66"/>
        <v>0</v>
      </c>
      <c r="BW35" s="4438">
        <f t="shared" si="67"/>
        <v>0</v>
      </c>
      <c r="BX35" s="4438">
        <f t="shared" si="68"/>
        <v>0</v>
      </c>
      <c r="BY35" s="4438">
        <f t="shared" si="69"/>
        <v>0</v>
      </c>
      <c r="BZ35" s="4438">
        <f t="shared" si="70"/>
        <v>0</v>
      </c>
      <c r="CA35" s="4438">
        <f t="shared" si="71"/>
        <v>0</v>
      </c>
      <c r="CB35" s="4438">
        <f t="shared" si="72"/>
        <v>0</v>
      </c>
      <c r="CC35" s="4438">
        <f t="shared" si="73"/>
        <v>0</v>
      </c>
      <c r="CD35" s="4438">
        <f t="shared" si="74"/>
        <v>0</v>
      </c>
    </row>
    <row r="36" spans="1:82" s="659" customFormat="1">
      <c r="A36" s="2854"/>
      <c r="B36" s="2574">
        <v>2040202</v>
      </c>
      <c r="C36" s="2855">
        <v>0.02</v>
      </c>
      <c r="D36" s="2866" t="s">
        <v>739</v>
      </c>
      <c r="E36" s="4387">
        <f>SUMIF('11.3. ДА Базова година'!$B$12:$B$39,$B36,'11.3. ДА Базова година'!F$12:F$39)+SUMIF('11.3. ДА Базова година'!$B$92:$B$110,$B36,'11.3. ДА Базова година'!F$92:F$110)</f>
        <v>40</v>
      </c>
      <c r="F36" s="404"/>
      <c r="G36" s="402"/>
      <c r="H36" s="402"/>
      <c r="I36" s="402"/>
      <c r="J36" s="402"/>
      <c r="K36" s="264"/>
      <c r="L36" s="4387">
        <f>SUMIF('11.3. ДА Базова година'!$B$12:$B$39,$B36,'11.3. ДА Базова година'!J$12:J$39)+SUMIF('11.3. ДА Базова година'!$B$92:$B$110,$B36,'11.3. ДА Базова година'!J$92:J$110)</f>
        <v>0</v>
      </c>
      <c r="M36" s="404"/>
      <c r="N36" s="402"/>
      <c r="O36" s="402"/>
      <c r="P36" s="402"/>
      <c r="Q36" s="402"/>
      <c r="R36" s="264"/>
      <c r="S36" s="4387">
        <f>SUMIF('11.3. ДА Базова година'!$B$12:$B$39,$B36,'11.3. ДА Базова година'!N$12:N$39)+SUMIF('11.3. ДА Базова година'!$B$92:$B$110,$B36,'11.3. ДА Базова година'!N$92:N$110)</f>
        <v>0</v>
      </c>
      <c r="T36" s="404"/>
      <c r="U36" s="402"/>
      <c r="V36" s="402"/>
      <c r="W36" s="402"/>
      <c r="X36" s="402"/>
      <c r="Y36" s="403"/>
      <c r="Z36" s="4387">
        <f>SUMIF('11.3. ДА Базова година'!$B$12:$B$39,$B36,'11.3. ДА Базова година'!R$12:R$39)+SUMIF('11.3. ДА Базова година'!$B$92:$B$110,$B36,'11.3. ДА Базова година'!R$92:R$110)</f>
        <v>0</v>
      </c>
      <c r="AA36" s="404"/>
      <c r="AB36" s="402"/>
      <c r="AC36" s="402"/>
      <c r="AD36" s="402"/>
      <c r="AE36" s="402"/>
      <c r="AF36" s="403"/>
      <c r="AG36" s="4387">
        <f>SUMIF('11.3. ДА Базова година'!$B$12:$B$39,$B36,'11.3. ДА Базова година'!V$12:V$39)+SUMIF('11.3. ДА Базова година'!$B$92:$B$110,$B36,'11.3. ДА Базова година'!V$92:V$110)</f>
        <v>0</v>
      </c>
      <c r="AH36" s="404"/>
      <c r="AI36" s="402"/>
      <c r="AJ36" s="402"/>
      <c r="AK36" s="402"/>
      <c r="AL36" s="402"/>
      <c r="AM36" s="264"/>
      <c r="AN36" s="4066"/>
      <c r="AO36" s="2988"/>
      <c r="AP36" s="2989"/>
      <c r="AQ36" s="2989"/>
      <c r="AR36" s="2989"/>
      <c r="AS36" s="2989"/>
      <c r="AT36" s="2990"/>
      <c r="AU36" s="4422"/>
      <c r="AV36" s="4438">
        <f t="shared" si="40"/>
        <v>20.45167524784874</v>
      </c>
      <c r="AW36" s="4438">
        <f t="shared" si="41"/>
        <v>0</v>
      </c>
      <c r="AX36" s="4438">
        <f t="shared" si="42"/>
        <v>0</v>
      </c>
      <c r="AY36" s="4438">
        <f t="shared" si="43"/>
        <v>0</v>
      </c>
      <c r="AZ36" s="4438">
        <f t="shared" si="44"/>
        <v>0</v>
      </c>
      <c r="BA36" s="4438">
        <f t="shared" si="45"/>
        <v>0</v>
      </c>
      <c r="BB36" s="4438">
        <f t="shared" si="46"/>
        <v>0</v>
      </c>
      <c r="BC36" s="4438">
        <f t="shared" si="47"/>
        <v>0</v>
      </c>
      <c r="BD36" s="4438">
        <f t="shared" si="48"/>
        <v>0</v>
      </c>
      <c r="BE36" s="4438">
        <f t="shared" si="49"/>
        <v>0</v>
      </c>
      <c r="BF36" s="4438">
        <f t="shared" si="50"/>
        <v>0</v>
      </c>
      <c r="BG36" s="4438">
        <f t="shared" si="51"/>
        <v>0</v>
      </c>
      <c r="BH36" s="4438">
        <f t="shared" si="52"/>
        <v>0</v>
      </c>
      <c r="BI36" s="4438">
        <f t="shared" si="53"/>
        <v>0</v>
      </c>
      <c r="BJ36" s="4438">
        <f t="shared" si="54"/>
        <v>0</v>
      </c>
      <c r="BK36" s="4438">
        <f t="shared" si="55"/>
        <v>0</v>
      </c>
      <c r="BL36" s="4438">
        <f t="shared" si="56"/>
        <v>0</v>
      </c>
      <c r="BM36" s="4438">
        <f t="shared" si="57"/>
        <v>0</v>
      </c>
      <c r="BN36" s="4438">
        <f t="shared" si="58"/>
        <v>0</v>
      </c>
      <c r="BO36" s="4438">
        <f t="shared" si="59"/>
        <v>0</v>
      </c>
      <c r="BP36" s="4438">
        <f t="shared" si="60"/>
        <v>0</v>
      </c>
      <c r="BQ36" s="4438">
        <f t="shared" si="61"/>
        <v>0</v>
      </c>
      <c r="BR36" s="4438">
        <f t="shared" si="62"/>
        <v>0</v>
      </c>
      <c r="BS36" s="4438">
        <f t="shared" si="63"/>
        <v>0</v>
      </c>
      <c r="BT36" s="4438">
        <f t="shared" si="64"/>
        <v>0</v>
      </c>
      <c r="BU36" s="4438">
        <f t="shared" si="65"/>
        <v>0</v>
      </c>
      <c r="BV36" s="4438">
        <f t="shared" si="66"/>
        <v>0</v>
      </c>
      <c r="BW36" s="4438">
        <f t="shared" si="67"/>
        <v>0</v>
      </c>
      <c r="BX36" s="4438">
        <f t="shared" si="68"/>
        <v>0</v>
      </c>
      <c r="BY36" s="4438">
        <f t="shared" si="69"/>
        <v>0</v>
      </c>
      <c r="BZ36" s="4438">
        <f t="shared" si="70"/>
        <v>0</v>
      </c>
      <c r="CA36" s="4438">
        <f t="shared" si="71"/>
        <v>0</v>
      </c>
      <c r="CB36" s="4438">
        <f t="shared" si="72"/>
        <v>0</v>
      </c>
      <c r="CC36" s="4438">
        <f t="shared" si="73"/>
        <v>0</v>
      </c>
      <c r="CD36" s="4438">
        <f t="shared" si="74"/>
        <v>0</v>
      </c>
    </row>
    <row r="37" spans="1:82" s="659" customFormat="1">
      <c r="A37" s="2854"/>
      <c r="B37" s="2574">
        <v>2040203</v>
      </c>
      <c r="C37" s="2855">
        <v>0.02</v>
      </c>
      <c r="D37" s="2866" t="s">
        <v>418</v>
      </c>
      <c r="E37" s="4387">
        <f>SUMIF('11.3. ДА Базова година'!$B$12:$B$39,$B37,'11.3. ДА Базова година'!F$12:F$39)+SUMIF('11.3. ДА Базова година'!$B$92:$B$110,$B37,'11.3. ДА Базова година'!F$92:F$110)</f>
        <v>0</v>
      </c>
      <c r="F37" s="404"/>
      <c r="G37" s="402"/>
      <c r="H37" s="402"/>
      <c r="I37" s="402"/>
      <c r="J37" s="402"/>
      <c r="K37" s="264"/>
      <c r="L37" s="4387">
        <f>SUMIF('11.3. ДА Базова година'!$B$12:$B$39,$B37,'11.3. ДА Базова година'!J$12:J$39)+SUMIF('11.3. ДА Базова година'!$B$92:$B$110,$B37,'11.3. ДА Базова година'!J$92:J$110)</f>
        <v>0</v>
      </c>
      <c r="M37" s="404"/>
      <c r="N37" s="402"/>
      <c r="O37" s="402"/>
      <c r="P37" s="402"/>
      <c r="Q37" s="402"/>
      <c r="R37" s="264"/>
      <c r="S37" s="4387">
        <f>SUMIF('11.3. ДА Базова година'!$B$12:$B$39,$B37,'11.3. ДА Базова година'!N$12:N$39)+SUMIF('11.3. ДА Базова година'!$B$92:$B$110,$B37,'11.3. ДА Базова година'!N$92:N$110)</f>
        <v>0</v>
      </c>
      <c r="T37" s="404"/>
      <c r="U37" s="402"/>
      <c r="V37" s="402"/>
      <c r="W37" s="402"/>
      <c r="X37" s="402"/>
      <c r="Y37" s="403"/>
      <c r="Z37" s="4387">
        <f>SUMIF('11.3. ДА Базова година'!$B$12:$B$39,$B37,'11.3. ДА Базова година'!R$12:R$39)+SUMIF('11.3. ДА Базова година'!$B$92:$B$110,$B37,'11.3. ДА Базова година'!R$92:R$110)</f>
        <v>0</v>
      </c>
      <c r="AA37" s="404"/>
      <c r="AB37" s="402"/>
      <c r="AC37" s="402"/>
      <c r="AD37" s="402"/>
      <c r="AE37" s="402"/>
      <c r="AF37" s="403"/>
      <c r="AG37" s="4387">
        <f>SUMIF('11.3. ДА Базова година'!$B$12:$B$39,$B37,'11.3. ДА Базова година'!V$12:V$39)+SUMIF('11.3. ДА Базова година'!$B$92:$B$110,$B37,'11.3. ДА Базова година'!V$92:V$110)</f>
        <v>0</v>
      </c>
      <c r="AH37" s="404"/>
      <c r="AI37" s="402"/>
      <c r="AJ37" s="402"/>
      <c r="AK37" s="402"/>
      <c r="AL37" s="402"/>
      <c r="AM37" s="264"/>
      <c r="AN37" s="4066"/>
      <c r="AO37" s="2988"/>
      <c r="AP37" s="2989"/>
      <c r="AQ37" s="2989"/>
      <c r="AR37" s="2989"/>
      <c r="AS37" s="2989"/>
      <c r="AT37" s="2990"/>
      <c r="AU37" s="4422"/>
      <c r="AV37" s="4438">
        <f t="shared" si="40"/>
        <v>0</v>
      </c>
      <c r="AW37" s="4438">
        <f t="shared" si="41"/>
        <v>0</v>
      </c>
      <c r="AX37" s="4438">
        <f t="shared" si="42"/>
        <v>0</v>
      </c>
      <c r="AY37" s="4438">
        <f t="shared" si="43"/>
        <v>0</v>
      </c>
      <c r="AZ37" s="4438">
        <f t="shared" si="44"/>
        <v>0</v>
      </c>
      <c r="BA37" s="4438">
        <f t="shared" si="45"/>
        <v>0</v>
      </c>
      <c r="BB37" s="4438">
        <f t="shared" si="46"/>
        <v>0</v>
      </c>
      <c r="BC37" s="4438">
        <f t="shared" si="47"/>
        <v>0</v>
      </c>
      <c r="BD37" s="4438">
        <f t="shared" si="48"/>
        <v>0</v>
      </c>
      <c r="BE37" s="4438">
        <f t="shared" si="49"/>
        <v>0</v>
      </c>
      <c r="BF37" s="4438">
        <f t="shared" si="50"/>
        <v>0</v>
      </c>
      <c r="BG37" s="4438">
        <f t="shared" si="51"/>
        <v>0</v>
      </c>
      <c r="BH37" s="4438">
        <f t="shared" si="52"/>
        <v>0</v>
      </c>
      <c r="BI37" s="4438">
        <f t="shared" si="53"/>
        <v>0</v>
      </c>
      <c r="BJ37" s="4438">
        <f t="shared" si="54"/>
        <v>0</v>
      </c>
      <c r="BK37" s="4438">
        <f t="shared" si="55"/>
        <v>0</v>
      </c>
      <c r="BL37" s="4438">
        <f t="shared" si="56"/>
        <v>0</v>
      </c>
      <c r="BM37" s="4438">
        <f t="shared" si="57"/>
        <v>0</v>
      </c>
      <c r="BN37" s="4438">
        <f t="shared" si="58"/>
        <v>0</v>
      </c>
      <c r="BO37" s="4438">
        <f t="shared" si="59"/>
        <v>0</v>
      </c>
      <c r="BP37" s="4438">
        <f t="shared" si="60"/>
        <v>0</v>
      </c>
      <c r="BQ37" s="4438">
        <f t="shared" si="61"/>
        <v>0</v>
      </c>
      <c r="BR37" s="4438">
        <f t="shared" si="62"/>
        <v>0</v>
      </c>
      <c r="BS37" s="4438">
        <f t="shared" si="63"/>
        <v>0</v>
      </c>
      <c r="BT37" s="4438">
        <f t="shared" si="64"/>
        <v>0</v>
      </c>
      <c r="BU37" s="4438">
        <f t="shared" si="65"/>
        <v>0</v>
      </c>
      <c r="BV37" s="4438">
        <f t="shared" si="66"/>
        <v>0</v>
      </c>
      <c r="BW37" s="4438">
        <f t="shared" si="67"/>
        <v>0</v>
      </c>
      <c r="BX37" s="4438">
        <f t="shared" si="68"/>
        <v>0</v>
      </c>
      <c r="BY37" s="4438">
        <f t="shared" si="69"/>
        <v>0</v>
      </c>
      <c r="BZ37" s="4438">
        <f t="shared" si="70"/>
        <v>0</v>
      </c>
      <c r="CA37" s="4438">
        <f t="shared" si="71"/>
        <v>0</v>
      </c>
      <c r="CB37" s="4438">
        <f t="shared" si="72"/>
        <v>0</v>
      </c>
      <c r="CC37" s="4438">
        <f t="shared" si="73"/>
        <v>0</v>
      </c>
      <c r="CD37" s="4438">
        <f t="shared" si="74"/>
        <v>0</v>
      </c>
    </row>
    <row r="38" spans="1:82" s="659" customFormat="1">
      <c r="A38" s="2854"/>
      <c r="B38" s="2574">
        <v>2040204</v>
      </c>
      <c r="C38" s="2855">
        <v>0.02</v>
      </c>
      <c r="D38" s="2870" t="s">
        <v>419</v>
      </c>
      <c r="E38" s="4387">
        <f>SUMIF('11.3. ДА Базова година'!$B$12:$B$39,$B38,'11.3. ДА Базова година'!F$12:F$39)+SUMIF('11.3. ДА Базова година'!$B$92:$B$110,$B38,'11.3. ДА Базова година'!F$92:F$110)</f>
        <v>47</v>
      </c>
      <c r="F38" s="404"/>
      <c r="G38" s="402"/>
      <c r="H38" s="402"/>
      <c r="I38" s="402"/>
      <c r="J38" s="402"/>
      <c r="K38" s="264"/>
      <c r="L38" s="4387">
        <f>SUMIF('11.3. ДА Базова година'!$B$12:$B$39,$B38,'11.3. ДА Базова година'!J$12:J$39)+SUMIF('11.3. ДА Базова година'!$B$92:$B$110,$B38,'11.3. ДА Базова година'!J$92:J$110)</f>
        <v>0</v>
      </c>
      <c r="M38" s="404"/>
      <c r="N38" s="402"/>
      <c r="O38" s="402"/>
      <c r="P38" s="402"/>
      <c r="Q38" s="402"/>
      <c r="R38" s="264"/>
      <c r="S38" s="4387">
        <f>SUMIF('11.3. ДА Базова година'!$B$12:$B$39,$B38,'11.3. ДА Базова година'!N$12:N$39)+SUMIF('11.3. ДА Базова година'!$B$92:$B$110,$B38,'11.3. ДА Базова година'!N$92:N$110)</f>
        <v>0</v>
      </c>
      <c r="T38" s="404"/>
      <c r="U38" s="402"/>
      <c r="V38" s="402"/>
      <c r="W38" s="402"/>
      <c r="X38" s="402"/>
      <c r="Y38" s="403"/>
      <c r="Z38" s="4387">
        <f>SUMIF('11.3. ДА Базова година'!$B$12:$B$39,$B38,'11.3. ДА Базова година'!R$12:R$39)+SUMIF('11.3. ДА Базова година'!$B$92:$B$110,$B38,'11.3. ДА Базова година'!R$92:R$110)</f>
        <v>0</v>
      </c>
      <c r="AA38" s="404"/>
      <c r="AB38" s="402"/>
      <c r="AC38" s="402"/>
      <c r="AD38" s="402"/>
      <c r="AE38" s="402"/>
      <c r="AF38" s="403"/>
      <c r="AG38" s="4387">
        <f>SUMIF('11.3. ДА Базова година'!$B$12:$B$39,$B38,'11.3. ДА Базова година'!V$12:V$39)+SUMIF('11.3. ДА Базова година'!$B$92:$B$110,$B38,'11.3. ДА Базова година'!V$92:V$110)</f>
        <v>0</v>
      </c>
      <c r="AH38" s="404"/>
      <c r="AI38" s="402"/>
      <c r="AJ38" s="402"/>
      <c r="AK38" s="402"/>
      <c r="AL38" s="402"/>
      <c r="AM38" s="264"/>
      <c r="AN38" s="4066"/>
      <c r="AO38" s="2988"/>
      <c r="AP38" s="2989"/>
      <c r="AQ38" s="2989"/>
      <c r="AR38" s="2989"/>
      <c r="AS38" s="2989"/>
      <c r="AT38" s="2990"/>
      <c r="AU38" s="4422"/>
      <c r="AV38" s="4438">
        <f t="shared" si="40"/>
        <v>24.030718416222268</v>
      </c>
      <c r="AW38" s="4438">
        <f t="shared" si="41"/>
        <v>0</v>
      </c>
      <c r="AX38" s="4438">
        <f t="shared" si="42"/>
        <v>0</v>
      </c>
      <c r="AY38" s="4438">
        <f t="shared" si="43"/>
        <v>0</v>
      </c>
      <c r="AZ38" s="4438">
        <f t="shared" si="44"/>
        <v>0</v>
      </c>
      <c r="BA38" s="4438">
        <f t="shared" si="45"/>
        <v>0</v>
      </c>
      <c r="BB38" s="4438">
        <f t="shared" si="46"/>
        <v>0</v>
      </c>
      <c r="BC38" s="4438">
        <f t="shared" si="47"/>
        <v>0</v>
      </c>
      <c r="BD38" s="4438">
        <f t="shared" si="48"/>
        <v>0</v>
      </c>
      <c r="BE38" s="4438">
        <f t="shared" si="49"/>
        <v>0</v>
      </c>
      <c r="BF38" s="4438">
        <f t="shared" si="50"/>
        <v>0</v>
      </c>
      <c r="BG38" s="4438">
        <f t="shared" si="51"/>
        <v>0</v>
      </c>
      <c r="BH38" s="4438">
        <f t="shared" si="52"/>
        <v>0</v>
      </c>
      <c r="BI38" s="4438">
        <f t="shared" si="53"/>
        <v>0</v>
      </c>
      <c r="BJ38" s="4438">
        <f t="shared" si="54"/>
        <v>0</v>
      </c>
      <c r="BK38" s="4438">
        <f t="shared" si="55"/>
        <v>0</v>
      </c>
      <c r="BL38" s="4438">
        <f t="shared" si="56"/>
        <v>0</v>
      </c>
      <c r="BM38" s="4438">
        <f t="shared" si="57"/>
        <v>0</v>
      </c>
      <c r="BN38" s="4438">
        <f t="shared" si="58"/>
        <v>0</v>
      </c>
      <c r="BO38" s="4438">
        <f t="shared" si="59"/>
        <v>0</v>
      </c>
      <c r="BP38" s="4438">
        <f t="shared" si="60"/>
        <v>0</v>
      </c>
      <c r="BQ38" s="4438">
        <f t="shared" si="61"/>
        <v>0</v>
      </c>
      <c r="BR38" s="4438">
        <f t="shared" si="62"/>
        <v>0</v>
      </c>
      <c r="BS38" s="4438">
        <f t="shared" si="63"/>
        <v>0</v>
      </c>
      <c r="BT38" s="4438">
        <f t="shared" si="64"/>
        <v>0</v>
      </c>
      <c r="BU38" s="4438">
        <f t="shared" si="65"/>
        <v>0</v>
      </c>
      <c r="BV38" s="4438">
        <f t="shared" si="66"/>
        <v>0</v>
      </c>
      <c r="BW38" s="4438">
        <f t="shared" si="67"/>
        <v>0</v>
      </c>
      <c r="BX38" s="4438">
        <f t="shared" si="68"/>
        <v>0</v>
      </c>
      <c r="BY38" s="4438">
        <f t="shared" si="69"/>
        <v>0</v>
      </c>
      <c r="BZ38" s="4438">
        <f t="shared" si="70"/>
        <v>0</v>
      </c>
      <c r="CA38" s="4438">
        <f t="shared" si="71"/>
        <v>0</v>
      </c>
      <c r="CB38" s="4438">
        <f t="shared" si="72"/>
        <v>0</v>
      </c>
      <c r="CC38" s="4438">
        <f t="shared" si="73"/>
        <v>0</v>
      </c>
      <c r="CD38" s="4438">
        <f t="shared" si="74"/>
        <v>0</v>
      </c>
    </row>
    <row r="39" spans="1:82" s="659" customFormat="1">
      <c r="A39" s="2854"/>
      <c r="B39" s="2574">
        <v>2040205</v>
      </c>
      <c r="C39" s="2855">
        <v>0.02</v>
      </c>
      <c r="D39" s="2866" t="s">
        <v>420</v>
      </c>
      <c r="E39" s="4387">
        <f>SUMIF('11.3. ДА Базова година'!$B$12:$B$39,$B39,'11.3. ДА Базова година'!F$12:F$39)+SUMIF('11.3. ДА Базова година'!$B$92:$B$110,$B39,'11.3. ДА Базова година'!F$92:F$110)</f>
        <v>583</v>
      </c>
      <c r="F39" s="404"/>
      <c r="G39" s="402"/>
      <c r="H39" s="402"/>
      <c r="I39" s="402"/>
      <c r="J39" s="402"/>
      <c r="K39" s="264"/>
      <c r="L39" s="4387">
        <f>SUMIF('11.3. ДА Базова година'!$B$12:$B$39,$B39,'11.3. ДА Базова година'!J$12:J$39)+SUMIF('11.3. ДА Базова година'!$B$92:$B$110,$B39,'11.3. ДА Базова година'!J$92:J$110)</f>
        <v>0</v>
      </c>
      <c r="M39" s="404"/>
      <c r="N39" s="402"/>
      <c r="O39" s="402"/>
      <c r="P39" s="402"/>
      <c r="Q39" s="402"/>
      <c r="R39" s="264"/>
      <c r="S39" s="4387">
        <f>SUMIF('11.3. ДА Базова година'!$B$12:$B$39,$B39,'11.3. ДА Базова година'!N$12:N$39)+SUMIF('11.3. ДА Базова година'!$B$92:$B$110,$B39,'11.3. ДА Базова година'!N$92:N$110)</f>
        <v>0</v>
      </c>
      <c r="T39" s="404"/>
      <c r="U39" s="402"/>
      <c r="V39" s="402"/>
      <c r="W39" s="402"/>
      <c r="X39" s="402"/>
      <c r="Y39" s="403"/>
      <c r="Z39" s="4387">
        <f>SUMIF('11.3. ДА Базова година'!$B$12:$B$39,$B39,'11.3. ДА Базова година'!R$12:R$39)+SUMIF('11.3. ДА Базова година'!$B$92:$B$110,$B39,'11.3. ДА Базова година'!R$92:R$110)</f>
        <v>0</v>
      </c>
      <c r="AA39" s="404"/>
      <c r="AB39" s="402"/>
      <c r="AC39" s="402"/>
      <c r="AD39" s="402"/>
      <c r="AE39" s="402"/>
      <c r="AF39" s="403"/>
      <c r="AG39" s="4387">
        <f>SUMIF('11.3. ДА Базова година'!$B$12:$B$39,$B39,'11.3. ДА Базова година'!V$12:V$39)+SUMIF('11.3. ДА Базова година'!$B$92:$B$110,$B39,'11.3. ДА Базова година'!V$92:V$110)</f>
        <v>0</v>
      </c>
      <c r="AH39" s="404"/>
      <c r="AI39" s="402"/>
      <c r="AJ39" s="402"/>
      <c r="AK39" s="402"/>
      <c r="AL39" s="402"/>
      <c r="AM39" s="264"/>
      <c r="AN39" s="4066"/>
      <c r="AO39" s="2988"/>
      <c r="AP39" s="2989"/>
      <c r="AQ39" s="2989"/>
      <c r="AR39" s="2989"/>
      <c r="AS39" s="2989"/>
      <c r="AT39" s="2990"/>
      <c r="AU39" s="4422"/>
      <c r="AV39" s="4438">
        <f t="shared" si="40"/>
        <v>298.0831667373954</v>
      </c>
      <c r="AW39" s="4438">
        <f t="shared" si="41"/>
        <v>0</v>
      </c>
      <c r="AX39" s="4438">
        <f t="shared" si="42"/>
        <v>0</v>
      </c>
      <c r="AY39" s="4438">
        <f t="shared" si="43"/>
        <v>0</v>
      </c>
      <c r="AZ39" s="4438">
        <f t="shared" si="44"/>
        <v>0</v>
      </c>
      <c r="BA39" s="4438">
        <f t="shared" si="45"/>
        <v>0</v>
      </c>
      <c r="BB39" s="4438">
        <f t="shared" si="46"/>
        <v>0</v>
      </c>
      <c r="BC39" s="4438">
        <f t="shared" si="47"/>
        <v>0</v>
      </c>
      <c r="BD39" s="4438">
        <f t="shared" si="48"/>
        <v>0</v>
      </c>
      <c r="BE39" s="4438">
        <f t="shared" si="49"/>
        <v>0</v>
      </c>
      <c r="BF39" s="4438">
        <f t="shared" si="50"/>
        <v>0</v>
      </c>
      <c r="BG39" s="4438">
        <f t="shared" si="51"/>
        <v>0</v>
      </c>
      <c r="BH39" s="4438">
        <f t="shared" si="52"/>
        <v>0</v>
      </c>
      <c r="BI39" s="4438">
        <f t="shared" si="53"/>
        <v>0</v>
      </c>
      <c r="BJ39" s="4438">
        <f t="shared" si="54"/>
        <v>0</v>
      </c>
      <c r="BK39" s="4438">
        <f t="shared" si="55"/>
        <v>0</v>
      </c>
      <c r="BL39" s="4438">
        <f t="shared" si="56"/>
        <v>0</v>
      </c>
      <c r="BM39" s="4438">
        <f t="shared" si="57"/>
        <v>0</v>
      </c>
      <c r="BN39" s="4438">
        <f t="shared" si="58"/>
        <v>0</v>
      </c>
      <c r="BO39" s="4438">
        <f t="shared" si="59"/>
        <v>0</v>
      </c>
      <c r="BP39" s="4438">
        <f t="shared" si="60"/>
        <v>0</v>
      </c>
      <c r="BQ39" s="4438">
        <f t="shared" si="61"/>
        <v>0</v>
      </c>
      <c r="BR39" s="4438">
        <f t="shared" si="62"/>
        <v>0</v>
      </c>
      <c r="BS39" s="4438">
        <f t="shared" si="63"/>
        <v>0</v>
      </c>
      <c r="BT39" s="4438">
        <f t="shared" si="64"/>
        <v>0</v>
      </c>
      <c r="BU39" s="4438">
        <f t="shared" si="65"/>
        <v>0</v>
      </c>
      <c r="BV39" s="4438">
        <f t="shared" si="66"/>
        <v>0</v>
      </c>
      <c r="BW39" s="4438">
        <f t="shared" si="67"/>
        <v>0</v>
      </c>
      <c r="BX39" s="4438">
        <f t="shared" si="68"/>
        <v>0</v>
      </c>
      <c r="BY39" s="4438">
        <f t="shared" si="69"/>
        <v>0</v>
      </c>
      <c r="BZ39" s="4438">
        <f t="shared" si="70"/>
        <v>0</v>
      </c>
      <c r="CA39" s="4438">
        <f t="shared" si="71"/>
        <v>0</v>
      </c>
      <c r="CB39" s="4438">
        <f t="shared" si="72"/>
        <v>0</v>
      </c>
      <c r="CC39" s="4438">
        <f t="shared" si="73"/>
        <v>0</v>
      </c>
      <c r="CD39" s="4438">
        <f t="shared" si="74"/>
        <v>0</v>
      </c>
    </row>
    <row r="40" spans="1:82" s="659" customFormat="1">
      <c r="A40" s="2854"/>
      <c r="B40" s="2574">
        <v>2040206</v>
      </c>
      <c r="C40" s="2855">
        <v>0.02</v>
      </c>
      <c r="D40" s="2866" t="s">
        <v>421</v>
      </c>
      <c r="E40" s="4387">
        <f>SUMIF('11.3. ДА Базова година'!$B$12:$B$39,$B40,'11.3. ДА Базова година'!F$12:F$39)+SUMIF('11.3. ДА Базова година'!$B$92:$B$110,$B40,'11.3. ДА Базова година'!F$92:F$110)</f>
        <v>0</v>
      </c>
      <c r="F40" s="404"/>
      <c r="G40" s="402"/>
      <c r="H40" s="402"/>
      <c r="I40" s="402"/>
      <c r="J40" s="402"/>
      <c r="K40" s="264"/>
      <c r="L40" s="4387">
        <f>SUMIF('11.3. ДА Базова година'!$B$12:$B$39,$B40,'11.3. ДА Базова година'!J$12:J$39)+SUMIF('11.3. ДА Базова година'!$B$92:$B$110,$B40,'11.3. ДА Базова година'!J$92:J$110)</f>
        <v>23</v>
      </c>
      <c r="M40" s="404"/>
      <c r="N40" s="402"/>
      <c r="O40" s="402"/>
      <c r="P40" s="402"/>
      <c r="Q40" s="402"/>
      <c r="R40" s="264"/>
      <c r="S40" s="4387">
        <f>SUMIF('11.3. ДА Базова година'!$B$12:$B$39,$B40,'11.3. ДА Базова година'!N$12:N$39)+SUMIF('11.3. ДА Базова година'!$B$92:$B$110,$B40,'11.3. ДА Базова година'!N$92:N$110)</f>
        <v>0</v>
      </c>
      <c r="T40" s="404"/>
      <c r="U40" s="402"/>
      <c r="V40" s="402"/>
      <c r="W40" s="402"/>
      <c r="X40" s="402"/>
      <c r="Y40" s="403"/>
      <c r="Z40" s="4387">
        <f>SUMIF('11.3. ДА Базова година'!$B$12:$B$39,$B40,'11.3. ДА Базова година'!R$12:R$39)+SUMIF('11.3. ДА Базова година'!$B$92:$B$110,$B40,'11.3. ДА Базова година'!R$92:R$110)</f>
        <v>0</v>
      </c>
      <c r="AA40" s="404"/>
      <c r="AB40" s="402"/>
      <c r="AC40" s="402"/>
      <c r="AD40" s="402"/>
      <c r="AE40" s="402"/>
      <c r="AF40" s="403"/>
      <c r="AG40" s="4387">
        <f>SUMIF('11.3. ДА Базова година'!$B$12:$B$39,$B40,'11.3. ДА Базова година'!V$12:V$39)+SUMIF('11.3. ДА Базова година'!$B$92:$B$110,$B40,'11.3. ДА Базова година'!V$92:V$110)</f>
        <v>0</v>
      </c>
      <c r="AH40" s="404"/>
      <c r="AI40" s="402"/>
      <c r="AJ40" s="402"/>
      <c r="AK40" s="402"/>
      <c r="AL40" s="402"/>
      <c r="AM40" s="264"/>
      <c r="AN40" s="4066"/>
      <c r="AO40" s="2988"/>
      <c r="AP40" s="2989"/>
      <c r="AQ40" s="2989"/>
      <c r="AR40" s="2989"/>
      <c r="AS40" s="2989"/>
      <c r="AT40" s="2990"/>
      <c r="AU40" s="4422"/>
      <c r="AV40" s="4438">
        <f t="shared" si="40"/>
        <v>0</v>
      </c>
      <c r="AW40" s="4438">
        <f t="shared" si="41"/>
        <v>0</v>
      </c>
      <c r="AX40" s="4438">
        <f t="shared" si="42"/>
        <v>0</v>
      </c>
      <c r="AY40" s="4438">
        <f t="shared" si="43"/>
        <v>0</v>
      </c>
      <c r="AZ40" s="4438">
        <f t="shared" si="44"/>
        <v>0</v>
      </c>
      <c r="BA40" s="4438">
        <f t="shared" si="45"/>
        <v>0</v>
      </c>
      <c r="BB40" s="4438">
        <f t="shared" si="46"/>
        <v>0</v>
      </c>
      <c r="BC40" s="4438">
        <f t="shared" si="47"/>
        <v>11.759713267513025</v>
      </c>
      <c r="BD40" s="4438">
        <f t="shared" si="48"/>
        <v>0</v>
      </c>
      <c r="BE40" s="4438">
        <f t="shared" si="49"/>
        <v>0</v>
      </c>
      <c r="BF40" s="4438">
        <f t="shared" si="50"/>
        <v>0</v>
      </c>
      <c r="BG40" s="4438">
        <f t="shared" si="51"/>
        <v>0</v>
      </c>
      <c r="BH40" s="4438">
        <f t="shared" si="52"/>
        <v>0</v>
      </c>
      <c r="BI40" s="4438">
        <f t="shared" si="53"/>
        <v>0</v>
      </c>
      <c r="BJ40" s="4438">
        <f t="shared" si="54"/>
        <v>0</v>
      </c>
      <c r="BK40" s="4438">
        <f t="shared" si="55"/>
        <v>0</v>
      </c>
      <c r="BL40" s="4438">
        <f t="shared" si="56"/>
        <v>0</v>
      </c>
      <c r="BM40" s="4438">
        <f t="shared" si="57"/>
        <v>0</v>
      </c>
      <c r="BN40" s="4438">
        <f t="shared" si="58"/>
        <v>0</v>
      </c>
      <c r="BO40" s="4438">
        <f t="shared" si="59"/>
        <v>0</v>
      </c>
      <c r="BP40" s="4438">
        <f t="shared" si="60"/>
        <v>0</v>
      </c>
      <c r="BQ40" s="4438">
        <f t="shared" si="61"/>
        <v>0</v>
      </c>
      <c r="BR40" s="4438">
        <f t="shared" si="62"/>
        <v>0</v>
      </c>
      <c r="BS40" s="4438">
        <f t="shared" si="63"/>
        <v>0</v>
      </c>
      <c r="BT40" s="4438">
        <f t="shared" si="64"/>
        <v>0</v>
      </c>
      <c r="BU40" s="4438">
        <f t="shared" si="65"/>
        <v>0</v>
      </c>
      <c r="BV40" s="4438">
        <f t="shared" si="66"/>
        <v>0</v>
      </c>
      <c r="BW40" s="4438">
        <f t="shared" si="67"/>
        <v>0</v>
      </c>
      <c r="BX40" s="4438">
        <f t="shared" si="68"/>
        <v>0</v>
      </c>
      <c r="BY40" s="4438">
        <f t="shared" si="69"/>
        <v>0</v>
      </c>
      <c r="BZ40" s="4438">
        <f t="shared" si="70"/>
        <v>0</v>
      </c>
      <c r="CA40" s="4438">
        <f t="shared" si="71"/>
        <v>0</v>
      </c>
      <c r="CB40" s="4438">
        <f t="shared" si="72"/>
        <v>0</v>
      </c>
      <c r="CC40" s="4438">
        <f t="shared" si="73"/>
        <v>0</v>
      </c>
      <c r="CD40" s="4438">
        <f t="shared" si="74"/>
        <v>0</v>
      </c>
    </row>
    <row r="41" spans="1:82" s="659" customFormat="1" ht="25.5">
      <c r="A41" s="2854"/>
      <c r="B41" s="2574">
        <v>2040207</v>
      </c>
      <c r="C41" s="2855">
        <v>0.04</v>
      </c>
      <c r="D41" s="2866" t="s">
        <v>422</v>
      </c>
      <c r="E41" s="4387">
        <f>SUMIF('11.3. ДА Базова година'!$B$12:$B$39,$B41,'11.3. ДА Базова година'!F$12:F$39)+SUMIF('11.3. ДА Базова година'!$B$92:$B$110,$B41,'11.3. ДА Базова година'!F$92:F$110)</f>
        <v>8</v>
      </c>
      <c r="F41" s="404"/>
      <c r="G41" s="402"/>
      <c r="H41" s="402"/>
      <c r="I41" s="402"/>
      <c r="J41" s="402"/>
      <c r="K41" s="264"/>
      <c r="L41" s="4387">
        <f>SUMIF('11.3. ДА Базова година'!$B$12:$B$39,$B41,'11.3. ДА Базова година'!J$12:J$39)+SUMIF('11.3. ДА Базова година'!$B$92:$B$110,$B41,'11.3. ДА Базова година'!J$92:J$110)</f>
        <v>0</v>
      </c>
      <c r="M41" s="404"/>
      <c r="N41" s="402"/>
      <c r="O41" s="402"/>
      <c r="P41" s="402"/>
      <c r="Q41" s="402"/>
      <c r="R41" s="264"/>
      <c r="S41" s="4387">
        <f>SUMIF('11.3. ДА Базова година'!$B$12:$B$39,$B41,'11.3. ДА Базова година'!N$12:N$39)+SUMIF('11.3. ДА Базова година'!$B$92:$B$110,$B41,'11.3. ДА Базова година'!N$92:N$110)</f>
        <v>38</v>
      </c>
      <c r="T41" s="404"/>
      <c r="U41" s="402"/>
      <c r="V41" s="402"/>
      <c r="W41" s="402"/>
      <c r="X41" s="402"/>
      <c r="Y41" s="403"/>
      <c r="Z41" s="4387">
        <f>SUMIF('11.3. ДА Базова година'!$B$12:$B$39,$B41,'11.3. ДА Базова година'!R$12:R$39)+SUMIF('11.3. ДА Базова година'!$B$92:$B$110,$B41,'11.3. ДА Базова година'!R$92:R$110)</f>
        <v>0</v>
      </c>
      <c r="AA41" s="404"/>
      <c r="AB41" s="402"/>
      <c r="AC41" s="402"/>
      <c r="AD41" s="402"/>
      <c r="AE41" s="402"/>
      <c r="AF41" s="403"/>
      <c r="AG41" s="4387">
        <f>SUMIF('11.3. ДА Базова година'!$B$12:$B$39,$B41,'11.3. ДА Базова година'!V$12:V$39)+SUMIF('11.3. ДА Базова година'!$B$92:$B$110,$B41,'11.3. ДА Базова година'!V$92:V$110)</f>
        <v>0</v>
      </c>
      <c r="AH41" s="404"/>
      <c r="AI41" s="402"/>
      <c r="AJ41" s="402"/>
      <c r="AK41" s="402"/>
      <c r="AL41" s="402"/>
      <c r="AM41" s="264"/>
      <c r="AN41" s="4066"/>
      <c r="AO41" s="2988"/>
      <c r="AP41" s="2989"/>
      <c r="AQ41" s="2989"/>
      <c r="AR41" s="2989"/>
      <c r="AS41" s="2989"/>
      <c r="AT41" s="2990"/>
      <c r="AU41" s="4422"/>
      <c r="AV41" s="4438">
        <f t="shared" si="40"/>
        <v>4.0903350495697479</v>
      </c>
      <c r="AW41" s="4438">
        <f t="shared" si="41"/>
        <v>0</v>
      </c>
      <c r="AX41" s="4438">
        <f t="shared" si="42"/>
        <v>0</v>
      </c>
      <c r="AY41" s="4438">
        <f t="shared" si="43"/>
        <v>0</v>
      </c>
      <c r="AZ41" s="4438">
        <f t="shared" si="44"/>
        <v>0</v>
      </c>
      <c r="BA41" s="4438">
        <f t="shared" si="45"/>
        <v>0</v>
      </c>
      <c r="BB41" s="4438">
        <f t="shared" si="46"/>
        <v>0</v>
      </c>
      <c r="BC41" s="4438">
        <f t="shared" si="47"/>
        <v>0</v>
      </c>
      <c r="BD41" s="4438">
        <f t="shared" si="48"/>
        <v>0</v>
      </c>
      <c r="BE41" s="4438">
        <f t="shared" si="49"/>
        <v>0</v>
      </c>
      <c r="BF41" s="4438">
        <f t="shared" si="50"/>
        <v>0</v>
      </c>
      <c r="BG41" s="4438">
        <f t="shared" si="51"/>
        <v>0</v>
      </c>
      <c r="BH41" s="4438">
        <f t="shared" si="52"/>
        <v>0</v>
      </c>
      <c r="BI41" s="4438">
        <f t="shared" si="53"/>
        <v>0</v>
      </c>
      <c r="BJ41" s="4438">
        <f t="shared" si="54"/>
        <v>19.429091485456304</v>
      </c>
      <c r="BK41" s="4438">
        <f t="shared" si="55"/>
        <v>0</v>
      </c>
      <c r="BL41" s="4438">
        <f t="shared" si="56"/>
        <v>0</v>
      </c>
      <c r="BM41" s="4438">
        <f t="shared" si="57"/>
        <v>0</v>
      </c>
      <c r="BN41" s="4438">
        <f t="shared" si="58"/>
        <v>0</v>
      </c>
      <c r="BO41" s="4438">
        <f t="shared" si="59"/>
        <v>0</v>
      </c>
      <c r="BP41" s="4438">
        <f t="shared" si="60"/>
        <v>0</v>
      </c>
      <c r="BQ41" s="4438">
        <f t="shared" si="61"/>
        <v>0</v>
      </c>
      <c r="BR41" s="4438">
        <f t="shared" si="62"/>
        <v>0</v>
      </c>
      <c r="BS41" s="4438">
        <f t="shared" si="63"/>
        <v>0</v>
      </c>
      <c r="BT41" s="4438">
        <f t="shared" si="64"/>
        <v>0</v>
      </c>
      <c r="BU41" s="4438">
        <f t="shared" si="65"/>
        <v>0</v>
      </c>
      <c r="BV41" s="4438">
        <f t="shared" si="66"/>
        <v>0</v>
      </c>
      <c r="BW41" s="4438">
        <f t="shared" si="67"/>
        <v>0</v>
      </c>
      <c r="BX41" s="4438">
        <f t="shared" si="68"/>
        <v>0</v>
      </c>
      <c r="BY41" s="4438">
        <f t="shared" si="69"/>
        <v>0</v>
      </c>
      <c r="BZ41" s="4438">
        <f t="shared" si="70"/>
        <v>0</v>
      </c>
      <c r="CA41" s="4438">
        <f t="shared" si="71"/>
        <v>0</v>
      </c>
      <c r="CB41" s="4438">
        <f t="shared" si="72"/>
        <v>0</v>
      </c>
      <c r="CC41" s="4438">
        <f t="shared" si="73"/>
        <v>0</v>
      </c>
      <c r="CD41" s="4438">
        <f t="shared" si="74"/>
        <v>0</v>
      </c>
    </row>
    <row r="42" spans="1:82" s="659" customFormat="1">
      <c r="A42" s="2854"/>
      <c r="B42" s="2574">
        <v>2040208</v>
      </c>
      <c r="C42" s="2855">
        <v>0.04</v>
      </c>
      <c r="D42" s="2866" t="s">
        <v>423</v>
      </c>
      <c r="E42" s="4387">
        <f>SUMIF('11.3. ДА Базова година'!$B$12:$B$39,$B42,'11.3. ДА Базова година'!F$12:F$39)+SUMIF('11.3. ДА Базова година'!$B$92:$B$110,$B42,'11.3. ДА Базова година'!F$92:F$110)</f>
        <v>0</v>
      </c>
      <c r="F42" s="404"/>
      <c r="G42" s="402"/>
      <c r="H42" s="402"/>
      <c r="I42" s="402"/>
      <c r="J42" s="402">
        <v>10</v>
      </c>
      <c r="K42" s="264"/>
      <c r="L42" s="4387">
        <f>SUMIF('11.3. ДА Базова година'!$B$12:$B$39,$B42,'11.3. ДА Базова година'!J$12:J$39)+SUMIF('11.3. ДА Базова година'!$B$92:$B$110,$B42,'11.3. ДА Базова година'!J$92:J$110)</f>
        <v>0</v>
      </c>
      <c r="M42" s="404"/>
      <c r="N42" s="402"/>
      <c r="O42" s="402"/>
      <c r="P42" s="402"/>
      <c r="Q42" s="402"/>
      <c r="R42" s="264"/>
      <c r="S42" s="4387">
        <f>SUMIF('11.3. ДА Базова година'!$B$12:$B$39,$B42,'11.3. ДА Базова година'!N$12:N$39)+SUMIF('11.3. ДА Базова година'!$B$92:$B$110,$B42,'11.3. ДА Базова година'!N$92:N$110)</f>
        <v>0</v>
      </c>
      <c r="T42" s="404"/>
      <c r="U42" s="402"/>
      <c r="V42" s="402"/>
      <c r="W42" s="402"/>
      <c r="X42" s="402"/>
      <c r="Y42" s="403"/>
      <c r="Z42" s="4387">
        <f>SUMIF('11.3. ДА Базова година'!$B$12:$B$39,$B42,'11.3. ДА Базова година'!R$12:R$39)+SUMIF('11.3. ДА Базова година'!$B$92:$B$110,$B42,'11.3. ДА Базова година'!R$92:R$110)</f>
        <v>0</v>
      </c>
      <c r="AA42" s="404"/>
      <c r="AB42" s="402"/>
      <c r="AC42" s="402"/>
      <c r="AD42" s="402"/>
      <c r="AE42" s="402"/>
      <c r="AF42" s="403"/>
      <c r="AG42" s="4387">
        <f>SUMIF('11.3. ДА Базова година'!$B$12:$B$39,$B42,'11.3. ДА Базова година'!V$12:V$39)+SUMIF('11.3. ДА Базова година'!$B$92:$B$110,$B42,'11.3. ДА Базова година'!V$92:V$110)</f>
        <v>0</v>
      </c>
      <c r="AH42" s="404"/>
      <c r="AI42" s="402"/>
      <c r="AJ42" s="402"/>
      <c r="AK42" s="402"/>
      <c r="AL42" s="402"/>
      <c r="AM42" s="264"/>
      <c r="AN42" s="4066"/>
      <c r="AO42" s="2988"/>
      <c r="AP42" s="2989"/>
      <c r="AQ42" s="2989"/>
      <c r="AR42" s="2989"/>
      <c r="AS42" s="2989"/>
      <c r="AT42" s="2990"/>
      <c r="AU42" s="4422"/>
      <c r="AV42" s="4438">
        <f t="shared" si="40"/>
        <v>0</v>
      </c>
      <c r="AW42" s="4438">
        <f t="shared" si="41"/>
        <v>0</v>
      </c>
      <c r="AX42" s="4438">
        <f t="shared" si="42"/>
        <v>0</v>
      </c>
      <c r="AY42" s="4438">
        <f t="shared" si="43"/>
        <v>0</v>
      </c>
      <c r="AZ42" s="4438">
        <f t="shared" si="44"/>
        <v>0</v>
      </c>
      <c r="BA42" s="4438">
        <f t="shared" si="45"/>
        <v>5.1129188119621851</v>
      </c>
      <c r="BB42" s="4438">
        <f t="shared" si="46"/>
        <v>0</v>
      </c>
      <c r="BC42" s="4438">
        <f t="shared" si="47"/>
        <v>0</v>
      </c>
      <c r="BD42" s="4438">
        <f t="shared" si="48"/>
        <v>0</v>
      </c>
      <c r="BE42" s="4438">
        <f t="shared" si="49"/>
        <v>0</v>
      </c>
      <c r="BF42" s="4438">
        <f t="shared" si="50"/>
        <v>0</v>
      </c>
      <c r="BG42" s="4438">
        <f t="shared" si="51"/>
        <v>0</v>
      </c>
      <c r="BH42" s="4438">
        <f t="shared" si="52"/>
        <v>0</v>
      </c>
      <c r="BI42" s="4438">
        <f t="shared" si="53"/>
        <v>0</v>
      </c>
      <c r="BJ42" s="4438">
        <f t="shared" si="54"/>
        <v>0</v>
      </c>
      <c r="BK42" s="4438">
        <f t="shared" si="55"/>
        <v>0</v>
      </c>
      <c r="BL42" s="4438">
        <f t="shared" si="56"/>
        <v>0</v>
      </c>
      <c r="BM42" s="4438">
        <f t="shared" si="57"/>
        <v>0</v>
      </c>
      <c r="BN42" s="4438">
        <f t="shared" si="58"/>
        <v>0</v>
      </c>
      <c r="BO42" s="4438">
        <f t="shared" si="59"/>
        <v>0</v>
      </c>
      <c r="BP42" s="4438">
        <f t="shared" si="60"/>
        <v>0</v>
      </c>
      <c r="BQ42" s="4438">
        <f t="shared" si="61"/>
        <v>0</v>
      </c>
      <c r="BR42" s="4438">
        <f t="shared" si="62"/>
        <v>0</v>
      </c>
      <c r="BS42" s="4438">
        <f t="shared" si="63"/>
        <v>0</v>
      </c>
      <c r="BT42" s="4438">
        <f t="shared" si="64"/>
        <v>0</v>
      </c>
      <c r="BU42" s="4438">
        <f t="shared" si="65"/>
        <v>0</v>
      </c>
      <c r="BV42" s="4438">
        <f t="shared" si="66"/>
        <v>0</v>
      </c>
      <c r="BW42" s="4438">
        <f t="shared" si="67"/>
        <v>0</v>
      </c>
      <c r="BX42" s="4438">
        <f t="shared" si="68"/>
        <v>0</v>
      </c>
      <c r="BY42" s="4438">
        <f t="shared" si="69"/>
        <v>0</v>
      </c>
      <c r="BZ42" s="4438">
        <f t="shared" si="70"/>
        <v>0</v>
      </c>
      <c r="CA42" s="4438">
        <f t="shared" si="71"/>
        <v>0</v>
      </c>
      <c r="CB42" s="4438">
        <f t="shared" si="72"/>
        <v>0</v>
      </c>
      <c r="CC42" s="4438">
        <f t="shared" si="73"/>
        <v>0</v>
      </c>
      <c r="CD42" s="4438">
        <f t="shared" si="74"/>
        <v>0</v>
      </c>
    </row>
    <row r="43" spans="1:82" s="659" customFormat="1">
      <c r="A43" s="2854"/>
      <c r="B43" s="2574">
        <v>20403</v>
      </c>
      <c r="C43" s="2855">
        <v>0.04</v>
      </c>
      <c r="D43" s="2871" t="s">
        <v>1050</v>
      </c>
      <c r="E43" s="4387">
        <f>SUMIF('11.3. ДА Базова година'!$B$12:$B$39,$B43,'11.3. ДА Базова година'!F$12:F$39)+SUMIF('11.3. ДА Базова година'!$B$92:$B$110,$B43,'11.3. ДА Базова година'!F$92:F$110)</f>
        <v>0</v>
      </c>
      <c r="F43" s="404"/>
      <c r="G43" s="402"/>
      <c r="H43" s="402"/>
      <c r="I43" s="402"/>
      <c r="J43" s="402">
        <v>36</v>
      </c>
      <c r="K43" s="264"/>
      <c r="L43" s="4387">
        <f>SUMIF('11.3. ДА Базова година'!$B$12:$B$39,$B43,'11.3. ДА Базова година'!J$12:J$39)+SUMIF('11.3. ДА Базова година'!$B$92:$B$110,$B43,'11.3. ДА Базова година'!J$92:J$110)</f>
        <v>0</v>
      </c>
      <c r="M43" s="404"/>
      <c r="N43" s="402"/>
      <c r="O43" s="402"/>
      <c r="P43" s="402"/>
      <c r="Q43" s="402"/>
      <c r="R43" s="264"/>
      <c r="S43" s="4387">
        <f>SUMIF('11.3. ДА Базова година'!$B$12:$B$39,$B43,'11.3. ДА Базова година'!N$12:N$39)+SUMIF('11.3. ДА Базова година'!$B$92:$B$110,$B43,'11.3. ДА Базова година'!N$92:N$110)</f>
        <v>0</v>
      </c>
      <c r="T43" s="404"/>
      <c r="U43" s="402"/>
      <c r="V43" s="402"/>
      <c r="W43" s="402"/>
      <c r="X43" s="402"/>
      <c r="Y43" s="403"/>
      <c r="Z43" s="4387">
        <f>SUMIF('11.3. ДА Базова година'!$B$12:$B$39,$B43,'11.3. ДА Базова година'!R$12:R$39)+SUMIF('11.3. ДА Базова година'!$B$92:$B$110,$B43,'11.3. ДА Базова година'!R$92:R$110)</f>
        <v>0</v>
      </c>
      <c r="AA43" s="404"/>
      <c r="AB43" s="402"/>
      <c r="AC43" s="402"/>
      <c r="AD43" s="402"/>
      <c r="AE43" s="402"/>
      <c r="AF43" s="403"/>
      <c r="AG43" s="4387">
        <f>SUMIF('11.3. ДА Базова година'!$B$12:$B$39,$B43,'11.3. ДА Базова година'!V$12:V$39)+SUMIF('11.3. ДА Базова година'!$B$92:$B$110,$B43,'11.3. ДА Базова година'!V$92:V$110)</f>
        <v>0</v>
      </c>
      <c r="AH43" s="404"/>
      <c r="AI43" s="402"/>
      <c r="AJ43" s="402"/>
      <c r="AK43" s="402"/>
      <c r="AL43" s="402"/>
      <c r="AM43" s="264"/>
      <c r="AN43" s="4066"/>
      <c r="AO43" s="2988"/>
      <c r="AP43" s="2989"/>
      <c r="AQ43" s="2989"/>
      <c r="AR43" s="2989"/>
      <c r="AS43" s="2989"/>
      <c r="AT43" s="2990"/>
      <c r="AU43" s="4422"/>
      <c r="AV43" s="4438">
        <f t="shared" si="40"/>
        <v>0</v>
      </c>
      <c r="AW43" s="4438">
        <f t="shared" si="41"/>
        <v>0</v>
      </c>
      <c r="AX43" s="4438">
        <f t="shared" si="42"/>
        <v>0</v>
      </c>
      <c r="AY43" s="4438">
        <f t="shared" si="43"/>
        <v>0</v>
      </c>
      <c r="AZ43" s="4438">
        <f t="shared" si="44"/>
        <v>0</v>
      </c>
      <c r="BA43" s="4438">
        <f t="shared" si="45"/>
        <v>18.406507723063864</v>
      </c>
      <c r="BB43" s="4438">
        <f t="shared" si="46"/>
        <v>0</v>
      </c>
      <c r="BC43" s="4438">
        <f t="shared" si="47"/>
        <v>0</v>
      </c>
      <c r="BD43" s="4438">
        <f t="shared" si="48"/>
        <v>0</v>
      </c>
      <c r="BE43" s="4438">
        <f t="shared" si="49"/>
        <v>0</v>
      </c>
      <c r="BF43" s="4438">
        <f t="shared" si="50"/>
        <v>0</v>
      </c>
      <c r="BG43" s="4438">
        <f t="shared" si="51"/>
        <v>0</v>
      </c>
      <c r="BH43" s="4438">
        <f t="shared" si="52"/>
        <v>0</v>
      </c>
      <c r="BI43" s="4438">
        <f t="shared" si="53"/>
        <v>0</v>
      </c>
      <c r="BJ43" s="4438">
        <f t="shared" si="54"/>
        <v>0</v>
      </c>
      <c r="BK43" s="4438">
        <f t="shared" si="55"/>
        <v>0</v>
      </c>
      <c r="BL43" s="4438">
        <f t="shared" si="56"/>
        <v>0</v>
      </c>
      <c r="BM43" s="4438">
        <f t="shared" si="57"/>
        <v>0</v>
      </c>
      <c r="BN43" s="4438">
        <f t="shared" si="58"/>
        <v>0</v>
      </c>
      <c r="BO43" s="4438">
        <f t="shared" si="59"/>
        <v>0</v>
      </c>
      <c r="BP43" s="4438">
        <f t="shared" si="60"/>
        <v>0</v>
      </c>
      <c r="BQ43" s="4438">
        <f t="shared" si="61"/>
        <v>0</v>
      </c>
      <c r="BR43" s="4438">
        <f t="shared" si="62"/>
        <v>0</v>
      </c>
      <c r="BS43" s="4438">
        <f t="shared" si="63"/>
        <v>0</v>
      </c>
      <c r="BT43" s="4438">
        <f t="shared" si="64"/>
        <v>0</v>
      </c>
      <c r="BU43" s="4438">
        <f t="shared" si="65"/>
        <v>0</v>
      </c>
      <c r="BV43" s="4438">
        <f t="shared" si="66"/>
        <v>0</v>
      </c>
      <c r="BW43" s="4438">
        <f t="shared" si="67"/>
        <v>0</v>
      </c>
      <c r="BX43" s="4438">
        <f t="shared" si="68"/>
        <v>0</v>
      </c>
      <c r="BY43" s="4438">
        <f t="shared" si="69"/>
        <v>0</v>
      </c>
      <c r="BZ43" s="4438">
        <f t="shared" si="70"/>
        <v>0</v>
      </c>
      <c r="CA43" s="4438">
        <f t="shared" si="71"/>
        <v>0</v>
      </c>
      <c r="CB43" s="4438">
        <f t="shared" si="72"/>
        <v>0</v>
      </c>
      <c r="CC43" s="4438">
        <f t="shared" si="73"/>
        <v>0</v>
      </c>
      <c r="CD43" s="4438">
        <f t="shared" si="74"/>
        <v>0</v>
      </c>
    </row>
    <row r="44" spans="1:82" s="659" customFormat="1" ht="25.5">
      <c r="A44" s="2854"/>
      <c r="B44" s="2574" t="s">
        <v>1051</v>
      </c>
      <c r="C44" s="2855">
        <v>0.04</v>
      </c>
      <c r="D44" s="2871" t="s">
        <v>1052</v>
      </c>
      <c r="E44" s="4387">
        <f>SUMIF('11.3. ДА Базова година'!$B$12:$B$39,$B44,'11.3. ДА Базова година'!F$12:F$39)+SUMIF('11.3. ДА Базова година'!$B$92:$B$110,$B44,'11.3. ДА Базова година'!F$92:F$110)</f>
        <v>0</v>
      </c>
      <c r="F44" s="404"/>
      <c r="G44" s="402"/>
      <c r="H44" s="402"/>
      <c r="I44" s="402"/>
      <c r="J44" s="402"/>
      <c r="K44" s="264"/>
      <c r="L44" s="4387">
        <f>SUMIF('11.3. ДА Базова година'!$B$12:$B$39,$B44,'11.3. ДА Базова година'!J$12:J$39)+SUMIF('11.3. ДА Базова година'!$B$92:$B$110,$B44,'11.3. ДА Базова година'!J$92:J$110)</f>
        <v>0</v>
      </c>
      <c r="M44" s="404"/>
      <c r="N44" s="402"/>
      <c r="O44" s="402"/>
      <c r="P44" s="402"/>
      <c r="Q44" s="402"/>
      <c r="R44" s="264"/>
      <c r="S44" s="4387">
        <f>SUMIF('11.3. ДА Базова година'!$B$12:$B$39,$B44,'11.3. ДА Базова година'!N$12:N$39)+SUMIF('11.3. ДА Базова година'!$B$92:$B$110,$B44,'11.3. ДА Базова година'!N$92:N$110)</f>
        <v>12</v>
      </c>
      <c r="T44" s="404"/>
      <c r="U44" s="402"/>
      <c r="V44" s="402"/>
      <c r="W44" s="402"/>
      <c r="X44" s="402"/>
      <c r="Y44" s="403"/>
      <c r="Z44" s="4387">
        <f>SUMIF('11.3. ДА Базова година'!$B$12:$B$39,$B44,'11.3. ДА Базова година'!R$12:R$39)+SUMIF('11.3. ДА Базова година'!$B$92:$B$110,$B44,'11.3. ДА Базова година'!R$92:R$110)</f>
        <v>0</v>
      </c>
      <c r="AA44" s="404"/>
      <c r="AB44" s="402"/>
      <c r="AC44" s="402"/>
      <c r="AD44" s="402"/>
      <c r="AE44" s="402"/>
      <c r="AF44" s="403"/>
      <c r="AG44" s="4387">
        <f>SUMIF('11.3. ДА Базова година'!$B$12:$B$39,$B44,'11.3. ДА Базова година'!V$12:V$39)+SUMIF('11.3. ДА Базова година'!$B$92:$B$110,$B44,'11.3. ДА Базова година'!V$92:V$110)</f>
        <v>0</v>
      </c>
      <c r="AH44" s="404"/>
      <c r="AI44" s="402"/>
      <c r="AJ44" s="402"/>
      <c r="AK44" s="402"/>
      <c r="AL44" s="402"/>
      <c r="AM44" s="264"/>
      <c r="AN44" s="4066"/>
      <c r="AO44" s="2988"/>
      <c r="AP44" s="2989"/>
      <c r="AQ44" s="2989"/>
      <c r="AR44" s="2989"/>
      <c r="AS44" s="2989"/>
      <c r="AT44" s="2990"/>
      <c r="AU44" s="4422"/>
      <c r="AV44" s="4438">
        <f t="shared" si="40"/>
        <v>0</v>
      </c>
      <c r="AW44" s="4438">
        <f t="shared" si="41"/>
        <v>0</v>
      </c>
      <c r="AX44" s="4438">
        <f t="shared" si="42"/>
        <v>0</v>
      </c>
      <c r="AY44" s="4438">
        <f t="shared" si="43"/>
        <v>0</v>
      </c>
      <c r="AZ44" s="4438">
        <f t="shared" si="44"/>
        <v>0</v>
      </c>
      <c r="BA44" s="4438">
        <f t="shared" si="45"/>
        <v>0</v>
      </c>
      <c r="BB44" s="4438">
        <f t="shared" si="46"/>
        <v>0</v>
      </c>
      <c r="BC44" s="4438">
        <f t="shared" si="47"/>
        <v>0</v>
      </c>
      <c r="BD44" s="4438">
        <f t="shared" si="48"/>
        <v>0</v>
      </c>
      <c r="BE44" s="4438">
        <f t="shared" si="49"/>
        <v>0</v>
      </c>
      <c r="BF44" s="4438">
        <f t="shared" si="50"/>
        <v>0</v>
      </c>
      <c r="BG44" s="4438">
        <f t="shared" si="51"/>
        <v>0</v>
      </c>
      <c r="BH44" s="4438">
        <f t="shared" si="52"/>
        <v>0</v>
      </c>
      <c r="BI44" s="4438">
        <f t="shared" si="53"/>
        <v>0</v>
      </c>
      <c r="BJ44" s="4438">
        <f t="shared" si="54"/>
        <v>6.1355025743546223</v>
      </c>
      <c r="BK44" s="4438">
        <f t="shared" si="55"/>
        <v>0</v>
      </c>
      <c r="BL44" s="4438">
        <f t="shared" si="56"/>
        <v>0</v>
      </c>
      <c r="BM44" s="4438">
        <f t="shared" si="57"/>
        <v>0</v>
      </c>
      <c r="BN44" s="4438">
        <f t="shared" si="58"/>
        <v>0</v>
      </c>
      <c r="BO44" s="4438">
        <f t="shared" si="59"/>
        <v>0</v>
      </c>
      <c r="BP44" s="4438">
        <f t="shared" si="60"/>
        <v>0</v>
      </c>
      <c r="BQ44" s="4438">
        <f t="shared" si="61"/>
        <v>0</v>
      </c>
      <c r="BR44" s="4438">
        <f t="shared" si="62"/>
        <v>0</v>
      </c>
      <c r="BS44" s="4438">
        <f t="shared" si="63"/>
        <v>0</v>
      </c>
      <c r="BT44" s="4438">
        <f t="shared" si="64"/>
        <v>0</v>
      </c>
      <c r="BU44" s="4438">
        <f t="shared" si="65"/>
        <v>0</v>
      </c>
      <c r="BV44" s="4438">
        <f t="shared" si="66"/>
        <v>0</v>
      </c>
      <c r="BW44" s="4438">
        <f t="shared" si="67"/>
        <v>0</v>
      </c>
      <c r="BX44" s="4438">
        <f t="shared" si="68"/>
        <v>0</v>
      </c>
      <c r="BY44" s="4438">
        <f t="shared" si="69"/>
        <v>0</v>
      </c>
      <c r="BZ44" s="4438">
        <f t="shared" si="70"/>
        <v>0</v>
      </c>
      <c r="CA44" s="4438">
        <f t="shared" si="71"/>
        <v>0</v>
      </c>
      <c r="CB44" s="4438">
        <f t="shared" si="72"/>
        <v>0</v>
      </c>
      <c r="CC44" s="4438">
        <f t="shared" si="73"/>
        <v>0</v>
      </c>
      <c r="CD44" s="4438">
        <f t="shared" si="74"/>
        <v>0</v>
      </c>
    </row>
    <row r="45" spans="1:82" s="659" customFormat="1">
      <c r="A45" s="2845">
        <v>5</v>
      </c>
      <c r="B45" s="2846">
        <v>205</v>
      </c>
      <c r="C45" s="2846"/>
      <c r="D45" s="2857" t="s">
        <v>212</v>
      </c>
      <c r="E45" s="2872">
        <f>SUM(E46:E49)</f>
        <v>0</v>
      </c>
      <c r="F45" s="2873">
        <f>SUM(F46:F49)</f>
        <v>5</v>
      </c>
      <c r="G45" s="2874">
        <f>SUM(G46:G49)</f>
        <v>27</v>
      </c>
      <c r="H45" s="2874">
        <f t="shared" ref="H45:K45" si="93">SUM(H46:H49)</f>
        <v>53</v>
      </c>
      <c r="I45" s="2874">
        <f t="shared" si="93"/>
        <v>5</v>
      </c>
      <c r="J45" s="2874">
        <f t="shared" si="93"/>
        <v>7</v>
      </c>
      <c r="K45" s="2875">
        <f t="shared" si="93"/>
        <v>213</v>
      </c>
      <c r="L45" s="2872">
        <f>SUM(L46:L49)</f>
        <v>0</v>
      </c>
      <c r="M45" s="2850">
        <f>SUM(M46:M49)</f>
        <v>0</v>
      </c>
      <c r="N45" s="2851">
        <f>SUM(N46:N49)</f>
        <v>0</v>
      </c>
      <c r="O45" s="2851">
        <f t="shared" ref="O45:R45" si="94">SUM(O46:O49)</f>
        <v>0</v>
      </c>
      <c r="P45" s="2851">
        <f t="shared" si="94"/>
        <v>866</v>
      </c>
      <c r="Q45" s="2851">
        <f t="shared" si="94"/>
        <v>8</v>
      </c>
      <c r="R45" s="2852">
        <f t="shared" si="94"/>
        <v>4</v>
      </c>
      <c r="S45" s="2872">
        <f>SUM(S46:S49)</f>
        <v>0</v>
      </c>
      <c r="T45" s="2873">
        <f>SUM(T46:T49)</f>
        <v>0</v>
      </c>
      <c r="U45" s="2874">
        <f>SUM(U46:U49)</f>
        <v>0</v>
      </c>
      <c r="V45" s="2874">
        <f t="shared" ref="V45:Y45" si="95">SUM(V46:V49)</f>
        <v>0</v>
      </c>
      <c r="W45" s="2874">
        <f t="shared" si="95"/>
        <v>0</v>
      </c>
      <c r="X45" s="2874">
        <f t="shared" si="95"/>
        <v>0</v>
      </c>
      <c r="Y45" s="2876">
        <f t="shared" si="95"/>
        <v>0</v>
      </c>
      <c r="Z45" s="2872">
        <f>SUM(Z46:Z49)</f>
        <v>0</v>
      </c>
      <c r="AA45" s="2873">
        <f>SUM(AA46:AA49)</f>
        <v>0</v>
      </c>
      <c r="AB45" s="2874">
        <f>SUM(AB46:AB49)</f>
        <v>0</v>
      </c>
      <c r="AC45" s="2874">
        <f t="shared" ref="AC45:AF45" si="96">SUM(AC46:AC49)</f>
        <v>0</v>
      </c>
      <c r="AD45" s="2874">
        <f t="shared" si="96"/>
        <v>0</v>
      </c>
      <c r="AE45" s="2874">
        <f t="shared" si="96"/>
        <v>0</v>
      </c>
      <c r="AF45" s="2876">
        <f t="shared" si="96"/>
        <v>0</v>
      </c>
      <c r="AG45" s="2872">
        <f>SUM(AG46:AG49)</f>
        <v>0</v>
      </c>
      <c r="AH45" s="2873">
        <f>SUM(AH46:AH49)</f>
        <v>0</v>
      </c>
      <c r="AI45" s="2874">
        <f>SUM(AI46:AI49)</f>
        <v>0</v>
      </c>
      <c r="AJ45" s="2874">
        <f t="shared" ref="AJ45:AM45" si="97">SUM(AJ46:AJ49)</f>
        <v>0</v>
      </c>
      <c r="AK45" s="2874">
        <f t="shared" si="97"/>
        <v>0</v>
      </c>
      <c r="AL45" s="2874">
        <f t="shared" si="97"/>
        <v>0</v>
      </c>
      <c r="AM45" s="2875">
        <f t="shared" si="97"/>
        <v>0</v>
      </c>
      <c r="AN45" s="4069">
        <f>SUM(AN46:AN49)</f>
        <v>0</v>
      </c>
      <c r="AO45" s="2988"/>
      <c r="AP45" s="2989"/>
      <c r="AQ45" s="2989"/>
      <c r="AR45" s="2989"/>
      <c r="AS45" s="2989"/>
      <c r="AT45" s="2990"/>
      <c r="AU45" s="4422"/>
      <c r="AV45" s="4438">
        <f t="shared" si="40"/>
        <v>0</v>
      </c>
      <c r="AW45" s="4438">
        <f t="shared" si="41"/>
        <v>2.5564594059810926</v>
      </c>
      <c r="AX45" s="4438">
        <f t="shared" si="42"/>
        <v>13.804880792297899</v>
      </c>
      <c r="AY45" s="4438">
        <f t="shared" si="43"/>
        <v>27.09846970339958</v>
      </c>
      <c r="AZ45" s="4438">
        <f t="shared" si="44"/>
        <v>2.5564594059810926</v>
      </c>
      <c r="BA45" s="4438">
        <f t="shared" si="45"/>
        <v>3.5790431683735293</v>
      </c>
      <c r="BB45" s="4438">
        <f t="shared" si="46"/>
        <v>108.90517069479453</v>
      </c>
      <c r="BC45" s="4438">
        <f t="shared" si="47"/>
        <v>0</v>
      </c>
      <c r="BD45" s="4438">
        <f t="shared" si="48"/>
        <v>0</v>
      </c>
      <c r="BE45" s="4438">
        <f t="shared" si="49"/>
        <v>0</v>
      </c>
      <c r="BF45" s="4438">
        <f t="shared" si="50"/>
        <v>0</v>
      </c>
      <c r="BG45" s="4438">
        <f t="shared" si="51"/>
        <v>442.77876911592523</v>
      </c>
      <c r="BH45" s="4438">
        <f t="shared" si="52"/>
        <v>4.0903350495697479</v>
      </c>
      <c r="BI45" s="4438">
        <f t="shared" si="53"/>
        <v>2.045167524784874</v>
      </c>
      <c r="BJ45" s="4438">
        <f t="shared" si="54"/>
        <v>0</v>
      </c>
      <c r="BK45" s="4438">
        <f t="shared" si="55"/>
        <v>0</v>
      </c>
      <c r="BL45" s="4438">
        <f t="shared" si="56"/>
        <v>0</v>
      </c>
      <c r="BM45" s="4438">
        <f t="shared" si="57"/>
        <v>0</v>
      </c>
      <c r="BN45" s="4438">
        <f t="shared" si="58"/>
        <v>0</v>
      </c>
      <c r="BO45" s="4438">
        <f t="shared" si="59"/>
        <v>0</v>
      </c>
      <c r="BP45" s="4438">
        <f t="shared" si="60"/>
        <v>0</v>
      </c>
      <c r="BQ45" s="4438">
        <f t="shared" si="61"/>
        <v>0</v>
      </c>
      <c r="BR45" s="4438">
        <f t="shared" si="62"/>
        <v>0</v>
      </c>
      <c r="BS45" s="4438">
        <f t="shared" si="63"/>
        <v>0</v>
      </c>
      <c r="BT45" s="4438">
        <f t="shared" si="64"/>
        <v>0</v>
      </c>
      <c r="BU45" s="4438">
        <f t="shared" si="65"/>
        <v>0</v>
      </c>
      <c r="BV45" s="4438">
        <f t="shared" si="66"/>
        <v>0</v>
      </c>
      <c r="BW45" s="4438">
        <f t="shared" si="67"/>
        <v>0</v>
      </c>
      <c r="BX45" s="4438">
        <f t="shared" si="68"/>
        <v>0</v>
      </c>
      <c r="BY45" s="4438">
        <f t="shared" si="69"/>
        <v>0</v>
      </c>
      <c r="BZ45" s="4438">
        <f t="shared" si="70"/>
        <v>0</v>
      </c>
      <c r="CA45" s="4438">
        <f t="shared" si="71"/>
        <v>0</v>
      </c>
      <c r="CB45" s="4438">
        <f t="shared" si="72"/>
        <v>0</v>
      </c>
      <c r="CC45" s="4438">
        <f t="shared" si="73"/>
        <v>0</v>
      </c>
      <c r="CD45" s="4438">
        <f t="shared" si="74"/>
        <v>0</v>
      </c>
    </row>
    <row r="46" spans="1:82" s="659" customFormat="1">
      <c r="A46" s="2877"/>
      <c r="B46" s="2878">
        <v>20501</v>
      </c>
      <c r="C46" s="2879">
        <v>0.08</v>
      </c>
      <c r="D46" s="2880" t="s">
        <v>563</v>
      </c>
      <c r="E46" s="4387">
        <f>SUMIF('11.3. ДА Базова година'!$B$12:$B$39,$B46,'11.3. ДА Базова година'!F$12:F$39)+SUMIF('11.3. ДА Базова година'!$B$92:$B$110,$B46,'11.3. ДА Базова година'!F$92:F$110)</f>
        <v>0</v>
      </c>
      <c r="F46" s="404"/>
      <c r="G46" s="402">
        <v>27</v>
      </c>
      <c r="H46" s="402">
        <v>15</v>
      </c>
      <c r="I46" s="402"/>
      <c r="J46" s="402"/>
      <c r="K46" s="264"/>
      <c r="L46" s="4387">
        <f>SUMIF('11.3. ДА Базова година'!$B$12:$B$39,$B46,'11.3. ДА Базова година'!J$12:J$39)+SUMIF('11.3. ДА Базова година'!$B$92:$B$110,$B46,'11.3. ДА Базова година'!J$92:J$110)</f>
        <v>0</v>
      </c>
      <c r="M46" s="404"/>
      <c r="N46" s="402"/>
      <c r="O46" s="402"/>
      <c r="P46" s="402">
        <v>866</v>
      </c>
      <c r="Q46" s="402">
        <v>8</v>
      </c>
      <c r="R46" s="264">
        <v>4</v>
      </c>
      <c r="S46" s="4387">
        <f>SUMIF('11.3. ДА Базова година'!$B$12:$B$39,$B46,'11.3. ДА Базова година'!N$12:N$39)+SUMIF('11.3. ДА Базова година'!$B$92:$B$110,$B46,'11.3. ДА Базова година'!N$92:N$110)</f>
        <v>0</v>
      </c>
      <c r="T46" s="404"/>
      <c r="U46" s="402"/>
      <c r="V46" s="402"/>
      <c r="W46" s="402"/>
      <c r="X46" s="402"/>
      <c r="Y46" s="403"/>
      <c r="Z46" s="4387">
        <f>SUMIF('11.3. ДА Базова година'!$B$12:$B$39,$B46,'11.3. ДА Базова година'!R$12:R$39)+SUMIF('11.3. ДА Базова година'!$B$92:$B$110,$B46,'11.3. ДА Базова година'!R$92:R$110)</f>
        <v>0</v>
      </c>
      <c r="AA46" s="404"/>
      <c r="AB46" s="402"/>
      <c r="AC46" s="402"/>
      <c r="AD46" s="402"/>
      <c r="AE46" s="402"/>
      <c r="AF46" s="403"/>
      <c r="AG46" s="4387">
        <f>SUMIF('11.3. ДА Базова година'!$B$12:$B$39,$B46,'11.3. ДА Базова година'!V$12:V$39)+SUMIF('11.3. ДА Базова година'!$B$92:$B$110,$B46,'11.3. ДА Базова година'!V$92:V$110)</f>
        <v>0</v>
      </c>
      <c r="AH46" s="404"/>
      <c r="AI46" s="402"/>
      <c r="AJ46" s="402"/>
      <c r="AK46" s="402"/>
      <c r="AL46" s="402"/>
      <c r="AM46" s="264"/>
      <c r="AN46" s="4066"/>
      <c r="AO46" s="2988"/>
      <c r="AP46" s="2989"/>
      <c r="AQ46" s="2989"/>
      <c r="AR46" s="2989"/>
      <c r="AS46" s="2989"/>
      <c r="AT46" s="2990"/>
      <c r="AU46" s="4422"/>
      <c r="AV46" s="4438">
        <f t="shared" si="40"/>
        <v>0</v>
      </c>
      <c r="AW46" s="4438">
        <f t="shared" si="41"/>
        <v>0</v>
      </c>
      <c r="AX46" s="4438">
        <f t="shared" si="42"/>
        <v>13.804880792297899</v>
      </c>
      <c r="AY46" s="4438">
        <f t="shared" si="43"/>
        <v>7.6693782179432777</v>
      </c>
      <c r="AZ46" s="4438">
        <f t="shared" si="44"/>
        <v>0</v>
      </c>
      <c r="BA46" s="4438">
        <f t="shared" si="45"/>
        <v>0</v>
      </c>
      <c r="BB46" s="4438">
        <f t="shared" si="46"/>
        <v>0</v>
      </c>
      <c r="BC46" s="4438">
        <f t="shared" si="47"/>
        <v>0</v>
      </c>
      <c r="BD46" s="4438">
        <f t="shared" si="48"/>
        <v>0</v>
      </c>
      <c r="BE46" s="4438">
        <f t="shared" si="49"/>
        <v>0</v>
      </c>
      <c r="BF46" s="4438">
        <f t="shared" si="50"/>
        <v>0</v>
      </c>
      <c r="BG46" s="4438">
        <f t="shared" si="51"/>
        <v>442.77876911592523</v>
      </c>
      <c r="BH46" s="4438">
        <f t="shared" si="52"/>
        <v>4.0903350495697479</v>
      </c>
      <c r="BI46" s="4438">
        <f t="shared" si="53"/>
        <v>2.045167524784874</v>
      </c>
      <c r="BJ46" s="4438">
        <f t="shared" si="54"/>
        <v>0</v>
      </c>
      <c r="BK46" s="4438">
        <f t="shared" si="55"/>
        <v>0</v>
      </c>
      <c r="BL46" s="4438">
        <f t="shared" si="56"/>
        <v>0</v>
      </c>
      <c r="BM46" s="4438">
        <f t="shared" si="57"/>
        <v>0</v>
      </c>
      <c r="BN46" s="4438">
        <f t="shared" si="58"/>
        <v>0</v>
      </c>
      <c r="BO46" s="4438">
        <f t="shared" si="59"/>
        <v>0</v>
      </c>
      <c r="BP46" s="4438">
        <f t="shared" si="60"/>
        <v>0</v>
      </c>
      <c r="BQ46" s="4438">
        <f t="shared" si="61"/>
        <v>0</v>
      </c>
      <c r="BR46" s="4438">
        <f t="shared" si="62"/>
        <v>0</v>
      </c>
      <c r="BS46" s="4438">
        <f t="shared" si="63"/>
        <v>0</v>
      </c>
      <c r="BT46" s="4438">
        <f t="shared" si="64"/>
        <v>0</v>
      </c>
      <c r="BU46" s="4438">
        <f t="shared" si="65"/>
        <v>0</v>
      </c>
      <c r="BV46" s="4438">
        <f t="shared" si="66"/>
        <v>0</v>
      </c>
      <c r="BW46" s="4438">
        <f t="shared" si="67"/>
        <v>0</v>
      </c>
      <c r="BX46" s="4438">
        <f t="shared" si="68"/>
        <v>0</v>
      </c>
      <c r="BY46" s="4438">
        <f t="shared" si="69"/>
        <v>0</v>
      </c>
      <c r="BZ46" s="4438">
        <f t="shared" si="70"/>
        <v>0</v>
      </c>
      <c r="CA46" s="4438">
        <f t="shared" si="71"/>
        <v>0</v>
      </c>
      <c r="CB46" s="4438">
        <f t="shared" si="72"/>
        <v>0</v>
      </c>
      <c r="CC46" s="4438">
        <f t="shared" si="73"/>
        <v>0</v>
      </c>
      <c r="CD46" s="4438">
        <f t="shared" si="74"/>
        <v>0</v>
      </c>
    </row>
    <row r="47" spans="1:82" s="659" customFormat="1">
      <c r="A47" s="2877"/>
      <c r="B47" s="2878">
        <v>20502</v>
      </c>
      <c r="C47" s="2879">
        <v>0.1</v>
      </c>
      <c r="D47" s="2880" t="s">
        <v>411</v>
      </c>
      <c r="E47" s="4387">
        <f>SUMIF('11.3. ДА Базова година'!$B$12:$B$39,$B47,'11.3. ДА Базова година'!F$12:F$39)+SUMIF('11.3. ДА Базова година'!$B$92:$B$110,$B47,'11.3. ДА Базова година'!F$92:F$110)</f>
        <v>0</v>
      </c>
      <c r="F47" s="404"/>
      <c r="G47" s="402"/>
      <c r="H47" s="402">
        <v>34</v>
      </c>
      <c r="I47" s="402">
        <v>1</v>
      </c>
      <c r="J47" s="402">
        <v>7</v>
      </c>
      <c r="K47" s="264"/>
      <c r="L47" s="4387">
        <f>SUMIF('11.3. ДА Базова година'!$B$12:$B$39,$B47,'11.3. ДА Базова година'!J$12:J$39)+SUMIF('11.3. ДА Базова година'!$B$92:$B$110,$B47,'11.3. ДА Базова година'!J$92:J$110)</f>
        <v>0</v>
      </c>
      <c r="M47" s="404"/>
      <c r="N47" s="402"/>
      <c r="O47" s="402"/>
      <c r="P47" s="402"/>
      <c r="Q47" s="402"/>
      <c r="R47" s="264"/>
      <c r="S47" s="4387">
        <f>SUMIF('11.3. ДА Базова година'!$B$12:$B$39,$B47,'11.3. ДА Базова година'!N$12:N$39)+SUMIF('11.3. ДА Базова година'!$B$92:$B$110,$B47,'11.3. ДА Базова година'!N$92:N$110)</f>
        <v>0</v>
      </c>
      <c r="T47" s="404"/>
      <c r="U47" s="402"/>
      <c r="V47" s="402"/>
      <c r="W47" s="402"/>
      <c r="X47" s="402"/>
      <c r="Y47" s="403"/>
      <c r="Z47" s="4387">
        <f>SUMIF('11.3. ДА Базова година'!$B$12:$B$39,$B47,'11.3. ДА Базова година'!R$12:R$39)+SUMIF('11.3. ДА Базова година'!$B$92:$B$110,$B47,'11.3. ДА Базова година'!R$92:R$110)</f>
        <v>0</v>
      </c>
      <c r="AA47" s="404"/>
      <c r="AB47" s="402"/>
      <c r="AC47" s="402"/>
      <c r="AD47" s="402"/>
      <c r="AE47" s="402"/>
      <c r="AF47" s="403"/>
      <c r="AG47" s="4387">
        <f>SUMIF('11.3. ДА Базова година'!$B$12:$B$39,$B47,'11.3. ДА Базова година'!V$12:V$39)+SUMIF('11.3. ДА Базова година'!$B$92:$B$110,$B47,'11.3. ДА Базова година'!V$92:V$110)</f>
        <v>0</v>
      </c>
      <c r="AH47" s="404"/>
      <c r="AI47" s="402"/>
      <c r="AJ47" s="402"/>
      <c r="AK47" s="402"/>
      <c r="AL47" s="402"/>
      <c r="AM47" s="264"/>
      <c r="AN47" s="4066"/>
      <c r="AO47" s="2988"/>
      <c r="AP47" s="2989"/>
      <c r="AQ47" s="2989"/>
      <c r="AR47" s="2989"/>
      <c r="AS47" s="2989"/>
      <c r="AT47" s="2990"/>
      <c r="AU47" s="4422"/>
      <c r="AV47" s="4438">
        <f t="shared" si="40"/>
        <v>0</v>
      </c>
      <c r="AW47" s="4438">
        <f t="shared" si="41"/>
        <v>0</v>
      </c>
      <c r="AX47" s="4438">
        <f t="shared" si="42"/>
        <v>0</v>
      </c>
      <c r="AY47" s="4438">
        <f t="shared" si="43"/>
        <v>17.383923960671428</v>
      </c>
      <c r="AZ47" s="4438">
        <f t="shared" si="44"/>
        <v>0.51129188119621849</v>
      </c>
      <c r="BA47" s="4438">
        <f t="shared" si="45"/>
        <v>3.5790431683735293</v>
      </c>
      <c r="BB47" s="4438">
        <f t="shared" si="46"/>
        <v>0</v>
      </c>
      <c r="BC47" s="4438">
        <f t="shared" si="47"/>
        <v>0</v>
      </c>
      <c r="BD47" s="4438">
        <f t="shared" si="48"/>
        <v>0</v>
      </c>
      <c r="BE47" s="4438">
        <f t="shared" si="49"/>
        <v>0</v>
      </c>
      <c r="BF47" s="4438">
        <f t="shared" si="50"/>
        <v>0</v>
      </c>
      <c r="BG47" s="4438">
        <f t="shared" si="51"/>
        <v>0</v>
      </c>
      <c r="BH47" s="4438">
        <f t="shared" si="52"/>
        <v>0</v>
      </c>
      <c r="BI47" s="4438">
        <f t="shared" si="53"/>
        <v>0</v>
      </c>
      <c r="BJ47" s="4438">
        <f t="shared" si="54"/>
        <v>0</v>
      </c>
      <c r="BK47" s="4438">
        <f t="shared" si="55"/>
        <v>0</v>
      </c>
      <c r="BL47" s="4438">
        <f t="shared" si="56"/>
        <v>0</v>
      </c>
      <c r="BM47" s="4438">
        <f t="shared" si="57"/>
        <v>0</v>
      </c>
      <c r="BN47" s="4438">
        <f t="shared" si="58"/>
        <v>0</v>
      </c>
      <c r="BO47" s="4438">
        <f t="shared" si="59"/>
        <v>0</v>
      </c>
      <c r="BP47" s="4438">
        <f t="shared" si="60"/>
        <v>0</v>
      </c>
      <c r="BQ47" s="4438">
        <f t="shared" si="61"/>
        <v>0</v>
      </c>
      <c r="BR47" s="4438">
        <f t="shared" si="62"/>
        <v>0</v>
      </c>
      <c r="BS47" s="4438">
        <f t="shared" si="63"/>
        <v>0</v>
      </c>
      <c r="BT47" s="4438">
        <f t="shared" si="64"/>
        <v>0</v>
      </c>
      <c r="BU47" s="4438">
        <f t="shared" si="65"/>
        <v>0</v>
      </c>
      <c r="BV47" s="4438">
        <f t="shared" si="66"/>
        <v>0</v>
      </c>
      <c r="BW47" s="4438">
        <f t="shared" si="67"/>
        <v>0</v>
      </c>
      <c r="BX47" s="4438">
        <f t="shared" si="68"/>
        <v>0</v>
      </c>
      <c r="BY47" s="4438">
        <f t="shared" si="69"/>
        <v>0</v>
      </c>
      <c r="BZ47" s="4438">
        <f t="shared" si="70"/>
        <v>0</v>
      </c>
      <c r="CA47" s="4438">
        <f t="shared" si="71"/>
        <v>0</v>
      </c>
      <c r="CB47" s="4438">
        <f t="shared" si="72"/>
        <v>0</v>
      </c>
      <c r="CC47" s="4438">
        <f t="shared" si="73"/>
        <v>0</v>
      </c>
      <c r="CD47" s="4438">
        <f t="shared" si="74"/>
        <v>0</v>
      </c>
    </row>
    <row r="48" spans="1:82" s="659" customFormat="1">
      <c r="A48" s="2877"/>
      <c r="B48" s="2878">
        <v>20503</v>
      </c>
      <c r="C48" s="2879">
        <v>0.1</v>
      </c>
      <c r="D48" s="2858" t="s">
        <v>412</v>
      </c>
      <c r="E48" s="4387">
        <f>SUMIF('11.3. ДА Базова година'!$B$12:$B$39,$B48,'11.3. ДА Базова година'!F$12:F$39)+SUMIF('11.3. ДА Базова година'!$B$92:$B$110,$B48,'11.3. ДА Базова година'!F$92:F$110)</f>
        <v>0</v>
      </c>
      <c r="F48" s="404">
        <v>5</v>
      </c>
      <c r="G48" s="402"/>
      <c r="H48" s="402">
        <v>4</v>
      </c>
      <c r="I48" s="402">
        <v>4</v>
      </c>
      <c r="J48" s="402"/>
      <c r="K48" s="264">
        <f>82+131</f>
        <v>213</v>
      </c>
      <c r="L48" s="4387">
        <f>SUMIF('11.3. ДА Базова година'!$B$12:$B$39,$B48,'11.3. ДА Базова година'!J$12:J$39)+SUMIF('11.3. ДА Базова година'!$B$92:$B$110,$B48,'11.3. ДА Базова година'!J$92:J$110)</f>
        <v>0</v>
      </c>
      <c r="M48" s="404"/>
      <c r="N48" s="402"/>
      <c r="O48" s="402"/>
      <c r="P48" s="402"/>
      <c r="Q48" s="402"/>
      <c r="R48" s="264"/>
      <c r="S48" s="4387">
        <f>SUMIF('11.3. ДА Базова година'!$B$12:$B$39,$B48,'11.3. ДА Базова година'!N$12:N$39)+SUMIF('11.3. ДА Базова година'!$B$92:$B$110,$B48,'11.3. ДА Базова година'!N$92:N$110)</f>
        <v>0</v>
      </c>
      <c r="T48" s="404"/>
      <c r="U48" s="402"/>
      <c r="V48" s="402"/>
      <c r="W48" s="402"/>
      <c r="X48" s="402"/>
      <c r="Y48" s="403"/>
      <c r="Z48" s="4387">
        <f>SUMIF('11.3. ДА Базова година'!$B$12:$B$39,$B48,'11.3. ДА Базова година'!R$12:R$39)+SUMIF('11.3. ДА Базова година'!$B$92:$B$110,$B48,'11.3. ДА Базова година'!R$92:R$110)</f>
        <v>0</v>
      </c>
      <c r="AA48" s="404"/>
      <c r="AB48" s="402"/>
      <c r="AC48" s="402"/>
      <c r="AD48" s="402"/>
      <c r="AE48" s="402"/>
      <c r="AF48" s="403"/>
      <c r="AG48" s="4387">
        <f>SUMIF('11.3. ДА Базова година'!$B$12:$B$39,$B48,'11.3. ДА Базова година'!V$12:V$39)+SUMIF('11.3. ДА Базова година'!$B$92:$B$110,$B48,'11.3. ДА Базова година'!V$92:V$110)</f>
        <v>0</v>
      </c>
      <c r="AH48" s="404"/>
      <c r="AI48" s="402"/>
      <c r="AJ48" s="402"/>
      <c r="AK48" s="402"/>
      <c r="AL48" s="402"/>
      <c r="AM48" s="264"/>
      <c r="AN48" s="4066"/>
      <c r="AO48" s="2988"/>
      <c r="AP48" s="2989"/>
      <c r="AQ48" s="2989"/>
      <c r="AR48" s="2989"/>
      <c r="AS48" s="2989"/>
      <c r="AT48" s="2990"/>
      <c r="AU48" s="4422"/>
      <c r="AV48" s="4438">
        <f t="shared" si="40"/>
        <v>0</v>
      </c>
      <c r="AW48" s="4438">
        <f t="shared" si="41"/>
        <v>2.5564594059810926</v>
      </c>
      <c r="AX48" s="4438">
        <f t="shared" si="42"/>
        <v>0</v>
      </c>
      <c r="AY48" s="4438">
        <f t="shared" si="43"/>
        <v>2.045167524784874</v>
      </c>
      <c r="AZ48" s="4438">
        <f t="shared" si="44"/>
        <v>2.045167524784874</v>
      </c>
      <c r="BA48" s="4438">
        <f t="shared" si="45"/>
        <v>0</v>
      </c>
      <c r="BB48" s="4438">
        <f t="shared" si="46"/>
        <v>108.90517069479453</v>
      </c>
      <c r="BC48" s="4438">
        <f t="shared" si="47"/>
        <v>0</v>
      </c>
      <c r="BD48" s="4438">
        <f t="shared" si="48"/>
        <v>0</v>
      </c>
      <c r="BE48" s="4438">
        <f t="shared" si="49"/>
        <v>0</v>
      </c>
      <c r="BF48" s="4438">
        <f t="shared" si="50"/>
        <v>0</v>
      </c>
      <c r="BG48" s="4438">
        <f t="shared" si="51"/>
        <v>0</v>
      </c>
      <c r="BH48" s="4438">
        <f t="shared" si="52"/>
        <v>0</v>
      </c>
      <c r="BI48" s="4438">
        <f t="shared" si="53"/>
        <v>0</v>
      </c>
      <c r="BJ48" s="4438">
        <f t="shared" si="54"/>
        <v>0</v>
      </c>
      <c r="BK48" s="4438">
        <f t="shared" si="55"/>
        <v>0</v>
      </c>
      <c r="BL48" s="4438">
        <f t="shared" si="56"/>
        <v>0</v>
      </c>
      <c r="BM48" s="4438">
        <f t="shared" si="57"/>
        <v>0</v>
      </c>
      <c r="BN48" s="4438">
        <f t="shared" si="58"/>
        <v>0</v>
      </c>
      <c r="BO48" s="4438">
        <f t="shared" si="59"/>
        <v>0</v>
      </c>
      <c r="BP48" s="4438">
        <f t="shared" si="60"/>
        <v>0</v>
      </c>
      <c r="BQ48" s="4438">
        <f t="shared" si="61"/>
        <v>0</v>
      </c>
      <c r="BR48" s="4438">
        <f t="shared" si="62"/>
        <v>0</v>
      </c>
      <c r="BS48" s="4438">
        <f t="shared" si="63"/>
        <v>0</v>
      </c>
      <c r="BT48" s="4438">
        <f t="shared" si="64"/>
        <v>0</v>
      </c>
      <c r="BU48" s="4438">
        <f t="shared" si="65"/>
        <v>0</v>
      </c>
      <c r="BV48" s="4438">
        <f t="shared" si="66"/>
        <v>0</v>
      </c>
      <c r="BW48" s="4438">
        <f t="shared" si="67"/>
        <v>0</v>
      </c>
      <c r="BX48" s="4438">
        <f t="shared" si="68"/>
        <v>0</v>
      </c>
      <c r="BY48" s="4438">
        <f t="shared" si="69"/>
        <v>0</v>
      </c>
      <c r="BZ48" s="4438">
        <f t="shared" si="70"/>
        <v>0</v>
      </c>
      <c r="CA48" s="4438">
        <f t="shared" si="71"/>
        <v>0</v>
      </c>
      <c r="CB48" s="4438">
        <f t="shared" si="72"/>
        <v>0</v>
      </c>
      <c r="CC48" s="4438">
        <f t="shared" si="73"/>
        <v>0</v>
      </c>
      <c r="CD48" s="4438">
        <f t="shared" si="74"/>
        <v>0</v>
      </c>
    </row>
    <row r="49" spans="1:82" s="659" customFormat="1">
      <c r="A49" s="2877"/>
      <c r="B49" s="2878">
        <v>20504</v>
      </c>
      <c r="C49" s="2879">
        <v>0.1</v>
      </c>
      <c r="D49" s="2858" t="s">
        <v>557</v>
      </c>
      <c r="E49" s="4387">
        <f>SUMIF('11.3. ДА Базова година'!$B$12:$B$39,$B49,'11.3. ДА Базова година'!F$12:F$39)+SUMIF('11.3. ДА Базова година'!$B$92:$B$110,$B49,'11.3. ДА Базова година'!F$92:F$110)</f>
        <v>0</v>
      </c>
      <c r="F49" s="404"/>
      <c r="G49" s="402"/>
      <c r="H49" s="402"/>
      <c r="I49" s="402"/>
      <c r="J49" s="402"/>
      <c r="K49" s="264"/>
      <c r="L49" s="4387">
        <f>SUMIF('11.3. ДА Базова година'!$B$12:$B$39,$B49,'11.3. ДА Базова година'!J$12:J$39)+SUMIF('11.3. ДА Базова година'!$B$92:$B$110,$B49,'11.3. ДА Базова година'!J$92:J$110)</f>
        <v>0</v>
      </c>
      <c r="M49" s="404"/>
      <c r="N49" s="402"/>
      <c r="O49" s="402"/>
      <c r="P49" s="402"/>
      <c r="Q49" s="402"/>
      <c r="R49" s="264"/>
      <c r="S49" s="4387">
        <f>SUMIF('11.3. ДА Базова година'!$B$12:$B$39,$B49,'11.3. ДА Базова година'!N$12:N$39)+SUMIF('11.3. ДА Базова година'!$B$92:$B$110,$B49,'11.3. ДА Базова година'!N$92:N$110)</f>
        <v>0</v>
      </c>
      <c r="T49" s="404"/>
      <c r="U49" s="402"/>
      <c r="V49" s="402"/>
      <c r="W49" s="402"/>
      <c r="X49" s="402"/>
      <c r="Y49" s="403"/>
      <c r="Z49" s="4387">
        <f>SUMIF('11.3. ДА Базова година'!$B$12:$B$39,$B49,'11.3. ДА Базова година'!R$12:R$39)+SUMIF('11.3. ДА Базова година'!$B$92:$B$110,$B49,'11.3. ДА Базова година'!R$92:R$110)</f>
        <v>0</v>
      </c>
      <c r="AA49" s="404"/>
      <c r="AB49" s="402"/>
      <c r="AC49" s="402"/>
      <c r="AD49" s="402"/>
      <c r="AE49" s="402"/>
      <c r="AF49" s="403"/>
      <c r="AG49" s="4387">
        <f>SUMIF('11.3. ДА Базова година'!$B$12:$B$39,$B49,'11.3. ДА Базова година'!V$12:V$39)+SUMIF('11.3. ДА Базова година'!$B$92:$B$110,$B49,'11.3. ДА Базова година'!V$92:V$110)</f>
        <v>0</v>
      </c>
      <c r="AH49" s="404"/>
      <c r="AI49" s="402"/>
      <c r="AJ49" s="402"/>
      <c r="AK49" s="402"/>
      <c r="AL49" s="402"/>
      <c r="AM49" s="264"/>
      <c r="AN49" s="4066"/>
      <c r="AO49" s="2988"/>
      <c r="AP49" s="2989"/>
      <c r="AQ49" s="2989"/>
      <c r="AR49" s="2989"/>
      <c r="AS49" s="2989"/>
      <c r="AT49" s="2990"/>
      <c r="AU49" s="4422"/>
      <c r="AV49" s="4438">
        <f t="shared" si="40"/>
        <v>0</v>
      </c>
      <c r="AW49" s="4438">
        <f t="shared" si="41"/>
        <v>0</v>
      </c>
      <c r="AX49" s="4438">
        <f t="shared" si="42"/>
        <v>0</v>
      </c>
      <c r="AY49" s="4438">
        <f t="shared" si="43"/>
        <v>0</v>
      </c>
      <c r="AZ49" s="4438">
        <f t="shared" si="44"/>
        <v>0</v>
      </c>
      <c r="BA49" s="4438">
        <f t="shared" si="45"/>
        <v>0</v>
      </c>
      <c r="BB49" s="4438">
        <f t="shared" si="46"/>
        <v>0</v>
      </c>
      <c r="BC49" s="4438">
        <f t="shared" si="47"/>
        <v>0</v>
      </c>
      <c r="BD49" s="4438">
        <f t="shared" si="48"/>
        <v>0</v>
      </c>
      <c r="BE49" s="4438">
        <f t="shared" si="49"/>
        <v>0</v>
      </c>
      <c r="BF49" s="4438">
        <f t="shared" si="50"/>
        <v>0</v>
      </c>
      <c r="BG49" s="4438">
        <f t="shared" si="51"/>
        <v>0</v>
      </c>
      <c r="BH49" s="4438">
        <f t="shared" si="52"/>
        <v>0</v>
      </c>
      <c r="BI49" s="4438">
        <f t="shared" si="53"/>
        <v>0</v>
      </c>
      <c r="BJ49" s="4438">
        <f t="shared" si="54"/>
        <v>0</v>
      </c>
      <c r="BK49" s="4438">
        <f t="shared" si="55"/>
        <v>0</v>
      </c>
      <c r="BL49" s="4438">
        <f t="shared" si="56"/>
        <v>0</v>
      </c>
      <c r="BM49" s="4438">
        <f t="shared" si="57"/>
        <v>0</v>
      </c>
      <c r="BN49" s="4438">
        <f t="shared" si="58"/>
        <v>0</v>
      </c>
      <c r="BO49" s="4438">
        <f t="shared" si="59"/>
        <v>0</v>
      </c>
      <c r="BP49" s="4438">
        <f t="shared" si="60"/>
        <v>0</v>
      </c>
      <c r="BQ49" s="4438">
        <f t="shared" si="61"/>
        <v>0</v>
      </c>
      <c r="BR49" s="4438">
        <f t="shared" si="62"/>
        <v>0</v>
      </c>
      <c r="BS49" s="4438">
        <f t="shared" si="63"/>
        <v>0</v>
      </c>
      <c r="BT49" s="4438">
        <f t="shared" si="64"/>
        <v>0</v>
      </c>
      <c r="BU49" s="4438">
        <f t="shared" si="65"/>
        <v>0</v>
      </c>
      <c r="BV49" s="4438">
        <f t="shared" si="66"/>
        <v>0</v>
      </c>
      <c r="BW49" s="4438">
        <f t="shared" si="67"/>
        <v>0</v>
      </c>
      <c r="BX49" s="4438">
        <f t="shared" si="68"/>
        <v>0</v>
      </c>
      <c r="BY49" s="4438">
        <f t="shared" si="69"/>
        <v>0</v>
      </c>
      <c r="BZ49" s="4438">
        <f t="shared" si="70"/>
        <v>0</v>
      </c>
      <c r="CA49" s="4438">
        <f t="shared" si="71"/>
        <v>0</v>
      </c>
      <c r="CB49" s="4438">
        <f t="shared" si="72"/>
        <v>0</v>
      </c>
      <c r="CC49" s="4438">
        <f t="shared" si="73"/>
        <v>0</v>
      </c>
      <c r="CD49" s="4438">
        <f t="shared" si="74"/>
        <v>0</v>
      </c>
    </row>
    <row r="50" spans="1:82" s="659" customFormat="1">
      <c r="A50" s="2881">
        <v>6</v>
      </c>
      <c r="B50" s="2882">
        <v>206</v>
      </c>
      <c r="C50" s="2883">
        <v>0.1</v>
      </c>
      <c r="D50" s="2869" t="s">
        <v>394</v>
      </c>
      <c r="E50" s="2872">
        <f>SUM(E51:E53)</f>
        <v>34</v>
      </c>
      <c r="F50" s="2873">
        <f>SUM(F51:F53)</f>
        <v>15</v>
      </c>
      <c r="G50" s="2874">
        <f t="shared" ref="G50:AN50" si="98">SUM(G51:G53)</f>
        <v>10</v>
      </c>
      <c r="H50" s="2874">
        <f t="shared" si="98"/>
        <v>10</v>
      </c>
      <c r="I50" s="2874">
        <f>SUM(I51:I53)</f>
        <v>3</v>
      </c>
      <c r="J50" s="2874">
        <f t="shared" si="98"/>
        <v>12</v>
      </c>
      <c r="K50" s="2875">
        <f t="shared" si="98"/>
        <v>17</v>
      </c>
      <c r="L50" s="2872">
        <f t="shared" si="98"/>
        <v>7</v>
      </c>
      <c r="M50" s="2850">
        <f t="shared" si="98"/>
        <v>0</v>
      </c>
      <c r="N50" s="2851">
        <f t="shared" si="98"/>
        <v>0</v>
      </c>
      <c r="O50" s="2851">
        <f t="shared" si="98"/>
        <v>0</v>
      </c>
      <c r="P50" s="2851">
        <f t="shared" si="98"/>
        <v>0</v>
      </c>
      <c r="Q50" s="2851">
        <f t="shared" si="98"/>
        <v>0</v>
      </c>
      <c r="R50" s="2852">
        <f t="shared" si="98"/>
        <v>0</v>
      </c>
      <c r="S50" s="2872">
        <f t="shared" si="98"/>
        <v>18</v>
      </c>
      <c r="T50" s="2850">
        <f t="shared" si="98"/>
        <v>0</v>
      </c>
      <c r="U50" s="2851">
        <f t="shared" si="98"/>
        <v>0</v>
      </c>
      <c r="V50" s="2851">
        <f t="shared" si="98"/>
        <v>0</v>
      </c>
      <c r="W50" s="2851">
        <f t="shared" si="98"/>
        <v>0</v>
      </c>
      <c r="X50" s="2851">
        <f t="shared" si="98"/>
        <v>0</v>
      </c>
      <c r="Y50" s="2853">
        <f t="shared" si="98"/>
        <v>0</v>
      </c>
      <c r="Z50" s="2872">
        <f t="shared" si="98"/>
        <v>0</v>
      </c>
      <c r="AA50" s="2850">
        <f t="shared" si="98"/>
        <v>0</v>
      </c>
      <c r="AB50" s="2851">
        <f t="shared" si="98"/>
        <v>0</v>
      </c>
      <c r="AC50" s="2851">
        <f t="shared" si="98"/>
        <v>0</v>
      </c>
      <c r="AD50" s="2851">
        <f t="shared" si="98"/>
        <v>0</v>
      </c>
      <c r="AE50" s="2851">
        <f t="shared" si="98"/>
        <v>0</v>
      </c>
      <c r="AF50" s="2853">
        <f t="shared" si="98"/>
        <v>0</v>
      </c>
      <c r="AG50" s="2872">
        <f>SUM(AG51:AG53)</f>
        <v>0</v>
      </c>
      <c r="AH50" s="2873">
        <f>SUM(AH51:AH53)</f>
        <v>0</v>
      </c>
      <c r="AI50" s="2874">
        <f t="shared" ref="AI50:AM50" si="99">SUM(AI51:AI53)</f>
        <v>0</v>
      </c>
      <c r="AJ50" s="2874">
        <f t="shared" si="99"/>
        <v>0</v>
      </c>
      <c r="AK50" s="2874">
        <f>SUM(AK51:AK53)</f>
        <v>0</v>
      </c>
      <c r="AL50" s="2874">
        <f t="shared" si="99"/>
        <v>0</v>
      </c>
      <c r="AM50" s="2875">
        <f t="shared" si="99"/>
        <v>0</v>
      </c>
      <c r="AN50" s="4069">
        <f t="shared" si="98"/>
        <v>0</v>
      </c>
      <c r="AO50" s="2988"/>
      <c r="AP50" s="2989"/>
      <c r="AQ50" s="2989"/>
      <c r="AR50" s="2989"/>
      <c r="AS50" s="2989"/>
      <c r="AT50" s="2990"/>
      <c r="AU50" s="4422"/>
      <c r="AV50" s="4438">
        <f t="shared" si="40"/>
        <v>17.383923960671428</v>
      </c>
      <c r="AW50" s="4438">
        <f t="shared" si="41"/>
        <v>7.6693782179432777</v>
      </c>
      <c r="AX50" s="4438">
        <f t="shared" si="42"/>
        <v>5.1129188119621851</v>
      </c>
      <c r="AY50" s="4438">
        <f t="shared" si="43"/>
        <v>5.1129188119621851</v>
      </c>
      <c r="AZ50" s="4438">
        <f t="shared" si="44"/>
        <v>1.5338756435886556</v>
      </c>
      <c r="BA50" s="4438">
        <f t="shared" si="45"/>
        <v>6.1355025743546223</v>
      </c>
      <c r="BB50" s="4438">
        <f t="shared" si="46"/>
        <v>8.691961980335714</v>
      </c>
      <c r="BC50" s="4438">
        <f t="shared" si="47"/>
        <v>3.5790431683735293</v>
      </c>
      <c r="BD50" s="4438">
        <f t="shared" si="48"/>
        <v>0</v>
      </c>
      <c r="BE50" s="4438">
        <f t="shared" si="49"/>
        <v>0</v>
      </c>
      <c r="BF50" s="4438">
        <f t="shared" si="50"/>
        <v>0</v>
      </c>
      <c r="BG50" s="4438">
        <f t="shared" si="51"/>
        <v>0</v>
      </c>
      <c r="BH50" s="4438">
        <f t="shared" si="52"/>
        <v>0</v>
      </c>
      <c r="BI50" s="4438">
        <f t="shared" si="53"/>
        <v>0</v>
      </c>
      <c r="BJ50" s="4438">
        <f t="shared" si="54"/>
        <v>9.2032538615319321</v>
      </c>
      <c r="BK50" s="4438">
        <f t="shared" si="55"/>
        <v>0</v>
      </c>
      <c r="BL50" s="4438">
        <f t="shared" si="56"/>
        <v>0</v>
      </c>
      <c r="BM50" s="4438">
        <f t="shared" si="57"/>
        <v>0</v>
      </c>
      <c r="BN50" s="4438">
        <f t="shared" si="58"/>
        <v>0</v>
      </c>
      <c r="BO50" s="4438">
        <f t="shared" si="59"/>
        <v>0</v>
      </c>
      <c r="BP50" s="4438">
        <f t="shared" si="60"/>
        <v>0</v>
      </c>
      <c r="BQ50" s="4438">
        <f t="shared" si="61"/>
        <v>0</v>
      </c>
      <c r="BR50" s="4438">
        <f t="shared" si="62"/>
        <v>0</v>
      </c>
      <c r="BS50" s="4438">
        <f t="shared" si="63"/>
        <v>0</v>
      </c>
      <c r="BT50" s="4438">
        <f t="shared" si="64"/>
        <v>0</v>
      </c>
      <c r="BU50" s="4438">
        <f t="shared" si="65"/>
        <v>0</v>
      </c>
      <c r="BV50" s="4438">
        <f t="shared" si="66"/>
        <v>0</v>
      </c>
      <c r="BW50" s="4438">
        <f t="shared" si="67"/>
        <v>0</v>
      </c>
      <c r="BX50" s="4438">
        <f t="shared" si="68"/>
        <v>0</v>
      </c>
      <c r="BY50" s="4438">
        <f t="shared" si="69"/>
        <v>0</v>
      </c>
      <c r="BZ50" s="4438">
        <f t="shared" si="70"/>
        <v>0</v>
      </c>
      <c r="CA50" s="4438">
        <f t="shared" si="71"/>
        <v>0</v>
      </c>
      <c r="CB50" s="4438">
        <f t="shared" si="72"/>
        <v>0</v>
      </c>
      <c r="CC50" s="4438">
        <f t="shared" si="73"/>
        <v>0</v>
      </c>
      <c r="CD50" s="4438">
        <f t="shared" si="74"/>
        <v>0</v>
      </c>
    </row>
    <row r="51" spans="1:82" s="659" customFormat="1">
      <c r="A51" s="2881"/>
      <c r="B51" s="2878">
        <v>20601</v>
      </c>
      <c r="C51" s="2879">
        <v>0.1</v>
      </c>
      <c r="D51" s="2858" t="s">
        <v>564</v>
      </c>
      <c r="E51" s="4387">
        <f>SUMIF('11.3. ДА Базова година'!$B$12:$B$39,$B51,'11.3. ДА Базова година'!F$12:F$39)+SUMIF('11.3. ДА Базова година'!$B$92:$B$110,$B51,'11.3. ДА Базова година'!F$92:F$110)</f>
        <v>7</v>
      </c>
      <c r="F51" s="404">
        <v>4</v>
      </c>
      <c r="G51" s="402">
        <v>3</v>
      </c>
      <c r="H51" s="402">
        <v>3</v>
      </c>
      <c r="I51" s="402"/>
      <c r="J51" s="402"/>
      <c r="K51" s="264"/>
      <c r="L51" s="4387">
        <f>SUMIF('11.3. ДА Базова година'!$B$12:$B$39,$B51,'11.3. ДА Базова година'!J$12:J$39)+SUMIF('11.3. ДА Базова година'!$B$92:$B$110,$B51,'11.3. ДА Базова година'!J$92:J$110)</f>
        <v>2</v>
      </c>
      <c r="M51" s="404"/>
      <c r="N51" s="402"/>
      <c r="O51" s="402"/>
      <c r="P51" s="402"/>
      <c r="Q51" s="402"/>
      <c r="R51" s="264"/>
      <c r="S51" s="4387">
        <f>SUMIF('11.3. ДА Базова година'!$B$12:$B$39,$B51,'11.3. ДА Базова година'!N$12:N$39)+SUMIF('11.3. ДА Базова година'!$B$92:$B$110,$B51,'11.3. ДА Базова година'!N$92:N$110)</f>
        <v>5</v>
      </c>
      <c r="T51" s="404"/>
      <c r="U51" s="402"/>
      <c r="V51" s="402"/>
      <c r="W51" s="402"/>
      <c r="X51" s="402"/>
      <c r="Y51" s="403"/>
      <c r="Z51" s="4387">
        <f>SUMIF('11.3. ДА Базова година'!$B$12:$B$39,$B51,'11.3. ДА Базова година'!R$12:R$39)+SUMIF('11.3. ДА Базова година'!$B$92:$B$110,$B51,'11.3. ДА Базова година'!R$92:R$110)</f>
        <v>0</v>
      </c>
      <c r="AA51" s="404"/>
      <c r="AB51" s="402"/>
      <c r="AC51" s="402"/>
      <c r="AD51" s="402"/>
      <c r="AE51" s="402"/>
      <c r="AF51" s="403"/>
      <c r="AG51" s="4387">
        <f>SUMIF('11.3. ДА Базова година'!$B$12:$B$39,$B51,'11.3. ДА Базова година'!V$12:V$39)+SUMIF('11.3. ДА Базова година'!$B$92:$B$110,$B51,'11.3. ДА Базова година'!V$92:V$110)</f>
        <v>0</v>
      </c>
      <c r="AH51" s="404"/>
      <c r="AI51" s="402"/>
      <c r="AJ51" s="402"/>
      <c r="AK51" s="402"/>
      <c r="AL51" s="402"/>
      <c r="AM51" s="264"/>
      <c r="AN51" s="4066"/>
      <c r="AO51" s="2988"/>
      <c r="AP51" s="2989"/>
      <c r="AQ51" s="2989"/>
      <c r="AR51" s="2989"/>
      <c r="AS51" s="2989"/>
      <c r="AT51" s="2990"/>
      <c r="AU51" s="4422"/>
      <c r="AV51" s="4438">
        <f t="shared" si="40"/>
        <v>3.5790431683735293</v>
      </c>
      <c r="AW51" s="4438">
        <f t="shared" si="41"/>
        <v>2.045167524784874</v>
      </c>
      <c r="AX51" s="4438">
        <f t="shared" si="42"/>
        <v>1.5338756435886556</v>
      </c>
      <c r="AY51" s="4438">
        <f t="shared" si="43"/>
        <v>1.5338756435886556</v>
      </c>
      <c r="AZ51" s="4438">
        <f t="shared" si="44"/>
        <v>0</v>
      </c>
      <c r="BA51" s="4438">
        <f t="shared" si="45"/>
        <v>0</v>
      </c>
      <c r="BB51" s="4438">
        <f t="shared" si="46"/>
        <v>0</v>
      </c>
      <c r="BC51" s="4438">
        <f t="shared" si="47"/>
        <v>1.022583762392437</v>
      </c>
      <c r="BD51" s="4438">
        <f t="shared" si="48"/>
        <v>0</v>
      </c>
      <c r="BE51" s="4438">
        <f t="shared" si="49"/>
        <v>0</v>
      </c>
      <c r="BF51" s="4438">
        <f t="shared" si="50"/>
        <v>0</v>
      </c>
      <c r="BG51" s="4438">
        <f t="shared" si="51"/>
        <v>0</v>
      </c>
      <c r="BH51" s="4438">
        <f t="shared" si="52"/>
        <v>0</v>
      </c>
      <c r="BI51" s="4438">
        <f t="shared" si="53"/>
        <v>0</v>
      </c>
      <c r="BJ51" s="4438">
        <f t="shared" si="54"/>
        <v>2.5564594059810926</v>
      </c>
      <c r="BK51" s="4438">
        <f t="shared" si="55"/>
        <v>0</v>
      </c>
      <c r="BL51" s="4438">
        <f t="shared" si="56"/>
        <v>0</v>
      </c>
      <c r="BM51" s="4438">
        <f t="shared" si="57"/>
        <v>0</v>
      </c>
      <c r="BN51" s="4438">
        <f t="shared" si="58"/>
        <v>0</v>
      </c>
      <c r="BO51" s="4438">
        <f t="shared" si="59"/>
        <v>0</v>
      </c>
      <c r="BP51" s="4438">
        <f t="shared" si="60"/>
        <v>0</v>
      </c>
      <c r="BQ51" s="4438">
        <f t="shared" si="61"/>
        <v>0</v>
      </c>
      <c r="BR51" s="4438">
        <f t="shared" si="62"/>
        <v>0</v>
      </c>
      <c r="BS51" s="4438">
        <f t="shared" si="63"/>
        <v>0</v>
      </c>
      <c r="BT51" s="4438">
        <f t="shared" si="64"/>
        <v>0</v>
      </c>
      <c r="BU51" s="4438">
        <f t="shared" si="65"/>
        <v>0</v>
      </c>
      <c r="BV51" s="4438">
        <f t="shared" si="66"/>
        <v>0</v>
      </c>
      <c r="BW51" s="4438">
        <f t="shared" si="67"/>
        <v>0</v>
      </c>
      <c r="BX51" s="4438">
        <f t="shared" si="68"/>
        <v>0</v>
      </c>
      <c r="BY51" s="4438">
        <f t="shared" si="69"/>
        <v>0</v>
      </c>
      <c r="BZ51" s="4438">
        <f t="shared" si="70"/>
        <v>0</v>
      </c>
      <c r="CA51" s="4438">
        <f t="shared" si="71"/>
        <v>0</v>
      </c>
      <c r="CB51" s="4438">
        <f t="shared" si="72"/>
        <v>0</v>
      </c>
      <c r="CC51" s="4438">
        <f t="shared" si="73"/>
        <v>0</v>
      </c>
      <c r="CD51" s="4438">
        <f t="shared" si="74"/>
        <v>0</v>
      </c>
    </row>
    <row r="52" spans="1:82" s="659" customFormat="1">
      <c r="A52" s="2881"/>
      <c r="B52" s="2878">
        <v>20602</v>
      </c>
      <c r="C52" s="2879">
        <v>0.1</v>
      </c>
      <c r="D52" s="2858" t="s">
        <v>435</v>
      </c>
      <c r="E52" s="4387">
        <f>SUMIF('11.3. ДА Базова година'!$B$12:$B$39,$B52,'11.3. ДА Базова година'!F$12:F$39)+SUMIF('11.3. ДА Базова година'!$B$92:$B$110,$B52,'11.3. ДА Базова година'!F$92:F$110)</f>
        <v>27</v>
      </c>
      <c r="F52" s="404">
        <v>3</v>
      </c>
      <c r="G52" s="402">
        <v>7</v>
      </c>
      <c r="H52" s="402">
        <v>7</v>
      </c>
      <c r="I52" s="402">
        <v>3</v>
      </c>
      <c r="J52" s="402">
        <f>9+2+1</f>
        <v>12</v>
      </c>
      <c r="K52" s="264">
        <v>17</v>
      </c>
      <c r="L52" s="4387">
        <f>SUMIF('11.3. ДА Базова година'!$B$12:$B$39,$B52,'11.3. ДА Базова година'!J$12:J$39)+SUMIF('11.3. ДА Базова година'!$B$92:$B$110,$B52,'11.3. ДА Базова година'!J$92:J$110)</f>
        <v>5</v>
      </c>
      <c r="M52" s="404"/>
      <c r="N52" s="402"/>
      <c r="O52" s="402"/>
      <c r="P52" s="402"/>
      <c r="Q52" s="402"/>
      <c r="R52" s="264"/>
      <c r="S52" s="4387">
        <f>SUMIF('11.3. ДА Базова година'!$B$12:$B$39,$B52,'11.3. ДА Базова година'!N$12:N$39)+SUMIF('11.3. ДА Базова година'!$B$92:$B$110,$B52,'11.3. ДА Базова година'!N$92:N$110)</f>
        <v>13</v>
      </c>
      <c r="T52" s="404"/>
      <c r="U52" s="402"/>
      <c r="V52" s="402"/>
      <c r="W52" s="402"/>
      <c r="X52" s="402"/>
      <c r="Y52" s="403"/>
      <c r="Z52" s="4387">
        <f>SUMIF('11.3. ДА Базова година'!$B$12:$B$39,$B52,'11.3. ДА Базова година'!R$12:R$39)+SUMIF('11.3. ДА Базова година'!$B$92:$B$110,$B52,'11.3. ДА Базова година'!R$92:R$110)</f>
        <v>0</v>
      </c>
      <c r="AA52" s="404"/>
      <c r="AB52" s="402"/>
      <c r="AC52" s="402"/>
      <c r="AD52" s="402"/>
      <c r="AE52" s="402"/>
      <c r="AF52" s="403"/>
      <c r="AG52" s="4387">
        <f>SUMIF('11.3. ДА Базова година'!$B$12:$B$39,$B52,'11.3. ДА Базова година'!V$12:V$39)+SUMIF('11.3. ДА Базова година'!$B$92:$B$110,$B52,'11.3. ДА Базова година'!V$92:V$110)</f>
        <v>0</v>
      </c>
      <c r="AH52" s="404"/>
      <c r="AI52" s="402"/>
      <c r="AJ52" s="402"/>
      <c r="AK52" s="402"/>
      <c r="AL52" s="402"/>
      <c r="AM52" s="264"/>
      <c r="AN52" s="4066"/>
      <c r="AO52" s="2988"/>
      <c r="AP52" s="2989"/>
      <c r="AQ52" s="2989"/>
      <c r="AR52" s="2989"/>
      <c r="AS52" s="2989"/>
      <c r="AT52" s="2990"/>
      <c r="AU52" s="4422"/>
      <c r="AV52" s="4438">
        <f t="shared" si="40"/>
        <v>13.804880792297899</v>
      </c>
      <c r="AW52" s="4438">
        <f t="shared" si="41"/>
        <v>1.5338756435886556</v>
      </c>
      <c r="AX52" s="4438">
        <f t="shared" si="42"/>
        <v>3.5790431683735293</v>
      </c>
      <c r="AY52" s="4438">
        <f t="shared" si="43"/>
        <v>3.5790431683735293</v>
      </c>
      <c r="AZ52" s="4438">
        <f t="shared" si="44"/>
        <v>1.5338756435886556</v>
      </c>
      <c r="BA52" s="4438">
        <f t="shared" si="45"/>
        <v>6.1355025743546223</v>
      </c>
      <c r="BB52" s="4438">
        <f t="shared" si="46"/>
        <v>8.691961980335714</v>
      </c>
      <c r="BC52" s="4438">
        <f t="shared" si="47"/>
        <v>2.5564594059810926</v>
      </c>
      <c r="BD52" s="4438">
        <f t="shared" si="48"/>
        <v>0</v>
      </c>
      <c r="BE52" s="4438">
        <f t="shared" si="49"/>
        <v>0</v>
      </c>
      <c r="BF52" s="4438">
        <f t="shared" si="50"/>
        <v>0</v>
      </c>
      <c r="BG52" s="4438">
        <f t="shared" si="51"/>
        <v>0</v>
      </c>
      <c r="BH52" s="4438">
        <f t="shared" si="52"/>
        <v>0</v>
      </c>
      <c r="BI52" s="4438">
        <f t="shared" si="53"/>
        <v>0</v>
      </c>
      <c r="BJ52" s="4438">
        <f t="shared" si="54"/>
        <v>6.6467944555508405</v>
      </c>
      <c r="BK52" s="4438">
        <f t="shared" si="55"/>
        <v>0</v>
      </c>
      <c r="BL52" s="4438">
        <f t="shared" si="56"/>
        <v>0</v>
      </c>
      <c r="BM52" s="4438">
        <f t="shared" si="57"/>
        <v>0</v>
      </c>
      <c r="BN52" s="4438">
        <f t="shared" si="58"/>
        <v>0</v>
      </c>
      <c r="BO52" s="4438">
        <f t="shared" si="59"/>
        <v>0</v>
      </c>
      <c r="BP52" s="4438">
        <f t="shared" si="60"/>
        <v>0</v>
      </c>
      <c r="BQ52" s="4438">
        <f t="shared" si="61"/>
        <v>0</v>
      </c>
      <c r="BR52" s="4438">
        <f t="shared" si="62"/>
        <v>0</v>
      </c>
      <c r="BS52" s="4438">
        <f t="shared" si="63"/>
        <v>0</v>
      </c>
      <c r="BT52" s="4438">
        <f t="shared" si="64"/>
        <v>0</v>
      </c>
      <c r="BU52" s="4438">
        <f t="shared" si="65"/>
        <v>0</v>
      </c>
      <c r="BV52" s="4438">
        <f t="shared" si="66"/>
        <v>0</v>
      </c>
      <c r="BW52" s="4438">
        <f t="shared" si="67"/>
        <v>0</v>
      </c>
      <c r="BX52" s="4438">
        <f t="shared" si="68"/>
        <v>0</v>
      </c>
      <c r="BY52" s="4438">
        <f t="shared" si="69"/>
        <v>0</v>
      </c>
      <c r="BZ52" s="4438">
        <f t="shared" si="70"/>
        <v>0</v>
      </c>
      <c r="CA52" s="4438">
        <f t="shared" si="71"/>
        <v>0</v>
      </c>
      <c r="CB52" s="4438">
        <f t="shared" si="72"/>
        <v>0</v>
      </c>
      <c r="CC52" s="4438">
        <f t="shared" si="73"/>
        <v>0</v>
      </c>
      <c r="CD52" s="4438">
        <f t="shared" si="74"/>
        <v>0</v>
      </c>
    </row>
    <row r="53" spans="1:82" s="659" customFormat="1">
      <c r="A53" s="2881"/>
      <c r="B53" s="2878">
        <v>20603</v>
      </c>
      <c r="C53" s="2879">
        <v>0.5</v>
      </c>
      <c r="D53" s="2858" t="s">
        <v>1015</v>
      </c>
      <c r="E53" s="4387">
        <f>SUMIF('11.3. ДА Базова година'!$B$12:$B$39,$B53,'11.3. ДА Базова година'!F$12:F$39)+SUMIF('11.3. ДА Базова година'!$B$92:$B$110,$B53,'11.3. ДА Базова година'!F$92:F$110)</f>
        <v>0</v>
      </c>
      <c r="F53" s="404">
        <f>6+2</f>
        <v>8</v>
      </c>
      <c r="G53" s="402"/>
      <c r="H53" s="402"/>
      <c r="I53" s="402"/>
      <c r="J53" s="402"/>
      <c r="K53" s="264"/>
      <c r="L53" s="4387">
        <f>SUMIF('11.3. ДА Базова година'!$B$12:$B$39,$B53,'11.3. ДА Базова година'!J$12:J$39)+SUMIF('11.3. ДА Базова година'!$B$92:$B$110,$B53,'11.3. ДА Базова година'!J$92:J$110)</f>
        <v>0</v>
      </c>
      <c r="M53" s="404"/>
      <c r="N53" s="402"/>
      <c r="O53" s="402"/>
      <c r="P53" s="402"/>
      <c r="Q53" s="402"/>
      <c r="R53" s="264"/>
      <c r="S53" s="4387">
        <f>SUMIF('11.3. ДА Базова година'!$B$12:$B$39,$B53,'11.3. ДА Базова година'!N$12:N$39)+SUMIF('11.3. ДА Базова година'!$B$92:$B$110,$B53,'11.3. ДА Базова година'!N$92:N$110)</f>
        <v>0</v>
      </c>
      <c r="T53" s="404"/>
      <c r="U53" s="402"/>
      <c r="V53" s="402"/>
      <c r="W53" s="402"/>
      <c r="X53" s="402"/>
      <c r="Y53" s="403"/>
      <c r="Z53" s="4387">
        <f>SUMIF('11.3. ДА Базова година'!$B$12:$B$39,$B53,'11.3. ДА Базова година'!R$12:R$39)+SUMIF('11.3. ДА Базова година'!$B$92:$B$110,$B53,'11.3. ДА Базова година'!R$92:R$110)</f>
        <v>0</v>
      </c>
      <c r="AA53" s="404"/>
      <c r="AB53" s="402"/>
      <c r="AC53" s="402"/>
      <c r="AD53" s="402"/>
      <c r="AE53" s="402"/>
      <c r="AF53" s="403"/>
      <c r="AG53" s="4387">
        <f>SUMIF('11.3. ДА Базова година'!$B$12:$B$39,$B53,'11.3. ДА Базова година'!V$12:V$39)+SUMIF('11.3. ДА Базова година'!$B$92:$B$110,$B53,'11.3. ДА Базова година'!V$92:V$110)</f>
        <v>0</v>
      </c>
      <c r="AH53" s="404"/>
      <c r="AI53" s="402"/>
      <c r="AJ53" s="402"/>
      <c r="AK53" s="402"/>
      <c r="AL53" s="402"/>
      <c r="AM53" s="264"/>
      <c r="AN53" s="4066"/>
      <c r="AO53" s="2988"/>
      <c r="AP53" s="2989"/>
      <c r="AQ53" s="2989"/>
      <c r="AR53" s="2989"/>
      <c r="AS53" s="2989"/>
      <c r="AT53" s="2990"/>
      <c r="AU53" s="4422"/>
      <c r="AV53" s="4438">
        <f t="shared" si="40"/>
        <v>0</v>
      </c>
      <c r="AW53" s="4438">
        <f t="shared" si="41"/>
        <v>4.0903350495697479</v>
      </c>
      <c r="AX53" s="4438">
        <f t="shared" si="42"/>
        <v>0</v>
      </c>
      <c r="AY53" s="4438">
        <f t="shared" si="43"/>
        <v>0</v>
      </c>
      <c r="AZ53" s="4438">
        <f t="shared" si="44"/>
        <v>0</v>
      </c>
      <c r="BA53" s="4438">
        <f t="shared" si="45"/>
        <v>0</v>
      </c>
      <c r="BB53" s="4438">
        <f t="shared" si="46"/>
        <v>0</v>
      </c>
      <c r="BC53" s="4438">
        <f t="shared" si="47"/>
        <v>0</v>
      </c>
      <c r="BD53" s="4438">
        <f t="shared" si="48"/>
        <v>0</v>
      </c>
      <c r="BE53" s="4438">
        <f t="shared" si="49"/>
        <v>0</v>
      </c>
      <c r="BF53" s="4438">
        <f t="shared" si="50"/>
        <v>0</v>
      </c>
      <c r="BG53" s="4438">
        <f t="shared" si="51"/>
        <v>0</v>
      </c>
      <c r="BH53" s="4438">
        <f t="shared" si="52"/>
        <v>0</v>
      </c>
      <c r="BI53" s="4438">
        <f t="shared" si="53"/>
        <v>0</v>
      </c>
      <c r="BJ53" s="4438">
        <f t="shared" si="54"/>
        <v>0</v>
      </c>
      <c r="BK53" s="4438">
        <f t="shared" si="55"/>
        <v>0</v>
      </c>
      <c r="BL53" s="4438">
        <f t="shared" si="56"/>
        <v>0</v>
      </c>
      <c r="BM53" s="4438">
        <f t="shared" si="57"/>
        <v>0</v>
      </c>
      <c r="BN53" s="4438">
        <f t="shared" si="58"/>
        <v>0</v>
      </c>
      <c r="BO53" s="4438">
        <f t="shared" si="59"/>
        <v>0</v>
      </c>
      <c r="BP53" s="4438">
        <f t="shared" si="60"/>
        <v>0</v>
      </c>
      <c r="BQ53" s="4438">
        <f t="shared" si="61"/>
        <v>0</v>
      </c>
      <c r="BR53" s="4438">
        <f t="shared" si="62"/>
        <v>0</v>
      </c>
      <c r="BS53" s="4438">
        <f t="shared" si="63"/>
        <v>0</v>
      </c>
      <c r="BT53" s="4438">
        <f t="shared" si="64"/>
        <v>0</v>
      </c>
      <c r="BU53" s="4438">
        <f t="shared" si="65"/>
        <v>0</v>
      </c>
      <c r="BV53" s="4438">
        <f t="shared" si="66"/>
        <v>0</v>
      </c>
      <c r="BW53" s="4438">
        <f t="shared" si="67"/>
        <v>0</v>
      </c>
      <c r="BX53" s="4438">
        <f t="shared" si="68"/>
        <v>0</v>
      </c>
      <c r="BY53" s="4438">
        <f t="shared" si="69"/>
        <v>0</v>
      </c>
      <c r="BZ53" s="4438">
        <f t="shared" si="70"/>
        <v>0</v>
      </c>
      <c r="CA53" s="4438">
        <f t="shared" si="71"/>
        <v>0</v>
      </c>
      <c r="CB53" s="4438">
        <f t="shared" si="72"/>
        <v>0</v>
      </c>
      <c r="CC53" s="4438">
        <f t="shared" si="73"/>
        <v>0</v>
      </c>
      <c r="CD53" s="4438">
        <f t="shared" si="74"/>
        <v>0</v>
      </c>
    </row>
    <row r="54" spans="1:82" s="40" customFormat="1">
      <c r="A54" s="2881">
        <v>7</v>
      </c>
      <c r="B54" s="2882">
        <v>208</v>
      </c>
      <c r="C54" s="2883">
        <v>0.2</v>
      </c>
      <c r="D54" s="2869" t="s">
        <v>413</v>
      </c>
      <c r="E54" s="4387">
        <f>SUMIF('11.3. ДА Базова година'!$B$12:$B$39,$B54,'11.3. ДА Базова година'!F$12:F$39)+SUMIF('11.3. ДА Базова година'!$B$92:$B$110,$B54,'11.3. ДА Базова година'!F$92:F$110)</f>
        <v>16</v>
      </c>
      <c r="F54" s="404">
        <v>9</v>
      </c>
      <c r="G54" s="402">
        <v>18</v>
      </c>
      <c r="H54" s="402">
        <v>14</v>
      </c>
      <c r="I54" s="402">
        <v>25</v>
      </c>
      <c r="J54" s="402">
        <v>28</v>
      </c>
      <c r="K54" s="264"/>
      <c r="L54" s="4387">
        <f>SUMIF('11.3. ДА Базова година'!$B$12:$B$39,$B54,'11.3. ДА Базова година'!J$12:J$39)+SUMIF('11.3. ДА Базова година'!$B$92:$B$110,$B54,'11.3. ДА Базова година'!J$92:J$110)</f>
        <v>4</v>
      </c>
      <c r="M54" s="404"/>
      <c r="N54" s="402"/>
      <c r="O54" s="402"/>
      <c r="P54" s="402"/>
      <c r="Q54" s="402"/>
      <c r="R54" s="264"/>
      <c r="S54" s="4387">
        <f>SUMIF('11.3. ДА Базова година'!$B$12:$B$39,$B54,'11.3. ДА Базова година'!N$12:N$39)+SUMIF('11.3. ДА Базова година'!$B$92:$B$110,$B54,'11.3. ДА Базова година'!N$92:N$110)</f>
        <v>8</v>
      </c>
      <c r="T54" s="404"/>
      <c r="U54" s="402"/>
      <c r="V54" s="402"/>
      <c r="W54" s="402"/>
      <c r="X54" s="402"/>
      <c r="Y54" s="403"/>
      <c r="Z54" s="4387">
        <f>SUMIF('11.3. ДА Базова година'!$B$12:$B$39,$B54,'11.3. ДА Базова година'!R$12:R$39)+SUMIF('11.3. ДА Базова година'!$B$92:$B$110,$B54,'11.3. ДА Базова година'!R$92:R$110)</f>
        <v>0</v>
      </c>
      <c r="AA54" s="404"/>
      <c r="AB54" s="402"/>
      <c r="AC54" s="402"/>
      <c r="AD54" s="402"/>
      <c r="AE54" s="402"/>
      <c r="AF54" s="403"/>
      <c r="AG54" s="4387">
        <f>SUMIF('11.3. ДА Базова година'!$B$12:$B$39,$B54,'11.3. ДА Базова година'!V$12:V$39)+SUMIF('11.3. ДА Базова година'!$B$92:$B$110,$B54,'11.3. ДА Базова година'!V$92:V$110)</f>
        <v>0</v>
      </c>
      <c r="AH54" s="404"/>
      <c r="AI54" s="402"/>
      <c r="AJ54" s="402"/>
      <c r="AK54" s="402"/>
      <c r="AL54" s="402"/>
      <c r="AM54" s="264"/>
      <c r="AN54" s="4066"/>
      <c r="AO54" s="2988"/>
      <c r="AP54" s="2989"/>
      <c r="AQ54" s="2989"/>
      <c r="AR54" s="2989"/>
      <c r="AS54" s="2989"/>
      <c r="AT54" s="2990"/>
      <c r="AU54" s="4422"/>
      <c r="AV54" s="4438">
        <f t="shared" si="40"/>
        <v>8.1806700991394958</v>
      </c>
      <c r="AW54" s="4438">
        <f t="shared" si="41"/>
        <v>4.6016269307659661</v>
      </c>
      <c r="AX54" s="4438">
        <f t="shared" si="42"/>
        <v>9.2032538615319321</v>
      </c>
      <c r="AY54" s="4438">
        <f t="shared" si="43"/>
        <v>7.1580863367470586</v>
      </c>
      <c r="AZ54" s="4438">
        <f t="shared" si="44"/>
        <v>12.782297029905463</v>
      </c>
      <c r="BA54" s="4438">
        <f t="shared" si="45"/>
        <v>14.316172673494117</v>
      </c>
      <c r="BB54" s="4438">
        <f t="shared" si="46"/>
        <v>0</v>
      </c>
      <c r="BC54" s="4438">
        <f t="shared" si="47"/>
        <v>2.045167524784874</v>
      </c>
      <c r="BD54" s="4438">
        <f t="shared" si="48"/>
        <v>0</v>
      </c>
      <c r="BE54" s="4438">
        <f t="shared" si="49"/>
        <v>0</v>
      </c>
      <c r="BF54" s="4438">
        <f t="shared" si="50"/>
        <v>0</v>
      </c>
      <c r="BG54" s="4438">
        <f t="shared" si="51"/>
        <v>0</v>
      </c>
      <c r="BH54" s="4438">
        <f t="shared" si="52"/>
        <v>0</v>
      </c>
      <c r="BI54" s="4438">
        <f t="shared" si="53"/>
        <v>0</v>
      </c>
      <c r="BJ54" s="4438">
        <f t="shared" si="54"/>
        <v>4.0903350495697479</v>
      </c>
      <c r="BK54" s="4438">
        <f t="shared" si="55"/>
        <v>0</v>
      </c>
      <c r="BL54" s="4438">
        <f t="shared" si="56"/>
        <v>0</v>
      </c>
      <c r="BM54" s="4438">
        <f t="shared" si="57"/>
        <v>0</v>
      </c>
      <c r="BN54" s="4438">
        <f t="shared" si="58"/>
        <v>0</v>
      </c>
      <c r="BO54" s="4438">
        <f t="shared" si="59"/>
        <v>0</v>
      </c>
      <c r="BP54" s="4438">
        <f t="shared" si="60"/>
        <v>0</v>
      </c>
      <c r="BQ54" s="4438">
        <f t="shared" si="61"/>
        <v>0</v>
      </c>
      <c r="BR54" s="4438">
        <f t="shared" si="62"/>
        <v>0</v>
      </c>
      <c r="BS54" s="4438">
        <f t="shared" si="63"/>
        <v>0</v>
      </c>
      <c r="BT54" s="4438">
        <f t="shared" si="64"/>
        <v>0</v>
      </c>
      <c r="BU54" s="4438">
        <f t="shared" si="65"/>
        <v>0</v>
      </c>
      <c r="BV54" s="4438">
        <f t="shared" si="66"/>
        <v>0</v>
      </c>
      <c r="BW54" s="4438">
        <f t="shared" si="67"/>
        <v>0</v>
      </c>
      <c r="BX54" s="4438">
        <f t="shared" si="68"/>
        <v>0</v>
      </c>
      <c r="BY54" s="4438">
        <f t="shared" si="69"/>
        <v>0</v>
      </c>
      <c r="BZ54" s="4438">
        <f t="shared" si="70"/>
        <v>0</v>
      </c>
      <c r="CA54" s="4438">
        <f t="shared" si="71"/>
        <v>0</v>
      </c>
      <c r="CB54" s="4438">
        <f t="shared" si="72"/>
        <v>0</v>
      </c>
      <c r="CC54" s="4438">
        <f t="shared" si="73"/>
        <v>0</v>
      </c>
      <c r="CD54" s="4438">
        <f t="shared" si="74"/>
        <v>0</v>
      </c>
    </row>
    <row r="55" spans="1:82" s="40" customFormat="1">
      <c r="A55" s="2881">
        <v>8</v>
      </c>
      <c r="B55" s="2882">
        <v>209</v>
      </c>
      <c r="C55" s="2883">
        <v>0.1</v>
      </c>
      <c r="D55" s="2869" t="s">
        <v>213</v>
      </c>
      <c r="E55" s="4387">
        <f>SUMIF('11.3. ДА Базова година'!$B$12:$B$39,$B55,'11.3. ДА Базова година'!F$12:F$39)+SUMIF('11.3. ДА Базова година'!$B$92:$B$110,$B55,'11.3. ДА Базова година'!F$92:F$110)</f>
        <v>0</v>
      </c>
      <c r="F55" s="404"/>
      <c r="G55" s="402">
        <v>2</v>
      </c>
      <c r="H55" s="402"/>
      <c r="I55" s="402"/>
      <c r="J55" s="402"/>
      <c r="K55" s="264"/>
      <c r="L55" s="4387">
        <f>SUMIF('11.3. ДА Базова година'!$B$12:$B$39,$B55,'11.3. ДА Базова година'!J$12:J$39)+SUMIF('11.3. ДА Базова година'!$B$92:$B$110,$B55,'11.3. ДА Базова година'!J$92:J$110)</f>
        <v>0</v>
      </c>
      <c r="M55" s="404"/>
      <c r="N55" s="402"/>
      <c r="O55" s="402"/>
      <c r="P55" s="402"/>
      <c r="Q55" s="402"/>
      <c r="R55" s="264"/>
      <c r="S55" s="4387">
        <f>SUMIF('11.3. ДА Базова година'!$B$12:$B$39,$B55,'11.3. ДА Базова година'!N$12:N$39)+SUMIF('11.3. ДА Базова година'!$B$92:$B$110,$B55,'11.3. ДА Базова година'!N$92:N$110)</f>
        <v>0</v>
      </c>
      <c r="T55" s="404"/>
      <c r="U55" s="402"/>
      <c r="V55" s="402"/>
      <c r="W55" s="402"/>
      <c r="X55" s="402"/>
      <c r="Y55" s="403"/>
      <c r="Z55" s="4387">
        <f>SUMIF('11.3. ДА Базова година'!$B$12:$B$39,$B55,'11.3. ДА Базова година'!R$12:R$39)+SUMIF('11.3. ДА Базова година'!$B$92:$B$110,$B55,'11.3. ДА Базова година'!R$92:R$110)</f>
        <v>0</v>
      </c>
      <c r="AA55" s="404"/>
      <c r="AB55" s="402"/>
      <c r="AC55" s="402"/>
      <c r="AD55" s="402"/>
      <c r="AE55" s="402"/>
      <c r="AF55" s="403"/>
      <c r="AG55" s="4387">
        <f>SUMIF('11.3. ДА Базова година'!$B$12:$B$39,$B55,'11.3. ДА Базова година'!V$12:V$39)+SUMIF('11.3. ДА Базова година'!$B$92:$B$110,$B55,'11.3. ДА Базова година'!V$92:V$110)</f>
        <v>0</v>
      </c>
      <c r="AH55" s="404"/>
      <c r="AI55" s="402"/>
      <c r="AJ55" s="402"/>
      <c r="AK55" s="402"/>
      <c r="AL55" s="402"/>
      <c r="AM55" s="264"/>
      <c r="AN55" s="4066"/>
      <c r="AO55" s="2988"/>
      <c r="AP55" s="2989"/>
      <c r="AQ55" s="2989"/>
      <c r="AR55" s="2989"/>
      <c r="AS55" s="2989"/>
      <c r="AT55" s="2990"/>
      <c r="AU55" s="4422"/>
      <c r="AV55" s="4438">
        <f t="shared" si="40"/>
        <v>0</v>
      </c>
      <c r="AW55" s="4438">
        <f t="shared" si="41"/>
        <v>0</v>
      </c>
      <c r="AX55" s="4438">
        <f t="shared" si="42"/>
        <v>1.022583762392437</v>
      </c>
      <c r="AY55" s="4438">
        <f t="shared" si="43"/>
        <v>0</v>
      </c>
      <c r="AZ55" s="4438">
        <f t="shared" si="44"/>
        <v>0</v>
      </c>
      <c r="BA55" s="4438">
        <f t="shared" si="45"/>
        <v>0</v>
      </c>
      <c r="BB55" s="4438">
        <f t="shared" si="46"/>
        <v>0</v>
      </c>
      <c r="BC55" s="4438">
        <f t="shared" si="47"/>
        <v>0</v>
      </c>
      <c r="BD55" s="4438">
        <f t="shared" si="48"/>
        <v>0</v>
      </c>
      <c r="BE55" s="4438">
        <f t="shared" si="49"/>
        <v>0</v>
      </c>
      <c r="BF55" s="4438">
        <f t="shared" si="50"/>
        <v>0</v>
      </c>
      <c r="BG55" s="4438">
        <f t="shared" si="51"/>
        <v>0</v>
      </c>
      <c r="BH55" s="4438">
        <f t="shared" si="52"/>
        <v>0</v>
      </c>
      <c r="BI55" s="4438">
        <f t="shared" si="53"/>
        <v>0</v>
      </c>
      <c r="BJ55" s="4438">
        <f t="shared" si="54"/>
        <v>0</v>
      </c>
      <c r="BK55" s="4438">
        <f t="shared" si="55"/>
        <v>0</v>
      </c>
      <c r="BL55" s="4438">
        <f t="shared" si="56"/>
        <v>0</v>
      </c>
      <c r="BM55" s="4438">
        <f t="shared" si="57"/>
        <v>0</v>
      </c>
      <c r="BN55" s="4438">
        <f t="shared" si="58"/>
        <v>0</v>
      </c>
      <c r="BO55" s="4438">
        <f t="shared" si="59"/>
        <v>0</v>
      </c>
      <c r="BP55" s="4438">
        <f t="shared" si="60"/>
        <v>0</v>
      </c>
      <c r="BQ55" s="4438">
        <f t="shared" si="61"/>
        <v>0</v>
      </c>
      <c r="BR55" s="4438">
        <f t="shared" si="62"/>
        <v>0</v>
      </c>
      <c r="BS55" s="4438">
        <f t="shared" si="63"/>
        <v>0</v>
      </c>
      <c r="BT55" s="4438">
        <f t="shared" si="64"/>
        <v>0</v>
      </c>
      <c r="BU55" s="4438">
        <f t="shared" si="65"/>
        <v>0</v>
      </c>
      <c r="BV55" s="4438">
        <f t="shared" si="66"/>
        <v>0</v>
      </c>
      <c r="BW55" s="4438">
        <f t="shared" si="67"/>
        <v>0</v>
      </c>
      <c r="BX55" s="4438">
        <f t="shared" si="68"/>
        <v>0</v>
      </c>
      <c r="BY55" s="4438">
        <f t="shared" si="69"/>
        <v>0</v>
      </c>
      <c r="BZ55" s="4438">
        <f t="shared" si="70"/>
        <v>0</v>
      </c>
      <c r="CA55" s="4438">
        <f t="shared" si="71"/>
        <v>0</v>
      </c>
      <c r="CB55" s="4438">
        <f t="shared" si="72"/>
        <v>0</v>
      </c>
      <c r="CC55" s="4438">
        <f t="shared" si="73"/>
        <v>0</v>
      </c>
      <c r="CD55" s="4438">
        <f t="shared" si="74"/>
        <v>0</v>
      </c>
    </row>
    <row r="56" spans="1:82" s="40" customFormat="1">
      <c r="A56" s="2881">
        <v>9</v>
      </c>
      <c r="B56" s="2882">
        <v>212</v>
      </c>
      <c r="C56" s="2883">
        <v>0.2</v>
      </c>
      <c r="D56" s="2884" t="s">
        <v>214</v>
      </c>
      <c r="E56" s="4387">
        <f>SUMIF('11.3. ДА Базова година'!$B$12:$B$39,$B56,'11.3. ДА Базова година'!F$12:F$39)+SUMIF('11.3. ДА Базова година'!$B$92:$B$110,$B56,'11.3. ДА Базова година'!F$92:F$110)</f>
        <v>4</v>
      </c>
      <c r="F56" s="404">
        <v>6</v>
      </c>
      <c r="G56" s="402">
        <v>6</v>
      </c>
      <c r="H56" s="402"/>
      <c r="I56" s="402"/>
      <c r="J56" s="402">
        <v>10</v>
      </c>
      <c r="K56" s="264"/>
      <c r="L56" s="4387">
        <f>SUMIF('11.3. ДА Базова година'!$B$12:$B$39,$B56,'11.3. ДА Базова година'!J$12:J$39)+SUMIF('11.3. ДА Базова година'!$B$92:$B$110,$B56,'11.3. ДА Базова година'!J$92:J$110)</f>
        <v>3</v>
      </c>
      <c r="M56" s="404"/>
      <c r="N56" s="402"/>
      <c r="O56" s="402"/>
      <c r="P56" s="402"/>
      <c r="Q56" s="402"/>
      <c r="R56" s="264"/>
      <c r="S56" s="4387">
        <f>SUMIF('11.3. ДА Базова година'!$B$12:$B$39,$B56,'11.3. ДА Базова година'!N$12:N$39)+SUMIF('11.3. ДА Базова година'!$B$92:$B$110,$B56,'11.3. ДА Базова година'!N$92:N$110)</f>
        <v>6</v>
      </c>
      <c r="T56" s="404"/>
      <c r="U56" s="402"/>
      <c r="V56" s="402"/>
      <c r="W56" s="402"/>
      <c r="X56" s="402"/>
      <c r="Y56" s="403"/>
      <c r="Z56" s="4387">
        <f>SUMIF('11.3. ДА Базова година'!$B$12:$B$39,$B56,'11.3. ДА Базова година'!R$12:R$39)+SUMIF('11.3. ДА Базова година'!$B$92:$B$110,$B56,'11.3. ДА Базова година'!R$92:R$110)</f>
        <v>0</v>
      </c>
      <c r="AA56" s="404"/>
      <c r="AB56" s="402"/>
      <c r="AC56" s="402"/>
      <c r="AD56" s="402"/>
      <c r="AE56" s="402"/>
      <c r="AF56" s="403"/>
      <c r="AG56" s="4387">
        <f>SUMIF('11.3. ДА Базова година'!$B$12:$B$39,$B56,'11.3. ДА Базова година'!V$12:V$39)+SUMIF('11.3. ДА Базова година'!$B$92:$B$110,$B56,'11.3. ДА Базова година'!V$92:V$110)</f>
        <v>0</v>
      </c>
      <c r="AH56" s="404"/>
      <c r="AI56" s="402"/>
      <c r="AJ56" s="402"/>
      <c r="AK56" s="402"/>
      <c r="AL56" s="402"/>
      <c r="AM56" s="264"/>
      <c r="AN56" s="4066"/>
      <c r="AO56" s="2988"/>
      <c r="AP56" s="2989"/>
      <c r="AQ56" s="2989"/>
      <c r="AR56" s="2989"/>
      <c r="AS56" s="2989"/>
      <c r="AT56" s="2990"/>
      <c r="AU56" s="4422"/>
      <c r="AV56" s="4438">
        <f t="shared" si="40"/>
        <v>2.045167524784874</v>
      </c>
      <c r="AW56" s="4438">
        <f t="shared" si="41"/>
        <v>3.0677512871773112</v>
      </c>
      <c r="AX56" s="4438">
        <f t="shared" si="42"/>
        <v>3.0677512871773112</v>
      </c>
      <c r="AY56" s="4438">
        <f t="shared" si="43"/>
        <v>0</v>
      </c>
      <c r="AZ56" s="4438">
        <f t="shared" si="44"/>
        <v>0</v>
      </c>
      <c r="BA56" s="4438">
        <f t="shared" si="45"/>
        <v>5.1129188119621851</v>
      </c>
      <c r="BB56" s="4438">
        <f t="shared" si="46"/>
        <v>0</v>
      </c>
      <c r="BC56" s="4438">
        <f t="shared" si="47"/>
        <v>1.5338756435886556</v>
      </c>
      <c r="BD56" s="4438">
        <f t="shared" si="48"/>
        <v>0</v>
      </c>
      <c r="BE56" s="4438">
        <f t="shared" si="49"/>
        <v>0</v>
      </c>
      <c r="BF56" s="4438">
        <f t="shared" si="50"/>
        <v>0</v>
      </c>
      <c r="BG56" s="4438">
        <f t="shared" si="51"/>
        <v>0</v>
      </c>
      <c r="BH56" s="4438">
        <f t="shared" si="52"/>
        <v>0</v>
      </c>
      <c r="BI56" s="4438">
        <f t="shared" si="53"/>
        <v>0</v>
      </c>
      <c r="BJ56" s="4438">
        <f t="shared" si="54"/>
        <v>3.0677512871773112</v>
      </c>
      <c r="BK56" s="4438">
        <f t="shared" si="55"/>
        <v>0</v>
      </c>
      <c r="BL56" s="4438">
        <f t="shared" si="56"/>
        <v>0</v>
      </c>
      <c r="BM56" s="4438">
        <f t="shared" si="57"/>
        <v>0</v>
      </c>
      <c r="BN56" s="4438">
        <f t="shared" si="58"/>
        <v>0</v>
      </c>
      <c r="BO56" s="4438">
        <f t="shared" si="59"/>
        <v>0</v>
      </c>
      <c r="BP56" s="4438">
        <f t="shared" si="60"/>
        <v>0</v>
      </c>
      <c r="BQ56" s="4438">
        <f t="shared" si="61"/>
        <v>0</v>
      </c>
      <c r="BR56" s="4438">
        <f t="shared" si="62"/>
        <v>0</v>
      </c>
      <c r="BS56" s="4438">
        <f t="shared" si="63"/>
        <v>0</v>
      </c>
      <c r="BT56" s="4438">
        <f t="shared" si="64"/>
        <v>0</v>
      </c>
      <c r="BU56" s="4438">
        <f t="shared" si="65"/>
        <v>0</v>
      </c>
      <c r="BV56" s="4438">
        <f t="shared" si="66"/>
        <v>0</v>
      </c>
      <c r="BW56" s="4438">
        <f t="shared" si="67"/>
        <v>0</v>
      </c>
      <c r="BX56" s="4438">
        <f t="shared" si="68"/>
        <v>0</v>
      </c>
      <c r="BY56" s="4438">
        <f t="shared" si="69"/>
        <v>0</v>
      </c>
      <c r="BZ56" s="4438">
        <f t="shared" si="70"/>
        <v>0</v>
      </c>
      <c r="CA56" s="4438">
        <f t="shared" si="71"/>
        <v>0</v>
      </c>
      <c r="CB56" s="4438">
        <f t="shared" si="72"/>
        <v>0</v>
      </c>
      <c r="CC56" s="4438">
        <f t="shared" si="73"/>
        <v>0</v>
      </c>
      <c r="CD56" s="4438">
        <f t="shared" si="74"/>
        <v>0</v>
      </c>
    </row>
    <row r="57" spans="1:82" s="40" customFormat="1">
      <c r="A57" s="2881">
        <v>10</v>
      </c>
      <c r="B57" s="2882">
        <v>213</v>
      </c>
      <c r="C57" s="2883">
        <v>0.2</v>
      </c>
      <c r="D57" s="2857" t="s">
        <v>215</v>
      </c>
      <c r="E57" s="4387">
        <f>SUMIF('11.3. ДА Базова година'!$B$12:$B$39,$B57,'11.3. ДА Базова година'!F$12:F$39)+SUMIF('11.3. ДА Базова година'!$B$92:$B$110,$B57,'11.3. ДА Базова година'!F$92:F$110)</f>
        <v>0</v>
      </c>
      <c r="F57" s="404"/>
      <c r="G57" s="402"/>
      <c r="H57" s="402"/>
      <c r="I57" s="402"/>
      <c r="J57" s="402"/>
      <c r="K57" s="264"/>
      <c r="L57" s="4387">
        <f>SUMIF('11.3. ДА Базова година'!$B$12:$B$39,$B57,'11.3. ДА Базова година'!J$12:J$39)+SUMIF('11.3. ДА Базова година'!$B$92:$B$110,$B57,'11.3. ДА Базова година'!J$92:J$110)</f>
        <v>0</v>
      </c>
      <c r="M57" s="404"/>
      <c r="N57" s="402"/>
      <c r="O57" s="402"/>
      <c r="P57" s="402"/>
      <c r="Q57" s="402"/>
      <c r="R57" s="264"/>
      <c r="S57" s="4387">
        <f>SUMIF('11.3. ДА Базова година'!$B$12:$B$39,$B57,'11.3. ДА Базова година'!N$12:N$39)+SUMIF('11.3. ДА Базова година'!$B$92:$B$110,$B57,'11.3. ДА Базова година'!N$92:N$110)</f>
        <v>0</v>
      </c>
      <c r="T57" s="404"/>
      <c r="U57" s="402"/>
      <c r="V57" s="402"/>
      <c r="W57" s="402"/>
      <c r="X57" s="402"/>
      <c r="Y57" s="403"/>
      <c r="Z57" s="4387">
        <f>SUMIF('11.3. ДА Базова година'!$B$12:$B$39,$B57,'11.3. ДА Базова година'!R$12:R$39)+SUMIF('11.3. ДА Базова година'!$B$92:$B$110,$B57,'11.3. ДА Базова година'!R$92:R$110)</f>
        <v>0</v>
      </c>
      <c r="AA57" s="404"/>
      <c r="AB57" s="402"/>
      <c r="AC57" s="402"/>
      <c r="AD57" s="402"/>
      <c r="AE57" s="402"/>
      <c r="AF57" s="403"/>
      <c r="AG57" s="4387">
        <f>SUMIF('11.3. ДА Базова година'!$B$12:$B$39,$B57,'11.3. ДА Базова година'!V$12:V$39)+SUMIF('11.3. ДА Базова година'!$B$92:$B$110,$B57,'11.3. ДА Базова година'!V$92:V$110)</f>
        <v>0</v>
      </c>
      <c r="AH57" s="404"/>
      <c r="AI57" s="402"/>
      <c r="AJ57" s="402"/>
      <c r="AK57" s="402"/>
      <c r="AL57" s="402"/>
      <c r="AM57" s="264"/>
      <c r="AN57" s="4066"/>
      <c r="AO57" s="2988"/>
      <c r="AP57" s="2989"/>
      <c r="AQ57" s="2989"/>
      <c r="AR57" s="2989"/>
      <c r="AS57" s="2989"/>
      <c r="AT57" s="2990"/>
      <c r="AU57" s="4422"/>
      <c r="AV57" s="4438">
        <f t="shared" si="40"/>
        <v>0</v>
      </c>
      <c r="AW57" s="4438">
        <f t="shared" si="41"/>
        <v>0</v>
      </c>
      <c r="AX57" s="4438">
        <f t="shared" si="42"/>
        <v>0</v>
      </c>
      <c r="AY57" s="4438">
        <f t="shared" si="43"/>
        <v>0</v>
      </c>
      <c r="AZ57" s="4438">
        <f t="shared" si="44"/>
        <v>0</v>
      </c>
      <c r="BA57" s="4438">
        <f t="shared" si="45"/>
        <v>0</v>
      </c>
      <c r="BB57" s="4438">
        <f t="shared" si="46"/>
        <v>0</v>
      </c>
      <c r="BC57" s="4438">
        <f t="shared" si="47"/>
        <v>0</v>
      </c>
      <c r="BD57" s="4438">
        <f t="shared" si="48"/>
        <v>0</v>
      </c>
      <c r="BE57" s="4438">
        <f t="shared" si="49"/>
        <v>0</v>
      </c>
      <c r="BF57" s="4438">
        <f t="shared" si="50"/>
        <v>0</v>
      </c>
      <c r="BG57" s="4438">
        <f t="shared" si="51"/>
        <v>0</v>
      </c>
      <c r="BH57" s="4438">
        <f t="shared" si="52"/>
        <v>0</v>
      </c>
      <c r="BI57" s="4438">
        <f t="shared" si="53"/>
        <v>0</v>
      </c>
      <c r="BJ57" s="4438">
        <f t="shared" si="54"/>
        <v>0</v>
      </c>
      <c r="BK57" s="4438">
        <f t="shared" si="55"/>
        <v>0</v>
      </c>
      <c r="BL57" s="4438">
        <f t="shared" si="56"/>
        <v>0</v>
      </c>
      <c r="BM57" s="4438">
        <f t="shared" si="57"/>
        <v>0</v>
      </c>
      <c r="BN57" s="4438">
        <f t="shared" si="58"/>
        <v>0</v>
      </c>
      <c r="BO57" s="4438">
        <f t="shared" si="59"/>
        <v>0</v>
      </c>
      <c r="BP57" s="4438">
        <f t="shared" si="60"/>
        <v>0</v>
      </c>
      <c r="BQ57" s="4438">
        <f t="shared" si="61"/>
        <v>0</v>
      </c>
      <c r="BR57" s="4438">
        <f t="shared" si="62"/>
        <v>0</v>
      </c>
      <c r="BS57" s="4438">
        <f t="shared" si="63"/>
        <v>0</v>
      </c>
      <c r="BT57" s="4438">
        <f t="shared" si="64"/>
        <v>0</v>
      </c>
      <c r="BU57" s="4438">
        <f t="shared" si="65"/>
        <v>0</v>
      </c>
      <c r="BV57" s="4438">
        <f t="shared" si="66"/>
        <v>0</v>
      </c>
      <c r="BW57" s="4438">
        <f t="shared" si="67"/>
        <v>0</v>
      </c>
      <c r="BX57" s="4438">
        <f t="shared" si="68"/>
        <v>0</v>
      </c>
      <c r="BY57" s="4438">
        <f t="shared" si="69"/>
        <v>0</v>
      </c>
      <c r="BZ57" s="4438">
        <f t="shared" si="70"/>
        <v>0</v>
      </c>
      <c r="CA57" s="4438">
        <f t="shared" si="71"/>
        <v>0</v>
      </c>
      <c r="CB57" s="4438">
        <f t="shared" si="72"/>
        <v>0</v>
      </c>
      <c r="CC57" s="4438">
        <f t="shared" si="73"/>
        <v>0</v>
      </c>
      <c r="CD57" s="4438">
        <f t="shared" si="74"/>
        <v>0</v>
      </c>
    </row>
    <row r="58" spans="1:82" s="40" customFormat="1" ht="25.5">
      <c r="A58" s="2881">
        <v>11</v>
      </c>
      <c r="B58" s="2882">
        <v>215</v>
      </c>
      <c r="C58" s="2883">
        <v>0.2</v>
      </c>
      <c r="D58" s="2857" t="s">
        <v>679</v>
      </c>
      <c r="E58" s="4387">
        <f>SUMIF('11.3. ДА Базова година'!$B$12:$B$39,$B58,'11.3. ДА Базова година'!F$12:F$39)+SUMIF('11.3. ДА Базова година'!$B$92:$B$110,$B58,'11.3. ДА Базова година'!F$92:F$110)</f>
        <v>0</v>
      </c>
      <c r="F58" s="404"/>
      <c r="G58" s="402"/>
      <c r="H58" s="402"/>
      <c r="I58" s="402"/>
      <c r="J58" s="402"/>
      <c r="K58" s="264"/>
      <c r="L58" s="4387">
        <f>SUMIF('11.3. ДА Базова година'!$B$12:$B$39,$B58,'11.3. ДА Базова година'!J$12:J$39)+SUMIF('11.3. ДА Базова година'!$B$92:$B$110,$B58,'11.3. ДА Базова година'!J$92:J$110)</f>
        <v>0</v>
      </c>
      <c r="M58" s="404"/>
      <c r="N58" s="402"/>
      <c r="O58" s="402"/>
      <c r="P58" s="402"/>
      <c r="Q58" s="402"/>
      <c r="R58" s="264"/>
      <c r="S58" s="4387">
        <f>SUMIF('11.3. ДА Базова година'!$B$12:$B$39,$B58,'11.3. ДА Базова година'!N$12:N$39)+SUMIF('11.3. ДА Базова година'!$B$92:$B$110,$B58,'11.3. ДА Базова година'!N$92:N$110)</f>
        <v>0</v>
      </c>
      <c r="T58" s="404"/>
      <c r="U58" s="402"/>
      <c r="V58" s="402"/>
      <c r="W58" s="402"/>
      <c r="X58" s="402"/>
      <c r="Y58" s="403"/>
      <c r="Z58" s="4387">
        <f>SUMIF('11.3. ДА Базова година'!$B$12:$B$39,$B58,'11.3. ДА Базова година'!R$12:R$39)+SUMIF('11.3. ДА Базова година'!$B$92:$B$110,$B58,'11.3. ДА Базова година'!R$92:R$110)</f>
        <v>0</v>
      </c>
      <c r="AA58" s="404"/>
      <c r="AB58" s="402"/>
      <c r="AC58" s="402"/>
      <c r="AD58" s="402"/>
      <c r="AE58" s="402"/>
      <c r="AF58" s="403"/>
      <c r="AG58" s="4387">
        <f>SUMIF('11.3. ДА Базова година'!$B$12:$B$39,$B58,'11.3. ДА Базова година'!V$12:V$39)+SUMIF('11.3. ДА Базова година'!$B$92:$B$110,$B58,'11.3. ДА Базова година'!V$92:V$110)</f>
        <v>0</v>
      </c>
      <c r="AH58" s="404"/>
      <c r="AI58" s="402"/>
      <c r="AJ58" s="402"/>
      <c r="AK58" s="402"/>
      <c r="AL58" s="402"/>
      <c r="AM58" s="264"/>
      <c r="AN58" s="4066"/>
      <c r="AO58" s="2988"/>
      <c r="AP58" s="2989"/>
      <c r="AQ58" s="2989"/>
      <c r="AR58" s="2989"/>
      <c r="AS58" s="2989"/>
      <c r="AT58" s="2990"/>
      <c r="AU58" s="4422"/>
      <c r="AV58" s="4438">
        <f t="shared" si="40"/>
        <v>0</v>
      </c>
      <c r="AW58" s="4438">
        <f t="shared" si="41"/>
        <v>0</v>
      </c>
      <c r="AX58" s="4438">
        <f t="shared" si="42"/>
        <v>0</v>
      </c>
      <c r="AY58" s="4438">
        <f t="shared" si="43"/>
        <v>0</v>
      </c>
      <c r="AZ58" s="4438">
        <f t="shared" si="44"/>
        <v>0</v>
      </c>
      <c r="BA58" s="4438">
        <f t="shared" si="45"/>
        <v>0</v>
      </c>
      <c r="BB58" s="4438">
        <f t="shared" si="46"/>
        <v>0</v>
      </c>
      <c r="BC58" s="4438">
        <f t="shared" si="47"/>
        <v>0</v>
      </c>
      <c r="BD58" s="4438">
        <f t="shared" si="48"/>
        <v>0</v>
      </c>
      <c r="BE58" s="4438">
        <f t="shared" si="49"/>
        <v>0</v>
      </c>
      <c r="BF58" s="4438">
        <f t="shared" si="50"/>
        <v>0</v>
      </c>
      <c r="BG58" s="4438">
        <f t="shared" si="51"/>
        <v>0</v>
      </c>
      <c r="BH58" s="4438">
        <f t="shared" si="52"/>
        <v>0</v>
      </c>
      <c r="BI58" s="4438">
        <f t="shared" si="53"/>
        <v>0</v>
      </c>
      <c r="BJ58" s="4438">
        <f t="shared" si="54"/>
        <v>0</v>
      </c>
      <c r="BK58" s="4438">
        <f t="shared" si="55"/>
        <v>0</v>
      </c>
      <c r="BL58" s="4438">
        <f t="shared" si="56"/>
        <v>0</v>
      </c>
      <c r="BM58" s="4438">
        <f t="shared" si="57"/>
        <v>0</v>
      </c>
      <c r="BN58" s="4438">
        <f t="shared" si="58"/>
        <v>0</v>
      </c>
      <c r="BO58" s="4438">
        <f t="shared" si="59"/>
        <v>0</v>
      </c>
      <c r="BP58" s="4438">
        <f t="shared" si="60"/>
        <v>0</v>
      </c>
      <c r="BQ58" s="4438">
        <f t="shared" si="61"/>
        <v>0</v>
      </c>
      <c r="BR58" s="4438">
        <f t="shared" si="62"/>
        <v>0</v>
      </c>
      <c r="BS58" s="4438">
        <f t="shared" si="63"/>
        <v>0</v>
      </c>
      <c r="BT58" s="4438">
        <f t="shared" si="64"/>
        <v>0</v>
      </c>
      <c r="BU58" s="4438">
        <f t="shared" si="65"/>
        <v>0</v>
      </c>
      <c r="BV58" s="4438">
        <f t="shared" si="66"/>
        <v>0</v>
      </c>
      <c r="BW58" s="4438">
        <f t="shared" si="67"/>
        <v>0</v>
      </c>
      <c r="BX58" s="4438">
        <f t="shared" si="68"/>
        <v>0</v>
      </c>
      <c r="BY58" s="4438">
        <f t="shared" si="69"/>
        <v>0</v>
      </c>
      <c r="BZ58" s="4438">
        <f t="shared" si="70"/>
        <v>0</v>
      </c>
      <c r="CA58" s="4438">
        <f t="shared" si="71"/>
        <v>0</v>
      </c>
      <c r="CB58" s="4438">
        <f t="shared" si="72"/>
        <v>0</v>
      </c>
      <c r="CC58" s="4438">
        <f t="shared" si="73"/>
        <v>0</v>
      </c>
      <c r="CD58" s="4438">
        <f t="shared" si="74"/>
        <v>0</v>
      </c>
    </row>
    <row r="59" spans="1:82" s="40" customFormat="1" ht="13.5" thickBot="1">
      <c r="A59" s="2881">
        <v>12</v>
      </c>
      <c r="B59" s="2885">
        <v>219</v>
      </c>
      <c r="C59" s="2886">
        <v>0.1</v>
      </c>
      <c r="D59" s="2887" t="s">
        <v>216</v>
      </c>
      <c r="E59" s="4388">
        <f>SUMIF('11.3. ДА Базова година'!$B$12:$B$39,$B59,'11.3. ДА Базова година'!F$12:F$39)+SUMIF('11.3. ДА Базова година'!$B$92:$B$110,$B59,'11.3. ДА Базова година'!F$92:F$110)</f>
        <v>0</v>
      </c>
      <c r="F59" s="404"/>
      <c r="G59" s="402"/>
      <c r="H59" s="402"/>
      <c r="I59" s="402"/>
      <c r="J59" s="402"/>
      <c r="K59" s="264"/>
      <c r="L59" s="4388">
        <f>SUMIF('11.3. ДА Базова година'!$B$12:$B$39,$B59,'11.3. ДА Базова година'!J$12:J$39)+SUMIF('11.3. ДА Базова година'!$B$92:$B$110,$B59,'11.3. ДА Базова година'!J$92:J$110)</f>
        <v>0</v>
      </c>
      <c r="M59" s="404"/>
      <c r="N59" s="402"/>
      <c r="O59" s="402"/>
      <c r="P59" s="402"/>
      <c r="Q59" s="402"/>
      <c r="R59" s="264"/>
      <c r="S59" s="4388">
        <f>SUMIF('11.3. ДА Базова година'!$B$12:$B$39,$B59,'11.3. ДА Базова година'!N$12:N$39)+SUMIF('11.3. ДА Базова година'!$B$92:$B$110,$B59,'11.3. ДА Базова година'!N$92:N$110)</f>
        <v>0</v>
      </c>
      <c r="T59" s="404"/>
      <c r="U59" s="402"/>
      <c r="V59" s="402"/>
      <c r="W59" s="402"/>
      <c r="X59" s="402"/>
      <c r="Y59" s="403"/>
      <c r="Z59" s="4388">
        <f>SUMIF('11.3. ДА Базова година'!$B$12:$B$39,$B59,'11.3. ДА Базова година'!R$12:R$39)+SUMIF('11.3. ДА Базова година'!$B$92:$B$110,$B59,'11.3. ДА Базова година'!R$92:R$110)</f>
        <v>0</v>
      </c>
      <c r="AA59" s="404"/>
      <c r="AB59" s="402"/>
      <c r="AC59" s="402"/>
      <c r="AD59" s="402"/>
      <c r="AE59" s="402"/>
      <c r="AF59" s="403"/>
      <c r="AG59" s="4388">
        <f>SUMIF('11.3. ДА Базова година'!$B$12:$B$39,$B59,'11.3. ДА Базова година'!V$12:V$39)+SUMIF('11.3. ДА Базова година'!$B$92:$B$110,$B59,'11.3. ДА Базова година'!V$92:V$110)</f>
        <v>0</v>
      </c>
      <c r="AH59" s="404"/>
      <c r="AI59" s="402"/>
      <c r="AJ59" s="402"/>
      <c r="AK59" s="402"/>
      <c r="AL59" s="402"/>
      <c r="AM59" s="264"/>
      <c r="AN59" s="4070"/>
      <c r="AO59" s="2991"/>
      <c r="AP59" s="2992"/>
      <c r="AQ59" s="2992"/>
      <c r="AR59" s="2992"/>
      <c r="AS59" s="2992"/>
      <c r="AT59" s="2993"/>
      <c r="AU59" s="4422"/>
      <c r="AV59" s="4438">
        <f t="shared" si="40"/>
        <v>0</v>
      </c>
      <c r="AW59" s="4438">
        <f t="shared" si="41"/>
        <v>0</v>
      </c>
      <c r="AX59" s="4438">
        <f t="shared" si="42"/>
        <v>0</v>
      </c>
      <c r="AY59" s="4438">
        <f t="shared" si="43"/>
        <v>0</v>
      </c>
      <c r="AZ59" s="4438">
        <f t="shared" si="44"/>
        <v>0</v>
      </c>
      <c r="BA59" s="4438">
        <f t="shared" si="45"/>
        <v>0</v>
      </c>
      <c r="BB59" s="4438">
        <f t="shared" si="46"/>
        <v>0</v>
      </c>
      <c r="BC59" s="4438">
        <f t="shared" si="47"/>
        <v>0</v>
      </c>
      <c r="BD59" s="4438">
        <f t="shared" si="48"/>
        <v>0</v>
      </c>
      <c r="BE59" s="4438">
        <f t="shared" si="49"/>
        <v>0</v>
      </c>
      <c r="BF59" s="4438">
        <f t="shared" si="50"/>
        <v>0</v>
      </c>
      <c r="BG59" s="4438">
        <f t="shared" si="51"/>
        <v>0</v>
      </c>
      <c r="BH59" s="4438">
        <f t="shared" si="52"/>
        <v>0</v>
      </c>
      <c r="BI59" s="4438">
        <f t="shared" si="53"/>
        <v>0</v>
      </c>
      <c r="BJ59" s="4438">
        <f t="shared" si="54"/>
        <v>0</v>
      </c>
      <c r="BK59" s="4438">
        <f t="shared" si="55"/>
        <v>0</v>
      </c>
      <c r="BL59" s="4438">
        <f t="shared" si="56"/>
        <v>0</v>
      </c>
      <c r="BM59" s="4438">
        <f t="shared" si="57"/>
        <v>0</v>
      </c>
      <c r="BN59" s="4438">
        <f t="shared" si="58"/>
        <v>0</v>
      </c>
      <c r="BO59" s="4438">
        <f t="shared" si="59"/>
        <v>0</v>
      </c>
      <c r="BP59" s="4438">
        <f t="shared" si="60"/>
        <v>0</v>
      </c>
      <c r="BQ59" s="4438">
        <f t="shared" si="61"/>
        <v>0</v>
      </c>
      <c r="BR59" s="4438">
        <f t="shared" si="62"/>
        <v>0</v>
      </c>
      <c r="BS59" s="4438">
        <f t="shared" si="63"/>
        <v>0</v>
      </c>
      <c r="BT59" s="4438">
        <f t="shared" si="64"/>
        <v>0</v>
      </c>
      <c r="BU59" s="4438">
        <f t="shared" si="65"/>
        <v>0</v>
      </c>
      <c r="BV59" s="4438">
        <f t="shared" si="66"/>
        <v>0</v>
      </c>
      <c r="BW59" s="4438">
        <f t="shared" si="67"/>
        <v>0</v>
      </c>
      <c r="BX59" s="4438">
        <f t="shared" si="68"/>
        <v>0</v>
      </c>
      <c r="BY59" s="4438">
        <f t="shared" si="69"/>
        <v>0</v>
      </c>
      <c r="BZ59" s="4438">
        <f t="shared" si="70"/>
        <v>0</v>
      </c>
      <c r="CA59" s="4438">
        <f t="shared" si="71"/>
        <v>0</v>
      </c>
      <c r="CB59" s="4438">
        <f t="shared" si="72"/>
        <v>0</v>
      </c>
      <c r="CC59" s="4438">
        <f t="shared" si="73"/>
        <v>0</v>
      </c>
      <c r="CD59" s="4438">
        <f t="shared" si="74"/>
        <v>0</v>
      </c>
    </row>
    <row r="60" spans="1:82" s="658" customFormat="1" ht="15" thickBot="1">
      <c r="A60" s="2888" t="s">
        <v>206</v>
      </c>
      <c r="B60" s="2889"/>
      <c r="C60" s="2889"/>
      <c r="D60" s="2890" t="s">
        <v>218</v>
      </c>
      <c r="E60" s="2891">
        <f t="shared" ref="E60:AT60" si="100">E61+E64+E67+E79+E94+E99+SUM(E103:E108)</f>
        <v>90.065000000000012</v>
      </c>
      <c r="F60" s="2891">
        <f t="shared" si="100"/>
        <v>166.53</v>
      </c>
      <c r="G60" s="2828">
        <f t="shared" si="100"/>
        <v>157.36999999999998</v>
      </c>
      <c r="H60" s="2828">
        <f t="shared" si="100"/>
        <v>130.47</v>
      </c>
      <c r="I60" s="2828">
        <f t="shared" si="100"/>
        <v>107.71000000000005</v>
      </c>
      <c r="J60" s="2828">
        <f t="shared" si="100"/>
        <v>78.270000000000024</v>
      </c>
      <c r="K60" s="2829">
        <f t="shared" si="100"/>
        <v>41.850000000000023</v>
      </c>
      <c r="L60" s="2891">
        <f t="shared" ref="L60" si="101">L61+L64+L67+L79+L94+L99+SUM(L103:L108)</f>
        <v>5.1800000000000006</v>
      </c>
      <c r="M60" s="2892">
        <f t="shared" si="100"/>
        <v>10.360000000000001</v>
      </c>
      <c r="N60" s="2828">
        <f t="shared" si="100"/>
        <v>10.360000000000001</v>
      </c>
      <c r="O60" s="2828">
        <f t="shared" si="100"/>
        <v>10.260000000000002</v>
      </c>
      <c r="P60" s="2828">
        <f t="shared" si="100"/>
        <v>-59.019999999999996</v>
      </c>
      <c r="Q60" s="2828">
        <f t="shared" si="100"/>
        <v>-59.86</v>
      </c>
      <c r="R60" s="2831">
        <f t="shared" si="100"/>
        <v>-62.879999999999988</v>
      </c>
      <c r="S60" s="2830">
        <f t="shared" ref="S60" si="102">S61+S64+S67+S79+S94+S99+SUM(S103:S108)</f>
        <v>10.950000000000001</v>
      </c>
      <c r="T60" s="2827">
        <f t="shared" si="100"/>
        <v>21.700000000000003</v>
      </c>
      <c r="U60" s="2828">
        <f t="shared" si="100"/>
        <v>21.700000000000003</v>
      </c>
      <c r="V60" s="2828">
        <f t="shared" si="100"/>
        <v>21.700000000000003</v>
      </c>
      <c r="W60" s="2828">
        <f t="shared" si="100"/>
        <v>21.6</v>
      </c>
      <c r="X60" s="2828">
        <f t="shared" si="100"/>
        <v>20.900000000000006</v>
      </c>
      <c r="Y60" s="2831">
        <f t="shared" si="100"/>
        <v>20.900000000000006</v>
      </c>
      <c r="Z60" s="2830">
        <f t="shared" si="100"/>
        <v>0</v>
      </c>
      <c r="AA60" s="2827">
        <f t="shared" ref="AA60:AF60" si="103">AA61+AA64+AA67+AA79+AA94+AA99+SUM(AA103:AA108)</f>
        <v>0</v>
      </c>
      <c r="AB60" s="2828">
        <f t="shared" si="103"/>
        <v>0</v>
      </c>
      <c r="AC60" s="2828">
        <f t="shared" si="103"/>
        <v>0</v>
      </c>
      <c r="AD60" s="2828">
        <f t="shared" si="103"/>
        <v>0</v>
      </c>
      <c r="AE60" s="2828">
        <f t="shared" si="103"/>
        <v>0</v>
      </c>
      <c r="AF60" s="2831">
        <f t="shared" si="103"/>
        <v>0</v>
      </c>
      <c r="AG60" s="2830">
        <f t="shared" ref="AG60" si="104">AG61+AG64+AG67+AG79+AG94+AG99+SUM(AG103:AG108)</f>
        <v>0</v>
      </c>
      <c r="AH60" s="2827">
        <f t="shared" ref="AH60:AM60" si="105">AH61+AH64+AH67+AH79+AH94+AH99+SUM(AH103:AH108)</f>
        <v>0</v>
      </c>
      <c r="AI60" s="2828">
        <f t="shared" si="105"/>
        <v>0</v>
      </c>
      <c r="AJ60" s="2828">
        <f t="shared" si="105"/>
        <v>0</v>
      </c>
      <c r="AK60" s="2828">
        <f t="shared" si="105"/>
        <v>0</v>
      </c>
      <c r="AL60" s="2828">
        <f t="shared" si="105"/>
        <v>0</v>
      </c>
      <c r="AM60" s="2831">
        <f t="shared" si="105"/>
        <v>0</v>
      </c>
      <c r="AN60" s="4064">
        <f t="shared" si="100"/>
        <v>0</v>
      </c>
      <c r="AO60" s="2827">
        <f t="shared" si="100"/>
        <v>0</v>
      </c>
      <c r="AP60" s="2828">
        <f t="shared" si="100"/>
        <v>0</v>
      </c>
      <c r="AQ60" s="2828">
        <f t="shared" si="100"/>
        <v>0</v>
      </c>
      <c r="AR60" s="2828">
        <f t="shared" si="100"/>
        <v>0</v>
      </c>
      <c r="AS60" s="2828">
        <f t="shared" si="100"/>
        <v>0</v>
      </c>
      <c r="AT60" s="2831">
        <f t="shared" si="100"/>
        <v>0</v>
      </c>
      <c r="AU60" s="4422"/>
      <c r="AV60" s="4438">
        <f t="shared" si="40"/>
        <v>46.049503279937426</v>
      </c>
      <c r="AW60" s="4438">
        <f t="shared" si="41"/>
        <v>85.145436975606273</v>
      </c>
      <c r="AX60" s="4438">
        <f t="shared" si="42"/>
        <v>80.462003343848892</v>
      </c>
      <c r="AY60" s="4438">
        <f t="shared" si="43"/>
        <v>66.708251739670629</v>
      </c>
      <c r="AZ60" s="4438">
        <f t="shared" si="44"/>
        <v>55.071248523644719</v>
      </c>
      <c r="BA60" s="4438">
        <f t="shared" si="45"/>
        <v>40.018815541228037</v>
      </c>
      <c r="BB60" s="4438">
        <f t="shared" si="46"/>
        <v>21.397565228061755</v>
      </c>
      <c r="BC60" s="4438">
        <f t="shared" si="47"/>
        <v>2.6484919445964121</v>
      </c>
      <c r="BD60" s="4438">
        <f t="shared" si="48"/>
        <v>5.2969838891928243</v>
      </c>
      <c r="BE60" s="4438">
        <f t="shared" si="49"/>
        <v>5.2969838891928243</v>
      </c>
      <c r="BF60" s="4438">
        <f t="shared" si="50"/>
        <v>5.2458547010732026</v>
      </c>
      <c r="BG60" s="4438">
        <f t="shared" si="51"/>
        <v>-30.176446828200813</v>
      </c>
      <c r="BH60" s="4438">
        <f t="shared" si="52"/>
        <v>-30.605932008405638</v>
      </c>
      <c r="BI60" s="4438">
        <f t="shared" si="53"/>
        <v>-32.15003348961821</v>
      </c>
      <c r="BJ60" s="4438">
        <f t="shared" si="54"/>
        <v>5.5986460990985929</v>
      </c>
      <c r="BK60" s="4438">
        <f t="shared" si="55"/>
        <v>11.095033821957943</v>
      </c>
      <c r="BL60" s="4438">
        <f t="shared" si="56"/>
        <v>11.095033821957943</v>
      </c>
      <c r="BM60" s="4438">
        <f t="shared" si="57"/>
        <v>11.095033821957943</v>
      </c>
      <c r="BN60" s="4438">
        <f t="shared" si="58"/>
        <v>11.04390463383832</v>
      </c>
      <c r="BO60" s="4438">
        <f t="shared" si="59"/>
        <v>10.686000317000969</v>
      </c>
      <c r="BP60" s="4438">
        <f t="shared" si="60"/>
        <v>10.686000317000969</v>
      </c>
      <c r="BQ60" s="4438">
        <f t="shared" si="61"/>
        <v>0</v>
      </c>
      <c r="BR60" s="4438">
        <f t="shared" si="62"/>
        <v>0</v>
      </c>
      <c r="BS60" s="4438">
        <f t="shared" si="63"/>
        <v>0</v>
      </c>
      <c r="BT60" s="4438">
        <f t="shared" si="64"/>
        <v>0</v>
      </c>
      <c r="BU60" s="4438">
        <f t="shared" si="65"/>
        <v>0</v>
      </c>
      <c r="BV60" s="4438">
        <f t="shared" si="66"/>
        <v>0</v>
      </c>
      <c r="BW60" s="4438">
        <f t="shared" si="67"/>
        <v>0</v>
      </c>
      <c r="BX60" s="4438">
        <f t="shared" si="68"/>
        <v>0</v>
      </c>
      <c r="BY60" s="4438">
        <f t="shared" si="69"/>
        <v>0</v>
      </c>
      <c r="BZ60" s="4438">
        <f t="shared" si="70"/>
        <v>0</v>
      </c>
      <c r="CA60" s="4438">
        <f t="shared" si="71"/>
        <v>0</v>
      </c>
      <c r="CB60" s="4438">
        <f t="shared" si="72"/>
        <v>0</v>
      </c>
      <c r="CC60" s="4438">
        <f t="shared" si="73"/>
        <v>0</v>
      </c>
      <c r="CD60" s="4438">
        <f t="shared" si="74"/>
        <v>0</v>
      </c>
    </row>
    <row r="61" spans="1:82" s="40" customFormat="1">
      <c r="A61" s="2832">
        <v>1</v>
      </c>
      <c r="B61" s="2832">
        <v>201</v>
      </c>
      <c r="C61" s="2833">
        <v>0</v>
      </c>
      <c r="D61" s="2893" t="s">
        <v>217</v>
      </c>
      <c r="E61" s="4166">
        <f>SUM(E62:E63)</f>
        <v>0</v>
      </c>
      <c r="F61" s="2894">
        <f>SUM(F62:F63)</f>
        <v>0</v>
      </c>
      <c r="G61" s="2895">
        <f t="shared" ref="G61:J61" si="106">SUM(G62:G63)</f>
        <v>0</v>
      </c>
      <c r="H61" s="2895">
        <f t="shared" si="106"/>
        <v>0</v>
      </c>
      <c r="I61" s="2895">
        <f t="shared" si="106"/>
        <v>0</v>
      </c>
      <c r="J61" s="2895">
        <f t="shared" si="106"/>
        <v>0</v>
      </c>
      <c r="K61" s="2896">
        <f>SUM(K62:K63)</f>
        <v>0</v>
      </c>
      <c r="L61" s="4166">
        <f>SUM(L62:L63)</f>
        <v>0</v>
      </c>
      <c r="M61" s="2897">
        <f>SUM(M62:M63)</f>
        <v>0</v>
      </c>
      <c r="N61" s="2895">
        <f t="shared" ref="N61:Q61" si="107">SUM(N62:N63)</f>
        <v>0</v>
      </c>
      <c r="O61" s="2895">
        <f t="shared" si="107"/>
        <v>0</v>
      </c>
      <c r="P61" s="2895">
        <f t="shared" si="107"/>
        <v>0</v>
      </c>
      <c r="Q61" s="2895">
        <f t="shared" si="107"/>
        <v>0</v>
      </c>
      <c r="R61" s="2898">
        <f>SUM(R62:R63)</f>
        <v>0</v>
      </c>
      <c r="S61" s="4174">
        <f>SUM(S62:S63)</f>
        <v>0</v>
      </c>
      <c r="T61" s="4169">
        <f>SUM(T62:T63)</f>
        <v>0</v>
      </c>
      <c r="U61" s="2895">
        <f t="shared" ref="U61:X61" si="108">SUM(U62:U63)</f>
        <v>0</v>
      </c>
      <c r="V61" s="2895">
        <f t="shared" si="108"/>
        <v>0</v>
      </c>
      <c r="W61" s="2895">
        <f t="shared" si="108"/>
        <v>0</v>
      </c>
      <c r="X61" s="2895">
        <f t="shared" si="108"/>
        <v>0</v>
      </c>
      <c r="Y61" s="2898">
        <f>SUM(Y62:Y63)</f>
        <v>0</v>
      </c>
      <c r="Z61" s="4174">
        <f>SUM(Z62:Z63)</f>
        <v>0</v>
      </c>
      <c r="AA61" s="4169">
        <f>SUM(AA62:AA63)</f>
        <v>0</v>
      </c>
      <c r="AB61" s="2895">
        <f t="shared" ref="AB61:AE61" si="109">SUM(AB62:AB63)</f>
        <v>0</v>
      </c>
      <c r="AC61" s="2895">
        <f t="shared" si="109"/>
        <v>0</v>
      </c>
      <c r="AD61" s="2895">
        <f t="shared" si="109"/>
        <v>0</v>
      </c>
      <c r="AE61" s="2895">
        <f t="shared" si="109"/>
        <v>0</v>
      </c>
      <c r="AF61" s="2898">
        <f>SUM(AF62:AF63)</f>
        <v>0</v>
      </c>
      <c r="AG61" s="4174">
        <f>SUM(AG62:AG63)</f>
        <v>0</v>
      </c>
      <c r="AH61" s="4169">
        <f>SUM(AH62:AH63)</f>
        <v>0</v>
      </c>
      <c r="AI61" s="2895">
        <f t="shared" ref="AI61:AL61" si="110">SUM(AI62:AI63)</f>
        <v>0</v>
      </c>
      <c r="AJ61" s="2895">
        <f t="shared" si="110"/>
        <v>0</v>
      </c>
      <c r="AK61" s="2895">
        <f t="shared" si="110"/>
        <v>0</v>
      </c>
      <c r="AL61" s="2895">
        <f t="shared" si="110"/>
        <v>0</v>
      </c>
      <c r="AM61" s="2898">
        <f>SUM(AM62:AM63)</f>
        <v>0</v>
      </c>
      <c r="AN61" s="4065">
        <f>SUM(AN62:AN63)</f>
        <v>0</v>
      </c>
      <c r="AO61" s="2985"/>
      <c r="AP61" s="2986"/>
      <c r="AQ61" s="2986"/>
      <c r="AR61" s="2986"/>
      <c r="AS61" s="2986"/>
      <c r="AT61" s="2987"/>
      <c r="AU61" s="4422"/>
      <c r="AV61" s="4438">
        <f t="shared" si="40"/>
        <v>0</v>
      </c>
      <c r="AW61" s="4438">
        <f t="shared" si="41"/>
        <v>0</v>
      </c>
      <c r="AX61" s="4438">
        <f t="shared" si="42"/>
        <v>0</v>
      </c>
      <c r="AY61" s="4438">
        <f t="shared" si="43"/>
        <v>0</v>
      </c>
      <c r="AZ61" s="4438">
        <f t="shared" si="44"/>
        <v>0</v>
      </c>
      <c r="BA61" s="4438">
        <f t="shared" si="45"/>
        <v>0</v>
      </c>
      <c r="BB61" s="4438">
        <f t="shared" si="46"/>
        <v>0</v>
      </c>
      <c r="BC61" s="4438">
        <f t="shared" si="47"/>
        <v>0</v>
      </c>
      <c r="BD61" s="4438">
        <f t="shared" si="48"/>
        <v>0</v>
      </c>
      <c r="BE61" s="4438">
        <f t="shared" si="49"/>
        <v>0</v>
      </c>
      <c r="BF61" s="4438">
        <f t="shared" si="50"/>
        <v>0</v>
      </c>
      <c r="BG61" s="4438">
        <f t="shared" si="51"/>
        <v>0</v>
      </c>
      <c r="BH61" s="4438">
        <f t="shared" si="52"/>
        <v>0</v>
      </c>
      <c r="BI61" s="4438">
        <f t="shared" si="53"/>
        <v>0</v>
      </c>
      <c r="BJ61" s="4438">
        <f t="shared" si="54"/>
        <v>0</v>
      </c>
      <c r="BK61" s="4438">
        <f t="shared" si="55"/>
        <v>0</v>
      </c>
      <c r="BL61" s="4438">
        <f t="shared" si="56"/>
        <v>0</v>
      </c>
      <c r="BM61" s="4438">
        <f t="shared" si="57"/>
        <v>0</v>
      </c>
      <c r="BN61" s="4438">
        <f t="shared" si="58"/>
        <v>0</v>
      </c>
      <c r="BO61" s="4438">
        <f t="shared" si="59"/>
        <v>0</v>
      </c>
      <c r="BP61" s="4438">
        <f t="shared" si="60"/>
        <v>0</v>
      </c>
      <c r="BQ61" s="4438">
        <f t="shared" si="61"/>
        <v>0</v>
      </c>
      <c r="BR61" s="4438">
        <f t="shared" si="62"/>
        <v>0</v>
      </c>
      <c r="BS61" s="4438">
        <f t="shared" si="63"/>
        <v>0</v>
      </c>
      <c r="BT61" s="4438">
        <f t="shared" si="64"/>
        <v>0</v>
      </c>
      <c r="BU61" s="4438">
        <f t="shared" si="65"/>
        <v>0</v>
      </c>
      <c r="BV61" s="4438">
        <f t="shared" si="66"/>
        <v>0</v>
      </c>
      <c r="BW61" s="4438">
        <f t="shared" si="67"/>
        <v>0</v>
      </c>
      <c r="BX61" s="4438">
        <f t="shared" si="68"/>
        <v>0</v>
      </c>
      <c r="BY61" s="4438">
        <f t="shared" si="69"/>
        <v>0</v>
      </c>
      <c r="BZ61" s="4438">
        <f t="shared" si="70"/>
        <v>0</v>
      </c>
      <c r="CA61" s="4438">
        <f t="shared" si="71"/>
        <v>0</v>
      </c>
      <c r="CB61" s="4438">
        <f t="shared" si="72"/>
        <v>0</v>
      </c>
      <c r="CC61" s="4438">
        <f t="shared" si="73"/>
        <v>0</v>
      </c>
      <c r="CD61" s="4438">
        <f t="shared" si="74"/>
        <v>0</v>
      </c>
    </row>
    <row r="62" spans="1:82" s="674" customFormat="1">
      <c r="A62" s="2840"/>
      <c r="B62" s="2840">
        <v>20101</v>
      </c>
      <c r="C62" s="2899">
        <v>0</v>
      </c>
      <c r="D62" s="2900" t="s">
        <v>556</v>
      </c>
      <c r="E62" s="4387">
        <f>+E13*$C62/2</f>
        <v>0</v>
      </c>
      <c r="F62" s="2901">
        <f>($E13*$C62)-(F13*$C62)</f>
        <v>0</v>
      </c>
      <c r="G62" s="2902">
        <f t="shared" ref="G62:K63" si="111">F62-(G13*$C62)</f>
        <v>0</v>
      </c>
      <c r="H62" s="2903">
        <f t="shared" si="111"/>
        <v>0</v>
      </c>
      <c r="I62" s="2903">
        <f t="shared" si="111"/>
        <v>0</v>
      </c>
      <c r="J62" s="2903">
        <f t="shared" si="111"/>
        <v>0</v>
      </c>
      <c r="K62" s="2904">
        <f t="shared" si="111"/>
        <v>0</v>
      </c>
      <c r="L62" s="4387">
        <f>+L13*$C62/2</f>
        <v>0</v>
      </c>
      <c r="M62" s="2905">
        <f>($L13*$C62)-(M13*$C62)</f>
        <v>0</v>
      </c>
      <c r="N62" s="2902">
        <f t="shared" ref="N62:R63" si="112">M62-(N13*$C62)</f>
        <v>0</v>
      </c>
      <c r="O62" s="2903">
        <f t="shared" si="112"/>
        <v>0</v>
      </c>
      <c r="P62" s="2903">
        <f t="shared" si="112"/>
        <v>0</v>
      </c>
      <c r="Q62" s="2903">
        <f t="shared" si="112"/>
        <v>0</v>
      </c>
      <c r="R62" s="2906">
        <f t="shared" si="112"/>
        <v>0</v>
      </c>
      <c r="S62" s="4387">
        <f>+S13*$C62/2</f>
        <v>0</v>
      </c>
      <c r="T62" s="4170">
        <f>($S13*$C62)-(T13*$C62)</f>
        <v>0</v>
      </c>
      <c r="U62" s="2902">
        <f t="shared" ref="U62:Y63" si="113">T62-(U13*$C62)</f>
        <v>0</v>
      </c>
      <c r="V62" s="2903">
        <f t="shared" si="113"/>
        <v>0</v>
      </c>
      <c r="W62" s="2903">
        <f t="shared" si="113"/>
        <v>0</v>
      </c>
      <c r="X62" s="2903">
        <f t="shared" si="113"/>
        <v>0</v>
      </c>
      <c r="Y62" s="2906">
        <f t="shared" si="113"/>
        <v>0</v>
      </c>
      <c r="Z62" s="4387">
        <f>+Z13*$C62/2</f>
        <v>0</v>
      </c>
      <c r="AA62" s="4170">
        <f>($Z13*$C62)-(AA13*$C62)</f>
        <v>0</v>
      </c>
      <c r="AB62" s="2902">
        <f t="shared" ref="AB62:AF63" si="114">AA62-(AB13*$C62)</f>
        <v>0</v>
      </c>
      <c r="AC62" s="2903">
        <f t="shared" si="114"/>
        <v>0</v>
      </c>
      <c r="AD62" s="2903">
        <f t="shared" si="114"/>
        <v>0</v>
      </c>
      <c r="AE62" s="2903">
        <f t="shared" si="114"/>
        <v>0</v>
      </c>
      <c r="AF62" s="2906">
        <f t="shared" si="114"/>
        <v>0</v>
      </c>
      <c r="AG62" s="4387">
        <f>+AG13*$C62/2</f>
        <v>0</v>
      </c>
      <c r="AH62" s="4170">
        <f>($AG13*$C62)-(AH13*$C62)</f>
        <v>0</v>
      </c>
      <c r="AI62" s="2902">
        <f t="shared" ref="AI62:AM63" si="115">AH62-(AI13*$C62)</f>
        <v>0</v>
      </c>
      <c r="AJ62" s="2903">
        <f t="shared" si="115"/>
        <v>0</v>
      </c>
      <c r="AK62" s="2903">
        <f t="shared" si="115"/>
        <v>0</v>
      </c>
      <c r="AL62" s="2903">
        <f t="shared" si="115"/>
        <v>0</v>
      </c>
      <c r="AM62" s="2906">
        <f t="shared" si="115"/>
        <v>0</v>
      </c>
      <c r="AN62" s="4066"/>
      <c r="AO62" s="2988"/>
      <c r="AP62" s="2989"/>
      <c r="AQ62" s="2989"/>
      <c r="AR62" s="2989"/>
      <c r="AS62" s="2989"/>
      <c r="AT62" s="2990"/>
      <c r="AU62" s="4422"/>
      <c r="AV62" s="4438">
        <f t="shared" si="40"/>
        <v>0</v>
      </c>
      <c r="AW62" s="4438">
        <f t="shared" si="41"/>
        <v>0</v>
      </c>
      <c r="AX62" s="4438">
        <f t="shared" si="42"/>
        <v>0</v>
      </c>
      <c r="AY62" s="4438">
        <f t="shared" si="43"/>
        <v>0</v>
      </c>
      <c r="AZ62" s="4438">
        <f t="shared" si="44"/>
        <v>0</v>
      </c>
      <c r="BA62" s="4438">
        <f t="shared" si="45"/>
        <v>0</v>
      </c>
      <c r="BB62" s="4438">
        <f t="shared" si="46"/>
        <v>0</v>
      </c>
      <c r="BC62" s="4438">
        <f t="shared" si="47"/>
        <v>0</v>
      </c>
      <c r="BD62" s="4438">
        <f t="shared" si="48"/>
        <v>0</v>
      </c>
      <c r="BE62" s="4438">
        <f t="shared" si="49"/>
        <v>0</v>
      </c>
      <c r="BF62" s="4438">
        <f t="shared" si="50"/>
        <v>0</v>
      </c>
      <c r="BG62" s="4438">
        <f t="shared" si="51"/>
        <v>0</v>
      </c>
      <c r="BH62" s="4438">
        <f t="shared" si="52"/>
        <v>0</v>
      </c>
      <c r="BI62" s="4438">
        <f t="shared" si="53"/>
        <v>0</v>
      </c>
      <c r="BJ62" s="4438">
        <f t="shared" si="54"/>
        <v>0</v>
      </c>
      <c r="BK62" s="4438">
        <f t="shared" si="55"/>
        <v>0</v>
      </c>
      <c r="BL62" s="4438">
        <f t="shared" si="56"/>
        <v>0</v>
      </c>
      <c r="BM62" s="4438">
        <f t="shared" si="57"/>
        <v>0</v>
      </c>
      <c r="BN62" s="4438">
        <f t="shared" si="58"/>
        <v>0</v>
      </c>
      <c r="BO62" s="4438">
        <f t="shared" si="59"/>
        <v>0</v>
      </c>
      <c r="BP62" s="4438">
        <f t="shared" si="60"/>
        <v>0</v>
      </c>
      <c r="BQ62" s="4438">
        <f t="shared" si="61"/>
        <v>0</v>
      </c>
      <c r="BR62" s="4438">
        <f t="shared" si="62"/>
        <v>0</v>
      </c>
      <c r="BS62" s="4438">
        <f t="shared" si="63"/>
        <v>0</v>
      </c>
      <c r="BT62" s="4438">
        <f t="shared" si="64"/>
        <v>0</v>
      </c>
      <c r="BU62" s="4438">
        <f t="shared" si="65"/>
        <v>0</v>
      </c>
      <c r="BV62" s="4438">
        <f t="shared" si="66"/>
        <v>0</v>
      </c>
      <c r="BW62" s="4438">
        <f t="shared" si="67"/>
        <v>0</v>
      </c>
      <c r="BX62" s="4438">
        <f t="shared" si="68"/>
        <v>0</v>
      </c>
      <c r="BY62" s="4438">
        <f t="shared" si="69"/>
        <v>0</v>
      </c>
      <c r="BZ62" s="4438">
        <f t="shared" si="70"/>
        <v>0</v>
      </c>
      <c r="CA62" s="4438">
        <f t="shared" si="71"/>
        <v>0</v>
      </c>
      <c r="CB62" s="4438">
        <f t="shared" si="72"/>
        <v>0</v>
      </c>
      <c r="CC62" s="4438">
        <f t="shared" si="73"/>
        <v>0</v>
      </c>
      <c r="CD62" s="4438">
        <f t="shared" si="74"/>
        <v>0</v>
      </c>
    </row>
    <row r="63" spans="1:82" s="674" customFormat="1">
      <c r="A63" s="2840"/>
      <c r="B63" s="2840">
        <v>20102</v>
      </c>
      <c r="C63" s="2899">
        <v>0</v>
      </c>
      <c r="D63" s="2907" t="s">
        <v>558</v>
      </c>
      <c r="E63" s="4387">
        <f>+E14*$C63/2</f>
        <v>0</v>
      </c>
      <c r="F63" s="2905">
        <f>($E14*$C63)-(F14*$C63)</f>
        <v>0</v>
      </c>
      <c r="G63" s="2903">
        <f t="shared" si="111"/>
        <v>0</v>
      </c>
      <c r="H63" s="2903">
        <f t="shared" si="111"/>
        <v>0</v>
      </c>
      <c r="I63" s="2903">
        <f t="shared" si="111"/>
        <v>0</v>
      </c>
      <c r="J63" s="2903">
        <f t="shared" si="111"/>
        <v>0</v>
      </c>
      <c r="K63" s="2904">
        <f t="shared" si="111"/>
        <v>0</v>
      </c>
      <c r="L63" s="4387">
        <f>+L14*$C63/2</f>
        <v>0</v>
      </c>
      <c r="M63" s="2905">
        <f>($L14*$C63)-(M14*$C63)</f>
        <v>0</v>
      </c>
      <c r="N63" s="2903">
        <f t="shared" si="112"/>
        <v>0</v>
      </c>
      <c r="O63" s="2903">
        <f t="shared" si="112"/>
        <v>0</v>
      </c>
      <c r="P63" s="2903">
        <f t="shared" si="112"/>
        <v>0</v>
      </c>
      <c r="Q63" s="2903">
        <f t="shared" si="112"/>
        <v>0</v>
      </c>
      <c r="R63" s="2906">
        <f t="shared" si="112"/>
        <v>0</v>
      </c>
      <c r="S63" s="4387">
        <f>+S14*$C63/2</f>
        <v>0</v>
      </c>
      <c r="T63" s="4170">
        <f>($S14*$C63)-(T14*$C63)</f>
        <v>0</v>
      </c>
      <c r="U63" s="2903">
        <f t="shared" si="113"/>
        <v>0</v>
      </c>
      <c r="V63" s="2903">
        <f t="shared" si="113"/>
        <v>0</v>
      </c>
      <c r="W63" s="2903">
        <f t="shared" si="113"/>
        <v>0</v>
      </c>
      <c r="X63" s="2903">
        <f t="shared" si="113"/>
        <v>0</v>
      </c>
      <c r="Y63" s="2906">
        <f t="shared" si="113"/>
        <v>0</v>
      </c>
      <c r="Z63" s="4387">
        <f>+Z14*$C63/2</f>
        <v>0</v>
      </c>
      <c r="AA63" s="4170">
        <f>($Z14*$C63)-(AA14*$C63)</f>
        <v>0</v>
      </c>
      <c r="AB63" s="2903">
        <f t="shared" si="114"/>
        <v>0</v>
      </c>
      <c r="AC63" s="2903">
        <f t="shared" si="114"/>
        <v>0</v>
      </c>
      <c r="AD63" s="2903">
        <f t="shared" si="114"/>
        <v>0</v>
      </c>
      <c r="AE63" s="2903">
        <f t="shared" si="114"/>
        <v>0</v>
      </c>
      <c r="AF63" s="2906">
        <f t="shared" si="114"/>
        <v>0</v>
      </c>
      <c r="AG63" s="4387">
        <f>+AG14*$C63/2</f>
        <v>0</v>
      </c>
      <c r="AH63" s="4170">
        <f>($AG14*$C63)-(AH14*$C63)</f>
        <v>0</v>
      </c>
      <c r="AI63" s="2903">
        <f t="shared" si="115"/>
        <v>0</v>
      </c>
      <c r="AJ63" s="2903">
        <f t="shared" si="115"/>
        <v>0</v>
      </c>
      <c r="AK63" s="2903">
        <f t="shared" si="115"/>
        <v>0</v>
      </c>
      <c r="AL63" s="2903">
        <f t="shared" si="115"/>
        <v>0</v>
      </c>
      <c r="AM63" s="2906">
        <f t="shared" si="115"/>
        <v>0</v>
      </c>
      <c r="AN63" s="4066"/>
      <c r="AO63" s="2988"/>
      <c r="AP63" s="2989"/>
      <c r="AQ63" s="2989"/>
      <c r="AR63" s="2989"/>
      <c r="AS63" s="2989"/>
      <c r="AT63" s="2990"/>
      <c r="AU63" s="4422"/>
      <c r="AV63" s="4438">
        <f t="shared" si="40"/>
        <v>0</v>
      </c>
      <c r="AW63" s="4438">
        <f t="shared" si="41"/>
        <v>0</v>
      </c>
      <c r="AX63" s="4438">
        <f t="shared" si="42"/>
        <v>0</v>
      </c>
      <c r="AY63" s="4438">
        <f t="shared" si="43"/>
        <v>0</v>
      </c>
      <c r="AZ63" s="4438">
        <f t="shared" si="44"/>
        <v>0</v>
      </c>
      <c r="BA63" s="4438">
        <f t="shared" si="45"/>
        <v>0</v>
      </c>
      <c r="BB63" s="4438">
        <f t="shared" si="46"/>
        <v>0</v>
      </c>
      <c r="BC63" s="4438">
        <f t="shared" si="47"/>
        <v>0</v>
      </c>
      <c r="BD63" s="4438">
        <f t="shared" si="48"/>
        <v>0</v>
      </c>
      <c r="BE63" s="4438">
        <f t="shared" si="49"/>
        <v>0</v>
      </c>
      <c r="BF63" s="4438">
        <f t="shared" si="50"/>
        <v>0</v>
      </c>
      <c r="BG63" s="4438">
        <f t="shared" si="51"/>
        <v>0</v>
      </c>
      <c r="BH63" s="4438">
        <f t="shared" si="52"/>
        <v>0</v>
      </c>
      <c r="BI63" s="4438">
        <f t="shared" si="53"/>
        <v>0</v>
      </c>
      <c r="BJ63" s="4438">
        <f t="shared" si="54"/>
        <v>0</v>
      </c>
      <c r="BK63" s="4438">
        <f t="shared" si="55"/>
        <v>0</v>
      </c>
      <c r="BL63" s="4438">
        <f t="shared" si="56"/>
        <v>0</v>
      </c>
      <c r="BM63" s="4438">
        <f t="shared" si="57"/>
        <v>0</v>
      </c>
      <c r="BN63" s="4438">
        <f t="shared" si="58"/>
        <v>0</v>
      </c>
      <c r="BO63" s="4438">
        <f t="shared" si="59"/>
        <v>0</v>
      </c>
      <c r="BP63" s="4438">
        <f t="shared" si="60"/>
        <v>0</v>
      </c>
      <c r="BQ63" s="4438">
        <f t="shared" si="61"/>
        <v>0</v>
      </c>
      <c r="BR63" s="4438">
        <f t="shared" si="62"/>
        <v>0</v>
      </c>
      <c r="BS63" s="4438">
        <f t="shared" si="63"/>
        <v>0</v>
      </c>
      <c r="BT63" s="4438">
        <f t="shared" si="64"/>
        <v>0</v>
      </c>
      <c r="BU63" s="4438">
        <f t="shared" si="65"/>
        <v>0</v>
      </c>
      <c r="BV63" s="4438">
        <f t="shared" si="66"/>
        <v>0</v>
      </c>
      <c r="BW63" s="4438">
        <f t="shared" si="67"/>
        <v>0</v>
      </c>
      <c r="BX63" s="4438">
        <f t="shared" si="68"/>
        <v>0</v>
      </c>
      <c r="BY63" s="4438">
        <f t="shared" si="69"/>
        <v>0</v>
      </c>
      <c r="BZ63" s="4438">
        <f t="shared" si="70"/>
        <v>0</v>
      </c>
      <c r="CA63" s="4438">
        <f t="shared" si="71"/>
        <v>0</v>
      </c>
      <c r="CB63" s="4438">
        <f t="shared" si="72"/>
        <v>0</v>
      </c>
      <c r="CC63" s="4438">
        <f t="shared" si="73"/>
        <v>0</v>
      </c>
      <c r="CD63" s="4438">
        <f t="shared" si="74"/>
        <v>0</v>
      </c>
    </row>
    <row r="64" spans="1:82" s="40" customFormat="1">
      <c r="A64" s="2845">
        <v>2</v>
      </c>
      <c r="B64" s="2845">
        <v>202</v>
      </c>
      <c r="C64" s="2908">
        <v>0.03</v>
      </c>
      <c r="D64" s="2909" t="s">
        <v>404</v>
      </c>
      <c r="E64" s="4167">
        <f>SUM(E65:E66)</f>
        <v>0.105</v>
      </c>
      <c r="F64" s="2910">
        <f>SUM(F65:F66)</f>
        <v>0.21</v>
      </c>
      <c r="G64" s="2851">
        <f t="shared" ref="G64:AN64" si="116">SUM(G65:G66)</f>
        <v>0.21</v>
      </c>
      <c r="H64" s="2851">
        <f t="shared" si="116"/>
        <v>0.21</v>
      </c>
      <c r="I64" s="2851">
        <f t="shared" si="116"/>
        <v>-0.44999999999999996</v>
      </c>
      <c r="J64" s="2851">
        <f t="shared" si="116"/>
        <v>-0.44999999999999996</v>
      </c>
      <c r="K64" s="2852">
        <f t="shared" si="116"/>
        <v>-2.9699999999999998</v>
      </c>
      <c r="L64" s="4167">
        <f>SUM(L65:L66)</f>
        <v>0</v>
      </c>
      <c r="M64" s="2911">
        <f t="shared" si="116"/>
        <v>0</v>
      </c>
      <c r="N64" s="2851">
        <f t="shared" si="116"/>
        <v>0</v>
      </c>
      <c r="O64" s="2851">
        <f t="shared" si="116"/>
        <v>0</v>
      </c>
      <c r="P64" s="2851">
        <f t="shared" si="116"/>
        <v>0</v>
      </c>
      <c r="Q64" s="2851">
        <f t="shared" si="116"/>
        <v>0</v>
      </c>
      <c r="R64" s="2853">
        <f t="shared" si="116"/>
        <v>0</v>
      </c>
      <c r="S64" s="4172">
        <f>SUM(S65:S66)</f>
        <v>0</v>
      </c>
      <c r="T64" s="2850">
        <f t="shared" si="116"/>
        <v>0</v>
      </c>
      <c r="U64" s="2851">
        <f t="shared" si="116"/>
        <v>0</v>
      </c>
      <c r="V64" s="2851">
        <f t="shared" si="116"/>
        <v>0</v>
      </c>
      <c r="W64" s="2851">
        <f t="shared" si="116"/>
        <v>0</v>
      </c>
      <c r="X64" s="2851">
        <f t="shared" si="116"/>
        <v>0</v>
      </c>
      <c r="Y64" s="2853">
        <f t="shared" si="116"/>
        <v>0</v>
      </c>
      <c r="Z64" s="4172">
        <f>SUM(Z65:Z66)</f>
        <v>0</v>
      </c>
      <c r="AA64" s="2850">
        <f t="shared" si="116"/>
        <v>0</v>
      </c>
      <c r="AB64" s="2851">
        <f t="shared" si="116"/>
        <v>0</v>
      </c>
      <c r="AC64" s="2851">
        <f t="shared" si="116"/>
        <v>0</v>
      </c>
      <c r="AD64" s="2851">
        <f t="shared" si="116"/>
        <v>0</v>
      </c>
      <c r="AE64" s="2851">
        <f t="shared" si="116"/>
        <v>0</v>
      </c>
      <c r="AF64" s="2853">
        <f t="shared" si="116"/>
        <v>0</v>
      </c>
      <c r="AG64" s="4172">
        <f>SUM(AG65:AG66)</f>
        <v>0</v>
      </c>
      <c r="AH64" s="2850">
        <f t="shared" si="116"/>
        <v>0</v>
      </c>
      <c r="AI64" s="2851">
        <f t="shared" si="116"/>
        <v>0</v>
      </c>
      <c r="AJ64" s="2851">
        <f t="shared" si="116"/>
        <v>0</v>
      </c>
      <c r="AK64" s="2851">
        <f t="shared" si="116"/>
        <v>0</v>
      </c>
      <c r="AL64" s="2851">
        <f t="shared" si="116"/>
        <v>0</v>
      </c>
      <c r="AM64" s="2853">
        <f t="shared" si="116"/>
        <v>0</v>
      </c>
      <c r="AN64" s="4067">
        <f t="shared" si="116"/>
        <v>0</v>
      </c>
      <c r="AO64" s="2988"/>
      <c r="AP64" s="2989"/>
      <c r="AQ64" s="2989"/>
      <c r="AR64" s="2989"/>
      <c r="AS64" s="2989"/>
      <c r="AT64" s="2990"/>
      <c r="AU64" s="4422"/>
      <c r="AV64" s="4438">
        <f t="shared" si="40"/>
        <v>5.3685647525602939E-2</v>
      </c>
      <c r="AW64" s="4438">
        <f t="shared" si="41"/>
        <v>0.10737129505120588</v>
      </c>
      <c r="AX64" s="4438">
        <f t="shared" si="42"/>
        <v>0.10737129505120588</v>
      </c>
      <c r="AY64" s="4438">
        <f t="shared" si="43"/>
        <v>0.10737129505120588</v>
      </c>
      <c r="AZ64" s="4438">
        <f t="shared" si="44"/>
        <v>-0.23008134653829829</v>
      </c>
      <c r="BA64" s="4438">
        <f t="shared" si="45"/>
        <v>-0.23008134653829829</v>
      </c>
      <c r="BB64" s="4438">
        <f t="shared" si="46"/>
        <v>-1.5185368871527689</v>
      </c>
      <c r="BC64" s="4438">
        <f t="shared" si="47"/>
        <v>0</v>
      </c>
      <c r="BD64" s="4438">
        <f t="shared" si="48"/>
        <v>0</v>
      </c>
      <c r="BE64" s="4438">
        <f t="shared" si="49"/>
        <v>0</v>
      </c>
      <c r="BF64" s="4438">
        <f t="shared" si="50"/>
        <v>0</v>
      </c>
      <c r="BG64" s="4438">
        <f t="shared" si="51"/>
        <v>0</v>
      </c>
      <c r="BH64" s="4438">
        <f t="shared" si="52"/>
        <v>0</v>
      </c>
      <c r="BI64" s="4438">
        <f t="shared" si="53"/>
        <v>0</v>
      </c>
      <c r="BJ64" s="4438">
        <f t="shared" si="54"/>
        <v>0</v>
      </c>
      <c r="BK64" s="4438">
        <f t="shared" si="55"/>
        <v>0</v>
      </c>
      <c r="BL64" s="4438">
        <f t="shared" si="56"/>
        <v>0</v>
      </c>
      <c r="BM64" s="4438">
        <f t="shared" si="57"/>
        <v>0</v>
      </c>
      <c r="BN64" s="4438">
        <f t="shared" si="58"/>
        <v>0</v>
      </c>
      <c r="BO64" s="4438">
        <f t="shared" si="59"/>
        <v>0</v>
      </c>
      <c r="BP64" s="4438">
        <f t="shared" si="60"/>
        <v>0</v>
      </c>
      <c r="BQ64" s="4438">
        <f t="shared" si="61"/>
        <v>0</v>
      </c>
      <c r="BR64" s="4438">
        <f t="shared" si="62"/>
        <v>0</v>
      </c>
      <c r="BS64" s="4438">
        <f t="shared" si="63"/>
        <v>0</v>
      </c>
      <c r="BT64" s="4438">
        <f t="shared" si="64"/>
        <v>0</v>
      </c>
      <c r="BU64" s="4438">
        <f t="shared" si="65"/>
        <v>0</v>
      </c>
      <c r="BV64" s="4438">
        <f t="shared" si="66"/>
        <v>0</v>
      </c>
      <c r="BW64" s="4438">
        <f t="shared" si="67"/>
        <v>0</v>
      </c>
      <c r="BX64" s="4438">
        <f t="shared" si="68"/>
        <v>0</v>
      </c>
      <c r="BY64" s="4438">
        <f t="shared" si="69"/>
        <v>0</v>
      </c>
      <c r="BZ64" s="4438">
        <f t="shared" si="70"/>
        <v>0</v>
      </c>
      <c r="CA64" s="4438">
        <f t="shared" si="71"/>
        <v>0</v>
      </c>
      <c r="CB64" s="4438">
        <f t="shared" si="72"/>
        <v>0</v>
      </c>
      <c r="CC64" s="4438">
        <f t="shared" si="73"/>
        <v>0</v>
      </c>
      <c r="CD64" s="4438">
        <f t="shared" si="74"/>
        <v>0</v>
      </c>
    </row>
    <row r="65" spans="1:82" s="659" customFormat="1">
      <c r="A65" s="2854"/>
      <c r="B65" s="2854">
        <v>20201</v>
      </c>
      <c r="C65" s="2912">
        <v>0.03</v>
      </c>
      <c r="D65" s="2913" t="s">
        <v>425</v>
      </c>
      <c r="E65" s="4387">
        <f t="shared" ref="E65:E66" si="117">+E16*$C65/2</f>
        <v>0</v>
      </c>
      <c r="F65" s="2905">
        <f>($E16*$C65)-(F16*$C65)</f>
        <v>0</v>
      </c>
      <c r="G65" s="2903">
        <f t="shared" ref="G65:K66" si="118">F65-(G16*$C65)</f>
        <v>0</v>
      </c>
      <c r="H65" s="2903">
        <f t="shared" si="118"/>
        <v>0</v>
      </c>
      <c r="I65" s="2903">
        <f t="shared" si="118"/>
        <v>-0.65999999999999992</v>
      </c>
      <c r="J65" s="2903">
        <f t="shared" si="118"/>
        <v>-0.65999999999999992</v>
      </c>
      <c r="K65" s="2904">
        <f t="shared" si="118"/>
        <v>-3.1799999999999997</v>
      </c>
      <c r="L65" s="4387">
        <f t="shared" ref="L65:L66" si="119">+L16*$C65/2</f>
        <v>0</v>
      </c>
      <c r="M65" s="2905">
        <f>($L16*$C65)-(M16*$C65)</f>
        <v>0</v>
      </c>
      <c r="N65" s="2903">
        <f t="shared" ref="N65:R66" si="120">M65-(N16*$C65)</f>
        <v>0</v>
      </c>
      <c r="O65" s="2903">
        <f t="shared" si="120"/>
        <v>0</v>
      </c>
      <c r="P65" s="2903">
        <f t="shared" si="120"/>
        <v>0</v>
      </c>
      <c r="Q65" s="2903">
        <f t="shared" si="120"/>
        <v>0</v>
      </c>
      <c r="R65" s="2906">
        <f t="shared" si="120"/>
        <v>0</v>
      </c>
      <c r="S65" s="4387">
        <f t="shared" ref="S65:S66" si="121">+S16*$C65/2</f>
        <v>0</v>
      </c>
      <c r="T65" s="4170">
        <f>($S16*$C65)-(T16*$C65)</f>
        <v>0</v>
      </c>
      <c r="U65" s="2903">
        <f t="shared" ref="U65:Y66" si="122">T65-(U16*$C65)</f>
        <v>0</v>
      </c>
      <c r="V65" s="2903">
        <f t="shared" si="122"/>
        <v>0</v>
      </c>
      <c r="W65" s="2903">
        <f t="shared" si="122"/>
        <v>0</v>
      </c>
      <c r="X65" s="2903">
        <f t="shared" si="122"/>
        <v>0</v>
      </c>
      <c r="Y65" s="2906">
        <f t="shared" si="122"/>
        <v>0</v>
      </c>
      <c r="Z65" s="4387">
        <f t="shared" ref="Z65:Z66" si="123">+Z16*$C65/2</f>
        <v>0</v>
      </c>
      <c r="AA65" s="4170">
        <f t="shared" ref="AA65:AA66" si="124">($Z16*$C65)-(AA16*$C65)</f>
        <v>0</v>
      </c>
      <c r="AB65" s="2903">
        <f t="shared" ref="AB65:AF66" si="125">AA65-(AB16*$C65)</f>
        <v>0</v>
      </c>
      <c r="AC65" s="2903">
        <f t="shared" si="125"/>
        <v>0</v>
      </c>
      <c r="AD65" s="2903">
        <f t="shared" si="125"/>
        <v>0</v>
      </c>
      <c r="AE65" s="2903">
        <f t="shared" si="125"/>
        <v>0</v>
      </c>
      <c r="AF65" s="2906">
        <f t="shared" si="125"/>
        <v>0</v>
      </c>
      <c r="AG65" s="4387">
        <f t="shared" ref="AG65:AG66" si="126">+AG16*$C65/2</f>
        <v>0</v>
      </c>
      <c r="AH65" s="4170">
        <f t="shared" ref="AH65:AH66" si="127">($AG16*$C65)-(AH16*$C65)</f>
        <v>0</v>
      </c>
      <c r="AI65" s="2903">
        <f t="shared" ref="AI65:AM66" si="128">AH65-(AI16*$C65)</f>
        <v>0</v>
      </c>
      <c r="AJ65" s="2903">
        <f t="shared" si="128"/>
        <v>0</v>
      </c>
      <c r="AK65" s="2903">
        <f t="shared" si="128"/>
        <v>0</v>
      </c>
      <c r="AL65" s="2903">
        <f t="shared" si="128"/>
        <v>0</v>
      </c>
      <c r="AM65" s="2906">
        <f t="shared" si="128"/>
        <v>0</v>
      </c>
      <c r="AN65" s="4066"/>
      <c r="AO65" s="2988"/>
      <c r="AP65" s="2989"/>
      <c r="AQ65" s="2989"/>
      <c r="AR65" s="2989"/>
      <c r="AS65" s="2989"/>
      <c r="AT65" s="2990"/>
      <c r="AU65" s="4422"/>
      <c r="AV65" s="4438">
        <f t="shared" si="40"/>
        <v>0</v>
      </c>
      <c r="AW65" s="4438">
        <f t="shared" si="41"/>
        <v>0</v>
      </c>
      <c r="AX65" s="4438">
        <f t="shared" si="42"/>
        <v>0</v>
      </c>
      <c r="AY65" s="4438">
        <f t="shared" si="43"/>
        <v>0</v>
      </c>
      <c r="AZ65" s="4438">
        <f t="shared" si="44"/>
        <v>-0.33745264158950417</v>
      </c>
      <c r="BA65" s="4438">
        <f t="shared" si="45"/>
        <v>-0.33745264158950417</v>
      </c>
      <c r="BB65" s="4438">
        <f t="shared" si="46"/>
        <v>-1.6259081822039747</v>
      </c>
      <c r="BC65" s="4438">
        <f t="shared" si="47"/>
        <v>0</v>
      </c>
      <c r="BD65" s="4438">
        <f t="shared" si="48"/>
        <v>0</v>
      </c>
      <c r="BE65" s="4438">
        <f t="shared" si="49"/>
        <v>0</v>
      </c>
      <c r="BF65" s="4438">
        <f t="shared" si="50"/>
        <v>0</v>
      </c>
      <c r="BG65" s="4438">
        <f t="shared" si="51"/>
        <v>0</v>
      </c>
      <c r="BH65" s="4438">
        <f t="shared" si="52"/>
        <v>0</v>
      </c>
      <c r="BI65" s="4438">
        <f t="shared" si="53"/>
        <v>0</v>
      </c>
      <c r="BJ65" s="4438">
        <f t="shared" si="54"/>
        <v>0</v>
      </c>
      <c r="BK65" s="4438">
        <f t="shared" si="55"/>
        <v>0</v>
      </c>
      <c r="BL65" s="4438">
        <f t="shared" si="56"/>
        <v>0</v>
      </c>
      <c r="BM65" s="4438">
        <f t="shared" si="57"/>
        <v>0</v>
      </c>
      <c r="BN65" s="4438">
        <f t="shared" si="58"/>
        <v>0</v>
      </c>
      <c r="BO65" s="4438">
        <f t="shared" si="59"/>
        <v>0</v>
      </c>
      <c r="BP65" s="4438">
        <f t="shared" si="60"/>
        <v>0</v>
      </c>
      <c r="BQ65" s="4438">
        <f t="shared" si="61"/>
        <v>0</v>
      </c>
      <c r="BR65" s="4438">
        <f t="shared" si="62"/>
        <v>0</v>
      </c>
      <c r="BS65" s="4438">
        <f t="shared" si="63"/>
        <v>0</v>
      </c>
      <c r="BT65" s="4438">
        <f t="shared" si="64"/>
        <v>0</v>
      </c>
      <c r="BU65" s="4438">
        <f t="shared" si="65"/>
        <v>0</v>
      </c>
      <c r="BV65" s="4438">
        <f t="shared" si="66"/>
        <v>0</v>
      </c>
      <c r="BW65" s="4438">
        <f t="shared" si="67"/>
        <v>0</v>
      </c>
      <c r="BX65" s="4438">
        <f t="shared" si="68"/>
        <v>0</v>
      </c>
      <c r="BY65" s="4438">
        <f t="shared" si="69"/>
        <v>0</v>
      </c>
      <c r="BZ65" s="4438">
        <f t="shared" si="70"/>
        <v>0</v>
      </c>
      <c r="CA65" s="4438">
        <f t="shared" si="71"/>
        <v>0</v>
      </c>
      <c r="CB65" s="4438">
        <f t="shared" si="72"/>
        <v>0</v>
      </c>
      <c r="CC65" s="4438">
        <f t="shared" si="73"/>
        <v>0</v>
      </c>
      <c r="CD65" s="4438">
        <f t="shared" si="74"/>
        <v>0</v>
      </c>
    </row>
    <row r="66" spans="1:82" s="659" customFormat="1">
      <c r="A66" s="2854"/>
      <c r="B66" s="2854">
        <v>20202</v>
      </c>
      <c r="C66" s="2912">
        <v>0.03</v>
      </c>
      <c r="D66" s="2913" t="s">
        <v>426</v>
      </c>
      <c r="E66" s="4387">
        <f t="shared" si="117"/>
        <v>0.105</v>
      </c>
      <c r="F66" s="2905">
        <f>($E17*$C66)-(F17*$C66)</f>
        <v>0.21</v>
      </c>
      <c r="G66" s="2903">
        <f t="shared" si="118"/>
        <v>0.21</v>
      </c>
      <c r="H66" s="2903">
        <f t="shared" si="118"/>
        <v>0.21</v>
      </c>
      <c r="I66" s="2903">
        <f t="shared" si="118"/>
        <v>0.21</v>
      </c>
      <c r="J66" s="2903">
        <f t="shared" si="118"/>
        <v>0.21</v>
      </c>
      <c r="K66" s="2904">
        <f t="shared" si="118"/>
        <v>0.21</v>
      </c>
      <c r="L66" s="4387">
        <f t="shared" si="119"/>
        <v>0</v>
      </c>
      <c r="M66" s="2905">
        <f>($L17*$C66)-(M17*$C66)</f>
        <v>0</v>
      </c>
      <c r="N66" s="2903">
        <f t="shared" si="120"/>
        <v>0</v>
      </c>
      <c r="O66" s="2903">
        <f t="shared" si="120"/>
        <v>0</v>
      </c>
      <c r="P66" s="2903">
        <f t="shared" si="120"/>
        <v>0</v>
      </c>
      <c r="Q66" s="2903">
        <f t="shared" si="120"/>
        <v>0</v>
      </c>
      <c r="R66" s="2906">
        <f t="shared" si="120"/>
        <v>0</v>
      </c>
      <c r="S66" s="4387">
        <f t="shared" si="121"/>
        <v>0</v>
      </c>
      <c r="T66" s="4170">
        <f>($S17*$C66)-(T17*$C66)</f>
        <v>0</v>
      </c>
      <c r="U66" s="2903">
        <f t="shared" si="122"/>
        <v>0</v>
      </c>
      <c r="V66" s="2903">
        <f t="shared" si="122"/>
        <v>0</v>
      </c>
      <c r="W66" s="2903">
        <f t="shared" si="122"/>
        <v>0</v>
      </c>
      <c r="X66" s="2903">
        <f t="shared" si="122"/>
        <v>0</v>
      </c>
      <c r="Y66" s="2906">
        <f t="shared" si="122"/>
        <v>0</v>
      </c>
      <c r="Z66" s="4387">
        <f t="shared" si="123"/>
        <v>0</v>
      </c>
      <c r="AA66" s="4170">
        <f t="shared" si="124"/>
        <v>0</v>
      </c>
      <c r="AB66" s="2903">
        <f t="shared" si="125"/>
        <v>0</v>
      </c>
      <c r="AC66" s="2903">
        <f t="shared" si="125"/>
        <v>0</v>
      </c>
      <c r="AD66" s="2903">
        <f t="shared" si="125"/>
        <v>0</v>
      </c>
      <c r="AE66" s="2903">
        <f t="shared" si="125"/>
        <v>0</v>
      </c>
      <c r="AF66" s="2906">
        <f t="shared" si="125"/>
        <v>0</v>
      </c>
      <c r="AG66" s="4387">
        <f t="shared" si="126"/>
        <v>0</v>
      </c>
      <c r="AH66" s="4170">
        <f t="shared" si="127"/>
        <v>0</v>
      </c>
      <c r="AI66" s="2903">
        <f t="shared" si="128"/>
        <v>0</v>
      </c>
      <c r="AJ66" s="2903">
        <f t="shared" si="128"/>
        <v>0</v>
      </c>
      <c r="AK66" s="2903">
        <f t="shared" si="128"/>
        <v>0</v>
      </c>
      <c r="AL66" s="2903">
        <f t="shared" si="128"/>
        <v>0</v>
      </c>
      <c r="AM66" s="2906">
        <f t="shared" si="128"/>
        <v>0</v>
      </c>
      <c r="AN66" s="4066"/>
      <c r="AO66" s="2988"/>
      <c r="AP66" s="2989"/>
      <c r="AQ66" s="2989"/>
      <c r="AR66" s="2989"/>
      <c r="AS66" s="2989"/>
      <c r="AT66" s="2990"/>
      <c r="AU66" s="4422"/>
      <c r="AV66" s="4438">
        <f t="shared" si="40"/>
        <v>5.3685647525602939E-2</v>
      </c>
      <c r="AW66" s="4438">
        <f t="shared" si="41"/>
        <v>0.10737129505120588</v>
      </c>
      <c r="AX66" s="4438">
        <f t="shared" si="42"/>
        <v>0.10737129505120588</v>
      </c>
      <c r="AY66" s="4438">
        <f t="shared" si="43"/>
        <v>0.10737129505120588</v>
      </c>
      <c r="AZ66" s="4438">
        <f t="shared" si="44"/>
        <v>0.10737129505120588</v>
      </c>
      <c r="BA66" s="4438">
        <f t="shared" si="45"/>
        <v>0.10737129505120588</v>
      </c>
      <c r="BB66" s="4438">
        <f t="shared" si="46"/>
        <v>0.10737129505120588</v>
      </c>
      <c r="BC66" s="4438">
        <f t="shared" si="47"/>
        <v>0</v>
      </c>
      <c r="BD66" s="4438">
        <f t="shared" si="48"/>
        <v>0</v>
      </c>
      <c r="BE66" s="4438">
        <f t="shared" si="49"/>
        <v>0</v>
      </c>
      <c r="BF66" s="4438">
        <f t="shared" si="50"/>
        <v>0</v>
      </c>
      <c r="BG66" s="4438">
        <f t="shared" si="51"/>
        <v>0</v>
      </c>
      <c r="BH66" s="4438">
        <f t="shared" si="52"/>
        <v>0</v>
      </c>
      <c r="BI66" s="4438">
        <f t="shared" si="53"/>
        <v>0</v>
      </c>
      <c r="BJ66" s="4438">
        <f t="shared" si="54"/>
        <v>0</v>
      </c>
      <c r="BK66" s="4438">
        <f t="shared" si="55"/>
        <v>0</v>
      </c>
      <c r="BL66" s="4438">
        <f t="shared" si="56"/>
        <v>0</v>
      </c>
      <c r="BM66" s="4438">
        <f t="shared" si="57"/>
        <v>0</v>
      </c>
      <c r="BN66" s="4438">
        <f t="shared" si="58"/>
        <v>0</v>
      </c>
      <c r="BO66" s="4438">
        <f t="shared" si="59"/>
        <v>0</v>
      </c>
      <c r="BP66" s="4438">
        <f t="shared" si="60"/>
        <v>0</v>
      </c>
      <c r="BQ66" s="4438">
        <f t="shared" si="61"/>
        <v>0</v>
      </c>
      <c r="BR66" s="4438">
        <f t="shared" si="62"/>
        <v>0</v>
      </c>
      <c r="BS66" s="4438">
        <f t="shared" si="63"/>
        <v>0</v>
      </c>
      <c r="BT66" s="4438">
        <f t="shared" si="64"/>
        <v>0</v>
      </c>
      <c r="BU66" s="4438">
        <f t="shared" si="65"/>
        <v>0</v>
      </c>
      <c r="BV66" s="4438">
        <f t="shared" si="66"/>
        <v>0</v>
      </c>
      <c r="BW66" s="4438">
        <f t="shared" si="67"/>
        <v>0</v>
      </c>
      <c r="BX66" s="4438">
        <f t="shared" si="68"/>
        <v>0</v>
      </c>
      <c r="BY66" s="4438">
        <f t="shared" si="69"/>
        <v>0</v>
      </c>
      <c r="BZ66" s="4438">
        <f t="shared" si="70"/>
        <v>0</v>
      </c>
      <c r="CA66" s="4438">
        <f t="shared" si="71"/>
        <v>0</v>
      </c>
      <c r="CB66" s="4438">
        <f t="shared" si="72"/>
        <v>0</v>
      </c>
      <c r="CC66" s="4438">
        <f t="shared" si="73"/>
        <v>0</v>
      </c>
      <c r="CD66" s="4438">
        <f t="shared" si="74"/>
        <v>0</v>
      </c>
    </row>
    <row r="67" spans="1:82" s="40" customFormat="1" ht="12.75" customHeight="1">
      <c r="A67" s="2845">
        <v>3</v>
      </c>
      <c r="B67" s="2845">
        <v>203</v>
      </c>
      <c r="C67" s="2908"/>
      <c r="D67" s="2914" t="s">
        <v>405</v>
      </c>
      <c r="E67" s="4167">
        <f t="shared" ref="E67" si="129">SUM(E68:E78)-E71-E74</f>
        <v>79.400000000000006</v>
      </c>
      <c r="F67" s="2910">
        <f t="shared" ref="F67:AN67" si="130">SUM(F68:F78)-F71-F74</f>
        <v>153.4</v>
      </c>
      <c r="G67" s="2851">
        <f t="shared" si="130"/>
        <v>152.39999999999998</v>
      </c>
      <c r="H67" s="2851">
        <f t="shared" si="130"/>
        <v>134.30000000000001</v>
      </c>
      <c r="I67" s="2851">
        <f t="shared" si="130"/>
        <v>118.60000000000004</v>
      </c>
      <c r="J67" s="2851">
        <f t="shared" si="130"/>
        <v>100.50000000000003</v>
      </c>
      <c r="K67" s="2852">
        <f t="shared" si="130"/>
        <v>90.40000000000002</v>
      </c>
      <c r="L67" s="4167">
        <f t="shared" ref="L67" si="131">SUM(L68:L78)-L71-L74</f>
        <v>3.9000000000000004</v>
      </c>
      <c r="M67" s="2911">
        <f t="shared" si="130"/>
        <v>7.8000000000000007</v>
      </c>
      <c r="N67" s="2851">
        <f t="shared" si="130"/>
        <v>7.8000000000000007</v>
      </c>
      <c r="O67" s="2851">
        <f t="shared" si="130"/>
        <v>7.7000000000000011</v>
      </c>
      <c r="P67" s="2851">
        <f t="shared" si="130"/>
        <v>7.7000000000000011</v>
      </c>
      <c r="Q67" s="2851">
        <f t="shared" si="130"/>
        <v>7.4999999999999991</v>
      </c>
      <c r="R67" s="2853">
        <f t="shared" si="130"/>
        <v>4.8000000000000016</v>
      </c>
      <c r="S67" s="4172">
        <f t="shared" ref="S67" si="132">SUM(S68:S78)-S71-S74</f>
        <v>7.65</v>
      </c>
      <c r="T67" s="2850">
        <f t="shared" si="130"/>
        <v>15.100000000000001</v>
      </c>
      <c r="U67" s="2851">
        <f t="shared" si="130"/>
        <v>15.100000000000001</v>
      </c>
      <c r="V67" s="2851">
        <f t="shared" si="130"/>
        <v>15.100000000000001</v>
      </c>
      <c r="W67" s="2851">
        <f t="shared" si="130"/>
        <v>15.100000000000001</v>
      </c>
      <c r="X67" s="2851">
        <f t="shared" si="130"/>
        <v>14.400000000000004</v>
      </c>
      <c r="Y67" s="2853">
        <f t="shared" si="130"/>
        <v>14.400000000000004</v>
      </c>
      <c r="Z67" s="4172">
        <f t="shared" ref="Z67" si="133">SUM(Z68:Z78)-Z71-Z74</f>
        <v>0</v>
      </c>
      <c r="AA67" s="2850">
        <f t="shared" ref="AA67:AM67" si="134">SUM(AA68:AA78)-AA71-AA74</f>
        <v>0</v>
      </c>
      <c r="AB67" s="2851">
        <f t="shared" si="134"/>
        <v>0</v>
      </c>
      <c r="AC67" s="2851">
        <f t="shared" si="134"/>
        <v>0</v>
      </c>
      <c r="AD67" s="2851">
        <f t="shared" si="134"/>
        <v>0</v>
      </c>
      <c r="AE67" s="2851">
        <f t="shared" si="134"/>
        <v>0</v>
      </c>
      <c r="AF67" s="2853">
        <f t="shared" si="134"/>
        <v>0</v>
      </c>
      <c r="AG67" s="4172">
        <f t="shared" ref="AG67" si="135">SUM(AG68:AG78)-AG71-AG74</f>
        <v>0</v>
      </c>
      <c r="AH67" s="2850">
        <f t="shared" si="134"/>
        <v>0</v>
      </c>
      <c r="AI67" s="2851">
        <f t="shared" si="134"/>
        <v>0</v>
      </c>
      <c r="AJ67" s="2851">
        <f t="shared" si="134"/>
        <v>0</v>
      </c>
      <c r="AK67" s="2851">
        <f t="shared" si="134"/>
        <v>0</v>
      </c>
      <c r="AL67" s="2851">
        <f t="shared" si="134"/>
        <v>0</v>
      </c>
      <c r="AM67" s="2853">
        <f t="shared" si="134"/>
        <v>0</v>
      </c>
      <c r="AN67" s="4067">
        <f t="shared" si="130"/>
        <v>0</v>
      </c>
      <c r="AO67" s="2988"/>
      <c r="AP67" s="2989"/>
      <c r="AQ67" s="2989"/>
      <c r="AR67" s="2989"/>
      <c r="AS67" s="2989"/>
      <c r="AT67" s="2990"/>
      <c r="AU67" s="4422"/>
      <c r="AV67" s="4438">
        <f t="shared" si="40"/>
        <v>40.596575366979749</v>
      </c>
      <c r="AW67" s="4438">
        <f t="shared" si="41"/>
        <v>78.432174575499914</v>
      </c>
      <c r="AX67" s="4438">
        <f t="shared" si="42"/>
        <v>77.920882694303685</v>
      </c>
      <c r="AY67" s="4438">
        <f t="shared" si="43"/>
        <v>68.666499644652149</v>
      </c>
      <c r="AZ67" s="4438">
        <f t="shared" si="44"/>
        <v>60.639217109871531</v>
      </c>
      <c r="BA67" s="4438">
        <f t="shared" si="45"/>
        <v>51.384834060219973</v>
      </c>
      <c r="BB67" s="4438">
        <f t="shared" si="46"/>
        <v>46.22078606013816</v>
      </c>
      <c r="BC67" s="4438">
        <f t="shared" si="47"/>
        <v>1.9940383366652523</v>
      </c>
      <c r="BD67" s="4438">
        <f t="shared" si="48"/>
        <v>3.9880766733305046</v>
      </c>
      <c r="BE67" s="4438">
        <f t="shared" si="49"/>
        <v>3.9880766733305046</v>
      </c>
      <c r="BF67" s="4438">
        <f t="shared" si="50"/>
        <v>3.936947485210883</v>
      </c>
      <c r="BG67" s="4438">
        <f t="shared" si="51"/>
        <v>3.936947485210883</v>
      </c>
      <c r="BH67" s="4438">
        <f t="shared" si="52"/>
        <v>3.8346891089716384</v>
      </c>
      <c r="BI67" s="4438">
        <f t="shared" si="53"/>
        <v>2.4542010297418497</v>
      </c>
      <c r="BJ67" s="4438">
        <f t="shared" si="54"/>
        <v>3.9113828911510717</v>
      </c>
      <c r="BK67" s="4438">
        <f t="shared" si="55"/>
        <v>7.7205074060629002</v>
      </c>
      <c r="BL67" s="4438">
        <f t="shared" si="56"/>
        <v>7.7205074060629002</v>
      </c>
      <c r="BM67" s="4438">
        <f t="shared" si="57"/>
        <v>7.7205074060629002</v>
      </c>
      <c r="BN67" s="4438">
        <f t="shared" si="58"/>
        <v>7.7205074060629002</v>
      </c>
      <c r="BO67" s="4438">
        <f t="shared" si="59"/>
        <v>7.3626030892255487</v>
      </c>
      <c r="BP67" s="4438">
        <f t="shared" si="60"/>
        <v>7.3626030892255487</v>
      </c>
      <c r="BQ67" s="4438">
        <f t="shared" si="61"/>
        <v>0</v>
      </c>
      <c r="BR67" s="4438">
        <f t="shared" si="62"/>
        <v>0</v>
      </c>
      <c r="BS67" s="4438">
        <f t="shared" si="63"/>
        <v>0</v>
      </c>
      <c r="BT67" s="4438">
        <f t="shared" si="64"/>
        <v>0</v>
      </c>
      <c r="BU67" s="4438">
        <f t="shared" si="65"/>
        <v>0</v>
      </c>
      <c r="BV67" s="4438">
        <f t="shared" si="66"/>
        <v>0</v>
      </c>
      <c r="BW67" s="4438">
        <f t="shared" si="67"/>
        <v>0</v>
      </c>
      <c r="BX67" s="4438">
        <f t="shared" si="68"/>
        <v>0</v>
      </c>
      <c r="BY67" s="4438">
        <f t="shared" si="69"/>
        <v>0</v>
      </c>
      <c r="BZ67" s="4438">
        <f t="shared" si="70"/>
        <v>0</v>
      </c>
      <c r="CA67" s="4438">
        <f t="shared" si="71"/>
        <v>0</v>
      </c>
      <c r="CB67" s="4438">
        <f t="shared" si="72"/>
        <v>0</v>
      </c>
      <c r="CC67" s="4438">
        <f t="shared" si="73"/>
        <v>0</v>
      </c>
      <c r="CD67" s="4438">
        <f t="shared" si="74"/>
        <v>0</v>
      </c>
    </row>
    <row r="68" spans="1:82" s="659" customFormat="1">
      <c r="A68" s="2854"/>
      <c r="B68" s="2854">
        <v>20301</v>
      </c>
      <c r="C68" s="2912">
        <v>0.1</v>
      </c>
      <c r="D68" s="2915" t="s">
        <v>427</v>
      </c>
      <c r="E68" s="4387">
        <f t="shared" ref="E68:E70" si="136">+E19*$C68/2</f>
        <v>0.2</v>
      </c>
      <c r="F68" s="2905">
        <f>($E19*$C68)-(F19*$C68)</f>
        <v>-0.9</v>
      </c>
      <c r="G68" s="2903">
        <f t="shared" ref="G68:K70" si="137">F68-(G19*$C68)</f>
        <v>-0.9</v>
      </c>
      <c r="H68" s="2903">
        <f t="shared" si="137"/>
        <v>-0.9</v>
      </c>
      <c r="I68" s="2903">
        <f t="shared" si="137"/>
        <v>-0.9</v>
      </c>
      <c r="J68" s="2903">
        <f t="shared" si="137"/>
        <v>-0.9</v>
      </c>
      <c r="K68" s="2904">
        <f t="shared" si="137"/>
        <v>-0.9</v>
      </c>
      <c r="L68" s="4387">
        <f t="shared" ref="L68:L70" si="138">+L19*$C68/2</f>
        <v>0</v>
      </c>
      <c r="M68" s="2905">
        <f>($L19*$C68)-(M19*$C68)</f>
        <v>0</v>
      </c>
      <c r="N68" s="2903">
        <f t="shared" ref="N68:R70" si="139">M68-(N19*$C68)</f>
        <v>0</v>
      </c>
      <c r="O68" s="2903">
        <f t="shared" si="139"/>
        <v>0</v>
      </c>
      <c r="P68" s="2903">
        <f t="shared" si="139"/>
        <v>0</v>
      </c>
      <c r="Q68" s="2903">
        <f t="shared" si="139"/>
        <v>0</v>
      </c>
      <c r="R68" s="2906">
        <f t="shared" si="139"/>
        <v>0</v>
      </c>
      <c r="S68" s="4387">
        <f t="shared" ref="S68:S70" si="140">+S19*$C68/2</f>
        <v>0</v>
      </c>
      <c r="T68" s="4170">
        <f>($S19*$C68)-(T19*$C68)</f>
        <v>0</v>
      </c>
      <c r="U68" s="2903">
        <f t="shared" ref="U68:Y70" si="141">T68-(U19*$C68)</f>
        <v>0</v>
      </c>
      <c r="V68" s="2903">
        <f t="shared" si="141"/>
        <v>0</v>
      </c>
      <c r="W68" s="2903">
        <f t="shared" si="141"/>
        <v>0</v>
      </c>
      <c r="X68" s="2903">
        <f t="shared" si="141"/>
        <v>0</v>
      </c>
      <c r="Y68" s="2906">
        <f t="shared" si="141"/>
        <v>0</v>
      </c>
      <c r="Z68" s="4387">
        <f t="shared" ref="Z68:Z70" si="142">+Z19*$C68/2</f>
        <v>0</v>
      </c>
      <c r="AA68" s="4170">
        <f t="shared" ref="AA68:AA70" si="143">($Z19*$C68)-(AA19*$C68)</f>
        <v>0</v>
      </c>
      <c r="AB68" s="2903">
        <f t="shared" ref="AB68:AF70" si="144">AA68-(AB19*$C68)</f>
        <v>0</v>
      </c>
      <c r="AC68" s="2903">
        <f t="shared" si="144"/>
        <v>0</v>
      </c>
      <c r="AD68" s="2903">
        <f t="shared" si="144"/>
        <v>0</v>
      </c>
      <c r="AE68" s="2903">
        <f t="shared" si="144"/>
        <v>0</v>
      </c>
      <c r="AF68" s="2906">
        <f t="shared" si="144"/>
        <v>0</v>
      </c>
      <c r="AG68" s="4387">
        <f t="shared" ref="AG68:AG70" si="145">+AG19*$C68/2</f>
        <v>0</v>
      </c>
      <c r="AH68" s="4170">
        <f t="shared" ref="AH68:AH70" si="146">($AG19*$C68)-(AH19*$C68)</f>
        <v>0</v>
      </c>
      <c r="AI68" s="2903">
        <f t="shared" ref="AI68:AM70" si="147">AH68-(AI19*$C68)</f>
        <v>0</v>
      </c>
      <c r="AJ68" s="2903">
        <f t="shared" si="147"/>
        <v>0</v>
      </c>
      <c r="AK68" s="2903">
        <f t="shared" si="147"/>
        <v>0</v>
      </c>
      <c r="AL68" s="2903">
        <f t="shared" si="147"/>
        <v>0</v>
      </c>
      <c r="AM68" s="2906">
        <f t="shared" si="147"/>
        <v>0</v>
      </c>
      <c r="AN68" s="4066"/>
      <c r="AO68" s="2988"/>
      <c r="AP68" s="2989"/>
      <c r="AQ68" s="2989"/>
      <c r="AR68" s="2989"/>
      <c r="AS68" s="2989"/>
      <c r="AT68" s="2990"/>
      <c r="AU68" s="4422"/>
      <c r="AV68" s="4438">
        <f t="shared" si="40"/>
        <v>0.10225837623924371</v>
      </c>
      <c r="AW68" s="4438">
        <f t="shared" si="41"/>
        <v>-0.46016269307659668</v>
      </c>
      <c r="AX68" s="4438">
        <f t="shared" si="42"/>
        <v>-0.46016269307659668</v>
      </c>
      <c r="AY68" s="4438">
        <f t="shared" si="43"/>
        <v>-0.46016269307659668</v>
      </c>
      <c r="AZ68" s="4438">
        <f t="shared" si="44"/>
        <v>-0.46016269307659668</v>
      </c>
      <c r="BA68" s="4438">
        <f t="shared" si="45"/>
        <v>-0.46016269307659668</v>
      </c>
      <c r="BB68" s="4438">
        <f t="shared" si="46"/>
        <v>-0.46016269307659668</v>
      </c>
      <c r="BC68" s="4438">
        <f t="shared" si="47"/>
        <v>0</v>
      </c>
      <c r="BD68" s="4438">
        <f t="shared" si="48"/>
        <v>0</v>
      </c>
      <c r="BE68" s="4438">
        <f t="shared" si="49"/>
        <v>0</v>
      </c>
      <c r="BF68" s="4438">
        <f t="shared" si="50"/>
        <v>0</v>
      </c>
      <c r="BG68" s="4438">
        <f t="shared" si="51"/>
        <v>0</v>
      </c>
      <c r="BH68" s="4438">
        <f t="shared" si="52"/>
        <v>0</v>
      </c>
      <c r="BI68" s="4438">
        <f t="shared" si="53"/>
        <v>0</v>
      </c>
      <c r="BJ68" s="4438">
        <f t="shared" si="54"/>
        <v>0</v>
      </c>
      <c r="BK68" s="4438">
        <f t="shared" si="55"/>
        <v>0</v>
      </c>
      <c r="BL68" s="4438">
        <f t="shared" si="56"/>
        <v>0</v>
      </c>
      <c r="BM68" s="4438">
        <f t="shared" si="57"/>
        <v>0</v>
      </c>
      <c r="BN68" s="4438">
        <f t="shared" si="58"/>
        <v>0</v>
      </c>
      <c r="BO68" s="4438">
        <f t="shared" si="59"/>
        <v>0</v>
      </c>
      <c r="BP68" s="4438">
        <f t="shared" si="60"/>
        <v>0</v>
      </c>
      <c r="BQ68" s="4438">
        <f t="shared" si="61"/>
        <v>0</v>
      </c>
      <c r="BR68" s="4438">
        <f t="shared" si="62"/>
        <v>0</v>
      </c>
      <c r="BS68" s="4438">
        <f t="shared" si="63"/>
        <v>0</v>
      </c>
      <c r="BT68" s="4438">
        <f t="shared" si="64"/>
        <v>0</v>
      </c>
      <c r="BU68" s="4438">
        <f t="shared" si="65"/>
        <v>0</v>
      </c>
      <c r="BV68" s="4438">
        <f t="shared" si="66"/>
        <v>0</v>
      </c>
      <c r="BW68" s="4438">
        <f t="shared" si="67"/>
        <v>0</v>
      </c>
      <c r="BX68" s="4438">
        <f t="shared" si="68"/>
        <v>0</v>
      </c>
      <c r="BY68" s="4438">
        <f t="shared" si="69"/>
        <v>0</v>
      </c>
      <c r="BZ68" s="4438">
        <f t="shared" si="70"/>
        <v>0</v>
      </c>
      <c r="CA68" s="4438">
        <f t="shared" si="71"/>
        <v>0</v>
      </c>
      <c r="CB68" s="4438">
        <f t="shared" si="72"/>
        <v>0</v>
      </c>
      <c r="CC68" s="4438">
        <f t="shared" si="73"/>
        <v>0</v>
      </c>
      <c r="CD68" s="4438">
        <f t="shared" si="74"/>
        <v>0</v>
      </c>
    </row>
    <row r="69" spans="1:82" s="659" customFormat="1">
      <c r="A69" s="2854"/>
      <c r="B69" s="2854">
        <v>20302</v>
      </c>
      <c r="C69" s="2912">
        <v>0.1</v>
      </c>
      <c r="D69" s="2915" t="s">
        <v>428</v>
      </c>
      <c r="E69" s="4387">
        <f t="shared" si="136"/>
        <v>1.1500000000000001</v>
      </c>
      <c r="F69" s="2905">
        <f>($E20*$C69)-(F20*$C69)</f>
        <v>1.2000000000000002</v>
      </c>
      <c r="G69" s="2903">
        <f t="shared" si="137"/>
        <v>0.40000000000000013</v>
      </c>
      <c r="H69" s="2903">
        <f t="shared" si="137"/>
        <v>0.40000000000000013</v>
      </c>
      <c r="I69" s="2903">
        <f t="shared" si="137"/>
        <v>0.40000000000000013</v>
      </c>
      <c r="J69" s="2903">
        <f t="shared" si="137"/>
        <v>0.40000000000000013</v>
      </c>
      <c r="K69" s="2904">
        <f t="shared" si="137"/>
        <v>0.40000000000000013</v>
      </c>
      <c r="L69" s="4387">
        <f t="shared" si="138"/>
        <v>0</v>
      </c>
      <c r="M69" s="2905">
        <f>($L20*$C69)-(M20*$C69)</f>
        <v>0</v>
      </c>
      <c r="N69" s="2903">
        <f t="shared" si="139"/>
        <v>0</v>
      </c>
      <c r="O69" s="2903">
        <f t="shared" si="139"/>
        <v>0</v>
      </c>
      <c r="P69" s="2903">
        <f t="shared" si="139"/>
        <v>0</v>
      </c>
      <c r="Q69" s="2903">
        <f t="shared" si="139"/>
        <v>0</v>
      </c>
      <c r="R69" s="2906">
        <f t="shared" si="139"/>
        <v>0</v>
      </c>
      <c r="S69" s="4387">
        <f t="shared" si="140"/>
        <v>0</v>
      </c>
      <c r="T69" s="4170">
        <f>($S20*$C69)-(T20*$C69)</f>
        <v>0</v>
      </c>
      <c r="U69" s="2903">
        <f t="shared" si="141"/>
        <v>0</v>
      </c>
      <c r="V69" s="2903">
        <f t="shared" si="141"/>
        <v>0</v>
      </c>
      <c r="W69" s="2903">
        <f t="shared" si="141"/>
        <v>0</v>
      </c>
      <c r="X69" s="2903">
        <f t="shared" si="141"/>
        <v>0</v>
      </c>
      <c r="Y69" s="2906">
        <f t="shared" si="141"/>
        <v>0</v>
      </c>
      <c r="Z69" s="4387">
        <f t="shared" si="142"/>
        <v>0</v>
      </c>
      <c r="AA69" s="4170">
        <f t="shared" si="143"/>
        <v>0</v>
      </c>
      <c r="AB69" s="2903">
        <f t="shared" si="144"/>
        <v>0</v>
      </c>
      <c r="AC69" s="2903">
        <f t="shared" si="144"/>
        <v>0</v>
      </c>
      <c r="AD69" s="2903">
        <f t="shared" si="144"/>
        <v>0</v>
      </c>
      <c r="AE69" s="2903">
        <f t="shared" si="144"/>
        <v>0</v>
      </c>
      <c r="AF69" s="2906">
        <f t="shared" si="144"/>
        <v>0</v>
      </c>
      <c r="AG69" s="4387">
        <f t="shared" si="145"/>
        <v>0</v>
      </c>
      <c r="AH69" s="4170">
        <f t="shared" si="146"/>
        <v>0</v>
      </c>
      <c r="AI69" s="2903">
        <f t="shared" si="147"/>
        <v>0</v>
      </c>
      <c r="AJ69" s="2903">
        <f t="shared" si="147"/>
        <v>0</v>
      </c>
      <c r="AK69" s="2903">
        <f t="shared" si="147"/>
        <v>0</v>
      </c>
      <c r="AL69" s="2903">
        <f t="shared" si="147"/>
        <v>0</v>
      </c>
      <c r="AM69" s="2906">
        <f t="shared" si="147"/>
        <v>0</v>
      </c>
      <c r="AN69" s="4066"/>
      <c r="AO69" s="2988"/>
      <c r="AP69" s="2989"/>
      <c r="AQ69" s="2989"/>
      <c r="AR69" s="2989"/>
      <c r="AS69" s="2989"/>
      <c r="AT69" s="2990"/>
      <c r="AU69" s="4422"/>
      <c r="AV69" s="4438">
        <f t="shared" si="40"/>
        <v>0.58798566337565139</v>
      </c>
      <c r="AW69" s="4438">
        <f t="shared" si="41"/>
        <v>0.61355025743546232</v>
      </c>
      <c r="AX69" s="4438">
        <f t="shared" si="42"/>
        <v>0.20451675247848747</v>
      </c>
      <c r="AY69" s="4438">
        <f t="shared" si="43"/>
        <v>0.20451675247848747</v>
      </c>
      <c r="AZ69" s="4438">
        <f t="shared" si="44"/>
        <v>0.20451675247848747</v>
      </c>
      <c r="BA69" s="4438">
        <f t="shared" si="45"/>
        <v>0.20451675247848747</v>
      </c>
      <c r="BB69" s="4438">
        <f t="shared" si="46"/>
        <v>0.20451675247848747</v>
      </c>
      <c r="BC69" s="4438">
        <f t="shared" si="47"/>
        <v>0</v>
      </c>
      <c r="BD69" s="4438">
        <f t="shared" si="48"/>
        <v>0</v>
      </c>
      <c r="BE69" s="4438">
        <f t="shared" si="49"/>
        <v>0</v>
      </c>
      <c r="BF69" s="4438">
        <f t="shared" si="50"/>
        <v>0</v>
      </c>
      <c r="BG69" s="4438">
        <f t="shared" si="51"/>
        <v>0</v>
      </c>
      <c r="BH69" s="4438">
        <f t="shared" si="52"/>
        <v>0</v>
      </c>
      <c r="BI69" s="4438">
        <f t="shared" si="53"/>
        <v>0</v>
      </c>
      <c r="BJ69" s="4438">
        <f t="shared" si="54"/>
        <v>0</v>
      </c>
      <c r="BK69" s="4438">
        <f t="shared" si="55"/>
        <v>0</v>
      </c>
      <c r="BL69" s="4438">
        <f t="shared" si="56"/>
        <v>0</v>
      </c>
      <c r="BM69" s="4438">
        <f t="shared" si="57"/>
        <v>0</v>
      </c>
      <c r="BN69" s="4438">
        <f t="shared" si="58"/>
        <v>0</v>
      </c>
      <c r="BO69" s="4438">
        <f t="shared" si="59"/>
        <v>0</v>
      </c>
      <c r="BP69" s="4438">
        <f t="shared" si="60"/>
        <v>0</v>
      </c>
      <c r="BQ69" s="4438">
        <f t="shared" si="61"/>
        <v>0</v>
      </c>
      <c r="BR69" s="4438">
        <f t="shared" si="62"/>
        <v>0</v>
      </c>
      <c r="BS69" s="4438">
        <f t="shared" si="63"/>
        <v>0</v>
      </c>
      <c r="BT69" s="4438">
        <f t="shared" si="64"/>
        <v>0</v>
      </c>
      <c r="BU69" s="4438">
        <f t="shared" si="65"/>
        <v>0</v>
      </c>
      <c r="BV69" s="4438">
        <f t="shared" si="66"/>
        <v>0</v>
      </c>
      <c r="BW69" s="4438">
        <f t="shared" si="67"/>
        <v>0</v>
      </c>
      <c r="BX69" s="4438">
        <f t="shared" si="68"/>
        <v>0</v>
      </c>
      <c r="BY69" s="4438">
        <f t="shared" si="69"/>
        <v>0</v>
      </c>
      <c r="BZ69" s="4438">
        <f t="shared" si="70"/>
        <v>0</v>
      </c>
      <c r="CA69" s="4438">
        <f t="shared" si="71"/>
        <v>0</v>
      </c>
      <c r="CB69" s="4438">
        <f t="shared" si="72"/>
        <v>0</v>
      </c>
      <c r="CC69" s="4438">
        <f t="shared" si="73"/>
        <v>0</v>
      </c>
      <c r="CD69" s="4438">
        <f t="shared" si="74"/>
        <v>0</v>
      </c>
    </row>
    <row r="70" spans="1:82" s="659" customFormat="1">
      <c r="A70" s="2854"/>
      <c r="B70" s="2854">
        <v>20303</v>
      </c>
      <c r="C70" s="2912">
        <v>0.1</v>
      </c>
      <c r="D70" s="2915" t="s">
        <v>406</v>
      </c>
      <c r="E70" s="4387">
        <f t="shared" si="136"/>
        <v>40.050000000000004</v>
      </c>
      <c r="F70" s="2905">
        <f>($E21*$C70)-(F21*$C70)</f>
        <v>80.100000000000009</v>
      </c>
      <c r="G70" s="2903">
        <f t="shared" si="137"/>
        <v>80.100000000000009</v>
      </c>
      <c r="H70" s="2903">
        <f t="shared" si="137"/>
        <v>80.100000000000009</v>
      </c>
      <c r="I70" s="2903">
        <f t="shared" si="137"/>
        <v>79.000000000000014</v>
      </c>
      <c r="J70" s="2903">
        <f t="shared" si="137"/>
        <v>75.200000000000017</v>
      </c>
      <c r="K70" s="2904">
        <f t="shared" si="137"/>
        <v>75.200000000000017</v>
      </c>
      <c r="L70" s="4387">
        <f t="shared" si="138"/>
        <v>0</v>
      </c>
      <c r="M70" s="2905">
        <f>($L21*$C70)-(M21*$C70)</f>
        <v>0</v>
      </c>
      <c r="N70" s="2903">
        <f t="shared" si="139"/>
        <v>0</v>
      </c>
      <c r="O70" s="2903">
        <f t="shared" si="139"/>
        <v>0</v>
      </c>
      <c r="P70" s="2903">
        <f t="shared" si="139"/>
        <v>0</v>
      </c>
      <c r="Q70" s="2903">
        <f t="shared" si="139"/>
        <v>0</v>
      </c>
      <c r="R70" s="2906">
        <f t="shared" si="139"/>
        <v>0</v>
      </c>
      <c r="S70" s="4387">
        <f t="shared" si="140"/>
        <v>0</v>
      </c>
      <c r="T70" s="4170">
        <f>($S21*$C70)-(T21*$C70)</f>
        <v>0</v>
      </c>
      <c r="U70" s="2903">
        <f t="shared" si="141"/>
        <v>0</v>
      </c>
      <c r="V70" s="2903">
        <f t="shared" si="141"/>
        <v>0</v>
      </c>
      <c r="W70" s="2903">
        <f t="shared" si="141"/>
        <v>0</v>
      </c>
      <c r="X70" s="2903">
        <f t="shared" si="141"/>
        <v>0</v>
      </c>
      <c r="Y70" s="2906">
        <f t="shared" si="141"/>
        <v>0</v>
      </c>
      <c r="Z70" s="4387">
        <f t="shared" si="142"/>
        <v>0</v>
      </c>
      <c r="AA70" s="4170">
        <f t="shared" si="143"/>
        <v>0</v>
      </c>
      <c r="AB70" s="2903">
        <f t="shared" si="144"/>
        <v>0</v>
      </c>
      <c r="AC70" s="2903">
        <f t="shared" si="144"/>
        <v>0</v>
      </c>
      <c r="AD70" s="2903">
        <f t="shared" si="144"/>
        <v>0</v>
      </c>
      <c r="AE70" s="2903">
        <f t="shared" si="144"/>
        <v>0</v>
      </c>
      <c r="AF70" s="2906">
        <f t="shared" si="144"/>
        <v>0</v>
      </c>
      <c r="AG70" s="4387">
        <f t="shared" si="145"/>
        <v>0</v>
      </c>
      <c r="AH70" s="4170">
        <f t="shared" si="146"/>
        <v>0</v>
      </c>
      <c r="AI70" s="2903">
        <f t="shared" si="147"/>
        <v>0</v>
      </c>
      <c r="AJ70" s="2903">
        <f t="shared" si="147"/>
        <v>0</v>
      </c>
      <c r="AK70" s="2903">
        <f t="shared" si="147"/>
        <v>0</v>
      </c>
      <c r="AL70" s="2903">
        <f t="shared" si="147"/>
        <v>0</v>
      </c>
      <c r="AM70" s="2906">
        <f t="shared" si="147"/>
        <v>0</v>
      </c>
      <c r="AN70" s="4066"/>
      <c r="AO70" s="2988"/>
      <c r="AP70" s="2989"/>
      <c r="AQ70" s="2989"/>
      <c r="AR70" s="2989"/>
      <c r="AS70" s="2989"/>
      <c r="AT70" s="2990"/>
      <c r="AU70" s="4422"/>
      <c r="AV70" s="4438">
        <f t="shared" si="40"/>
        <v>20.477239841908553</v>
      </c>
      <c r="AW70" s="4438">
        <f t="shared" si="41"/>
        <v>40.954479683817105</v>
      </c>
      <c r="AX70" s="4438">
        <f t="shared" si="42"/>
        <v>40.954479683817105</v>
      </c>
      <c r="AY70" s="4438">
        <f t="shared" si="43"/>
        <v>40.954479683817105</v>
      </c>
      <c r="AZ70" s="4438">
        <f t="shared" si="44"/>
        <v>40.392058614501266</v>
      </c>
      <c r="BA70" s="4438">
        <f t="shared" si="45"/>
        <v>38.449149465955642</v>
      </c>
      <c r="BB70" s="4438">
        <f t="shared" si="46"/>
        <v>38.449149465955642</v>
      </c>
      <c r="BC70" s="4438">
        <f t="shared" si="47"/>
        <v>0</v>
      </c>
      <c r="BD70" s="4438">
        <f t="shared" si="48"/>
        <v>0</v>
      </c>
      <c r="BE70" s="4438">
        <f t="shared" si="49"/>
        <v>0</v>
      </c>
      <c r="BF70" s="4438">
        <f t="shared" si="50"/>
        <v>0</v>
      </c>
      <c r="BG70" s="4438">
        <f t="shared" si="51"/>
        <v>0</v>
      </c>
      <c r="BH70" s="4438">
        <f t="shared" si="52"/>
        <v>0</v>
      </c>
      <c r="BI70" s="4438">
        <f t="shared" si="53"/>
        <v>0</v>
      </c>
      <c r="BJ70" s="4438">
        <f t="shared" si="54"/>
        <v>0</v>
      </c>
      <c r="BK70" s="4438">
        <f t="shared" si="55"/>
        <v>0</v>
      </c>
      <c r="BL70" s="4438">
        <f t="shared" si="56"/>
        <v>0</v>
      </c>
      <c r="BM70" s="4438">
        <f t="shared" si="57"/>
        <v>0</v>
      </c>
      <c r="BN70" s="4438">
        <f t="shared" si="58"/>
        <v>0</v>
      </c>
      <c r="BO70" s="4438">
        <f t="shared" si="59"/>
        <v>0</v>
      </c>
      <c r="BP70" s="4438">
        <f t="shared" si="60"/>
        <v>0</v>
      </c>
      <c r="BQ70" s="4438">
        <f t="shared" si="61"/>
        <v>0</v>
      </c>
      <c r="BR70" s="4438">
        <f t="shared" si="62"/>
        <v>0</v>
      </c>
      <c r="BS70" s="4438">
        <f t="shared" si="63"/>
        <v>0</v>
      </c>
      <c r="BT70" s="4438">
        <f t="shared" si="64"/>
        <v>0</v>
      </c>
      <c r="BU70" s="4438">
        <f t="shared" si="65"/>
        <v>0</v>
      </c>
      <c r="BV70" s="4438">
        <f t="shared" si="66"/>
        <v>0</v>
      </c>
      <c r="BW70" s="4438">
        <f t="shared" si="67"/>
        <v>0</v>
      </c>
      <c r="BX70" s="4438">
        <f t="shared" si="68"/>
        <v>0</v>
      </c>
      <c r="BY70" s="4438">
        <f t="shared" si="69"/>
        <v>0</v>
      </c>
      <c r="BZ70" s="4438">
        <f t="shared" si="70"/>
        <v>0</v>
      </c>
      <c r="CA70" s="4438">
        <f t="shared" si="71"/>
        <v>0</v>
      </c>
      <c r="CB70" s="4438">
        <f t="shared" si="72"/>
        <v>0</v>
      </c>
      <c r="CC70" s="4438">
        <f t="shared" si="73"/>
        <v>0</v>
      </c>
      <c r="CD70" s="4438">
        <f t="shared" si="74"/>
        <v>0</v>
      </c>
    </row>
    <row r="71" spans="1:82" s="659" customFormat="1">
      <c r="A71" s="2854"/>
      <c r="B71" s="2854">
        <v>20304</v>
      </c>
      <c r="C71" s="2916">
        <v>0.1</v>
      </c>
      <c r="D71" s="2915" t="s">
        <v>407</v>
      </c>
      <c r="E71" s="4168">
        <f t="shared" ref="E71" si="148">SUM(E72:E73)</f>
        <v>14.45</v>
      </c>
      <c r="F71" s="2917">
        <f t="shared" ref="F71:AN71" si="149">SUM(F72:F73)</f>
        <v>28.9</v>
      </c>
      <c r="G71" s="2861">
        <f t="shared" si="149"/>
        <v>28.9</v>
      </c>
      <c r="H71" s="2861">
        <f t="shared" si="149"/>
        <v>22.8</v>
      </c>
      <c r="I71" s="2861">
        <f t="shared" si="149"/>
        <v>19.5</v>
      </c>
      <c r="J71" s="2861">
        <f t="shared" si="149"/>
        <v>16.400000000000002</v>
      </c>
      <c r="K71" s="2862">
        <f t="shared" si="149"/>
        <v>12.4</v>
      </c>
      <c r="L71" s="4168">
        <f t="shared" ref="L71" si="150">SUM(L72:L73)</f>
        <v>0</v>
      </c>
      <c r="M71" s="2918">
        <f t="shared" si="149"/>
        <v>0</v>
      </c>
      <c r="N71" s="2861">
        <f t="shared" si="149"/>
        <v>0</v>
      </c>
      <c r="O71" s="2861">
        <f t="shared" si="149"/>
        <v>-0.1</v>
      </c>
      <c r="P71" s="2861">
        <f t="shared" si="149"/>
        <v>-0.1</v>
      </c>
      <c r="Q71" s="2861">
        <f t="shared" si="149"/>
        <v>-0.1</v>
      </c>
      <c r="R71" s="2863">
        <f t="shared" si="149"/>
        <v>-2.3000000000000003</v>
      </c>
      <c r="S71" s="4173">
        <f t="shared" ref="S71" si="151">SUM(S72:S73)</f>
        <v>0</v>
      </c>
      <c r="T71" s="2860">
        <f t="shared" si="149"/>
        <v>0</v>
      </c>
      <c r="U71" s="2861">
        <f t="shared" si="149"/>
        <v>0</v>
      </c>
      <c r="V71" s="2861">
        <f t="shared" si="149"/>
        <v>0</v>
      </c>
      <c r="W71" s="2861">
        <f t="shared" si="149"/>
        <v>0</v>
      </c>
      <c r="X71" s="2861">
        <f t="shared" si="149"/>
        <v>-0.1</v>
      </c>
      <c r="Y71" s="2863">
        <f t="shared" si="149"/>
        <v>-0.1</v>
      </c>
      <c r="Z71" s="4173">
        <f t="shared" ref="Z71" si="152">SUM(Z72:Z73)</f>
        <v>0</v>
      </c>
      <c r="AA71" s="2860">
        <f t="shared" si="149"/>
        <v>0</v>
      </c>
      <c r="AB71" s="2861">
        <f t="shared" si="149"/>
        <v>0</v>
      </c>
      <c r="AC71" s="2861">
        <f t="shared" si="149"/>
        <v>0</v>
      </c>
      <c r="AD71" s="2861">
        <f t="shared" si="149"/>
        <v>0</v>
      </c>
      <c r="AE71" s="2861">
        <f t="shared" si="149"/>
        <v>0</v>
      </c>
      <c r="AF71" s="2863">
        <f t="shared" si="149"/>
        <v>0</v>
      </c>
      <c r="AG71" s="4173">
        <f t="shared" ref="AG71" si="153">SUM(AG72:AG73)</f>
        <v>0</v>
      </c>
      <c r="AH71" s="2860">
        <f t="shared" si="149"/>
        <v>0</v>
      </c>
      <c r="AI71" s="2861">
        <f t="shared" si="149"/>
        <v>0</v>
      </c>
      <c r="AJ71" s="2861">
        <f t="shared" si="149"/>
        <v>0</v>
      </c>
      <c r="AK71" s="2861">
        <f t="shared" si="149"/>
        <v>0</v>
      </c>
      <c r="AL71" s="2861">
        <f t="shared" si="149"/>
        <v>0</v>
      </c>
      <c r="AM71" s="2863">
        <f t="shared" si="149"/>
        <v>0</v>
      </c>
      <c r="AN71" s="4068">
        <f t="shared" si="149"/>
        <v>0</v>
      </c>
      <c r="AO71" s="2988"/>
      <c r="AP71" s="2989"/>
      <c r="AQ71" s="2989"/>
      <c r="AR71" s="2989"/>
      <c r="AS71" s="2989"/>
      <c r="AT71" s="2990"/>
      <c r="AU71" s="4422"/>
      <c r="AV71" s="4438">
        <f t="shared" si="40"/>
        <v>7.3881676832853573</v>
      </c>
      <c r="AW71" s="4438">
        <f t="shared" si="41"/>
        <v>14.776335366570715</v>
      </c>
      <c r="AX71" s="4438">
        <f t="shared" si="42"/>
        <v>14.776335366570715</v>
      </c>
      <c r="AY71" s="4438">
        <f t="shared" si="43"/>
        <v>11.657454891273781</v>
      </c>
      <c r="AZ71" s="4438">
        <f t="shared" si="44"/>
        <v>9.9701916833262612</v>
      </c>
      <c r="BA71" s="4438">
        <f t="shared" si="45"/>
        <v>8.3851868516179842</v>
      </c>
      <c r="BB71" s="4438">
        <f t="shared" si="46"/>
        <v>6.3400193268331098</v>
      </c>
      <c r="BC71" s="4438">
        <f t="shared" si="47"/>
        <v>0</v>
      </c>
      <c r="BD71" s="4438">
        <f t="shared" si="48"/>
        <v>0</v>
      </c>
      <c r="BE71" s="4438">
        <f t="shared" si="49"/>
        <v>0</v>
      </c>
      <c r="BF71" s="4438">
        <f t="shared" si="50"/>
        <v>-5.1129188119621853E-2</v>
      </c>
      <c r="BG71" s="4438">
        <f t="shared" si="51"/>
        <v>-5.1129188119621853E-2</v>
      </c>
      <c r="BH71" s="4438">
        <f t="shared" si="52"/>
        <v>-5.1129188119621853E-2</v>
      </c>
      <c r="BI71" s="4438">
        <f t="shared" si="53"/>
        <v>-1.1759713267513028</v>
      </c>
      <c r="BJ71" s="4438">
        <f t="shared" si="54"/>
        <v>0</v>
      </c>
      <c r="BK71" s="4438">
        <f t="shared" si="55"/>
        <v>0</v>
      </c>
      <c r="BL71" s="4438">
        <f t="shared" si="56"/>
        <v>0</v>
      </c>
      <c r="BM71" s="4438">
        <f t="shared" si="57"/>
        <v>0</v>
      </c>
      <c r="BN71" s="4438">
        <f t="shared" si="58"/>
        <v>0</v>
      </c>
      <c r="BO71" s="4438">
        <f t="shared" si="59"/>
        <v>-5.1129188119621853E-2</v>
      </c>
      <c r="BP71" s="4438">
        <f t="shared" si="60"/>
        <v>-5.1129188119621853E-2</v>
      </c>
      <c r="BQ71" s="4438">
        <f t="shared" si="61"/>
        <v>0</v>
      </c>
      <c r="BR71" s="4438">
        <f t="shared" si="62"/>
        <v>0</v>
      </c>
      <c r="BS71" s="4438">
        <f t="shared" si="63"/>
        <v>0</v>
      </c>
      <c r="BT71" s="4438">
        <f t="shared" si="64"/>
        <v>0</v>
      </c>
      <c r="BU71" s="4438">
        <f t="shared" si="65"/>
        <v>0</v>
      </c>
      <c r="BV71" s="4438">
        <f t="shared" si="66"/>
        <v>0</v>
      </c>
      <c r="BW71" s="4438">
        <f t="shared" si="67"/>
        <v>0</v>
      </c>
      <c r="BX71" s="4438">
        <f t="shared" si="68"/>
        <v>0</v>
      </c>
      <c r="BY71" s="4438">
        <f t="shared" si="69"/>
        <v>0</v>
      </c>
      <c r="BZ71" s="4438">
        <f t="shared" si="70"/>
        <v>0</v>
      </c>
      <c r="CA71" s="4438">
        <f t="shared" si="71"/>
        <v>0</v>
      </c>
      <c r="CB71" s="4438">
        <f t="shared" si="72"/>
        <v>0</v>
      </c>
      <c r="CC71" s="4438">
        <f t="shared" si="73"/>
        <v>0</v>
      </c>
      <c r="CD71" s="4438">
        <f t="shared" si="74"/>
        <v>0</v>
      </c>
    </row>
    <row r="72" spans="1:82" s="659" customFormat="1">
      <c r="A72" s="2854"/>
      <c r="B72" s="2919">
        <v>2030401</v>
      </c>
      <c r="C72" s="2920">
        <v>0.1</v>
      </c>
      <c r="D72" s="2921" t="s">
        <v>991</v>
      </c>
      <c r="E72" s="4387">
        <f t="shared" ref="E72:E73" si="154">+E23*$C72/2</f>
        <v>11.75</v>
      </c>
      <c r="F72" s="2905">
        <f>($E23*$C72)-(F23*$C72)</f>
        <v>23.5</v>
      </c>
      <c r="G72" s="2903">
        <f t="shared" ref="G72:K73" si="155">F72-(G23*$C72)</f>
        <v>23.5</v>
      </c>
      <c r="H72" s="2903">
        <f t="shared" si="155"/>
        <v>18.5</v>
      </c>
      <c r="I72" s="2903">
        <f t="shared" si="155"/>
        <v>15.8</v>
      </c>
      <c r="J72" s="2903">
        <f t="shared" si="155"/>
        <v>14.5</v>
      </c>
      <c r="K72" s="2904">
        <f t="shared" si="155"/>
        <v>10.5</v>
      </c>
      <c r="L72" s="4387">
        <f t="shared" ref="L72:L73" si="156">+L23*$C72/2</f>
        <v>0</v>
      </c>
      <c r="M72" s="2905">
        <f>($L23*$C72)-(M23*$C72)</f>
        <v>0</v>
      </c>
      <c r="N72" s="2903">
        <f t="shared" ref="N72:R73" si="157">M72-(N23*$C72)</f>
        <v>0</v>
      </c>
      <c r="O72" s="2903">
        <f t="shared" si="157"/>
        <v>0</v>
      </c>
      <c r="P72" s="2903">
        <f t="shared" si="157"/>
        <v>0</v>
      </c>
      <c r="Q72" s="2903">
        <f t="shared" si="157"/>
        <v>0</v>
      </c>
      <c r="R72" s="2906">
        <f t="shared" si="157"/>
        <v>-2.2000000000000002</v>
      </c>
      <c r="S72" s="4387">
        <f t="shared" ref="S72:S73" si="158">+S23*$C72/2</f>
        <v>0</v>
      </c>
      <c r="T72" s="4170">
        <f>($S23*$C72)-(T23*$C72)</f>
        <v>0</v>
      </c>
      <c r="U72" s="2903">
        <f t="shared" ref="U72:Y73" si="159">T72-(U23*$C72)</f>
        <v>0</v>
      </c>
      <c r="V72" s="2903">
        <f t="shared" si="159"/>
        <v>0</v>
      </c>
      <c r="W72" s="2903">
        <f t="shared" si="159"/>
        <v>0</v>
      </c>
      <c r="X72" s="2903">
        <f t="shared" si="159"/>
        <v>0</v>
      </c>
      <c r="Y72" s="2906">
        <f t="shared" si="159"/>
        <v>0</v>
      </c>
      <c r="Z72" s="4387">
        <f t="shared" ref="Z72:Z73" si="160">+Z23*$C72/2</f>
        <v>0</v>
      </c>
      <c r="AA72" s="4170">
        <f t="shared" ref="AA72:AA73" si="161">($Z23*$C72)-(AA23*$C72)</f>
        <v>0</v>
      </c>
      <c r="AB72" s="2903">
        <f t="shared" ref="AB72:AF73" si="162">AA72-(AB23*$C72)</f>
        <v>0</v>
      </c>
      <c r="AC72" s="2903">
        <f t="shared" si="162"/>
        <v>0</v>
      </c>
      <c r="AD72" s="2903">
        <f t="shared" si="162"/>
        <v>0</v>
      </c>
      <c r="AE72" s="2903">
        <f t="shared" si="162"/>
        <v>0</v>
      </c>
      <c r="AF72" s="2906">
        <f t="shared" si="162"/>
        <v>0</v>
      </c>
      <c r="AG72" s="4387">
        <f t="shared" ref="AG72:AG73" si="163">+AG23*$C72/2</f>
        <v>0</v>
      </c>
      <c r="AH72" s="4170">
        <f t="shared" ref="AH72:AH73" si="164">($AG23*$C72)-(AH23*$C72)</f>
        <v>0</v>
      </c>
      <c r="AI72" s="2903">
        <f t="shared" ref="AI72:AM73" si="165">AH72-(AI23*$C72)</f>
        <v>0</v>
      </c>
      <c r="AJ72" s="2903">
        <f t="shared" si="165"/>
        <v>0</v>
      </c>
      <c r="AK72" s="2903">
        <f t="shared" si="165"/>
        <v>0</v>
      </c>
      <c r="AL72" s="2903">
        <f t="shared" si="165"/>
        <v>0</v>
      </c>
      <c r="AM72" s="2906">
        <f t="shared" si="165"/>
        <v>0</v>
      </c>
      <c r="AN72" s="4066"/>
      <c r="AO72" s="2988"/>
      <c r="AP72" s="2989"/>
      <c r="AQ72" s="2989"/>
      <c r="AR72" s="2989"/>
      <c r="AS72" s="2989"/>
      <c r="AT72" s="2990"/>
      <c r="AU72" s="4422"/>
      <c r="AV72" s="4438">
        <f t="shared" si="40"/>
        <v>6.0076796040555669</v>
      </c>
      <c r="AW72" s="4438">
        <f t="shared" si="41"/>
        <v>12.015359208111134</v>
      </c>
      <c r="AX72" s="4438">
        <f t="shared" si="42"/>
        <v>12.015359208111134</v>
      </c>
      <c r="AY72" s="4438">
        <f t="shared" si="43"/>
        <v>9.458899802130043</v>
      </c>
      <c r="AZ72" s="4438">
        <f t="shared" si="44"/>
        <v>8.0784117229002526</v>
      </c>
      <c r="BA72" s="4438">
        <f t="shared" si="45"/>
        <v>7.4137322773451686</v>
      </c>
      <c r="BB72" s="4438">
        <f t="shared" si="46"/>
        <v>5.3685647525602942</v>
      </c>
      <c r="BC72" s="4438">
        <f t="shared" si="47"/>
        <v>0</v>
      </c>
      <c r="BD72" s="4438">
        <f t="shared" si="48"/>
        <v>0</v>
      </c>
      <c r="BE72" s="4438">
        <f t="shared" si="49"/>
        <v>0</v>
      </c>
      <c r="BF72" s="4438">
        <f t="shared" si="50"/>
        <v>0</v>
      </c>
      <c r="BG72" s="4438">
        <f t="shared" si="51"/>
        <v>0</v>
      </c>
      <c r="BH72" s="4438">
        <f t="shared" si="52"/>
        <v>0</v>
      </c>
      <c r="BI72" s="4438">
        <f t="shared" si="53"/>
        <v>-1.1248421386316807</v>
      </c>
      <c r="BJ72" s="4438">
        <f t="shared" si="54"/>
        <v>0</v>
      </c>
      <c r="BK72" s="4438">
        <f t="shared" si="55"/>
        <v>0</v>
      </c>
      <c r="BL72" s="4438">
        <f t="shared" si="56"/>
        <v>0</v>
      </c>
      <c r="BM72" s="4438">
        <f t="shared" si="57"/>
        <v>0</v>
      </c>
      <c r="BN72" s="4438">
        <f t="shared" si="58"/>
        <v>0</v>
      </c>
      <c r="BO72" s="4438">
        <f t="shared" si="59"/>
        <v>0</v>
      </c>
      <c r="BP72" s="4438">
        <f t="shared" si="60"/>
        <v>0</v>
      </c>
      <c r="BQ72" s="4438">
        <f t="shared" si="61"/>
        <v>0</v>
      </c>
      <c r="BR72" s="4438">
        <f t="shared" si="62"/>
        <v>0</v>
      </c>
      <c r="BS72" s="4438">
        <f t="shared" si="63"/>
        <v>0</v>
      </c>
      <c r="BT72" s="4438">
        <f t="shared" si="64"/>
        <v>0</v>
      </c>
      <c r="BU72" s="4438">
        <f t="shared" si="65"/>
        <v>0</v>
      </c>
      <c r="BV72" s="4438">
        <f t="shared" si="66"/>
        <v>0</v>
      </c>
      <c r="BW72" s="4438">
        <f t="shared" si="67"/>
        <v>0</v>
      </c>
      <c r="BX72" s="4438">
        <f t="shared" si="68"/>
        <v>0</v>
      </c>
      <c r="BY72" s="4438">
        <f t="shared" si="69"/>
        <v>0</v>
      </c>
      <c r="BZ72" s="4438">
        <f t="shared" si="70"/>
        <v>0</v>
      </c>
      <c r="CA72" s="4438">
        <f t="shared" si="71"/>
        <v>0</v>
      </c>
      <c r="CB72" s="4438">
        <f t="shared" si="72"/>
        <v>0</v>
      </c>
      <c r="CC72" s="4438">
        <f t="shared" si="73"/>
        <v>0</v>
      </c>
      <c r="CD72" s="4438">
        <f t="shared" si="74"/>
        <v>0</v>
      </c>
    </row>
    <row r="73" spans="1:82" s="659" customFormat="1">
      <c r="A73" s="2854"/>
      <c r="B73" s="2919">
        <v>2030402</v>
      </c>
      <c r="C73" s="2920">
        <v>0.1</v>
      </c>
      <c r="D73" s="2921" t="s">
        <v>429</v>
      </c>
      <c r="E73" s="4387">
        <f t="shared" si="154"/>
        <v>2.7</v>
      </c>
      <c r="F73" s="2905">
        <f>($E24*$C73)-(F24*$C73)</f>
        <v>5.4</v>
      </c>
      <c r="G73" s="2903">
        <f t="shared" si="155"/>
        <v>5.4</v>
      </c>
      <c r="H73" s="2903">
        <f t="shared" si="155"/>
        <v>4.3000000000000007</v>
      </c>
      <c r="I73" s="2903">
        <f t="shared" si="155"/>
        <v>3.7000000000000006</v>
      </c>
      <c r="J73" s="2903">
        <f t="shared" si="155"/>
        <v>1.9000000000000006</v>
      </c>
      <c r="K73" s="2904">
        <f t="shared" si="155"/>
        <v>1.9000000000000006</v>
      </c>
      <c r="L73" s="4387">
        <f t="shared" si="156"/>
        <v>0</v>
      </c>
      <c r="M73" s="2905">
        <f>($L24*$C73)-(M24*$C73)</f>
        <v>0</v>
      </c>
      <c r="N73" s="2903">
        <f t="shared" si="157"/>
        <v>0</v>
      </c>
      <c r="O73" s="2903">
        <f t="shared" si="157"/>
        <v>-0.1</v>
      </c>
      <c r="P73" s="2903">
        <f t="shared" si="157"/>
        <v>-0.1</v>
      </c>
      <c r="Q73" s="2903">
        <f t="shared" si="157"/>
        <v>-0.1</v>
      </c>
      <c r="R73" s="2906">
        <f t="shared" si="157"/>
        <v>-0.1</v>
      </c>
      <c r="S73" s="4387">
        <f t="shared" si="158"/>
        <v>0</v>
      </c>
      <c r="T73" s="4170">
        <f>($S24*$C73)-(T24*$C73)</f>
        <v>0</v>
      </c>
      <c r="U73" s="2903">
        <f t="shared" si="159"/>
        <v>0</v>
      </c>
      <c r="V73" s="2903">
        <f t="shared" si="159"/>
        <v>0</v>
      </c>
      <c r="W73" s="2903">
        <f t="shared" si="159"/>
        <v>0</v>
      </c>
      <c r="X73" s="2903">
        <f t="shared" si="159"/>
        <v>-0.1</v>
      </c>
      <c r="Y73" s="2906">
        <f t="shared" si="159"/>
        <v>-0.1</v>
      </c>
      <c r="Z73" s="4387">
        <f t="shared" si="160"/>
        <v>0</v>
      </c>
      <c r="AA73" s="4170">
        <f t="shared" si="161"/>
        <v>0</v>
      </c>
      <c r="AB73" s="2903">
        <f t="shared" si="162"/>
        <v>0</v>
      </c>
      <c r="AC73" s="2903">
        <f t="shared" si="162"/>
        <v>0</v>
      </c>
      <c r="AD73" s="2903">
        <f t="shared" si="162"/>
        <v>0</v>
      </c>
      <c r="AE73" s="2903">
        <f t="shared" si="162"/>
        <v>0</v>
      </c>
      <c r="AF73" s="2906">
        <f t="shared" si="162"/>
        <v>0</v>
      </c>
      <c r="AG73" s="4387">
        <f t="shared" si="163"/>
        <v>0</v>
      </c>
      <c r="AH73" s="4170">
        <f t="shared" si="164"/>
        <v>0</v>
      </c>
      <c r="AI73" s="2903">
        <f t="shared" si="165"/>
        <v>0</v>
      </c>
      <c r="AJ73" s="2903">
        <f t="shared" si="165"/>
        <v>0</v>
      </c>
      <c r="AK73" s="2903">
        <f t="shared" si="165"/>
        <v>0</v>
      </c>
      <c r="AL73" s="2903">
        <f t="shared" si="165"/>
        <v>0</v>
      </c>
      <c r="AM73" s="2906">
        <f t="shared" si="165"/>
        <v>0</v>
      </c>
      <c r="AN73" s="4066"/>
      <c r="AO73" s="2988"/>
      <c r="AP73" s="2989"/>
      <c r="AQ73" s="2989"/>
      <c r="AR73" s="2989"/>
      <c r="AS73" s="2989"/>
      <c r="AT73" s="2990"/>
      <c r="AU73" s="4422"/>
      <c r="AV73" s="4438">
        <f t="shared" si="40"/>
        <v>1.38048807922979</v>
      </c>
      <c r="AW73" s="4438">
        <f t="shared" si="41"/>
        <v>2.76097615845958</v>
      </c>
      <c r="AX73" s="4438">
        <f t="shared" si="42"/>
        <v>2.76097615845958</v>
      </c>
      <c r="AY73" s="4438">
        <f t="shared" si="43"/>
        <v>2.1985550891437398</v>
      </c>
      <c r="AZ73" s="4438">
        <f t="shared" si="44"/>
        <v>1.8917799604260088</v>
      </c>
      <c r="BA73" s="4438">
        <f t="shared" si="45"/>
        <v>0.97145457427281545</v>
      </c>
      <c r="BB73" s="4438">
        <f t="shared" si="46"/>
        <v>0.97145457427281545</v>
      </c>
      <c r="BC73" s="4438">
        <f t="shared" si="47"/>
        <v>0</v>
      </c>
      <c r="BD73" s="4438">
        <f t="shared" si="48"/>
        <v>0</v>
      </c>
      <c r="BE73" s="4438">
        <f t="shared" si="49"/>
        <v>0</v>
      </c>
      <c r="BF73" s="4438">
        <f t="shared" si="50"/>
        <v>-5.1129188119621853E-2</v>
      </c>
      <c r="BG73" s="4438">
        <f t="shared" si="51"/>
        <v>-5.1129188119621853E-2</v>
      </c>
      <c r="BH73" s="4438">
        <f t="shared" si="52"/>
        <v>-5.1129188119621853E-2</v>
      </c>
      <c r="BI73" s="4438">
        <f t="shared" si="53"/>
        <v>-5.1129188119621853E-2</v>
      </c>
      <c r="BJ73" s="4438">
        <f t="shared" si="54"/>
        <v>0</v>
      </c>
      <c r="BK73" s="4438">
        <f t="shared" si="55"/>
        <v>0</v>
      </c>
      <c r="BL73" s="4438">
        <f t="shared" si="56"/>
        <v>0</v>
      </c>
      <c r="BM73" s="4438">
        <f t="shared" si="57"/>
        <v>0</v>
      </c>
      <c r="BN73" s="4438">
        <f t="shared" si="58"/>
        <v>0</v>
      </c>
      <c r="BO73" s="4438">
        <f t="shared" si="59"/>
        <v>-5.1129188119621853E-2</v>
      </c>
      <c r="BP73" s="4438">
        <f t="shared" si="60"/>
        <v>-5.1129188119621853E-2</v>
      </c>
      <c r="BQ73" s="4438">
        <f t="shared" si="61"/>
        <v>0</v>
      </c>
      <c r="BR73" s="4438">
        <f t="shared" si="62"/>
        <v>0</v>
      </c>
      <c r="BS73" s="4438">
        <f t="shared" si="63"/>
        <v>0</v>
      </c>
      <c r="BT73" s="4438">
        <f t="shared" si="64"/>
        <v>0</v>
      </c>
      <c r="BU73" s="4438">
        <f t="shared" si="65"/>
        <v>0</v>
      </c>
      <c r="BV73" s="4438">
        <f t="shared" si="66"/>
        <v>0</v>
      </c>
      <c r="BW73" s="4438">
        <f t="shared" si="67"/>
        <v>0</v>
      </c>
      <c r="BX73" s="4438">
        <f t="shared" si="68"/>
        <v>0</v>
      </c>
      <c r="BY73" s="4438">
        <f t="shared" si="69"/>
        <v>0</v>
      </c>
      <c r="BZ73" s="4438">
        <f t="shared" si="70"/>
        <v>0</v>
      </c>
      <c r="CA73" s="4438">
        <f t="shared" si="71"/>
        <v>0</v>
      </c>
      <c r="CB73" s="4438">
        <f t="shared" si="72"/>
        <v>0</v>
      </c>
      <c r="CC73" s="4438">
        <f t="shared" si="73"/>
        <v>0</v>
      </c>
      <c r="CD73" s="4438">
        <f t="shared" si="74"/>
        <v>0</v>
      </c>
    </row>
    <row r="74" spans="1:82" s="659" customFormat="1">
      <c r="A74" s="2854"/>
      <c r="B74" s="2854">
        <v>20305</v>
      </c>
      <c r="C74" s="2916"/>
      <c r="D74" s="2915" t="s">
        <v>430</v>
      </c>
      <c r="E74" s="4168">
        <f>SUM(E75:E77)</f>
        <v>21.650000000000002</v>
      </c>
      <c r="F74" s="2917">
        <f t="shared" ref="F74:AN74" si="166">SUM(F75:F77)</f>
        <v>43.300000000000004</v>
      </c>
      <c r="G74" s="2861">
        <f t="shared" si="166"/>
        <v>43.300000000000004</v>
      </c>
      <c r="H74" s="2861">
        <f t="shared" si="166"/>
        <v>31.299999999999997</v>
      </c>
      <c r="I74" s="2861">
        <f t="shared" si="166"/>
        <v>20.2</v>
      </c>
      <c r="J74" s="2861">
        <f t="shared" si="166"/>
        <v>8.9999999999999982</v>
      </c>
      <c r="K74" s="2862">
        <f t="shared" si="166"/>
        <v>3.3999999999999968</v>
      </c>
      <c r="L74" s="4168">
        <f>SUM(L75:L77)</f>
        <v>3.9000000000000004</v>
      </c>
      <c r="M74" s="2918">
        <f t="shared" si="166"/>
        <v>7.8000000000000007</v>
      </c>
      <c r="N74" s="2861">
        <f t="shared" si="166"/>
        <v>7.8000000000000007</v>
      </c>
      <c r="O74" s="2861">
        <f t="shared" si="166"/>
        <v>7.8000000000000007</v>
      </c>
      <c r="P74" s="2861">
        <f t="shared" si="166"/>
        <v>7.8000000000000007</v>
      </c>
      <c r="Q74" s="2861">
        <f t="shared" si="166"/>
        <v>7.6000000000000005</v>
      </c>
      <c r="R74" s="2863">
        <f t="shared" si="166"/>
        <v>7.1000000000000005</v>
      </c>
      <c r="S74" s="4173">
        <f>SUM(S75:S77)</f>
        <v>7.65</v>
      </c>
      <c r="T74" s="2860">
        <f t="shared" si="166"/>
        <v>15.3</v>
      </c>
      <c r="U74" s="2861">
        <f t="shared" si="166"/>
        <v>15.3</v>
      </c>
      <c r="V74" s="2861">
        <f t="shared" si="166"/>
        <v>15.3</v>
      </c>
      <c r="W74" s="2861">
        <f t="shared" si="166"/>
        <v>15.3</v>
      </c>
      <c r="X74" s="2861">
        <f t="shared" si="166"/>
        <v>14.700000000000001</v>
      </c>
      <c r="Y74" s="2863">
        <f t="shared" si="166"/>
        <v>14.700000000000001</v>
      </c>
      <c r="Z74" s="4173">
        <f>SUM(Z75:Z77)</f>
        <v>0</v>
      </c>
      <c r="AA74" s="2860">
        <f t="shared" si="166"/>
        <v>0</v>
      </c>
      <c r="AB74" s="2861">
        <f t="shared" si="166"/>
        <v>0</v>
      </c>
      <c r="AC74" s="2861">
        <f t="shared" si="166"/>
        <v>0</v>
      </c>
      <c r="AD74" s="2861">
        <f t="shared" si="166"/>
        <v>0</v>
      </c>
      <c r="AE74" s="2861">
        <f t="shared" si="166"/>
        <v>0</v>
      </c>
      <c r="AF74" s="2863">
        <f t="shared" si="166"/>
        <v>0</v>
      </c>
      <c r="AG74" s="4173">
        <f>SUM(AG75:AG77)</f>
        <v>0</v>
      </c>
      <c r="AH74" s="2860">
        <f t="shared" si="166"/>
        <v>0</v>
      </c>
      <c r="AI74" s="2861">
        <f t="shared" si="166"/>
        <v>0</v>
      </c>
      <c r="AJ74" s="2861">
        <f t="shared" si="166"/>
        <v>0</v>
      </c>
      <c r="AK74" s="2861">
        <f t="shared" si="166"/>
        <v>0</v>
      </c>
      <c r="AL74" s="2861">
        <f t="shared" si="166"/>
        <v>0</v>
      </c>
      <c r="AM74" s="2863">
        <f t="shared" si="166"/>
        <v>0</v>
      </c>
      <c r="AN74" s="4068">
        <f t="shared" si="166"/>
        <v>0</v>
      </c>
      <c r="AO74" s="2988"/>
      <c r="AP74" s="2989"/>
      <c r="AQ74" s="2989"/>
      <c r="AR74" s="2989"/>
      <c r="AS74" s="2989"/>
      <c r="AT74" s="2990"/>
      <c r="AU74" s="4422"/>
      <c r="AV74" s="4438">
        <f t="shared" si="40"/>
        <v>11.069469227898132</v>
      </c>
      <c r="AW74" s="4438">
        <f t="shared" si="41"/>
        <v>22.138938455796264</v>
      </c>
      <c r="AX74" s="4438">
        <f t="shared" si="42"/>
        <v>22.138938455796264</v>
      </c>
      <c r="AY74" s="4438">
        <f t="shared" si="43"/>
        <v>16.003435881441636</v>
      </c>
      <c r="AZ74" s="4438">
        <f t="shared" si="44"/>
        <v>10.328096000163614</v>
      </c>
      <c r="BA74" s="4438">
        <f t="shared" si="45"/>
        <v>4.6016269307659652</v>
      </c>
      <c r="BB74" s="4438">
        <f t="shared" si="46"/>
        <v>1.7383923960671412</v>
      </c>
      <c r="BC74" s="4438">
        <f t="shared" si="47"/>
        <v>1.9940383366652523</v>
      </c>
      <c r="BD74" s="4438">
        <f t="shared" si="48"/>
        <v>3.9880766733305046</v>
      </c>
      <c r="BE74" s="4438">
        <f t="shared" si="49"/>
        <v>3.9880766733305046</v>
      </c>
      <c r="BF74" s="4438">
        <f t="shared" si="50"/>
        <v>3.9880766733305046</v>
      </c>
      <c r="BG74" s="4438">
        <f t="shared" si="51"/>
        <v>3.9880766733305046</v>
      </c>
      <c r="BH74" s="4438">
        <f t="shared" si="52"/>
        <v>3.8858182970912609</v>
      </c>
      <c r="BI74" s="4438">
        <f t="shared" si="53"/>
        <v>3.6301723564931514</v>
      </c>
      <c r="BJ74" s="4438">
        <f t="shared" si="54"/>
        <v>3.9113828911510717</v>
      </c>
      <c r="BK74" s="4438">
        <f t="shared" si="55"/>
        <v>7.8227657823021435</v>
      </c>
      <c r="BL74" s="4438">
        <f t="shared" si="56"/>
        <v>7.8227657823021435</v>
      </c>
      <c r="BM74" s="4438">
        <f t="shared" si="57"/>
        <v>7.8227657823021435</v>
      </c>
      <c r="BN74" s="4438">
        <f t="shared" si="58"/>
        <v>7.8227657823021435</v>
      </c>
      <c r="BO74" s="4438">
        <f t="shared" si="59"/>
        <v>7.5159906535844128</v>
      </c>
      <c r="BP74" s="4438">
        <f t="shared" si="60"/>
        <v>7.5159906535844128</v>
      </c>
      <c r="BQ74" s="4438">
        <f t="shared" si="61"/>
        <v>0</v>
      </c>
      <c r="BR74" s="4438">
        <f t="shared" si="62"/>
        <v>0</v>
      </c>
      <c r="BS74" s="4438">
        <f t="shared" si="63"/>
        <v>0</v>
      </c>
      <c r="BT74" s="4438">
        <f t="shared" si="64"/>
        <v>0</v>
      </c>
      <c r="BU74" s="4438">
        <f t="shared" si="65"/>
        <v>0</v>
      </c>
      <c r="BV74" s="4438">
        <f t="shared" si="66"/>
        <v>0</v>
      </c>
      <c r="BW74" s="4438">
        <f t="shared" si="67"/>
        <v>0</v>
      </c>
      <c r="BX74" s="4438">
        <f t="shared" si="68"/>
        <v>0</v>
      </c>
      <c r="BY74" s="4438">
        <f t="shared" si="69"/>
        <v>0</v>
      </c>
      <c r="BZ74" s="4438">
        <f t="shared" si="70"/>
        <v>0</v>
      </c>
      <c r="CA74" s="4438">
        <f t="shared" si="71"/>
        <v>0</v>
      </c>
      <c r="CB74" s="4438">
        <f t="shared" si="72"/>
        <v>0</v>
      </c>
      <c r="CC74" s="4438">
        <f t="shared" si="73"/>
        <v>0</v>
      </c>
      <c r="CD74" s="4438">
        <f t="shared" si="74"/>
        <v>0</v>
      </c>
    </row>
    <row r="75" spans="1:82" s="659" customFormat="1">
      <c r="A75" s="2854"/>
      <c r="B75" s="2854">
        <v>2030501</v>
      </c>
      <c r="C75" s="2922">
        <v>0.1</v>
      </c>
      <c r="D75" s="2921" t="s">
        <v>1001</v>
      </c>
      <c r="E75" s="4387">
        <f t="shared" ref="E75:E78" si="167">+E26*$C75/2</f>
        <v>14.55</v>
      </c>
      <c r="F75" s="2905">
        <f>($E26*$C75)-(F26*$C75)</f>
        <v>29.1</v>
      </c>
      <c r="G75" s="2903">
        <f t="shared" ref="G75:K78" si="168">F75-(G26*$C75)</f>
        <v>29.1</v>
      </c>
      <c r="H75" s="2903">
        <f t="shared" si="168"/>
        <v>25.5</v>
      </c>
      <c r="I75" s="2903">
        <f t="shared" si="168"/>
        <v>21.3</v>
      </c>
      <c r="J75" s="2903">
        <f t="shared" si="168"/>
        <v>18.5</v>
      </c>
      <c r="K75" s="2904">
        <f t="shared" si="168"/>
        <v>17.899999999999999</v>
      </c>
      <c r="L75" s="4387">
        <f t="shared" ref="L75:L78" si="169">+L26*$C75/2</f>
        <v>3.9000000000000004</v>
      </c>
      <c r="M75" s="2905">
        <f>($L26*$C75)-(M26*$C75)</f>
        <v>7.8000000000000007</v>
      </c>
      <c r="N75" s="2903">
        <f t="shared" ref="N75:R78" si="170">M75-(N26*$C75)</f>
        <v>7.8000000000000007</v>
      </c>
      <c r="O75" s="2903">
        <f t="shared" si="170"/>
        <v>7.8000000000000007</v>
      </c>
      <c r="P75" s="2903">
        <f t="shared" si="170"/>
        <v>7.8000000000000007</v>
      </c>
      <c r="Q75" s="2903">
        <f t="shared" si="170"/>
        <v>7.6000000000000005</v>
      </c>
      <c r="R75" s="2906">
        <f t="shared" si="170"/>
        <v>7.1000000000000005</v>
      </c>
      <c r="S75" s="4387">
        <f t="shared" ref="S75:S78" si="171">+S26*$C75/2</f>
        <v>7.65</v>
      </c>
      <c r="T75" s="4170">
        <f>($S26*$C75)-(T26*$C75)</f>
        <v>15.3</v>
      </c>
      <c r="U75" s="2903">
        <f t="shared" ref="U75:Y78" si="172">T75-(U26*$C75)</f>
        <v>15.3</v>
      </c>
      <c r="V75" s="2903">
        <f t="shared" si="172"/>
        <v>15.3</v>
      </c>
      <c r="W75" s="2903">
        <f t="shared" si="172"/>
        <v>15.3</v>
      </c>
      <c r="X75" s="2903">
        <f t="shared" si="172"/>
        <v>15.3</v>
      </c>
      <c r="Y75" s="2906">
        <f t="shared" si="172"/>
        <v>15.3</v>
      </c>
      <c r="Z75" s="4387">
        <f t="shared" ref="Z75:Z78" si="173">+Z26*$C75/2</f>
        <v>0</v>
      </c>
      <c r="AA75" s="4170">
        <f t="shared" ref="AA75:AA78" si="174">($Z26*$C75)-(AA26*$C75)</f>
        <v>0</v>
      </c>
      <c r="AB75" s="2903">
        <f t="shared" ref="AB75:AF78" si="175">AA75-(AB26*$C75)</f>
        <v>0</v>
      </c>
      <c r="AC75" s="2903">
        <f t="shared" si="175"/>
        <v>0</v>
      </c>
      <c r="AD75" s="2903">
        <f t="shared" si="175"/>
        <v>0</v>
      </c>
      <c r="AE75" s="2903">
        <f t="shared" si="175"/>
        <v>0</v>
      </c>
      <c r="AF75" s="2906">
        <f t="shared" si="175"/>
        <v>0</v>
      </c>
      <c r="AG75" s="4387">
        <f t="shared" ref="AG75:AG78" si="176">+AG26*$C75/2</f>
        <v>0</v>
      </c>
      <c r="AH75" s="4170">
        <f t="shared" ref="AH75:AH78" si="177">($AG26*$C75)-(AH26*$C75)</f>
        <v>0</v>
      </c>
      <c r="AI75" s="2903">
        <f t="shared" ref="AI75:AM78" si="178">AH75-(AI26*$C75)</f>
        <v>0</v>
      </c>
      <c r="AJ75" s="2903">
        <f t="shared" si="178"/>
        <v>0</v>
      </c>
      <c r="AK75" s="2903">
        <f t="shared" si="178"/>
        <v>0</v>
      </c>
      <c r="AL75" s="2903">
        <f t="shared" si="178"/>
        <v>0</v>
      </c>
      <c r="AM75" s="2906">
        <f t="shared" si="178"/>
        <v>0</v>
      </c>
      <c r="AN75" s="4066"/>
      <c r="AO75" s="2988"/>
      <c r="AP75" s="2989"/>
      <c r="AQ75" s="2989"/>
      <c r="AR75" s="2989"/>
      <c r="AS75" s="2989"/>
      <c r="AT75" s="2990"/>
      <c r="AU75" s="4422"/>
      <c r="AV75" s="4438">
        <f t="shared" si="40"/>
        <v>7.4392968714049799</v>
      </c>
      <c r="AW75" s="4438">
        <f t="shared" si="41"/>
        <v>14.87859374280996</v>
      </c>
      <c r="AX75" s="4438">
        <f t="shared" si="42"/>
        <v>14.87859374280996</v>
      </c>
      <c r="AY75" s="4438">
        <f t="shared" si="43"/>
        <v>13.037942970503572</v>
      </c>
      <c r="AZ75" s="4438">
        <f t="shared" si="44"/>
        <v>10.890517069479454</v>
      </c>
      <c r="BA75" s="4438">
        <f t="shared" si="45"/>
        <v>9.458899802130043</v>
      </c>
      <c r="BB75" s="4438">
        <f t="shared" si="46"/>
        <v>9.1521246734123096</v>
      </c>
      <c r="BC75" s="4438">
        <f t="shared" si="47"/>
        <v>1.9940383366652523</v>
      </c>
      <c r="BD75" s="4438">
        <f t="shared" si="48"/>
        <v>3.9880766733305046</v>
      </c>
      <c r="BE75" s="4438">
        <f t="shared" si="49"/>
        <v>3.9880766733305046</v>
      </c>
      <c r="BF75" s="4438">
        <f t="shared" si="50"/>
        <v>3.9880766733305046</v>
      </c>
      <c r="BG75" s="4438">
        <f t="shared" si="51"/>
        <v>3.9880766733305046</v>
      </c>
      <c r="BH75" s="4438">
        <f t="shared" si="52"/>
        <v>3.8858182970912609</v>
      </c>
      <c r="BI75" s="4438">
        <f t="shared" si="53"/>
        <v>3.6301723564931514</v>
      </c>
      <c r="BJ75" s="4438">
        <f t="shared" si="54"/>
        <v>3.9113828911510717</v>
      </c>
      <c r="BK75" s="4438">
        <f t="shared" si="55"/>
        <v>7.8227657823021435</v>
      </c>
      <c r="BL75" s="4438">
        <f t="shared" si="56"/>
        <v>7.8227657823021435</v>
      </c>
      <c r="BM75" s="4438">
        <f t="shared" si="57"/>
        <v>7.8227657823021435</v>
      </c>
      <c r="BN75" s="4438">
        <f t="shared" si="58"/>
        <v>7.8227657823021435</v>
      </c>
      <c r="BO75" s="4438">
        <f t="shared" si="59"/>
        <v>7.8227657823021435</v>
      </c>
      <c r="BP75" s="4438">
        <f t="shared" si="60"/>
        <v>7.8227657823021435</v>
      </c>
      <c r="BQ75" s="4438">
        <f t="shared" si="61"/>
        <v>0</v>
      </c>
      <c r="BR75" s="4438">
        <f t="shared" si="62"/>
        <v>0</v>
      </c>
      <c r="BS75" s="4438">
        <f t="shared" si="63"/>
        <v>0</v>
      </c>
      <c r="BT75" s="4438">
        <f t="shared" si="64"/>
        <v>0</v>
      </c>
      <c r="BU75" s="4438">
        <f t="shared" si="65"/>
        <v>0</v>
      </c>
      <c r="BV75" s="4438">
        <f t="shared" si="66"/>
        <v>0</v>
      </c>
      <c r="BW75" s="4438">
        <f t="shared" si="67"/>
        <v>0</v>
      </c>
      <c r="BX75" s="4438">
        <f t="shared" si="68"/>
        <v>0</v>
      </c>
      <c r="BY75" s="4438">
        <f t="shared" si="69"/>
        <v>0</v>
      </c>
      <c r="BZ75" s="4438">
        <f t="shared" si="70"/>
        <v>0</v>
      </c>
      <c r="CA75" s="4438">
        <f t="shared" si="71"/>
        <v>0</v>
      </c>
      <c r="CB75" s="4438">
        <f t="shared" si="72"/>
        <v>0</v>
      </c>
      <c r="CC75" s="4438">
        <f t="shared" si="73"/>
        <v>0</v>
      </c>
      <c r="CD75" s="4438">
        <f t="shared" si="74"/>
        <v>0</v>
      </c>
    </row>
    <row r="76" spans="1:82" s="659" customFormat="1" ht="25.5">
      <c r="A76" s="2854"/>
      <c r="B76" s="2574">
        <v>2030502</v>
      </c>
      <c r="C76" s="2868">
        <v>0.1</v>
      </c>
      <c r="D76" s="2923" t="s">
        <v>695</v>
      </c>
      <c r="E76" s="4387">
        <f t="shared" si="167"/>
        <v>7</v>
      </c>
      <c r="F76" s="2905">
        <f>($E27*$C76)-(F27*$C76)</f>
        <v>14</v>
      </c>
      <c r="G76" s="2903">
        <f t="shared" si="168"/>
        <v>14</v>
      </c>
      <c r="H76" s="2903">
        <f t="shared" si="168"/>
        <v>7.3</v>
      </c>
      <c r="I76" s="2903">
        <f t="shared" si="168"/>
        <v>0.59999999999999964</v>
      </c>
      <c r="J76" s="2903">
        <f t="shared" si="168"/>
        <v>-6.1000000000000005</v>
      </c>
      <c r="K76" s="2904">
        <f t="shared" si="168"/>
        <v>-10.200000000000001</v>
      </c>
      <c r="L76" s="4387">
        <f t="shared" si="169"/>
        <v>0</v>
      </c>
      <c r="M76" s="2905">
        <f>($L27*$C76)-(M27*$C76)</f>
        <v>0</v>
      </c>
      <c r="N76" s="2903">
        <f t="shared" si="170"/>
        <v>0</v>
      </c>
      <c r="O76" s="2903">
        <f t="shared" si="170"/>
        <v>0</v>
      </c>
      <c r="P76" s="2903">
        <f t="shared" si="170"/>
        <v>0</v>
      </c>
      <c r="Q76" s="2903">
        <f t="shared" si="170"/>
        <v>0</v>
      </c>
      <c r="R76" s="2906">
        <f t="shared" si="170"/>
        <v>0</v>
      </c>
      <c r="S76" s="4387">
        <f t="shared" si="171"/>
        <v>0</v>
      </c>
      <c r="T76" s="4170">
        <f>($S27*$C76)-(T27*$C76)</f>
        <v>0</v>
      </c>
      <c r="U76" s="2903">
        <f t="shared" si="172"/>
        <v>0</v>
      </c>
      <c r="V76" s="2903">
        <f t="shared" si="172"/>
        <v>0</v>
      </c>
      <c r="W76" s="2903">
        <f t="shared" si="172"/>
        <v>0</v>
      </c>
      <c r="X76" s="2903">
        <f t="shared" si="172"/>
        <v>0</v>
      </c>
      <c r="Y76" s="2906">
        <f t="shared" si="172"/>
        <v>0</v>
      </c>
      <c r="Z76" s="4387">
        <f t="shared" si="173"/>
        <v>0</v>
      </c>
      <c r="AA76" s="4170">
        <f t="shared" si="174"/>
        <v>0</v>
      </c>
      <c r="AB76" s="2903">
        <f t="shared" si="175"/>
        <v>0</v>
      </c>
      <c r="AC76" s="2903">
        <f t="shared" si="175"/>
        <v>0</v>
      </c>
      <c r="AD76" s="2903">
        <f t="shared" si="175"/>
        <v>0</v>
      </c>
      <c r="AE76" s="2903">
        <f t="shared" si="175"/>
        <v>0</v>
      </c>
      <c r="AF76" s="2906">
        <f t="shared" si="175"/>
        <v>0</v>
      </c>
      <c r="AG76" s="4387">
        <f t="shared" si="176"/>
        <v>0</v>
      </c>
      <c r="AH76" s="4170">
        <f t="shared" si="177"/>
        <v>0</v>
      </c>
      <c r="AI76" s="2903">
        <f t="shared" si="178"/>
        <v>0</v>
      </c>
      <c r="AJ76" s="2903">
        <f t="shared" si="178"/>
        <v>0</v>
      </c>
      <c r="AK76" s="2903">
        <f t="shared" si="178"/>
        <v>0</v>
      </c>
      <c r="AL76" s="2903">
        <f t="shared" si="178"/>
        <v>0</v>
      </c>
      <c r="AM76" s="2906">
        <f t="shared" si="178"/>
        <v>0</v>
      </c>
      <c r="AN76" s="4066"/>
      <c r="AO76" s="2988"/>
      <c r="AP76" s="2989"/>
      <c r="AQ76" s="2989"/>
      <c r="AR76" s="2989"/>
      <c r="AS76" s="2989"/>
      <c r="AT76" s="2990"/>
      <c r="AU76" s="4422"/>
      <c r="AV76" s="4438">
        <f t="shared" ref="AV76:AV108" si="179">IFERROR(E76/$D$1,0)</f>
        <v>3.5790431683735293</v>
      </c>
      <c r="AW76" s="4438">
        <f t="shared" ref="AW76:AW108" si="180">IFERROR(F76/$D$1,0)</f>
        <v>7.1580863367470586</v>
      </c>
      <c r="AX76" s="4438">
        <f t="shared" ref="AX76:AX108" si="181">IFERROR(G76/$D$1,0)</f>
        <v>7.1580863367470586</v>
      </c>
      <c r="AY76" s="4438">
        <f t="shared" ref="AY76:AY108" si="182">IFERROR(H76/$D$1,0)</f>
        <v>3.7324307327323951</v>
      </c>
      <c r="AZ76" s="4438">
        <f t="shared" ref="AZ76:AZ108" si="183">IFERROR(I76/$D$1,0)</f>
        <v>0.30677512871773094</v>
      </c>
      <c r="BA76" s="4438">
        <f t="shared" ref="BA76:BA108" si="184">IFERROR(J76/$D$1,0)</f>
        <v>-3.1188804752969332</v>
      </c>
      <c r="BB76" s="4438">
        <f t="shared" ref="BB76:BB108" si="185">IFERROR(K76/$D$1,0)</f>
        <v>-5.2151771882014293</v>
      </c>
      <c r="BC76" s="4438">
        <f t="shared" ref="BC76:BC108" si="186">IFERROR(L76/$D$1,0)</f>
        <v>0</v>
      </c>
      <c r="BD76" s="4438">
        <f t="shared" ref="BD76:BD108" si="187">IFERROR(M76/$D$1,0)</f>
        <v>0</v>
      </c>
      <c r="BE76" s="4438">
        <f t="shared" ref="BE76:BE108" si="188">IFERROR(N76/$D$1,0)</f>
        <v>0</v>
      </c>
      <c r="BF76" s="4438">
        <f t="shared" ref="BF76:BF108" si="189">IFERROR(O76/$D$1,0)</f>
        <v>0</v>
      </c>
      <c r="BG76" s="4438">
        <f t="shared" ref="BG76:BG108" si="190">IFERROR(P76/$D$1,0)</f>
        <v>0</v>
      </c>
      <c r="BH76" s="4438">
        <f t="shared" ref="BH76:BH108" si="191">IFERROR(Q76/$D$1,0)</f>
        <v>0</v>
      </c>
      <c r="BI76" s="4438">
        <f t="shared" ref="BI76:BI108" si="192">IFERROR(R76/$D$1,0)</f>
        <v>0</v>
      </c>
      <c r="BJ76" s="4438">
        <f t="shared" ref="BJ76:BJ108" si="193">IFERROR(S76/$D$1,0)</f>
        <v>0</v>
      </c>
      <c r="BK76" s="4438">
        <f t="shared" ref="BK76:BK108" si="194">IFERROR(T76/$D$1,0)</f>
        <v>0</v>
      </c>
      <c r="BL76" s="4438">
        <f t="shared" ref="BL76:BL108" si="195">IFERROR(U76/$D$1,0)</f>
        <v>0</v>
      </c>
      <c r="BM76" s="4438">
        <f t="shared" ref="BM76:BM108" si="196">IFERROR(V76/$D$1,0)</f>
        <v>0</v>
      </c>
      <c r="BN76" s="4438">
        <f t="shared" ref="BN76:BN108" si="197">IFERROR(W76/$D$1,0)</f>
        <v>0</v>
      </c>
      <c r="BO76" s="4438">
        <f t="shared" ref="BO76:BO108" si="198">IFERROR(X76/$D$1,0)</f>
        <v>0</v>
      </c>
      <c r="BP76" s="4438">
        <f t="shared" ref="BP76:BP108" si="199">IFERROR(Y76/$D$1,0)</f>
        <v>0</v>
      </c>
      <c r="BQ76" s="4438">
        <f t="shared" ref="BQ76:BQ108" si="200">IFERROR(Z76/$D$1,0)</f>
        <v>0</v>
      </c>
      <c r="BR76" s="4438">
        <f t="shared" ref="BR76:BR108" si="201">IFERROR(AA76/$D$1,0)</f>
        <v>0</v>
      </c>
      <c r="BS76" s="4438">
        <f t="shared" ref="BS76:BS108" si="202">IFERROR(AB76/$D$1,0)</f>
        <v>0</v>
      </c>
      <c r="BT76" s="4438">
        <f t="shared" ref="BT76:BT108" si="203">IFERROR(AC76/$D$1,0)</f>
        <v>0</v>
      </c>
      <c r="BU76" s="4438">
        <f t="shared" ref="BU76:BU108" si="204">IFERROR(AD76/$D$1,0)</f>
        <v>0</v>
      </c>
      <c r="BV76" s="4438">
        <f t="shared" ref="BV76:BV108" si="205">IFERROR(AE76/$D$1,0)</f>
        <v>0</v>
      </c>
      <c r="BW76" s="4438">
        <f t="shared" ref="BW76:BW108" si="206">IFERROR(AF76/$D$1,0)</f>
        <v>0</v>
      </c>
      <c r="BX76" s="4438">
        <f t="shared" ref="BX76:BX108" si="207">IFERROR(AG76/$D$1,0)</f>
        <v>0</v>
      </c>
      <c r="BY76" s="4438">
        <f t="shared" ref="BY76:BY108" si="208">IFERROR(AH76/$D$1,0)</f>
        <v>0</v>
      </c>
      <c r="BZ76" s="4438">
        <f t="shared" ref="BZ76:BZ108" si="209">IFERROR(AI76/$D$1,0)</f>
        <v>0</v>
      </c>
      <c r="CA76" s="4438">
        <f t="shared" ref="CA76:CA108" si="210">IFERROR(AJ76/$D$1,0)</f>
        <v>0</v>
      </c>
      <c r="CB76" s="4438">
        <f t="shared" ref="CB76:CB108" si="211">IFERROR(AK76/$D$1,0)</f>
        <v>0</v>
      </c>
      <c r="CC76" s="4438">
        <f t="shared" ref="CC76:CC108" si="212">IFERROR(AL76/$D$1,0)</f>
        <v>0</v>
      </c>
      <c r="CD76" s="4438">
        <f t="shared" ref="CD76:CD108" si="213">IFERROR(AM76/$D$1,0)</f>
        <v>0</v>
      </c>
    </row>
    <row r="77" spans="1:82" s="659" customFormat="1">
      <c r="A77" s="2854"/>
      <c r="B77" s="2574">
        <v>2030503</v>
      </c>
      <c r="C77" s="2868">
        <v>0.1</v>
      </c>
      <c r="D77" s="2923" t="s">
        <v>713</v>
      </c>
      <c r="E77" s="4387">
        <f t="shared" si="167"/>
        <v>0.1</v>
      </c>
      <c r="F77" s="2905">
        <f>($E28*$C77)-(F28*$C77)</f>
        <v>0.2</v>
      </c>
      <c r="G77" s="2903">
        <f t="shared" si="168"/>
        <v>0.2</v>
      </c>
      <c r="H77" s="2903">
        <f t="shared" si="168"/>
        <v>-1.5000000000000002</v>
      </c>
      <c r="I77" s="2903">
        <f t="shared" si="168"/>
        <v>-1.7000000000000002</v>
      </c>
      <c r="J77" s="2903">
        <f t="shared" si="168"/>
        <v>-3.4000000000000004</v>
      </c>
      <c r="K77" s="2904">
        <f t="shared" si="168"/>
        <v>-4.3000000000000007</v>
      </c>
      <c r="L77" s="4387">
        <f t="shared" si="169"/>
        <v>0</v>
      </c>
      <c r="M77" s="2905">
        <f>($L28*$C77)-(M28*$C77)</f>
        <v>0</v>
      </c>
      <c r="N77" s="2903">
        <f t="shared" si="170"/>
        <v>0</v>
      </c>
      <c r="O77" s="2903">
        <f t="shared" si="170"/>
        <v>0</v>
      </c>
      <c r="P77" s="2903">
        <f t="shared" si="170"/>
        <v>0</v>
      </c>
      <c r="Q77" s="2903">
        <f t="shared" si="170"/>
        <v>0</v>
      </c>
      <c r="R77" s="2906">
        <f t="shared" si="170"/>
        <v>0</v>
      </c>
      <c r="S77" s="4387">
        <f t="shared" si="171"/>
        <v>0</v>
      </c>
      <c r="T77" s="4170">
        <f>($S28*$C77)-(T28*$C77)</f>
        <v>0</v>
      </c>
      <c r="U77" s="2903">
        <f t="shared" si="172"/>
        <v>0</v>
      </c>
      <c r="V77" s="2903">
        <f t="shared" si="172"/>
        <v>0</v>
      </c>
      <c r="W77" s="2903">
        <f t="shared" si="172"/>
        <v>0</v>
      </c>
      <c r="X77" s="2903">
        <f t="shared" si="172"/>
        <v>-0.60000000000000009</v>
      </c>
      <c r="Y77" s="2906">
        <f t="shared" si="172"/>
        <v>-0.60000000000000009</v>
      </c>
      <c r="Z77" s="4387">
        <f t="shared" si="173"/>
        <v>0</v>
      </c>
      <c r="AA77" s="4170">
        <f t="shared" si="174"/>
        <v>0</v>
      </c>
      <c r="AB77" s="2903">
        <f t="shared" si="175"/>
        <v>0</v>
      </c>
      <c r="AC77" s="2903">
        <f t="shared" si="175"/>
        <v>0</v>
      </c>
      <c r="AD77" s="2903">
        <f t="shared" si="175"/>
        <v>0</v>
      </c>
      <c r="AE77" s="2903">
        <f t="shared" si="175"/>
        <v>0</v>
      </c>
      <c r="AF77" s="2906">
        <f t="shared" si="175"/>
        <v>0</v>
      </c>
      <c r="AG77" s="4387">
        <f t="shared" si="176"/>
        <v>0</v>
      </c>
      <c r="AH77" s="4170">
        <f t="shared" si="177"/>
        <v>0</v>
      </c>
      <c r="AI77" s="2903">
        <f t="shared" si="178"/>
        <v>0</v>
      </c>
      <c r="AJ77" s="2903">
        <f t="shared" si="178"/>
        <v>0</v>
      </c>
      <c r="AK77" s="2903">
        <f t="shared" si="178"/>
        <v>0</v>
      </c>
      <c r="AL77" s="2903">
        <f t="shared" si="178"/>
        <v>0</v>
      </c>
      <c r="AM77" s="2906">
        <f t="shared" si="178"/>
        <v>0</v>
      </c>
      <c r="AN77" s="4066"/>
      <c r="AO77" s="2988"/>
      <c r="AP77" s="2989"/>
      <c r="AQ77" s="2989"/>
      <c r="AR77" s="2989"/>
      <c r="AS77" s="2989"/>
      <c r="AT77" s="2990"/>
      <c r="AU77" s="4422"/>
      <c r="AV77" s="4438">
        <f t="shared" si="179"/>
        <v>5.1129188119621853E-2</v>
      </c>
      <c r="AW77" s="4438">
        <f t="shared" si="180"/>
        <v>0.10225837623924371</v>
      </c>
      <c r="AX77" s="4438">
        <f t="shared" si="181"/>
        <v>0.10225837623924371</v>
      </c>
      <c r="AY77" s="4438">
        <f t="shared" si="182"/>
        <v>-0.7669378217943279</v>
      </c>
      <c r="AZ77" s="4438">
        <f t="shared" si="183"/>
        <v>-0.86919619803357151</v>
      </c>
      <c r="BA77" s="4438">
        <f t="shared" si="184"/>
        <v>-1.738392396067143</v>
      </c>
      <c r="BB77" s="4438">
        <f t="shared" si="185"/>
        <v>-2.1985550891437398</v>
      </c>
      <c r="BC77" s="4438">
        <f t="shared" si="186"/>
        <v>0</v>
      </c>
      <c r="BD77" s="4438">
        <f t="shared" si="187"/>
        <v>0</v>
      </c>
      <c r="BE77" s="4438">
        <f t="shared" si="188"/>
        <v>0</v>
      </c>
      <c r="BF77" s="4438">
        <f t="shared" si="189"/>
        <v>0</v>
      </c>
      <c r="BG77" s="4438">
        <f t="shared" si="190"/>
        <v>0</v>
      </c>
      <c r="BH77" s="4438">
        <f t="shared" si="191"/>
        <v>0</v>
      </c>
      <c r="BI77" s="4438">
        <f t="shared" si="192"/>
        <v>0</v>
      </c>
      <c r="BJ77" s="4438">
        <f t="shared" si="193"/>
        <v>0</v>
      </c>
      <c r="BK77" s="4438">
        <f t="shared" si="194"/>
        <v>0</v>
      </c>
      <c r="BL77" s="4438">
        <f t="shared" si="195"/>
        <v>0</v>
      </c>
      <c r="BM77" s="4438">
        <f t="shared" si="196"/>
        <v>0</v>
      </c>
      <c r="BN77" s="4438">
        <f t="shared" si="197"/>
        <v>0</v>
      </c>
      <c r="BO77" s="4438">
        <f t="shared" si="198"/>
        <v>-0.30677512871773116</v>
      </c>
      <c r="BP77" s="4438">
        <f t="shared" si="199"/>
        <v>-0.30677512871773116</v>
      </c>
      <c r="BQ77" s="4438">
        <f t="shared" si="200"/>
        <v>0</v>
      </c>
      <c r="BR77" s="4438">
        <f t="shared" si="201"/>
        <v>0</v>
      </c>
      <c r="BS77" s="4438">
        <f t="shared" si="202"/>
        <v>0</v>
      </c>
      <c r="BT77" s="4438">
        <f t="shared" si="203"/>
        <v>0</v>
      </c>
      <c r="BU77" s="4438">
        <f t="shared" si="204"/>
        <v>0</v>
      </c>
      <c r="BV77" s="4438">
        <f t="shared" si="205"/>
        <v>0</v>
      </c>
      <c r="BW77" s="4438">
        <f t="shared" si="206"/>
        <v>0</v>
      </c>
      <c r="BX77" s="4438">
        <f t="shared" si="207"/>
        <v>0</v>
      </c>
      <c r="BY77" s="4438">
        <f t="shared" si="208"/>
        <v>0</v>
      </c>
      <c r="BZ77" s="4438">
        <f t="shared" si="209"/>
        <v>0</v>
      </c>
      <c r="CA77" s="4438">
        <f t="shared" si="210"/>
        <v>0</v>
      </c>
      <c r="CB77" s="4438">
        <f t="shared" si="211"/>
        <v>0</v>
      </c>
      <c r="CC77" s="4438">
        <f t="shared" si="212"/>
        <v>0</v>
      </c>
      <c r="CD77" s="4438">
        <f t="shared" si="213"/>
        <v>0</v>
      </c>
    </row>
    <row r="78" spans="1:82" s="659" customFormat="1">
      <c r="A78" s="2854"/>
      <c r="B78" s="2574">
        <v>20306</v>
      </c>
      <c r="C78" s="2855">
        <v>0.1</v>
      </c>
      <c r="D78" s="2871" t="s">
        <v>409</v>
      </c>
      <c r="E78" s="4387">
        <f t="shared" si="167"/>
        <v>1.9000000000000001</v>
      </c>
      <c r="F78" s="2905">
        <f>($E29*$C78)-(F29*$C78)</f>
        <v>0.80000000000000027</v>
      </c>
      <c r="G78" s="2903">
        <f t="shared" si="168"/>
        <v>0.60000000000000031</v>
      </c>
      <c r="H78" s="2903">
        <f t="shared" si="168"/>
        <v>0.60000000000000031</v>
      </c>
      <c r="I78" s="2903">
        <f t="shared" si="168"/>
        <v>0.4000000000000003</v>
      </c>
      <c r="J78" s="2903">
        <f t="shared" si="168"/>
        <v>0.4000000000000003</v>
      </c>
      <c r="K78" s="2904">
        <f t="shared" si="168"/>
        <v>-9.99999999999997E-2</v>
      </c>
      <c r="L78" s="4387">
        <f t="shared" si="169"/>
        <v>0</v>
      </c>
      <c r="M78" s="2905">
        <f>($L29*$C78)-(M29*$C78)</f>
        <v>0</v>
      </c>
      <c r="N78" s="2903">
        <f t="shared" si="170"/>
        <v>0</v>
      </c>
      <c r="O78" s="2903">
        <f t="shared" si="170"/>
        <v>0</v>
      </c>
      <c r="P78" s="2903">
        <f t="shared" si="170"/>
        <v>0</v>
      </c>
      <c r="Q78" s="2903">
        <f t="shared" si="170"/>
        <v>0</v>
      </c>
      <c r="R78" s="2906">
        <f t="shared" si="170"/>
        <v>0</v>
      </c>
      <c r="S78" s="4387">
        <f t="shared" si="171"/>
        <v>0</v>
      </c>
      <c r="T78" s="4170">
        <f>($S29*$C78)-(T29*$C78)</f>
        <v>-0.2</v>
      </c>
      <c r="U78" s="2903">
        <f t="shared" si="172"/>
        <v>-0.2</v>
      </c>
      <c r="V78" s="2903">
        <f t="shared" si="172"/>
        <v>-0.2</v>
      </c>
      <c r="W78" s="2903">
        <f t="shared" si="172"/>
        <v>-0.2</v>
      </c>
      <c r="X78" s="2903">
        <f t="shared" si="172"/>
        <v>-0.2</v>
      </c>
      <c r="Y78" s="2906">
        <f t="shared" si="172"/>
        <v>-0.2</v>
      </c>
      <c r="Z78" s="4387">
        <f t="shared" si="173"/>
        <v>0</v>
      </c>
      <c r="AA78" s="4170">
        <f t="shared" si="174"/>
        <v>0</v>
      </c>
      <c r="AB78" s="2903">
        <f t="shared" si="175"/>
        <v>0</v>
      </c>
      <c r="AC78" s="2903">
        <f t="shared" si="175"/>
        <v>0</v>
      </c>
      <c r="AD78" s="2903">
        <f t="shared" si="175"/>
        <v>0</v>
      </c>
      <c r="AE78" s="2903">
        <f t="shared" si="175"/>
        <v>0</v>
      </c>
      <c r="AF78" s="2906">
        <f t="shared" si="175"/>
        <v>0</v>
      </c>
      <c r="AG78" s="4387">
        <f t="shared" si="176"/>
        <v>0</v>
      </c>
      <c r="AH78" s="4170">
        <f t="shared" si="177"/>
        <v>0</v>
      </c>
      <c r="AI78" s="2903">
        <f t="shared" si="178"/>
        <v>0</v>
      </c>
      <c r="AJ78" s="2903">
        <f t="shared" si="178"/>
        <v>0</v>
      </c>
      <c r="AK78" s="2903">
        <f t="shared" si="178"/>
        <v>0</v>
      </c>
      <c r="AL78" s="2903">
        <f t="shared" si="178"/>
        <v>0</v>
      </c>
      <c r="AM78" s="2906">
        <f t="shared" si="178"/>
        <v>0</v>
      </c>
      <c r="AN78" s="4066"/>
      <c r="AO78" s="2988"/>
      <c r="AP78" s="2989"/>
      <c r="AQ78" s="2989"/>
      <c r="AR78" s="2989"/>
      <c r="AS78" s="2989"/>
      <c r="AT78" s="2990"/>
      <c r="AU78" s="4422"/>
      <c r="AV78" s="4438">
        <f t="shared" si="179"/>
        <v>0.97145457427281523</v>
      </c>
      <c r="AW78" s="4438">
        <f t="shared" si="180"/>
        <v>0.40903350495697494</v>
      </c>
      <c r="AX78" s="4438">
        <f t="shared" si="181"/>
        <v>0.30677512871773127</v>
      </c>
      <c r="AY78" s="4438">
        <f t="shared" si="182"/>
        <v>0.30677512871773127</v>
      </c>
      <c r="AZ78" s="4438">
        <f t="shared" si="183"/>
        <v>0.20451675247848755</v>
      </c>
      <c r="BA78" s="4438">
        <f t="shared" si="184"/>
        <v>0.20451675247848755</v>
      </c>
      <c r="BB78" s="4438">
        <f t="shared" si="185"/>
        <v>-5.1129188119621694E-2</v>
      </c>
      <c r="BC78" s="4438">
        <f t="shared" si="186"/>
        <v>0</v>
      </c>
      <c r="BD78" s="4438">
        <f t="shared" si="187"/>
        <v>0</v>
      </c>
      <c r="BE78" s="4438">
        <f t="shared" si="188"/>
        <v>0</v>
      </c>
      <c r="BF78" s="4438">
        <f t="shared" si="189"/>
        <v>0</v>
      </c>
      <c r="BG78" s="4438">
        <f t="shared" si="190"/>
        <v>0</v>
      </c>
      <c r="BH78" s="4438">
        <f t="shared" si="191"/>
        <v>0</v>
      </c>
      <c r="BI78" s="4438">
        <f t="shared" si="192"/>
        <v>0</v>
      </c>
      <c r="BJ78" s="4438">
        <f t="shared" si="193"/>
        <v>0</v>
      </c>
      <c r="BK78" s="4438">
        <f t="shared" si="194"/>
        <v>-0.10225837623924371</v>
      </c>
      <c r="BL78" s="4438">
        <f t="shared" si="195"/>
        <v>-0.10225837623924371</v>
      </c>
      <c r="BM78" s="4438">
        <f t="shared" si="196"/>
        <v>-0.10225837623924371</v>
      </c>
      <c r="BN78" s="4438">
        <f t="shared" si="197"/>
        <v>-0.10225837623924371</v>
      </c>
      <c r="BO78" s="4438">
        <f t="shared" si="198"/>
        <v>-0.10225837623924371</v>
      </c>
      <c r="BP78" s="4438">
        <f t="shared" si="199"/>
        <v>-0.10225837623924371</v>
      </c>
      <c r="BQ78" s="4438">
        <f t="shared" si="200"/>
        <v>0</v>
      </c>
      <c r="BR78" s="4438">
        <f t="shared" si="201"/>
        <v>0</v>
      </c>
      <c r="BS78" s="4438">
        <f t="shared" si="202"/>
        <v>0</v>
      </c>
      <c r="BT78" s="4438">
        <f t="shared" si="203"/>
        <v>0</v>
      </c>
      <c r="BU78" s="4438">
        <f t="shared" si="204"/>
        <v>0</v>
      </c>
      <c r="BV78" s="4438">
        <f t="shared" si="205"/>
        <v>0</v>
      </c>
      <c r="BW78" s="4438">
        <f t="shared" si="206"/>
        <v>0</v>
      </c>
      <c r="BX78" s="4438">
        <f t="shared" si="207"/>
        <v>0</v>
      </c>
      <c r="BY78" s="4438">
        <f t="shared" si="208"/>
        <v>0</v>
      </c>
      <c r="BZ78" s="4438">
        <f t="shared" si="209"/>
        <v>0</v>
      </c>
      <c r="CA78" s="4438">
        <f t="shared" si="210"/>
        <v>0</v>
      </c>
      <c r="CB78" s="4438">
        <f t="shared" si="211"/>
        <v>0</v>
      </c>
      <c r="CC78" s="4438">
        <f t="shared" si="212"/>
        <v>0</v>
      </c>
      <c r="CD78" s="4438">
        <f t="shared" si="213"/>
        <v>0</v>
      </c>
    </row>
    <row r="79" spans="1:82" s="659" customFormat="1" ht="14.25" customHeight="1">
      <c r="A79" s="2845">
        <v>4</v>
      </c>
      <c r="B79" s="2846">
        <v>204</v>
      </c>
      <c r="C79" s="2847"/>
      <c r="D79" s="2924" t="s">
        <v>211</v>
      </c>
      <c r="E79" s="4167">
        <f>E80+E83+E92+E93</f>
        <v>6.86</v>
      </c>
      <c r="F79" s="2910">
        <f t="shared" ref="F79:AN79" si="214">F80+F83+F92+F93</f>
        <v>13.72</v>
      </c>
      <c r="G79" s="2851">
        <f t="shared" si="214"/>
        <v>13.72</v>
      </c>
      <c r="H79" s="2851">
        <f t="shared" si="214"/>
        <v>13.72</v>
      </c>
      <c r="I79" s="2851">
        <f t="shared" si="214"/>
        <v>13.120000000000001</v>
      </c>
      <c r="J79" s="2851">
        <f t="shared" si="214"/>
        <v>11.280000000000001</v>
      </c>
      <c r="K79" s="2852">
        <f t="shared" si="214"/>
        <v>10.48</v>
      </c>
      <c r="L79" s="4167">
        <f>L80+L83+L92+L93</f>
        <v>0.23</v>
      </c>
      <c r="M79" s="2911">
        <f t="shared" si="214"/>
        <v>0.46</v>
      </c>
      <c r="N79" s="2851">
        <f t="shared" si="214"/>
        <v>0.46</v>
      </c>
      <c r="O79" s="2851">
        <f t="shared" si="214"/>
        <v>0.46</v>
      </c>
      <c r="P79" s="2851">
        <f t="shared" si="214"/>
        <v>0.46</v>
      </c>
      <c r="Q79" s="2851">
        <f t="shared" si="214"/>
        <v>0.46</v>
      </c>
      <c r="R79" s="2853">
        <f t="shared" si="214"/>
        <v>0.46</v>
      </c>
      <c r="S79" s="4172">
        <f>S80+S83+S92+S93</f>
        <v>1</v>
      </c>
      <c r="T79" s="2850">
        <f t="shared" si="214"/>
        <v>2</v>
      </c>
      <c r="U79" s="2851">
        <f t="shared" si="214"/>
        <v>2</v>
      </c>
      <c r="V79" s="2851">
        <f t="shared" si="214"/>
        <v>2</v>
      </c>
      <c r="W79" s="2851">
        <f t="shared" si="214"/>
        <v>1.9</v>
      </c>
      <c r="X79" s="2851">
        <f t="shared" si="214"/>
        <v>1.9</v>
      </c>
      <c r="Y79" s="2853">
        <f t="shared" si="214"/>
        <v>1.9</v>
      </c>
      <c r="Z79" s="4172">
        <f>Z80+Z83+Z92+Z93</f>
        <v>0</v>
      </c>
      <c r="AA79" s="2850">
        <f t="shared" si="214"/>
        <v>0</v>
      </c>
      <c r="AB79" s="2851">
        <f t="shared" si="214"/>
        <v>0</v>
      </c>
      <c r="AC79" s="2851">
        <f t="shared" si="214"/>
        <v>0</v>
      </c>
      <c r="AD79" s="2851">
        <f t="shared" si="214"/>
        <v>0</v>
      </c>
      <c r="AE79" s="2851">
        <f t="shared" si="214"/>
        <v>0</v>
      </c>
      <c r="AF79" s="2853">
        <f t="shared" si="214"/>
        <v>0</v>
      </c>
      <c r="AG79" s="4172">
        <f>AG80+AG83+AG92+AG93</f>
        <v>0</v>
      </c>
      <c r="AH79" s="2850">
        <f t="shared" si="214"/>
        <v>0</v>
      </c>
      <c r="AI79" s="2851">
        <f t="shared" si="214"/>
        <v>0</v>
      </c>
      <c r="AJ79" s="2851">
        <f t="shared" si="214"/>
        <v>0</v>
      </c>
      <c r="AK79" s="2851">
        <f t="shared" si="214"/>
        <v>0</v>
      </c>
      <c r="AL79" s="2851">
        <f t="shared" si="214"/>
        <v>0</v>
      </c>
      <c r="AM79" s="2853">
        <f t="shared" si="214"/>
        <v>0</v>
      </c>
      <c r="AN79" s="4067">
        <f t="shared" si="214"/>
        <v>0</v>
      </c>
      <c r="AO79" s="2988"/>
      <c r="AP79" s="2989"/>
      <c r="AQ79" s="2989"/>
      <c r="AR79" s="2989"/>
      <c r="AS79" s="2989"/>
      <c r="AT79" s="2990"/>
      <c r="AU79" s="4422"/>
      <c r="AV79" s="4438">
        <f t="shared" si="179"/>
        <v>3.5074623050060589</v>
      </c>
      <c r="AW79" s="4438">
        <f t="shared" si="180"/>
        <v>7.0149246100121179</v>
      </c>
      <c r="AX79" s="4438">
        <f t="shared" si="181"/>
        <v>7.0149246100121179</v>
      </c>
      <c r="AY79" s="4438">
        <f t="shared" si="182"/>
        <v>7.0149246100121179</v>
      </c>
      <c r="AZ79" s="4438">
        <f t="shared" si="183"/>
        <v>6.7081494812943872</v>
      </c>
      <c r="BA79" s="4438">
        <f t="shared" si="184"/>
        <v>5.7673724198933449</v>
      </c>
      <c r="BB79" s="4438">
        <f t="shared" si="185"/>
        <v>5.35833891493637</v>
      </c>
      <c r="BC79" s="4438">
        <f t="shared" si="186"/>
        <v>0.11759713267513026</v>
      </c>
      <c r="BD79" s="4438">
        <f t="shared" si="187"/>
        <v>0.23519426535026053</v>
      </c>
      <c r="BE79" s="4438">
        <f t="shared" si="188"/>
        <v>0.23519426535026053</v>
      </c>
      <c r="BF79" s="4438">
        <f t="shared" si="189"/>
        <v>0.23519426535026053</v>
      </c>
      <c r="BG79" s="4438">
        <f t="shared" si="190"/>
        <v>0.23519426535026053</v>
      </c>
      <c r="BH79" s="4438">
        <f t="shared" si="191"/>
        <v>0.23519426535026053</v>
      </c>
      <c r="BI79" s="4438">
        <f t="shared" si="192"/>
        <v>0.23519426535026053</v>
      </c>
      <c r="BJ79" s="4438">
        <f t="shared" si="193"/>
        <v>0.51129188119621849</v>
      </c>
      <c r="BK79" s="4438">
        <f t="shared" si="194"/>
        <v>1.022583762392437</v>
      </c>
      <c r="BL79" s="4438">
        <f t="shared" si="195"/>
        <v>1.022583762392437</v>
      </c>
      <c r="BM79" s="4438">
        <f t="shared" si="196"/>
        <v>1.022583762392437</v>
      </c>
      <c r="BN79" s="4438">
        <f t="shared" si="197"/>
        <v>0.97145457427281512</v>
      </c>
      <c r="BO79" s="4438">
        <f t="shared" si="198"/>
        <v>0.97145457427281512</v>
      </c>
      <c r="BP79" s="4438">
        <f t="shared" si="199"/>
        <v>0.97145457427281512</v>
      </c>
      <c r="BQ79" s="4438">
        <f t="shared" si="200"/>
        <v>0</v>
      </c>
      <c r="BR79" s="4438">
        <f t="shared" si="201"/>
        <v>0</v>
      </c>
      <c r="BS79" s="4438">
        <f t="shared" si="202"/>
        <v>0</v>
      </c>
      <c r="BT79" s="4438">
        <f t="shared" si="203"/>
        <v>0</v>
      </c>
      <c r="BU79" s="4438">
        <f t="shared" si="204"/>
        <v>0</v>
      </c>
      <c r="BV79" s="4438">
        <f t="shared" si="205"/>
        <v>0</v>
      </c>
      <c r="BW79" s="4438">
        <f t="shared" si="206"/>
        <v>0</v>
      </c>
      <c r="BX79" s="4438">
        <f t="shared" si="207"/>
        <v>0</v>
      </c>
      <c r="BY79" s="4438">
        <f t="shared" si="208"/>
        <v>0</v>
      </c>
      <c r="BZ79" s="4438">
        <f t="shared" si="209"/>
        <v>0</v>
      </c>
      <c r="CA79" s="4438">
        <f t="shared" si="210"/>
        <v>0</v>
      </c>
      <c r="CB79" s="4438">
        <f t="shared" si="211"/>
        <v>0</v>
      </c>
      <c r="CC79" s="4438">
        <f t="shared" si="212"/>
        <v>0</v>
      </c>
      <c r="CD79" s="4438">
        <f t="shared" si="213"/>
        <v>0</v>
      </c>
    </row>
    <row r="80" spans="1:82" s="659" customFormat="1">
      <c r="A80" s="2854"/>
      <c r="B80" s="2574">
        <v>20401</v>
      </c>
      <c r="C80" s="2867"/>
      <c r="D80" s="2925" t="s">
        <v>417</v>
      </c>
      <c r="E80" s="4168">
        <f t="shared" ref="E80:E82" si="215">+E31*$C80/2</f>
        <v>0</v>
      </c>
      <c r="F80" s="2917">
        <f t="shared" ref="F80:AN80" si="216">SUM(F81:F82)</f>
        <v>0</v>
      </c>
      <c r="G80" s="2861">
        <f t="shared" si="216"/>
        <v>0</v>
      </c>
      <c r="H80" s="2861">
        <f t="shared" si="216"/>
        <v>0</v>
      </c>
      <c r="I80" s="2861">
        <f t="shared" si="216"/>
        <v>-0.60000000000000009</v>
      </c>
      <c r="J80" s="2861">
        <f t="shared" si="216"/>
        <v>-0.60000000000000009</v>
      </c>
      <c r="K80" s="2862">
        <f t="shared" si="216"/>
        <v>-1.4000000000000001</v>
      </c>
      <c r="L80" s="4168">
        <f t="shared" ref="L80:L82" si="217">+L31*$C80/2</f>
        <v>0</v>
      </c>
      <c r="M80" s="2918">
        <f t="shared" si="216"/>
        <v>0</v>
      </c>
      <c r="N80" s="2861">
        <f t="shared" si="216"/>
        <v>0</v>
      </c>
      <c r="O80" s="2861">
        <f t="shared" si="216"/>
        <v>0</v>
      </c>
      <c r="P80" s="2861">
        <f t="shared" si="216"/>
        <v>0</v>
      </c>
      <c r="Q80" s="2861">
        <f t="shared" si="216"/>
        <v>0</v>
      </c>
      <c r="R80" s="2863">
        <f t="shared" si="216"/>
        <v>0</v>
      </c>
      <c r="S80" s="4173">
        <f t="shared" ref="S80:S82" si="218">+S31*$C80/2</f>
        <v>0</v>
      </c>
      <c r="T80" s="2860">
        <f t="shared" si="216"/>
        <v>0</v>
      </c>
      <c r="U80" s="2861">
        <f t="shared" si="216"/>
        <v>0</v>
      </c>
      <c r="V80" s="2861">
        <f t="shared" si="216"/>
        <v>0</v>
      </c>
      <c r="W80" s="2861">
        <f t="shared" si="216"/>
        <v>-0.1</v>
      </c>
      <c r="X80" s="2861">
        <f t="shared" si="216"/>
        <v>-0.1</v>
      </c>
      <c r="Y80" s="2863">
        <f t="shared" si="216"/>
        <v>-0.1</v>
      </c>
      <c r="Z80" s="4173">
        <f t="shared" ref="Z80:Z82" si="219">+Z31*$C80/2</f>
        <v>0</v>
      </c>
      <c r="AA80" s="2860">
        <f t="shared" si="216"/>
        <v>0</v>
      </c>
      <c r="AB80" s="2861">
        <f t="shared" si="216"/>
        <v>0</v>
      </c>
      <c r="AC80" s="2861">
        <f t="shared" si="216"/>
        <v>0</v>
      </c>
      <c r="AD80" s="2861">
        <f t="shared" si="216"/>
        <v>0</v>
      </c>
      <c r="AE80" s="2861">
        <f t="shared" si="216"/>
        <v>0</v>
      </c>
      <c r="AF80" s="2863">
        <f t="shared" si="216"/>
        <v>0</v>
      </c>
      <c r="AG80" s="4173">
        <f t="shared" ref="AG80:AG82" si="220">+AG31*$C80/2</f>
        <v>0</v>
      </c>
      <c r="AH80" s="2860">
        <f t="shared" si="216"/>
        <v>0</v>
      </c>
      <c r="AI80" s="2861">
        <f t="shared" si="216"/>
        <v>0</v>
      </c>
      <c r="AJ80" s="2861">
        <f t="shared" si="216"/>
        <v>0</v>
      </c>
      <c r="AK80" s="2861">
        <f t="shared" si="216"/>
        <v>0</v>
      </c>
      <c r="AL80" s="2861">
        <f t="shared" si="216"/>
        <v>0</v>
      </c>
      <c r="AM80" s="2863">
        <f t="shared" si="216"/>
        <v>0</v>
      </c>
      <c r="AN80" s="4068">
        <f t="shared" si="216"/>
        <v>0</v>
      </c>
      <c r="AO80" s="2988"/>
      <c r="AP80" s="2989"/>
      <c r="AQ80" s="2989"/>
      <c r="AR80" s="2989"/>
      <c r="AS80" s="2989"/>
      <c r="AT80" s="2990"/>
      <c r="AU80" s="4422"/>
      <c r="AV80" s="4438">
        <f t="shared" si="179"/>
        <v>0</v>
      </c>
      <c r="AW80" s="4438">
        <f t="shared" si="180"/>
        <v>0</v>
      </c>
      <c r="AX80" s="4438">
        <f t="shared" si="181"/>
        <v>0</v>
      </c>
      <c r="AY80" s="4438">
        <f t="shared" si="182"/>
        <v>0</v>
      </c>
      <c r="AZ80" s="4438">
        <f t="shared" si="183"/>
        <v>-0.30677512871773116</v>
      </c>
      <c r="BA80" s="4438">
        <f t="shared" si="184"/>
        <v>-0.30677512871773116</v>
      </c>
      <c r="BB80" s="4438">
        <f t="shared" si="185"/>
        <v>-0.71580863367470593</v>
      </c>
      <c r="BC80" s="4438">
        <f t="shared" si="186"/>
        <v>0</v>
      </c>
      <c r="BD80" s="4438">
        <f t="shared" si="187"/>
        <v>0</v>
      </c>
      <c r="BE80" s="4438">
        <f t="shared" si="188"/>
        <v>0</v>
      </c>
      <c r="BF80" s="4438">
        <f t="shared" si="189"/>
        <v>0</v>
      </c>
      <c r="BG80" s="4438">
        <f t="shared" si="190"/>
        <v>0</v>
      </c>
      <c r="BH80" s="4438">
        <f t="shared" si="191"/>
        <v>0</v>
      </c>
      <c r="BI80" s="4438">
        <f t="shared" si="192"/>
        <v>0</v>
      </c>
      <c r="BJ80" s="4438">
        <f t="shared" si="193"/>
        <v>0</v>
      </c>
      <c r="BK80" s="4438">
        <f t="shared" si="194"/>
        <v>0</v>
      </c>
      <c r="BL80" s="4438">
        <f t="shared" si="195"/>
        <v>0</v>
      </c>
      <c r="BM80" s="4438">
        <f t="shared" si="196"/>
        <v>0</v>
      </c>
      <c r="BN80" s="4438">
        <f t="shared" si="197"/>
        <v>-5.1129188119621853E-2</v>
      </c>
      <c r="BO80" s="4438">
        <f t="shared" si="198"/>
        <v>-5.1129188119621853E-2</v>
      </c>
      <c r="BP80" s="4438">
        <f t="shared" si="199"/>
        <v>-5.1129188119621853E-2</v>
      </c>
      <c r="BQ80" s="4438">
        <f t="shared" si="200"/>
        <v>0</v>
      </c>
      <c r="BR80" s="4438">
        <f t="shared" si="201"/>
        <v>0</v>
      </c>
      <c r="BS80" s="4438">
        <f t="shared" si="202"/>
        <v>0</v>
      </c>
      <c r="BT80" s="4438">
        <f t="shared" si="203"/>
        <v>0</v>
      </c>
      <c r="BU80" s="4438">
        <f t="shared" si="204"/>
        <v>0</v>
      </c>
      <c r="BV80" s="4438">
        <f t="shared" si="205"/>
        <v>0</v>
      </c>
      <c r="BW80" s="4438">
        <f t="shared" si="206"/>
        <v>0</v>
      </c>
      <c r="BX80" s="4438">
        <f t="shared" si="207"/>
        <v>0</v>
      </c>
      <c r="BY80" s="4438">
        <f t="shared" si="208"/>
        <v>0</v>
      </c>
      <c r="BZ80" s="4438">
        <f t="shared" si="209"/>
        <v>0</v>
      </c>
      <c r="CA80" s="4438">
        <f t="shared" si="210"/>
        <v>0</v>
      </c>
      <c r="CB80" s="4438">
        <f t="shared" si="211"/>
        <v>0</v>
      </c>
      <c r="CC80" s="4438">
        <f t="shared" si="212"/>
        <v>0</v>
      </c>
      <c r="CD80" s="4438">
        <f t="shared" si="213"/>
        <v>0</v>
      </c>
    </row>
    <row r="81" spans="1:82" s="659" customFormat="1">
      <c r="A81" s="2854"/>
      <c r="B81" s="2864">
        <v>2040101</v>
      </c>
      <c r="C81" s="2865">
        <v>0.1</v>
      </c>
      <c r="D81" s="2926" t="s">
        <v>431</v>
      </c>
      <c r="E81" s="4387">
        <f t="shared" si="215"/>
        <v>0</v>
      </c>
      <c r="F81" s="2905">
        <f>($E32*$C81)-(F32*$C81)</f>
        <v>0</v>
      </c>
      <c r="G81" s="2903">
        <f t="shared" ref="G81:K82" si="221">F81-(G32*$C81)</f>
        <v>0</v>
      </c>
      <c r="H81" s="2903">
        <f t="shared" si="221"/>
        <v>0</v>
      </c>
      <c r="I81" s="2903">
        <f t="shared" si="221"/>
        <v>-0.60000000000000009</v>
      </c>
      <c r="J81" s="2903">
        <f t="shared" si="221"/>
        <v>-0.60000000000000009</v>
      </c>
      <c r="K81" s="2904">
        <f t="shared" si="221"/>
        <v>-1.4000000000000001</v>
      </c>
      <c r="L81" s="4387">
        <f t="shared" si="217"/>
        <v>0</v>
      </c>
      <c r="M81" s="2905">
        <f>($L32*$C81)-(M32*$C81)</f>
        <v>0</v>
      </c>
      <c r="N81" s="2903">
        <f t="shared" ref="N81:R82" si="222">M81-(N32*$C81)</f>
        <v>0</v>
      </c>
      <c r="O81" s="2903">
        <f t="shared" si="222"/>
        <v>0</v>
      </c>
      <c r="P81" s="2903">
        <f t="shared" si="222"/>
        <v>0</v>
      </c>
      <c r="Q81" s="2903">
        <f t="shared" si="222"/>
        <v>0</v>
      </c>
      <c r="R81" s="2906">
        <f t="shared" si="222"/>
        <v>0</v>
      </c>
      <c r="S81" s="4387">
        <f t="shared" si="218"/>
        <v>0</v>
      </c>
      <c r="T81" s="4170">
        <f>($S32*$C81)-(T32*$C81)</f>
        <v>0</v>
      </c>
      <c r="U81" s="2903">
        <f t="shared" ref="U81:Y82" si="223">T81-(U32*$C81)</f>
        <v>0</v>
      </c>
      <c r="V81" s="2903">
        <f t="shared" si="223"/>
        <v>0</v>
      </c>
      <c r="W81" s="2903">
        <f t="shared" si="223"/>
        <v>-0.1</v>
      </c>
      <c r="X81" s="2903">
        <f t="shared" si="223"/>
        <v>-0.1</v>
      </c>
      <c r="Y81" s="2906">
        <f t="shared" si="223"/>
        <v>-0.1</v>
      </c>
      <c r="Z81" s="4387">
        <f t="shared" si="219"/>
        <v>0</v>
      </c>
      <c r="AA81" s="4170">
        <f t="shared" ref="AA81:AA82" si="224">($Z32*$C81)-(AA32*$C81)</f>
        <v>0</v>
      </c>
      <c r="AB81" s="2903">
        <f t="shared" ref="AB81:AF82" si="225">AA81-(AB32*$C81)</f>
        <v>0</v>
      </c>
      <c r="AC81" s="2903">
        <f t="shared" si="225"/>
        <v>0</v>
      </c>
      <c r="AD81" s="2903">
        <f t="shared" si="225"/>
        <v>0</v>
      </c>
      <c r="AE81" s="2903">
        <f t="shared" si="225"/>
        <v>0</v>
      </c>
      <c r="AF81" s="2906">
        <f t="shared" si="225"/>
        <v>0</v>
      </c>
      <c r="AG81" s="4387">
        <f t="shared" si="220"/>
        <v>0</v>
      </c>
      <c r="AH81" s="4170">
        <f t="shared" ref="AH81:AH82" si="226">($AG32*$C81)-(AH32*$C81)</f>
        <v>0</v>
      </c>
      <c r="AI81" s="2903">
        <f t="shared" ref="AI81:AM82" si="227">AH81-(AI32*$C81)</f>
        <v>0</v>
      </c>
      <c r="AJ81" s="2903">
        <f t="shared" si="227"/>
        <v>0</v>
      </c>
      <c r="AK81" s="2903">
        <f t="shared" si="227"/>
        <v>0</v>
      </c>
      <c r="AL81" s="2903">
        <f t="shared" si="227"/>
        <v>0</v>
      </c>
      <c r="AM81" s="2906">
        <f t="shared" si="227"/>
        <v>0</v>
      </c>
      <c r="AN81" s="4066"/>
      <c r="AO81" s="2988"/>
      <c r="AP81" s="2989"/>
      <c r="AQ81" s="2989"/>
      <c r="AR81" s="2989"/>
      <c r="AS81" s="2989"/>
      <c r="AT81" s="2990"/>
      <c r="AU81" s="4422"/>
      <c r="AV81" s="4438">
        <f t="shared" si="179"/>
        <v>0</v>
      </c>
      <c r="AW81" s="4438">
        <f t="shared" si="180"/>
        <v>0</v>
      </c>
      <c r="AX81" s="4438">
        <f t="shared" si="181"/>
        <v>0</v>
      </c>
      <c r="AY81" s="4438">
        <f t="shared" si="182"/>
        <v>0</v>
      </c>
      <c r="AZ81" s="4438">
        <f t="shared" si="183"/>
        <v>-0.30677512871773116</v>
      </c>
      <c r="BA81" s="4438">
        <f t="shared" si="184"/>
        <v>-0.30677512871773116</v>
      </c>
      <c r="BB81" s="4438">
        <f t="shared" si="185"/>
        <v>-0.71580863367470593</v>
      </c>
      <c r="BC81" s="4438">
        <f t="shared" si="186"/>
        <v>0</v>
      </c>
      <c r="BD81" s="4438">
        <f t="shared" si="187"/>
        <v>0</v>
      </c>
      <c r="BE81" s="4438">
        <f t="shared" si="188"/>
        <v>0</v>
      </c>
      <c r="BF81" s="4438">
        <f t="shared" si="189"/>
        <v>0</v>
      </c>
      <c r="BG81" s="4438">
        <f t="shared" si="190"/>
        <v>0</v>
      </c>
      <c r="BH81" s="4438">
        <f t="shared" si="191"/>
        <v>0</v>
      </c>
      <c r="BI81" s="4438">
        <f t="shared" si="192"/>
        <v>0</v>
      </c>
      <c r="BJ81" s="4438">
        <f t="shared" si="193"/>
        <v>0</v>
      </c>
      <c r="BK81" s="4438">
        <f t="shared" si="194"/>
        <v>0</v>
      </c>
      <c r="BL81" s="4438">
        <f t="shared" si="195"/>
        <v>0</v>
      </c>
      <c r="BM81" s="4438">
        <f t="shared" si="196"/>
        <v>0</v>
      </c>
      <c r="BN81" s="4438">
        <f t="shared" si="197"/>
        <v>-5.1129188119621853E-2</v>
      </c>
      <c r="BO81" s="4438">
        <f t="shared" si="198"/>
        <v>-5.1129188119621853E-2</v>
      </c>
      <c r="BP81" s="4438">
        <f t="shared" si="199"/>
        <v>-5.1129188119621853E-2</v>
      </c>
      <c r="BQ81" s="4438">
        <f t="shared" si="200"/>
        <v>0</v>
      </c>
      <c r="BR81" s="4438">
        <f t="shared" si="201"/>
        <v>0</v>
      </c>
      <c r="BS81" s="4438">
        <f t="shared" si="202"/>
        <v>0</v>
      </c>
      <c r="BT81" s="4438">
        <f t="shared" si="203"/>
        <v>0</v>
      </c>
      <c r="BU81" s="4438">
        <f t="shared" si="204"/>
        <v>0</v>
      </c>
      <c r="BV81" s="4438">
        <f t="shared" si="205"/>
        <v>0</v>
      </c>
      <c r="BW81" s="4438">
        <f t="shared" si="206"/>
        <v>0</v>
      </c>
      <c r="BX81" s="4438">
        <f t="shared" si="207"/>
        <v>0</v>
      </c>
      <c r="BY81" s="4438">
        <f t="shared" si="208"/>
        <v>0</v>
      </c>
      <c r="BZ81" s="4438">
        <f t="shared" si="209"/>
        <v>0</v>
      </c>
      <c r="CA81" s="4438">
        <f t="shared" si="210"/>
        <v>0</v>
      </c>
      <c r="CB81" s="4438">
        <f t="shared" si="211"/>
        <v>0</v>
      </c>
      <c r="CC81" s="4438">
        <f t="shared" si="212"/>
        <v>0</v>
      </c>
      <c r="CD81" s="4438">
        <f t="shared" si="213"/>
        <v>0</v>
      </c>
    </row>
    <row r="82" spans="1:82" s="659" customFormat="1">
      <c r="A82" s="2854"/>
      <c r="B82" s="2864">
        <v>2040102</v>
      </c>
      <c r="C82" s="2865">
        <v>0.04</v>
      </c>
      <c r="D82" s="2926" t="s">
        <v>432</v>
      </c>
      <c r="E82" s="4387">
        <f t="shared" si="215"/>
        <v>0</v>
      </c>
      <c r="F82" s="2905">
        <f>($E33*$C82)-(F33*$C82)</f>
        <v>0</v>
      </c>
      <c r="G82" s="2903">
        <f t="shared" si="221"/>
        <v>0</v>
      </c>
      <c r="H82" s="2903">
        <f t="shared" si="221"/>
        <v>0</v>
      </c>
      <c r="I82" s="2903">
        <f t="shared" si="221"/>
        <v>0</v>
      </c>
      <c r="J82" s="2903">
        <f t="shared" si="221"/>
        <v>0</v>
      </c>
      <c r="K82" s="2904">
        <f t="shared" si="221"/>
        <v>0</v>
      </c>
      <c r="L82" s="4387">
        <f t="shared" si="217"/>
        <v>0</v>
      </c>
      <c r="M82" s="2905">
        <f>($L33*$C82)-(M33*$C82)</f>
        <v>0</v>
      </c>
      <c r="N82" s="2903">
        <f t="shared" si="222"/>
        <v>0</v>
      </c>
      <c r="O82" s="2903">
        <f t="shared" si="222"/>
        <v>0</v>
      </c>
      <c r="P82" s="2903">
        <f t="shared" si="222"/>
        <v>0</v>
      </c>
      <c r="Q82" s="2903">
        <f t="shared" si="222"/>
        <v>0</v>
      </c>
      <c r="R82" s="2906">
        <f t="shared" si="222"/>
        <v>0</v>
      </c>
      <c r="S82" s="4387">
        <f t="shared" si="218"/>
        <v>0</v>
      </c>
      <c r="T82" s="4170">
        <f>($S33*$C82)-(T33*$C82)</f>
        <v>0</v>
      </c>
      <c r="U82" s="2903">
        <f t="shared" si="223"/>
        <v>0</v>
      </c>
      <c r="V82" s="2903">
        <f t="shared" si="223"/>
        <v>0</v>
      </c>
      <c r="W82" s="2903">
        <f t="shared" si="223"/>
        <v>0</v>
      </c>
      <c r="X82" s="2903">
        <f t="shared" si="223"/>
        <v>0</v>
      </c>
      <c r="Y82" s="2906">
        <f t="shared" si="223"/>
        <v>0</v>
      </c>
      <c r="Z82" s="4387">
        <f t="shared" si="219"/>
        <v>0</v>
      </c>
      <c r="AA82" s="4170">
        <f t="shared" si="224"/>
        <v>0</v>
      </c>
      <c r="AB82" s="2903">
        <f t="shared" si="225"/>
        <v>0</v>
      </c>
      <c r="AC82" s="2903">
        <f t="shared" si="225"/>
        <v>0</v>
      </c>
      <c r="AD82" s="2903">
        <f t="shared" si="225"/>
        <v>0</v>
      </c>
      <c r="AE82" s="2903">
        <f t="shared" si="225"/>
        <v>0</v>
      </c>
      <c r="AF82" s="2906">
        <f t="shared" si="225"/>
        <v>0</v>
      </c>
      <c r="AG82" s="4387">
        <f t="shared" si="220"/>
        <v>0</v>
      </c>
      <c r="AH82" s="4170">
        <f t="shared" si="226"/>
        <v>0</v>
      </c>
      <c r="AI82" s="2903">
        <f t="shared" si="227"/>
        <v>0</v>
      </c>
      <c r="AJ82" s="2903">
        <f t="shared" si="227"/>
        <v>0</v>
      </c>
      <c r="AK82" s="2903">
        <f t="shared" si="227"/>
        <v>0</v>
      </c>
      <c r="AL82" s="2903">
        <f t="shared" si="227"/>
        <v>0</v>
      </c>
      <c r="AM82" s="2906">
        <f t="shared" si="227"/>
        <v>0</v>
      </c>
      <c r="AN82" s="4066"/>
      <c r="AO82" s="2988"/>
      <c r="AP82" s="2989"/>
      <c r="AQ82" s="2989"/>
      <c r="AR82" s="2989"/>
      <c r="AS82" s="2989"/>
      <c r="AT82" s="2990"/>
      <c r="AU82" s="4422"/>
      <c r="AV82" s="4438">
        <f t="shared" si="179"/>
        <v>0</v>
      </c>
      <c r="AW82" s="4438">
        <f t="shared" si="180"/>
        <v>0</v>
      </c>
      <c r="AX82" s="4438">
        <f t="shared" si="181"/>
        <v>0</v>
      </c>
      <c r="AY82" s="4438">
        <f t="shared" si="182"/>
        <v>0</v>
      </c>
      <c r="AZ82" s="4438">
        <f t="shared" si="183"/>
        <v>0</v>
      </c>
      <c r="BA82" s="4438">
        <f t="shared" si="184"/>
        <v>0</v>
      </c>
      <c r="BB82" s="4438">
        <f t="shared" si="185"/>
        <v>0</v>
      </c>
      <c r="BC82" s="4438">
        <f t="shared" si="186"/>
        <v>0</v>
      </c>
      <c r="BD82" s="4438">
        <f t="shared" si="187"/>
        <v>0</v>
      </c>
      <c r="BE82" s="4438">
        <f t="shared" si="188"/>
        <v>0</v>
      </c>
      <c r="BF82" s="4438">
        <f t="shared" si="189"/>
        <v>0</v>
      </c>
      <c r="BG82" s="4438">
        <f t="shared" si="190"/>
        <v>0</v>
      </c>
      <c r="BH82" s="4438">
        <f t="shared" si="191"/>
        <v>0</v>
      </c>
      <c r="BI82" s="4438">
        <f t="shared" si="192"/>
        <v>0</v>
      </c>
      <c r="BJ82" s="4438">
        <f t="shared" si="193"/>
        <v>0</v>
      </c>
      <c r="BK82" s="4438">
        <f t="shared" si="194"/>
        <v>0</v>
      </c>
      <c r="BL82" s="4438">
        <f t="shared" si="195"/>
        <v>0</v>
      </c>
      <c r="BM82" s="4438">
        <f t="shared" si="196"/>
        <v>0</v>
      </c>
      <c r="BN82" s="4438">
        <f t="shared" si="197"/>
        <v>0</v>
      </c>
      <c r="BO82" s="4438">
        <f t="shared" si="198"/>
        <v>0</v>
      </c>
      <c r="BP82" s="4438">
        <f t="shared" si="199"/>
        <v>0</v>
      </c>
      <c r="BQ82" s="4438">
        <f t="shared" si="200"/>
        <v>0</v>
      </c>
      <c r="BR82" s="4438">
        <f t="shared" si="201"/>
        <v>0</v>
      </c>
      <c r="BS82" s="4438">
        <f t="shared" si="202"/>
        <v>0</v>
      </c>
      <c r="BT82" s="4438">
        <f t="shared" si="203"/>
        <v>0</v>
      </c>
      <c r="BU82" s="4438">
        <f t="shared" si="204"/>
        <v>0</v>
      </c>
      <c r="BV82" s="4438">
        <f t="shared" si="205"/>
        <v>0</v>
      </c>
      <c r="BW82" s="4438">
        <f t="shared" si="206"/>
        <v>0</v>
      </c>
      <c r="BX82" s="4438">
        <f t="shared" si="207"/>
        <v>0</v>
      </c>
      <c r="BY82" s="4438">
        <f t="shared" si="208"/>
        <v>0</v>
      </c>
      <c r="BZ82" s="4438">
        <f t="shared" si="209"/>
        <v>0</v>
      </c>
      <c r="CA82" s="4438">
        <f t="shared" si="210"/>
        <v>0</v>
      </c>
      <c r="CB82" s="4438">
        <f t="shared" si="211"/>
        <v>0</v>
      </c>
      <c r="CC82" s="4438">
        <f t="shared" si="212"/>
        <v>0</v>
      </c>
      <c r="CD82" s="4438">
        <f t="shared" si="213"/>
        <v>0</v>
      </c>
    </row>
    <row r="83" spans="1:82" s="659" customFormat="1">
      <c r="A83" s="2854"/>
      <c r="B83" s="2574">
        <v>20402</v>
      </c>
      <c r="C83" s="2867"/>
      <c r="D83" s="2925" t="s">
        <v>433</v>
      </c>
      <c r="E83" s="4168">
        <f>SUM(E84:E91)</f>
        <v>6.86</v>
      </c>
      <c r="F83" s="2917">
        <f t="shared" ref="F83:K83" si="228">SUM(F84:F91)</f>
        <v>13.72</v>
      </c>
      <c r="G83" s="2861">
        <f t="shared" si="228"/>
        <v>13.72</v>
      </c>
      <c r="H83" s="2861">
        <f t="shared" si="228"/>
        <v>13.72</v>
      </c>
      <c r="I83" s="2861">
        <f t="shared" si="228"/>
        <v>13.72</v>
      </c>
      <c r="J83" s="2861">
        <f t="shared" si="228"/>
        <v>13.32</v>
      </c>
      <c r="K83" s="2862">
        <f t="shared" si="228"/>
        <v>13.32</v>
      </c>
      <c r="L83" s="4168">
        <f>SUM(L84:L91)</f>
        <v>0.23</v>
      </c>
      <c r="M83" s="2918">
        <f t="shared" ref="M83:R83" si="229">SUM(M84:M91)</f>
        <v>0.46</v>
      </c>
      <c r="N83" s="2861">
        <f t="shared" si="229"/>
        <v>0.46</v>
      </c>
      <c r="O83" s="2861">
        <f t="shared" si="229"/>
        <v>0.46</v>
      </c>
      <c r="P83" s="2861">
        <f t="shared" si="229"/>
        <v>0.46</v>
      </c>
      <c r="Q83" s="2861">
        <f t="shared" si="229"/>
        <v>0.46</v>
      </c>
      <c r="R83" s="2863">
        <f t="shared" si="229"/>
        <v>0.46</v>
      </c>
      <c r="S83" s="4173">
        <f>SUM(S84:S91)</f>
        <v>0.76</v>
      </c>
      <c r="T83" s="2860">
        <f t="shared" ref="T83:Y83" si="230">SUM(T84:T91)</f>
        <v>1.52</v>
      </c>
      <c r="U83" s="2861">
        <f t="shared" si="230"/>
        <v>1.52</v>
      </c>
      <c r="V83" s="2861">
        <f t="shared" si="230"/>
        <v>1.52</v>
      </c>
      <c r="W83" s="2861">
        <f t="shared" si="230"/>
        <v>1.52</v>
      </c>
      <c r="X83" s="2861">
        <f t="shared" si="230"/>
        <v>1.52</v>
      </c>
      <c r="Y83" s="2863">
        <f t="shared" si="230"/>
        <v>1.52</v>
      </c>
      <c r="Z83" s="4173">
        <f>SUM(Z84:Z91)</f>
        <v>0</v>
      </c>
      <c r="AA83" s="2860">
        <f t="shared" ref="AA83:AF83" si="231">SUM(AA84:AA91)</f>
        <v>0</v>
      </c>
      <c r="AB83" s="2861">
        <f t="shared" si="231"/>
        <v>0</v>
      </c>
      <c r="AC83" s="2861">
        <f t="shared" si="231"/>
        <v>0</v>
      </c>
      <c r="AD83" s="2861">
        <f t="shared" si="231"/>
        <v>0</v>
      </c>
      <c r="AE83" s="2861">
        <f t="shared" si="231"/>
        <v>0</v>
      </c>
      <c r="AF83" s="2863">
        <f t="shared" si="231"/>
        <v>0</v>
      </c>
      <c r="AG83" s="4173">
        <f>SUM(AG84:AG91)</f>
        <v>0</v>
      </c>
      <c r="AH83" s="2860">
        <f t="shared" ref="AH83:AM83" si="232">SUM(AH84:AH91)</f>
        <v>0</v>
      </c>
      <c r="AI83" s="2861">
        <f t="shared" si="232"/>
        <v>0</v>
      </c>
      <c r="AJ83" s="2861">
        <f t="shared" si="232"/>
        <v>0</v>
      </c>
      <c r="AK83" s="2861">
        <f t="shared" si="232"/>
        <v>0</v>
      </c>
      <c r="AL83" s="2861">
        <f t="shared" si="232"/>
        <v>0</v>
      </c>
      <c r="AM83" s="2863">
        <f t="shared" si="232"/>
        <v>0</v>
      </c>
      <c r="AN83" s="4068">
        <f>SUM(AN84:AN91)</f>
        <v>0</v>
      </c>
      <c r="AO83" s="2988"/>
      <c r="AP83" s="2989"/>
      <c r="AQ83" s="2989"/>
      <c r="AR83" s="2989"/>
      <c r="AS83" s="2989"/>
      <c r="AT83" s="2990"/>
      <c r="AU83" s="4422"/>
      <c r="AV83" s="4438">
        <f t="shared" si="179"/>
        <v>3.5074623050060589</v>
      </c>
      <c r="AW83" s="4438">
        <f t="shared" si="180"/>
        <v>7.0149246100121179</v>
      </c>
      <c r="AX83" s="4438">
        <f t="shared" si="181"/>
        <v>7.0149246100121179</v>
      </c>
      <c r="AY83" s="4438">
        <f t="shared" si="182"/>
        <v>7.0149246100121179</v>
      </c>
      <c r="AZ83" s="4438">
        <f t="shared" si="183"/>
        <v>7.0149246100121179</v>
      </c>
      <c r="BA83" s="4438">
        <f t="shared" si="184"/>
        <v>6.8104078575336304</v>
      </c>
      <c r="BB83" s="4438">
        <f t="shared" si="185"/>
        <v>6.8104078575336304</v>
      </c>
      <c r="BC83" s="4438">
        <f t="shared" si="186"/>
        <v>0.11759713267513026</v>
      </c>
      <c r="BD83" s="4438">
        <f t="shared" si="187"/>
        <v>0.23519426535026053</v>
      </c>
      <c r="BE83" s="4438">
        <f t="shared" si="188"/>
        <v>0.23519426535026053</v>
      </c>
      <c r="BF83" s="4438">
        <f t="shared" si="189"/>
        <v>0.23519426535026053</v>
      </c>
      <c r="BG83" s="4438">
        <f t="shared" si="190"/>
        <v>0.23519426535026053</v>
      </c>
      <c r="BH83" s="4438">
        <f t="shared" si="191"/>
        <v>0.23519426535026053</v>
      </c>
      <c r="BI83" s="4438">
        <f t="shared" si="192"/>
        <v>0.23519426535026053</v>
      </c>
      <c r="BJ83" s="4438">
        <f t="shared" si="193"/>
        <v>0.38858182970912608</v>
      </c>
      <c r="BK83" s="4438">
        <f t="shared" si="194"/>
        <v>0.77716365941825216</v>
      </c>
      <c r="BL83" s="4438">
        <f t="shared" si="195"/>
        <v>0.77716365941825216</v>
      </c>
      <c r="BM83" s="4438">
        <f t="shared" si="196"/>
        <v>0.77716365941825216</v>
      </c>
      <c r="BN83" s="4438">
        <f t="shared" si="197"/>
        <v>0.77716365941825216</v>
      </c>
      <c r="BO83" s="4438">
        <f t="shared" si="198"/>
        <v>0.77716365941825216</v>
      </c>
      <c r="BP83" s="4438">
        <f t="shared" si="199"/>
        <v>0.77716365941825216</v>
      </c>
      <c r="BQ83" s="4438">
        <f t="shared" si="200"/>
        <v>0</v>
      </c>
      <c r="BR83" s="4438">
        <f t="shared" si="201"/>
        <v>0</v>
      </c>
      <c r="BS83" s="4438">
        <f t="shared" si="202"/>
        <v>0</v>
      </c>
      <c r="BT83" s="4438">
        <f t="shared" si="203"/>
        <v>0</v>
      </c>
      <c r="BU83" s="4438">
        <f t="shared" si="204"/>
        <v>0</v>
      </c>
      <c r="BV83" s="4438">
        <f t="shared" si="205"/>
        <v>0</v>
      </c>
      <c r="BW83" s="4438">
        <f t="shared" si="206"/>
        <v>0</v>
      </c>
      <c r="BX83" s="4438">
        <f t="shared" si="207"/>
        <v>0</v>
      </c>
      <c r="BY83" s="4438">
        <f t="shared" si="208"/>
        <v>0</v>
      </c>
      <c r="BZ83" s="4438">
        <f t="shared" si="209"/>
        <v>0</v>
      </c>
      <c r="CA83" s="4438">
        <f t="shared" si="210"/>
        <v>0</v>
      </c>
      <c r="CB83" s="4438">
        <f t="shared" si="211"/>
        <v>0</v>
      </c>
      <c r="CC83" s="4438">
        <f t="shared" si="212"/>
        <v>0</v>
      </c>
      <c r="CD83" s="4438">
        <f t="shared" si="213"/>
        <v>0</v>
      </c>
    </row>
    <row r="84" spans="1:82" s="659" customFormat="1">
      <c r="A84" s="2854"/>
      <c r="B84" s="2574">
        <v>2040201</v>
      </c>
      <c r="C84" s="2855">
        <v>0.02</v>
      </c>
      <c r="D84" s="2923" t="s">
        <v>738</v>
      </c>
      <c r="E84" s="4387">
        <f t="shared" ref="E84:E93" si="233">+E35*$C84/2</f>
        <v>0</v>
      </c>
      <c r="F84" s="2905">
        <f t="shared" ref="F84:F93" si="234">($E35*$C84)-(F35*$C84)</f>
        <v>0</v>
      </c>
      <c r="G84" s="2903">
        <f t="shared" ref="G84:K93" si="235">F84-(G35*$C84)</f>
        <v>0</v>
      </c>
      <c r="H84" s="2903">
        <f t="shared" si="235"/>
        <v>0</v>
      </c>
      <c r="I84" s="2903">
        <f t="shared" si="235"/>
        <v>0</v>
      </c>
      <c r="J84" s="2903">
        <f t="shared" si="235"/>
        <v>0</v>
      </c>
      <c r="K84" s="2904">
        <f t="shared" si="235"/>
        <v>0</v>
      </c>
      <c r="L84" s="4387">
        <f t="shared" ref="L84:L93" si="236">+L35*$C84/2</f>
        <v>0</v>
      </c>
      <c r="M84" s="2905">
        <f t="shared" ref="M84:M93" si="237">($L35*$C84)-(M35*$C84)</f>
        <v>0</v>
      </c>
      <c r="N84" s="2903">
        <f t="shared" ref="N84:R93" si="238">M84-(N35*$C84)</f>
        <v>0</v>
      </c>
      <c r="O84" s="2903">
        <f t="shared" si="238"/>
        <v>0</v>
      </c>
      <c r="P84" s="2903">
        <f t="shared" si="238"/>
        <v>0</v>
      </c>
      <c r="Q84" s="2903">
        <f t="shared" si="238"/>
        <v>0</v>
      </c>
      <c r="R84" s="2906">
        <f t="shared" si="238"/>
        <v>0</v>
      </c>
      <c r="S84" s="4387">
        <f t="shared" ref="S84:S93" si="239">+S35*$C84/2</f>
        <v>0</v>
      </c>
      <c r="T84" s="4170">
        <f t="shared" ref="T84:T93" si="240">($S35*$C84)-(T35*$C84)</f>
        <v>0</v>
      </c>
      <c r="U84" s="2903">
        <f t="shared" ref="U84:Y93" si="241">T84-(U35*$C84)</f>
        <v>0</v>
      </c>
      <c r="V84" s="2903">
        <f t="shared" si="241"/>
        <v>0</v>
      </c>
      <c r="W84" s="2903">
        <f t="shared" si="241"/>
        <v>0</v>
      </c>
      <c r="X84" s="2903">
        <f t="shared" si="241"/>
        <v>0</v>
      </c>
      <c r="Y84" s="2906">
        <f t="shared" si="241"/>
        <v>0</v>
      </c>
      <c r="Z84" s="4387">
        <f t="shared" ref="Z84:Z93" si="242">+Z35*$C84/2</f>
        <v>0</v>
      </c>
      <c r="AA84" s="4170">
        <f t="shared" ref="AA84:AA108" si="243">($Z35*$C84)-(AA35*$C84)</f>
        <v>0</v>
      </c>
      <c r="AB84" s="2903">
        <f t="shared" ref="AB84:AF93" si="244">AA84-(AB35*$C84)</f>
        <v>0</v>
      </c>
      <c r="AC84" s="2903">
        <f t="shared" si="244"/>
        <v>0</v>
      </c>
      <c r="AD84" s="2903">
        <f t="shared" si="244"/>
        <v>0</v>
      </c>
      <c r="AE84" s="2903">
        <f t="shared" si="244"/>
        <v>0</v>
      </c>
      <c r="AF84" s="2906">
        <f t="shared" si="244"/>
        <v>0</v>
      </c>
      <c r="AG84" s="4387">
        <f t="shared" ref="AG84:AG93" si="245">+AG35*$C84/2</f>
        <v>0</v>
      </c>
      <c r="AH84" s="4170">
        <f t="shared" ref="AH84:AH93" si="246">($AG35*$C84)-(AH35*$C84)</f>
        <v>0</v>
      </c>
      <c r="AI84" s="2903">
        <f t="shared" ref="AI84:AM93" si="247">AH84-(AI35*$C84)</f>
        <v>0</v>
      </c>
      <c r="AJ84" s="2903">
        <f t="shared" si="247"/>
        <v>0</v>
      </c>
      <c r="AK84" s="2903">
        <f t="shared" si="247"/>
        <v>0</v>
      </c>
      <c r="AL84" s="2903">
        <f t="shared" si="247"/>
        <v>0</v>
      </c>
      <c r="AM84" s="2906">
        <f t="shared" si="247"/>
        <v>0</v>
      </c>
      <c r="AN84" s="4066"/>
      <c r="AO84" s="2988"/>
      <c r="AP84" s="2989"/>
      <c r="AQ84" s="2989"/>
      <c r="AR84" s="2989"/>
      <c r="AS84" s="2989"/>
      <c r="AT84" s="2990"/>
      <c r="AU84" s="4422"/>
      <c r="AV84" s="4438">
        <f t="shared" si="179"/>
        <v>0</v>
      </c>
      <c r="AW84" s="4438">
        <f t="shared" si="180"/>
        <v>0</v>
      </c>
      <c r="AX84" s="4438">
        <f t="shared" si="181"/>
        <v>0</v>
      </c>
      <c r="AY84" s="4438">
        <f t="shared" si="182"/>
        <v>0</v>
      </c>
      <c r="AZ84" s="4438">
        <f t="shared" si="183"/>
        <v>0</v>
      </c>
      <c r="BA84" s="4438">
        <f t="shared" si="184"/>
        <v>0</v>
      </c>
      <c r="BB84" s="4438">
        <f t="shared" si="185"/>
        <v>0</v>
      </c>
      <c r="BC84" s="4438">
        <f t="shared" si="186"/>
        <v>0</v>
      </c>
      <c r="BD84" s="4438">
        <f t="shared" si="187"/>
        <v>0</v>
      </c>
      <c r="BE84" s="4438">
        <f t="shared" si="188"/>
        <v>0</v>
      </c>
      <c r="BF84" s="4438">
        <f t="shared" si="189"/>
        <v>0</v>
      </c>
      <c r="BG84" s="4438">
        <f t="shared" si="190"/>
        <v>0</v>
      </c>
      <c r="BH84" s="4438">
        <f t="shared" si="191"/>
        <v>0</v>
      </c>
      <c r="BI84" s="4438">
        <f t="shared" si="192"/>
        <v>0</v>
      </c>
      <c r="BJ84" s="4438">
        <f t="shared" si="193"/>
        <v>0</v>
      </c>
      <c r="BK84" s="4438">
        <f t="shared" si="194"/>
        <v>0</v>
      </c>
      <c r="BL84" s="4438">
        <f t="shared" si="195"/>
        <v>0</v>
      </c>
      <c r="BM84" s="4438">
        <f t="shared" si="196"/>
        <v>0</v>
      </c>
      <c r="BN84" s="4438">
        <f t="shared" si="197"/>
        <v>0</v>
      </c>
      <c r="BO84" s="4438">
        <f t="shared" si="198"/>
        <v>0</v>
      </c>
      <c r="BP84" s="4438">
        <f t="shared" si="199"/>
        <v>0</v>
      </c>
      <c r="BQ84" s="4438">
        <f t="shared" si="200"/>
        <v>0</v>
      </c>
      <c r="BR84" s="4438">
        <f t="shared" si="201"/>
        <v>0</v>
      </c>
      <c r="BS84" s="4438">
        <f t="shared" si="202"/>
        <v>0</v>
      </c>
      <c r="BT84" s="4438">
        <f t="shared" si="203"/>
        <v>0</v>
      </c>
      <c r="BU84" s="4438">
        <f t="shared" si="204"/>
        <v>0</v>
      </c>
      <c r="BV84" s="4438">
        <f t="shared" si="205"/>
        <v>0</v>
      </c>
      <c r="BW84" s="4438">
        <f t="shared" si="206"/>
        <v>0</v>
      </c>
      <c r="BX84" s="4438">
        <f t="shared" si="207"/>
        <v>0</v>
      </c>
      <c r="BY84" s="4438">
        <f t="shared" si="208"/>
        <v>0</v>
      </c>
      <c r="BZ84" s="4438">
        <f t="shared" si="209"/>
        <v>0</v>
      </c>
      <c r="CA84" s="4438">
        <f t="shared" si="210"/>
        <v>0</v>
      </c>
      <c r="CB84" s="4438">
        <f t="shared" si="211"/>
        <v>0</v>
      </c>
      <c r="CC84" s="4438">
        <f t="shared" si="212"/>
        <v>0</v>
      </c>
      <c r="CD84" s="4438">
        <f t="shared" si="213"/>
        <v>0</v>
      </c>
    </row>
    <row r="85" spans="1:82" s="659" customFormat="1">
      <c r="A85" s="2854"/>
      <c r="B85" s="2574">
        <v>2040202</v>
      </c>
      <c r="C85" s="2855">
        <v>0.02</v>
      </c>
      <c r="D85" s="2923" t="s">
        <v>739</v>
      </c>
      <c r="E85" s="4387">
        <f t="shared" si="233"/>
        <v>0.4</v>
      </c>
      <c r="F85" s="2905">
        <f t="shared" si="234"/>
        <v>0.8</v>
      </c>
      <c r="G85" s="2903">
        <f t="shared" si="235"/>
        <v>0.8</v>
      </c>
      <c r="H85" s="2903">
        <f t="shared" si="235"/>
        <v>0.8</v>
      </c>
      <c r="I85" s="2903">
        <f t="shared" si="235"/>
        <v>0.8</v>
      </c>
      <c r="J85" s="2903">
        <f t="shared" si="235"/>
        <v>0.8</v>
      </c>
      <c r="K85" s="2904">
        <f t="shared" si="235"/>
        <v>0.8</v>
      </c>
      <c r="L85" s="4387">
        <f t="shared" si="236"/>
        <v>0</v>
      </c>
      <c r="M85" s="2905">
        <f t="shared" si="237"/>
        <v>0</v>
      </c>
      <c r="N85" s="2903">
        <f t="shared" si="238"/>
        <v>0</v>
      </c>
      <c r="O85" s="2903">
        <f t="shared" si="238"/>
        <v>0</v>
      </c>
      <c r="P85" s="2903">
        <f t="shared" si="238"/>
        <v>0</v>
      </c>
      <c r="Q85" s="2903">
        <f t="shared" si="238"/>
        <v>0</v>
      </c>
      <c r="R85" s="2906">
        <f t="shared" si="238"/>
        <v>0</v>
      </c>
      <c r="S85" s="4387">
        <f t="shared" si="239"/>
        <v>0</v>
      </c>
      <c r="T85" s="4170">
        <f t="shared" si="240"/>
        <v>0</v>
      </c>
      <c r="U85" s="2903">
        <f t="shared" si="241"/>
        <v>0</v>
      </c>
      <c r="V85" s="2903">
        <f t="shared" si="241"/>
        <v>0</v>
      </c>
      <c r="W85" s="2903">
        <f t="shared" si="241"/>
        <v>0</v>
      </c>
      <c r="X85" s="2903">
        <f t="shared" si="241"/>
        <v>0</v>
      </c>
      <c r="Y85" s="2906">
        <f t="shared" si="241"/>
        <v>0</v>
      </c>
      <c r="Z85" s="4387">
        <f t="shared" si="242"/>
        <v>0</v>
      </c>
      <c r="AA85" s="4170">
        <f t="shared" si="243"/>
        <v>0</v>
      </c>
      <c r="AB85" s="2903">
        <f t="shared" si="244"/>
        <v>0</v>
      </c>
      <c r="AC85" s="2903">
        <f t="shared" si="244"/>
        <v>0</v>
      </c>
      <c r="AD85" s="2903">
        <f t="shared" si="244"/>
        <v>0</v>
      </c>
      <c r="AE85" s="2903">
        <f t="shared" si="244"/>
        <v>0</v>
      </c>
      <c r="AF85" s="2906">
        <f t="shared" si="244"/>
        <v>0</v>
      </c>
      <c r="AG85" s="4387">
        <f t="shared" si="245"/>
        <v>0</v>
      </c>
      <c r="AH85" s="4170">
        <f t="shared" si="246"/>
        <v>0</v>
      </c>
      <c r="AI85" s="2903">
        <f t="shared" si="247"/>
        <v>0</v>
      </c>
      <c r="AJ85" s="2903">
        <f t="shared" si="247"/>
        <v>0</v>
      </c>
      <c r="AK85" s="2903">
        <f t="shared" si="247"/>
        <v>0</v>
      </c>
      <c r="AL85" s="2903">
        <f t="shared" si="247"/>
        <v>0</v>
      </c>
      <c r="AM85" s="2906">
        <f t="shared" si="247"/>
        <v>0</v>
      </c>
      <c r="AN85" s="4066"/>
      <c r="AO85" s="2988"/>
      <c r="AP85" s="2989"/>
      <c r="AQ85" s="2989"/>
      <c r="AR85" s="2989"/>
      <c r="AS85" s="2989"/>
      <c r="AT85" s="2990"/>
      <c r="AU85" s="4422"/>
      <c r="AV85" s="4438">
        <f t="shared" si="179"/>
        <v>0.20451675247848741</v>
      </c>
      <c r="AW85" s="4438">
        <f t="shared" si="180"/>
        <v>0.40903350495697482</v>
      </c>
      <c r="AX85" s="4438">
        <f t="shared" si="181"/>
        <v>0.40903350495697482</v>
      </c>
      <c r="AY85" s="4438">
        <f t="shared" si="182"/>
        <v>0.40903350495697482</v>
      </c>
      <c r="AZ85" s="4438">
        <f t="shared" si="183"/>
        <v>0.40903350495697482</v>
      </c>
      <c r="BA85" s="4438">
        <f t="shared" si="184"/>
        <v>0.40903350495697482</v>
      </c>
      <c r="BB85" s="4438">
        <f t="shared" si="185"/>
        <v>0.40903350495697482</v>
      </c>
      <c r="BC85" s="4438">
        <f t="shared" si="186"/>
        <v>0</v>
      </c>
      <c r="BD85" s="4438">
        <f t="shared" si="187"/>
        <v>0</v>
      </c>
      <c r="BE85" s="4438">
        <f t="shared" si="188"/>
        <v>0</v>
      </c>
      <c r="BF85" s="4438">
        <f t="shared" si="189"/>
        <v>0</v>
      </c>
      <c r="BG85" s="4438">
        <f t="shared" si="190"/>
        <v>0</v>
      </c>
      <c r="BH85" s="4438">
        <f t="shared" si="191"/>
        <v>0</v>
      </c>
      <c r="BI85" s="4438">
        <f t="shared" si="192"/>
        <v>0</v>
      </c>
      <c r="BJ85" s="4438">
        <f t="shared" si="193"/>
        <v>0</v>
      </c>
      <c r="BK85" s="4438">
        <f t="shared" si="194"/>
        <v>0</v>
      </c>
      <c r="BL85" s="4438">
        <f t="shared" si="195"/>
        <v>0</v>
      </c>
      <c r="BM85" s="4438">
        <f t="shared" si="196"/>
        <v>0</v>
      </c>
      <c r="BN85" s="4438">
        <f t="shared" si="197"/>
        <v>0</v>
      </c>
      <c r="BO85" s="4438">
        <f t="shared" si="198"/>
        <v>0</v>
      </c>
      <c r="BP85" s="4438">
        <f t="shared" si="199"/>
        <v>0</v>
      </c>
      <c r="BQ85" s="4438">
        <f t="shared" si="200"/>
        <v>0</v>
      </c>
      <c r="BR85" s="4438">
        <f t="shared" si="201"/>
        <v>0</v>
      </c>
      <c r="BS85" s="4438">
        <f t="shared" si="202"/>
        <v>0</v>
      </c>
      <c r="BT85" s="4438">
        <f t="shared" si="203"/>
        <v>0</v>
      </c>
      <c r="BU85" s="4438">
        <f t="shared" si="204"/>
        <v>0</v>
      </c>
      <c r="BV85" s="4438">
        <f t="shared" si="205"/>
        <v>0</v>
      </c>
      <c r="BW85" s="4438">
        <f t="shared" si="206"/>
        <v>0</v>
      </c>
      <c r="BX85" s="4438">
        <f t="shared" si="207"/>
        <v>0</v>
      </c>
      <c r="BY85" s="4438">
        <f t="shared" si="208"/>
        <v>0</v>
      </c>
      <c r="BZ85" s="4438">
        <f t="shared" si="209"/>
        <v>0</v>
      </c>
      <c r="CA85" s="4438">
        <f t="shared" si="210"/>
        <v>0</v>
      </c>
      <c r="CB85" s="4438">
        <f t="shared" si="211"/>
        <v>0</v>
      </c>
      <c r="CC85" s="4438">
        <f t="shared" si="212"/>
        <v>0</v>
      </c>
      <c r="CD85" s="4438">
        <f t="shared" si="213"/>
        <v>0</v>
      </c>
    </row>
    <row r="86" spans="1:82" s="659" customFormat="1">
      <c r="A86" s="2854"/>
      <c r="B86" s="2574">
        <v>2040203</v>
      </c>
      <c r="C86" s="2855">
        <v>0.02</v>
      </c>
      <c r="D86" s="2923" t="s">
        <v>418</v>
      </c>
      <c r="E86" s="4387">
        <f t="shared" si="233"/>
        <v>0</v>
      </c>
      <c r="F86" s="2905">
        <f t="shared" si="234"/>
        <v>0</v>
      </c>
      <c r="G86" s="2903">
        <f t="shared" si="235"/>
        <v>0</v>
      </c>
      <c r="H86" s="2903">
        <f t="shared" si="235"/>
        <v>0</v>
      </c>
      <c r="I86" s="2903">
        <f t="shared" si="235"/>
        <v>0</v>
      </c>
      <c r="J86" s="2903">
        <f t="shared" si="235"/>
        <v>0</v>
      </c>
      <c r="K86" s="2904">
        <f t="shared" si="235"/>
        <v>0</v>
      </c>
      <c r="L86" s="4387">
        <f t="shared" si="236"/>
        <v>0</v>
      </c>
      <c r="M86" s="2905">
        <f t="shared" si="237"/>
        <v>0</v>
      </c>
      <c r="N86" s="2903">
        <f t="shared" si="238"/>
        <v>0</v>
      </c>
      <c r="O86" s="2903">
        <f t="shared" si="238"/>
        <v>0</v>
      </c>
      <c r="P86" s="2903">
        <f t="shared" si="238"/>
        <v>0</v>
      </c>
      <c r="Q86" s="2903">
        <f t="shared" si="238"/>
        <v>0</v>
      </c>
      <c r="R86" s="2906">
        <f t="shared" si="238"/>
        <v>0</v>
      </c>
      <c r="S86" s="4387">
        <f t="shared" si="239"/>
        <v>0</v>
      </c>
      <c r="T86" s="4170">
        <f t="shared" si="240"/>
        <v>0</v>
      </c>
      <c r="U86" s="2903">
        <f t="shared" si="241"/>
        <v>0</v>
      </c>
      <c r="V86" s="2903">
        <f t="shared" si="241"/>
        <v>0</v>
      </c>
      <c r="W86" s="2903">
        <f t="shared" si="241"/>
        <v>0</v>
      </c>
      <c r="X86" s="2903">
        <f t="shared" si="241"/>
        <v>0</v>
      </c>
      <c r="Y86" s="2906">
        <f t="shared" si="241"/>
        <v>0</v>
      </c>
      <c r="Z86" s="4387">
        <f t="shared" si="242"/>
        <v>0</v>
      </c>
      <c r="AA86" s="4170">
        <f t="shared" si="243"/>
        <v>0</v>
      </c>
      <c r="AB86" s="2903">
        <f t="shared" si="244"/>
        <v>0</v>
      </c>
      <c r="AC86" s="2903">
        <f t="shared" si="244"/>
        <v>0</v>
      </c>
      <c r="AD86" s="2903">
        <f t="shared" si="244"/>
        <v>0</v>
      </c>
      <c r="AE86" s="2903">
        <f t="shared" si="244"/>
        <v>0</v>
      </c>
      <c r="AF86" s="2906">
        <f t="shared" si="244"/>
        <v>0</v>
      </c>
      <c r="AG86" s="4387">
        <f t="shared" si="245"/>
        <v>0</v>
      </c>
      <c r="AH86" s="4170">
        <f t="shared" si="246"/>
        <v>0</v>
      </c>
      <c r="AI86" s="2903">
        <f t="shared" si="247"/>
        <v>0</v>
      </c>
      <c r="AJ86" s="2903">
        <f t="shared" si="247"/>
        <v>0</v>
      </c>
      <c r="AK86" s="2903">
        <f t="shared" si="247"/>
        <v>0</v>
      </c>
      <c r="AL86" s="2903">
        <f t="shared" si="247"/>
        <v>0</v>
      </c>
      <c r="AM86" s="2906">
        <f t="shared" si="247"/>
        <v>0</v>
      </c>
      <c r="AN86" s="4066"/>
      <c r="AO86" s="2988"/>
      <c r="AP86" s="2989"/>
      <c r="AQ86" s="2989"/>
      <c r="AR86" s="2989"/>
      <c r="AS86" s="2989"/>
      <c r="AT86" s="2990"/>
      <c r="AU86" s="4422"/>
      <c r="AV86" s="4438">
        <f t="shared" si="179"/>
        <v>0</v>
      </c>
      <c r="AW86" s="4438">
        <f t="shared" si="180"/>
        <v>0</v>
      </c>
      <c r="AX86" s="4438">
        <f t="shared" si="181"/>
        <v>0</v>
      </c>
      <c r="AY86" s="4438">
        <f t="shared" si="182"/>
        <v>0</v>
      </c>
      <c r="AZ86" s="4438">
        <f t="shared" si="183"/>
        <v>0</v>
      </c>
      <c r="BA86" s="4438">
        <f t="shared" si="184"/>
        <v>0</v>
      </c>
      <c r="BB86" s="4438">
        <f t="shared" si="185"/>
        <v>0</v>
      </c>
      <c r="BC86" s="4438">
        <f t="shared" si="186"/>
        <v>0</v>
      </c>
      <c r="BD86" s="4438">
        <f t="shared" si="187"/>
        <v>0</v>
      </c>
      <c r="BE86" s="4438">
        <f t="shared" si="188"/>
        <v>0</v>
      </c>
      <c r="BF86" s="4438">
        <f t="shared" si="189"/>
        <v>0</v>
      </c>
      <c r="BG86" s="4438">
        <f t="shared" si="190"/>
        <v>0</v>
      </c>
      <c r="BH86" s="4438">
        <f t="shared" si="191"/>
        <v>0</v>
      </c>
      <c r="BI86" s="4438">
        <f t="shared" si="192"/>
        <v>0</v>
      </c>
      <c r="BJ86" s="4438">
        <f t="shared" si="193"/>
        <v>0</v>
      </c>
      <c r="BK86" s="4438">
        <f t="shared" si="194"/>
        <v>0</v>
      </c>
      <c r="BL86" s="4438">
        <f t="shared" si="195"/>
        <v>0</v>
      </c>
      <c r="BM86" s="4438">
        <f t="shared" si="196"/>
        <v>0</v>
      </c>
      <c r="BN86" s="4438">
        <f t="shared" si="197"/>
        <v>0</v>
      </c>
      <c r="BO86" s="4438">
        <f t="shared" si="198"/>
        <v>0</v>
      </c>
      <c r="BP86" s="4438">
        <f t="shared" si="199"/>
        <v>0</v>
      </c>
      <c r="BQ86" s="4438">
        <f t="shared" si="200"/>
        <v>0</v>
      </c>
      <c r="BR86" s="4438">
        <f t="shared" si="201"/>
        <v>0</v>
      </c>
      <c r="BS86" s="4438">
        <f t="shared" si="202"/>
        <v>0</v>
      </c>
      <c r="BT86" s="4438">
        <f t="shared" si="203"/>
        <v>0</v>
      </c>
      <c r="BU86" s="4438">
        <f t="shared" si="204"/>
        <v>0</v>
      </c>
      <c r="BV86" s="4438">
        <f t="shared" si="205"/>
        <v>0</v>
      </c>
      <c r="BW86" s="4438">
        <f t="shared" si="206"/>
        <v>0</v>
      </c>
      <c r="BX86" s="4438">
        <f t="shared" si="207"/>
        <v>0</v>
      </c>
      <c r="BY86" s="4438">
        <f t="shared" si="208"/>
        <v>0</v>
      </c>
      <c r="BZ86" s="4438">
        <f t="shared" si="209"/>
        <v>0</v>
      </c>
      <c r="CA86" s="4438">
        <f t="shared" si="210"/>
        <v>0</v>
      </c>
      <c r="CB86" s="4438">
        <f t="shared" si="211"/>
        <v>0</v>
      </c>
      <c r="CC86" s="4438">
        <f t="shared" si="212"/>
        <v>0</v>
      </c>
      <c r="CD86" s="4438">
        <f t="shared" si="213"/>
        <v>0</v>
      </c>
    </row>
    <row r="87" spans="1:82" s="659" customFormat="1">
      <c r="A87" s="2854"/>
      <c r="B87" s="2574">
        <v>2040204</v>
      </c>
      <c r="C87" s="2855">
        <v>0.02</v>
      </c>
      <c r="D87" s="2926" t="s">
        <v>419</v>
      </c>
      <c r="E87" s="4387">
        <f t="shared" si="233"/>
        <v>0.47000000000000003</v>
      </c>
      <c r="F87" s="2905">
        <f t="shared" si="234"/>
        <v>0.94000000000000006</v>
      </c>
      <c r="G87" s="2903">
        <f t="shared" si="235"/>
        <v>0.94000000000000006</v>
      </c>
      <c r="H87" s="2903">
        <f t="shared" si="235"/>
        <v>0.94000000000000006</v>
      </c>
      <c r="I87" s="2903">
        <f t="shared" si="235"/>
        <v>0.94000000000000006</v>
      </c>
      <c r="J87" s="2903">
        <f t="shared" si="235"/>
        <v>0.94000000000000006</v>
      </c>
      <c r="K87" s="2904">
        <f t="shared" si="235"/>
        <v>0.94000000000000006</v>
      </c>
      <c r="L87" s="4387">
        <f t="shared" si="236"/>
        <v>0</v>
      </c>
      <c r="M87" s="2905">
        <f t="shared" si="237"/>
        <v>0</v>
      </c>
      <c r="N87" s="2903">
        <f t="shared" si="238"/>
        <v>0</v>
      </c>
      <c r="O87" s="2903">
        <f t="shared" si="238"/>
        <v>0</v>
      </c>
      <c r="P87" s="2903">
        <f t="shared" si="238"/>
        <v>0</v>
      </c>
      <c r="Q87" s="2903">
        <f t="shared" si="238"/>
        <v>0</v>
      </c>
      <c r="R87" s="2906">
        <f t="shared" si="238"/>
        <v>0</v>
      </c>
      <c r="S87" s="4387">
        <f t="shared" si="239"/>
        <v>0</v>
      </c>
      <c r="T87" s="4170">
        <f t="shared" si="240"/>
        <v>0</v>
      </c>
      <c r="U87" s="2903">
        <f t="shared" si="241"/>
        <v>0</v>
      </c>
      <c r="V87" s="2903">
        <f t="shared" si="241"/>
        <v>0</v>
      </c>
      <c r="W87" s="2903">
        <f t="shared" si="241"/>
        <v>0</v>
      </c>
      <c r="X87" s="2903">
        <f t="shared" si="241"/>
        <v>0</v>
      </c>
      <c r="Y87" s="2906">
        <f t="shared" si="241"/>
        <v>0</v>
      </c>
      <c r="Z87" s="4387">
        <f t="shared" si="242"/>
        <v>0</v>
      </c>
      <c r="AA87" s="4170">
        <f t="shared" si="243"/>
        <v>0</v>
      </c>
      <c r="AB87" s="2903">
        <f t="shared" si="244"/>
        <v>0</v>
      </c>
      <c r="AC87" s="2903">
        <f t="shared" si="244"/>
        <v>0</v>
      </c>
      <c r="AD87" s="2903">
        <f t="shared" si="244"/>
        <v>0</v>
      </c>
      <c r="AE87" s="2903">
        <f t="shared" si="244"/>
        <v>0</v>
      </c>
      <c r="AF87" s="2906">
        <f t="shared" si="244"/>
        <v>0</v>
      </c>
      <c r="AG87" s="4387">
        <f t="shared" si="245"/>
        <v>0</v>
      </c>
      <c r="AH87" s="4170">
        <f t="shared" si="246"/>
        <v>0</v>
      </c>
      <c r="AI87" s="2903">
        <f t="shared" si="247"/>
        <v>0</v>
      </c>
      <c r="AJ87" s="2903">
        <f t="shared" si="247"/>
        <v>0</v>
      </c>
      <c r="AK87" s="2903">
        <f t="shared" si="247"/>
        <v>0</v>
      </c>
      <c r="AL87" s="2903">
        <f t="shared" si="247"/>
        <v>0</v>
      </c>
      <c r="AM87" s="2906">
        <f t="shared" si="247"/>
        <v>0</v>
      </c>
      <c r="AN87" s="4066"/>
      <c r="AO87" s="2988"/>
      <c r="AP87" s="2989"/>
      <c r="AQ87" s="2989"/>
      <c r="AR87" s="2989"/>
      <c r="AS87" s="2989"/>
      <c r="AT87" s="2990"/>
      <c r="AU87" s="4422"/>
      <c r="AV87" s="4438">
        <f t="shared" si="179"/>
        <v>0.24030718416222271</v>
      </c>
      <c r="AW87" s="4438">
        <f t="shared" si="180"/>
        <v>0.48061436832444543</v>
      </c>
      <c r="AX87" s="4438">
        <f t="shared" si="181"/>
        <v>0.48061436832444543</v>
      </c>
      <c r="AY87" s="4438">
        <f t="shared" si="182"/>
        <v>0.48061436832444543</v>
      </c>
      <c r="AZ87" s="4438">
        <f t="shared" si="183"/>
        <v>0.48061436832444543</v>
      </c>
      <c r="BA87" s="4438">
        <f t="shared" si="184"/>
        <v>0.48061436832444543</v>
      </c>
      <c r="BB87" s="4438">
        <f t="shared" si="185"/>
        <v>0.48061436832444543</v>
      </c>
      <c r="BC87" s="4438">
        <f t="shared" si="186"/>
        <v>0</v>
      </c>
      <c r="BD87" s="4438">
        <f t="shared" si="187"/>
        <v>0</v>
      </c>
      <c r="BE87" s="4438">
        <f t="shared" si="188"/>
        <v>0</v>
      </c>
      <c r="BF87" s="4438">
        <f t="shared" si="189"/>
        <v>0</v>
      </c>
      <c r="BG87" s="4438">
        <f t="shared" si="190"/>
        <v>0</v>
      </c>
      <c r="BH87" s="4438">
        <f t="shared" si="191"/>
        <v>0</v>
      </c>
      <c r="BI87" s="4438">
        <f t="shared" si="192"/>
        <v>0</v>
      </c>
      <c r="BJ87" s="4438">
        <f t="shared" si="193"/>
        <v>0</v>
      </c>
      <c r="BK87" s="4438">
        <f t="shared" si="194"/>
        <v>0</v>
      </c>
      <c r="BL87" s="4438">
        <f t="shared" si="195"/>
        <v>0</v>
      </c>
      <c r="BM87" s="4438">
        <f t="shared" si="196"/>
        <v>0</v>
      </c>
      <c r="BN87" s="4438">
        <f t="shared" si="197"/>
        <v>0</v>
      </c>
      <c r="BO87" s="4438">
        <f t="shared" si="198"/>
        <v>0</v>
      </c>
      <c r="BP87" s="4438">
        <f t="shared" si="199"/>
        <v>0</v>
      </c>
      <c r="BQ87" s="4438">
        <f t="shared" si="200"/>
        <v>0</v>
      </c>
      <c r="BR87" s="4438">
        <f t="shared" si="201"/>
        <v>0</v>
      </c>
      <c r="BS87" s="4438">
        <f t="shared" si="202"/>
        <v>0</v>
      </c>
      <c r="BT87" s="4438">
        <f t="shared" si="203"/>
        <v>0</v>
      </c>
      <c r="BU87" s="4438">
        <f t="shared" si="204"/>
        <v>0</v>
      </c>
      <c r="BV87" s="4438">
        <f t="shared" si="205"/>
        <v>0</v>
      </c>
      <c r="BW87" s="4438">
        <f t="shared" si="206"/>
        <v>0</v>
      </c>
      <c r="BX87" s="4438">
        <f t="shared" si="207"/>
        <v>0</v>
      </c>
      <c r="BY87" s="4438">
        <f t="shared" si="208"/>
        <v>0</v>
      </c>
      <c r="BZ87" s="4438">
        <f t="shared" si="209"/>
        <v>0</v>
      </c>
      <c r="CA87" s="4438">
        <f t="shared" si="210"/>
        <v>0</v>
      </c>
      <c r="CB87" s="4438">
        <f t="shared" si="211"/>
        <v>0</v>
      </c>
      <c r="CC87" s="4438">
        <f t="shared" si="212"/>
        <v>0</v>
      </c>
      <c r="CD87" s="4438">
        <f t="shared" si="213"/>
        <v>0</v>
      </c>
    </row>
    <row r="88" spans="1:82" s="659" customFormat="1">
      <c r="A88" s="2854"/>
      <c r="B88" s="2574">
        <v>2040205</v>
      </c>
      <c r="C88" s="2855">
        <v>0.02</v>
      </c>
      <c r="D88" s="2923" t="s">
        <v>420</v>
      </c>
      <c r="E88" s="4387">
        <f t="shared" si="233"/>
        <v>5.83</v>
      </c>
      <c r="F88" s="2905">
        <f t="shared" si="234"/>
        <v>11.66</v>
      </c>
      <c r="G88" s="2903">
        <f t="shared" si="235"/>
        <v>11.66</v>
      </c>
      <c r="H88" s="2903">
        <f t="shared" si="235"/>
        <v>11.66</v>
      </c>
      <c r="I88" s="2903">
        <f t="shared" si="235"/>
        <v>11.66</v>
      </c>
      <c r="J88" s="2903">
        <f t="shared" si="235"/>
        <v>11.66</v>
      </c>
      <c r="K88" s="2904">
        <f t="shared" si="235"/>
        <v>11.66</v>
      </c>
      <c r="L88" s="4387">
        <f t="shared" si="236"/>
        <v>0</v>
      </c>
      <c r="M88" s="2905">
        <f t="shared" si="237"/>
        <v>0</v>
      </c>
      <c r="N88" s="2903">
        <f t="shared" si="238"/>
        <v>0</v>
      </c>
      <c r="O88" s="2903">
        <f t="shared" si="238"/>
        <v>0</v>
      </c>
      <c r="P88" s="2903">
        <f t="shared" si="238"/>
        <v>0</v>
      </c>
      <c r="Q88" s="2903">
        <f t="shared" si="238"/>
        <v>0</v>
      </c>
      <c r="R88" s="2906">
        <f t="shared" si="238"/>
        <v>0</v>
      </c>
      <c r="S88" s="4387">
        <f t="shared" si="239"/>
        <v>0</v>
      </c>
      <c r="T88" s="4170">
        <f t="shared" si="240"/>
        <v>0</v>
      </c>
      <c r="U88" s="2903">
        <f t="shared" si="241"/>
        <v>0</v>
      </c>
      <c r="V88" s="2903">
        <f t="shared" si="241"/>
        <v>0</v>
      </c>
      <c r="W88" s="2903">
        <f t="shared" si="241"/>
        <v>0</v>
      </c>
      <c r="X88" s="2903">
        <f t="shared" si="241"/>
        <v>0</v>
      </c>
      <c r="Y88" s="2906">
        <f t="shared" si="241"/>
        <v>0</v>
      </c>
      <c r="Z88" s="4387">
        <f t="shared" si="242"/>
        <v>0</v>
      </c>
      <c r="AA88" s="4170">
        <f t="shared" si="243"/>
        <v>0</v>
      </c>
      <c r="AB88" s="2903">
        <f t="shared" si="244"/>
        <v>0</v>
      </c>
      <c r="AC88" s="2903">
        <f t="shared" si="244"/>
        <v>0</v>
      </c>
      <c r="AD88" s="2903">
        <f t="shared" si="244"/>
        <v>0</v>
      </c>
      <c r="AE88" s="2903">
        <f t="shared" si="244"/>
        <v>0</v>
      </c>
      <c r="AF88" s="2906">
        <f t="shared" si="244"/>
        <v>0</v>
      </c>
      <c r="AG88" s="4387">
        <f t="shared" si="245"/>
        <v>0</v>
      </c>
      <c r="AH88" s="4170">
        <f t="shared" si="246"/>
        <v>0</v>
      </c>
      <c r="AI88" s="2903">
        <f t="shared" si="247"/>
        <v>0</v>
      </c>
      <c r="AJ88" s="2903">
        <f t="shared" si="247"/>
        <v>0</v>
      </c>
      <c r="AK88" s="2903">
        <f t="shared" si="247"/>
        <v>0</v>
      </c>
      <c r="AL88" s="2903">
        <f t="shared" si="247"/>
        <v>0</v>
      </c>
      <c r="AM88" s="2906">
        <f t="shared" si="247"/>
        <v>0</v>
      </c>
      <c r="AN88" s="4066"/>
      <c r="AO88" s="2988"/>
      <c r="AP88" s="2989"/>
      <c r="AQ88" s="2989"/>
      <c r="AR88" s="2989"/>
      <c r="AS88" s="2989"/>
      <c r="AT88" s="2990"/>
      <c r="AU88" s="4422"/>
      <c r="AV88" s="4438">
        <f t="shared" si="179"/>
        <v>2.9808316673739537</v>
      </c>
      <c r="AW88" s="4438">
        <f t="shared" si="180"/>
        <v>5.9616633347479073</v>
      </c>
      <c r="AX88" s="4438">
        <f t="shared" si="181"/>
        <v>5.9616633347479073</v>
      </c>
      <c r="AY88" s="4438">
        <f t="shared" si="182"/>
        <v>5.9616633347479073</v>
      </c>
      <c r="AZ88" s="4438">
        <f t="shared" si="183"/>
        <v>5.9616633347479073</v>
      </c>
      <c r="BA88" s="4438">
        <f t="shared" si="184"/>
        <v>5.9616633347479073</v>
      </c>
      <c r="BB88" s="4438">
        <f t="shared" si="185"/>
        <v>5.9616633347479073</v>
      </c>
      <c r="BC88" s="4438">
        <f t="shared" si="186"/>
        <v>0</v>
      </c>
      <c r="BD88" s="4438">
        <f t="shared" si="187"/>
        <v>0</v>
      </c>
      <c r="BE88" s="4438">
        <f t="shared" si="188"/>
        <v>0</v>
      </c>
      <c r="BF88" s="4438">
        <f t="shared" si="189"/>
        <v>0</v>
      </c>
      <c r="BG88" s="4438">
        <f t="shared" si="190"/>
        <v>0</v>
      </c>
      <c r="BH88" s="4438">
        <f t="shared" si="191"/>
        <v>0</v>
      </c>
      <c r="BI88" s="4438">
        <f t="shared" si="192"/>
        <v>0</v>
      </c>
      <c r="BJ88" s="4438">
        <f t="shared" si="193"/>
        <v>0</v>
      </c>
      <c r="BK88" s="4438">
        <f t="shared" si="194"/>
        <v>0</v>
      </c>
      <c r="BL88" s="4438">
        <f t="shared" si="195"/>
        <v>0</v>
      </c>
      <c r="BM88" s="4438">
        <f t="shared" si="196"/>
        <v>0</v>
      </c>
      <c r="BN88" s="4438">
        <f t="shared" si="197"/>
        <v>0</v>
      </c>
      <c r="BO88" s="4438">
        <f t="shared" si="198"/>
        <v>0</v>
      </c>
      <c r="BP88" s="4438">
        <f t="shared" si="199"/>
        <v>0</v>
      </c>
      <c r="BQ88" s="4438">
        <f t="shared" si="200"/>
        <v>0</v>
      </c>
      <c r="BR88" s="4438">
        <f t="shared" si="201"/>
        <v>0</v>
      </c>
      <c r="BS88" s="4438">
        <f t="shared" si="202"/>
        <v>0</v>
      </c>
      <c r="BT88" s="4438">
        <f t="shared" si="203"/>
        <v>0</v>
      </c>
      <c r="BU88" s="4438">
        <f t="shared" si="204"/>
        <v>0</v>
      </c>
      <c r="BV88" s="4438">
        <f t="shared" si="205"/>
        <v>0</v>
      </c>
      <c r="BW88" s="4438">
        <f t="shared" si="206"/>
        <v>0</v>
      </c>
      <c r="BX88" s="4438">
        <f t="shared" si="207"/>
        <v>0</v>
      </c>
      <c r="BY88" s="4438">
        <f t="shared" si="208"/>
        <v>0</v>
      </c>
      <c r="BZ88" s="4438">
        <f t="shared" si="209"/>
        <v>0</v>
      </c>
      <c r="CA88" s="4438">
        <f t="shared" si="210"/>
        <v>0</v>
      </c>
      <c r="CB88" s="4438">
        <f t="shared" si="211"/>
        <v>0</v>
      </c>
      <c r="CC88" s="4438">
        <f t="shared" si="212"/>
        <v>0</v>
      </c>
      <c r="CD88" s="4438">
        <f t="shared" si="213"/>
        <v>0</v>
      </c>
    </row>
    <row r="89" spans="1:82" s="659" customFormat="1">
      <c r="A89" s="2854"/>
      <c r="B89" s="2574">
        <v>2040206</v>
      </c>
      <c r="C89" s="2855">
        <v>0.02</v>
      </c>
      <c r="D89" s="2923" t="s">
        <v>421</v>
      </c>
      <c r="E89" s="4387">
        <f t="shared" si="233"/>
        <v>0</v>
      </c>
      <c r="F89" s="2905">
        <f t="shared" si="234"/>
        <v>0</v>
      </c>
      <c r="G89" s="2903">
        <f t="shared" si="235"/>
        <v>0</v>
      </c>
      <c r="H89" s="2903">
        <f t="shared" si="235"/>
        <v>0</v>
      </c>
      <c r="I89" s="2903">
        <f t="shared" si="235"/>
        <v>0</v>
      </c>
      <c r="J89" s="2903">
        <f t="shared" si="235"/>
        <v>0</v>
      </c>
      <c r="K89" s="2904">
        <f t="shared" si="235"/>
        <v>0</v>
      </c>
      <c r="L89" s="4387">
        <f t="shared" si="236"/>
        <v>0.23</v>
      </c>
      <c r="M89" s="2905">
        <f t="shared" si="237"/>
        <v>0.46</v>
      </c>
      <c r="N89" s="2903">
        <f t="shared" si="238"/>
        <v>0.46</v>
      </c>
      <c r="O89" s="2903">
        <f t="shared" si="238"/>
        <v>0.46</v>
      </c>
      <c r="P89" s="2903">
        <f t="shared" si="238"/>
        <v>0.46</v>
      </c>
      <c r="Q89" s="2903">
        <f t="shared" si="238"/>
        <v>0.46</v>
      </c>
      <c r="R89" s="2906">
        <f t="shared" si="238"/>
        <v>0.46</v>
      </c>
      <c r="S89" s="4387">
        <f t="shared" si="239"/>
        <v>0</v>
      </c>
      <c r="T89" s="4170">
        <f t="shared" si="240"/>
        <v>0</v>
      </c>
      <c r="U89" s="2903">
        <f t="shared" si="241"/>
        <v>0</v>
      </c>
      <c r="V89" s="2903">
        <f t="shared" si="241"/>
        <v>0</v>
      </c>
      <c r="W89" s="2903">
        <f t="shared" si="241"/>
        <v>0</v>
      </c>
      <c r="X89" s="2903">
        <f t="shared" si="241"/>
        <v>0</v>
      </c>
      <c r="Y89" s="2906">
        <f t="shared" si="241"/>
        <v>0</v>
      </c>
      <c r="Z89" s="4387">
        <f t="shared" si="242"/>
        <v>0</v>
      </c>
      <c r="AA89" s="4170">
        <f t="shared" si="243"/>
        <v>0</v>
      </c>
      <c r="AB89" s="2903">
        <f t="shared" si="244"/>
        <v>0</v>
      </c>
      <c r="AC89" s="2903">
        <f t="shared" si="244"/>
        <v>0</v>
      </c>
      <c r="AD89" s="2903">
        <f t="shared" si="244"/>
        <v>0</v>
      </c>
      <c r="AE89" s="2903">
        <f t="shared" si="244"/>
        <v>0</v>
      </c>
      <c r="AF89" s="2906">
        <f t="shared" si="244"/>
        <v>0</v>
      </c>
      <c r="AG89" s="4387">
        <f t="shared" si="245"/>
        <v>0</v>
      </c>
      <c r="AH89" s="4170">
        <f t="shared" si="246"/>
        <v>0</v>
      </c>
      <c r="AI89" s="2903">
        <f t="shared" si="247"/>
        <v>0</v>
      </c>
      <c r="AJ89" s="2903">
        <f t="shared" si="247"/>
        <v>0</v>
      </c>
      <c r="AK89" s="2903">
        <f t="shared" si="247"/>
        <v>0</v>
      </c>
      <c r="AL89" s="2903">
        <f t="shared" si="247"/>
        <v>0</v>
      </c>
      <c r="AM89" s="2906">
        <f t="shared" si="247"/>
        <v>0</v>
      </c>
      <c r="AN89" s="4066"/>
      <c r="AO89" s="2988"/>
      <c r="AP89" s="2989"/>
      <c r="AQ89" s="2989"/>
      <c r="AR89" s="2989"/>
      <c r="AS89" s="2989"/>
      <c r="AT89" s="2990"/>
      <c r="AU89" s="4422"/>
      <c r="AV89" s="4438">
        <f t="shared" si="179"/>
        <v>0</v>
      </c>
      <c r="AW89" s="4438">
        <f t="shared" si="180"/>
        <v>0</v>
      </c>
      <c r="AX89" s="4438">
        <f t="shared" si="181"/>
        <v>0</v>
      </c>
      <c r="AY89" s="4438">
        <f t="shared" si="182"/>
        <v>0</v>
      </c>
      <c r="AZ89" s="4438">
        <f t="shared" si="183"/>
        <v>0</v>
      </c>
      <c r="BA89" s="4438">
        <f t="shared" si="184"/>
        <v>0</v>
      </c>
      <c r="BB89" s="4438">
        <f t="shared" si="185"/>
        <v>0</v>
      </c>
      <c r="BC89" s="4438">
        <f t="shared" si="186"/>
        <v>0.11759713267513026</v>
      </c>
      <c r="BD89" s="4438">
        <f t="shared" si="187"/>
        <v>0.23519426535026053</v>
      </c>
      <c r="BE89" s="4438">
        <f t="shared" si="188"/>
        <v>0.23519426535026053</v>
      </c>
      <c r="BF89" s="4438">
        <f t="shared" si="189"/>
        <v>0.23519426535026053</v>
      </c>
      <c r="BG89" s="4438">
        <f t="shared" si="190"/>
        <v>0.23519426535026053</v>
      </c>
      <c r="BH89" s="4438">
        <f t="shared" si="191"/>
        <v>0.23519426535026053</v>
      </c>
      <c r="BI89" s="4438">
        <f t="shared" si="192"/>
        <v>0.23519426535026053</v>
      </c>
      <c r="BJ89" s="4438">
        <f t="shared" si="193"/>
        <v>0</v>
      </c>
      <c r="BK89" s="4438">
        <f t="shared" si="194"/>
        <v>0</v>
      </c>
      <c r="BL89" s="4438">
        <f t="shared" si="195"/>
        <v>0</v>
      </c>
      <c r="BM89" s="4438">
        <f t="shared" si="196"/>
        <v>0</v>
      </c>
      <c r="BN89" s="4438">
        <f t="shared" si="197"/>
        <v>0</v>
      </c>
      <c r="BO89" s="4438">
        <f t="shared" si="198"/>
        <v>0</v>
      </c>
      <c r="BP89" s="4438">
        <f t="shared" si="199"/>
        <v>0</v>
      </c>
      <c r="BQ89" s="4438">
        <f t="shared" si="200"/>
        <v>0</v>
      </c>
      <c r="BR89" s="4438">
        <f t="shared" si="201"/>
        <v>0</v>
      </c>
      <c r="BS89" s="4438">
        <f t="shared" si="202"/>
        <v>0</v>
      </c>
      <c r="BT89" s="4438">
        <f t="shared" si="203"/>
        <v>0</v>
      </c>
      <c r="BU89" s="4438">
        <f t="shared" si="204"/>
        <v>0</v>
      </c>
      <c r="BV89" s="4438">
        <f t="shared" si="205"/>
        <v>0</v>
      </c>
      <c r="BW89" s="4438">
        <f t="shared" si="206"/>
        <v>0</v>
      </c>
      <c r="BX89" s="4438">
        <f t="shared" si="207"/>
        <v>0</v>
      </c>
      <c r="BY89" s="4438">
        <f t="shared" si="208"/>
        <v>0</v>
      </c>
      <c r="BZ89" s="4438">
        <f t="shared" si="209"/>
        <v>0</v>
      </c>
      <c r="CA89" s="4438">
        <f t="shared" si="210"/>
        <v>0</v>
      </c>
      <c r="CB89" s="4438">
        <f t="shared" si="211"/>
        <v>0</v>
      </c>
      <c r="CC89" s="4438">
        <f t="shared" si="212"/>
        <v>0</v>
      </c>
      <c r="CD89" s="4438">
        <f t="shared" si="213"/>
        <v>0</v>
      </c>
    </row>
    <row r="90" spans="1:82" s="659" customFormat="1" ht="25.5">
      <c r="A90" s="2854"/>
      <c r="B90" s="2574">
        <v>2040207</v>
      </c>
      <c r="C90" s="2855">
        <v>0.04</v>
      </c>
      <c r="D90" s="2923" t="s">
        <v>422</v>
      </c>
      <c r="E90" s="4387">
        <f t="shared" si="233"/>
        <v>0.16</v>
      </c>
      <c r="F90" s="2905">
        <f t="shared" si="234"/>
        <v>0.32</v>
      </c>
      <c r="G90" s="2903">
        <f t="shared" si="235"/>
        <v>0.32</v>
      </c>
      <c r="H90" s="2903">
        <f t="shared" si="235"/>
        <v>0.32</v>
      </c>
      <c r="I90" s="2903">
        <f t="shared" si="235"/>
        <v>0.32</v>
      </c>
      <c r="J90" s="2903">
        <f t="shared" si="235"/>
        <v>0.32</v>
      </c>
      <c r="K90" s="2904">
        <f t="shared" si="235"/>
        <v>0.32</v>
      </c>
      <c r="L90" s="4387">
        <f t="shared" si="236"/>
        <v>0</v>
      </c>
      <c r="M90" s="2905">
        <f t="shared" si="237"/>
        <v>0</v>
      </c>
      <c r="N90" s="2903">
        <f t="shared" si="238"/>
        <v>0</v>
      </c>
      <c r="O90" s="2903">
        <f t="shared" si="238"/>
        <v>0</v>
      </c>
      <c r="P90" s="2903">
        <f t="shared" si="238"/>
        <v>0</v>
      </c>
      <c r="Q90" s="2903">
        <f t="shared" si="238"/>
        <v>0</v>
      </c>
      <c r="R90" s="2906">
        <f t="shared" si="238"/>
        <v>0</v>
      </c>
      <c r="S90" s="4387">
        <f t="shared" si="239"/>
        <v>0.76</v>
      </c>
      <c r="T90" s="4170">
        <f t="shared" si="240"/>
        <v>1.52</v>
      </c>
      <c r="U90" s="2903">
        <f t="shared" si="241"/>
        <v>1.52</v>
      </c>
      <c r="V90" s="2903">
        <f t="shared" si="241"/>
        <v>1.52</v>
      </c>
      <c r="W90" s="2903">
        <f t="shared" si="241"/>
        <v>1.52</v>
      </c>
      <c r="X90" s="2903">
        <f t="shared" si="241"/>
        <v>1.52</v>
      </c>
      <c r="Y90" s="2906">
        <f t="shared" si="241"/>
        <v>1.52</v>
      </c>
      <c r="Z90" s="4387">
        <f t="shared" si="242"/>
        <v>0</v>
      </c>
      <c r="AA90" s="4170">
        <f t="shared" si="243"/>
        <v>0</v>
      </c>
      <c r="AB90" s="2903">
        <f t="shared" si="244"/>
        <v>0</v>
      </c>
      <c r="AC90" s="2903">
        <f t="shared" si="244"/>
        <v>0</v>
      </c>
      <c r="AD90" s="2903">
        <f t="shared" si="244"/>
        <v>0</v>
      </c>
      <c r="AE90" s="2903">
        <f t="shared" si="244"/>
        <v>0</v>
      </c>
      <c r="AF90" s="2906">
        <f t="shared" si="244"/>
        <v>0</v>
      </c>
      <c r="AG90" s="4387">
        <f t="shared" si="245"/>
        <v>0</v>
      </c>
      <c r="AH90" s="4170">
        <f t="shared" si="246"/>
        <v>0</v>
      </c>
      <c r="AI90" s="2903">
        <f t="shared" si="247"/>
        <v>0</v>
      </c>
      <c r="AJ90" s="2903">
        <f t="shared" si="247"/>
        <v>0</v>
      </c>
      <c r="AK90" s="2903">
        <f t="shared" si="247"/>
        <v>0</v>
      </c>
      <c r="AL90" s="2903">
        <f t="shared" si="247"/>
        <v>0</v>
      </c>
      <c r="AM90" s="2906">
        <f t="shared" si="247"/>
        <v>0</v>
      </c>
      <c r="AN90" s="4066"/>
      <c r="AO90" s="2988"/>
      <c r="AP90" s="2989"/>
      <c r="AQ90" s="2989"/>
      <c r="AR90" s="2989"/>
      <c r="AS90" s="2989"/>
      <c r="AT90" s="2990"/>
      <c r="AU90" s="4422"/>
      <c r="AV90" s="4438">
        <f t="shared" si="179"/>
        <v>8.1806700991394962E-2</v>
      </c>
      <c r="AW90" s="4438">
        <f t="shared" si="180"/>
        <v>0.16361340198278992</v>
      </c>
      <c r="AX90" s="4438">
        <f t="shared" si="181"/>
        <v>0.16361340198278992</v>
      </c>
      <c r="AY90" s="4438">
        <f t="shared" si="182"/>
        <v>0.16361340198278992</v>
      </c>
      <c r="AZ90" s="4438">
        <f t="shared" si="183"/>
        <v>0.16361340198278992</v>
      </c>
      <c r="BA90" s="4438">
        <f t="shared" si="184"/>
        <v>0.16361340198278992</v>
      </c>
      <c r="BB90" s="4438">
        <f t="shared" si="185"/>
        <v>0.16361340198278992</v>
      </c>
      <c r="BC90" s="4438">
        <f t="shared" si="186"/>
        <v>0</v>
      </c>
      <c r="BD90" s="4438">
        <f t="shared" si="187"/>
        <v>0</v>
      </c>
      <c r="BE90" s="4438">
        <f t="shared" si="188"/>
        <v>0</v>
      </c>
      <c r="BF90" s="4438">
        <f t="shared" si="189"/>
        <v>0</v>
      </c>
      <c r="BG90" s="4438">
        <f t="shared" si="190"/>
        <v>0</v>
      </c>
      <c r="BH90" s="4438">
        <f t="shared" si="191"/>
        <v>0</v>
      </c>
      <c r="BI90" s="4438">
        <f t="shared" si="192"/>
        <v>0</v>
      </c>
      <c r="BJ90" s="4438">
        <f t="shared" si="193"/>
        <v>0.38858182970912608</v>
      </c>
      <c r="BK90" s="4438">
        <f t="shared" si="194"/>
        <v>0.77716365941825216</v>
      </c>
      <c r="BL90" s="4438">
        <f t="shared" si="195"/>
        <v>0.77716365941825216</v>
      </c>
      <c r="BM90" s="4438">
        <f t="shared" si="196"/>
        <v>0.77716365941825216</v>
      </c>
      <c r="BN90" s="4438">
        <f t="shared" si="197"/>
        <v>0.77716365941825216</v>
      </c>
      <c r="BO90" s="4438">
        <f t="shared" si="198"/>
        <v>0.77716365941825216</v>
      </c>
      <c r="BP90" s="4438">
        <f t="shared" si="199"/>
        <v>0.77716365941825216</v>
      </c>
      <c r="BQ90" s="4438">
        <f t="shared" si="200"/>
        <v>0</v>
      </c>
      <c r="BR90" s="4438">
        <f t="shared" si="201"/>
        <v>0</v>
      </c>
      <c r="BS90" s="4438">
        <f t="shared" si="202"/>
        <v>0</v>
      </c>
      <c r="BT90" s="4438">
        <f t="shared" si="203"/>
        <v>0</v>
      </c>
      <c r="BU90" s="4438">
        <f t="shared" si="204"/>
        <v>0</v>
      </c>
      <c r="BV90" s="4438">
        <f t="shared" si="205"/>
        <v>0</v>
      </c>
      <c r="BW90" s="4438">
        <f t="shared" si="206"/>
        <v>0</v>
      </c>
      <c r="BX90" s="4438">
        <f t="shared" si="207"/>
        <v>0</v>
      </c>
      <c r="BY90" s="4438">
        <f t="shared" si="208"/>
        <v>0</v>
      </c>
      <c r="BZ90" s="4438">
        <f t="shared" si="209"/>
        <v>0</v>
      </c>
      <c r="CA90" s="4438">
        <f t="shared" si="210"/>
        <v>0</v>
      </c>
      <c r="CB90" s="4438">
        <f t="shared" si="211"/>
        <v>0</v>
      </c>
      <c r="CC90" s="4438">
        <f t="shared" si="212"/>
        <v>0</v>
      </c>
      <c r="CD90" s="4438">
        <f t="shared" si="213"/>
        <v>0</v>
      </c>
    </row>
    <row r="91" spans="1:82" s="659" customFormat="1">
      <c r="A91" s="2854"/>
      <c r="B91" s="2574">
        <v>2040208</v>
      </c>
      <c r="C91" s="2855">
        <v>0.04</v>
      </c>
      <c r="D91" s="2923" t="s">
        <v>423</v>
      </c>
      <c r="E91" s="4387">
        <f t="shared" si="233"/>
        <v>0</v>
      </c>
      <c r="F91" s="2905">
        <f t="shared" si="234"/>
        <v>0</v>
      </c>
      <c r="G91" s="2903">
        <f t="shared" si="235"/>
        <v>0</v>
      </c>
      <c r="H91" s="2903">
        <f t="shared" si="235"/>
        <v>0</v>
      </c>
      <c r="I91" s="2903">
        <f t="shared" si="235"/>
        <v>0</v>
      </c>
      <c r="J91" s="2903">
        <f t="shared" si="235"/>
        <v>-0.4</v>
      </c>
      <c r="K91" s="2904">
        <f t="shared" si="235"/>
        <v>-0.4</v>
      </c>
      <c r="L91" s="4387">
        <f t="shared" si="236"/>
        <v>0</v>
      </c>
      <c r="M91" s="2905">
        <f t="shared" si="237"/>
        <v>0</v>
      </c>
      <c r="N91" s="2903">
        <f t="shared" si="238"/>
        <v>0</v>
      </c>
      <c r="O91" s="2903">
        <f t="shared" si="238"/>
        <v>0</v>
      </c>
      <c r="P91" s="2903">
        <f t="shared" si="238"/>
        <v>0</v>
      </c>
      <c r="Q91" s="2903">
        <f t="shared" si="238"/>
        <v>0</v>
      </c>
      <c r="R91" s="2906">
        <f t="shared" si="238"/>
        <v>0</v>
      </c>
      <c r="S91" s="4387">
        <f t="shared" si="239"/>
        <v>0</v>
      </c>
      <c r="T91" s="4170">
        <f t="shared" si="240"/>
        <v>0</v>
      </c>
      <c r="U91" s="2903">
        <f t="shared" si="241"/>
        <v>0</v>
      </c>
      <c r="V91" s="2903">
        <f t="shared" si="241"/>
        <v>0</v>
      </c>
      <c r="W91" s="2903">
        <f t="shared" si="241"/>
        <v>0</v>
      </c>
      <c r="X91" s="2903">
        <f t="shared" si="241"/>
        <v>0</v>
      </c>
      <c r="Y91" s="2906">
        <f t="shared" si="241"/>
        <v>0</v>
      </c>
      <c r="Z91" s="4387">
        <f t="shared" si="242"/>
        <v>0</v>
      </c>
      <c r="AA91" s="4170">
        <f t="shared" si="243"/>
        <v>0</v>
      </c>
      <c r="AB91" s="2903">
        <f t="shared" si="244"/>
        <v>0</v>
      </c>
      <c r="AC91" s="2903">
        <f t="shared" si="244"/>
        <v>0</v>
      </c>
      <c r="AD91" s="2903">
        <f t="shared" si="244"/>
        <v>0</v>
      </c>
      <c r="AE91" s="2903">
        <f t="shared" si="244"/>
        <v>0</v>
      </c>
      <c r="AF91" s="2906">
        <f t="shared" si="244"/>
        <v>0</v>
      </c>
      <c r="AG91" s="4387">
        <f t="shared" si="245"/>
        <v>0</v>
      </c>
      <c r="AH91" s="4170">
        <f t="shared" si="246"/>
        <v>0</v>
      </c>
      <c r="AI91" s="2903">
        <f t="shared" si="247"/>
        <v>0</v>
      </c>
      <c r="AJ91" s="2903">
        <f t="shared" si="247"/>
        <v>0</v>
      </c>
      <c r="AK91" s="2903">
        <f t="shared" si="247"/>
        <v>0</v>
      </c>
      <c r="AL91" s="2903">
        <f t="shared" si="247"/>
        <v>0</v>
      </c>
      <c r="AM91" s="2906">
        <f t="shared" si="247"/>
        <v>0</v>
      </c>
      <c r="AN91" s="4066"/>
      <c r="AO91" s="2988"/>
      <c r="AP91" s="2989"/>
      <c r="AQ91" s="2989"/>
      <c r="AR91" s="2989"/>
      <c r="AS91" s="2989"/>
      <c r="AT91" s="2990"/>
      <c r="AU91" s="4422"/>
      <c r="AV91" s="4438">
        <f t="shared" si="179"/>
        <v>0</v>
      </c>
      <c r="AW91" s="4438">
        <f t="shared" si="180"/>
        <v>0</v>
      </c>
      <c r="AX91" s="4438">
        <f t="shared" si="181"/>
        <v>0</v>
      </c>
      <c r="AY91" s="4438">
        <f t="shared" si="182"/>
        <v>0</v>
      </c>
      <c r="AZ91" s="4438">
        <f t="shared" si="183"/>
        <v>0</v>
      </c>
      <c r="BA91" s="4438">
        <f t="shared" si="184"/>
        <v>-0.20451675247848741</v>
      </c>
      <c r="BB91" s="4438">
        <f t="shared" si="185"/>
        <v>-0.20451675247848741</v>
      </c>
      <c r="BC91" s="4438">
        <f t="shared" si="186"/>
        <v>0</v>
      </c>
      <c r="BD91" s="4438">
        <f t="shared" si="187"/>
        <v>0</v>
      </c>
      <c r="BE91" s="4438">
        <f t="shared" si="188"/>
        <v>0</v>
      </c>
      <c r="BF91" s="4438">
        <f t="shared" si="189"/>
        <v>0</v>
      </c>
      <c r="BG91" s="4438">
        <f t="shared" si="190"/>
        <v>0</v>
      </c>
      <c r="BH91" s="4438">
        <f t="shared" si="191"/>
        <v>0</v>
      </c>
      <c r="BI91" s="4438">
        <f t="shared" si="192"/>
        <v>0</v>
      </c>
      <c r="BJ91" s="4438">
        <f t="shared" si="193"/>
        <v>0</v>
      </c>
      <c r="BK91" s="4438">
        <f t="shared" si="194"/>
        <v>0</v>
      </c>
      <c r="BL91" s="4438">
        <f t="shared" si="195"/>
        <v>0</v>
      </c>
      <c r="BM91" s="4438">
        <f t="shared" si="196"/>
        <v>0</v>
      </c>
      <c r="BN91" s="4438">
        <f t="shared" si="197"/>
        <v>0</v>
      </c>
      <c r="BO91" s="4438">
        <f t="shared" si="198"/>
        <v>0</v>
      </c>
      <c r="BP91" s="4438">
        <f t="shared" si="199"/>
        <v>0</v>
      </c>
      <c r="BQ91" s="4438">
        <f t="shared" si="200"/>
        <v>0</v>
      </c>
      <c r="BR91" s="4438">
        <f t="shared" si="201"/>
        <v>0</v>
      </c>
      <c r="BS91" s="4438">
        <f t="shared" si="202"/>
        <v>0</v>
      </c>
      <c r="BT91" s="4438">
        <f t="shared" si="203"/>
        <v>0</v>
      </c>
      <c r="BU91" s="4438">
        <f t="shared" si="204"/>
        <v>0</v>
      </c>
      <c r="BV91" s="4438">
        <f t="shared" si="205"/>
        <v>0</v>
      </c>
      <c r="BW91" s="4438">
        <f t="shared" si="206"/>
        <v>0</v>
      </c>
      <c r="BX91" s="4438">
        <f t="shared" si="207"/>
        <v>0</v>
      </c>
      <c r="BY91" s="4438">
        <f t="shared" si="208"/>
        <v>0</v>
      </c>
      <c r="BZ91" s="4438">
        <f t="shared" si="209"/>
        <v>0</v>
      </c>
      <c r="CA91" s="4438">
        <f t="shared" si="210"/>
        <v>0</v>
      </c>
      <c r="CB91" s="4438">
        <f t="shared" si="211"/>
        <v>0</v>
      </c>
      <c r="CC91" s="4438">
        <f t="shared" si="212"/>
        <v>0</v>
      </c>
      <c r="CD91" s="4438">
        <f t="shared" si="213"/>
        <v>0</v>
      </c>
    </row>
    <row r="92" spans="1:82" s="659" customFormat="1">
      <c r="A92" s="2854"/>
      <c r="B92" s="2574">
        <v>20403</v>
      </c>
      <c r="C92" s="2855">
        <v>0.04</v>
      </c>
      <c r="D92" s="2871" t="s">
        <v>1050</v>
      </c>
      <c r="E92" s="4387">
        <f t="shared" si="233"/>
        <v>0</v>
      </c>
      <c r="F92" s="2905">
        <f t="shared" si="234"/>
        <v>0</v>
      </c>
      <c r="G92" s="2903">
        <f t="shared" si="235"/>
        <v>0</v>
      </c>
      <c r="H92" s="2903">
        <f t="shared" si="235"/>
        <v>0</v>
      </c>
      <c r="I92" s="2903">
        <f t="shared" si="235"/>
        <v>0</v>
      </c>
      <c r="J92" s="2903">
        <f t="shared" si="235"/>
        <v>-1.44</v>
      </c>
      <c r="K92" s="2904">
        <f t="shared" si="235"/>
        <v>-1.44</v>
      </c>
      <c r="L92" s="4387">
        <f t="shared" si="236"/>
        <v>0</v>
      </c>
      <c r="M92" s="2905">
        <f t="shared" si="237"/>
        <v>0</v>
      </c>
      <c r="N92" s="2903">
        <f t="shared" si="238"/>
        <v>0</v>
      </c>
      <c r="O92" s="2903">
        <f t="shared" si="238"/>
        <v>0</v>
      </c>
      <c r="P92" s="2903">
        <f t="shared" si="238"/>
        <v>0</v>
      </c>
      <c r="Q92" s="2903">
        <f t="shared" si="238"/>
        <v>0</v>
      </c>
      <c r="R92" s="2906">
        <f t="shared" si="238"/>
        <v>0</v>
      </c>
      <c r="S92" s="4387">
        <f t="shared" si="239"/>
        <v>0</v>
      </c>
      <c r="T92" s="4170">
        <f t="shared" si="240"/>
        <v>0</v>
      </c>
      <c r="U92" s="2903">
        <f t="shared" si="241"/>
        <v>0</v>
      </c>
      <c r="V92" s="2903">
        <f t="shared" si="241"/>
        <v>0</v>
      </c>
      <c r="W92" s="2903">
        <f t="shared" si="241"/>
        <v>0</v>
      </c>
      <c r="X92" s="2903">
        <f t="shared" si="241"/>
        <v>0</v>
      </c>
      <c r="Y92" s="2906">
        <f t="shared" si="241"/>
        <v>0</v>
      </c>
      <c r="Z92" s="4387">
        <f t="shared" si="242"/>
        <v>0</v>
      </c>
      <c r="AA92" s="4170">
        <f t="shared" si="243"/>
        <v>0</v>
      </c>
      <c r="AB92" s="2903">
        <f t="shared" si="244"/>
        <v>0</v>
      </c>
      <c r="AC92" s="2903">
        <f t="shared" si="244"/>
        <v>0</v>
      </c>
      <c r="AD92" s="2903">
        <f t="shared" si="244"/>
        <v>0</v>
      </c>
      <c r="AE92" s="2903">
        <f t="shared" si="244"/>
        <v>0</v>
      </c>
      <c r="AF92" s="2906">
        <f t="shared" si="244"/>
        <v>0</v>
      </c>
      <c r="AG92" s="4387">
        <f t="shared" si="245"/>
        <v>0</v>
      </c>
      <c r="AH92" s="4170">
        <f t="shared" si="246"/>
        <v>0</v>
      </c>
      <c r="AI92" s="2903">
        <f t="shared" si="247"/>
        <v>0</v>
      </c>
      <c r="AJ92" s="2903">
        <f t="shared" si="247"/>
        <v>0</v>
      </c>
      <c r="AK92" s="2903">
        <f t="shared" si="247"/>
        <v>0</v>
      </c>
      <c r="AL92" s="2903">
        <f t="shared" si="247"/>
        <v>0</v>
      </c>
      <c r="AM92" s="2906">
        <f t="shared" si="247"/>
        <v>0</v>
      </c>
      <c r="AN92" s="4066"/>
      <c r="AO92" s="2988"/>
      <c r="AP92" s="2989"/>
      <c r="AQ92" s="2989"/>
      <c r="AR92" s="2989"/>
      <c r="AS92" s="2989"/>
      <c r="AT92" s="2990"/>
      <c r="AU92" s="4422"/>
      <c r="AV92" s="4438">
        <f t="shared" si="179"/>
        <v>0</v>
      </c>
      <c r="AW92" s="4438">
        <f t="shared" si="180"/>
        <v>0</v>
      </c>
      <c r="AX92" s="4438">
        <f t="shared" si="181"/>
        <v>0</v>
      </c>
      <c r="AY92" s="4438">
        <f t="shared" si="182"/>
        <v>0</v>
      </c>
      <c r="AZ92" s="4438">
        <f t="shared" si="183"/>
        <v>0</v>
      </c>
      <c r="BA92" s="4438">
        <f t="shared" si="184"/>
        <v>-0.73626030892255456</v>
      </c>
      <c r="BB92" s="4438">
        <f t="shared" si="185"/>
        <v>-0.73626030892255456</v>
      </c>
      <c r="BC92" s="4438">
        <f t="shared" si="186"/>
        <v>0</v>
      </c>
      <c r="BD92" s="4438">
        <f t="shared" si="187"/>
        <v>0</v>
      </c>
      <c r="BE92" s="4438">
        <f t="shared" si="188"/>
        <v>0</v>
      </c>
      <c r="BF92" s="4438">
        <f t="shared" si="189"/>
        <v>0</v>
      </c>
      <c r="BG92" s="4438">
        <f t="shared" si="190"/>
        <v>0</v>
      </c>
      <c r="BH92" s="4438">
        <f t="shared" si="191"/>
        <v>0</v>
      </c>
      <c r="BI92" s="4438">
        <f t="shared" si="192"/>
        <v>0</v>
      </c>
      <c r="BJ92" s="4438">
        <f t="shared" si="193"/>
        <v>0</v>
      </c>
      <c r="BK92" s="4438">
        <f t="shared" si="194"/>
        <v>0</v>
      </c>
      <c r="BL92" s="4438">
        <f t="shared" si="195"/>
        <v>0</v>
      </c>
      <c r="BM92" s="4438">
        <f t="shared" si="196"/>
        <v>0</v>
      </c>
      <c r="BN92" s="4438">
        <f t="shared" si="197"/>
        <v>0</v>
      </c>
      <c r="BO92" s="4438">
        <f t="shared" si="198"/>
        <v>0</v>
      </c>
      <c r="BP92" s="4438">
        <f t="shared" si="199"/>
        <v>0</v>
      </c>
      <c r="BQ92" s="4438">
        <f t="shared" si="200"/>
        <v>0</v>
      </c>
      <c r="BR92" s="4438">
        <f t="shared" si="201"/>
        <v>0</v>
      </c>
      <c r="BS92" s="4438">
        <f t="shared" si="202"/>
        <v>0</v>
      </c>
      <c r="BT92" s="4438">
        <f t="shared" si="203"/>
        <v>0</v>
      </c>
      <c r="BU92" s="4438">
        <f t="shared" si="204"/>
        <v>0</v>
      </c>
      <c r="BV92" s="4438">
        <f t="shared" si="205"/>
        <v>0</v>
      </c>
      <c r="BW92" s="4438">
        <f t="shared" si="206"/>
        <v>0</v>
      </c>
      <c r="BX92" s="4438">
        <f t="shared" si="207"/>
        <v>0</v>
      </c>
      <c r="BY92" s="4438">
        <f t="shared" si="208"/>
        <v>0</v>
      </c>
      <c r="BZ92" s="4438">
        <f t="shared" si="209"/>
        <v>0</v>
      </c>
      <c r="CA92" s="4438">
        <f t="shared" si="210"/>
        <v>0</v>
      </c>
      <c r="CB92" s="4438">
        <f t="shared" si="211"/>
        <v>0</v>
      </c>
      <c r="CC92" s="4438">
        <f t="shared" si="212"/>
        <v>0</v>
      </c>
      <c r="CD92" s="4438">
        <f t="shared" si="213"/>
        <v>0</v>
      </c>
    </row>
    <row r="93" spans="1:82" s="659" customFormat="1" ht="25.5">
      <c r="A93" s="2854"/>
      <c r="B93" s="2574" t="s">
        <v>1051</v>
      </c>
      <c r="C93" s="2855">
        <v>0.04</v>
      </c>
      <c r="D93" s="2871" t="s">
        <v>1052</v>
      </c>
      <c r="E93" s="4387">
        <f t="shared" si="233"/>
        <v>0</v>
      </c>
      <c r="F93" s="2905">
        <f t="shared" si="234"/>
        <v>0</v>
      </c>
      <c r="G93" s="2903">
        <f t="shared" si="235"/>
        <v>0</v>
      </c>
      <c r="H93" s="2903">
        <f t="shared" si="235"/>
        <v>0</v>
      </c>
      <c r="I93" s="2903">
        <f t="shared" si="235"/>
        <v>0</v>
      </c>
      <c r="J93" s="2903">
        <f t="shared" si="235"/>
        <v>0</v>
      </c>
      <c r="K93" s="2904">
        <f t="shared" si="235"/>
        <v>0</v>
      </c>
      <c r="L93" s="4387">
        <f t="shared" si="236"/>
        <v>0</v>
      </c>
      <c r="M93" s="2905">
        <f t="shared" si="237"/>
        <v>0</v>
      </c>
      <c r="N93" s="2903">
        <f t="shared" si="238"/>
        <v>0</v>
      </c>
      <c r="O93" s="2903">
        <f t="shared" si="238"/>
        <v>0</v>
      </c>
      <c r="P93" s="2903">
        <f t="shared" si="238"/>
        <v>0</v>
      </c>
      <c r="Q93" s="2903">
        <f t="shared" si="238"/>
        <v>0</v>
      </c>
      <c r="R93" s="2906">
        <f t="shared" si="238"/>
        <v>0</v>
      </c>
      <c r="S93" s="4387">
        <f t="shared" si="239"/>
        <v>0.24</v>
      </c>
      <c r="T93" s="4170">
        <f t="shared" si="240"/>
        <v>0.48</v>
      </c>
      <c r="U93" s="2903">
        <f t="shared" si="241"/>
        <v>0.48</v>
      </c>
      <c r="V93" s="2903">
        <f t="shared" si="241"/>
        <v>0.48</v>
      </c>
      <c r="W93" s="2903">
        <f t="shared" si="241"/>
        <v>0.48</v>
      </c>
      <c r="X93" s="2903">
        <f t="shared" si="241"/>
        <v>0.48</v>
      </c>
      <c r="Y93" s="2906">
        <f t="shared" si="241"/>
        <v>0.48</v>
      </c>
      <c r="Z93" s="4387">
        <f t="shared" si="242"/>
        <v>0</v>
      </c>
      <c r="AA93" s="4170">
        <f t="shared" si="243"/>
        <v>0</v>
      </c>
      <c r="AB93" s="2903">
        <f t="shared" si="244"/>
        <v>0</v>
      </c>
      <c r="AC93" s="2903">
        <f t="shared" si="244"/>
        <v>0</v>
      </c>
      <c r="AD93" s="2903">
        <f t="shared" si="244"/>
        <v>0</v>
      </c>
      <c r="AE93" s="2903">
        <f t="shared" si="244"/>
        <v>0</v>
      </c>
      <c r="AF93" s="2906">
        <f t="shared" si="244"/>
        <v>0</v>
      </c>
      <c r="AG93" s="4387">
        <f t="shared" si="245"/>
        <v>0</v>
      </c>
      <c r="AH93" s="4170">
        <f t="shared" si="246"/>
        <v>0</v>
      </c>
      <c r="AI93" s="2903">
        <f t="shared" si="247"/>
        <v>0</v>
      </c>
      <c r="AJ93" s="2903">
        <f t="shared" si="247"/>
        <v>0</v>
      </c>
      <c r="AK93" s="2903">
        <f t="shared" si="247"/>
        <v>0</v>
      </c>
      <c r="AL93" s="2903">
        <f t="shared" si="247"/>
        <v>0</v>
      </c>
      <c r="AM93" s="2906">
        <f t="shared" si="247"/>
        <v>0</v>
      </c>
      <c r="AN93" s="4066"/>
      <c r="AO93" s="2988"/>
      <c r="AP93" s="2989"/>
      <c r="AQ93" s="2989"/>
      <c r="AR93" s="2989"/>
      <c r="AS93" s="2989"/>
      <c r="AT93" s="2990"/>
      <c r="AU93" s="4422"/>
      <c r="AV93" s="4438">
        <f t="shared" si="179"/>
        <v>0</v>
      </c>
      <c r="AW93" s="4438">
        <f t="shared" si="180"/>
        <v>0</v>
      </c>
      <c r="AX93" s="4438">
        <f t="shared" si="181"/>
        <v>0</v>
      </c>
      <c r="AY93" s="4438">
        <f t="shared" si="182"/>
        <v>0</v>
      </c>
      <c r="AZ93" s="4438">
        <f t="shared" si="183"/>
        <v>0</v>
      </c>
      <c r="BA93" s="4438">
        <f t="shared" si="184"/>
        <v>0</v>
      </c>
      <c r="BB93" s="4438">
        <f t="shared" si="185"/>
        <v>0</v>
      </c>
      <c r="BC93" s="4438">
        <f t="shared" si="186"/>
        <v>0</v>
      </c>
      <c r="BD93" s="4438">
        <f t="shared" si="187"/>
        <v>0</v>
      </c>
      <c r="BE93" s="4438">
        <f t="shared" si="188"/>
        <v>0</v>
      </c>
      <c r="BF93" s="4438">
        <f t="shared" si="189"/>
        <v>0</v>
      </c>
      <c r="BG93" s="4438">
        <f t="shared" si="190"/>
        <v>0</v>
      </c>
      <c r="BH93" s="4438">
        <f t="shared" si="191"/>
        <v>0</v>
      </c>
      <c r="BI93" s="4438">
        <f t="shared" si="192"/>
        <v>0</v>
      </c>
      <c r="BJ93" s="4438">
        <f t="shared" si="193"/>
        <v>0.12271005148709244</v>
      </c>
      <c r="BK93" s="4438">
        <f t="shared" si="194"/>
        <v>0.24542010297418487</v>
      </c>
      <c r="BL93" s="4438">
        <f t="shared" si="195"/>
        <v>0.24542010297418487</v>
      </c>
      <c r="BM93" s="4438">
        <f t="shared" si="196"/>
        <v>0.24542010297418487</v>
      </c>
      <c r="BN93" s="4438">
        <f t="shared" si="197"/>
        <v>0.24542010297418487</v>
      </c>
      <c r="BO93" s="4438">
        <f t="shared" si="198"/>
        <v>0.24542010297418487</v>
      </c>
      <c r="BP93" s="4438">
        <f t="shared" si="199"/>
        <v>0.24542010297418487</v>
      </c>
      <c r="BQ93" s="4438">
        <f t="shared" si="200"/>
        <v>0</v>
      </c>
      <c r="BR93" s="4438">
        <f t="shared" si="201"/>
        <v>0</v>
      </c>
      <c r="BS93" s="4438">
        <f t="shared" si="202"/>
        <v>0</v>
      </c>
      <c r="BT93" s="4438">
        <f t="shared" si="203"/>
        <v>0</v>
      </c>
      <c r="BU93" s="4438">
        <f t="shared" si="204"/>
        <v>0</v>
      </c>
      <c r="BV93" s="4438">
        <f t="shared" si="205"/>
        <v>0</v>
      </c>
      <c r="BW93" s="4438">
        <f t="shared" si="206"/>
        <v>0</v>
      </c>
      <c r="BX93" s="4438">
        <f t="shared" si="207"/>
        <v>0</v>
      </c>
      <c r="BY93" s="4438">
        <f t="shared" si="208"/>
        <v>0</v>
      </c>
      <c r="BZ93" s="4438">
        <f t="shared" si="209"/>
        <v>0</v>
      </c>
      <c r="CA93" s="4438">
        <f t="shared" si="210"/>
        <v>0</v>
      </c>
      <c r="CB93" s="4438">
        <f t="shared" si="211"/>
        <v>0</v>
      </c>
      <c r="CC93" s="4438">
        <f t="shared" si="212"/>
        <v>0</v>
      </c>
      <c r="CD93" s="4438">
        <f t="shared" si="213"/>
        <v>0</v>
      </c>
    </row>
    <row r="94" spans="1:82" s="659" customFormat="1">
      <c r="A94" s="2845">
        <v>5</v>
      </c>
      <c r="B94" s="2846">
        <v>205</v>
      </c>
      <c r="C94" s="2846"/>
      <c r="D94" s="2927" t="s">
        <v>212</v>
      </c>
      <c r="E94" s="4167">
        <f>SUM(E95:E98)</f>
        <v>0</v>
      </c>
      <c r="F94" s="2928">
        <f>SUM(F95:F98)</f>
        <v>-0.5</v>
      </c>
      <c r="G94" s="2929">
        <f>SUM(G95:G98)</f>
        <v>-2.66</v>
      </c>
      <c r="H94" s="2929">
        <f t="shared" ref="H94:K94" si="248">SUM(H95:H98)</f>
        <v>-7.660000000000001</v>
      </c>
      <c r="I94" s="2929">
        <f t="shared" si="248"/>
        <v>-8.1600000000000019</v>
      </c>
      <c r="J94" s="2929">
        <f t="shared" si="248"/>
        <v>-8.8600000000000012</v>
      </c>
      <c r="K94" s="2930">
        <f t="shared" si="248"/>
        <v>-30.160000000000004</v>
      </c>
      <c r="L94" s="4167">
        <f>SUM(L95:L98)</f>
        <v>0</v>
      </c>
      <c r="M94" s="2931">
        <f>SUM(M95:M98)</f>
        <v>0</v>
      </c>
      <c r="N94" s="2929">
        <f>SUM(N95:N98)</f>
        <v>0</v>
      </c>
      <c r="O94" s="2929">
        <f t="shared" ref="O94:R94" si="249">SUM(O95:O98)</f>
        <v>0</v>
      </c>
      <c r="P94" s="2929">
        <f t="shared" si="249"/>
        <v>-69.28</v>
      </c>
      <c r="Q94" s="2929">
        <f t="shared" si="249"/>
        <v>-69.92</v>
      </c>
      <c r="R94" s="2932">
        <f t="shared" si="249"/>
        <v>-70.239999999999995</v>
      </c>
      <c r="S94" s="4172">
        <f>SUM(S95:S98)</f>
        <v>0</v>
      </c>
      <c r="T94" s="2933">
        <f>SUM(T95:T98)</f>
        <v>0</v>
      </c>
      <c r="U94" s="2929">
        <f>SUM(U95:U98)</f>
        <v>0</v>
      </c>
      <c r="V94" s="2929">
        <f t="shared" ref="V94:Y94" si="250">SUM(V95:V98)</f>
        <v>0</v>
      </c>
      <c r="W94" s="2929">
        <f t="shared" si="250"/>
        <v>0</v>
      </c>
      <c r="X94" s="2929">
        <f t="shared" si="250"/>
        <v>0</v>
      </c>
      <c r="Y94" s="2932">
        <f t="shared" si="250"/>
        <v>0</v>
      </c>
      <c r="Z94" s="4172">
        <f>SUM(Z95:Z98)</f>
        <v>0</v>
      </c>
      <c r="AA94" s="2933">
        <f>SUM(AA95:AA98)</f>
        <v>0</v>
      </c>
      <c r="AB94" s="2929">
        <f>SUM(AB95:AB98)</f>
        <v>0</v>
      </c>
      <c r="AC94" s="2929">
        <f t="shared" ref="AC94:AF94" si="251">SUM(AC95:AC98)</f>
        <v>0</v>
      </c>
      <c r="AD94" s="2929">
        <f t="shared" si="251"/>
        <v>0</v>
      </c>
      <c r="AE94" s="2929">
        <f t="shared" si="251"/>
        <v>0</v>
      </c>
      <c r="AF94" s="2932">
        <f t="shared" si="251"/>
        <v>0</v>
      </c>
      <c r="AG94" s="4172">
        <f>SUM(AG95:AG98)</f>
        <v>0</v>
      </c>
      <c r="AH94" s="2933">
        <f>SUM(AH95:AH98)</f>
        <v>0</v>
      </c>
      <c r="AI94" s="2929">
        <f>SUM(AI95:AI98)</f>
        <v>0</v>
      </c>
      <c r="AJ94" s="2929">
        <f t="shared" ref="AJ94:AM94" si="252">SUM(AJ95:AJ98)</f>
        <v>0</v>
      </c>
      <c r="AK94" s="2929">
        <f t="shared" si="252"/>
        <v>0</v>
      </c>
      <c r="AL94" s="2929">
        <f t="shared" si="252"/>
        <v>0</v>
      </c>
      <c r="AM94" s="2932">
        <f t="shared" si="252"/>
        <v>0</v>
      </c>
      <c r="AN94" s="4071">
        <f>SUM(AN95:AN98)</f>
        <v>0</v>
      </c>
      <c r="AO94" s="2988"/>
      <c r="AP94" s="2989"/>
      <c r="AQ94" s="2989"/>
      <c r="AR94" s="2989"/>
      <c r="AS94" s="2989"/>
      <c r="AT94" s="2990"/>
      <c r="AU94" s="4422"/>
      <c r="AV94" s="4438">
        <f t="shared" si="179"/>
        <v>0</v>
      </c>
      <c r="AW94" s="4438">
        <f t="shared" si="180"/>
        <v>-0.25564594059810924</v>
      </c>
      <c r="AX94" s="4438">
        <f t="shared" si="181"/>
        <v>-1.3600364039819413</v>
      </c>
      <c r="AY94" s="4438">
        <f t="shared" si="182"/>
        <v>-3.9164958099630343</v>
      </c>
      <c r="AZ94" s="4438">
        <f t="shared" si="183"/>
        <v>-4.1721417505611438</v>
      </c>
      <c r="BA94" s="4438">
        <f t="shared" si="184"/>
        <v>-4.5300460673984961</v>
      </c>
      <c r="BB94" s="4438">
        <f t="shared" si="185"/>
        <v>-15.420563136877952</v>
      </c>
      <c r="BC94" s="4438">
        <f t="shared" si="186"/>
        <v>0</v>
      </c>
      <c r="BD94" s="4438">
        <f t="shared" si="187"/>
        <v>0</v>
      </c>
      <c r="BE94" s="4438">
        <f t="shared" si="188"/>
        <v>0</v>
      </c>
      <c r="BF94" s="4438">
        <f t="shared" si="189"/>
        <v>0</v>
      </c>
      <c r="BG94" s="4438">
        <f t="shared" si="190"/>
        <v>-35.422301529274016</v>
      </c>
      <c r="BH94" s="4438">
        <f t="shared" si="191"/>
        <v>-35.749528333239596</v>
      </c>
      <c r="BI94" s="4438">
        <f t="shared" si="192"/>
        <v>-35.913141735222382</v>
      </c>
      <c r="BJ94" s="4438">
        <f t="shared" si="193"/>
        <v>0</v>
      </c>
      <c r="BK94" s="4438">
        <f t="shared" si="194"/>
        <v>0</v>
      </c>
      <c r="BL94" s="4438">
        <f t="shared" si="195"/>
        <v>0</v>
      </c>
      <c r="BM94" s="4438">
        <f t="shared" si="196"/>
        <v>0</v>
      </c>
      <c r="BN94" s="4438">
        <f t="shared" si="197"/>
        <v>0</v>
      </c>
      <c r="BO94" s="4438">
        <f t="shared" si="198"/>
        <v>0</v>
      </c>
      <c r="BP94" s="4438">
        <f t="shared" si="199"/>
        <v>0</v>
      </c>
      <c r="BQ94" s="4438">
        <f t="shared" si="200"/>
        <v>0</v>
      </c>
      <c r="BR94" s="4438">
        <f t="shared" si="201"/>
        <v>0</v>
      </c>
      <c r="BS94" s="4438">
        <f t="shared" si="202"/>
        <v>0</v>
      </c>
      <c r="BT94" s="4438">
        <f t="shared" si="203"/>
        <v>0</v>
      </c>
      <c r="BU94" s="4438">
        <f t="shared" si="204"/>
        <v>0</v>
      </c>
      <c r="BV94" s="4438">
        <f t="shared" si="205"/>
        <v>0</v>
      </c>
      <c r="BW94" s="4438">
        <f t="shared" si="206"/>
        <v>0</v>
      </c>
      <c r="BX94" s="4438">
        <f t="shared" si="207"/>
        <v>0</v>
      </c>
      <c r="BY94" s="4438">
        <f t="shared" si="208"/>
        <v>0</v>
      </c>
      <c r="BZ94" s="4438">
        <f t="shared" si="209"/>
        <v>0</v>
      </c>
      <c r="CA94" s="4438">
        <f t="shared" si="210"/>
        <v>0</v>
      </c>
      <c r="CB94" s="4438">
        <f t="shared" si="211"/>
        <v>0</v>
      </c>
      <c r="CC94" s="4438">
        <f t="shared" si="212"/>
        <v>0</v>
      </c>
      <c r="CD94" s="4438">
        <f t="shared" si="213"/>
        <v>0</v>
      </c>
    </row>
    <row r="95" spans="1:82" s="659" customFormat="1">
      <c r="A95" s="2877"/>
      <c r="B95" s="2878">
        <v>20501</v>
      </c>
      <c r="C95" s="2879">
        <v>0.08</v>
      </c>
      <c r="D95" s="2934" t="s">
        <v>563</v>
      </c>
      <c r="E95" s="4387">
        <f t="shared" ref="E95:E98" si="253">+E46*$C95/2</f>
        <v>0</v>
      </c>
      <c r="F95" s="2905">
        <f>($E46*$C95)-(F46*$C95)</f>
        <v>0</v>
      </c>
      <c r="G95" s="2903">
        <f t="shared" ref="G95:K98" si="254">F95-(G46*$C95)</f>
        <v>-2.16</v>
      </c>
      <c r="H95" s="2903">
        <f t="shared" si="254"/>
        <v>-3.3600000000000003</v>
      </c>
      <c r="I95" s="2903">
        <f t="shared" si="254"/>
        <v>-3.3600000000000003</v>
      </c>
      <c r="J95" s="2903">
        <f t="shared" si="254"/>
        <v>-3.3600000000000003</v>
      </c>
      <c r="K95" s="2904">
        <f t="shared" si="254"/>
        <v>-3.3600000000000003</v>
      </c>
      <c r="L95" s="4387">
        <f t="shared" ref="L95:L98" si="255">+L46*$C95/2</f>
        <v>0</v>
      </c>
      <c r="M95" s="2905">
        <f>($L46*$C95)-(M46*$C95)</f>
        <v>0</v>
      </c>
      <c r="N95" s="2903">
        <f t="shared" ref="N95:R98" si="256">M95-(N46*$C95)</f>
        <v>0</v>
      </c>
      <c r="O95" s="2903">
        <f t="shared" si="256"/>
        <v>0</v>
      </c>
      <c r="P95" s="2903">
        <f t="shared" si="256"/>
        <v>-69.28</v>
      </c>
      <c r="Q95" s="2903">
        <f t="shared" si="256"/>
        <v>-69.92</v>
      </c>
      <c r="R95" s="2906">
        <f t="shared" si="256"/>
        <v>-70.239999999999995</v>
      </c>
      <c r="S95" s="4387">
        <f t="shared" ref="S95:S98" si="257">+S46*$C95/2</f>
        <v>0</v>
      </c>
      <c r="T95" s="4170">
        <f>($S46*$C95)-(T46*$C95)</f>
        <v>0</v>
      </c>
      <c r="U95" s="2903">
        <f t="shared" ref="U95:Y98" si="258">T95-(U46*$C95)</f>
        <v>0</v>
      </c>
      <c r="V95" s="2903">
        <f t="shared" si="258"/>
        <v>0</v>
      </c>
      <c r="W95" s="2903">
        <f t="shared" si="258"/>
        <v>0</v>
      </c>
      <c r="X95" s="2903">
        <f t="shared" si="258"/>
        <v>0</v>
      </c>
      <c r="Y95" s="2906">
        <f t="shared" si="258"/>
        <v>0</v>
      </c>
      <c r="Z95" s="4387">
        <f t="shared" ref="Z95:Z98" si="259">+Z46*$C95/2</f>
        <v>0</v>
      </c>
      <c r="AA95" s="4170">
        <f t="shared" si="243"/>
        <v>0</v>
      </c>
      <c r="AB95" s="2903">
        <f t="shared" ref="AB95:AF98" si="260">AA95-(AB46*$C95)</f>
        <v>0</v>
      </c>
      <c r="AC95" s="2903">
        <f t="shared" si="260"/>
        <v>0</v>
      </c>
      <c r="AD95" s="2903">
        <f t="shared" si="260"/>
        <v>0</v>
      </c>
      <c r="AE95" s="2903">
        <f t="shared" si="260"/>
        <v>0</v>
      </c>
      <c r="AF95" s="2906">
        <f t="shared" si="260"/>
        <v>0</v>
      </c>
      <c r="AG95" s="4387">
        <f t="shared" ref="AG95:AG98" si="261">+AG46*$C95/2</f>
        <v>0</v>
      </c>
      <c r="AH95" s="4170">
        <f t="shared" ref="AH95:AH98" si="262">($AG46*$C95)-(AH46*$C95)</f>
        <v>0</v>
      </c>
      <c r="AI95" s="2903">
        <f t="shared" ref="AI95:AM98" si="263">AH95-(AI46*$C95)</f>
        <v>0</v>
      </c>
      <c r="AJ95" s="2903">
        <f t="shared" si="263"/>
        <v>0</v>
      </c>
      <c r="AK95" s="2903">
        <f t="shared" si="263"/>
        <v>0</v>
      </c>
      <c r="AL95" s="2903">
        <f t="shared" si="263"/>
        <v>0</v>
      </c>
      <c r="AM95" s="2906">
        <f t="shared" si="263"/>
        <v>0</v>
      </c>
      <c r="AN95" s="4066"/>
      <c r="AO95" s="2988"/>
      <c r="AP95" s="2989"/>
      <c r="AQ95" s="2989"/>
      <c r="AR95" s="2989"/>
      <c r="AS95" s="2989"/>
      <c r="AT95" s="2990"/>
      <c r="AU95" s="4422"/>
      <c r="AV95" s="4438">
        <f t="shared" si="179"/>
        <v>0</v>
      </c>
      <c r="AW95" s="4438">
        <f t="shared" si="180"/>
        <v>0</v>
      </c>
      <c r="AX95" s="4438">
        <f t="shared" si="181"/>
        <v>-1.104390463383832</v>
      </c>
      <c r="AY95" s="4438">
        <f t="shared" si="182"/>
        <v>-1.7179407208192943</v>
      </c>
      <c r="AZ95" s="4438">
        <f t="shared" si="183"/>
        <v>-1.7179407208192943</v>
      </c>
      <c r="BA95" s="4438">
        <f t="shared" si="184"/>
        <v>-1.7179407208192943</v>
      </c>
      <c r="BB95" s="4438">
        <f t="shared" si="185"/>
        <v>-1.7179407208192943</v>
      </c>
      <c r="BC95" s="4438">
        <f t="shared" si="186"/>
        <v>0</v>
      </c>
      <c r="BD95" s="4438">
        <f t="shared" si="187"/>
        <v>0</v>
      </c>
      <c r="BE95" s="4438">
        <f t="shared" si="188"/>
        <v>0</v>
      </c>
      <c r="BF95" s="4438">
        <f t="shared" si="189"/>
        <v>0</v>
      </c>
      <c r="BG95" s="4438">
        <f t="shared" si="190"/>
        <v>-35.422301529274016</v>
      </c>
      <c r="BH95" s="4438">
        <f t="shared" si="191"/>
        <v>-35.749528333239596</v>
      </c>
      <c r="BI95" s="4438">
        <f t="shared" si="192"/>
        <v>-35.913141735222382</v>
      </c>
      <c r="BJ95" s="4438">
        <f t="shared" si="193"/>
        <v>0</v>
      </c>
      <c r="BK95" s="4438">
        <f t="shared" si="194"/>
        <v>0</v>
      </c>
      <c r="BL95" s="4438">
        <f t="shared" si="195"/>
        <v>0</v>
      </c>
      <c r="BM95" s="4438">
        <f t="shared" si="196"/>
        <v>0</v>
      </c>
      <c r="BN95" s="4438">
        <f t="shared" si="197"/>
        <v>0</v>
      </c>
      <c r="BO95" s="4438">
        <f t="shared" si="198"/>
        <v>0</v>
      </c>
      <c r="BP95" s="4438">
        <f t="shared" si="199"/>
        <v>0</v>
      </c>
      <c r="BQ95" s="4438">
        <f t="shared" si="200"/>
        <v>0</v>
      </c>
      <c r="BR95" s="4438">
        <f t="shared" si="201"/>
        <v>0</v>
      </c>
      <c r="BS95" s="4438">
        <f t="shared" si="202"/>
        <v>0</v>
      </c>
      <c r="BT95" s="4438">
        <f t="shared" si="203"/>
        <v>0</v>
      </c>
      <c r="BU95" s="4438">
        <f t="shared" si="204"/>
        <v>0</v>
      </c>
      <c r="BV95" s="4438">
        <f t="shared" si="205"/>
        <v>0</v>
      </c>
      <c r="BW95" s="4438">
        <f t="shared" si="206"/>
        <v>0</v>
      </c>
      <c r="BX95" s="4438">
        <f t="shared" si="207"/>
        <v>0</v>
      </c>
      <c r="BY95" s="4438">
        <f t="shared" si="208"/>
        <v>0</v>
      </c>
      <c r="BZ95" s="4438">
        <f t="shared" si="209"/>
        <v>0</v>
      </c>
      <c r="CA95" s="4438">
        <f t="shared" si="210"/>
        <v>0</v>
      </c>
      <c r="CB95" s="4438">
        <f t="shared" si="211"/>
        <v>0</v>
      </c>
      <c r="CC95" s="4438">
        <f t="shared" si="212"/>
        <v>0</v>
      </c>
      <c r="CD95" s="4438">
        <f t="shared" si="213"/>
        <v>0</v>
      </c>
    </row>
    <row r="96" spans="1:82" s="659" customFormat="1">
      <c r="A96" s="2877"/>
      <c r="B96" s="2878">
        <v>20502</v>
      </c>
      <c r="C96" s="2879">
        <v>0.1</v>
      </c>
      <c r="D96" s="2934" t="s">
        <v>411</v>
      </c>
      <c r="E96" s="4387">
        <f t="shared" si="253"/>
        <v>0</v>
      </c>
      <c r="F96" s="2905">
        <f>($E47*$C96)-(F47*$C96)</f>
        <v>0</v>
      </c>
      <c r="G96" s="2903">
        <f t="shared" si="254"/>
        <v>0</v>
      </c>
      <c r="H96" s="2903">
        <f t="shared" si="254"/>
        <v>-3.4000000000000004</v>
      </c>
      <c r="I96" s="2903">
        <f t="shared" si="254"/>
        <v>-3.5000000000000004</v>
      </c>
      <c r="J96" s="2903">
        <f t="shared" si="254"/>
        <v>-4.2</v>
      </c>
      <c r="K96" s="2904">
        <f t="shared" si="254"/>
        <v>-4.2</v>
      </c>
      <c r="L96" s="4387">
        <f t="shared" si="255"/>
        <v>0</v>
      </c>
      <c r="M96" s="2905">
        <f>($L47*$C96)-(M47*$C96)</f>
        <v>0</v>
      </c>
      <c r="N96" s="2903">
        <f t="shared" si="256"/>
        <v>0</v>
      </c>
      <c r="O96" s="2903">
        <f t="shared" si="256"/>
        <v>0</v>
      </c>
      <c r="P96" s="2903">
        <f t="shared" si="256"/>
        <v>0</v>
      </c>
      <c r="Q96" s="2903">
        <f t="shared" si="256"/>
        <v>0</v>
      </c>
      <c r="R96" s="2906">
        <f t="shared" si="256"/>
        <v>0</v>
      </c>
      <c r="S96" s="4387">
        <f t="shared" si="257"/>
        <v>0</v>
      </c>
      <c r="T96" s="4170">
        <f>($S47*$C96)-(T47*$C96)</f>
        <v>0</v>
      </c>
      <c r="U96" s="2903">
        <f t="shared" si="258"/>
        <v>0</v>
      </c>
      <c r="V96" s="2903">
        <f t="shared" si="258"/>
        <v>0</v>
      </c>
      <c r="W96" s="2903">
        <f t="shared" si="258"/>
        <v>0</v>
      </c>
      <c r="X96" s="2903">
        <f t="shared" si="258"/>
        <v>0</v>
      </c>
      <c r="Y96" s="2906">
        <f t="shared" si="258"/>
        <v>0</v>
      </c>
      <c r="Z96" s="4387">
        <f t="shared" si="259"/>
        <v>0</v>
      </c>
      <c r="AA96" s="4170">
        <f t="shared" si="243"/>
        <v>0</v>
      </c>
      <c r="AB96" s="2903">
        <f t="shared" si="260"/>
        <v>0</v>
      </c>
      <c r="AC96" s="2903">
        <f t="shared" si="260"/>
        <v>0</v>
      </c>
      <c r="AD96" s="2903">
        <f t="shared" si="260"/>
        <v>0</v>
      </c>
      <c r="AE96" s="2903">
        <f t="shared" si="260"/>
        <v>0</v>
      </c>
      <c r="AF96" s="2906">
        <f t="shared" si="260"/>
        <v>0</v>
      </c>
      <c r="AG96" s="4387">
        <f t="shared" si="261"/>
        <v>0</v>
      </c>
      <c r="AH96" s="4170">
        <f t="shared" si="262"/>
        <v>0</v>
      </c>
      <c r="AI96" s="2903">
        <f t="shared" si="263"/>
        <v>0</v>
      </c>
      <c r="AJ96" s="2903">
        <f t="shared" si="263"/>
        <v>0</v>
      </c>
      <c r="AK96" s="2903">
        <f t="shared" si="263"/>
        <v>0</v>
      </c>
      <c r="AL96" s="2903">
        <f t="shared" si="263"/>
        <v>0</v>
      </c>
      <c r="AM96" s="2906">
        <f t="shared" si="263"/>
        <v>0</v>
      </c>
      <c r="AN96" s="4066"/>
      <c r="AO96" s="2988"/>
      <c r="AP96" s="2989"/>
      <c r="AQ96" s="2989"/>
      <c r="AR96" s="2989"/>
      <c r="AS96" s="2989"/>
      <c r="AT96" s="2990"/>
      <c r="AU96" s="4422"/>
      <c r="AV96" s="4438">
        <f t="shared" si="179"/>
        <v>0</v>
      </c>
      <c r="AW96" s="4438">
        <f t="shared" si="180"/>
        <v>0</v>
      </c>
      <c r="AX96" s="4438">
        <f t="shared" si="181"/>
        <v>0</v>
      </c>
      <c r="AY96" s="4438">
        <f t="shared" si="182"/>
        <v>-1.738392396067143</v>
      </c>
      <c r="AZ96" s="4438">
        <f t="shared" si="183"/>
        <v>-1.7895215841867649</v>
      </c>
      <c r="BA96" s="4438">
        <f t="shared" si="184"/>
        <v>-2.1474259010241177</v>
      </c>
      <c r="BB96" s="4438">
        <f t="shared" si="185"/>
        <v>-2.1474259010241177</v>
      </c>
      <c r="BC96" s="4438">
        <f t="shared" si="186"/>
        <v>0</v>
      </c>
      <c r="BD96" s="4438">
        <f t="shared" si="187"/>
        <v>0</v>
      </c>
      <c r="BE96" s="4438">
        <f t="shared" si="188"/>
        <v>0</v>
      </c>
      <c r="BF96" s="4438">
        <f t="shared" si="189"/>
        <v>0</v>
      </c>
      <c r="BG96" s="4438">
        <f t="shared" si="190"/>
        <v>0</v>
      </c>
      <c r="BH96" s="4438">
        <f t="shared" si="191"/>
        <v>0</v>
      </c>
      <c r="BI96" s="4438">
        <f t="shared" si="192"/>
        <v>0</v>
      </c>
      <c r="BJ96" s="4438">
        <f t="shared" si="193"/>
        <v>0</v>
      </c>
      <c r="BK96" s="4438">
        <f t="shared" si="194"/>
        <v>0</v>
      </c>
      <c r="BL96" s="4438">
        <f t="shared" si="195"/>
        <v>0</v>
      </c>
      <c r="BM96" s="4438">
        <f t="shared" si="196"/>
        <v>0</v>
      </c>
      <c r="BN96" s="4438">
        <f t="shared" si="197"/>
        <v>0</v>
      </c>
      <c r="BO96" s="4438">
        <f t="shared" si="198"/>
        <v>0</v>
      </c>
      <c r="BP96" s="4438">
        <f t="shared" si="199"/>
        <v>0</v>
      </c>
      <c r="BQ96" s="4438">
        <f t="shared" si="200"/>
        <v>0</v>
      </c>
      <c r="BR96" s="4438">
        <f t="shared" si="201"/>
        <v>0</v>
      </c>
      <c r="BS96" s="4438">
        <f t="shared" si="202"/>
        <v>0</v>
      </c>
      <c r="BT96" s="4438">
        <f t="shared" si="203"/>
        <v>0</v>
      </c>
      <c r="BU96" s="4438">
        <f t="shared" si="204"/>
        <v>0</v>
      </c>
      <c r="BV96" s="4438">
        <f t="shared" si="205"/>
        <v>0</v>
      </c>
      <c r="BW96" s="4438">
        <f t="shared" si="206"/>
        <v>0</v>
      </c>
      <c r="BX96" s="4438">
        <f t="shared" si="207"/>
        <v>0</v>
      </c>
      <c r="BY96" s="4438">
        <f t="shared" si="208"/>
        <v>0</v>
      </c>
      <c r="BZ96" s="4438">
        <f t="shared" si="209"/>
        <v>0</v>
      </c>
      <c r="CA96" s="4438">
        <f t="shared" si="210"/>
        <v>0</v>
      </c>
      <c r="CB96" s="4438">
        <f t="shared" si="211"/>
        <v>0</v>
      </c>
      <c r="CC96" s="4438">
        <f t="shared" si="212"/>
        <v>0</v>
      </c>
      <c r="CD96" s="4438">
        <f t="shared" si="213"/>
        <v>0</v>
      </c>
    </row>
    <row r="97" spans="1:82" s="659" customFormat="1">
      <c r="A97" s="2877"/>
      <c r="B97" s="2878">
        <v>20503</v>
      </c>
      <c r="C97" s="2879">
        <v>0.1</v>
      </c>
      <c r="D97" s="2871" t="s">
        <v>412</v>
      </c>
      <c r="E97" s="4387">
        <f t="shared" si="253"/>
        <v>0</v>
      </c>
      <c r="F97" s="2905">
        <f>($E48*$C97)-(F48*$C97)</f>
        <v>-0.5</v>
      </c>
      <c r="G97" s="2903">
        <f t="shared" si="254"/>
        <v>-0.5</v>
      </c>
      <c r="H97" s="2903">
        <f t="shared" si="254"/>
        <v>-0.9</v>
      </c>
      <c r="I97" s="2903">
        <f t="shared" si="254"/>
        <v>-1.3</v>
      </c>
      <c r="J97" s="2903">
        <f t="shared" si="254"/>
        <v>-1.3</v>
      </c>
      <c r="K97" s="2904">
        <f t="shared" si="254"/>
        <v>-22.6</v>
      </c>
      <c r="L97" s="4387">
        <f t="shared" si="255"/>
        <v>0</v>
      </c>
      <c r="M97" s="2905">
        <f>($L48*$C97)-(M48*$C97)</f>
        <v>0</v>
      </c>
      <c r="N97" s="2903">
        <f t="shared" si="256"/>
        <v>0</v>
      </c>
      <c r="O97" s="2903">
        <f t="shared" si="256"/>
        <v>0</v>
      </c>
      <c r="P97" s="2903">
        <f t="shared" si="256"/>
        <v>0</v>
      </c>
      <c r="Q97" s="2903">
        <f t="shared" si="256"/>
        <v>0</v>
      </c>
      <c r="R97" s="2906">
        <f t="shared" si="256"/>
        <v>0</v>
      </c>
      <c r="S97" s="4387">
        <f t="shared" si="257"/>
        <v>0</v>
      </c>
      <c r="T97" s="4170">
        <f>($S48*$C97)-(T48*$C97)</f>
        <v>0</v>
      </c>
      <c r="U97" s="2903">
        <f t="shared" si="258"/>
        <v>0</v>
      </c>
      <c r="V97" s="2903">
        <f t="shared" si="258"/>
        <v>0</v>
      </c>
      <c r="W97" s="2903">
        <f t="shared" si="258"/>
        <v>0</v>
      </c>
      <c r="X97" s="2903">
        <f t="shared" si="258"/>
        <v>0</v>
      </c>
      <c r="Y97" s="2906">
        <f t="shared" si="258"/>
        <v>0</v>
      </c>
      <c r="Z97" s="4387">
        <f t="shared" si="259"/>
        <v>0</v>
      </c>
      <c r="AA97" s="4170">
        <f t="shared" si="243"/>
        <v>0</v>
      </c>
      <c r="AB97" s="2903">
        <f t="shared" si="260"/>
        <v>0</v>
      </c>
      <c r="AC97" s="2903">
        <f t="shared" si="260"/>
        <v>0</v>
      </c>
      <c r="AD97" s="2903">
        <f t="shared" si="260"/>
        <v>0</v>
      </c>
      <c r="AE97" s="2903">
        <f t="shared" si="260"/>
        <v>0</v>
      </c>
      <c r="AF97" s="2906">
        <f t="shared" si="260"/>
        <v>0</v>
      </c>
      <c r="AG97" s="4387">
        <f t="shared" si="261"/>
        <v>0</v>
      </c>
      <c r="AH97" s="4170">
        <f t="shared" si="262"/>
        <v>0</v>
      </c>
      <c r="AI97" s="2903">
        <f t="shared" si="263"/>
        <v>0</v>
      </c>
      <c r="AJ97" s="2903">
        <f t="shared" si="263"/>
        <v>0</v>
      </c>
      <c r="AK97" s="2903">
        <f t="shared" si="263"/>
        <v>0</v>
      </c>
      <c r="AL97" s="2903">
        <f t="shared" si="263"/>
        <v>0</v>
      </c>
      <c r="AM97" s="2906">
        <f t="shared" si="263"/>
        <v>0</v>
      </c>
      <c r="AN97" s="4066"/>
      <c r="AO97" s="2988"/>
      <c r="AP97" s="2989"/>
      <c r="AQ97" s="2989"/>
      <c r="AR97" s="2989"/>
      <c r="AS97" s="2989"/>
      <c r="AT97" s="2990"/>
      <c r="AU97" s="4422"/>
      <c r="AV97" s="4438">
        <f t="shared" si="179"/>
        <v>0</v>
      </c>
      <c r="AW97" s="4438">
        <f t="shared" si="180"/>
        <v>-0.25564594059810924</v>
      </c>
      <c r="AX97" s="4438">
        <f t="shared" si="181"/>
        <v>-0.25564594059810924</v>
      </c>
      <c r="AY97" s="4438">
        <f t="shared" si="182"/>
        <v>-0.46016269307659668</v>
      </c>
      <c r="AZ97" s="4438">
        <f t="shared" si="183"/>
        <v>-0.66467944555508407</v>
      </c>
      <c r="BA97" s="4438">
        <f t="shared" si="184"/>
        <v>-0.66467944555508407</v>
      </c>
      <c r="BB97" s="4438">
        <f t="shared" si="185"/>
        <v>-11.555196515034538</v>
      </c>
      <c r="BC97" s="4438">
        <f t="shared" si="186"/>
        <v>0</v>
      </c>
      <c r="BD97" s="4438">
        <f t="shared" si="187"/>
        <v>0</v>
      </c>
      <c r="BE97" s="4438">
        <f t="shared" si="188"/>
        <v>0</v>
      </c>
      <c r="BF97" s="4438">
        <f t="shared" si="189"/>
        <v>0</v>
      </c>
      <c r="BG97" s="4438">
        <f t="shared" si="190"/>
        <v>0</v>
      </c>
      <c r="BH97" s="4438">
        <f t="shared" si="191"/>
        <v>0</v>
      </c>
      <c r="BI97" s="4438">
        <f t="shared" si="192"/>
        <v>0</v>
      </c>
      <c r="BJ97" s="4438">
        <f t="shared" si="193"/>
        <v>0</v>
      </c>
      <c r="BK97" s="4438">
        <f t="shared" si="194"/>
        <v>0</v>
      </c>
      <c r="BL97" s="4438">
        <f t="shared" si="195"/>
        <v>0</v>
      </c>
      <c r="BM97" s="4438">
        <f t="shared" si="196"/>
        <v>0</v>
      </c>
      <c r="BN97" s="4438">
        <f t="shared" si="197"/>
        <v>0</v>
      </c>
      <c r="BO97" s="4438">
        <f t="shared" si="198"/>
        <v>0</v>
      </c>
      <c r="BP97" s="4438">
        <f t="shared" si="199"/>
        <v>0</v>
      </c>
      <c r="BQ97" s="4438">
        <f t="shared" si="200"/>
        <v>0</v>
      </c>
      <c r="BR97" s="4438">
        <f t="shared" si="201"/>
        <v>0</v>
      </c>
      <c r="BS97" s="4438">
        <f t="shared" si="202"/>
        <v>0</v>
      </c>
      <c r="BT97" s="4438">
        <f t="shared" si="203"/>
        <v>0</v>
      </c>
      <c r="BU97" s="4438">
        <f t="shared" si="204"/>
        <v>0</v>
      </c>
      <c r="BV97" s="4438">
        <f t="shared" si="205"/>
        <v>0</v>
      </c>
      <c r="BW97" s="4438">
        <f t="shared" si="206"/>
        <v>0</v>
      </c>
      <c r="BX97" s="4438">
        <f t="shared" si="207"/>
        <v>0</v>
      </c>
      <c r="BY97" s="4438">
        <f t="shared" si="208"/>
        <v>0</v>
      </c>
      <c r="BZ97" s="4438">
        <f t="shared" si="209"/>
        <v>0</v>
      </c>
      <c r="CA97" s="4438">
        <f t="shared" si="210"/>
        <v>0</v>
      </c>
      <c r="CB97" s="4438">
        <f t="shared" si="211"/>
        <v>0</v>
      </c>
      <c r="CC97" s="4438">
        <f t="shared" si="212"/>
        <v>0</v>
      </c>
      <c r="CD97" s="4438">
        <f t="shared" si="213"/>
        <v>0</v>
      </c>
    </row>
    <row r="98" spans="1:82" s="659" customFormat="1">
      <c r="A98" s="2877"/>
      <c r="B98" s="2878">
        <v>20504</v>
      </c>
      <c r="C98" s="2879">
        <v>0.1</v>
      </c>
      <c r="D98" s="2871" t="s">
        <v>557</v>
      </c>
      <c r="E98" s="4387">
        <f t="shared" si="253"/>
        <v>0</v>
      </c>
      <c r="F98" s="2905">
        <f>($E49*$C98)-(F49*$C98)</f>
        <v>0</v>
      </c>
      <c r="G98" s="2903">
        <f t="shared" si="254"/>
        <v>0</v>
      </c>
      <c r="H98" s="2903">
        <f t="shared" si="254"/>
        <v>0</v>
      </c>
      <c r="I98" s="2903">
        <f t="shared" si="254"/>
        <v>0</v>
      </c>
      <c r="J98" s="2903">
        <f t="shared" si="254"/>
        <v>0</v>
      </c>
      <c r="K98" s="2904">
        <f t="shared" si="254"/>
        <v>0</v>
      </c>
      <c r="L98" s="4387">
        <f t="shared" si="255"/>
        <v>0</v>
      </c>
      <c r="M98" s="2905">
        <f>($L49*$C98)-(M49*$C98)</f>
        <v>0</v>
      </c>
      <c r="N98" s="2903">
        <f t="shared" si="256"/>
        <v>0</v>
      </c>
      <c r="O98" s="2903">
        <f t="shared" si="256"/>
        <v>0</v>
      </c>
      <c r="P98" s="2903">
        <f t="shared" si="256"/>
        <v>0</v>
      </c>
      <c r="Q98" s="2903">
        <f t="shared" si="256"/>
        <v>0</v>
      </c>
      <c r="R98" s="2906">
        <f t="shared" si="256"/>
        <v>0</v>
      </c>
      <c r="S98" s="4387">
        <f t="shared" si="257"/>
        <v>0</v>
      </c>
      <c r="T98" s="4170">
        <f>($S49*$C98)-(T49*$C98)</f>
        <v>0</v>
      </c>
      <c r="U98" s="2903">
        <f t="shared" si="258"/>
        <v>0</v>
      </c>
      <c r="V98" s="2903">
        <f t="shared" si="258"/>
        <v>0</v>
      </c>
      <c r="W98" s="2903">
        <f t="shared" si="258"/>
        <v>0</v>
      </c>
      <c r="X98" s="2903">
        <f t="shared" si="258"/>
        <v>0</v>
      </c>
      <c r="Y98" s="2906">
        <f t="shared" si="258"/>
        <v>0</v>
      </c>
      <c r="Z98" s="4387">
        <f t="shared" si="259"/>
        <v>0</v>
      </c>
      <c r="AA98" s="4170">
        <f t="shared" si="243"/>
        <v>0</v>
      </c>
      <c r="AB98" s="2903">
        <f t="shared" si="260"/>
        <v>0</v>
      </c>
      <c r="AC98" s="2903">
        <f t="shared" si="260"/>
        <v>0</v>
      </c>
      <c r="AD98" s="2903">
        <f t="shared" si="260"/>
        <v>0</v>
      </c>
      <c r="AE98" s="2903">
        <f t="shared" si="260"/>
        <v>0</v>
      </c>
      <c r="AF98" s="2906">
        <f t="shared" si="260"/>
        <v>0</v>
      </c>
      <c r="AG98" s="4387">
        <f t="shared" si="261"/>
        <v>0</v>
      </c>
      <c r="AH98" s="4170">
        <f t="shared" si="262"/>
        <v>0</v>
      </c>
      <c r="AI98" s="2903">
        <f t="shared" si="263"/>
        <v>0</v>
      </c>
      <c r="AJ98" s="2903">
        <f t="shared" si="263"/>
        <v>0</v>
      </c>
      <c r="AK98" s="2903">
        <f t="shared" si="263"/>
        <v>0</v>
      </c>
      <c r="AL98" s="2903">
        <f t="shared" si="263"/>
        <v>0</v>
      </c>
      <c r="AM98" s="2906">
        <f t="shared" si="263"/>
        <v>0</v>
      </c>
      <c r="AN98" s="4066"/>
      <c r="AO98" s="2988"/>
      <c r="AP98" s="2989"/>
      <c r="AQ98" s="2989"/>
      <c r="AR98" s="2989"/>
      <c r="AS98" s="2989"/>
      <c r="AT98" s="2990"/>
      <c r="AU98" s="4422"/>
      <c r="AV98" s="4438">
        <f t="shared" si="179"/>
        <v>0</v>
      </c>
      <c r="AW98" s="4438">
        <f t="shared" si="180"/>
        <v>0</v>
      </c>
      <c r="AX98" s="4438">
        <f t="shared" si="181"/>
        <v>0</v>
      </c>
      <c r="AY98" s="4438">
        <f t="shared" si="182"/>
        <v>0</v>
      </c>
      <c r="AZ98" s="4438">
        <f t="shared" si="183"/>
        <v>0</v>
      </c>
      <c r="BA98" s="4438">
        <f t="shared" si="184"/>
        <v>0</v>
      </c>
      <c r="BB98" s="4438">
        <f t="shared" si="185"/>
        <v>0</v>
      </c>
      <c r="BC98" s="4438">
        <f t="shared" si="186"/>
        <v>0</v>
      </c>
      <c r="BD98" s="4438">
        <f t="shared" si="187"/>
        <v>0</v>
      </c>
      <c r="BE98" s="4438">
        <f t="shared" si="188"/>
        <v>0</v>
      </c>
      <c r="BF98" s="4438">
        <f t="shared" si="189"/>
        <v>0</v>
      </c>
      <c r="BG98" s="4438">
        <f t="shared" si="190"/>
        <v>0</v>
      </c>
      <c r="BH98" s="4438">
        <f t="shared" si="191"/>
        <v>0</v>
      </c>
      <c r="BI98" s="4438">
        <f t="shared" si="192"/>
        <v>0</v>
      </c>
      <c r="BJ98" s="4438">
        <f t="shared" si="193"/>
        <v>0</v>
      </c>
      <c r="BK98" s="4438">
        <f t="shared" si="194"/>
        <v>0</v>
      </c>
      <c r="BL98" s="4438">
        <f t="shared" si="195"/>
        <v>0</v>
      </c>
      <c r="BM98" s="4438">
        <f t="shared" si="196"/>
        <v>0</v>
      </c>
      <c r="BN98" s="4438">
        <f t="shared" si="197"/>
        <v>0</v>
      </c>
      <c r="BO98" s="4438">
        <f t="shared" si="198"/>
        <v>0</v>
      </c>
      <c r="BP98" s="4438">
        <f t="shared" si="199"/>
        <v>0</v>
      </c>
      <c r="BQ98" s="4438">
        <f t="shared" si="200"/>
        <v>0</v>
      </c>
      <c r="BR98" s="4438">
        <f t="shared" si="201"/>
        <v>0</v>
      </c>
      <c r="BS98" s="4438">
        <f t="shared" si="202"/>
        <v>0</v>
      </c>
      <c r="BT98" s="4438">
        <f t="shared" si="203"/>
        <v>0</v>
      </c>
      <c r="BU98" s="4438">
        <f t="shared" si="204"/>
        <v>0</v>
      </c>
      <c r="BV98" s="4438">
        <f t="shared" si="205"/>
        <v>0</v>
      </c>
      <c r="BW98" s="4438">
        <f t="shared" si="206"/>
        <v>0</v>
      </c>
      <c r="BX98" s="4438">
        <f t="shared" si="207"/>
        <v>0</v>
      </c>
      <c r="BY98" s="4438">
        <f t="shared" si="208"/>
        <v>0</v>
      </c>
      <c r="BZ98" s="4438">
        <f t="shared" si="209"/>
        <v>0</v>
      </c>
      <c r="CA98" s="4438">
        <f t="shared" si="210"/>
        <v>0</v>
      </c>
      <c r="CB98" s="4438">
        <f t="shared" si="211"/>
        <v>0</v>
      </c>
      <c r="CC98" s="4438">
        <f t="shared" si="212"/>
        <v>0</v>
      </c>
      <c r="CD98" s="4438">
        <f t="shared" si="213"/>
        <v>0</v>
      </c>
    </row>
    <row r="99" spans="1:82" s="40" customFormat="1">
      <c r="A99" s="2881">
        <v>6</v>
      </c>
      <c r="B99" s="2882">
        <v>206</v>
      </c>
      <c r="C99" s="2883">
        <v>0.1</v>
      </c>
      <c r="D99" s="2924" t="s">
        <v>394</v>
      </c>
      <c r="E99" s="4167">
        <f>SUM(E100:E102)</f>
        <v>1.7000000000000002</v>
      </c>
      <c r="F99" s="2928">
        <f>SUM(F100:F102)</f>
        <v>-1.2999999999999998</v>
      </c>
      <c r="G99" s="2929">
        <f>SUM(G100:G102)</f>
        <v>-2.2999999999999998</v>
      </c>
      <c r="H99" s="2929">
        <f t="shared" ref="H99:AN99" si="264">SUM(H100:H102)</f>
        <v>-3.3</v>
      </c>
      <c r="I99" s="2929">
        <f t="shared" si="264"/>
        <v>-3.6</v>
      </c>
      <c r="J99" s="2929">
        <f t="shared" si="264"/>
        <v>-4.8000000000000007</v>
      </c>
      <c r="K99" s="2930">
        <f t="shared" si="264"/>
        <v>-6.5</v>
      </c>
      <c r="L99" s="4167">
        <f>SUM(L100:L102)</f>
        <v>0.35</v>
      </c>
      <c r="M99" s="2931">
        <f t="shared" si="264"/>
        <v>0.7</v>
      </c>
      <c r="N99" s="2929">
        <f t="shared" si="264"/>
        <v>0.7</v>
      </c>
      <c r="O99" s="2929">
        <f t="shared" si="264"/>
        <v>0.7</v>
      </c>
      <c r="P99" s="2929">
        <f t="shared" si="264"/>
        <v>0.7</v>
      </c>
      <c r="Q99" s="2929">
        <f t="shared" si="264"/>
        <v>0.7</v>
      </c>
      <c r="R99" s="2932">
        <f t="shared" si="264"/>
        <v>0.7</v>
      </c>
      <c r="S99" s="4172">
        <f>SUM(S100:S102)</f>
        <v>0.9</v>
      </c>
      <c r="T99" s="2933">
        <f t="shared" si="264"/>
        <v>1.8</v>
      </c>
      <c r="U99" s="2929">
        <f t="shared" si="264"/>
        <v>1.8</v>
      </c>
      <c r="V99" s="2929">
        <f t="shared" si="264"/>
        <v>1.8</v>
      </c>
      <c r="W99" s="2929">
        <f t="shared" si="264"/>
        <v>1.8</v>
      </c>
      <c r="X99" s="2929">
        <f t="shared" si="264"/>
        <v>1.8</v>
      </c>
      <c r="Y99" s="2932">
        <f t="shared" si="264"/>
        <v>1.8</v>
      </c>
      <c r="Z99" s="4172">
        <f>SUM(Z100:Z102)</f>
        <v>0</v>
      </c>
      <c r="AA99" s="2933">
        <f t="shared" si="264"/>
        <v>0</v>
      </c>
      <c r="AB99" s="2929">
        <f t="shared" si="264"/>
        <v>0</v>
      </c>
      <c r="AC99" s="2929">
        <f t="shared" si="264"/>
        <v>0</v>
      </c>
      <c r="AD99" s="2929">
        <f t="shared" si="264"/>
        <v>0</v>
      </c>
      <c r="AE99" s="2929">
        <f t="shared" si="264"/>
        <v>0</v>
      </c>
      <c r="AF99" s="2932">
        <f t="shared" si="264"/>
        <v>0</v>
      </c>
      <c r="AG99" s="4172">
        <f>SUM(AG100:AG102)</f>
        <v>0</v>
      </c>
      <c r="AH99" s="2933">
        <f t="shared" si="264"/>
        <v>0</v>
      </c>
      <c r="AI99" s="2929">
        <f t="shared" si="264"/>
        <v>0</v>
      </c>
      <c r="AJ99" s="2929">
        <f t="shared" si="264"/>
        <v>0</v>
      </c>
      <c r="AK99" s="2929">
        <f t="shared" si="264"/>
        <v>0</v>
      </c>
      <c r="AL99" s="2929">
        <f t="shared" si="264"/>
        <v>0</v>
      </c>
      <c r="AM99" s="2932">
        <f t="shared" si="264"/>
        <v>0</v>
      </c>
      <c r="AN99" s="4071">
        <f t="shared" si="264"/>
        <v>0</v>
      </c>
      <c r="AO99" s="2988"/>
      <c r="AP99" s="2989"/>
      <c r="AQ99" s="2989"/>
      <c r="AR99" s="2989"/>
      <c r="AS99" s="2989"/>
      <c r="AT99" s="2990"/>
      <c r="AU99" s="4422"/>
      <c r="AV99" s="4438">
        <f t="shared" si="179"/>
        <v>0.86919619803357151</v>
      </c>
      <c r="AW99" s="4438">
        <f t="shared" si="180"/>
        <v>-0.66467944555508396</v>
      </c>
      <c r="AX99" s="4438">
        <f t="shared" si="181"/>
        <v>-1.1759713267513026</v>
      </c>
      <c r="AY99" s="4438">
        <f t="shared" si="182"/>
        <v>-1.6872632079475209</v>
      </c>
      <c r="AZ99" s="4438">
        <f t="shared" si="183"/>
        <v>-1.8406507723063867</v>
      </c>
      <c r="BA99" s="4438">
        <f t="shared" si="184"/>
        <v>-2.4542010297418493</v>
      </c>
      <c r="BB99" s="4438">
        <f t="shared" si="185"/>
        <v>-3.3233972277754202</v>
      </c>
      <c r="BC99" s="4438">
        <f t="shared" si="186"/>
        <v>0.17895215841867645</v>
      </c>
      <c r="BD99" s="4438">
        <f t="shared" si="187"/>
        <v>0.35790431683735291</v>
      </c>
      <c r="BE99" s="4438">
        <f t="shared" si="188"/>
        <v>0.35790431683735291</v>
      </c>
      <c r="BF99" s="4438">
        <f t="shared" si="189"/>
        <v>0.35790431683735291</v>
      </c>
      <c r="BG99" s="4438">
        <f t="shared" si="190"/>
        <v>0.35790431683735291</v>
      </c>
      <c r="BH99" s="4438">
        <f t="shared" si="191"/>
        <v>0.35790431683735291</v>
      </c>
      <c r="BI99" s="4438">
        <f t="shared" si="192"/>
        <v>0.35790431683735291</v>
      </c>
      <c r="BJ99" s="4438">
        <f t="shared" si="193"/>
        <v>0.46016269307659668</v>
      </c>
      <c r="BK99" s="4438">
        <f t="shared" si="194"/>
        <v>0.92032538615319337</v>
      </c>
      <c r="BL99" s="4438">
        <f t="shared" si="195"/>
        <v>0.92032538615319337</v>
      </c>
      <c r="BM99" s="4438">
        <f t="shared" si="196"/>
        <v>0.92032538615319337</v>
      </c>
      <c r="BN99" s="4438">
        <f t="shared" si="197"/>
        <v>0.92032538615319337</v>
      </c>
      <c r="BO99" s="4438">
        <f t="shared" si="198"/>
        <v>0.92032538615319337</v>
      </c>
      <c r="BP99" s="4438">
        <f t="shared" si="199"/>
        <v>0.92032538615319337</v>
      </c>
      <c r="BQ99" s="4438">
        <f t="shared" si="200"/>
        <v>0</v>
      </c>
      <c r="BR99" s="4438">
        <f t="shared" si="201"/>
        <v>0</v>
      </c>
      <c r="BS99" s="4438">
        <f t="shared" si="202"/>
        <v>0</v>
      </c>
      <c r="BT99" s="4438">
        <f t="shared" si="203"/>
        <v>0</v>
      </c>
      <c r="BU99" s="4438">
        <f t="shared" si="204"/>
        <v>0</v>
      </c>
      <c r="BV99" s="4438">
        <f t="shared" si="205"/>
        <v>0</v>
      </c>
      <c r="BW99" s="4438">
        <f t="shared" si="206"/>
        <v>0</v>
      </c>
      <c r="BX99" s="4438">
        <f t="shared" si="207"/>
        <v>0</v>
      </c>
      <c r="BY99" s="4438">
        <f t="shared" si="208"/>
        <v>0</v>
      </c>
      <c r="BZ99" s="4438">
        <f t="shared" si="209"/>
        <v>0</v>
      </c>
      <c r="CA99" s="4438">
        <f t="shared" si="210"/>
        <v>0</v>
      </c>
      <c r="CB99" s="4438">
        <f t="shared" si="211"/>
        <v>0</v>
      </c>
      <c r="CC99" s="4438">
        <f t="shared" si="212"/>
        <v>0</v>
      </c>
      <c r="CD99" s="4438">
        <f t="shared" si="213"/>
        <v>0</v>
      </c>
    </row>
    <row r="100" spans="1:82" s="659" customFormat="1">
      <c r="A100" s="2881"/>
      <c r="B100" s="2878">
        <v>20601</v>
      </c>
      <c r="C100" s="2879">
        <v>0.1</v>
      </c>
      <c r="D100" s="2871" t="s">
        <v>564</v>
      </c>
      <c r="E100" s="4387">
        <f t="shared" ref="E100:E108" si="265">+E51*$C100/2</f>
        <v>0.35000000000000003</v>
      </c>
      <c r="F100" s="2905">
        <f t="shared" ref="F100:F108" si="266">($E51*$C100)-(F51*$C100)</f>
        <v>0.30000000000000004</v>
      </c>
      <c r="G100" s="2903">
        <f t="shared" ref="G100:K108" si="267">F100-(G51*$C100)</f>
        <v>0</v>
      </c>
      <c r="H100" s="2903">
        <f t="shared" si="267"/>
        <v>-0.30000000000000004</v>
      </c>
      <c r="I100" s="2903">
        <f t="shared" si="267"/>
        <v>-0.30000000000000004</v>
      </c>
      <c r="J100" s="2903">
        <f t="shared" si="267"/>
        <v>-0.30000000000000004</v>
      </c>
      <c r="K100" s="2904">
        <f t="shared" si="267"/>
        <v>-0.30000000000000004</v>
      </c>
      <c r="L100" s="4387">
        <f t="shared" ref="L100:L108" si="268">+L51*$C100/2</f>
        <v>0.1</v>
      </c>
      <c r="M100" s="2935">
        <f t="shared" ref="M100:M108" si="269">($L51*$C100)-(M51*$C100)</f>
        <v>0.2</v>
      </c>
      <c r="N100" s="2903">
        <f t="shared" ref="N100:R108" si="270">M100-(N51*$C100)</f>
        <v>0.2</v>
      </c>
      <c r="O100" s="2903">
        <f t="shared" si="270"/>
        <v>0.2</v>
      </c>
      <c r="P100" s="2903">
        <f t="shared" si="270"/>
        <v>0.2</v>
      </c>
      <c r="Q100" s="2903">
        <f t="shared" si="270"/>
        <v>0.2</v>
      </c>
      <c r="R100" s="2906">
        <f t="shared" si="270"/>
        <v>0.2</v>
      </c>
      <c r="S100" s="4387">
        <f t="shared" ref="S100:S108" si="271">+S51*$C100/2</f>
        <v>0.25</v>
      </c>
      <c r="T100" s="4171">
        <f t="shared" ref="T100:T108" si="272">($S51*$C100)-(T51*$C100)</f>
        <v>0.5</v>
      </c>
      <c r="U100" s="2903">
        <f t="shared" ref="U100:Y108" si="273">T100-(U51*$C100)</f>
        <v>0.5</v>
      </c>
      <c r="V100" s="2903">
        <f t="shared" si="273"/>
        <v>0.5</v>
      </c>
      <c r="W100" s="2903">
        <f t="shared" si="273"/>
        <v>0.5</v>
      </c>
      <c r="X100" s="2903">
        <f t="shared" si="273"/>
        <v>0.5</v>
      </c>
      <c r="Y100" s="2906">
        <f t="shared" si="273"/>
        <v>0.5</v>
      </c>
      <c r="Z100" s="4387">
        <f t="shared" ref="Z100:Z108" si="274">+Z51*$C100/2</f>
        <v>0</v>
      </c>
      <c r="AA100" s="4171">
        <f t="shared" si="243"/>
        <v>0</v>
      </c>
      <c r="AB100" s="2903">
        <f t="shared" ref="AB100:AF108" si="275">AA100-(AB51*$C100)</f>
        <v>0</v>
      </c>
      <c r="AC100" s="2903">
        <f t="shared" si="275"/>
        <v>0</v>
      </c>
      <c r="AD100" s="2903">
        <f t="shared" si="275"/>
        <v>0</v>
      </c>
      <c r="AE100" s="2903">
        <f t="shared" si="275"/>
        <v>0</v>
      </c>
      <c r="AF100" s="2906">
        <f t="shared" si="275"/>
        <v>0</v>
      </c>
      <c r="AG100" s="4387">
        <f t="shared" ref="AG100:AG107" si="276">+AG51*$C100/2</f>
        <v>0</v>
      </c>
      <c r="AH100" s="4171">
        <f t="shared" ref="AH100:AH108" si="277">($AG51*$C100)-(AH51*$C100)</f>
        <v>0</v>
      </c>
      <c r="AI100" s="2903">
        <f t="shared" ref="AI100:AM108" si="278">AH100-(AI51*$C100)</f>
        <v>0</v>
      </c>
      <c r="AJ100" s="2903">
        <f t="shared" si="278"/>
        <v>0</v>
      </c>
      <c r="AK100" s="2903">
        <f t="shared" si="278"/>
        <v>0</v>
      </c>
      <c r="AL100" s="2903">
        <f t="shared" si="278"/>
        <v>0</v>
      </c>
      <c r="AM100" s="2906">
        <f t="shared" si="278"/>
        <v>0</v>
      </c>
      <c r="AN100" s="4066"/>
      <c r="AO100" s="2988"/>
      <c r="AP100" s="2989"/>
      <c r="AQ100" s="2989"/>
      <c r="AR100" s="2989"/>
      <c r="AS100" s="2989"/>
      <c r="AT100" s="2990"/>
      <c r="AU100" s="4422"/>
      <c r="AV100" s="4438">
        <f t="shared" si="179"/>
        <v>0.17895215841867648</v>
      </c>
      <c r="AW100" s="4438">
        <f t="shared" si="180"/>
        <v>0.15338756435886558</v>
      </c>
      <c r="AX100" s="4438">
        <f t="shared" si="181"/>
        <v>0</v>
      </c>
      <c r="AY100" s="4438">
        <f t="shared" si="182"/>
        <v>-0.15338756435886558</v>
      </c>
      <c r="AZ100" s="4438">
        <f t="shared" si="183"/>
        <v>-0.15338756435886558</v>
      </c>
      <c r="BA100" s="4438">
        <f t="shared" si="184"/>
        <v>-0.15338756435886558</v>
      </c>
      <c r="BB100" s="4438">
        <f t="shared" si="185"/>
        <v>-0.15338756435886558</v>
      </c>
      <c r="BC100" s="4438">
        <f t="shared" si="186"/>
        <v>5.1129188119621853E-2</v>
      </c>
      <c r="BD100" s="4438">
        <f t="shared" si="187"/>
        <v>0.10225837623924371</v>
      </c>
      <c r="BE100" s="4438">
        <f t="shared" si="188"/>
        <v>0.10225837623924371</v>
      </c>
      <c r="BF100" s="4438">
        <f t="shared" si="189"/>
        <v>0.10225837623924371</v>
      </c>
      <c r="BG100" s="4438">
        <f t="shared" si="190"/>
        <v>0.10225837623924371</v>
      </c>
      <c r="BH100" s="4438">
        <f t="shared" si="191"/>
        <v>0.10225837623924371</v>
      </c>
      <c r="BI100" s="4438">
        <f t="shared" si="192"/>
        <v>0.10225837623924371</v>
      </c>
      <c r="BJ100" s="4438">
        <f t="shared" si="193"/>
        <v>0.12782297029905462</v>
      </c>
      <c r="BK100" s="4438">
        <f t="shared" si="194"/>
        <v>0.25564594059810924</v>
      </c>
      <c r="BL100" s="4438">
        <f t="shared" si="195"/>
        <v>0.25564594059810924</v>
      </c>
      <c r="BM100" s="4438">
        <f t="shared" si="196"/>
        <v>0.25564594059810924</v>
      </c>
      <c r="BN100" s="4438">
        <f t="shared" si="197"/>
        <v>0.25564594059810924</v>
      </c>
      <c r="BO100" s="4438">
        <f t="shared" si="198"/>
        <v>0.25564594059810924</v>
      </c>
      <c r="BP100" s="4438">
        <f t="shared" si="199"/>
        <v>0.25564594059810924</v>
      </c>
      <c r="BQ100" s="4438">
        <f t="shared" si="200"/>
        <v>0</v>
      </c>
      <c r="BR100" s="4438">
        <f t="shared" si="201"/>
        <v>0</v>
      </c>
      <c r="BS100" s="4438">
        <f t="shared" si="202"/>
        <v>0</v>
      </c>
      <c r="BT100" s="4438">
        <f t="shared" si="203"/>
        <v>0</v>
      </c>
      <c r="BU100" s="4438">
        <f t="shared" si="204"/>
        <v>0</v>
      </c>
      <c r="BV100" s="4438">
        <f t="shared" si="205"/>
        <v>0</v>
      </c>
      <c r="BW100" s="4438">
        <f t="shared" si="206"/>
        <v>0</v>
      </c>
      <c r="BX100" s="4438">
        <f t="shared" si="207"/>
        <v>0</v>
      </c>
      <c r="BY100" s="4438">
        <f t="shared" si="208"/>
        <v>0</v>
      </c>
      <c r="BZ100" s="4438">
        <f t="shared" si="209"/>
        <v>0</v>
      </c>
      <c r="CA100" s="4438">
        <f t="shared" si="210"/>
        <v>0</v>
      </c>
      <c r="CB100" s="4438">
        <f t="shared" si="211"/>
        <v>0</v>
      </c>
      <c r="CC100" s="4438">
        <f t="shared" si="212"/>
        <v>0</v>
      </c>
      <c r="CD100" s="4438">
        <f t="shared" si="213"/>
        <v>0</v>
      </c>
    </row>
    <row r="101" spans="1:82" s="659" customFormat="1">
      <c r="A101" s="2881"/>
      <c r="B101" s="2878">
        <v>20602</v>
      </c>
      <c r="C101" s="2879">
        <v>0.1</v>
      </c>
      <c r="D101" s="2871" t="s">
        <v>435</v>
      </c>
      <c r="E101" s="4387">
        <f t="shared" si="265"/>
        <v>1.35</v>
      </c>
      <c r="F101" s="2905">
        <f t="shared" si="266"/>
        <v>2.4000000000000004</v>
      </c>
      <c r="G101" s="2903">
        <f t="shared" si="267"/>
        <v>1.7000000000000002</v>
      </c>
      <c r="H101" s="2903">
        <f t="shared" si="267"/>
        <v>1</v>
      </c>
      <c r="I101" s="2903">
        <f t="shared" si="267"/>
        <v>0.7</v>
      </c>
      <c r="J101" s="2903">
        <f t="shared" si="267"/>
        <v>-0.50000000000000022</v>
      </c>
      <c r="K101" s="2904">
        <f t="shared" si="267"/>
        <v>-2.2000000000000002</v>
      </c>
      <c r="L101" s="4387">
        <f t="shared" si="268"/>
        <v>0.25</v>
      </c>
      <c r="M101" s="2935">
        <f t="shared" si="269"/>
        <v>0.5</v>
      </c>
      <c r="N101" s="2903">
        <f t="shared" si="270"/>
        <v>0.5</v>
      </c>
      <c r="O101" s="2903">
        <f t="shared" si="270"/>
        <v>0.5</v>
      </c>
      <c r="P101" s="2903">
        <f t="shared" si="270"/>
        <v>0.5</v>
      </c>
      <c r="Q101" s="2903">
        <f t="shared" si="270"/>
        <v>0.5</v>
      </c>
      <c r="R101" s="2906">
        <f t="shared" si="270"/>
        <v>0.5</v>
      </c>
      <c r="S101" s="4387">
        <f t="shared" si="271"/>
        <v>0.65</v>
      </c>
      <c r="T101" s="4171">
        <f t="shared" si="272"/>
        <v>1.3</v>
      </c>
      <c r="U101" s="2903">
        <f t="shared" si="273"/>
        <v>1.3</v>
      </c>
      <c r="V101" s="2903">
        <f t="shared" si="273"/>
        <v>1.3</v>
      </c>
      <c r="W101" s="2903">
        <f t="shared" si="273"/>
        <v>1.3</v>
      </c>
      <c r="X101" s="2903">
        <f t="shared" si="273"/>
        <v>1.3</v>
      </c>
      <c r="Y101" s="2906">
        <f t="shared" si="273"/>
        <v>1.3</v>
      </c>
      <c r="Z101" s="4387">
        <f t="shared" si="274"/>
        <v>0</v>
      </c>
      <c r="AA101" s="4171">
        <f t="shared" si="243"/>
        <v>0</v>
      </c>
      <c r="AB101" s="2903">
        <f t="shared" si="275"/>
        <v>0</v>
      </c>
      <c r="AC101" s="2903">
        <f t="shared" si="275"/>
        <v>0</v>
      </c>
      <c r="AD101" s="2903">
        <f t="shared" si="275"/>
        <v>0</v>
      </c>
      <c r="AE101" s="2903">
        <f t="shared" si="275"/>
        <v>0</v>
      </c>
      <c r="AF101" s="2906">
        <f t="shared" si="275"/>
        <v>0</v>
      </c>
      <c r="AG101" s="4387">
        <f t="shared" si="276"/>
        <v>0</v>
      </c>
      <c r="AH101" s="4171">
        <f t="shared" si="277"/>
        <v>0</v>
      </c>
      <c r="AI101" s="2903">
        <f t="shared" si="278"/>
        <v>0</v>
      </c>
      <c r="AJ101" s="2903">
        <f t="shared" si="278"/>
        <v>0</v>
      </c>
      <c r="AK101" s="2903">
        <f t="shared" si="278"/>
        <v>0</v>
      </c>
      <c r="AL101" s="2903">
        <f t="shared" si="278"/>
        <v>0</v>
      </c>
      <c r="AM101" s="2906">
        <f t="shared" si="278"/>
        <v>0</v>
      </c>
      <c r="AN101" s="4066"/>
      <c r="AO101" s="2988"/>
      <c r="AP101" s="2989"/>
      <c r="AQ101" s="2989"/>
      <c r="AR101" s="2989"/>
      <c r="AS101" s="2989"/>
      <c r="AT101" s="2990"/>
      <c r="AU101" s="4422"/>
      <c r="AV101" s="4438">
        <f t="shared" si="179"/>
        <v>0.690244039614895</v>
      </c>
      <c r="AW101" s="4438">
        <f t="shared" si="180"/>
        <v>1.2271005148709246</v>
      </c>
      <c r="AX101" s="4438">
        <f t="shared" si="181"/>
        <v>0.86919619803357151</v>
      </c>
      <c r="AY101" s="4438">
        <f t="shared" si="182"/>
        <v>0.51129188119621849</v>
      </c>
      <c r="AZ101" s="4438">
        <f t="shared" si="183"/>
        <v>0.35790431683735291</v>
      </c>
      <c r="BA101" s="4438">
        <f t="shared" si="184"/>
        <v>-0.25564594059810936</v>
      </c>
      <c r="BB101" s="4438">
        <f t="shared" si="185"/>
        <v>-1.1248421386316807</v>
      </c>
      <c r="BC101" s="4438">
        <f t="shared" si="186"/>
        <v>0.12782297029905462</v>
      </c>
      <c r="BD101" s="4438">
        <f t="shared" si="187"/>
        <v>0.25564594059810924</v>
      </c>
      <c r="BE101" s="4438">
        <f t="shared" si="188"/>
        <v>0.25564594059810924</v>
      </c>
      <c r="BF101" s="4438">
        <f t="shared" si="189"/>
        <v>0.25564594059810924</v>
      </c>
      <c r="BG101" s="4438">
        <f t="shared" si="190"/>
        <v>0.25564594059810924</v>
      </c>
      <c r="BH101" s="4438">
        <f t="shared" si="191"/>
        <v>0.25564594059810924</v>
      </c>
      <c r="BI101" s="4438">
        <f t="shared" si="192"/>
        <v>0.25564594059810924</v>
      </c>
      <c r="BJ101" s="4438">
        <f t="shared" si="193"/>
        <v>0.33233972277754203</v>
      </c>
      <c r="BK101" s="4438">
        <f t="shared" si="194"/>
        <v>0.66467944555508407</v>
      </c>
      <c r="BL101" s="4438">
        <f t="shared" si="195"/>
        <v>0.66467944555508407</v>
      </c>
      <c r="BM101" s="4438">
        <f t="shared" si="196"/>
        <v>0.66467944555508407</v>
      </c>
      <c r="BN101" s="4438">
        <f t="shared" si="197"/>
        <v>0.66467944555508407</v>
      </c>
      <c r="BO101" s="4438">
        <f t="shared" si="198"/>
        <v>0.66467944555508407</v>
      </c>
      <c r="BP101" s="4438">
        <f t="shared" si="199"/>
        <v>0.66467944555508407</v>
      </c>
      <c r="BQ101" s="4438">
        <f t="shared" si="200"/>
        <v>0</v>
      </c>
      <c r="BR101" s="4438">
        <f t="shared" si="201"/>
        <v>0</v>
      </c>
      <c r="BS101" s="4438">
        <f t="shared" si="202"/>
        <v>0</v>
      </c>
      <c r="BT101" s="4438">
        <f t="shared" si="203"/>
        <v>0</v>
      </c>
      <c r="BU101" s="4438">
        <f t="shared" si="204"/>
        <v>0</v>
      </c>
      <c r="BV101" s="4438">
        <f t="shared" si="205"/>
        <v>0</v>
      </c>
      <c r="BW101" s="4438">
        <f t="shared" si="206"/>
        <v>0</v>
      </c>
      <c r="BX101" s="4438">
        <f t="shared" si="207"/>
        <v>0</v>
      </c>
      <c r="BY101" s="4438">
        <f t="shared" si="208"/>
        <v>0</v>
      </c>
      <c r="BZ101" s="4438">
        <f t="shared" si="209"/>
        <v>0</v>
      </c>
      <c r="CA101" s="4438">
        <f t="shared" si="210"/>
        <v>0</v>
      </c>
      <c r="CB101" s="4438">
        <f t="shared" si="211"/>
        <v>0</v>
      </c>
      <c r="CC101" s="4438">
        <f t="shared" si="212"/>
        <v>0</v>
      </c>
      <c r="CD101" s="4438">
        <f t="shared" si="213"/>
        <v>0</v>
      </c>
    </row>
    <row r="102" spans="1:82" s="659" customFormat="1">
      <c r="A102" s="2881"/>
      <c r="B102" s="2878">
        <v>20603</v>
      </c>
      <c r="C102" s="2879">
        <v>0.5</v>
      </c>
      <c r="D102" s="2871" t="s">
        <v>1015</v>
      </c>
      <c r="E102" s="4387">
        <f t="shared" si="265"/>
        <v>0</v>
      </c>
      <c r="F102" s="2905">
        <f t="shared" si="266"/>
        <v>-4</v>
      </c>
      <c r="G102" s="2903">
        <f t="shared" si="267"/>
        <v>-4</v>
      </c>
      <c r="H102" s="2903">
        <f t="shared" si="267"/>
        <v>-4</v>
      </c>
      <c r="I102" s="2903">
        <f t="shared" si="267"/>
        <v>-4</v>
      </c>
      <c r="J102" s="2903">
        <f t="shared" si="267"/>
        <v>-4</v>
      </c>
      <c r="K102" s="2904">
        <f t="shared" si="267"/>
        <v>-4</v>
      </c>
      <c r="L102" s="4387">
        <f t="shared" si="268"/>
        <v>0</v>
      </c>
      <c r="M102" s="2935">
        <f t="shared" si="269"/>
        <v>0</v>
      </c>
      <c r="N102" s="2903">
        <f t="shared" si="270"/>
        <v>0</v>
      </c>
      <c r="O102" s="2903">
        <f t="shared" si="270"/>
        <v>0</v>
      </c>
      <c r="P102" s="2903">
        <f t="shared" si="270"/>
        <v>0</v>
      </c>
      <c r="Q102" s="2903">
        <f t="shared" si="270"/>
        <v>0</v>
      </c>
      <c r="R102" s="2906">
        <f t="shared" si="270"/>
        <v>0</v>
      </c>
      <c r="S102" s="4387">
        <f t="shared" si="271"/>
        <v>0</v>
      </c>
      <c r="T102" s="4171">
        <f t="shared" si="272"/>
        <v>0</v>
      </c>
      <c r="U102" s="2903">
        <f t="shared" si="273"/>
        <v>0</v>
      </c>
      <c r="V102" s="2903">
        <f t="shared" si="273"/>
        <v>0</v>
      </c>
      <c r="W102" s="2903">
        <f t="shared" si="273"/>
        <v>0</v>
      </c>
      <c r="X102" s="2903">
        <f t="shared" si="273"/>
        <v>0</v>
      </c>
      <c r="Y102" s="2906">
        <f t="shared" si="273"/>
        <v>0</v>
      </c>
      <c r="Z102" s="4387">
        <f t="shared" si="274"/>
        <v>0</v>
      </c>
      <c r="AA102" s="4171">
        <f t="shared" si="243"/>
        <v>0</v>
      </c>
      <c r="AB102" s="2903">
        <f t="shared" si="275"/>
        <v>0</v>
      </c>
      <c r="AC102" s="2903">
        <f t="shared" si="275"/>
        <v>0</v>
      </c>
      <c r="AD102" s="2903">
        <f t="shared" si="275"/>
        <v>0</v>
      </c>
      <c r="AE102" s="2903">
        <f t="shared" si="275"/>
        <v>0</v>
      </c>
      <c r="AF102" s="2906">
        <f t="shared" si="275"/>
        <v>0</v>
      </c>
      <c r="AG102" s="4387">
        <f t="shared" si="276"/>
        <v>0</v>
      </c>
      <c r="AH102" s="4171">
        <f t="shared" si="277"/>
        <v>0</v>
      </c>
      <c r="AI102" s="2903">
        <f t="shared" si="278"/>
        <v>0</v>
      </c>
      <c r="AJ102" s="2903">
        <f t="shared" si="278"/>
        <v>0</v>
      </c>
      <c r="AK102" s="2903">
        <f t="shared" si="278"/>
        <v>0</v>
      </c>
      <c r="AL102" s="2903">
        <f t="shared" si="278"/>
        <v>0</v>
      </c>
      <c r="AM102" s="2906">
        <f t="shared" si="278"/>
        <v>0</v>
      </c>
      <c r="AN102" s="4066"/>
      <c r="AO102" s="2988"/>
      <c r="AP102" s="2989"/>
      <c r="AQ102" s="2989"/>
      <c r="AR102" s="2989"/>
      <c r="AS102" s="2989"/>
      <c r="AT102" s="2990"/>
      <c r="AU102" s="4422"/>
      <c r="AV102" s="4438">
        <f t="shared" si="179"/>
        <v>0</v>
      </c>
      <c r="AW102" s="4438">
        <f t="shared" si="180"/>
        <v>-2.045167524784874</v>
      </c>
      <c r="AX102" s="4438">
        <f t="shared" si="181"/>
        <v>-2.045167524784874</v>
      </c>
      <c r="AY102" s="4438">
        <f t="shared" si="182"/>
        <v>-2.045167524784874</v>
      </c>
      <c r="AZ102" s="4438">
        <f t="shared" si="183"/>
        <v>-2.045167524784874</v>
      </c>
      <c r="BA102" s="4438">
        <f t="shared" si="184"/>
        <v>-2.045167524784874</v>
      </c>
      <c r="BB102" s="4438">
        <f t="shared" si="185"/>
        <v>-2.045167524784874</v>
      </c>
      <c r="BC102" s="4438">
        <f t="shared" si="186"/>
        <v>0</v>
      </c>
      <c r="BD102" s="4438">
        <f t="shared" si="187"/>
        <v>0</v>
      </c>
      <c r="BE102" s="4438">
        <f t="shared" si="188"/>
        <v>0</v>
      </c>
      <c r="BF102" s="4438">
        <f t="shared" si="189"/>
        <v>0</v>
      </c>
      <c r="BG102" s="4438">
        <f t="shared" si="190"/>
        <v>0</v>
      </c>
      <c r="BH102" s="4438">
        <f t="shared" si="191"/>
        <v>0</v>
      </c>
      <c r="BI102" s="4438">
        <f t="shared" si="192"/>
        <v>0</v>
      </c>
      <c r="BJ102" s="4438">
        <f t="shared" si="193"/>
        <v>0</v>
      </c>
      <c r="BK102" s="4438">
        <f t="shared" si="194"/>
        <v>0</v>
      </c>
      <c r="BL102" s="4438">
        <f t="shared" si="195"/>
        <v>0</v>
      </c>
      <c r="BM102" s="4438">
        <f t="shared" si="196"/>
        <v>0</v>
      </c>
      <c r="BN102" s="4438">
        <f t="shared" si="197"/>
        <v>0</v>
      </c>
      <c r="BO102" s="4438">
        <f t="shared" si="198"/>
        <v>0</v>
      </c>
      <c r="BP102" s="4438">
        <f t="shared" si="199"/>
        <v>0</v>
      </c>
      <c r="BQ102" s="4438">
        <f t="shared" si="200"/>
        <v>0</v>
      </c>
      <c r="BR102" s="4438">
        <f t="shared" si="201"/>
        <v>0</v>
      </c>
      <c r="BS102" s="4438">
        <f t="shared" si="202"/>
        <v>0</v>
      </c>
      <c r="BT102" s="4438">
        <f t="shared" si="203"/>
        <v>0</v>
      </c>
      <c r="BU102" s="4438">
        <f t="shared" si="204"/>
        <v>0</v>
      </c>
      <c r="BV102" s="4438">
        <f t="shared" si="205"/>
        <v>0</v>
      </c>
      <c r="BW102" s="4438">
        <f t="shared" si="206"/>
        <v>0</v>
      </c>
      <c r="BX102" s="4438">
        <f t="shared" si="207"/>
        <v>0</v>
      </c>
      <c r="BY102" s="4438">
        <f t="shared" si="208"/>
        <v>0</v>
      </c>
      <c r="BZ102" s="4438">
        <f t="shared" si="209"/>
        <v>0</v>
      </c>
      <c r="CA102" s="4438">
        <f t="shared" si="210"/>
        <v>0</v>
      </c>
      <c r="CB102" s="4438">
        <f t="shared" si="211"/>
        <v>0</v>
      </c>
      <c r="CC102" s="4438">
        <f t="shared" si="212"/>
        <v>0</v>
      </c>
      <c r="CD102" s="4438">
        <f t="shared" si="213"/>
        <v>0</v>
      </c>
    </row>
    <row r="103" spans="1:82" s="40" customFormat="1">
      <c r="A103" s="2881">
        <v>7</v>
      </c>
      <c r="B103" s="2882">
        <v>208</v>
      </c>
      <c r="C103" s="2883">
        <v>0.2</v>
      </c>
      <c r="D103" s="2924" t="s">
        <v>413</v>
      </c>
      <c r="E103" s="4387">
        <f t="shared" si="265"/>
        <v>1.6</v>
      </c>
      <c r="F103" s="2936">
        <f t="shared" si="266"/>
        <v>1.4000000000000001</v>
      </c>
      <c r="G103" s="2937">
        <f t="shared" si="267"/>
        <v>-2.2000000000000002</v>
      </c>
      <c r="H103" s="2937">
        <f t="shared" si="267"/>
        <v>-5</v>
      </c>
      <c r="I103" s="2937">
        <f t="shared" si="267"/>
        <v>-10</v>
      </c>
      <c r="J103" s="2937">
        <f t="shared" si="267"/>
        <v>-15.600000000000001</v>
      </c>
      <c r="K103" s="2938">
        <f t="shared" si="267"/>
        <v>-15.600000000000001</v>
      </c>
      <c r="L103" s="4387">
        <f t="shared" si="268"/>
        <v>0.4</v>
      </c>
      <c r="M103" s="2939">
        <f t="shared" si="269"/>
        <v>0.8</v>
      </c>
      <c r="N103" s="2937">
        <f t="shared" si="270"/>
        <v>0.8</v>
      </c>
      <c r="O103" s="2937">
        <f t="shared" si="270"/>
        <v>0.8</v>
      </c>
      <c r="P103" s="2937">
        <f t="shared" si="270"/>
        <v>0.8</v>
      </c>
      <c r="Q103" s="2937">
        <f t="shared" si="270"/>
        <v>0.8</v>
      </c>
      <c r="R103" s="2940">
        <f t="shared" si="270"/>
        <v>0.8</v>
      </c>
      <c r="S103" s="4387">
        <f t="shared" si="271"/>
        <v>0.8</v>
      </c>
      <c r="T103" s="2941">
        <f t="shared" si="272"/>
        <v>1.6</v>
      </c>
      <c r="U103" s="2937">
        <f t="shared" si="273"/>
        <v>1.6</v>
      </c>
      <c r="V103" s="2937">
        <f t="shared" si="273"/>
        <v>1.6</v>
      </c>
      <c r="W103" s="2937">
        <f t="shared" si="273"/>
        <v>1.6</v>
      </c>
      <c r="X103" s="2937">
        <f t="shared" si="273"/>
        <v>1.6</v>
      </c>
      <c r="Y103" s="2940">
        <f t="shared" si="273"/>
        <v>1.6</v>
      </c>
      <c r="Z103" s="4387">
        <f t="shared" si="274"/>
        <v>0</v>
      </c>
      <c r="AA103" s="2941">
        <f t="shared" si="243"/>
        <v>0</v>
      </c>
      <c r="AB103" s="2937">
        <f t="shared" si="275"/>
        <v>0</v>
      </c>
      <c r="AC103" s="2937">
        <f t="shared" si="275"/>
        <v>0</v>
      </c>
      <c r="AD103" s="2937">
        <f t="shared" si="275"/>
        <v>0</v>
      </c>
      <c r="AE103" s="2937">
        <f t="shared" si="275"/>
        <v>0</v>
      </c>
      <c r="AF103" s="2940">
        <f t="shared" si="275"/>
        <v>0</v>
      </c>
      <c r="AG103" s="4387">
        <f t="shared" si="276"/>
        <v>0</v>
      </c>
      <c r="AH103" s="2941">
        <f t="shared" si="277"/>
        <v>0</v>
      </c>
      <c r="AI103" s="2937">
        <f t="shared" si="278"/>
        <v>0</v>
      </c>
      <c r="AJ103" s="2937">
        <f t="shared" si="278"/>
        <v>0</v>
      </c>
      <c r="AK103" s="2937">
        <f t="shared" si="278"/>
        <v>0</v>
      </c>
      <c r="AL103" s="2937">
        <f t="shared" si="278"/>
        <v>0</v>
      </c>
      <c r="AM103" s="2940">
        <f t="shared" si="278"/>
        <v>0</v>
      </c>
      <c r="AN103" s="4066"/>
      <c r="AO103" s="2988"/>
      <c r="AP103" s="2989"/>
      <c r="AQ103" s="2989"/>
      <c r="AR103" s="2989"/>
      <c r="AS103" s="2989"/>
      <c r="AT103" s="2990"/>
      <c r="AU103" s="4422"/>
      <c r="AV103" s="4438">
        <f t="shared" si="179"/>
        <v>0.81806700991394965</v>
      </c>
      <c r="AW103" s="4438">
        <f t="shared" si="180"/>
        <v>0.71580863367470593</v>
      </c>
      <c r="AX103" s="4438">
        <f t="shared" si="181"/>
        <v>-1.1248421386316807</v>
      </c>
      <c r="AY103" s="4438">
        <f t="shared" si="182"/>
        <v>-2.5564594059810926</v>
      </c>
      <c r="AZ103" s="4438">
        <f t="shared" si="183"/>
        <v>-5.1129188119621851</v>
      </c>
      <c r="BA103" s="4438">
        <f t="shared" si="184"/>
        <v>-7.9761533466610093</v>
      </c>
      <c r="BB103" s="4438">
        <f t="shared" si="185"/>
        <v>-7.9761533466610093</v>
      </c>
      <c r="BC103" s="4438">
        <f t="shared" si="186"/>
        <v>0.20451675247848741</v>
      </c>
      <c r="BD103" s="4438">
        <f t="shared" si="187"/>
        <v>0.40903350495697482</v>
      </c>
      <c r="BE103" s="4438">
        <f t="shared" si="188"/>
        <v>0.40903350495697482</v>
      </c>
      <c r="BF103" s="4438">
        <f t="shared" si="189"/>
        <v>0.40903350495697482</v>
      </c>
      <c r="BG103" s="4438">
        <f t="shared" si="190"/>
        <v>0.40903350495697482</v>
      </c>
      <c r="BH103" s="4438">
        <f t="shared" si="191"/>
        <v>0.40903350495697482</v>
      </c>
      <c r="BI103" s="4438">
        <f t="shared" si="192"/>
        <v>0.40903350495697482</v>
      </c>
      <c r="BJ103" s="4438">
        <f t="shared" si="193"/>
        <v>0.40903350495697482</v>
      </c>
      <c r="BK103" s="4438">
        <f t="shared" si="194"/>
        <v>0.81806700991394965</v>
      </c>
      <c r="BL103" s="4438">
        <f t="shared" si="195"/>
        <v>0.81806700991394965</v>
      </c>
      <c r="BM103" s="4438">
        <f t="shared" si="196"/>
        <v>0.81806700991394965</v>
      </c>
      <c r="BN103" s="4438">
        <f t="shared" si="197"/>
        <v>0.81806700991394965</v>
      </c>
      <c r="BO103" s="4438">
        <f t="shared" si="198"/>
        <v>0.81806700991394965</v>
      </c>
      <c r="BP103" s="4438">
        <f t="shared" si="199"/>
        <v>0.81806700991394965</v>
      </c>
      <c r="BQ103" s="4438">
        <f t="shared" si="200"/>
        <v>0</v>
      </c>
      <c r="BR103" s="4438">
        <f t="shared" si="201"/>
        <v>0</v>
      </c>
      <c r="BS103" s="4438">
        <f t="shared" si="202"/>
        <v>0</v>
      </c>
      <c r="BT103" s="4438">
        <f t="shared" si="203"/>
        <v>0</v>
      </c>
      <c r="BU103" s="4438">
        <f t="shared" si="204"/>
        <v>0</v>
      </c>
      <c r="BV103" s="4438">
        <f t="shared" si="205"/>
        <v>0</v>
      </c>
      <c r="BW103" s="4438">
        <f t="shared" si="206"/>
        <v>0</v>
      </c>
      <c r="BX103" s="4438">
        <f t="shared" si="207"/>
        <v>0</v>
      </c>
      <c r="BY103" s="4438">
        <f t="shared" si="208"/>
        <v>0</v>
      </c>
      <c r="BZ103" s="4438">
        <f t="shared" si="209"/>
        <v>0</v>
      </c>
      <c r="CA103" s="4438">
        <f t="shared" si="210"/>
        <v>0</v>
      </c>
      <c r="CB103" s="4438">
        <f t="shared" si="211"/>
        <v>0</v>
      </c>
      <c r="CC103" s="4438">
        <f t="shared" si="212"/>
        <v>0</v>
      </c>
      <c r="CD103" s="4438">
        <f t="shared" si="213"/>
        <v>0</v>
      </c>
    </row>
    <row r="104" spans="1:82" s="40" customFormat="1">
      <c r="A104" s="2881">
        <v>8</v>
      </c>
      <c r="B104" s="2882">
        <v>209</v>
      </c>
      <c r="C104" s="2883">
        <v>0.1</v>
      </c>
      <c r="D104" s="2924" t="s">
        <v>213</v>
      </c>
      <c r="E104" s="4387">
        <f t="shared" si="265"/>
        <v>0</v>
      </c>
      <c r="F104" s="2936">
        <f t="shared" si="266"/>
        <v>0</v>
      </c>
      <c r="G104" s="2937">
        <f t="shared" si="267"/>
        <v>-0.2</v>
      </c>
      <c r="H104" s="2937">
        <f t="shared" si="267"/>
        <v>-0.2</v>
      </c>
      <c r="I104" s="2937">
        <f t="shared" si="267"/>
        <v>-0.2</v>
      </c>
      <c r="J104" s="2937">
        <f t="shared" si="267"/>
        <v>-0.2</v>
      </c>
      <c r="K104" s="2938">
        <f t="shared" si="267"/>
        <v>-0.2</v>
      </c>
      <c r="L104" s="4387">
        <f t="shared" si="268"/>
        <v>0</v>
      </c>
      <c r="M104" s="2939">
        <f t="shared" si="269"/>
        <v>0</v>
      </c>
      <c r="N104" s="2937">
        <f t="shared" si="270"/>
        <v>0</v>
      </c>
      <c r="O104" s="2937">
        <f t="shared" si="270"/>
        <v>0</v>
      </c>
      <c r="P104" s="2937">
        <f t="shared" si="270"/>
        <v>0</v>
      </c>
      <c r="Q104" s="2937">
        <f t="shared" si="270"/>
        <v>0</v>
      </c>
      <c r="R104" s="2940">
        <f t="shared" si="270"/>
        <v>0</v>
      </c>
      <c r="S104" s="4387">
        <f t="shared" si="271"/>
        <v>0</v>
      </c>
      <c r="T104" s="2941">
        <f t="shared" si="272"/>
        <v>0</v>
      </c>
      <c r="U104" s="2937">
        <f t="shared" si="273"/>
        <v>0</v>
      </c>
      <c r="V104" s="2937">
        <f t="shared" si="273"/>
        <v>0</v>
      </c>
      <c r="W104" s="2937">
        <f t="shared" si="273"/>
        <v>0</v>
      </c>
      <c r="X104" s="2937">
        <f t="shared" si="273"/>
        <v>0</v>
      </c>
      <c r="Y104" s="2940">
        <f t="shared" si="273"/>
        <v>0</v>
      </c>
      <c r="Z104" s="4387">
        <f t="shared" si="274"/>
        <v>0</v>
      </c>
      <c r="AA104" s="2941">
        <f t="shared" si="243"/>
        <v>0</v>
      </c>
      <c r="AB104" s="2937">
        <f t="shared" si="275"/>
        <v>0</v>
      </c>
      <c r="AC104" s="2937">
        <f t="shared" si="275"/>
        <v>0</v>
      </c>
      <c r="AD104" s="2937">
        <f t="shared" si="275"/>
        <v>0</v>
      </c>
      <c r="AE104" s="2937">
        <f t="shared" si="275"/>
        <v>0</v>
      </c>
      <c r="AF104" s="2940">
        <f t="shared" si="275"/>
        <v>0</v>
      </c>
      <c r="AG104" s="4387">
        <f t="shared" si="276"/>
        <v>0</v>
      </c>
      <c r="AH104" s="2941">
        <f t="shared" si="277"/>
        <v>0</v>
      </c>
      <c r="AI104" s="2937">
        <f t="shared" si="278"/>
        <v>0</v>
      </c>
      <c r="AJ104" s="2937">
        <f t="shared" si="278"/>
        <v>0</v>
      </c>
      <c r="AK104" s="2937">
        <f t="shared" si="278"/>
        <v>0</v>
      </c>
      <c r="AL104" s="2937">
        <f t="shared" si="278"/>
        <v>0</v>
      </c>
      <c r="AM104" s="2940">
        <f t="shared" si="278"/>
        <v>0</v>
      </c>
      <c r="AN104" s="4066"/>
      <c r="AO104" s="2988"/>
      <c r="AP104" s="2989"/>
      <c r="AQ104" s="2989"/>
      <c r="AR104" s="2989"/>
      <c r="AS104" s="2989"/>
      <c r="AT104" s="2990"/>
      <c r="AU104" s="4422"/>
      <c r="AV104" s="4438">
        <f t="shared" si="179"/>
        <v>0</v>
      </c>
      <c r="AW104" s="4438">
        <f t="shared" si="180"/>
        <v>0</v>
      </c>
      <c r="AX104" s="4438">
        <f t="shared" si="181"/>
        <v>-0.10225837623924371</v>
      </c>
      <c r="AY104" s="4438">
        <f t="shared" si="182"/>
        <v>-0.10225837623924371</v>
      </c>
      <c r="AZ104" s="4438">
        <f t="shared" si="183"/>
        <v>-0.10225837623924371</v>
      </c>
      <c r="BA104" s="4438">
        <f t="shared" si="184"/>
        <v>-0.10225837623924371</v>
      </c>
      <c r="BB104" s="4438">
        <f t="shared" si="185"/>
        <v>-0.10225837623924371</v>
      </c>
      <c r="BC104" s="4438">
        <f t="shared" si="186"/>
        <v>0</v>
      </c>
      <c r="BD104" s="4438">
        <f t="shared" si="187"/>
        <v>0</v>
      </c>
      <c r="BE104" s="4438">
        <f t="shared" si="188"/>
        <v>0</v>
      </c>
      <c r="BF104" s="4438">
        <f t="shared" si="189"/>
        <v>0</v>
      </c>
      <c r="BG104" s="4438">
        <f t="shared" si="190"/>
        <v>0</v>
      </c>
      <c r="BH104" s="4438">
        <f t="shared" si="191"/>
        <v>0</v>
      </c>
      <c r="BI104" s="4438">
        <f t="shared" si="192"/>
        <v>0</v>
      </c>
      <c r="BJ104" s="4438">
        <f t="shared" si="193"/>
        <v>0</v>
      </c>
      <c r="BK104" s="4438">
        <f t="shared" si="194"/>
        <v>0</v>
      </c>
      <c r="BL104" s="4438">
        <f t="shared" si="195"/>
        <v>0</v>
      </c>
      <c r="BM104" s="4438">
        <f t="shared" si="196"/>
        <v>0</v>
      </c>
      <c r="BN104" s="4438">
        <f t="shared" si="197"/>
        <v>0</v>
      </c>
      <c r="BO104" s="4438">
        <f t="shared" si="198"/>
        <v>0</v>
      </c>
      <c r="BP104" s="4438">
        <f t="shared" si="199"/>
        <v>0</v>
      </c>
      <c r="BQ104" s="4438">
        <f t="shared" si="200"/>
        <v>0</v>
      </c>
      <c r="BR104" s="4438">
        <f t="shared" si="201"/>
        <v>0</v>
      </c>
      <c r="BS104" s="4438">
        <f t="shared" si="202"/>
        <v>0</v>
      </c>
      <c r="BT104" s="4438">
        <f t="shared" si="203"/>
        <v>0</v>
      </c>
      <c r="BU104" s="4438">
        <f t="shared" si="204"/>
        <v>0</v>
      </c>
      <c r="BV104" s="4438">
        <f t="shared" si="205"/>
        <v>0</v>
      </c>
      <c r="BW104" s="4438">
        <f t="shared" si="206"/>
        <v>0</v>
      </c>
      <c r="BX104" s="4438">
        <f t="shared" si="207"/>
        <v>0</v>
      </c>
      <c r="BY104" s="4438">
        <f t="shared" si="208"/>
        <v>0</v>
      </c>
      <c r="BZ104" s="4438">
        <f t="shared" si="209"/>
        <v>0</v>
      </c>
      <c r="CA104" s="4438">
        <f t="shared" si="210"/>
        <v>0</v>
      </c>
      <c r="CB104" s="4438">
        <f t="shared" si="211"/>
        <v>0</v>
      </c>
      <c r="CC104" s="4438">
        <f t="shared" si="212"/>
        <v>0</v>
      </c>
      <c r="CD104" s="4438">
        <f t="shared" si="213"/>
        <v>0</v>
      </c>
    </row>
    <row r="105" spans="1:82" s="40" customFormat="1">
      <c r="A105" s="2881">
        <v>9</v>
      </c>
      <c r="B105" s="2882">
        <v>212</v>
      </c>
      <c r="C105" s="2883">
        <v>0.2</v>
      </c>
      <c r="D105" s="2942" t="s">
        <v>214</v>
      </c>
      <c r="E105" s="4387">
        <f t="shared" si="265"/>
        <v>0.4</v>
      </c>
      <c r="F105" s="2936">
        <f t="shared" si="266"/>
        <v>-0.40000000000000013</v>
      </c>
      <c r="G105" s="2937">
        <f t="shared" si="267"/>
        <v>-1.6000000000000003</v>
      </c>
      <c r="H105" s="2937">
        <f t="shared" si="267"/>
        <v>-1.6000000000000003</v>
      </c>
      <c r="I105" s="2937">
        <f t="shared" si="267"/>
        <v>-1.6000000000000003</v>
      </c>
      <c r="J105" s="2937">
        <f t="shared" si="267"/>
        <v>-3.6000000000000005</v>
      </c>
      <c r="K105" s="2938">
        <f t="shared" si="267"/>
        <v>-3.6000000000000005</v>
      </c>
      <c r="L105" s="4387">
        <f t="shared" si="268"/>
        <v>0.30000000000000004</v>
      </c>
      <c r="M105" s="2939">
        <f t="shared" si="269"/>
        <v>0.60000000000000009</v>
      </c>
      <c r="N105" s="2937">
        <f t="shared" si="270"/>
        <v>0.60000000000000009</v>
      </c>
      <c r="O105" s="2937">
        <f t="shared" si="270"/>
        <v>0.60000000000000009</v>
      </c>
      <c r="P105" s="2937">
        <f t="shared" si="270"/>
        <v>0.60000000000000009</v>
      </c>
      <c r="Q105" s="2937">
        <f t="shared" si="270"/>
        <v>0.60000000000000009</v>
      </c>
      <c r="R105" s="2940">
        <f t="shared" si="270"/>
        <v>0.60000000000000009</v>
      </c>
      <c r="S105" s="4387">
        <f t="shared" si="271"/>
        <v>0.60000000000000009</v>
      </c>
      <c r="T105" s="2941">
        <f t="shared" si="272"/>
        <v>1.2000000000000002</v>
      </c>
      <c r="U105" s="2937">
        <f t="shared" si="273"/>
        <v>1.2000000000000002</v>
      </c>
      <c r="V105" s="2937">
        <f t="shared" si="273"/>
        <v>1.2000000000000002</v>
      </c>
      <c r="W105" s="2937">
        <f t="shared" si="273"/>
        <v>1.2000000000000002</v>
      </c>
      <c r="X105" s="2937">
        <f t="shared" si="273"/>
        <v>1.2000000000000002</v>
      </c>
      <c r="Y105" s="2940">
        <f t="shared" si="273"/>
        <v>1.2000000000000002</v>
      </c>
      <c r="Z105" s="4387">
        <f t="shared" si="274"/>
        <v>0</v>
      </c>
      <c r="AA105" s="2941">
        <f t="shared" si="243"/>
        <v>0</v>
      </c>
      <c r="AB105" s="2937">
        <f t="shared" si="275"/>
        <v>0</v>
      </c>
      <c r="AC105" s="2937">
        <f t="shared" si="275"/>
        <v>0</v>
      </c>
      <c r="AD105" s="2937">
        <f t="shared" si="275"/>
        <v>0</v>
      </c>
      <c r="AE105" s="2937">
        <f t="shared" si="275"/>
        <v>0</v>
      </c>
      <c r="AF105" s="2940">
        <f t="shared" si="275"/>
        <v>0</v>
      </c>
      <c r="AG105" s="4387">
        <f t="shared" si="276"/>
        <v>0</v>
      </c>
      <c r="AH105" s="2941">
        <f t="shared" si="277"/>
        <v>0</v>
      </c>
      <c r="AI105" s="2937">
        <f t="shared" si="278"/>
        <v>0</v>
      </c>
      <c r="AJ105" s="2937">
        <f t="shared" si="278"/>
        <v>0</v>
      </c>
      <c r="AK105" s="2937">
        <f t="shared" si="278"/>
        <v>0</v>
      </c>
      <c r="AL105" s="2937">
        <f t="shared" si="278"/>
        <v>0</v>
      </c>
      <c r="AM105" s="2940">
        <f t="shared" si="278"/>
        <v>0</v>
      </c>
      <c r="AN105" s="4066"/>
      <c r="AO105" s="2988"/>
      <c r="AP105" s="2989"/>
      <c r="AQ105" s="2989"/>
      <c r="AR105" s="2989"/>
      <c r="AS105" s="2989"/>
      <c r="AT105" s="2990"/>
      <c r="AU105" s="4422"/>
      <c r="AV105" s="4438">
        <f t="shared" si="179"/>
        <v>0.20451675247848741</v>
      </c>
      <c r="AW105" s="4438">
        <f t="shared" si="180"/>
        <v>-0.20451675247848747</v>
      </c>
      <c r="AX105" s="4438">
        <f t="shared" si="181"/>
        <v>-0.81806700991394976</v>
      </c>
      <c r="AY105" s="4438">
        <f t="shared" si="182"/>
        <v>-0.81806700991394976</v>
      </c>
      <c r="AZ105" s="4438">
        <f t="shared" si="183"/>
        <v>-0.81806700991394976</v>
      </c>
      <c r="BA105" s="4438">
        <f t="shared" si="184"/>
        <v>-1.840650772306387</v>
      </c>
      <c r="BB105" s="4438">
        <f t="shared" si="185"/>
        <v>-1.840650772306387</v>
      </c>
      <c r="BC105" s="4438">
        <f t="shared" si="186"/>
        <v>0.15338756435886558</v>
      </c>
      <c r="BD105" s="4438">
        <f t="shared" si="187"/>
        <v>0.30677512871773116</v>
      </c>
      <c r="BE105" s="4438">
        <f t="shared" si="188"/>
        <v>0.30677512871773116</v>
      </c>
      <c r="BF105" s="4438">
        <f t="shared" si="189"/>
        <v>0.30677512871773116</v>
      </c>
      <c r="BG105" s="4438">
        <f t="shared" si="190"/>
        <v>0.30677512871773116</v>
      </c>
      <c r="BH105" s="4438">
        <f t="shared" si="191"/>
        <v>0.30677512871773116</v>
      </c>
      <c r="BI105" s="4438">
        <f t="shared" si="192"/>
        <v>0.30677512871773116</v>
      </c>
      <c r="BJ105" s="4438">
        <f t="shared" si="193"/>
        <v>0.30677512871773116</v>
      </c>
      <c r="BK105" s="4438">
        <f t="shared" si="194"/>
        <v>0.61355025743546232</v>
      </c>
      <c r="BL105" s="4438">
        <f t="shared" si="195"/>
        <v>0.61355025743546232</v>
      </c>
      <c r="BM105" s="4438">
        <f t="shared" si="196"/>
        <v>0.61355025743546232</v>
      </c>
      <c r="BN105" s="4438">
        <f t="shared" si="197"/>
        <v>0.61355025743546232</v>
      </c>
      <c r="BO105" s="4438">
        <f t="shared" si="198"/>
        <v>0.61355025743546232</v>
      </c>
      <c r="BP105" s="4438">
        <f t="shared" si="199"/>
        <v>0.61355025743546232</v>
      </c>
      <c r="BQ105" s="4438">
        <f t="shared" si="200"/>
        <v>0</v>
      </c>
      <c r="BR105" s="4438">
        <f t="shared" si="201"/>
        <v>0</v>
      </c>
      <c r="BS105" s="4438">
        <f t="shared" si="202"/>
        <v>0</v>
      </c>
      <c r="BT105" s="4438">
        <f t="shared" si="203"/>
        <v>0</v>
      </c>
      <c r="BU105" s="4438">
        <f t="shared" si="204"/>
        <v>0</v>
      </c>
      <c r="BV105" s="4438">
        <f t="shared" si="205"/>
        <v>0</v>
      </c>
      <c r="BW105" s="4438">
        <f t="shared" si="206"/>
        <v>0</v>
      </c>
      <c r="BX105" s="4438">
        <f t="shared" si="207"/>
        <v>0</v>
      </c>
      <c r="BY105" s="4438">
        <f t="shared" si="208"/>
        <v>0</v>
      </c>
      <c r="BZ105" s="4438">
        <f t="shared" si="209"/>
        <v>0</v>
      </c>
      <c r="CA105" s="4438">
        <f t="shared" si="210"/>
        <v>0</v>
      </c>
      <c r="CB105" s="4438">
        <f t="shared" si="211"/>
        <v>0</v>
      </c>
      <c r="CC105" s="4438">
        <f t="shared" si="212"/>
        <v>0</v>
      </c>
      <c r="CD105" s="4438">
        <f t="shared" si="213"/>
        <v>0</v>
      </c>
    </row>
    <row r="106" spans="1:82" s="40" customFormat="1">
      <c r="A106" s="2881">
        <v>10</v>
      </c>
      <c r="B106" s="2882">
        <v>213</v>
      </c>
      <c r="C106" s="2883">
        <v>0.2</v>
      </c>
      <c r="D106" s="2927" t="s">
        <v>215</v>
      </c>
      <c r="E106" s="4387">
        <f t="shared" si="265"/>
        <v>0</v>
      </c>
      <c r="F106" s="2936">
        <f t="shared" si="266"/>
        <v>0</v>
      </c>
      <c r="G106" s="2937">
        <f t="shared" si="267"/>
        <v>0</v>
      </c>
      <c r="H106" s="2937">
        <f t="shared" si="267"/>
        <v>0</v>
      </c>
      <c r="I106" s="2937">
        <f t="shared" si="267"/>
        <v>0</v>
      </c>
      <c r="J106" s="2937">
        <f t="shared" si="267"/>
        <v>0</v>
      </c>
      <c r="K106" s="2938">
        <f t="shared" si="267"/>
        <v>0</v>
      </c>
      <c r="L106" s="4387">
        <f t="shared" si="268"/>
        <v>0</v>
      </c>
      <c r="M106" s="2939">
        <f t="shared" si="269"/>
        <v>0</v>
      </c>
      <c r="N106" s="2937">
        <f t="shared" si="270"/>
        <v>0</v>
      </c>
      <c r="O106" s="2937">
        <f t="shared" si="270"/>
        <v>0</v>
      </c>
      <c r="P106" s="2937">
        <f t="shared" si="270"/>
        <v>0</v>
      </c>
      <c r="Q106" s="2937">
        <f t="shared" si="270"/>
        <v>0</v>
      </c>
      <c r="R106" s="2940">
        <f t="shared" si="270"/>
        <v>0</v>
      </c>
      <c r="S106" s="4387">
        <f t="shared" si="271"/>
        <v>0</v>
      </c>
      <c r="T106" s="2941">
        <f t="shared" si="272"/>
        <v>0</v>
      </c>
      <c r="U106" s="2937">
        <f t="shared" si="273"/>
        <v>0</v>
      </c>
      <c r="V106" s="2937">
        <f t="shared" si="273"/>
        <v>0</v>
      </c>
      <c r="W106" s="2937">
        <f t="shared" si="273"/>
        <v>0</v>
      </c>
      <c r="X106" s="2937">
        <f t="shared" si="273"/>
        <v>0</v>
      </c>
      <c r="Y106" s="2940">
        <f t="shared" si="273"/>
        <v>0</v>
      </c>
      <c r="Z106" s="4387">
        <f t="shared" si="274"/>
        <v>0</v>
      </c>
      <c r="AA106" s="2941">
        <f t="shared" si="243"/>
        <v>0</v>
      </c>
      <c r="AB106" s="2937">
        <f t="shared" si="275"/>
        <v>0</v>
      </c>
      <c r="AC106" s="2937">
        <f t="shared" si="275"/>
        <v>0</v>
      </c>
      <c r="AD106" s="2937">
        <f t="shared" si="275"/>
        <v>0</v>
      </c>
      <c r="AE106" s="2937">
        <f t="shared" si="275"/>
        <v>0</v>
      </c>
      <c r="AF106" s="2940">
        <f t="shared" si="275"/>
        <v>0</v>
      </c>
      <c r="AG106" s="4387">
        <f t="shared" si="276"/>
        <v>0</v>
      </c>
      <c r="AH106" s="2941">
        <f t="shared" si="277"/>
        <v>0</v>
      </c>
      <c r="AI106" s="2937">
        <f t="shared" si="278"/>
        <v>0</v>
      </c>
      <c r="AJ106" s="2937">
        <f t="shared" si="278"/>
        <v>0</v>
      </c>
      <c r="AK106" s="2937">
        <f t="shared" si="278"/>
        <v>0</v>
      </c>
      <c r="AL106" s="2937">
        <f t="shared" si="278"/>
        <v>0</v>
      </c>
      <c r="AM106" s="2940">
        <f t="shared" si="278"/>
        <v>0</v>
      </c>
      <c r="AN106" s="4066"/>
      <c r="AO106" s="2988"/>
      <c r="AP106" s="2989"/>
      <c r="AQ106" s="2989"/>
      <c r="AR106" s="2989"/>
      <c r="AS106" s="2989"/>
      <c r="AT106" s="2990"/>
      <c r="AU106" s="4422"/>
      <c r="AV106" s="4438">
        <f t="shared" si="179"/>
        <v>0</v>
      </c>
      <c r="AW106" s="4438">
        <f t="shared" si="180"/>
        <v>0</v>
      </c>
      <c r="AX106" s="4438">
        <f t="shared" si="181"/>
        <v>0</v>
      </c>
      <c r="AY106" s="4438">
        <f t="shared" si="182"/>
        <v>0</v>
      </c>
      <c r="AZ106" s="4438">
        <f t="shared" si="183"/>
        <v>0</v>
      </c>
      <c r="BA106" s="4438">
        <f t="shared" si="184"/>
        <v>0</v>
      </c>
      <c r="BB106" s="4438">
        <f t="shared" si="185"/>
        <v>0</v>
      </c>
      <c r="BC106" s="4438">
        <f t="shared" si="186"/>
        <v>0</v>
      </c>
      <c r="BD106" s="4438">
        <f t="shared" si="187"/>
        <v>0</v>
      </c>
      <c r="BE106" s="4438">
        <f t="shared" si="188"/>
        <v>0</v>
      </c>
      <c r="BF106" s="4438">
        <f t="shared" si="189"/>
        <v>0</v>
      </c>
      <c r="BG106" s="4438">
        <f t="shared" si="190"/>
        <v>0</v>
      </c>
      <c r="BH106" s="4438">
        <f t="shared" si="191"/>
        <v>0</v>
      </c>
      <c r="BI106" s="4438">
        <f t="shared" si="192"/>
        <v>0</v>
      </c>
      <c r="BJ106" s="4438">
        <f t="shared" si="193"/>
        <v>0</v>
      </c>
      <c r="BK106" s="4438">
        <f t="shared" si="194"/>
        <v>0</v>
      </c>
      <c r="BL106" s="4438">
        <f t="shared" si="195"/>
        <v>0</v>
      </c>
      <c r="BM106" s="4438">
        <f t="shared" si="196"/>
        <v>0</v>
      </c>
      <c r="BN106" s="4438">
        <f t="shared" si="197"/>
        <v>0</v>
      </c>
      <c r="BO106" s="4438">
        <f t="shared" si="198"/>
        <v>0</v>
      </c>
      <c r="BP106" s="4438">
        <f t="shared" si="199"/>
        <v>0</v>
      </c>
      <c r="BQ106" s="4438">
        <f t="shared" si="200"/>
        <v>0</v>
      </c>
      <c r="BR106" s="4438">
        <f t="shared" si="201"/>
        <v>0</v>
      </c>
      <c r="BS106" s="4438">
        <f t="shared" si="202"/>
        <v>0</v>
      </c>
      <c r="BT106" s="4438">
        <f t="shared" si="203"/>
        <v>0</v>
      </c>
      <c r="BU106" s="4438">
        <f t="shared" si="204"/>
        <v>0</v>
      </c>
      <c r="BV106" s="4438">
        <f t="shared" si="205"/>
        <v>0</v>
      </c>
      <c r="BW106" s="4438">
        <f t="shared" si="206"/>
        <v>0</v>
      </c>
      <c r="BX106" s="4438">
        <f t="shared" si="207"/>
        <v>0</v>
      </c>
      <c r="BY106" s="4438">
        <f t="shared" si="208"/>
        <v>0</v>
      </c>
      <c r="BZ106" s="4438">
        <f t="shared" si="209"/>
        <v>0</v>
      </c>
      <c r="CA106" s="4438">
        <f t="shared" si="210"/>
        <v>0</v>
      </c>
      <c r="CB106" s="4438">
        <f t="shared" si="211"/>
        <v>0</v>
      </c>
      <c r="CC106" s="4438">
        <f t="shared" si="212"/>
        <v>0</v>
      </c>
      <c r="CD106" s="4438">
        <f t="shared" si="213"/>
        <v>0</v>
      </c>
    </row>
    <row r="107" spans="1:82" s="40" customFormat="1" ht="25.5">
      <c r="A107" s="2943">
        <v>11</v>
      </c>
      <c r="B107" s="2882">
        <v>215</v>
      </c>
      <c r="C107" s="2883">
        <v>0.2</v>
      </c>
      <c r="D107" s="2927" t="s">
        <v>679</v>
      </c>
      <c r="E107" s="4387">
        <f t="shared" si="265"/>
        <v>0</v>
      </c>
      <c r="F107" s="2936">
        <f t="shared" si="266"/>
        <v>0</v>
      </c>
      <c r="G107" s="2937">
        <f t="shared" si="267"/>
        <v>0</v>
      </c>
      <c r="H107" s="2937">
        <f t="shared" si="267"/>
        <v>0</v>
      </c>
      <c r="I107" s="2937">
        <f t="shared" si="267"/>
        <v>0</v>
      </c>
      <c r="J107" s="2937">
        <f t="shared" si="267"/>
        <v>0</v>
      </c>
      <c r="K107" s="2938">
        <f t="shared" si="267"/>
        <v>0</v>
      </c>
      <c r="L107" s="4387">
        <f t="shared" si="268"/>
        <v>0</v>
      </c>
      <c r="M107" s="2939">
        <f t="shared" si="269"/>
        <v>0</v>
      </c>
      <c r="N107" s="2937">
        <f t="shared" si="270"/>
        <v>0</v>
      </c>
      <c r="O107" s="2937">
        <f t="shared" si="270"/>
        <v>0</v>
      </c>
      <c r="P107" s="2937">
        <f t="shared" si="270"/>
        <v>0</v>
      </c>
      <c r="Q107" s="2937">
        <f t="shared" si="270"/>
        <v>0</v>
      </c>
      <c r="R107" s="2940">
        <f t="shared" si="270"/>
        <v>0</v>
      </c>
      <c r="S107" s="4387">
        <f t="shared" si="271"/>
        <v>0</v>
      </c>
      <c r="T107" s="2941">
        <f t="shared" si="272"/>
        <v>0</v>
      </c>
      <c r="U107" s="2937">
        <f t="shared" si="273"/>
        <v>0</v>
      </c>
      <c r="V107" s="2937">
        <f t="shared" si="273"/>
        <v>0</v>
      </c>
      <c r="W107" s="2937">
        <f t="shared" si="273"/>
        <v>0</v>
      </c>
      <c r="X107" s="2937">
        <f t="shared" si="273"/>
        <v>0</v>
      </c>
      <c r="Y107" s="2940">
        <f t="shared" si="273"/>
        <v>0</v>
      </c>
      <c r="Z107" s="4387">
        <f t="shared" si="274"/>
        <v>0</v>
      </c>
      <c r="AA107" s="2941">
        <f t="shared" si="243"/>
        <v>0</v>
      </c>
      <c r="AB107" s="2937">
        <f t="shared" si="275"/>
        <v>0</v>
      </c>
      <c r="AC107" s="2937">
        <f t="shared" si="275"/>
        <v>0</v>
      </c>
      <c r="AD107" s="2937">
        <f t="shared" si="275"/>
        <v>0</v>
      </c>
      <c r="AE107" s="2937">
        <f t="shared" si="275"/>
        <v>0</v>
      </c>
      <c r="AF107" s="2940">
        <f t="shared" si="275"/>
        <v>0</v>
      </c>
      <c r="AG107" s="4387">
        <f t="shared" si="276"/>
        <v>0</v>
      </c>
      <c r="AH107" s="2941">
        <f t="shared" si="277"/>
        <v>0</v>
      </c>
      <c r="AI107" s="2937">
        <f t="shared" si="278"/>
        <v>0</v>
      </c>
      <c r="AJ107" s="2937">
        <f t="shared" si="278"/>
        <v>0</v>
      </c>
      <c r="AK107" s="2937">
        <f t="shared" si="278"/>
        <v>0</v>
      </c>
      <c r="AL107" s="2937">
        <f t="shared" si="278"/>
        <v>0</v>
      </c>
      <c r="AM107" s="2940">
        <f t="shared" si="278"/>
        <v>0</v>
      </c>
      <c r="AN107" s="4066"/>
      <c r="AO107" s="2988"/>
      <c r="AP107" s="2989"/>
      <c r="AQ107" s="2989"/>
      <c r="AR107" s="2989"/>
      <c r="AS107" s="2989"/>
      <c r="AT107" s="2990"/>
      <c r="AU107" s="4422"/>
      <c r="AV107" s="4438">
        <f t="shared" si="179"/>
        <v>0</v>
      </c>
      <c r="AW107" s="4438">
        <f t="shared" si="180"/>
        <v>0</v>
      </c>
      <c r="AX107" s="4438">
        <f t="shared" si="181"/>
        <v>0</v>
      </c>
      <c r="AY107" s="4438">
        <f t="shared" si="182"/>
        <v>0</v>
      </c>
      <c r="AZ107" s="4438">
        <f t="shared" si="183"/>
        <v>0</v>
      </c>
      <c r="BA107" s="4438">
        <f t="shared" si="184"/>
        <v>0</v>
      </c>
      <c r="BB107" s="4438">
        <f t="shared" si="185"/>
        <v>0</v>
      </c>
      <c r="BC107" s="4438">
        <f t="shared" si="186"/>
        <v>0</v>
      </c>
      <c r="BD107" s="4438">
        <f t="shared" si="187"/>
        <v>0</v>
      </c>
      <c r="BE107" s="4438">
        <f t="shared" si="188"/>
        <v>0</v>
      </c>
      <c r="BF107" s="4438">
        <f t="shared" si="189"/>
        <v>0</v>
      </c>
      <c r="BG107" s="4438">
        <f t="shared" si="190"/>
        <v>0</v>
      </c>
      <c r="BH107" s="4438">
        <f t="shared" si="191"/>
        <v>0</v>
      </c>
      <c r="BI107" s="4438">
        <f t="shared" si="192"/>
        <v>0</v>
      </c>
      <c r="BJ107" s="4438">
        <f t="shared" si="193"/>
        <v>0</v>
      </c>
      <c r="BK107" s="4438">
        <f t="shared" si="194"/>
        <v>0</v>
      </c>
      <c r="BL107" s="4438">
        <f t="shared" si="195"/>
        <v>0</v>
      </c>
      <c r="BM107" s="4438">
        <f t="shared" si="196"/>
        <v>0</v>
      </c>
      <c r="BN107" s="4438">
        <f t="shared" si="197"/>
        <v>0</v>
      </c>
      <c r="BO107" s="4438">
        <f t="shared" si="198"/>
        <v>0</v>
      </c>
      <c r="BP107" s="4438">
        <f t="shared" si="199"/>
        <v>0</v>
      </c>
      <c r="BQ107" s="4438">
        <f t="shared" si="200"/>
        <v>0</v>
      </c>
      <c r="BR107" s="4438">
        <f t="shared" si="201"/>
        <v>0</v>
      </c>
      <c r="BS107" s="4438">
        <f t="shared" si="202"/>
        <v>0</v>
      </c>
      <c r="BT107" s="4438">
        <f t="shared" si="203"/>
        <v>0</v>
      </c>
      <c r="BU107" s="4438">
        <f t="shared" si="204"/>
        <v>0</v>
      </c>
      <c r="BV107" s="4438">
        <f t="shared" si="205"/>
        <v>0</v>
      </c>
      <c r="BW107" s="4438">
        <f t="shared" si="206"/>
        <v>0</v>
      </c>
      <c r="BX107" s="4438">
        <f t="shared" si="207"/>
        <v>0</v>
      </c>
      <c r="BY107" s="4438">
        <f t="shared" si="208"/>
        <v>0</v>
      </c>
      <c r="BZ107" s="4438">
        <f t="shared" si="209"/>
        <v>0</v>
      </c>
      <c r="CA107" s="4438">
        <f t="shared" si="210"/>
        <v>0</v>
      </c>
      <c r="CB107" s="4438">
        <f t="shared" si="211"/>
        <v>0</v>
      </c>
      <c r="CC107" s="4438">
        <f t="shared" si="212"/>
        <v>0</v>
      </c>
      <c r="CD107" s="4438">
        <f t="shared" si="213"/>
        <v>0</v>
      </c>
    </row>
    <row r="108" spans="1:82" s="40" customFormat="1" ht="13.5" thickBot="1">
      <c r="A108" s="2885">
        <v>12</v>
      </c>
      <c r="B108" s="2885">
        <v>219</v>
      </c>
      <c r="C108" s="2886">
        <v>0.1</v>
      </c>
      <c r="D108" s="2944" t="s">
        <v>216</v>
      </c>
      <c r="E108" s="4388">
        <f t="shared" si="265"/>
        <v>0</v>
      </c>
      <c r="F108" s="2945">
        <f t="shared" si="266"/>
        <v>0</v>
      </c>
      <c r="G108" s="2946">
        <f t="shared" si="267"/>
        <v>0</v>
      </c>
      <c r="H108" s="2946">
        <f t="shared" si="267"/>
        <v>0</v>
      </c>
      <c r="I108" s="2946">
        <f t="shared" si="267"/>
        <v>0</v>
      </c>
      <c r="J108" s="2946">
        <f t="shared" si="267"/>
        <v>0</v>
      </c>
      <c r="K108" s="2947">
        <f t="shared" si="267"/>
        <v>0</v>
      </c>
      <c r="L108" s="4388">
        <f t="shared" si="268"/>
        <v>0</v>
      </c>
      <c r="M108" s="2948">
        <f t="shared" si="269"/>
        <v>0</v>
      </c>
      <c r="N108" s="2946">
        <f t="shared" si="270"/>
        <v>0</v>
      </c>
      <c r="O108" s="2946">
        <f t="shared" si="270"/>
        <v>0</v>
      </c>
      <c r="P108" s="2946">
        <f t="shared" si="270"/>
        <v>0</v>
      </c>
      <c r="Q108" s="2946">
        <f t="shared" si="270"/>
        <v>0</v>
      </c>
      <c r="R108" s="2949">
        <f t="shared" si="270"/>
        <v>0</v>
      </c>
      <c r="S108" s="4388">
        <f t="shared" si="271"/>
        <v>0</v>
      </c>
      <c r="T108" s="2950">
        <f t="shared" si="272"/>
        <v>0</v>
      </c>
      <c r="U108" s="2946">
        <f t="shared" si="273"/>
        <v>0</v>
      </c>
      <c r="V108" s="2946">
        <f t="shared" si="273"/>
        <v>0</v>
      </c>
      <c r="W108" s="2946">
        <f t="shared" si="273"/>
        <v>0</v>
      </c>
      <c r="X108" s="2946">
        <f t="shared" si="273"/>
        <v>0</v>
      </c>
      <c r="Y108" s="2949">
        <f t="shared" si="273"/>
        <v>0</v>
      </c>
      <c r="Z108" s="4388">
        <f t="shared" si="274"/>
        <v>0</v>
      </c>
      <c r="AA108" s="2950">
        <f t="shared" si="243"/>
        <v>0</v>
      </c>
      <c r="AB108" s="2946">
        <f t="shared" si="275"/>
        <v>0</v>
      </c>
      <c r="AC108" s="2946">
        <f t="shared" si="275"/>
        <v>0</v>
      </c>
      <c r="AD108" s="2946">
        <f t="shared" si="275"/>
        <v>0</v>
      </c>
      <c r="AE108" s="2946">
        <f t="shared" si="275"/>
        <v>0</v>
      </c>
      <c r="AF108" s="2949">
        <f t="shared" si="275"/>
        <v>0</v>
      </c>
      <c r="AG108" s="4388">
        <f>+AG59*$C108/2</f>
        <v>0</v>
      </c>
      <c r="AH108" s="2950">
        <f t="shared" si="277"/>
        <v>0</v>
      </c>
      <c r="AI108" s="2946">
        <f t="shared" si="278"/>
        <v>0</v>
      </c>
      <c r="AJ108" s="2946">
        <f t="shared" si="278"/>
        <v>0</v>
      </c>
      <c r="AK108" s="2946">
        <f t="shared" si="278"/>
        <v>0</v>
      </c>
      <c r="AL108" s="2946">
        <f t="shared" si="278"/>
        <v>0</v>
      </c>
      <c r="AM108" s="2949">
        <f t="shared" si="278"/>
        <v>0</v>
      </c>
      <c r="AN108" s="4070"/>
      <c r="AO108" s="2991"/>
      <c r="AP108" s="2992"/>
      <c r="AQ108" s="2992"/>
      <c r="AR108" s="2992"/>
      <c r="AS108" s="2992"/>
      <c r="AT108" s="2993"/>
      <c r="AU108" s="4422"/>
      <c r="AV108" s="4438">
        <f t="shared" si="179"/>
        <v>0</v>
      </c>
      <c r="AW108" s="4438">
        <f t="shared" si="180"/>
        <v>0</v>
      </c>
      <c r="AX108" s="4438">
        <f t="shared" si="181"/>
        <v>0</v>
      </c>
      <c r="AY108" s="4438">
        <f t="shared" si="182"/>
        <v>0</v>
      </c>
      <c r="AZ108" s="4438">
        <f t="shared" si="183"/>
        <v>0</v>
      </c>
      <c r="BA108" s="4438">
        <f t="shared" si="184"/>
        <v>0</v>
      </c>
      <c r="BB108" s="4438">
        <f t="shared" si="185"/>
        <v>0</v>
      </c>
      <c r="BC108" s="4438">
        <f t="shared" si="186"/>
        <v>0</v>
      </c>
      <c r="BD108" s="4438">
        <f t="shared" si="187"/>
        <v>0</v>
      </c>
      <c r="BE108" s="4438">
        <f t="shared" si="188"/>
        <v>0</v>
      </c>
      <c r="BF108" s="4438">
        <f t="shared" si="189"/>
        <v>0</v>
      </c>
      <c r="BG108" s="4438">
        <f t="shared" si="190"/>
        <v>0</v>
      </c>
      <c r="BH108" s="4438">
        <f t="shared" si="191"/>
        <v>0</v>
      </c>
      <c r="BI108" s="4438">
        <f t="shared" si="192"/>
        <v>0</v>
      </c>
      <c r="BJ108" s="4438">
        <f t="shared" si="193"/>
        <v>0</v>
      </c>
      <c r="BK108" s="4438">
        <f t="shared" si="194"/>
        <v>0</v>
      </c>
      <c r="BL108" s="4438">
        <f t="shared" si="195"/>
        <v>0</v>
      </c>
      <c r="BM108" s="4438">
        <f t="shared" si="196"/>
        <v>0</v>
      </c>
      <c r="BN108" s="4438">
        <f t="shared" si="197"/>
        <v>0</v>
      </c>
      <c r="BO108" s="4438">
        <f t="shared" si="198"/>
        <v>0</v>
      </c>
      <c r="BP108" s="4438">
        <f t="shared" si="199"/>
        <v>0</v>
      </c>
      <c r="BQ108" s="4438">
        <f t="shared" si="200"/>
        <v>0</v>
      </c>
      <c r="BR108" s="4438">
        <f t="shared" si="201"/>
        <v>0</v>
      </c>
      <c r="BS108" s="4438">
        <f t="shared" si="202"/>
        <v>0</v>
      </c>
      <c r="BT108" s="4438">
        <f t="shared" si="203"/>
        <v>0</v>
      </c>
      <c r="BU108" s="4438">
        <f t="shared" si="204"/>
        <v>0</v>
      </c>
      <c r="BV108" s="4438">
        <f t="shared" si="205"/>
        <v>0</v>
      </c>
      <c r="BW108" s="4438">
        <f t="shared" si="206"/>
        <v>0</v>
      </c>
      <c r="BX108" s="4438">
        <f t="shared" si="207"/>
        <v>0</v>
      </c>
      <c r="BY108" s="4438">
        <f t="shared" si="208"/>
        <v>0</v>
      </c>
      <c r="BZ108" s="4438">
        <f t="shared" si="209"/>
        <v>0</v>
      </c>
      <c r="CA108" s="4438">
        <f t="shared" si="210"/>
        <v>0</v>
      </c>
      <c r="CB108" s="4438">
        <f t="shared" si="211"/>
        <v>0</v>
      </c>
      <c r="CC108" s="4438">
        <f t="shared" si="212"/>
        <v>0</v>
      </c>
      <c r="CD108" s="4438">
        <f t="shared" si="213"/>
        <v>0</v>
      </c>
    </row>
    <row r="109" spans="1:82" s="40" customFormat="1" ht="40.5" customHeight="1" thickBot="1">
      <c r="A109" s="2822" t="s">
        <v>424</v>
      </c>
      <c r="B109" s="2822"/>
      <c r="C109" s="2822"/>
      <c r="D109" s="2951" t="s">
        <v>645</v>
      </c>
      <c r="E109" s="2994"/>
      <c r="F109" s="2995"/>
      <c r="G109" s="2995"/>
      <c r="H109" s="2995"/>
      <c r="I109" s="2995"/>
      <c r="J109" s="2995"/>
      <c r="K109" s="2995"/>
      <c r="L109" s="2994"/>
      <c r="M109" s="2995"/>
      <c r="N109" s="2995"/>
      <c r="O109" s="2995"/>
      <c r="P109" s="2995"/>
      <c r="Q109" s="2995"/>
      <c r="R109" s="2996"/>
      <c r="S109" s="2994"/>
      <c r="T109" s="2995"/>
      <c r="U109" s="2995"/>
      <c r="V109" s="2995"/>
      <c r="W109" s="2995"/>
      <c r="X109" s="2995"/>
      <c r="Y109" s="2996"/>
      <c r="Z109" s="2994"/>
      <c r="AA109" s="2995"/>
      <c r="AB109" s="2995"/>
      <c r="AC109" s="2995"/>
      <c r="AD109" s="2995"/>
      <c r="AE109" s="2995"/>
      <c r="AF109" s="2996"/>
      <c r="AG109" s="2994"/>
      <c r="AH109" s="2995"/>
      <c r="AI109" s="2995"/>
      <c r="AJ109" s="2995"/>
      <c r="AK109" s="2995"/>
      <c r="AL109" s="2995"/>
      <c r="AM109" s="2996"/>
      <c r="AN109" s="2994"/>
      <c r="AO109" s="2995"/>
      <c r="AP109" s="2995"/>
      <c r="AQ109" s="2995"/>
      <c r="AR109" s="2995"/>
      <c r="AS109" s="2995"/>
      <c r="AT109" s="2996"/>
      <c r="AU109" s="4422"/>
    </row>
    <row r="110" spans="1:82" s="40" customFormat="1" ht="19.5" customHeight="1" thickBot="1">
      <c r="A110" s="2825" t="s">
        <v>463</v>
      </c>
      <c r="B110" s="2826"/>
      <c r="C110" s="2826"/>
      <c r="D110" s="2826" t="s">
        <v>1053</v>
      </c>
      <c r="E110" s="2830">
        <f>SUM(E111:E131)</f>
        <v>0</v>
      </c>
      <c r="F110" s="2827">
        <f>SUM(F111:F131)</f>
        <v>0</v>
      </c>
      <c r="G110" s="2828">
        <f t="shared" ref="G110:AT110" si="279">SUM(G111:G131)</f>
        <v>0</v>
      </c>
      <c r="H110" s="2828">
        <f t="shared" si="279"/>
        <v>0</v>
      </c>
      <c r="I110" s="2828">
        <f t="shared" si="279"/>
        <v>0</v>
      </c>
      <c r="J110" s="2828">
        <f t="shared" si="279"/>
        <v>0</v>
      </c>
      <c r="K110" s="2829">
        <f t="shared" si="279"/>
        <v>0</v>
      </c>
      <c r="L110" s="2830">
        <f t="shared" si="279"/>
        <v>0</v>
      </c>
      <c r="M110" s="2827">
        <f t="shared" si="279"/>
        <v>0</v>
      </c>
      <c r="N110" s="2828">
        <f t="shared" si="279"/>
        <v>0</v>
      </c>
      <c r="O110" s="2828">
        <f t="shared" si="279"/>
        <v>0</v>
      </c>
      <c r="P110" s="2828">
        <f t="shared" si="279"/>
        <v>0</v>
      </c>
      <c r="Q110" s="2828">
        <f t="shared" si="279"/>
        <v>0</v>
      </c>
      <c r="R110" s="2831">
        <f t="shared" si="279"/>
        <v>0</v>
      </c>
      <c r="S110" s="2830">
        <f t="shared" si="279"/>
        <v>0</v>
      </c>
      <c r="T110" s="2827">
        <f t="shared" si="279"/>
        <v>0</v>
      </c>
      <c r="U110" s="2828">
        <f t="shared" si="279"/>
        <v>0</v>
      </c>
      <c r="V110" s="2828">
        <f t="shared" si="279"/>
        <v>0</v>
      </c>
      <c r="W110" s="2828">
        <f t="shared" si="279"/>
        <v>0</v>
      </c>
      <c r="X110" s="2828">
        <f t="shared" si="279"/>
        <v>0</v>
      </c>
      <c r="Y110" s="2831">
        <f t="shared" si="279"/>
        <v>0</v>
      </c>
      <c r="Z110" s="2830">
        <f t="shared" si="279"/>
        <v>0</v>
      </c>
      <c r="AA110" s="2827">
        <f t="shared" si="279"/>
        <v>0</v>
      </c>
      <c r="AB110" s="2828">
        <f t="shared" si="279"/>
        <v>0</v>
      </c>
      <c r="AC110" s="2828">
        <f t="shared" si="279"/>
        <v>0</v>
      </c>
      <c r="AD110" s="2828">
        <f t="shared" si="279"/>
        <v>0</v>
      </c>
      <c r="AE110" s="2828">
        <f t="shared" si="279"/>
        <v>0</v>
      </c>
      <c r="AF110" s="2831">
        <f t="shared" si="279"/>
        <v>0</v>
      </c>
      <c r="AG110" s="2830">
        <f t="shared" si="279"/>
        <v>0</v>
      </c>
      <c r="AH110" s="2827">
        <f t="shared" si="279"/>
        <v>0</v>
      </c>
      <c r="AI110" s="2828">
        <f t="shared" si="279"/>
        <v>0</v>
      </c>
      <c r="AJ110" s="2828">
        <f t="shared" si="279"/>
        <v>0</v>
      </c>
      <c r="AK110" s="2828">
        <f t="shared" si="279"/>
        <v>0</v>
      </c>
      <c r="AL110" s="2828">
        <f t="shared" si="279"/>
        <v>0</v>
      </c>
      <c r="AM110" s="2831">
        <f t="shared" si="279"/>
        <v>0</v>
      </c>
      <c r="AN110" s="2830">
        <f t="shared" si="279"/>
        <v>0</v>
      </c>
      <c r="AO110" s="2827">
        <f t="shared" si="279"/>
        <v>0</v>
      </c>
      <c r="AP110" s="2828">
        <f t="shared" si="279"/>
        <v>0</v>
      </c>
      <c r="AQ110" s="2828">
        <f t="shared" si="279"/>
        <v>0</v>
      </c>
      <c r="AR110" s="2828">
        <f t="shared" si="279"/>
        <v>0</v>
      </c>
      <c r="AS110" s="2828">
        <f t="shared" si="279"/>
        <v>0</v>
      </c>
      <c r="AT110" s="2831">
        <f t="shared" si="279"/>
        <v>0</v>
      </c>
      <c r="AU110" s="4422"/>
      <c r="AV110" s="143"/>
      <c r="AW110" s="4438">
        <f>IFERROR(F110/$D$1,0)</f>
        <v>0</v>
      </c>
      <c r="AX110" s="4438">
        <f t="shared" ref="AX110:AX173" si="280">IFERROR(G110/$D$1,0)</f>
        <v>0</v>
      </c>
      <c r="AY110" s="4438">
        <f t="shared" ref="AY110:AY173" si="281">IFERROR(H110/$D$1,0)</f>
        <v>0</v>
      </c>
      <c r="AZ110" s="4438">
        <f t="shared" ref="AZ110:AZ173" si="282">IFERROR(I110/$D$1,0)</f>
        <v>0</v>
      </c>
      <c r="BA110" s="4438">
        <f t="shared" ref="BA110:BA173" si="283">IFERROR(J110/$D$1,0)</f>
        <v>0</v>
      </c>
      <c r="BB110" s="4438">
        <f t="shared" ref="BB110:BB173" si="284">IFERROR(K110/$D$1,0)</f>
        <v>0</v>
      </c>
      <c r="BC110" s="143"/>
      <c r="BD110" s="4438">
        <f t="shared" ref="BD110:BD173" si="285">IFERROR(M110/$D$1,0)</f>
        <v>0</v>
      </c>
      <c r="BE110" s="4438">
        <f t="shared" ref="BE110:BE173" si="286">IFERROR(N110/$D$1,0)</f>
        <v>0</v>
      </c>
      <c r="BF110" s="4438">
        <f t="shared" ref="BF110:BF173" si="287">IFERROR(O110/$D$1,0)</f>
        <v>0</v>
      </c>
      <c r="BG110" s="4438">
        <f t="shared" ref="BG110:BG173" si="288">IFERROR(P110/$D$1,0)</f>
        <v>0</v>
      </c>
      <c r="BH110" s="4438">
        <f t="shared" ref="BH110:BH173" si="289">IFERROR(Q110/$D$1,0)</f>
        <v>0</v>
      </c>
      <c r="BI110" s="4438">
        <f t="shared" ref="BI110:BI173" si="290">IFERROR(R110/$D$1,0)</f>
        <v>0</v>
      </c>
      <c r="BJ110" s="143"/>
      <c r="BK110" s="4438">
        <f t="shared" ref="BK110:BK173" si="291">IFERROR(T110/$D$1,0)</f>
        <v>0</v>
      </c>
      <c r="BL110" s="4438">
        <f t="shared" ref="BL110:BL173" si="292">IFERROR(U110/$D$1,0)</f>
        <v>0</v>
      </c>
      <c r="BM110" s="4438">
        <f t="shared" ref="BM110:BM173" si="293">IFERROR(V110/$D$1,0)</f>
        <v>0</v>
      </c>
      <c r="BN110" s="4438">
        <f t="shared" ref="BN110:BN173" si="294">IFERROR(W110/$D$1,0)</f>
        <v>0</v>
      </c>
      <c r="BO110" s="4438">
        <f t="shared" ref="BO110:BO173" si="295">IFERROR(X110/$D$1,0)</f>
        <v>0</v>
      </c>
      <c r="BP110" s="4438">
        <f t="shared" ref="BP110:BP173" si="296">IFERROR(Y110/$D$1,0)</f>
        <v>0</v>
      </c>
      <c r="BQ110" s="143"/>
      <c r="BR110" s="4438">
        <f t="shared" ref="BR110:BR173" si="297">IFERROR(AA110/$D$1,0)</f>
        <v>0</v>
      </c>
      <c r="BS110" s="4438">
        <f t="shared" ref="BS110:BS173" si="298">IFERROR(AB110/$D$1,0)</f>
        <v>0</v>
      </c>
      <c r="BT110" s="4438">
        <f t="shared" ref="BT110:BT173" si="299">IFERROR(AC110/$D$1,0)</f>
        <v>0</v>
      </c>
      <c r="BU110" s="4438">
        <f t="shared" ref="BU110:BU173" si="300">IFERROR(AD110/$D$1,0)</f>
        <v>0</v>
      </c>
      <c r="BV110" s="4438">
        <f t="shared" ref="BV110:BV173" si="301">IFERROR(AE110/$D$1,0)</f>
        <v>0</v>
      </c>
      <c r="BW110" s="4438">
        <f t="shared" ref="BW110:BW173" si="302">IFERROR(AF110/$D$1,0)</f>
        <v>0</v>
      </c>
      <c r="BX110" s="143"/>
      <c r="BY110" s="4438">
        <f t="shared" ref="BY110:BY173" si="303">IFERROR(AH110/$D$1,0)</f>
        <v>0</v>
      </c>
      <c r="BZ110" s="4438">
        <f t="shared" ref="BZ110:BZ173" si="304">IFERROR(AI110/$D$1,0)</f>
        <v>0</v>
      </c>
      <c r="CA110" s="4438">
        <f t="shared" ref="CA110:CA173" si="305">IFERROR(AJ110/$D$1,0)</f>
        <v>0</v>
      </c>
      <c r="CB110" s="4438">
        <f t="shared" ref="CB110:CB173" si="306">IFERROR(AK110/$D$1,0)</f>
        <v>0</v>
      </c>
      <c r="CC110" s="4438">
        <f t="shared" ref="CC110:CC173" si="307">IFERROR(AL110/$D$1,0)</f>
        <v>0</v>
      </c>
      <c r="CD110" s="4438">
        <f t="shared" ref="CD110:CD173" si="308">IFERROR(AM110/$D$1,0)</f>
        <v>0</v>
      </c>
    </row>
    <row r="111" spans="1:82" s="40" customFormat="1">
      <c r="A111" s="2952">
        <v>1</v>
      </c>
      <c r="B111" s="2953" t="s">
        <v>696</v>
      </c>
      <c r="C111" s="2954">
        <v>0</v>
      </c>
      <c r="D111" s="2546" t="s">
        <v>558</v>
      </c>
      <c r="E111" s="2997"/>
      <c r="F111" s="404"/>
      <c r="G111" s="402"/>
      <c r="H111" s="402"/>
      <c r="I111" s="402"/>
      <c r="J111" s="402"/>
      <c r="K111" s="264"/>
      <c r="L111" s="2997"/>
      <c r="M111" s="404"/>
      <c r="N111" s="402"/>
      <c r="O111" s="402"/>
      <c r="P111" s="402"/>
      <c r="Q111" s="402"/>
      <c r="R111" s="264"/>
      <c r="S111" s="2997"/>
      <c r="T111" s="404"/>
      <c r="U111" s="402"/>
      <c r="V111" s="402"/>
      <c r="W111" s="402"/>
      <c r="X111" s="402"/>
      <c r="Y111" s="403"/>
      <c r="Z111" s="2997"/>
      <c r="AA111" s="404"/>
      <c r="AB111" s="402"/>
      <c r="AC111" s="402"/>
      <c r="AD111" s="402"/>
      <c r="AE111" s="402"/>
      <c r="AF111" s="403"/>
      <c r="AG111" s="2997"/>
      <c r="AH111" s="404"/>
      <c r="AI111" s="402"/>
      <c r="AJ111" s="402"/>
      <c r="AK111" s="402"/>
      <c r="AL111" s="402"/>
      <c r="AM111" s="403"/>
      <c r="AN111" s="2998"/>
      <c r="AO111" s="2999"/>
      <c r="AP111" s="3000"/>
      <c r="AQ111" s="3000"/>
      <c r="AR111" s="3000"/>
      <c r="AS111" s="3000"/>
      <c r="AT111" s="3001"/>
      <c r="AU111" s="4422"/>
      <c r="AV111" s="143"/>
      <c r="AW111" s="4438">
        <f t="shared" ref="AW111:AW173" si="309">IFERROR(F111/$D$1,0)</f>
        <v>0</v>
      </c>
      <c r="AX111" s="4438">
        <f t="shared" si="280"/>
        <v>0</v>
      </c>
      <c r="AY111" s="4438">
        <f t="shared" si="281"/>
        <v>0</v>
      </c>
      <c r="AZ111" s="4438">
        <f t="shared" si="282"/>
        <v>0</v>
      </c>
      <c r="BA111" s="4438">
        <f t="shared" si="283"/>
        <v>0</v>
      </c>
      <c r="BB111" s="4438">
        <f t="shared" si="284"/>
        <v>0</v>
      </c>
      <c r="BC111" s="143"/>
      <c r="BD111" s="4438">
        <f t="shared" si="285"/>
        <v>0</v>
      </c>
      <c r="BE111" s="4438">
        <f t="shared" si="286"/>
        <v>0</v>
      </c>
      <c r="BF111" s="4438">
        <f t="shared" si="287"/>
        <v>0</v>
      </c>
      <c r="BG111" s="4438">
        <f t="shared" si="288"/>
        <v>0</v>
      </c>
      <c r="BH111" s="4438">
        <f t="shared" si="289"/>
        <v>0</v>
      </c>
      <c r="BI111" s="4438">
        <f t="shared" si="290"/>
        <v>0</v>
      </c>
      <c r="BJ111" s="143"/>
      <c r="BK111" s="4438">
        <f t="shared" si="291"/>
        <v>0</v>
      </c>
      <c r="BL111" s="4438">
        <f t="shared" si="292"/>
        <v>0</v>
      </c>
      <c r="BM111" s="4438">
        <f t="shared" si="293"/>
        <v>0</v>
      </c>
      <c r="BN111" s="4438">
        <f t="shared" si="294"/>
        <v>0</v>
      </c>
      <c r="BO111" s="4438">
        <f t="shared" si="295"/>
        <v>0</v>
      </c>
      <c r="BP111" s="4438">
        <f t="shared" si="296"/>
        <v>0</v>
      </c>
      <c r="BQ111" s="143"/>
      <c r="BR111" s="4438">
        <f t="shared" si="297"/>
        <v>0</v>
      </c>
      <c r="BS111" s="4438">
        <f t="shared" si="298"/>
        <v>0</v>
      </c>
      <c r="BT111" s="4438">
        <f t="shared" si="299"/>
        <v>0</v>
      </c>
      <c r="BU111" s="4438">
        <f t="shared" si="300"/>
        <v>0</v>
      </c>
      <c r="BV111" s="4438">
        <f t="shared" si="301"/>
        <v>0</v>
      </c>
      <c r="BW111" s="4438">
        <f t="shared" si="302"/>
        <v>0</v>
      </c>
      <c r="BX111" s="143"/>
      <c r="BY111" s="4438">
        <f t="shared" si="303"/>
        <v>0</v>
      </c>
      <c r="BZ111" s="4438">
        <f t="shared" si="304"/>
        <v>0</v>
      </c>
      <c r="CA111" s="4438">
        <f t="shared" si="305"/>
        <v>0</v>
      </c>
      <c r="CB111" s="4438">
        <f t="shared" si="306"/>
        <v>0</v>
      </c>
      <c r="CC111" s="4438">
        <f t="shared" si="307"/>
        <v>0</v>
      </c>
      <c r="CD111" s="4438">
        <f t="shared" si="308"/>
        <v>0</v>
      </c>
    </row>
    <row r="112" spans="1:82" s="40" customFormat="1">
      <c r="A112" s="2952">
        <v>2</v>
      </c>
      <c r="B112" s="2955" t="s">
        <v>697</v>
      </c>
      <c r="C112" s="2954">
        <v>0.03</v>
      </c>
      <c r="D112" s="2956" t="s">
        <v>426</v>
      </c>
      <c r="E112" s="2997"/>
      <c r="F112" s="404"/>
      <c r="G112" s="402"/>
      <c r="H112" s="402"/>
      <c r="I112" s="402"/>
      <c r="J112" s="402"/>
      <c r="K112" s="264"/>
      <c r="L112" s="2997"/>
      <c r="M112" s="404"/>
      <c r="N112" s="402"/>
      <c r="O112" s="402"/>
      <c r="P112" s="402"/>
      <c r="Q112" s="402"/>
      <c r="R112" s="264"/>
      <c r="S112" s="2997"/>
      <c r="T112" s="404"/>
      <c r="U112" s="402"/>
      <c r="V112" s="402"/>
      <c r="W112" s="402"/>
      <c r="X112" s="402"/>
      <c r="Y112" s="403"/>
      <c r="Z112" s="2997"/>
      <c r="AA112" s="404"/>
      <c r="AB112" s="402"/>
      <c r="AC112" s="402"/>
      <c r="AD112" s="402"/>
      <c r="AE112" s="402"/>
      <c r="AF112" s="403"/>
      <c r="AG112" s="2997"/>
      <c r="AH112" s="404"/>
      <c r="AI112" s="402"/>
      <c r="AJ112" s="402"/>
      <c r="AK112" s="402"/>
      <c r="AL112" s="402"/>
      <c r="AM112" s="403"/>
      <c r="AN112" s="2997"/>
      <c r="AO112" s="3002"/>
      <c r="AP112" s="3003"/>
      <c r="AQ112" s="3003"/>
      <c r="AR112" s="3003"/>
      <c r="AS112" s="3003"/>
      <c r="AT112" s="3004"/>
      <c r="AU112" s="4422"/>
      <c r="AV112" s="143"/>
      <c r="AW112" s="4438">
        <f t="shared" si="309"/>
        <v>0</v>
      </c>
      <c r="AX112" s="4438">
        <f t="shared" si="280"/>
        <v>0</v>
      </c>
      <c r="AY112" s="4438">
        <f t="shared" si="281"/>
        <v>0</v>
      </c>
      <c r="AZ112" s="4438">
        <f t="shared" si="282"/>
        <v>0</v>
      </c>
      <c r="BA112" s="4438">
        <f t="shared" si="283"/>
        <v>0</v>
      </c>
      <c r="BB112" s="4438">
        <f t="shared" si="284"/>
        <v>0</v>
      </c>
      <c r="BC112" s="143"/>
      <c r="BD112" s="4438">
        <f t="shared" si="285"/>
        <v>0</v>
      </c>
      <c r="BE112" s="4438">
        <f t="shared" si="286"/>
        <v>0</v>
      </c>
      <c r="BF112" s="4438">
        <f t="shared" si="287"/>
        <v>0</v>
      </c>
      <c r="BG112" s="4438">
        <f t="shared" si="288"/>
        <v>0</v>
      </c>
      <c r="BH112" s="4438">
        <f t="shared" si="289"/>
        <v>0</v>
      </c>
      <c r="BI112" s="4438">
        <f t="shared" si="290"/>
        <v>0</v>
      </c>
      <c r="BJ112" s="143"/>
      <c r="BK112" s="4438">
        <f t="shared" si="291"/>
        <v>0</v>
      </c>
      <c r="BL112" s="4438">
        <f t="shared" si="292"/>
        <v>0</v>
      </c>
      <c r="BM112" s="4438">
        <f t="shared" si="293"/>
        <v>0</v>
      </c>
      <c r="BN112" s="4438">
        <f t="shared" si="294"/>
        <v>0</v>
      </c>
      <c r="BO112" s="4438">
        <f t="shared" si="295"/>
        <v>0</v>
      </c>
      <c r="BP112" s="4438">
        <f t="shared" si="296"/>
        <v>0</v>
      </c>
      <c r="BQ112" s="143"/>
      <c r="BR112" s="4438">
        <f t="shared" si="297"/>
        <v>0</v>
      </c>
      <c r="BS112" s="4438">
        <f t="shared" si="298"/>
        <v>0</v>
      </c>
      <c r="BT112" s="4438">
        <f t="shared" si="299"/>
        <v>0</v>
      </c>
      <c r="BU112" s="4438">
        <f t="shared" si="300"/>
        <v>0</v>
      </c>
      <c r="BV112" s="4438">
        <f t="shared" si="301"/>
        <v>0</v>
      </c>
      <c r="BW112" s="4438">
        <f t="shared" si="302"/>
        <v>0</v>
      </c>
      <c r="BX112" s="143"/>
      <c r="BY112" s="4438">
        <f t="shared" si="303"/>
        <v>0</v>
      </c>
      <c r="BZ112" s="4438">
        <f t="shared" si="304"/>
        <v>0</v>
      </c>
      <c r="CA112" s="4438">
        <f t="shared" si="305"/>
        <v>0</v>
      </c>
      <c r="CB112" s="4438">
        <f t="shared" si="306"/>
        <v>0</v>
      </c>
      <c r="CC112" s="4438">
        <f t="shared" si="307"/>
        <v>0</v>
      </c>
      <c r="CD112" s="4438">
        <f t="shared" si="308"/>
        <v>0</v>
      </c>
    </row>
    <row r="113" spans="1:82" s="40" customFormat="1">
      <c r="A113" s="2952">
        <v>3</v>
      </c>
      <c r="B113" s="2955">
        <v>911301</v>
      </c>
      <c r="C113" s="2957">
        <v>0.1</v>
      </c>
      <c r="D113" s="2956" t="s">
        <v>427</v>
      </c>
      <c r="E113" s="2997"/>
      <c r="F113" s="404"/>
      <c r="G113" s="402"/>
      <c r="H113" s="402"/>
      <c r="I113" s="402"/>
      <c r="J113" s="402"/>
      <c r="K113" s="264"/>
      <c r="L113" s="2997"/>
      <c r="M113" s="404"/>
      <c r="N113" s="402"/>
      <c r="O113" s="402"/>
      <c r="P113" s="402"/>
      <c r="Q113" s="402"/>
      <c r="R113" s="264"/>
      <c r="S113" s="2997"/>
      <c r="T113" s="404"/>
      <c r="U113" s="402"/>
      <c r="V113" s="402"/>
      <c r="W113" s="402"/>
      <c r="X113" s="402"/>
      <c r="Y113" s="403"/>
      <c r="Z113" s="2997"/>
      <c r="AA113" s="404"/>
      <c r="AB113" s="402"/>
      <c r="AC113" s="402"/>
      <c r="AD113" s="402"/>
      <c r="AE113" s="402"/>
      <c r="AF113" s="403"/>
      <c r="AG113" s="2997"/>
      <c r="AH113" s="404"/>
      <c r="AI113" s="402"/>
      <c r="AJ113" s="402"/>
      <c r="AK113" s="402"/>
      <c r="AL113" s="402"/>
      <c r="AM113" s="403"/>
      <c r="AN113" s="2997"/>
      <c r="AO113" s="3002"/>
      <c r="AP113" s="3003"/>
      <c r="AQ113" s="3003"/>
      <c r="AR113" s="3003"/>
      <c r="AS113" s="3003"/>
      <c r="AT113" s="3004"/>
      <c r="AU113" s="4422"/>
      <c r="AV113" s="143"/>
      <c r="AW113" s="4438">
        <f t="shared" si="309"/>
        <v>0</v>
      </c>
      <c r="AX113" s="4438">
        <f t="shared" si="280"/>
        <v>0</v>
      </c>
      <c r="AY113" s="4438">
        <f t="shared" si="281"/>
        <v>0</v>
      </c>
      <c r="AZ113" s="4438">
        <f t="shared" si="282"/>
        <v>0</v>
      </c>
      <c r="BA113" s="4438">
        <f t="shared" si="283"/>
        <v>0</v>
      </c>
      <c r="BB113" s="4438">
        <f t="shared" si="284"/>
        <v>0</v>
      </c>
      <c r="BC113" s="143"/>
      <c r="BD113" s="4438">
        <f t="shared" si="285"/>
        <v>0</v>
      </c>
      <c r="BE113" s="4438">
        <f t="shared" si="286"/>
        <v>0</v>
      </c>
      <c r="BF113" s="4438">
        <f t="shared" si="287"/>
        <v>0</v>
      </c>
      <c r="BG113" s="4438">
        <f t="shared" si="288"/>
        <v>0</v>
      </c>
      <c r="BH113" s="4438">
        <f t="shared" si="289"/>
        <v>0</v>
      </c>
      <c r="BI113" s="4438">
        <f t="shared" si="290"/>
        <v>0</v>
      </c>
      <c r="BJ113" s="143"/>
      <c r="BK113" s="4438">
        <f t="shared" si="291"/>
        <v>0</v>
      </c>
      <c r="BL113" s="4438">
        <f t="shared" si="292"/>
        <v>0</v>
      </c>
      <c r="BM113" s="4438">
        <f t="shared" si="293"/>
        <v>0</v>
      </c>
      <c r="BN113" s="4438">
        <f t="shared" si="294"/>
        <v>0</v>
      </c>
      <c r="BO113" s="4438">
        <f t="shared" si="295"/>
        <v>0</v>
      </c>
      <c r="BP113" s="4438">
        <f t="shared" si="296"/>
        <v>0</v>
      </c>
      <c r="BQ113" s="143"/>
      <c r="BR113" s="4438">
        <f t="shared" si="297"/>
        <v>0</v>
      </c>
      <c r="BS113" s="4438">
        <f t="shared" si="298"/>
        <v>0</v>
      </c>
      <c r="BT113" s="4438">
        <f t="shared" si="299"/>
        <v>0</v>
      </c>
      <c r="BU113" s="4438">
        <f t="shared" si="300"/>
        <v>0</v>
      </c>
      <c r="BV113" s="4438">
        <f t="shared" si="301"/>
        <v>0</v>
      </c>
      <c r="BW113" s="4438">
        <f t="shared" si="302"/>
        <v>0</v>
      </c>
      <c r="BX113" s="143"/>
      <c r="BY113" s="4438">
        <f t="shared" si="303"/>
        <v>0</v>
      </c>
      <c r="BZ113" s="4438">
        <f t="shared" si="304"/>
        <v>0</v>
      </c>
      <c r="CA113" s="4438">
        <f t="shared" si="305"/>
        <v>0</v>
      </c>
      <c r="CB113" s="4438">
        <f t="shared" si="306"/>
        <v>0</v>
      </c>
      <c r="CC113" s="4438">
        <f t="shared" si="307"/>
        <v>0</v>
      </c>
      <c r="CD113" s="4438">
        <f t="shared" si="308"/>
        <v>0</v>
      </c>
    </row>
    <row r="114" spans="1:82" s="40" customFormat="1">
      <c r="A114" s="2952">
        <v>4</v>
      </c>
      <c r="B114" s="2955">
        <v>911302</v>
      </c>
      <c r="C114" s="2957">
        <v>0.1</v>
      </c>
      <c r="D114" s="2956" t="s">
        <v>428</v>
      </c>
      <c r="E114" s="2997"/>
      <c r="F114" s="404"/>
      <c r="G114" s="402"/>
      <c r="H114" s="402"/>
      <c r="I114" s="402"/>
      <c r="J114" s="402"/>
      <c r="K114" s="264"/>
      <c r="L114" s="2997"/>
      <c r="M114" s="404"/>
      <c r="N114" s="402"/>
      <c r="O114" s="402"/>
      <c r="P114" s="402"/>
      <c r="Q114" s="402"/>
      <c r="R114" s="264"/>
      <c r="S114" s="2997"/>
      <c r="T114" s="404"/>
      <c r="U114" s="402"/>
      <c r="V114" s="402"/>
      <c r="W114" s="402"/>
      <c r="X114" s="402"/>
      <c r="Y114" s="403"/>
      <c r="Z114" s="2997"/>
      <c r="AA114" s="404"/>
      <c r="AB114" s="402"/>
      <c r="AC114" s="402"/>
      <c r="AD114" s="402"/>
      <c r="AE114" s="402"/>
      <c r="AF114" s="403"/>
      <c r="AG114" s="2997"/>
      <c r="AH114" s="404"/>
      <c r="AI114" s="402"/>
      <c r="AJ114" s="402"/>
      <c r="AK114" s="402"/>
      <c r="AL114" s="402"/>
      <c r="AM114" s="403"/>
      <c r="AN114" s="2997"/>
      <c r="AO114" s="3002"/>
      <c r="AP114" s="3003"/>
      <c r="AQ114" s="3003"/>
      <c r="AR114" s="3003"/>
      <c r="AS114" s="3003"/>
      <c r="AT114" s="3004"/>
      <c r="AU114" s="4422"/>
      <c r="AV114" s="143"/>
      <c r="AW114" s="4438">
        <f t="shared" si="309"/>
        <v>0</v>
      </c>
      <c r="AX114" s="4438">
        <f t="shared" si="280"/>
        <v>0</v>
      </c>
      <c r="AY114" s="4438">
        <f t="shared" si="281"/>
        <v>0</v>
      </c>
      <c r="AZ114" s="4438">
        <f t="shared" si="282"/>
        <v>0</v>
      </c>
      <c r="BA114" s="4438">
        <f t="shared" si="283"/>
        <v>0</v>
      </c>
      <c r="BB114" s="4438">
        <f t="shared" si="284"/>
        <v>0</v>
      </c>
      <c r="BC114" s="143"/>
      <c r="BD114" s="4438">
        <f t="shared" si="285"/>
        <v>0</v>
      </c>
      <c r="BE114" s="4438">
        <f t="shared" si="286"/>
        <v>0</v>
      </c>
      <c r="BF114" s="4438">
        <f t="shared" si="287"/>
        <v>0</v>
      </c>
      <c r="BG114" s="4438">
        <f t="shared" si="288"/>
        <v>0</v>
      </c>
      <c r="BH114" s="4438">
        <f t="shared" si="289"/>
        <v>0</v>
      </c>
      <c r="BI114" s="4438">
        <f t="shared" si="290"/>
        <v>0</v>
      </c>
      <c r="BJ114" s="143"/>
      <c r="BK114" s="4438">
        <f t="shared" si="291"/>
        <v>0</v>
      </c>
      <c r="BL114" s="4438">
        <f t="shared" si="292"/>
        <v>0</v>
      </c>
      <c r="BM114" s="4438">
        <f t="shared" si="293"/>
        <v>0</v>
      </c>
      <c r="BN114" s="4438">
        <f t="shared" si="294"/>
        <v>0</v>
      </c>
      <c r="BO114" s="4438">
        <f t="shared" si="295"/>
        <v>0</v>
      </c>
      <c r="BP114" s="4438">
        <f t="shared" si="296"/>
        <v>0</v>
      </c>
      <c r="BQ114" s="143"/>
      <c r="BR114" s="4438">
        <f t="shared" si="297"/>
        <v>0</v>
      </c>
      <c r="BS114" s="4438">
        <f t="shared" si="298"/>
        <v>0</v>
      </c>
      <c r="BT114" s="4438">
        <f t="shared" si="299"/>
        <v>0</v>
      </c>
      <c r="BU114" s="4438">
        <f t="shared" si="300"/>
        <v>0</v>
      </c>
      <c r="BV114" s="4438">
        <f t="shared" si="301"/>
        <v>0</v>
      </c>
      <c r="BW114" s="4438">
        <f t="shared" si="302"/>
        <v>0</v>
      </c>
      <c r="BX114" s="143"/>
      <c r="BY114" s="4438">
        <f t="shared" si="303"/>
        <v>0</v>
      </c>
      <c r="BZ114" s="4438">
        <f t="shared" si="304"/>
        <v>0</v>
      </c>
      <c r="CA114" s="4438">
        <f t="shared" si="305"/>
        <v>0</v>
      </c>
      <c r="CB114" s="4438">
        <f t="shared" si="306"/>
        <v>0</v>
      </c>
      <c r="CC114" s="4438">
        <f t="shared" si="307"/>
        <v>0</v>
      </c>
      <c r="CD114" s="4438">
        <f t="shared" si="308"/>
        <v>0</v>
      </c>
    </row>
    <row r="115" spans="1:82" s="40" customFormat="1">
      <c r="A115" s="2952">
        <v>5</v>
      </c>
      <c r="B115" s="2955" t="s">
        <v>714</v>
      </c>
      <c r="C115" s="2957">
        <v>0.1</v>
      </c>
      <c r="D115" s="2552" t="s">
        <v>407</v>
      </c>
      <c r="E115" s="2997"/>
      <c r="F115" s="404"/>
      <c r="G115" s="402"/>
      <c r="H115" s="402"/>
      <c r="I115" s="402"/>
      <c r="J115" s="402"/>
      <c r="K115" s="264"/>
      <c r="L115" s="2997"/>
      <c r="M115" s="404"/>
      <c r="N115" s="402"/>
      <c r="O115" s="402"/>
      <c r="P115" s="402"/>
      <c r="Q115" s="402"/>
      <c r="R115" s="264"/>
      <c r="S115" s="2997"/>
      <c r="T115" s="404"/>
      <c r="U115" s="402"/>
      <c r="V115" s="402"/>
      <c r="W115" s="402"/>
      <c r="X115" s="402"/>
      <c r="Y115" s="403"/>
      <c r="Z115" s="2997"/>
      <c r="AA115" s="404"/>
      <c r="AB115" s="402"/>
      <c r="AC115" s="402"/>
      <c r="AD115" s="402"/>
      <c r="AE115" s="402"/>
      <c r="AF115" s="403"/>
      <c r="AG115" s="2997"/>
      <c r="AH115" s="404"/>
      <c r="AI115" s="402"/>
      <c r="AJ115" s="402"/>
      <c r="AK115" s="402"/>
      <c r="AL115" s="402"/>
      <c r="AM115" s="403"/>
      <c r="AN115" s="2997"/>
      <c r="AO115" s="3002"/>
      <c r="AP115" s="3003"/>
      <c r="AQ115" s="3003"/>
      <c r="AR115" s="3003"/>
      <c r="AS115" s="3003"/>
      <c r="AT115" s="3004"/>
      <c r="AU115" s="4422"/>
      <c r="AV115" s="143"/>
      <c r="AW115" s="4438">
        <f t="shared" si="309"/>
        <v>0</v>
      </c>
      <c r="AX115" s="4438">
        <f t="shared" si="280"/>
        <v>0</v>
      </c>
      <c r="AY115" s="4438">
        <f t="shared" si="281"/>
        <v>0</v>
      </c>
      <c r="AZ115" s="4438">
        <f t="shared" si="282"/>
        <v>0</v>
      </c>
      <c r="BA115" s="4438">
        <f t="shared" si="283"/>
        <v>0</v>
      </c>
      <c r="BB115" s="4438">
        <f t="shared" si="284"/>
        <v>0</v>
      </c>
      <c r="BC115" s="143"/>
      <c r="BD115" s="4438">
        <f t="shared" si="285"/>
        <v>0</v>
      </c>
      <c r="BE115" s="4438">
        <f t="shared" si="286"/>
        <v>0</v>
      </c>
      <c r="BF115" s="4438">
        <f t="shared" si="287"/>
        <v>0</v>
      </c>
      <c r="BG115" s="4438">
        <f t="shared" si="288"/>
        <v>0</v>
      </c>
      <c r="BH115" s="4438">
        <f t="shared" si="289"/>
        <v>0</v>
      </c>
      <c r="BI115" s="4438">
        <f t="shared" si="290"/>
        <v>0</v>
      </c>
      <c r="BJ115" s="143"/>
      <c r="BK115" s="4438">
        <f t="shared" si="291"/>
        <v>0</v>
      </c>
      <c r="BL115" s="4438">
        <f t="shared" si="292"/>
        <v>0</v>
      </c>
      <c r="BM115" s="4438">
        <f t="shared" si="293"/>
        <v>0</v>
      </c>
      <c r="BN115" s="4438">
        <f t="shared" si="294"/>
        <v>0</v>
      </c>
      <c r="BO115" s="4438">
        <f t="shared" si="295"/>
        <v>0</v>
      </c>
      <c r="BP115" s="4438">
        <f t="shared" si="296"/>
        <v>0</v>
      </c>
      <c r="BQ115" s="143"/>
      <c r="BR115" s="4438">
        <f t="shared" si="297"/>
        <v>0</v>
      </c>
      <c r="BS115" s="4438">
        <f t="shared" si="298"/>
        <v>0</v>
      </c>
      <c r="BT115" s="4438">
        <f t="shared" si="299"/>
        <v>0</v>
      </c>
      <c r="BU115" s="4438">
        <f t="shared" si="300"/>
        <v>0</v>
      </c>
      <c r="BV115" s="4438">
        <f t="shared" si="301"/>
        <v>0</v>
      </c>
      <c r="BW115" s="4438">
        <f t="shared" si="302"/>
        <v>0</v>
      </c>
      <c r="BX115" s="143"/>
      <c r="BY115" s="4438">
        <f t="shared" si="303"/>
        <v>0</v>
      </c>
      <c r="BZ115" s="4438">
        <f t="shared" si="304"/>
        <v>0</v>
      </c>
      <c r="CA115" s="4438">
        <f t="shared" si="305"/>
        <v>0</v>
      </c>
      <c r="CB115" s="4438">
        <f t="shared" si="306"/>
        <v>0</v>
      </c>
      <c r="CC115" s="4438">
        <f t="shared" si="307"/>
        <v>0</v>
      </c>
      <c r="CD115" s="4438">
        <f t="shared" si="308"/>
        <v>0</v>
      </c>
    </row>
    <row r="116" spans="1:82" s="40" customFormat="1">
      <c r="A116" s="2952">
        <v>6</v>
      </c>
      <c r="B116" s="2955" t="s">
        <v>715</v>
      </c>
      <c r="C116" s="2957">
        <v>0.1</v>
      </c>
      <c r="D116" s="2552" t="s">
        <v>408</v>
      </c>
      <c r="E116" s="2997"/>
      <c r="F116" s="404"/>
      <c r="G116" s="402"/>
      <c r="H116" s="402"/>
      <c r="I116" s="402"/>
      <c r="J116" s="402"/>
      <c r="K116" s="264"/>
      <c r="L116" s="2997"/>
      <c r="M116" s="404"/>
      <c r="N116" s="402"/>
      <c r="O116" s="402"/>
      <c r="P116" s="402"/>
      <c r="Q116" s="402"/>
      <c r="R116" s="264"/>
      <c r="S116" s="2997"/>
      <c r="T116" s="404"/>
      <c r="U116" s="402"/>
      <c r="V116" s="402"/>
      <c r="W116" s="402"/>
      <c r="X116" s="402"/>
      <c r="Y116" s="403"/>
      <c r="Z116" s="2997"/>
      <c r="AA116" s="404"/>
      <c r="AB116" s="402"/>
      <c r="AC116" s="402"/>
      <c r="AD116" s="402"/>
      <c r="AE116" s="402"/>
      <c r="AF116" s="403"/>
      <c r="AG116" s="2997"/>
      <c r="AH116" s="404"/>
      <c r="AI116" s="402"/>
      <c r="AJ116" s="402"/>
      <c r="AK116" s="402"/>
      <c r="AL116" s="402"/>
      <c r="AM116" s="403"/>
      <c r="AN116" s="2997"/>
      <c r="AO116" s="3002"/>
      <c r="AP116" s="3003"/>
      <c r="AQ116" s="3003"/>
      <c r="AR116" s="3003"/>
      <c r="AS116" s="3003"/>
      <c r="AT116" s="3004"/>
      <c r="AU116" s="4422"/>
      <c r="AV116" s="143"/>
      <c r="AW116" s="4438">
        <f t="shared" si="309"/>
        <v>0</v>
      </c>
      <c r="AX116" s="4438">
        <f t="shared" si="280"/>
        <v>0</v>
      </c>
      <c r="AY116" s="4438">
        <f t="shared" si="281"/>
        <v>0</v>
      </c>
      <c r="AZ116" s="4438">
        <f t="shared" si="282"/>
        <v>0</v>
      </c>
      <c r="BA116" s="4438">
        <f t="shared" si="283"/>
        <v>0</v>
      </c>
      <c r="BB116" s="4438">
        <f t="shared" si="284"/>
        <v>0</v>
      </c>
      <c r="BC116" s="143"/>
      <c r="BD116" s="4438">
        <f t="shared" si="285"/>
        <v>0</v>
      </c>
      <c r="BE116" s="4438">
        <f t="shared" si="286"/>
        <v>0</v>
      </c>
      <c r="BF116" s="4438">
        <f t="shared" si="287"/>
        <v>0</v>
      </c>
      <c r="BG116" s="4438">
        <f t="shared" si="288"/>
        <v>0</v>
      </c>
      <c r="BH116" s="4438">
        <f t="shared" si="289"/>
        <v>0</v>
      </c>
      <c r="BI116" s="4438">
        <f t="shared" si="290"/>
        <v>0</v>
      </c>
      <c r="BJ116" s="143"/>
      <c r="BK116" s="4438">
        <f t="shared" si="291"/>
        <v>0</v>
      </c>
      <c r="BL116" s="4438">
        <f t="shared" si="292"/>
        <v>0</v>
      </c>
      <c r="BM116" s="4438">
        <f t="shared" si="293"/>
        <v>0</v>
      </c>
      <c r="BN116" s="4438">
        <f t="shared" si="294"/>
        <v>0</v>
      </c>
      <c r="BO116" s="4438">
        <f t="shared" si="295"/>
        <v>0</v>
      </c>
      <c r="BP116" s="4438">
        <f t="shared" si="296"/>
        <v>0</v>
      </c>
      <c r="BQ116" s="143"/>
      <c r="BR116" s="4438">
        <f t="shared" si="297"/>
        <v>0</v>
      </c>
      <c r="BS116" s="4438">
        <f t="shared" si="298"/>
        <v>0</v>
      </c>
      <c r="BT116" s="4438">
        <f t="shared" si="299"/>
        <v>0</v>
      </c>
      <c r="BU116" s="4438">
        <f t="shared" si="300"/>
        <v>0</v>
      </c>
      <c r="BV116" s="4438">
        <f t="shared" si="301"/>
        <v>0</v>
      </c>
      <c r="BW116" s="4438">
        <f t="shared" si="302"/>
        <v>0</v>
      </c>
      <c r="BX116" s="143"/>
      <c r="BY116" s="4438">
        <f t="shared" si="303"/>
        <v>0</v>
      </c>
      <c r="BZ116" s="4438">
        <f t="shared" si="304"/>
        <v>0</v>
      </c>
      <c r="CA116" s="4438">
        <f t="shared" si="305"/>
        <v>0</v>
      </c>
      <c r="CB116" s="4438">
        <f t="shared" si="306"/>
        <v>0</v>
      </c>
      <c r="CC116" s="4438">
        <f t="shared" si="307"/>
        <v>0</v>
      </c>
      <c r="CD116" s="4438">
        <f t="shared" si="308"/>
        <v>0</v>
      </c>
    </row>
    <row r="117" spans="1:82" s="40" customFormat="1" ht="24">
      <c r="A117" s="2952">
        <v>7</v>
      </c>
      <c r="B117" s="2955" t="s">
        <v>706</v>
      </c>
      <c r="C117" s="2957">
        <v>0.1</v>
      </c>
      <c r="D117" s="2552" t="s">
        <v>695</v>
      </c>
      <c r="E117" s="2997"/>
      <c r="F117" s="404"/>
      <c r="G117" s="402"/>
      <c r="H117" s="402"/>
      <c r="I117" s="402"/>
      <c r="J117" s="402"/>
      <c r="K117" s="264"/>
      <c r="L117" s="2997"/>
      <c r="M117" s="404"/>
      <c r="N117" s="402"/>
      <c r="O117" s="402"/>
      <c r="P117" s="402"/>
      <c r="Q117" s="402"/>
      <c r="R117" s="264"/>
      <c r="S117" s="2997"/>
      <c r="T117" s="404"/>
      <c r="U117" s="402"/>
      <c r="V117" s="402"/>
      <c r="W117" s="402"/>
      <c r="X117" s="402"/>
      <c r="Y117" s="403"/>
      <c r="Z117" s="2997"/>
      <c r="AA117" s="404"/>
      <c r="AB117" s="402"/>
      <c r="AC117" s="402"/>
      <c r="AD117" s="402"/>
      <c r="AE117" s="402"/>
      <c r="AF117" s="403"/>
      <c r="AG117" s="2997"/>
      <c r="AH117" s="404"/>
      <c r="AI117" s="402"/>
      <c r="AJ117" s="402"/>
      <c r="AK117" s="402"/>
      <c r="AL117" s="402"/>
      <c r="AM117" s="403"/>
      <c r="AN117" s="2997"/>
      <c r="AO117" s="3002"/>
      <c r="AP117" s="3003"/>
      <c r="AQ117" s="3003"/>
      <c r="AR117" s="3003"/>
      <c r="AS117" s="3003"/>
      <c r="AT117" s="3004"/>
      <c r="AU117" s="4422"/>
      <c r="AV117" s="143"/>
      <c r="AW117" s="4438">
        <f t="shared" si="309"/>
        <v>0</v>
      </c>
      <c r="AX117" s="4438">
        <f t="shared" si="280"/>
        <v>0</v>
      </c>
      <c r="AY117" s="4438">
        <f t="shared" si="281"/>
        <v>0</v>
      </c>
      <c r="AZ117" s="4438">
        <f t="shared" si="282"/>
        <v>0</v>
      </c>
      <c r="BA117" s="4438">
        <f t="shared" si="283"/>
        <v>0</v>
      </c>
      <c r="BB117" s="4438">
        <f t="shared" si="284"/>
        <v>0</v>
      </c>
      <c r="BC117" s="143"/>
      <c r="BD117" s="4438">
        <f t="shared" si="285"/>
        <v>0</v>
      </c>
      <c r="BE117" s="4438">
        <f t="shared" si="286"/>
        <v>0</v>
      </c>
      <c r="BF117" s="4438">
        <f t="shared" si="287"/>
        <v>0</v>
      </c>
      <c r="BG117" s="4438">
        <f t="shared" si="288"/>
        <v>0</v>
      </c>
      <c r="BH117" s="4438">
        <f t="shared" si="289"/>
        <v>0</v>
      </c>
      <c r="BI117" s="4438">
        <f t="shared" si="290"/>
        <v>0</v>
      </c>
      <c r="BJ117" s="143"/>
      <c r="BK117" s="4438">
        <f t="shared" si="291"/>
        <v>0</v>
      </c>
      <c r="BL117" s="4438">
        <f t="shared" si="292"/>
        <v>0</v>
      </c>
      <c r="BM117" s="4438">
        <f t="shared" si="293"/>
        <v>0</v>
      </c>
      <c r="BN117" s="4438">
        <f t="shared" si="294"/>
        <v>0</v>
      </c>
      <c r="BO117" s="4438">
        <f t="shared" si="295"/>
        <v>0</v>
      </c>
      <c r="BP117" s="4438">
        <f t="shared" si="296"/>
        <v>0</v>
      </c>
      <c r="BQ117" s="143"/>
      <c r="BR117" s="4438">
        <f t="shared" si="297"/>
        <v>0</v>
      </c>
      <c r="BS117" s="4438">
        <f t="shared" si="298"/>
        <v>0</v>
      </c>
      <c r="BT117" s="4438">
        <f t="shared" si="299"/>
        <v>0</v>
      </c>
      <c r="BU117" s="4438">
        <f t="shared" si="300"/>
        <v>0</v>
      </c>
      <c r="BV117" s="4438">
        <f t="shared" si="301"/>
        <v>0</v>
      </c>
      <c r="BW117" s="4438">
        <f t="shared" si="302"/>
        <v>0</v>
      </c>
      <c r="BX117" s="143"/>
      <c r="BY117" s="4438">
        <f t="shared" si="303"/>
        <v>0</v>
      </c>
      <c r="BZ117" s="4438">
        <f t="shared" si="304"/>
        <v>0</v>
      </c>
      <c r="CA117" s="4438">
        <f t="shared" si="305"/>
        <v>0</v>
      </c>
      <c r="CB117" s="4438">
        <f t="shared" si="306"/>
        <v>0</v>
      </c>
      <c r="CC117" s="4438">
        <f t="shared" si="307"/>
        <v>0</v>
      </c>
      <c r="CD117" s="4438">
        <f t="shared" si="308"/>
        <v>0</v>
      </c>
    </row>
    <row r="118" spans="1:82" s="40" customFormat="1">
      <c r="A118" s="2952">
        <v>8</v>
      </c>
      <c r="B118" s="2955" t="s">
        <v>716</v>
      </c>
      <c r="C118" s="2957">
        <v>0.1</v>
      </c>
      <c r="D118" s="2552" t="s">
        <v>713</v>
      </c>
      <c r="E118" s="2997"/>
      <c r="F118" s="404"/>
      <c r="G118" s="402"/>
      <c r="H118" s="402"/>
      <c r="I118" s="402"/>
      <c r="J118" s="402"/>
      <c r="K118" s="264"/>
      <c r="L118" s="2997"/>
      <c r="M118" s="404"/>
      <c r="N118" s="402"/>
      <c r="O118" s="402"/>
      <c r="P118" s="402"/>
      <c r="Q118" s="402"/>
      <c r="R118" s="264"/>
      <c r="S118" s="2997"/>
      <c r="T118" s="404"/>
      <c r="U118" s="402"/>
      <c r="V118" s="402"/>
      <c r="W118" s="402"/>
      <c r="X118" s="402"/>
      <c r="Y118" s="403"/>
      <c r="Z118" s="2997"/>
      <c r="AA118" s="404"/>
      <c r="AB118" s="402"/>
      <c r="AC118" s="402"/>
      <c r="AD118" s="402"/>
      <c r="AE118" s="402"/>
      <c r="AF118" s="403"/>
      <c r="AG118" s="2997"/>
      <c r="AH118" s="404"/>
      <c r="AI118" s="402"/>
      <c r="AJ118" s="402"/>
      <c r="AK118" s="402"/>
      <c r="AL118" s="402"/>
      <c r="AM118" s="403"/>
      <c r="AN118" s="2997"/>
      <c r="AO118" s="3002"/>
      <c r="AP118" s="3003"/>
      <c r="AQ118" s="3003"/>
      <c r="AR118" s="3003"/>
      <c r="AS118" s="3003"/>
      <c r="AT118" s="3004"/>
      <c r="AU118" s="4422"/>
      <c r="AV118" s="143"/>
      <c r="AW118" s="4438">
        <f t="shared" si="309"/>
        <v>0</v>
      </c>
      <c r="AX118" s="4438">
        <f t="shared" si="280"/>
        <v>0</v>
      </c>
      <c r="AY118" s="4438">
        <f t="shared" si="281"/>
        <v>0</v>
      </c>
      <c r="AZ118" s="4438">
        <f t="shared" si="282"/>
        <v>0</v>
      </c>
      <c r="BA118" s="4438">
        <f t="shared" si="283"/>
        <v>0</v>
      </c>
      <c r="BB118" s="4438">
        <f t="shared" si="284"/>
        <v>0</v>
      </c>
      <c r="BC118" s="143"/>
      <c r="BD118" s="4438">
        <f t="shared" si="285"/>
        <v>0</v>
      </c>
      <c r="BE118" s="4438">
        <f t="shared" si="286"/>
        <v>0</v>
      </c>
      <c r="BF118" s="4438">
        <f t="shared" si="287"/>
        <v>0</v>
      </c>
      <c r="BG118" s="4438">
        <f t="shared" si="288"/>
        <v>0</v>
      </c>
      <c r="BH118" s="4438">
        <f t="shared" si="289"/>
        <v>0</v>
      </c>
      <c r="BI118" s="4438">
        <f t="shared" si="290"/>
        <v>0</v>
      </c>
      <c r="BJ118" s="143"/>
      <c r="BK118" s="4438">
        <f t="shared" si="291"/>
        <v>0</v>
      </c>
      <c r="BL118" s="4438">
        <f t="shared" si="292"/>
        <v>0</v>
      </c>
      <c r="BM118" s="4438">
        <f t="shared" si="293"/>
        <v>0</v>
      </c>
      <c r="BN118" s="4438">
        <f t="shared" si="294"/>
        <v>0</v>
      </c>
      <c r="BO118" s="4438">
        <f t="shared" si="295"/>
        <v>0</v>
      </c>
      <c r="BP118" s="4438">
        <f t="shared" si="296"/>
        <v>0</v>
      </c>
      <c r="BQ118" s="143"/>
      <c r="BR118" s="4438">
        <f t="shared" si="297"/>
        <v>0</v>
      </c>
      <c r="BS118" s="4438">
        <f t="shared" si="298"/>
        <v>0</v>
      </c>
      <c r="BT118" s="4438">
        <f t="shared" si="299"/>
        <v>0</v>
      </c>
      <c r="BU118" s="4438">
        <f t="shared" si="300"/>
        <v>0</v>
      </c>
      <c r="BV118" s="4438">
        <f t="shared" si="301"/>
        <v>0</v>
      </c>
      <c r="BW118" s="4438">
        <f t="shared" si="302"/>
        <v>0</v>
      </c>
      <c r="BX118" s="143"/>
      <c r="BY118" s="4438">
        <f t="shared" si="303"/>
        <v>0</v>
      </c>
      <c r="BZ118" s="4438">
        <f t="shared" si="304"/>
        <v>0</v>
      </c>
      <c r="CA118" s="4438">
        <f t="shared" si="305"/>
        <v>0</v>
      </c>
      <c r="CB118" s="4438">
        <f t="shared" si="306"/>
        <v>0</v>
      </c>
      <c r="CC118" s="4438">
        <f t="shared" si="307"/>
        <v>0</v>
      </c>
      <c r="CD118" s="4438">
        <f t="shared" si="308"/>
        <v>0</v>
      </c>
    </row>
    <row r="119" spans="1:82" s="40" customFormat="1">
      <c r="A119" s="2958">
        <v>9</v>
      </c>
      <c r="B119" s="2955">
        <v>911306</v>
      </c>
      <c r="C119" s="2957">
        <v>0.1</v>
      </c>
      <c r="D119" s="2956" t="s">
        <v>1032</v>
      </c>
      <c r="E119" s="2997"/>
      <c r="F119" s="404"/>
      <c r="G119" s="402"/>
      <c r="H119" s="402"/>
      <c r="I119" s="402"/>
      <c r="J119" s="402"/>
      <c r="K119" s="264"/>
      <c r="L119" s="2997"/>
      <c r="M119" s="404"/>
      <c r="N119" s="402"/>
      <c r="O119" s="402"/>
      <c r="P119" s="402"/>
      <c r="Q119" s="402"/>
      <c r="R119" s="264"/>
      <c r="S119" s="2997"/>
      <c r="T119" s="404"/>
      <c r="U119" s="402"/>
      <c r="V119" s="402"/>
      <c r="W119" s="402"/>
      <c r="X119" s="402"/>
      <c r="Y119" s="403"/>
      <c r="Z119" s="2997"/>
      <c r="AA119" s="404"/>
      <c r="AB119" s="402"/>
      <c r="AC119" s="402"/>
      <c r="AD119" s="402"/>
      <c r="AE119" s="402"/>
      <c r="AF119" s="403"/>
      <c r="AG119" s="2997"/>
      <c r="AH119" s="404"/>
      <c r="AI119" s="402"/>
      <c r="AJ119" s="402"/>
      <c r="AK119" s="402"/>
      <c r="AL119" s="402"/>
      <c r="AM119" s="403"/>
      <c r="AN119" s="2997"/>
      <c r="AO119" s="3002"/>
      <c r="AP119" s="3003"/>
      <c r="AQ119" s="3003"/>
      <c r="AR119" s="3003"/>
      <c r="AS119" s="3003"/>
      <c r="AT119" s="3004"/>
      <c r="AU119" s="4422"/>
      <c r="AV119" s="143"/>
      <c r="AW119" s="4438">
        <f t="shared" si="309"/>
        <v>0</v>
      </c>
      <c r="AX119" s="4438">
        <f t="shared" si="280"/>
        <v>0</v>
      </c>
      <c r="AY119" s="4438">
        <f t="shared" si="281"/>
        <v>0</v>
      </c>
      <c r="AZ119" s="4438">
        <f t="shared" si="282"/>
        <v>0</v>
      </c>
      <c r="BA119" s="4438">
        <f t="shared" si="283"/>
        <v>0</v>
      </c>
      <c r="BB119" s="4438">
        <f t="shared" si="284"/>
        <v>0</v>
      </c>
      <c r="BC119" s="143"/>
      <c r="BD119" s="4438">
        <f t="shared" si="285"/>
        <v>0</v>
      </c>
      <c r="BE119" s="4438">
        <f t="shared" si="286"/>
        <v>0</v>
      </c>
      <c r="BF119" s="4438">
        <f t="shared" si="287"/>
        <v>0</v>
      </c>
      <c r="BG119" s="4438">
        <f t="shared" si="288"/>
        <v>0</v>
      </c>
      <c r="BH119" s="4438">
        <f t="shared" si="289"/>
        <v>0</v>
      </c>
      <c r="BI119" s="4438">
        <f t="shared" si="290"/>
        <v>0</v>
      </c>
      <c r="BJ119" s="143"/>
      <c r="BK119" s="4438">
        <f t="shared" si="291"/>
        <v>0</v>
      </c>
      <c r="BL119" s="4438">
        <f t="shared" si="292"/>
        <v>0</v>
      </c>
      <c r="BM119" s="4438">
        <f t="shared" si="293"/>
        <v>0</v>
      </c>
      <c r="BN119" s="4438">
        <f t="shared" si="294"/>
        <v>0</v>
      </c>
      <c r="BO119" s="4438">
        <f t="shared" si="295"/>
        <v>0</v>
      </c>
      <c r="BP119" s="4438">
        <f t="shared" si="296"/>
        <v>0</v>
      </c>
      <c r="BQ119" s="143"/>
      <c r="BR119" s="4438">
        <f t="shared" si="297"/>
        <v>0</v>
      </c>
      <c r="BS119" s="4438">
        <f t="shared" si="298"/>
        <v>0</v>
      </c>
      <c r="BT119" s="4438">
        <f t="shared" si="299"/>
        <v>0</v>
      </c>
      <c r="BU119" s="4438">
        <f t="shared" si="300"/>
        <v>0</v>
      </c>
      <c r="BV119" s="4438">
        <f t="shared" si="301"/>
        <v>0</v>
      </c>
      <c r="BW119" s="4438">
        <f t="shared" si="302"/>
        <v>0</v>
      </c>
      <c r="BX119" s="143"/>
      <c r="BY119" s="4438">
        <f t="shared" si="303"/>
        <v>0</v>
      </c>
      <c r="BZ119" s="4438">
        <f t="shared" si="304"/>
        <v>0</v>
      </c>
      <c r="CA119" s="4438">
        <f t="shared" si="305"/>
        <v>0</v>
      </c>
      <c r="CB119" s="4438">
        <f t="shared" si="306"/>
        <v>0</v>
      </c>
      <c r="CC119" s="4438">
        <f t="shared" si="307"/>
        <v>0</v>
      </c>
      <c r="CD119" s="4438">
        <f t="shared" si="308"/>
        <v>0</v>
      </c>
    </row>
    <row r="120" spans="1:82" s="40" customFormat="1">
      <c r="A120" s="2958">
        <v>10</v>
      </c>
      <c r="B120" s="2955">
        <v>91140101</v>
      </c>
      <c r="C120" s="2959">
        <v>0.1</v>
      </c>
      <c r="D120" s="2546" t="s">
        <v>1016</v>
      </c>
      <c r="E120" s="2997"/>
      <c r="F120" s="404"/>
      <c r="G120" s="402"/>
      <c r="H120" s="402"/>
      <c r="I120" s="402"/>
      <c r="J120" s="402"/>
      <c r="K120" s="264"/>
      <c r="L120" s="2997"/>
      <c r="M120" s="404"/>
      <c r="N120" s="402"/>
      <c r="O120" s="402"/>
      <c r="P120" s="402"/>
      <c r="Q120" s="402"/>
      <c r="R120" s="264"/>
      <c r="S120" s="2997"/>
      <c r="T120" s="404"/>
      <c r="U120" s="402"/>
      <c r="V120" s="402"/>
      <c r="W120" s="402"/>
      <c r="X120" s="402"/>
      <c r="Y120" s="403"/>
      <c r="Z120" s="2997"/>
      <c r="AA120" s="404"/>
      <c r="AB120" s="402"/>
      <c r="AC120" s="402"/>
      <c r="AD120" s="402"/>
      <c r="AE120" s="402"/>
      <c r="AF120" s="403"/>
      <c r="AG120" s="2997"/>
      <c r="AH120" s="404"/>
      <c r="AI120" s="402"/>
      <c r="AJ120" s="402"/>
      <c r="AK120" s="402"/>
      <c r="AL120" s="402"/>
      <c r="AM120" s="403"/>
      <c r="AN120" s="2997"/>
      <c r="AO120" s="3002"/>
      <c r="AP120" s="3003"/>
      <c r="AQ120" s="3003"/>
      <c r="AR120" s="3003"/>
      <c r="AS120" s="3003"/>
      <c r="AT120" s="3004"/>
      <c r="AU120" s="4422"/>
      <c r="AV120" s="143"/>
      <c r="AW120" s="4438">
        <f t="shared" si="309"/>
        <v>0</v>
      </c>
      <c r="AX120" s="4438">
        <f t="shared" si="280"/>
        <v>0</v>
      </c>
      <c r="AY120" s="4438">
        <f t="shared" si="281"/>
        <v>0</v>
      </c>
      <c r="AZ120" s="4438">
        <f t="shared" si="282"/>
        <v>0</v>
      </c>
      <c r="BA120" s="4438">
        <f t="shared" si="283"/>
        <v>0</v>
      </c>
      <c r="BB120" s="4438">
        <f t="shared" si="284"/>
        <v>0</v>
      </c>
      <c r="BC120" s="143"/>
      <c r="BD120" s="4438">
        <f t="shared" si="285"/>
        <v>0</v>
      </c>
      <c r="BE120" s="4438">
        <f t="shared" si="286"/>
        <v>0</v>
      </c>
      <c r="BF120" s="4438">
        <f t="shared" si="287"/>
        <v>0</v>
      </c>
      <c r="BG120" s="4438">
        <f t="shared" si="288"/>
        <v>0</v>
      </c>
      <c r="BH120" s="4438">
        <f t="shared" si="289"/>
        <v>0</v>
      </c>
      <c r="BI120" s="4438">
        <f t="shared" si="290"/>
        <v>0</v>
      </c>
      <c r="BJ120" s="143"/>
      <c r="BK120" s="4438">
        <f t="shared" si="291"/>
        <v>0</v>
      </c>
      <c r="BL120" s="4438">
        <f t="shared" si="292"/>
        <v>0</v>
      </c>
      <c r="BM120" s="4438">
        <f t="shared" si="293"/>
        <v>0</v>
      </c>
      <c r="BN120" s="4438">
        <f t="shared" si="294"/>
        <v>0</v>
      </c>
      <c r="BO120" s="4438">
        <f t="shared" si="295"/>
        <v>0</v>
      </c>
      <c r="BP120" s="4438">
        <f t="shared" si="296"/>
        <v>0</v>
      </c>
      <c r="BQ120" s="143"/>
      <c r="BR120" s="4438">
        <f t="shared" si="297"/>
        <v>0</v>
      </c>
      <c r="BS120" s="4438">
        <f t="shared" si="298"/>
        <v>0</v>
      </c>
      <c r="BT120" s="4438">
        <f t="shared" si="299"/>
        <v>0</v>
      </c>
      <c r="BU120" s="4438">
        <f t="shared" si="300"/>
        <v>0</v>
      </c>
      <c r="BV120" s="4438">
        <f t="shared" si="301"/>
        <v>0</v>
      </c>
      <c r="BW120" s="4438">
        <f t="shared" si="302"/>
        <v>0</v>
      </c>
      <c r="BX120" s="143"/>
      <c r="BY120" s="4438">
        <f t="shared" si="303"/>
        <v>0</v>
      </c>
      <c r="BZ120" s="4438">
        <f t="shared" si="304"/>
        <v>0</v>
      </c>
      <c r="CA120" s="4438">
        <f t="shared" si="305"/>
        <v>0</v>
      </c>
      <c r="CB120" s="4438">
        <f t="shared" si="306"/>
        <v>0</v>
      </c>
      <c r="CC120" s="4438">
        <f t="shared" si="307"/>
        <v>0</v>
      </c>
      <c r="CD120" s="4438">
        <f t="shared" si="308"/>
        <v>0</v>
      </c>
    </row>
    <row r="121" spans="1:82" s="40" customFormat="1">
      <c r="A121" s="2958">
        <v>11</v>
      </c>
      <c r="B121" s="2955">
        <v>91140102</v>
      </c>
      <c r="C121" s="2959">
        <v>0.04</v>
      </c>
      <c r="D121" s="2546" t="s">
        <v>432</v>
      </c>
      <c r="E121" s="2997"/>
      <c r="F121" s="404"/>
      <c r="G121" s="402"/>
      <c r="H121" s="402"/>
      <c r="I121" s="402"/>
      <c r="J121" s="402"/>
      <c r="K121" s="264"/>
      <c r="L121" s="2997"/>
      <c r="M121" s="404"/>
      <c r="N121" s="402"/>
      <c r="O121" s="402"/>
      <c r="P121" s="402"/>
      <c r="Q121" s="402"/>
      <c r="R121" s="264"/>
      <c r="S121" s="2997"/>
      <c r="T121" s="404"/>
      <c r="U121" s="402"/>
      <c r="V121" s="402"/>
      <c r="W121" s="402"/>
      <c r="X121" s="402"/>
      <c r="Y121" s="403"/>
      <c r="Z121" s="2997"/>
      <c r="AA121" s="404"/>
      <c r="AB121" s="402"/>
      <c r="AC121" s="402"/>
      <c r="AD121" s="402"/>
      <c r="AE121" s="402"/>
      <c r="AF121" s="403"/>
      <c r="AG121" s="2997"/>
      <c r="AH121" s="404"/>
      <c r="AI121" s="402"/>
      <c r="AJ121" s="402"/>
      <c r="AK121" s="402"/>
      <c r="AL121" s="402"/>
      <c r="AM121" s="403"/>
      <c r="AN121" s="2997"/>
      <c r="AO121" s="3002"/>
      <c r="AP121" s="3003"/>
      <c r="AQ121" s="3003"/>
      <c r="AR121" s="3003"/>
      <c r="AS121" s="3003"/>
      <c r="AT121" s="3004"/>
      <c r="AU121" s="4422"/>
      <c r="AV121" s="143"/>
      <c r="AW121" s="4438">
        <f t="shared" si="309"/>
        <v>0</v>
      </c>
      <c r="AX121" s="4438">
        <f t="shared" si="280"/>
        <v>0</v>
      </c>
      <c r="AY121" s="4438">
        <f t="shared" si="281"/>
        <v>0</v>
      </c>
      <c r="AZ121" s="4438">
        <f t="shared" si="282"/>
        <v>0</v>
      </c>
      <c r="BA121" s="4438">
        <f t="shared" si="283"/>
        <v>0</v>
      </c>
      <c r="BB121" s="4438">
        <f t="shared" si="284"/>
        <v>0</v>
      </c>
      <c r="BC121" s="143"/>
      <c r="BD121" s="4438">
        <f t="shared" si="285"/>
        <v>0</v>
      </c>
      <c r="BE121" s="4438">
        <f t="shared" si="286"/>
        <v>0</v>
      </c>
      <c r="BF121" s="4438">
        <f t="shared" si="287"/>
        <v>0</v>
      </c>
      <c r="BG121" s="4438">
        <f t="shared" si="288"/>
        <v>0</v>
      </c>
      <c r="BH121" s="4438">
        <f t="shared" si="289"/>
        <v>0</v>
      </c>
      <c r="BI121" s="4438">
        <f t="shared" si="290"/>
        <v>0</v>
      </c>
      <c r="BJ121" s="143"/>
      <c r="BK121" s="4438">
        <f t="shared" si="291"/>
        <v>0</v>
      </c>
      <c r="BL121" s="4438">
        <f t="shared" si="292"/>
        <v>0</v>
      </c>
      <c r="BM121" s="4438">
        <f t="shared" si="293"/>
        <v>0</v>
      </c>
      <c r="BN121" s="4438">
        <f t="shared" si="294"/>
        <v>0</v>
      </c>
      <c r="BO121" s="4438">
        <f t="shared" si="295"/>
        <v>0</v>
      </c>
      <c r="BP121" s="4438">
        <f t="shared" si="296"/>
        <v>0</v>
      </c>
      <c r="BQ121" s="143"/>
      <c r="BR121" s="4438">
        <f t="shared" si="297"/>
        <v>0</v>
      </c>
      <c r="BS121" s="4438">
        <f t="shared" si="298"/>
        <v>0</v>
      </c>
      <c r="BT121" s="4438">
        <f t="shared" si="299"/>
        <v>0</v>
      </c>
      <c r="BU121" s="4438">
        <f t="shared" si="300"/>
        <v>0</v>
      </c>
      <c r="BV121" s="4438">
        <f t="shared" si="301"/>
        <v>0</v>
      </c>
      <c r="BW121" s="4438">
        <f t="shared" si="302"/>
        <v>0</v>
      </c>
      <c r="BX121" s="143"/>
      <c r="BY121" s="4438">
        <f t="shared" si="303"/>
        <v>0</v>
      </c>
      <c r="BZ121" s="4438">
        <f t="shared" si="304"/>
        <v>0</v>
      </c>
      <c r="CA121" s="4438">
        <f t="shared" si="305"/>
        <v>0</v>
      </c>
      <c r="CB121" s="4438">
        <f t="shared" si="306"/>
        <v>0</v>
      </c>
      <c r="CC121" s="4438">
        <f t="shared" si="307"/>
        <v>0</v>
      </c>
      <c r="CD121" s="4438">
        <f t="shared" si="308"/>
        <v>0</v>
      </c>
    </row>
    <row r="122" spans="1:82" s="40" customFormat="1">
      <c r="A122" s="2958">
        <v>12</v>
      </c>
      <c r="B122" s="2955" t="s">
        <v>698</v>
      </c>
      <c r="C122" s="2957">
        <v>0.02</v>
      </c>
      <c r="D122" s="2547" t="s">
        <v>738</v>
      </c>
      <c r="E122" s="2997"/>
      <c r="F122" s="404"/>
      <c r="G122" s="402"/>
      <c r="H122" s="402"/>
      <c r="I122" s="402"/>
      <c r="J122" s="402"/>
      <c r="K122" s="264"/>
      <c r="L122" s="2997"/>
      <c r="M122" s="404"/>
      <c r="N122" s="402"/>
      <c r="O122" s="402"/>
      <c r="P122" s="402"/>
      <c r="Q122" s="402"/>
      <c r="R122" s="264"/>
      <c r="S122" s="2997"/>
      <c r="T122" s="404"/>
      <c r="U122" s="402"/>
      <c r="V122" s="402"/>
      <c r="W122" s="402"/>
      <c r="X122" s="402"/>
      <c r="Y122" s="403"/>
      <c r="Z122" s="2997"/>
      <c r="AA122" s="404"/>
      <c r="AB122" s="402"/>
      <c r="AC122" s="402"/>
      <c r="AD122" s="402"/>
      <c r="AE122" s="402"/>
      <c r="AF122" s="403"/>
      <c r="AG122" s="2997"/>
      <c r="AH122" s="404"/>
      <c r="AI122" s="402"/>
      <c r="AJ122" s="402"/>
      <c r="AK122" s="402"/>
      <c r="AL122" s="402"/>
      <c r="AM122" s="403"/>
      <c r="AN122" s="2997"/>
      <c r="AO122" s="3002"/>
      <c r="AP122" s="3003"/>
      <c r="AQ122" s="3003"/>
      <c r="AR122" s="3003"/>
      <c r="AS122" s="3003"/>
      <c r="AT122" s="3004"/>
      <c r="AU122" s="4422"/>
      <c r="AV122" s="143"/>
      <c r="AW122" s="4438">
        <f t="shared" si="309"/>
        <v>0</v>
      </c>
      <c r="AX122" s="4438">
        <f t="shared" si="280"/>
        <v>0</v>
      </c>
      <c r="AY122" s="4438">
        <f t="shared" si="281"/>
        <v>0</v>
      </c>
      <c r="AZ122" s="4438">
        <f t="shared" si="282"/>
        <v>0</v>
      </c>
      <c r="BA122" s="4438">
        <f t="shared" si="283"/>
        <v>0</v>
      </c>
      <c r="BB122" s="4438">
        <f t="shared" si="284"/>
        <v>0</v>
      </c>
      <c r="BC122" s="143"/>
      <c r="BD122" s="4438">
        <f t="shared" si="285"/>
        <v>0</v>
      </c>
      <c r="BE122" s="4438">
        <f t="shared" si="286"/>
        <v>0</v>
      </c>
      <c r="BF122" s="4438">
        <f t="shared" si="287"/>
        <v>0</v>
      </c>
      <c r="BG122" s="4438">
        <f t="shared" si="288"/>
        <v>0</v>
      </c>
      <c r="BH122" s="4438">
        <f t="shared" si="289"/>
        <v>0</v>
      </c>
      <c r="BI122" s="4438">
        <f t="shared" si="290"/>
        <v>0</v>
      </c>
      <c r="BJ122" s="143"/>
      <c r="BK122" s="4438">
        <f t="shared" si="291"/>
        <v>0</v>
      </c>
      <c r="BL122" s="4438">
        <f t="shared" si="292"/>
        <v>0</v>
      </c>
      <c r="BM122" s="4438">
        <f t="shared" si="293"/>
        <v>0</v>
      </c>
      <c r="BN122" s="4438">
        <f t="shared" si="294"/>
        <v>0</v>
      </c>
      <c r="BO122" s="4438">
        <f t="shared" si="295"/>
        <v>0</v>
      </c>
      <c r="BP122" s="4438">
        <f t="shared" si="296"/>
        <v>0</v>
      </c>
      <c r="BQ122" s="143"/>
      <c r="BR122" s="4438">
        <f t="shared" si="297"/>
        <v>0</v>
      </c>
      <c r="BS122" s="4438">
        <f t="shared" si="298"/>
        <v>0</v>
      </c>
      <c r="BT122" s="4438">
        <f t="shared" si="299"/>
        <v>0</v>
      </c>
      <c r="BU122" s="4438">
        <f t="shared" si="300"/>
        <v>0</v>
      </c>
      <c r="BV122" s="4438">
        <f t="shared" si="301"/>
        <v>0</v>
      </c>
      <c r="BW122" s="4438">
        <f t="shared" si="302"/>
        <v>0</v>
      </c>
      <c r="BX122" s="143"/>
      <c r="BY122" s="4438">
        <f t="shared" si="303"/>
        <v>0</v>
      </c>
      <c r="BZ122" s="4438">
        <f t="shared" si="304"/>
        <v>0</v>
      </c>
      <c r="CA122" s="4438">
        <f t="shared" si="305"/>
        <v>0</v>
      </c>
      <c r="CB122" s="4438">
        <f t="shared" si="306"/>
        <v>0</v>
      </c>
      <c r="CC122" s="4438">
        <f t="shared" si="307"/>
        <v>0</v>
      </c>
      <c r="CD122" s="4438">
        <f t="shared" si="308"/>
        <v>0</v>
      </c>
    </row>
    <row r="123" spans="1:82" s="40" customFormat="1">
      <c r="A123" s="2958">
        <v>13</v>
      </c>
      <c r="B123" s="2955" t="s">
        <v>699</v>
      </c>
      <c r="C123" s="2957">
        <v>0.02</v>
      </c>
      <c r="D123" s="2547" t="s">
        <v>739</v>
      </c>
      <c r="E123" s="2997"/>
      <c r="F123" s="404"/>
      <c r="G123" s="402"/>
      <c r="H123" s="402"/>
      <c r="I123" s="402"/>
      <c r="J123" s="402"/>
      <c r="K123" s="264"/>
      <c r="L123" s="2997"/>
      <c r="M123" s="404"/>
      <c r="N123" s="402"/>
      <c r="O123" s="402"/>
      <c r="P123" s="402"/>
      <c r="Q123" s="402"/>
      <c r="R123" s="264"/>
      <c r="S123" s="2997"/>
      <c r="T123" s="404"/>
      <c r="U123" s="402"/>
      <c r="V123" s="402"/>
      <c r="W123" s="402"/>
      <c r="X123" s="402"/>
      <c r="Y123" s="403"/>
      <c r="Z123" s="2997"/>
      <c r="AA123" s="404"/>
      <c r="AB123" s="402"/>
      <c r="AC123" s="402"/>
      <c r="AD123" s="402"/>
      <c r="AE123" s="402"/>
      <c r="AF123" s="403"/>
      <c r="AG123" s="2997"/>
      <c r="AH123" s="404"/>
      <c r="AI123" s="402"/>
      <c r="AJ123" s="402"/>
      <c r="AK123" s="402"/>
      <c r="AL123" s="402"/>
      <c r="AM123" s="403"/>
      <c r="AN123" s="2997"/>
      <c r="AO123" s="3002"/>
      <c r="AP123" s="3003"/>
      <c r="AQ123" s="3003"/>
      <c r="AR123" s="3003"/>
      <c r="AS123" s="3003"/>
      <c r="AT123" s="3004"/>
      <c r="AU123" s="4422"/>
      <c r="AV123" s="143"/>
      <c r="AW123" s="4438">
        <f t="shared" si="309"/>
        <v>0</v>
      </c>
      <c r="AX123" s="4438">
        <f t="shared" si="280"/>
        <v>0</v>
      </c>
      <c r="AY123" s="4438">
        <f t="shared" si="281"/>
        <v>0</v>
      </c>
      <c r="AZ123" s="4438">
        <f t="shared" si="282"/>
        <v>0</v>
      </c>
      <c r="BA123" s="4438">
        <f t="shared" si="283"/>
        <v>0</v>
      </c>
      <c r="BB123" s="4438">
        <f t="shared" si="284"/>
        <v>0</v>
      </c>
      <c r="BC123" s="143"/>
      <c r="BD123" s="4438">
        <f t="shared" si="285"/>
        <v>0</v>
      </c>
      <c r="BE123" s="4438">
        <f t="shared" si="286"/>
        <v>0</v>
      </c>
      <c r="BF123" s="4438">
        <f t="shared" si="287"/>
        <v>0</v>
      </c>
      <c r="BG123" s="4438">
        <f t="shared" si="288"/>
        <v>0</v>
      </c>
      <c r="BH123" s="4438">
        <f t="shared" si="289"/>
        <v>0</v>
      </c>
      <c r="BI123" s="4438">
        <f t="shared" si="290"/>
        <v>0</v>
      </c>
      <c r="BJ123" s="143"/>
      <c r="BK123" s="4438">
        <f t="shared" si="291"/>
        <v>0</v>
      </c>
      <c r="BL123" s="4438">
        <f t="shared" si="292"/>
        <v>0</v>
      </c>
      <c r="BM123" s="4438">
        <f t="shared" si="293"/>
        <v>0</v>
      </c>
      <c r="BN123" s="4438">
        <f t="shared" si="294"/>
        <v>0</v>
      </c>
      <c r="BO123" s="4438">
        <f t="shared" si="295"/>
        <v>0</v>
      </c>
      <c r="BP123" s="4438">
        <f t="shared" si="296"/>
        <v>0</v>
      </c>
      <c r="BQ123" s="143"/>
      <c r="BR123" s="4438">
        <f t="shared" si="297"/>
        <v>0</v>
      </c>
      <c r="BS123" s="4438">
        <f t="shared" si="298"/>
        <v>0</v>
      </c>
      <c r="BT123" s="4438">
        <f t="shared" si="299"/>
        <v>0</v>
      </c>
      <c r="BU123" s="4438">
        <f t="shared" si="300"/>
        <v>0</v>
      </c>
      <c r="BV123" s="4438">
        <f t="shared" si="301"/>
        <v>0</v>
      </c>
      <c r="BW123" s="4438">
        <f t="shared" si="302"/>
        <v>0</v>
      </c>
      <c r="BX123" s="143"/>
      <c r="BY123" s="4438">
        <f t="shared" si="303"/>
        <v>0</v>
      </c>
      <c r="BZ123" s="4438">
        <f t="shared" si="304"/>
        <v>0</v>
      </c>
      <c r="CA123" s="4438">
        <f t="shared" si="305"/>
        <v>0</v>
      </c>
      <c r="CB123" s="4438">
        <f t="shared" si="306"/>
        <v>0</v>
      </c>
      <c r="CC123" s="4438">
        <f t="shared" si="307"/>
        <v>0</v>
      </c>
      <c r="CD123" s="4438">
        <f t="shared" si="308"/>
        <v>0</v>
      </c>
    </row>
    <row r="124" spans="1:82" s="40" customFormat="1">
      <c r="A124" s="2958">
        <v>14</v>
      </c>
      <c r="B124" s="2955" t="s">
        <v>700</v>
      </c>
      <c r="C124" s="2957">
        <v>0.02</v>
      </c>
      <c r="D124" s="2547" t="s">
        <v>418</v>
      </c>
      <c r="E124" s="2997"/>
      <c r="F124" s="404"/>
      <c r="G124" s="402"/>
      <c r="H124" s="402"/>
      <c r="I124" s="402"/>
      <c r="J124" s="402"/>
      <c r="K124" s="264"/>
      <c r="L124" s="2997"/>
      <c r="M124" s="404"/>
      <c r="N124" s="402"/>
      <c r="O124" s="402"/>
      <c r="P124" s="402"/>
      <c r="Q124" s="402"/>
      <c r="R124" s="264"/>
      <c r="S124" s="2997"/>
      <c r="T124" s="404"/>
      <c r="U124" s="402"/>
      <c r="V124" s="402"/>
      <c r="W124" s="402"/>
      <c r="X124" s="402"/>
      <c r="Y124" s="403"/>
      <c r="Z124" s="2997"/>
      <c r="AA124" s="404"/>
      <c r="AB124" s="402"/>
      <c r="AC124" s="402"/>
      <c r="AD124" s="402"/>
      <c r="AE124" s="402"/>
      <c r="AF124" s="403"/>
      <c r="AG124" s="2997"/>
      <c r="AH124" s="404"/>
      <c r="AI124" s="402"/>
      <c r="AJ124" s="402"/>
      <c r="AK124" s="402"/>
      <c r="AL124" s="402"/>
      <c r="AM124" s="403"/>
      <c r="AN124" s="2997"/>
      <c r="AO124" s="3002"/>
      <c r="AP124" s="3003"/>
      <c r="AQ124" s="3003"/>
      <c r="AR124" s="3003"/>
      <c r="AS124" s="3003"/>
      <c r="AT124" s="3004"/>
      <c r="AU124" s="4422"/>
      <c r="AV124" s="143"/>
      <c r="AW124" s="4438">
        <f t="shared" si="309"/>
        <v>0</v>
      </c>
      <c r="AX124" s="4438">
        <f t="shared" si="280"/>
        <v>0</v>
      </c>
      <c r="AY124" s="4438">
        <f t="shared" si="281"/>
        <v>0</v>
      </c>
      <c r="AZ124" s="4438">
        <f t="shared" si="282"/>
        <v>0</v>
      </c>
      <c r="BA124" s="4438">
        <f t="shared" si="283"/>
        <v>0</v>
      </c>
      <c r="BB124" s="4438">
        <f t="shared" si="284"/>
        <v>0</v>
      </c>
      <c r="BC124" s="143"/>
      <c r="BD124" s="4438">
        <f t="shared" si="285"/>
        <v>0</v>
      </c>
      <c r="BE124" s="4438">
        <f t="shared" si="286"/>
        <v>0</v>
      </c>
      <c r="BF124" s="4438">
        <f t="shared" si="287"/>
        <v>0</v>
      </c>
      <c r="BG124" s="4438">
        <f t="shared" si="288"/>
        <v>0</v>
      </c>
      <c r="BH124" s="4438">
        <f t="shared" si="289"/>
        <v>0</v>
      </c>
      <c r="BI124" s="4438">
        <f t="shared" si="290"/>
        <v>0</v>
      </c>
      <c r="BJ124" s="143"/>
      <c r="BK124" s="4438">
        <f t="shared" si="291"/>
        <v>0</v>
      </c>
      <c r="BL124" s="4438">
        <f t="shared" si="292"/>
        <v>0</v>
      </c>
      <c r="BM124" s="4438">
        <f t="shared" si="293"/>
        <v>0</v>
      </c>
      <c r="BN124" s="4438">
        <f t="shared" si="294"/>
        <v>0</v>
      </c>
      <c r="BO124" s="4438">
        <f t="shared" si="295"/>
        <v>0</v>
      </c>
      <c r="BP124" s="4438">
        <f t="shared" si="296"/>
        <v>0</v>
      </c>
      <c r="BQ124" s="143"/>
      <c r="BR124" s="4438">
        <f t="shared" si="297"/>
        <v>0</v>
      </c>
      <c r="BS124" s="4438">
        <f t="shared" si="298"/>
        <v>0</v>
      </c>
      <c r="BT124" s="4438">
        <f t="shared" si="299"/>
        <v>0</v>
      </c>
      <c r="BU124" s="4438">
        <f t="shared" si="300"/>
        <v>0</v>
      </c>
      <c r="BV124" s="4438">
        <f t="shared" si="301"/>
        <v>0</v>
      </c>
      <c r="BW124" s="4438">
        <f t="shared" si="302"/>
        <v>0</v>
      </c>
      <c r="BX124" s="143"/>
      <c r="BY124" s="4438">
        <f t="shared" si="303"/>
        <v>0</v>
      </c>
      <c r="BZ124" s="4438">
        <f t="shared" si="304"/>
        <v>0</v>
      </c>
      <c r="CA124" s="4438">
        <f t="shared" si="305"/>
        <v>0</v>
      </c>
      <c r="CB124" s="4438">
        <f t="shared" si="306"/>
        <v>0</v>
      </c>
      <c r="CC124" s="4438">
        <f t="shared" si="307"/>
        <v>0</v>
      </c>
      <c r="CD124" s="4438">
        <f t="shared" si="308"/>
        <v>0</v>
      </c>
    </row>
    <row r="125" spans="1:82" s="40" customFormat="1">
      <c r="A125" s="2958">
        <v>15</v>
      </c>
      <c r="B125" s="2955" t="s">
        <v>701</v>
      </c>
      <c r="C125" s="2957">
        <v>0.02</v>
      </c>
      <c r="D125" s="2546" t="s">
        <v>419</v>
      </c>
      <c r="E125" s="2997"/>
      <c r="F125" s="404"/>
      <c r="G125" s="402"/>
      <c r="H125" s="402"/>
      <c r="I125" s="402"/>
      <c r="J125" s="402"/>
      <c r="K125" s="264"/>
      <c r="L125" s="2997"/>
      <c r="M125" s="404"/>
      <c r="N125" s="402"/>
      <c r="O125" s="402"/>
      <c r="P125" s="402"/>
      <c r="Q125" s="402"/>
      <c r="R125" s="264"/>
      <c r="S125" s="2997"/>
      <c r="T125" s="404"/>
      <c r="U125" s="402"/>
      <c r="V125" s="402"/>
      <c r="W125" s="402"/>
      <c r="X125" s="402"/>
      <c r="Y125" s="403"/>
      <c r="Z125" s="2997"/>
      <c r="AA125" s="404"/>
      <c r="AB125" s="402"/>
      <c r="AC125" s="402"/>
      <c r="AD125" s="402"/>
      <c r="AE125" s="402"/>
      <c r="AF125" s="403"/>
      <c r="AG125" s="2997"/>
      <c r="AH125" s="404"/>
      <c r="AI125" s="402"/>
      <c r="AJ125" s="402"/>
      <c r="AK125" s="402"/>
      <c r="AL125" s="402"/>
      <c r="AM125" s="403"/>
      <c r="AN125" s="2997"/>
      <c r="AO125" s="3002"/>
      <c r="AP125" s="3003"/>
      <c r="AQ125" s="3003"/>
      <c r="AR125" s="3003"/>
      <c r="AS125" s="3003"/>
      <c r="AT125" s="3004"/>
      <c r="AU125" s="4422"/>
      <c r="AV125" s="143"/>
      <c r="AW125" s="4438">
        <f t="shared" si="309"/>
        <v>0</v>
      </c>
      <c r="AX125" s="4438">
        <f t="shared" si="280"/>
        <v>0</v>
      </c>
      <c r="AY125" s="4438">
        <f t="shared" si="281"/>
        <v>0</v>
      </c>
      <c r="AZ125" s="4438">
        <f t="shared" si="282"/>
        <v>0</v>
      </c>
      <c r="BA125" s="4438">
        <f t="shared" si="283"/>
        <v>0</v>
      </c>
      <c r="BB125" s="4438">
        <f t="shared" si="284"/>
        <v>0</v>
      </c>
      <c r="BC125" s="143"/>
      <c r="BD125" s="4438">
        <f t="shared" si="285"/>
        <v>0</v>
      </c>
      <c r="BE125" s="4438">
        <f t="shared" si="286"/>
        <v>0</v>
      </c>
      <c r="BF125" s="4438">
        <f t="shared" si="287"/>
        <v>0</v>
      </c>
      <c r="BG125" s="4438">
        <f t="shared" si="288"/>
        <v>0</v>
      </c>
      <c r="BH125" s="4438">
        <f t="shared" si="289"/>
        <v>0</v>
      </c>
      <c r="BI125" s="4438">
        <f t="shared" si="290"/>
        <v>0</v>
      </c>
      <c r="BJ125" s="143"/>
      <c r="BK125" s="4438">
        <f t="shared" si="291"/>
        <v>0</v>
      </c>
      <c r="BL125" s="4438">
        <f t="shared" si="292"/>
        <v>0</v>
      </c>
      <c r="BM125" s="4438">
        <f t="shared" si="293"/>
        <v>0</v>
      </c>
      <c r="BN125" s="4438">
        <f t="shared" si="294"/>
        <v>0</v>
      </c>
      <c r="BO125" s="4438">
        <f t="shared" si="295"/>
        <v>0</v>
      </c>
      <c r="BP125" s="4438">
        <f t="shared" si="296"/>
        <v>0</v>
      </c>
      <c r="BQ125" s="143"/>
      <c r="BR125" s="4438">
        <f t="shared" si="297"/>
        <v>0</v>
      </c>
      <c r="BS125" s="4438">
        <f t="shared" si="298"/>
        <v>0</v>
      </c>
      <c r="BT125" s="4438">
        <f t="shared" si="299"/>
        <v>0</v>
      </c>
      <c r="BU125" s="4438">
        <f t="shared" si="300"/>
        <v>0</v>
      </c>
      <c r="BV125" s="4438">
        <f t="shared" si="301"/>
        <v>0</v>
      </c>
      <c r="BW125" s="4438">
        <f t="shared" si="302"/>
        <v>0</v>
      </c>
      <c r="BX125" s="143"/>
      <c r="BY125" s="4438">
        <f t="shared" si="303"/>
        <v>0</v>
      </c>
      <c r="BZ125" s="4438">
        <f t="shared" si="304"/>
        <v>0</v>
      </c>
      <c r="CA125" s="4438">
        <f t="shared" si="305"/>
        <v>0</v>
      </c>
      <c r="CB125" s="4438">
        <f t="shared" si="306"/>
        <v>0</v>
      </c>
      <c r="CC125" s="4438">
        <f t="shared" si="307"/>
        <v>0</v>
      </c>
      <c r="CD125" s="4438">
        <f t="shared" si="308"/>
        <v>0</v>
      </c>
    </row>
    <row r="126" spans="1:82" s="40" customFormat="1">
      <c r="A126" s="2958">
        <v>16</v>
      </c>
      <c r="B126" s="2955" t="s">
        <v>702</v>
      </c>
      <c r="C126" s="2957">
        <v>0.02</v>
      </c>
      <c r="D126" s="2547" t="s">
        <v>420</v>
      </c>
      <c r="E126" s="2997"/>
      <c r="F126" s="404"/>
      <c r="G126" s="402"/>
      <c r="H126" s="402"/>
      <c r="I126" s="402"/>
      <c r="J126" s="402"/>
      <c r="K126" s="264"/>
      <c r="L126" s="2997"/>
      <c r="M126" s="404"/>
      <c r="N126" s="402"/>
      <c r="O126" s="402"/>
      <c r="P126" s="402"/>
      <c r="Q126" s="402"/>
      <c r="R126" s="264"/>
      <c r="S126" s="2997"/>
      <c r="T126" s="404"/>
      <c r="U126" s="402"/>
      <c r="V126" s="402"/>
      <c r="W126" s="402"/>
      <c r="X126" s="402"/>
      <c r="Y126" s="403"/>
      <c r="Z126" s="2997"/>
      <c r="AA126" s="404"/>
      <c r="AB126" s="402"/>
      <c r="AC126" s="402"/>
      <c r="AD126" s="402"/>
      <c r="AE126" s="402"/>
      <c r="AF126" s="403"/>
      <c r="AG126" s="2997"/>
      <c r="AH126" s="404"/>
      <c r="AI126" s="402"/>
      <c r="AJ126" s="402"/>
      <c r="AK126" s="402"/>
      <c r="AL126" s="402"/>
      <c r="AM126" s="403"/>
      <c r="AN126" s="2997"/>
      <c r="AO126" s="3002"/>
      <c r="AP126" s="3003"/>
      <c r="AQ126" s="3003"/>
      <c r="AR126" s="3003"/>
      <c r="AS126" s="3003"/>
      <c r="AT126" s="3004"/>
      <c r="AU126" s="4422"/>
      <c r="AV126" s="143"/>
      <c r="AW126" s="4438">
        <f t="shared" si="309"/>
        <v>0</v>
      </c>
      <c r="AX126" s="4438">
        <f t="shared" si="280"/>
        <v>0</v>
      </c>
      <c r="AY126" s="4438">
        <f t="shared" si="281"/>
        <v>0</v>
      </c>
      <c r="AZ126" s="4438">
        <f t="shared" si="282"/>
        <v>0</v>
      </c>
      <c r="BA126" s="4438">
        <f t="shared" si="283"/>
        <v>0</v>
      </c>
      <c r="BB126" s="4438">
        <f t="shared" si="284"/>
        <v>0</v>
      </c>
      <c r="BC126" s="143"/>
      <c r="BD126" s="4438">
        <f t="shared" si="285"/>
        <v>0</v>
      </c>
      <c r="BE126" s="4438">
        <f t="shared" si="286"/>
        <v>0</v>
      </c>
      <c r="BF126" s="4438">
        <f t="shared" si="287"/>
        <v>0</v>
      </c>
      <c r="BG126" s="4438">
        <f t="shared" si="288"/>
        <v>0</v>
      </c>
      <c r="BH126" s="4438">
        <f t="shared" si="289"/>
        <v>0</v>
      </c>
      <c r="BI126" s="4438">
        <f t="shared" si="290"/>
        <v>0</v>
      </c>
      <c r="BJ126" s="143"/>
      <c r="BK126" s="4438">
        <f t="shared" si="291"/>
        <v>0</v>
      </c>
      <c r="BL126" s="4438">
        <f t="shared" si="292"/>
        <v>0</v>
      </c>
      <c r="BM126" s="4438">
        <f t="shared" si="293"/>
        <v>0</v>
      </c>
      <c r="BN126" s="4438">
        <f t="shared" si="294"/>
        <v>0</v>
      </c>
      <c r="BO126" s="4438">
        <f t="shared" si="295"/>
        <v>0</v>
      </c>
      <c r="BP126" s="4438">
        <f t="shared" si="296"/>
        <v>0</v>
      </c>
      <c r="BQ126" s="143"/>
      <c r="BR126" s="4438">
        <f t="shared" si="297"/>
        <v>0</v>
      </c>
      <c r="BS126" s="4438">
        <f t="shared" si="298"/>
        <v>0</v>
      </c>
      <c r="BT126" s="4438">
        <f t="shared" si="299"/>
        <v>0</v>
      </c>
      <c r="BU126" s="4438">
        <f t="shared" si="300"/>
        <v>0</v>
      </c>
      <c r="BV126" s="4438">
        <f t="shared" si="301"/>
        <v>0</v>
      </c>
      <c r="BW126" s="4438">
        <f t="shared" si="302"/>
        <v>0</v>
      </c>
      <c r="BX126" s="143"/>
      <c r="BY126" s="4438">
        <f t="shared" si="303"/>
        <v>0</v>
      </c>
      <c r="BZ126" s="4438">
        <f t="shared" si="304"/>
        <v>0</v>
      </c>
      <c r="CA126" s="4438">
        <f t="shared" si="305"/>
        <v>0</v>
      </c>
      <c r="CB126" s="4438">
        <f t="shared" si="306"/>
        <v>0</v>
      </c>
      <c r="CC126" s="4438">
        <f t="shared" si="307"/>
        <v>0</v>
      </c>
      <c r="CD126" s="4438">
        <f t="shared" si="308"/>
        <v>0</v>
      </c>
    </row>
    <row r="127" spans="1:82" s="40" customFormat="1">
      <c r="A127" s="2958">
        <v>17</v>
      </c>
      <c r="B127" s="2955" t="s">
        <v>703</v>
      </c>
      <c r="C127" s="2957">
        <v>0.02</v>
      </c>
      <c r="D127" s="2552" t="s">
        <v>421</v>
      </c>
      <c r="E127" s="2997"/>
      <c r="F127" s="404"/>
      <c r="G127" s="402"/>
      <c r="H127" s="402"/>
      <c r="I127" s="402"/>
      <c r="J127" s="402"/>
      <c r="K127" s="264"/>
      <c r="L127" s="2997"/>
      <c r="M127" s="404"/>
      <c r="N127" s="402"/>
      <c r="O127" s="402"/>
      <c r="P127" s="402"/>
      <c r="Q127" s="402"/>
      <c r="R127" s="264"/>
      <c r="S127" s="2997"/>
      <c r="T127" s="404"/>
      <c r="U127" s="402"/>
      <c r="V127" s="402"/>
      <c r="W127" s="402"/>
      <c r="X127" s="402"/>
      <c r="Y127" s="403"/>
      <c r="Z127" s="2997"/>
      <c r="AA127" s="404"/>
      <c r="AB127" s="402"/>
      <c r="AC127" s="402"/>
      <c r="AD127" s="402"/>
      <c r="AE127" s="402"/>
      <c r="AF127" s="403"/>
      <c r="AG127" s="2997"/>
      <c r="AH127" s="404"/>
      <c r="AI127" s="402"/>
      <c r="AJ127" s="402"/>
      <c r="AK127" s="402"/>
      <c r="AL127" s="402"/>
      <c r="AM127" s="403"/>
      <c r="AN127" s="2997"/>
      <c r="AO127" s="3002"/>
      <c r="AP127" s="3003"/>
      <c r="AQ127" s="3003"/>
      <c r="AR127" s="3003"/>
      <c r="AS127" s="3003"/>
      <c r="AT127" s="3004"/>
      <c r="AU127" s="4422"/>
      <c r="AV127" s="143"/>
      <c r="AW127" s="4438">
        <f t="shared" si="309"/>
        <v>0</v>
      </c>
      <c r="AX127" s="4438">
        <f t="shared" si="280"/>
        <v>0</v>
      </c>
      <c r="AY127" s="4438">
        <f t="shared" si="281"/>
        <v>0</v>
      </c>
      <c r="AZ127" s="4438">
        <f t="shared" si="282"/>
        <v>0</v>
      </c>
      <c r="BA127" s="4438">
        <f t="shared" si="283"/>
        <v>0</v>
      </c>
      <c r="BB127" s="4438">
        <f t="shared" si="284"/>
        <v>0</v>
      </c>
      <c r="BC127" s="143"/>
      <c r="BD127" s="4438">
        <f t="shared" si="285"/>
        <v>0</v>
      </c>
      <c r="BE127" s="4438">
        <f t="shared" si="286"/>
        <v>0</v>
      </c>
      <c r="BF127" s="4438">
        <f t="shared" si="287"/>
        <v>0</v>
      </c>
      <c r="BG127" s="4438">
        <f t="shared" si="288"/>
        <v>0</v>
      </c>
      <c r="BH127" s="4438">
        <f t="shared" si="289"/>
        <v>0</v>
      </c>
      <c r="BI127" s="4438">
        <f t="shared" si="290"/>
        <v>0</v>
      </c>
      <c r="BJ127" s="143"/>
      <c r="BK127" s="4438">
        <f t="shared" si="291"/>
        <v>0</v>
      </c>
      <c r="BL127" s="4438">
        <f t="shared" si="292"/>
        <v>0</v>
      </c>
      <c r="BM127" s="4438">
        <f t="shared" si="293"/>
        <v>0</v>
      </c>
      <c r="BN127" s="4438">
        <f t="shared" si="294"/>
        <v>0</v>
      </c>
      <c r="BO127" s="4438">
        <f t="shared" si="295"/>
        <v>0</v>
      </c>
      <c r="BP127" s="4438">
        <f t="shared" si="296"/>
        <v>0</v>
      </c>
      <c r="BQ127" s="143"/>
      <c r="BR127" s="4438">
        <f t="shared" si="297"/>
        <v>0</v>
      </c>
      <c r="BS127" s="4438">
        <f t="shared" si="298"/>
        <v>0</v>
      </c>
      <c r="BT127" s="4438">
        <f t="shared" si="299"/>
        <v>0</v>
      </c>
      <c r="BU127" s="4438">
        <f t="shared" si="300"/>
        <v>0</v>
      </c>
      <c r="BV127" s="4438">
        <f t="shared" si="301"/>
        <v>0</v>
      </c>
      <c r="BW127" s="4438">
        <f t="shared" si="302"/>
        <v>0</v>
      </c>
      <c r="BX127" s="143"/>
      <c r="BY127" s="4438">
        <f t="shared" si="303"/>
        <v>0</v>
      </c>
      <c r="BZ127" s="4438">
        <f t="shared" si="304"/>
        <v>0</v>
      </c>
      <c r="CA127" s="4438">
        <f t="shared" si="305"/>
        <v>0</v>
      </c>
      <c r="CB127" s="4438">
        <f t="shared" si="306"/>
        <v>0</v>
      </c>
      <c r="CC127" s="4438">
        <f t="shared" si="307"/>
        <v>0</v>
      </c>
      <c r="CD127" s="4438">
        <f t="shared" si="308"/>
        <v>0</v>
      </c>
    </row>
    <row r="128" spans="1:82" s="40" customFormat="1" ht="24">
      <c r="A128" s="2958">
        <v>18</v>
      </c>
      <c r="B128" s="2955" t="s">
        <v>704</v>
      </c>
      <c r="C128" s="2957">
        <v>0.04</v>
      </c>
      <c r="D128" s="2552" t="s">
        <v>422</v>
      </c>
      <c r="E128" s="2997"/>
      <c r="F128" s="404"/>
      <c r="G128" s="402"/>
      <c r="H128" s="402"/>
      <c r="I128" s="402"/>
      <c r="J128" s="402"/>
      <c r="K128" s="264"/>
      <c r="L128" s="2997"/>
      <c r="M128" s="404"/>
      <c r="N128" s="402"/>
      <c r="O128" s="402"/>
      <c r="P128" s="402"/>
      <c r="Q128" s="402"/>
      <c r="R128" s="264"/>
      <c r="S128" s="2997"/>
      <c r="T128" s="404"/>
      <c r="U128" s="402"/>
      <c r="V128" s="402"/>
      <c r="W128" s="402"/>
      <c r="X128" s="402"/>
      <c r="Y128" s="403"/>
      <c r="Z128" s="2997"/>
      <c r="AA128" s="404"/>
      <c r="AB128" s="402"/>
      <c r="AC128" s="402"/>
      <c r="AD128" s="402"/>
      <c r="AE128" s="402"/>
      <c r="AF128" s="403"/>
      <c r="AG128" s="2997"/>
      <c r="AH128" s="404"/>
      <c r="AI128" s="402"/>
      <c r="AJ128" s="402"/>
      <c r="AK128" s="402"/>
      <c r="AL128" s="402"/>
      <c r="AM128" s="403"/>
      <c r="AN128" s="2997"/>
      <c r="AO128" s="3002"/>
      <c r="AP128" s="3003"/>
      <c r="AQ128" s="3003"/>
      <c r="AR128" s="3003"/>
      <c r="AS128" s="3003"/>
      <c r="AT128" s="3004"/>
      <c r="AU128" s="4422"/>
      <c r="AV128" s="143"/>
      <c r="AW128" s="4438">
        <f t="shared" si="309"/>
        <v>0</v>
      </c>
      <c r="AX128" s="4438">
        <f t="shared" si="280"/>
        <v>0</v>
      </c>
      <c r="AY128" s="4438">
        <f t="shared" si="281"/>
        <v>0</v>
      </c>
      <c r="AZ128" s="4438">
        <f t="shared" si="282"/>
        <v>0</v>
      </c>
      <c r="BA128" s="4438">
        <f t="shared" si="283"/>
        <v>0</v>
      </c>
      <c r="BB128" s="4438">
        <f t="shared" si="284"/>
        <v>0</v>
      </c>
      <c r="BC128" s="143"/>
      <c r="BD128" s="4438">
        <f t="shared" si="285"/>
        <v>0</v>
      </c>
      <c r="BE128" s="4438">
        <f t="shared" si="286"/>
        <v>0</v>
      </c>
      <c r="BF128" s="4438">
        <f t="shared" si="287"/>
        <v>0</v>
      </c>
      <c r="BG128" s="4438">
        <f t="shared" si="288"/>
        <v>0</v>
      </c>
      <c r="BH128" s="4438">
        <f t="shared" si="289"/>
        <v>0</v>
      </c>
      <c r="BI128" s="4438">
        <f t="shared" si="290"/>
        <v>0</v>
      </c>
      <c r="BJ128" s="143"/>
      <c r="BK128" s="4438">
        <f t="shared" si="291"/>
        <v>0</v>
      </c>
      <c r="BL128" s="4438">
        <f t="shared" si="292"/>
        <v>0</v>
      </c>
      <c r="BM128" s="4438">
        <f t="shared" si="293"/>
        <v>0</v>
      </c>
      <c r="BN128" s="4438">
        <f t="shared" si="294"/>
        <v>0</v>
      </c>
      <c r="BO128" s="4438">
        <f t="shared" si="295"/>
        <v>0</v>
      </c>
      <c r="BP128" s="4438">
        <f t="shared" si="296"/>
        <v>0</v>
      </c>
      <c r="BQ128" s="143"/>
      <c r="BR128" s="4438">
        <f t="shared" si="297"/>
        <v>0</v>
      </c>
      <c r="BS128" s="4438">
        <f t="shared" si="298"/>
        <v>0</v>
      </c>
      <c r="BT128" s="4438">
        <f t="shared" si="299"/>
        <v>0</v>
      </c>
      <c r="BU128" s="4438">
        <f t="shared" si="300"/>
        <v>0</v>
      </c>
      <c r="BV128" s="4438">
        <f t="shared" si="301"/>
        <v>0</v>
      </c>
      <c r="BW128" s="4438">
        <f t="shared" si="302"/>
        <v>0</v>
      </c>
      <c r="BX128" s="143"/>
      <c r="BY128" s="4438">
        <f t="shared" si="303"/>
        <v>0</v>
      </c>
      <c r="BZ128" s="4438">
        <f t="shared" si="304"/>
        <v>0</v>
      </c>
      <c r="CA128" s="4438">
        <f t="shared" si="305"/>
        <v>0</v>
      </c>
      <c r="CB128" s="4438">
        <f t="shared" si="306"/>
        <v>0</v>
      </c>
      <c r="CC128" s="4438">
        <f t="shared" si="307"/>
        <v>0</v>
      </c>
      <c r="CD128" s="4438">
        <f t="shared" si="308"/>
        <v>0</v>
      </c>
    </row>
    <row r="129" spans="1:82" s="40" customFormat="1">
      <c r="A129" s="2958">
        <v>19</v>
      </c>
      <c r="B129" s="2955" t="s">
        <v>705</v>
      </c>
      <c r="C129" s="2957">
        <v>0.04</v>
      </c>
      <c r="D129" s="2552" t="s">
        <v>423</v>
      </c>
      <c r="E129" s="2997"/>
      <c r="F129" s="404"/>
      <c r="G129" s="402"/>
      <c r="H129" s="402"/>
      <c r="I129" s="402"/>
      <c r="J129" s="402"/>
      <c r="K129" s="264"/>
      <c r="L129" s="2997"/>
      <c r="M129" s="404"/>
      <c r="N129" s="402"/>
      <c r="O129" s="402"/>
      <c r="P129" s="402"/>
      <c r="Q129" s="402"/>
      <c r="R129" s="264"/>
      <c r="S129" s="2997"/>
      <c r="T129" s="404"/>
      <c r="U129" s="402"/>
      <c r="V129" s="402"/>
      <c r="W129" s="402"/>
      <c r="X129" s="402"/>
      <c r="Y129" s="403"/>
      <c r="Z129" s="2997"/>
      <c r="AA129" s="404"/>
      <c r="AB129" s="402"/>
      <c r="AC129" s="402"/>
      <c r="AD129" s="402"/>
      <c r="AE129" s="402"/>
      <c r="AF129" s="403"/>
      <c r="AG129" s="2997"/>
      <c r="AH129" s="404"/>
      <c r="AI129" s="402"/>
      <c r="AJ129" s="402"/>
      <c r="AK129" s="402"/>
      <c r="AL129" s="402"/>
      <c r="AM129" s="403"/>
      <c r="AN129" s="2997"/>
      <c r="AO129" s="3002"/>
      <c r="AP129" s="3003"/>
      <c r="AQ129" s="3003"/>
      <c r="AR129" s="3003"/>
      <c r="AS129" s="3003"/>
      <c r="AT129" s="3004"/>
      <c r="AU129" s="4422"/>
      <c r="AV129" s="143"/>
      <c r="AW129" s="4438">
        <f t="shared" si="309"/>
        <v>0</v>
      </c>
      <c r="AX129" s="4438">
        <f t="shared" si="280"/>
        <v>0</v>
      </c>
      <c r="AY129" s="4438">
        <f t="shared" si="281"/>
        <v>0</v>
      </c>
      <c r="AZ129" s="4438">
        <f t="shared" si="282"/>
        <v>0</v>
      </c>
      <c r="BA129" s="4438">
        <f t="shared" si="283"/>
        <v>0</v>
      </c>
      <c r="BB129" s="4438">
        <f t="shared" si="284"/>
        <v>0</v>
      </c>
      <c r="BC129" s="143"/>
      <c r="BD129" s="4438">
        <f t="shared" si="285"/>
        <v>0</v>
      </c>
      <c r="BE129" s="4438">
        <f t="shared" si="286"/>
        <v>0</v>
      </c>
      <c r="BF129" s="4438">
        <f t="shared" si="287"/>
        <v>0</v>
      </c>
      <c r="BG129" s="4438">
        <f t="shared" si="288"/>
        <v>0</v>
      </c>
      <c r="BH129" s="4438">
        <f t="shared" si="289"/>
        <v>0</v>
      </c>
      <c r="BI129" s="4438">
        <f t="shared" si="290"/>
        <v>0</v>
      </c>
      <c r="BJ129" s="143"/>
      <c r="BK129" s="4438">
        <f t="shared" si="291"/>
        <v>0</v>
      </c>
      <c r="BL129" s="4438">
        <f t="shared" si="292"/>
        <v>0</v>
      </c>
      <c r="BM129" s="4438">
        <f t="shared" si="293"/>
        <v>0</v>
      </c>
      <c r="BN129" s="4438">
        <f t="shared" si="294"/>
        <v>0</v>
      </c>
      <c r="BO129" s="4438">
        <f t="shared" si="295"/>
        <v>0</v>
      </c>
      <c r="BP129" s="4438">
        <f t="shared" si="296"/>
        <v>0</v>
      </c>
      <c r="BQ129" s="143"/>
      <c r="BR129" s="4438">
        <f t="shared" si="297"/>
        <v>0</v>
      </c>
      <c r="BS129" s="4438">
        <f t="shared" si="298"/>
        <v>0</v>
      </c>
      <c r="BT129" s="4438">
        <f t="shared" si="299"/>
        <v>0</v>
      </c>
      <c r="BU129" s="4438">
        <f t="shared" si="300"/>
        <v>0</v>
      </c>
      <c r="BV129" s="4438">
        <f t="shared" si="301"/>
        <v>0</v>
      </c>
      <c r="BW129" s="4438">
        <f t="shared" si="302"/>
        <v>0</v>
      </c>
      <c r="BX129" s="143"/>
      <c r="BY129" s="4438">
        <f t="shared" si="303"/>
        <v>0</v>
      </c>
      <c r="BZ129" s="4438">
        <f t="shared" si="304"/>
        <v>0</v>
      </c>
      <c r="CA129" s="4438">
        <f t="shared" si="305"/>
        <v>0</v>
      </c>
      <c r="CB129" s="4438">
        <f t="shared" si="306"/>
        <v>0</v>
      </c>
      <c r="CC129" s="4438">
        <f t="shared" si="307"/>
        <v>0</v>
      </c>
      <c r="CD129" s="4438">
        <f t="shared" si="308"/>
        <v>0</v>
      </c>
    </row>
    <row r="130" spans="1:82" s="40" customFormat="1">
      <c r="A130" s="2958">
        <v>20</v>
      </c>
      <c r="B130" s="2955" t="s">
        <v>717</v>
      </c>
      <c r="C130" s="2957">
        <v>0.04</v>
      </c>
      <c r="D130" s="2956" t="s">
        <v>434</v>
      </c>
      <c r="E130" s="2997"/>
      <c r="F130" s="404"/>
      <c r="G130" s="402"/>
      <c r="H130" s="402"/>
      <c r="I130" s="402"/>
      <c r="J130" s="402"/>
      <c r="K130" s="264"/>
      <c r="L130" s="2997"/>
      <c r="M130" s="404"/>
      <c r="N130" s="402"/>
      <c r="O130" s="402"/>
      <c r="P130" s="402"/>
      <c r="Q130" s="402"/>
      <c r="R130" s="264"/>
      <c r="S130" s="2997"/>
      <c r="T130" s="404"/>
      <c r="U130" s="402"/>
      <c r="V130" s="402"/>
      <c r="W130" s="402"/>
      <c r="X130" s="402"/>
      <c r="Y130" s="403"/>
      <c r="Z130" s="2997"/>
      <c r="AA130" s="404"/>
      <c r="AB130" s="402"/>
      <c r="AC130" s="402"/>
      <c r="AD130" s="402"/>
      <c r="AE130" s="402"/>
      <c r="AF130" s="403"/>
      <c r="AG130" s="2997"/>
      <c r="AH130" s="404"/>
      <c r="AI130" s="402"/>
      <c r="AJ130" s="402"/>
      <c r="AK130" s="402"/>
      <c r="AL130" s="402"/>
      <c r="AM130" s="403"/>
      <c r="AN130" s="2997"/>
      <c r="AO130" s="3002"/>
      <c r="AP130" s="3003"/>
      <c r="AQ130" s="3003"/>
      <c r="AR130" s="3003"/>
      <c r="AS130" s="3003"/>
      <c r="AT130" s="3004"/>
      <c r="AU130" s="4422"/>
      <c r="AV130" s="143"/>
      <c r="AW130" s="4438">
        <f t="shared" si="309"/>
        <v>0</v>
      </c>
      <c r="AX130" s="4438">
        <f t="shared" si="280"/>
        <v>0</v>
      </c>
      <c r="AY130" s="4438">
        <f t="shared" si="281"/>
        <v>0</v>
      </c>
      <c r="AZ130" s="4438">
        <f t="shared" si="282"/>
        <v>0</v>
      </c>
      <c r="BA130" s="4438">
        <f t="shared" si="283"/>
        <v>0</v>
      </c>
      <c r="BB130" s="4438">
        <f t="shared" si="284"/>
        <v>0</v>
      </c>
      <c r="BC130" s="143"/>
      <c r="BD130" s="4438">
        <f t="shared" si="285"/>
        <v>0</v>
      </c>
      <c r="BE130" s="4438">
        <f t="shared" si="286"/>
        <v>0</v>
      </c>
      <c r="BF130" s="4438">
        <f t="shared" si="287"/>
        <v>0</v>
      </c>
      <c r="BG130" s="4438">
        <f t="shared" si="288"/>
        <v>0</v>
      </c>
      <c r="BH130" s="4438">
        <f t="shared" si="289"/>
        <v>0</v>
      </c>
      <c r="BI130" s="4438">
        <f t="shared" si="290"/>
        <v>0</v>
      </c>
      <c r="BJ130" s="143"/>
      <c r="BK130" s="4438">
        <f t="shared" si="291"/>
        <v>0</v>
      </c>
      <c r="BL130" s="4438">
        <f t="shared" si="292"/>
        <v>0</v>
      </c>
      <c r="BM130" s="4438">
        <f t="shared" si="293"/>
        <v>0</v>
      </c>
      <c r="BN130" s="4438">
        <f t="shared" si="294"/>
        <v>0</v>
      </c>
      <c r="BO130" s="4438">
        <f t="shared" si="295"/>
        <v>0</v>
      </c>
      <c r="BP130" s="4438">
        <f t="shared" si="296"/>
        <v>0</v>
      </c>
      <c r="BQ130" s="143"/>
      <c r="BR130" s="4438">
        <f t="shared" si="297"/>
        <v>0</v>
      </c>
      <c r="BS130" s="4438">
        <f t="shared" si="298"/>
        <v>0</v>
      </c>
      <c r="BT130" s="4438">
        <f t="shared" si="299"/>
        <v>0</v>
      </c>
      <c r="BU130" s="4438">
        <f t="shared" si="300"/>
        <v>0</v>
      </c>
      <c r="BV130" s="4438">
        <f t="shared" si="301"/>
        <v>0</v>
      </c>
      <c r="BW130" s="4438">
        <f t="shared" si="302"/>
        <v>0</v>
      </c>
      <c r="BX130" s="143"/>
      <c r="BY130" s="4438">
        <f t="shared" si="303"/>
        <v>0</v>
      </c>
      <c r="BZ130" s="4438">
        <f t="shared" si="304"/>
        <v>0</v>
      </c>
      <c r="CA130" s="4438">
        <f t="shared" si="305"/>
        <v>0</v>
      </c>
      <c r="CB130" s="4438">
        <f t="shared" si="306"/>
        <v>0</v>
      </c>
      <c r="CC130" s="4438">
        <f t="shared" si="307"/>
        <v>0</v>
      </c>
      <c r="CD130" s="4438">
        <f t="shared" si="308"/>
        <v>0</v>
      </c>
    </row>
    <row r="131" spans="1:82" s="40" customFormat="1" ht="24.75" thickBot="1">
      <c r="A131" s="2958">
        <v>21</v>
      </c>
      <c r="B131" s="2955" t="s">
        <v>707</v>
      </c>
      <c r="C131" s="2883">
        <v>0.2</v>
      </c>
      <c r="D131" s="2552" t="s">
        <v>679</v>
      </c>
      <c r="E131" s="2997"/>
      <c r="F131" s="404"/>
      <c r="G131" s="402"/>
      <c r="H131" s="402"/>
      <c r="I131" s="402"/>
      <c r="J131" s="402"/>
      <c r="K131" s="264"/>
      <c r="L131" s="2997"/>
      <c r="M131" s="404"/>
      <c r="N131" s="402"/>
      <c r="O131" s="402"/>
      <c r="P131" s="402"/>
      <c r="Q131" s="402"/>
      <c r="R131" s="264"/>
      <c r="S131" s="2997"/>
      <c r="T131" s="404"/>
      <c r="U131" s="402"/>
      <c r="V131" s="402"/>
      <c r="W131" s="402"/>
      <c r="X131" s="402"/>
      <c r="Y131" s="403"/>
      <c r="Z131" s="2997"/>
      <c r="AA131" s="404"/>
      <c r="AB131" s="402"/>
      <c r="AC131" s="402"/>
      <c r="AD131" s="402"/>
      <c r="AE131" s="402"/>
      <c r="AF131" s="403"/>
      <c r="AG131" s="2997"/>
      <c r="AH131" s="404"/>
      <c r="AI131" s="402"/>
      <c r="AJ131" s="402"/>
      <c r="AK131" s="402"/>
      <c r="AL131" s="402"/>
      <c r="AM131" s="403"/>
      <c r="AN131" s="3005"/>
      <c r="AO131" s="3006"/>
      <c r="AP131" s="3007"/>
      <c r="AQ131" s="3007"/>
      <c r="AR131" s="3007"/>
      <c r="AS131" s="3007"/>
      <c r="AT131" s="3008"/>
      <c r="AU131" s="4422"/>
      <c r="AV131" s="143"/>
      <c r="AW131" s="4438">
        <f t="shared" si="309"/>
        <v>0</v>
      </c>
      <c r="AX131" s="4438">
        <f t="shared" si="280"/>
        <v>0</v>
      </c>
      <c r="AY131" s="4438">
        <f t="shared" si="281"/>
        <v>0</v>
      </c>
      <c r="AZ131" s="4438">
        <f t="shared" si="282"/>
        <v>0</v>
      </c>
      <c r="BA131" s="4438">
        <f t="shared" si="283"/>
        <v>0</v>
      </c>
      <c r="BB131" s="4438">
        <f t="shared" si="284"/>
        <v>0</v>
      </c>
      <c r="BC131" s="143"/>
      <c r="BD131" s="4438">
        <f t="shared" si="285"/>
        <v>0</v>
      </c>
      <c r="BE131" s="4438">
        <f t="shared" si="286"/>
        <v>0</v>
      </c>
      <c r="BF131" s="4438">
        <f t="shared" si="287"/>
        <v>0</v>
      </c>
      <c r="BG131" s="4438">
        <f t="shared" si="288"/>
        <v>0</v>
      </c>
      <c r="BH131" s="4438">
        <f t="shared" si="289"/>
        <v>0</v>
      </c>
      <c r="BI131" s="4438">
        <f t="shared" si="290"/>
        <v>0</v>
      </c>
      <c r="BJ131" s="143"/>
      <c r="BK131" s="4438">
        <f t="shared" si="291"/>
        <v>0</v>
      </c>
      <c r="BL131" s="4438">
        <f t="shared" si="292"/>
        <v>0</v>
      </c>
      <c r="BM131" s="4438">
        <f t="shared" si="293"/>
        <v>0</v>
      </c>
      <c r="BN131" s="4438">
        <f t="shared" si="294"/>
        <v>0</v>
      </c>
      <c r="BO131" s="4438">
        <f t="shared" si="295"/>
        <v>0</v>
      </c>
      <c r="BP131" s="4438">
        <f t="shared" si="296"/>
        <v>0</v>
      </c>
      <c r="BQ131" s="143"/>
      <c r="BR131" s="4438">
        <f t="shared" si="297"/>
        <v>0</v>
      </c>
      <c r="BS131" s="4438">
        <f t="shared" si="298"/>
        <v>0</v>
      </c>
      <c r="BT131" s="4438">
        <f t="shared" si="299"/>
        <v>0</v>
      </c>
      <c r="BU131" s="4438">
        <f t="shared" si="300"/>
        <v>0</v>
      </c>
      <c r="BV131" s="4438">
        <f t="shared" si="301"/>
        <v>0</v>
      </c>
      <c r="BW131" s="4438">
        <f t="shared" si="302"/>
        <v>0</v>
      </c>
      <c r="BX131" s="143"/>
      <c r="BY131" s="4438">
        <f t="shared" si="303"/>
        <v>0</v>
      </c>
      <c r="BZ131" s="4438">
        <f t="shared" si="304"/>
        <v>0</v>
      </c>
      <c r="CA131" s="4438">
        <f t="shared" si="305"/>
        <v>0</v>
      </c>
      <c r="CB131" s="4438">
        <f t="shared" si="306"/>
        <v>0</v>
      </c>
      <c r="CC131" s="4438">
        <f t="shared" si="307"/>
        <v>0</v>
      </c>
      <c r="CD131" s="4438">
        <f t="shared" si="308"/>
        <v>0</v>
      </c>
    </row>
    <row r="132" spans="1:82" s="40" customFormat="1" ht="30" customHeight="1" thickBot="1">
      <c r="A132" s="2825" t="s">
        <v>465</v>
      </c>
      <c r="B132" s="2826"/>
      <c r="C132" s="2826"/>
      <c r="D132" s="2960" t="s">
        <v>1054</v>
      </c>
      <c r="E132" s="2830">
        <f>SUM(E133:E153)</f>
        <v>0</v>
      </c>
      <c r="F132" s="2827">
        <f>SUM(F133:F153)</f>
        <v>30</v>
      </c>
      <c r="G132" s="2828">
        <f t="shared" ref="G132:AT132" si="310">SUM(G133:G153)</f>
        <v>0</v>
      </c>
      <c r="H132" s="2828">
        <f t="shared" si="310"/>
        <v>40</v>
      </c>
      <c r="I132" s="2828">
        <f t="shared" si="310"/>
        <v>152</v>
      </c>
      <c r="J132" s="2828">
        <f t="shared" si="310"/>
        <v>28</v>
      </c>
      <c r="K132" s="2829">
        <f t="shared" si="310"/>
        <v>0</v>
      </c>
      <c r="L132" s="2830">
        <f t="shared" si="310"/>
        <v>0</v>
      </c>
      <c r="M132" s="2827">
        <f t="shared" si="310"/>
        <v>0</v>
      </c>
      <c r="N132" s="2828">
        <f t="shared" si="310"/>
        <v>0</v>
      </c>
      <c r="O132" s="2828">
        <f t="shared" si="310"/>
        <v>0</v>
      </c>
      <c r="P132" s="2828">
        <f t="shared" si="310"/>
        <v>0</v>
      </c>
      <c r="Q132" s="2828">
        <f t="shared" si="310"/>
        <v>0</v>
      </c>
      <c r="R132" s="2831">
        <f t="shared" si="310"/>
        <v>0</v>
      </c>
      <c r="S132" s="2830">
        <f t="shared" si="310"/>
        <v>0</v>
      </c>
      <c r="T132" s="2827">
        <f t="shared" si="310"/>
        <v>0</v>
      </c>
      <c r="U132" s="2828">
        <f t="shared" si="310"/>
        <v>0</v>
      </c>
      <c r="V132" s="2828">
        <f t="shared" si="310"/>
        <v>0</v>
      </c>
      <c r="W132" s="2828">
        <f t="shared" si="310"/>
        <v>0</v>
      </c>
      <c r="X132" s="2828">
        <f t="shared" si="310"/>
        <v>0</v>
      </c>
      <c r="Y132" s="2831">
        <f t="shared" si="310"/>
        <v>0</v>
      </c>
      <c r="Z132" s="2830">
        <f t="shared" si="310"/>
        <v>0</v>
      </c>
      <c r="AA132" s="2827">
        <f t="shared" si="310"/>
        <v>0</v>
      </c>
      <c r="AB132" s="2828">
        <f t="shared" si="310"/>
        <v>0</v>
      </c>
      <c r="AC132" s="2828">
        <f t="shared" si="310"/>
        <v>0</v>
      </c>
      <c r="AD132" s="2828">
        <f t="shared" si="310"/>
        <v>0</v>
      </c>
      <c r="AE132" s="2828">
        <f t="shared" si="310"/>
        <v>0</v>
      </c>
      <c r="AF132" s="2831">
        <f t="shared" si="310"/>
        <v>0</v>
      </c>
      <c r="AG132" s="2830">
        <f t="shared" si="310"/>
        <v>0</v>
      </c>
      <c r="AH132" s="2827">
        <f t="shared" si="310"/>
        <v>0</v>
      </c>
      <c r="AI132" s="2828">
        <f t="shared" si="310"/>
        <v>0</v>
      </c>
      <c r="AJ132" s="2828">
        <f t="shared" si="310"/>
        <v>0</v>
      </c>
      <c r="AK132" s="2828">
        <f t="shared" si="310"/>
        <v>0</v>
      </c>
      <c r="AL132" s="2828">
        <f t="shared" si="310"/>
        <v>0</v>
      </c>
      <c r="AM132" s="2831">
        <f t="shared" si="310"/>
        <v>0</v>
      </c>
      <c r="AN132" s="2830">
        <f t="shared" si="310"/>
        <v>0</v>
      </c>
      <c r="AO132" s="2827">
        <f t="shared" si="310"/>
        <v>0</v>
      </c>
      <c r="AP132" s="2828">
        <f t="shared" si="310"/>
        <v>0</v>
      </c>
      <c r="AQ132" s="2828">
        <f t="shared" si="310"/>
        <v>0</v>
      </c>
      <c r="AR132" s="2828">
        <f t="shared" si="310"/>
        <v>0</v>
      </c>
      <c r="AS132" s="2828">
        <f t="shared" si="310"/>
        <v>0</v>
      </c>
      <c r="AT132" s="2831">
        <f t="shared" si="310"/>
        <v>0</v>
      </c>
      <c r="AU132" s="4422"/>
      <c r="AV132" s="143"/>
      <c r="AW132" s="4438">
        <f t="shared" si="309"/>
        <v>15.338756435886555</v>
      </c>
      <c r="AX132" s="4438">
        <f t="shared" si="280"/>
        <v>0</v>
      </c>
      <c r="AY132" s="4438">
        <f t="shared" si="281"/>
        <v>20.45167524784874</v>
      </c>
      <c r="AZ132" s="4438">
        <f t="shared" si="282"/>
        <v>77.716365941825217</v>
      </c>
      <c r="BA132" s="4438">
        <f t="shared" si="283"/>
        <v>14.316172673494117</v>
      </c>
      <c r="BB132" s="4438">
        <f t="shared" si="284"/>
        <v>0</v>
      </c>
      <c r="BC132" s="143"/>
      <c r="BD132" s="4438">
        <f t="shared" si="285"/>
        <v>0</v>
      </c>
      <c r="BE132" s="4438">
        <f t="shared" si="286"/>
        <v>0</v>
      </c>
      <c r="BF132" s="4438">
        <f t="shared" si="287"/>
        <v>0</v>
      </c>
      <c r="BG132" s="4438">
        <f t="shared" si="288"/>
        <v>0</v>
      </c>
      <c r="BH132" s="4438">
        <f t="shared" si="289"/>
        <v>0</v>
      </c>
      <c r="BI132" s="4438">
        <f t="shared" si="290"/>
        <v>0</v>
      </c>
      <c r="BJ132" s="143"/>
      <c r="BK132" s="4438">
        <f t="shared" si="291"/>
        <v>0</v>
      </c>
      <c r="BL132" s="4438">
        <f t="shared" si="292"/>
        <v>0</v>
      </c>
      <c r="BM132" s="4438">
        <f t="shared" si="293"/>
        <v>0</v>
      </c>
      <c r="BN132" s="4438">
        <f t="shared" si="294"/>
        <v>0</v>
      </c>
      <c r="BO132" s="4438">
        <f t="shared" si="295"/>
        <v>0</v>
      </c>
      <c r="BP132" s="4438">
        <f t="shared" si="296"/>
        <v>0</v>
      </c>
      <c r="BQ132" s="143"/>
      <c r="BR132" s="4438">
        <f t="shared" si="297"/>
        <v>0</v>
      </c>
      <c r="BS132" s="4438">
        <f t="shared" si="298"/>
        <v>0</v>
      </c>
      <c r="BT132" s="4438">
        <f t="shared" si="299"/>
        <v>0</v>
      </c>
      <c r="BU132" s="4438">
        <f t="shared" si="300"/>
        <v>0</v>
      </c>
      <c r="BV132" s="4438">
        <f t="shared" si="301"/>
        <v>0</v>
      </c>
      <c r="BW132" s="4438">
        <f t="shared" si="302"/>
        <v>0</v>
      </c>
      <c r="BX132" s="143"/>
      <c r="BY132" s="4438">
        <f t="shared" si="303"/>
        <v>0</v>
      </c>
      <c r="BZ132" s="4438">
        <f t="shared" si="304"/>
        <v>0</v>
      </c>
      <c r="CA132" s="4438">
        <f t="shared" si="305"/>
        <v>0</v>
      </c>
      <c r="CB132" s="4438">
        <f t="shared" si="306"/>
        <v>0</v>
      </c>
      <c r="CC132" s="4438">
        <f t="shared" si="307"/>
        <v>0</v>
      </c>
      <c r="CD132" s="4438">
        <f t="shared" si="308"/>
        <v>0</v>
      </c>
    </row>
    <row r="133" spans="1:82" s="40" customFormat="1">
      <c r="A133" s="2952">
        <v>1</v>
      </c>
      <c r="B133" s="2953" t="s">
        <v>696</v>
      </c>
      <c r="C133" s="2954">
        <v>0</v>
      </c>
      <c r="D133" s="2546" t="s">
        <v>558</v>
      </c>
      <c r="E133" s="2997"/>
      <c r="F133" s="404"/>
      <c r="G133" s="402"/>
      <c r="H133" s="402"/>
      <c r="I133" s="402"/>
      <c r="J133" s="402"/>
      <c r="K133" s="264"/>
      <c r="L133" s="2997"/>
      <c r="M133" s="404"/>
      <c r="N133" s="402"/>
      <c r="O133" s="402"/>
      <c r="P133" s="402"/>
      <c r="Q133" s="402"/>
      <c r="R133" s="264"/>
      <c r="S133" s="2997"/>
      <c r="T133" s="404"/>
      <c r="U133" s="402"/>
      <c r="V133" s="402"/>
      <c r="W133" s="402"/>
      <c r="X133" s="402"/>
      <c r="Y133" s="403"/>
      <c r="Z133" s="2997"/>
      <c r="AA133" s="404"/>
      <c r="AB133" s="402"/>
      <c r="AC133" s="402"/>
      <c r="AD133" s="402"/>
      <c r="AE133" s="402"/>
      <c r="AF133" s="403"/>
      <c r="AG133" s="2997"/>
      <c r="AH133" s="404"/>
      <c r="AI133" s="402"/>
      <c r="AJ133" s="402"/>
      <c r="AK133" s="402"/>
      <c r="AL133" s="402"/>
      <c r="AM133" s="403"/>
      <c r="AN133" s="2998"/>
      <c r="AO133" s="2999"/>
      <c r="AP133" s="3000"/>
      <c r="AQ133" s="3000"/>
      <c r="AR133" s="3000"/>
      <c r="AS133" s="3000"/>
      <c r="AT133" s="3001"/>
      <c r="AU133" s="4422"/>
      <c r="AV133" s="143"/>
      <c r="AW133" s="4438">
        <f t="shared" si="309"/>
        <v>0</v>
      </c>
      <c r="AX133" s="4438">
        <f t="shared" si="280"/>
        <v>0</v>
      </c>
      <c r="AY133" s="4438">
        <f t="shared" si="281"/>
        <v>0</v>
      </c>
      <c r="AZ133" s="4438">
        <f t="shared" si="282"/>
        <v>0</v>
      </c>
      <c r="BA133" s="4438">
        <f t="shared" si="283"/>
        <v>0</v>
      </c>
      <c r="BB133" s="4438">
        <f t="shared" si="284"/>
        <v>0</v>
      </c>
      <c r="BC133" s="143"/>
      <c r="BD133" s="4438">
        <f t="shared" si="285"/>
        <v>0</v>
      </c>
      <c r="BE133" s="4438">
        <f t="shared" si="286"/>
        <v>0</v>
      </c>
      <c r="BF133" s="4438">
        <f t="shared" si="287"/>
        <v>0</v>
      </c>
      <c r="BG133" s="4438">
        <f t="shared" si="288"/>
        <v>0</v>
      </c>
      <c r="BH133" s="4438">
        <f t="shared" si="289"/>
        <v>0</v>
      </c>
      <c r="BI133" s="4438">
        <f t="shared" si="290"/>
        <v>0</v>
      </c>
      <c r="BJ133" s="143"/>
      <c r="BK133" s="4438">
        <f t="shared" si="291"/>
        <v>0</v>
      </c>
      <c r="BL133" s="4438">
        <f t="shared" si="292"/>
        <v>0</v>
      </c>
      <c r="BM133" s="4438">
        <f t="shared" si="293"/>
        <v>0</v>
      </c>
      <c r="BN133" s="4438">
        <f t="shared" si="294"/>
        <v>0</v>
      </c>
      <c r="BO133" s="4438">
        <f t="shared" si="295"/>
        <v>0</v>
      </c>
      <c r="BP133" s="4438">
        <f t="shared" si="296"/>
        <v>0</v>
      </c>
      <c r="BQ133" s="143"/>
      <c r="BR133" s="4438">
        <f t="shared" si="297"/>
        <v>0</v>
      </c>
      <c r="BS133" s="4438">
        <f t="shared" si="298"/>
        <v>0</v>
      </c>
      <c r="BT133" s="4438">
        <f t="shared" si="299"/>
        <v>0</v>
      </c>
      <c r="BU133" s="4438">
        <f t="shared" si="300"/>
        <v>0</v>
      </c>
      <c r="BV133" s="4438">
        <f t="shared" si="301"/>
        <v>0</v>
      </c>
      <c r="BW133" s="4438">
        <f t="shared" si="302"/>
        <v>0</v>
      </c>
      <c r="BX133" s="143"/>
      <c r="BY133" s="4438">
        <f t="shared" si="303"/>
        <v>0</v>
      </c>
      <c r="BZ133" s="4438">
        <f t="shared" si="304"/>
        <v>0</v>
      </c>
      <c r="CA133" s="4438">
        <f t="shared" si="305"/>
        <v>0</v>
      </c>
      <c r="CB133" s="4438">
        <f t="shared" si="306"/>
        <v>0</v>
      </c>
      <c r="CC133" s="4438">
        <f t="shared" si="307"/>
        <v>0</v>
      </c>
      <c r="CD133" s="4438">
        <f t="shared" si="308"/>
        <v>0</v>
      </c>
    </row>
    <row r="134" spans="1:82" s="40" customFormat="1">
      <c r="A134" s="2952">
        <v>2</v>
      </c>
      <c r="B134" s="2955" t="s">
        <v>697</v>
      </c>
      <c r="C134" s="2954">
        <v>0.03</v>
      </c>
      <c r="D134" s="2956" t="s">
        <v>426</v>
      </c>
      <c r="E134" s="2997"/>
      <c r="F134" s="404"/>
      <c r="G134" s="402"/>
      <c r="H134" s="402">
        <v>3</v>
      </c>
      <c r="I134" s="402"/>
      <c r="J134" s="402"/>
      <c r="K134" s="264"/>
      <c r="L134" s="2997"/>
      <c r="M134" s="404"/>
      <c r="N134" s="402"/>
      <c r="O134" s="402"/>
      <c r="P134" s="402"/>
      <c r="Q134" s="402"/>
      <c r="R134" s="264"/>
      <c r="S134" s="2997"/>
      <c r="T134" s="404"/>
      <c r="U134" s="402"/>
      <c r="V134" s="402"/>
      <c r="W134" s="402"/>
      <c r="X134" s="402"/>
      <c r="Y134" s="403"/>
      <c r="Z134" s="2997"/>
      <c r="AA134" s="404"/>
      <c r="AB134" s="402"/>
      <c r="AC134" s="402"/>
      <c r="AD134" s="402"/>
      <c r="AE134" s="402"/>
      <c r="AF134" s="403"/>
      <c r="AG134" s="2997"/>
      <c r="AH134" s="404"/>
      <c r="AI134" s="402"/>
      <c r="AJ134" s="402"/>
      <c r="AK134" s="402"/>
      <c r="AL134" s="402"/>
      <c r="AM134" s="403"/>
      <c r="AN134" s="2997"/>
      <c r="AO134" s="3002"/>
      <c r="AP134" s="3003"/>
      <c r="AQ134" s="3003"/>
      <c r="AR134" s="3003"/>
      <c r="AS134" s="3003"/>
      <c r="AT134" s="3004"/>
      <c r="AU134" s="4422"/>
      <c r="AV134" s="143"/>
      <c r="AW134" s="4438">
        <f t="shared" si="309"/>
        <v>0</v>
      </c>
      <c r="AX134" s="4438">
        <f t="shared" si="280"/>
        <v>0</v>
      </c>
      <c r="AY134" s="4438">
        <f t="shared" si="281"/>
        <v>1.5338756435886556</v>
      </c>
      <c r="AZ134" s="4438">
        <f t="shared" si="282"/>
        <v>0</v>
      </c>
      <c r="BA134" s="4438">
        <f t="shared" si="283"/>
        <v>0</v>
      </c>
      <c r="BB134" s="4438">
        <f t="shared" si="284"/>
        <v>0</v>
      </c>
      <c r="BC134" s="143"/>
      <c r="BD134" s="4438">
        <f t="shared" si="285"/>
        <v>0</v>
      </c>
      <c r="BE134" s="4438">
        <f t="shared" si="286"/>
        <v>0</v>
      </c>
      <c r="BF134" s="4438">
        <f t="shared" si="287"/>
        <v>0</v>
      </c>
      <c r="BG134" s="4438">
        <f t="shared" si="288"/>
        <v>0</v>
      </c>
      <c r="BH134" s="4438">
        <f t="shared" si="289"/>
        <v>0</v>
      </c>
      <c r="BI134" s="4438">
        <f t="shared" si="290"/>
        <v>0</v>
      </c>
      <c r="BJ134" s="143"/>
      <c r="BK134" s="4438">
        <f t="shared" si="291"/>
        <v>0</v>
      </c>
      <c r="BL134" s="4438">
        <f t="shared" si="292"/>
        <v>0</v>
      </c>
      <c r="BM134" s="4438">
        <f t="shared" si="293"/>
        <v>0</v>
      </c>
      <c r="BN134" s="4438">
        <f t="shared" si="294"/>
        <v>0</v>
      </c>
      <c r="BO134" s="4438">
        <f t="shared" si="295"/>
        <v>0</v>
      </c>
      <c r="BP134" s="4438">
        <f t="shared" si="296"/>
        <v>0</v>
      </c>
      <c r="BQ134" s="143"/>
      <c r="BR134" s="4438">
        <f t="shared" si="297"/>
        <v>0</v>
      </c>
      <c r="BS134" s="4438">
        <f t="shared" si="298"/>
        <v>0</v>
      </c>
      <c r="BT134" s="4438">
        <f t="shared" si="299"/>
        <v>0</v>
      </c>
      <c r="BU134" s="4438">
        <f t="shared" si="300"/>
        <v>0</v>
      </c>
      <c r="BV134" s="4438">
        <f t="shared" si="301"/>
        <v>0</v>
      </c>
      <c r="BW134" s="4438">
        <f t="shared" si="302"/>
        <v>0</v>
      </c>
      <c r="BX134" s="143"/>
      <c r="BY134" s="4438">
        <f t="shared" si="303"/>
        <v>0</v>
      </c>
      <c r="BZ134" s="4438">
        <f t="shared" si="304"/>
        <v>0</v>
      </c>
      <c r="CA134" s="4438">
        <f t="shared" si="305"/>
        <v>0</v>
      </c>
      <c r="CB134" s="4438">
        <f t="shared" si="306"/>
        <v>0</v>
      </c>
      <c r="CC134" s="4438">
        <f t="shared" si="307"/>
        <v>0</v>
      </c>
      <c r="CD134" s="4438">
        <f t="shared" si="308"/>
        <v>0</v>
      </c>
    </row>
    <row r="135" spans="1:82" s="40" customFormat="1">
      <c r="A135" s="2952">
        <v>3</v>
      </c>
      <c r="B135" s="2955">
        <v>911301</v>
      </c>
      <c r="C135" s="2957">
        <v>0.1</v>
      </c>
      <c r="D135" s="2956" t="s">
        <v>427</v>
      </c>
      <c r="E135" s="2997"/>
      <c r="F135" s="404"/>
      <c r="G135" s="402"/>
      <c r="H135" s="402"/>
      <c r="I135" s="402"/>
      <c r="J135" s="402"/>
      <c r="K135" s="264"/>
      <c r="L135" s="2997"/>
      <c r="M135" s="404"/>
      <c r="N135" s="402"/>
      <c r="O135" s="402"/>
      <c r="P135" s="402"/>
      <c r="Q135" s="402"/>
      <c r="R135" s="264"/>
      <c r="S135" s="2997"/>
      <c r="T135" s="404"/>
      <c r="U135" s="402"/>
      <c r="V135" s="402"/>
      <c r="W135" s="402"/>
      <c r="X135" s="402"/>
      <c r="Y135" s="403"/>
      <c r="Z135" s="2997"/>
      <c r="AA135" s="404"/>
      <c r="AB135" s="402"/>
      <c r="AC135" s="402"/>
      <c r="AD135" s="402"/>
      <c r="AE135" s="402"/>
      <c r="AF135" s="403"/>
      <c r="AG135" s="2997"/>
      <c r="AH135" s="404"/>
      <c r="AI135" s="402"/>
      <c r="AJ135" s="402"/>
      <c r="AK135" s="402"/>
      <c r="AL135" s="402"/>
      <c r="AM135" s="403"/>
      <c r="AN135" s="2997"/>
      <c r="AO135" s="3002"/>
      <c r="AP135" s="3003"/>
      <c r="AQ135" s="3003"/>
      <c r="AR135" s="3003"/>
      <c r="AS135" s="3003"/>
      <c r="AT135" s="3004"/>
      <c r="AU135" s="4422"/>
      <c r="AV135" s="143"/>
      <c r="AW135" s="4438">
        <f t="shared" si="309"/>
        <v>0</v>
      </c>
      <c r="AX135" s="4438">
        <f t="shared" si="280"/>
        <v>0</v>
      </c>
      <c r="AY135" s="4438">
        <f t="shared" si="281"/>
        <v>0</v>
      </c>
      <c r="AZ135" s="4438">
        <f t="shared" si="282"/>
        <v>0</v>
      </c>
      <c r="BA135" s="4438">
        <f t="shared" si="283"/>
        <v>0</v>
      </c>
      <c r="BB135" s="4438">
        <f t="shared" si="284"/>
        <v>0</v>
      </c>
      <c r="BC135" s="143"/>
      <c r="BD135" s="4438">
        <f t="shared" si="285"/>
        <v>0</v>
      </c>
      <c r="BE135" s="4438">
        <f t="shared" si="286"/>
        <v>0</v>
      </c>
      <c r="BF135" s="4438">
        <f t="shared" si="287"/>
        <v>0</v>
      </c>
      <c r="BG135" s="4438">
        <f t="shared" si="288"/>
        <v>0</v>
      </c>
      <c r="BH135" s="4438">
        <f t="shared" si="289"/>
        <v>0</v>
      </c>
      <c r="BI135" s="4438">
        <f t="shared" si="290"/>
        <v>0</v>
      </c>
      <c r="BJ135" s="143"/>
      <c r="BK135" s="4438">
        <f t="shared" si="291"/>
        <v>0</v>
      </c>
      <c r="BL135" s="4438">
        <f t="shared" si="292"/>
        <v>0</v>
      </c>
      <c r="BM135" s="4438">
        <f t="shared" si="293"/>
        <v>0</v>
      </c>
      <c r="BN135" s="4438">
        <f t="shared" si="294"/>
        <v>0</v>
      </c>
      <c r="BO135" s="4438">
        <f t="shared" si="295"/>
        <v>0</v>
      </c>
      <c r="BP135" s="4438">
        <f t="shared" si="296"/>
        <v>0</v>
      </c>
      <c r="BQ135" s="143"/>
      <c r="BR135" s="4438">
        <f t="shared" si="297"/>
        <v>0</v>
      </c>
      <c r="BS135" s="4438">
        <f t="shared" si="298"/>
        <v>0</v>
      </c>
      <c r="BT135" s="4438">
        <f t="shared" si="299"/>
        <v>0</v>
      </c>
      <c r="BU135" s="4438">
        <f t="shared" si="300"/>
        <v>0</v>
      </c>
      <c r="BV135" s="4438">
        <f t="shared" si="301"/>
        <v>0</v>
      </c>
      <c r="BW135" s="4438">
        <f t="shared" si="302"/>
        <v>0</v>
      </c>
      <c r="BX135" s="143"/>
      <c r="BY135" s="4438">
        <f t="shared" si="303"/>
        <v>0</v>
      </c>
      <c r="BZ135" s="4438">
        <f t="shared" si="304"/>
        <v>0</v>
      </c>
      <c r="CA135" s="4438">
        <f t="shared" si="305"/>
        <v>0</v>
      </c>
      <c r="CB135" s="4438">
        <f t="shared" si="306"/>
        <v>0</v>
      </c>
      <c r="CC135" s="4438">
        <f t="shared" si="307"/>
        <v>0</v>
      </c>
      <c r="CD135" s="4438">
        <f t="shared" si="308"/>
        <v>0</v>
      </c>
    </row>
    <row r="136" spans="1:82" s="40" customFormat="1">
      <c r="A136" s="2952">
        <v>4</v>
      </c>
      <c r="B136" s="2955">
        <v>911302</v>
      </c>
      <c r="C136" s="2957">
        <v>0.1</v>
      </c>
      <c r="D136" s="2956" t="s">
        <v>428</v>
      </c>
      <c r="E136" s="2997"/>
      <c r="F136" s="404"/>
      <c r="G136" s="402"/>
      <c r="H136" s="402"/>
      <c r="I136" s="402"/>
      <c r="J136" s="402"/>
      <c r="K136" s="264"/>
      <c r="L136" s="2997"/>
      <c r="M136" s="404"/>
      <c r="N136" s="402"/>
      <c r="O136" s="402"/>
      <c r="P136" s="402"/>
      <c r="Q136" s="402"/>
      <c r="R136" s="264"/>
      <c r="S136" s="2997"/>
      <c r="T136" s="404"/>
      <c r="U136" s="402"/>
      <c r="V136" s="402"/>
      <c r="W136" s="402"/>
      <c r="X136" s="402"/>
      <c r="Y136" s="403"/>
      <c r="Z136" s="2997"/>
      <c r="AA136" s="404"/>
      <c r="AB136" s="402"/>
      <c r="AC136" s="402"/>
      <c r="AD136" s="402"/>
      <c r="AE136" s="402"/>
      <c r="AF136" s="403"/>
      <c r="AG136" s="2997"/>
      <c r="AH136" s="404"/>
      <c r="AI136" s="402"/>
      <c r="AJ136" s="402"/>
      <c r="AK136" s="402"/>
      <c r="AL136" s="402"/>
      <c r="AM136" s="403"/>
      <c r="AN136" s="2997"/>
      <c r="AO136" s="3002"/>
      <c r="AP136" s="3003"/>
      <c r="AQ136" s="3003"/>
      <c r="AR136" s="3003"/>
      <c r="AS136" s="3003"/>
      <c r="AT136" s="3004"/>
      <c r="AU136" s="4422"/>
      <c r="AV136" s="143"/>
      <c r="AW136" s="4438">
        <f t="shared" si="309"/>
        <v>0</v>
      </c>
      <c r="AX136" s="4438">
        <f t="shared" si="280"/>
        <v>0</v>
      </c>
      <c r="AY136" s="4438">
        <f t="shared" si="281"/>
        <v>0</v>
      </c>
      <c r="AZ136" s="4438">
        <f t="shared" si="282"/>
        <v>0</v>
      </c>
      <c r="BA136" s="4438">
        <f t="shared" si="283"/>
        <v>0</v>
      </c>
      <c r="BB136" s="4438">
        <f t="shared" si="284"/>
        <v>0</v>
      </c>
      <c r="BC136" s="143"/>
      <c r="BD136" s="4438">
        <f t="shared" si="285"/>
        <v>0</v>
      </c>
      <c r="BE136" s="4438">
        <f t="shared" si="286"/>
        <v>0</v>
      </c>
      <c r="BF136" s="4438">
        <f t="shared" si="287"/>
        <v>0</v>
      </c>
      <c r="BG136" s="4438">
        <f t="shared" si="288"/>
        <v>0</v>
      </c>
      <c r="BH136" s="4438">
        <f t="shared" si="289"/>
        <v>0</v>
      </c>
      <c r="BI136" s="4438">
        <f t="shared" si="290"/>
        <v>0</v>
      </c>
      <c r="BJ136" s="143"/>
      <c r="BK136" s="4438">
        <f t="shared" si="291"/>
        <v>0</v>
      </c>
      <c r="BL136" s="4438">
        <f t="shared" si="292"/>
        <v>0</v>
      </c>
      <c r="BM136" s="4438">
        <f t="shared" si="293"/>
        <v>0</v>
      </c>
      <c r="BN136" s="4438">
        <f t="shared" si="294"/>
        <v>0</v>
      </c>
      <c r="BO136" s="4438">
        <f t="shared" si="295"/>
        <v>0</v>
      </c>
      <c r="BP136" s="4438">
        <f t="shared" si="296"/>
        <v>0</v>
      </c>
      <c r="BQ136" s="143"/>
      <c r="BR136" s="4438">
        <f t="shared" si="297"/>
        <v>0</v>
      </c>
      <c r="BS136" s="4438">
        <f t="shared" si="298"/>
        <v>0</v>
      </c>
      <c r="BT136" s="4438">
        <f t="shared" si="299"/>
        <v>0</v>
      </c>
      <c r="BU136" s="4438">
        <f t="shared" si="300"/>
        <v>0</v>
      </c>
      <c r="BV136" s="4438">
        <f t="shared" si="301"/>
        <v>0</v>
      </c>
      <c r="BW136" s="4438">
        <f t="shared" si="302"/>
        <v>0</v>
      </c>
      <c r="BX136" s="143"/>
      <c r="BY136" s="4438">
        <f t="shared" si="303"/>
        <v>0</v>
      </c>
      <c r="BZ136" s="4438">
        <f t="shared" si="304"/>
        <v>0</v>
      </c>
      <c r="CA136" s="4438">
        <f t="shared" si="305"/>
        <v>0</v>
      </c>
      <c r="CB136" s="4438">
        <f t="shared" si="306"/>
        <v>0</v>
      </c>
      <c r="CC136" s="4438">
        <f t="shared" si="307"/>
        <v>0</v>
      </c>
      <c r="CD136" s="4438">
        <f t="shared" si="308"/>
        <v>0</v>
      </c>
    </row>
    <row r="137" spans="1:82" s="40" customFormat="1">
      <c r="A137" s="2952">
        <v>5</v>
      </c>
      <c r="B137" s="2955" t="s">
        <v>714</v>
      </c>
      <c r="C137" s="2957">
        <v>0.1</v>
      </c>
      <c r="D137" s="2552" t="s">
        <v>407</v>
      </c>
      <c r="E137" s="2997"/>
      <c r="F137" s="404">
        <v>23</v>
      </c>
      <c r="G137" s="402"/>
      <c r="H137" s="402">
        <v>37</v>
      </c>
      <c r="I137" s="402">
        <v>49</v>
      </c>
      <c r="J137" s="402">
        <v>26</v>
      </c>
      <c r="K137" s="264"/>
      <c r="L137" s="2997"/>
      <c r="M137" s="404"/>
      <c r="N137" s="402"/>
      <c r="O137" s="402"/>
      <c r="P137" s="402"/>
      <c r="Q137" s="402"/>
      <c r="R137" s="264"/>
      <c r="S137" s="2997"/>
      <c r="T137" s="404"/>
      <c r="U137" s="402"/>
      <c r="V137" s="402"/>
      <c r="W137" s="402"/>
      <c r="X137" s="402"/>
      <c r="Y137" s="403"/>
      <c r="Z137" s="2997"/>
      <c r="AA137" s="404"/>
      <c r="AB137" s="402"/>
      <c r="AC137" s="402"/>
      <c r="AD137" s="402"/>
      <c r="AE137" s="402"/>
      <c r="AF137" s="403"/>
      <c r="AG137" s="2997"/>
      <c r="AH137" s="404"/>
      <c r="AI137" s="402"/>
      <c r="AJ137" s="402"/>
      <c r="AK137" s="402"/>
      <c r="AL137" s="402"/>
      <c r="AM137" s="403"/>
      <c r="AN137" s="2997"/>
      <c r="AO137" s="3002"/>
      <c r="AP137" s="3003"/>
      <c r="AQ137" s="3003"/>
      <c r="AR137" s="3003"/>
      <c r="AS137" s="3003"/>
      <c r="AT137" s="3004"/>
      <c r="AU137" s="4422"/>
      <c r="AV137" s="143"/>
      <c r="AW137" s="4438">
        <f t="shared" si="309"/>
        <v>11.759713267513025</v>
      </c>
      <c r="AX137" s="4438">
        <f t="shared" si="280"/>
        <v>0</v>
      </c>
      <c r="AY137" s="4438">
        <f t="shared" si="281"/>
        <v>18.917799604260086</v>
      </c>
      <c r="AZ137" s="4438">
        <f t="shared" si="282"/>
        <v>25.053302178614707</v>
      </c>
      <c r="BA137" s="4438">
        <f t="shared" si="283"/>
        <v>13.293588911101681</v>
      </c>
      <c r="BB137" s="4438">
        <f t="shared" si="284"/>
        <v>0</v>
      </c>
      <c r="BC137" s="143"/>
      <c r="BD137" s="4438">
        <f t="shared" si="285"/>
        <v>0</v>
      </c>
      <c r="BE137" s="4438">
        <f t="shared" si="286"/>
        <v>0</v>
      </c>
      <c r="BF137" s="4438">
        <f t="shared" si="287"/>
        <v>0</v>
      </c>
      <c r="BG137" s="4438">
        <f t="shared" si="288"/>
        <v>0</v>
      </c>
      <c r="BH137" s="4438">
        <f t="shared" si="289"/>
        <v>0</v>
      </c>
      <c r="BI137" s="4438">
        <f t="shared" si="290"/>
        <v>0</v>
      </c>
      <c r="BJ137" s="143"/>
      <c r="BK137" s="4438">
        <f t="shared" si="291"/>
        <v>0</v>
      </c>
      <c r="BL137" s="4438">
        <f t="shared" si="292"/>
        <v>0</v>
      </c>
      <c r="BM137" s="4438">
        <f t="shared" si="293"/>
        <v>0</v>
      </c>
      <c r="BN137" s="4438">
        <f t="shared" si="294"/>
        <v>0</v>
      </c>
      <c r="BO137" s="4438">
        <f t="shared" si="295"/>
        <v>0</v>
      </c>
      <c r="BP137" s="4438">
        <f t="shared" si="296"/>
        <v>0</v>
      </c>
      <c r="BQ137" s="143"/>
      <c r="BR137" s="4438">
        <f t="shared" si="297"/>
        <v>0</v>
      </c>
      <c r="BS137" s="4438">
        <f t="shared" si="298"/>
        <v>0</v>
      </c>
      <c r="BT137" s="4438">
        <f t="shared" si="299"/>
        <v>0</v>
      </c>
      <c r="BU137" s="4438">
        <f t="shared" si="300"/>
        <v>0</v>
      </c>
      <c r="BV137" s="4438">
        <f t="shared" si="301"/>
        <v>0</v>
      </c>
      <c r="BW137" s="4438">
        <f t="shared" si="302"/>
        <v>0</v>
      </c>
      <c r="BX137" s="143"/>
      <c r="BY137" s="4438">
        <f t="shared" si="303"/>
        <v>0</v>
      </c>
      <c r="BZ137" s="4438">
        <f t="shared" si="304"/>
        <v>0</v>
      </c>
      <c r="CA137" s="4438">
        <f t="shared" si="305"/>
        <v>0</v>
      </c>
      <c r="CB137" s="4438">
        <f t="shared" si="306"/>
        <v>0</v>
      </c>
      <c r="CC137" s="4438">
        <f t="shared" si="307"/>
        <v>0</v>
      </c>
      <c r="CD137" s="4438">
        <f t="shared" si="308"/>
        <v>0</v>
      </c>
    </row>
    <row r="138" spans="1:82" s="40" customFormat="1">
      <c r="A138" s="2952">
        <v>6</v>
      </c>
      <c r="B138" s="2955" t="s">
        <v>715</v>
      </c>
      <c r="C138" s="2957">
        <v>0.1</v>
      </c>
      <c r="D138" s="2552" t="s">
        <v>408</v>
      </c>
      <c r="E138" s="2997"/>
      <c r="F138" s="404">
        <v>7</v>
      </c>
      <c r="G138" s="402"/>
      <c r="H138" s="402"/>
      <c r="I138" s="402">
        <v>12</v>
      </c>
      <c r="J138" s="402">
        <v>2</v>
      </c>
      <c r="K138" s="264"/>
      <c r="L138" s="2997"/>
      <c r="M138" s="404"/>
      <c r="N138" s="402"/>
      <c r="O138" s="402"/>
      <c r="P138" s="402"/>
      <c r="Q138" s="402"/>
      <c r="R138" s="264"/>
      <c r="S138" s="2997"/>
      <c r="T138" s="404"/>
      <c r="U138" s="402"/>
      <c r="V138" s="402"/>
      <c r="W138" s="402"/>
      <c r="X138" s="402"/>
      <c r="Y138" s="403"/>
      <c r="Z138" s="2997"/>
      <c r="AA138" s="404"/>
      <c r="AB138" s="402"/>
      <c r="AC138" s="402"/>
      <c r="AD138" s="402"/>
      <c r="AE138" s="402"/>
      <c r="AF138" s="403"/>
      <c r="AG138" s="2997"/>
      <c r="AH138" s="404"/>
      <c r="AI138" s="402"/>
      <c r="AJ138" s="402"/>
      <c r="AK138" s="402"/>
      <c r="AL138" s="402"/>
      <c r="AM138" s="403"/>
      <c r="AN138" s="2997"/>
      <c r="AO138" s="3002"/>
      <c r="AP138" s="3003"/>
      <c r="AQ138" s="3003"/>
      <c r="AR138" s="3003"/>
      <c r="AS138" s="3003"/>
      <c r="AT138" s="3004"/>
      <c r="AU138" s="4422"/>
      <c r="AV138" s="143"/>
      <c r="AW138" s="4438">
        <f t="shared" si="309"/>
        <v>3.5790431683735293</v>
      </c>
      <c r="AX138" s="4438">
        <f t="shared" si="280"/>
        <v>0</v>
      </c>
      <c r="AY138" s="4438">
        <f t="shared" si="281"/>
        <v>0</v>
      </c>
      <c r="AZ138" s="4438">
        <f t="shared" si="282"/>
        <v>6.1355025743546223</v>
      </c>
      <c r="BA138" s="4438">
        <f t="shared" si="283"/>
        <v>1.022583762392437</v>
      </c>
      <c r="BB138" s="4438">
        <f t="shared" si="284"/>
        <v>0</v>
      </c>
      <c r="BC138" s="143"/>
      <c r="BD138" s="4438">
        <f t="shared" si="285"/>
        <v>0</v>
      </c>
      <c r="BE138" s="4438">
        <f t="shared" si="286"/>
        <v>0</v>
      </c>
      <c r="BF138" s="4438">
        <f t="shared" si="287"/>
        <v>0</v>
      </c>
      <c r="BG138" s="4438">
        <f t="shared" si="288"/>
        <v>0</v>
      </c>
      <c r="BH138" s="4438">
        <f t="shared" si="289"/>
        <v>0</v>
      </c>
      <c r="BI138" s="4438">
        <f t="shared" si="290"/>
        <v>0</v>
      </c>
      <c r="BJ138" s="143"/>
      <c r="BK138" s="4438">
        <f t="shared" si="291"/>
        <v>0</v>
      </c>
      <c r="BL138" s="4438">
        <f t="shared" si="292"/>
        <v>0</v>
      </c>
      <c r="BM138" s="4438">
        <f t="shared" si="293"/>
        <v>0</v>
      </c>
      <c r="BN138" s="4438">
        <f t="shared" si="294"/>
        <v>0</v>
      </c>
      <c r="BO138" s="4438">
        <f t="shared" si="295"/>
        <v>0</v>
      </c>
      <c r="BP138" s="4438">
        <f t="shared" si="296"/>
        <v>0</v>
      </c>
      <c r="BQ138" s="143"/>
      <c r="BR138" s="4438">
        <f t="shared" si="297"/>
        <v>0</v>
      </c>
      <c r="BS138" s="4438">
        <f t="shared" si="298"/>
        <v>0</v>
      </c>
      <c r="BT138" s="4438">
        <f t="shared" si="299"/>
        <v>0</v>
      </c>
      <c r="BU138" s="4438">
        <f t="shared" si="300"/>
        <v>0</v>
      </c>
      <c r="BV138" s="4438">
        <f t="shared" si="301"/>
        <v>0</v>
      </c>
      <c r="BW138" s="4438">
        <f t="shared" si="302"/>
        <v>0</v>
      </c>
      <c r="BX138" s="143"/>
      <c r="BY138" s="4438">
        <f t="shared" si="303"/>
        <v>0</v>
      </c>
      <c r="BZ138" s="4438">
        <f t="shared" si="304"/>
        <v>0</v>
      </c>
      <c r="CA138" s="4438">
        <f t="shared" si="305"/>
        <v>0</v>
      </c>
      <c r="CB138" s="4438">
        <f t="shared" si="306"/>
        <v>0</v>
      </c>
      <c r="CC138" s="4438">
        <f t="shared" si="307"/>
        <v>0</v>
      </c>
      <c r="CD138" s="4438">
        <f t="shared" si="308"/>
        <v>0</v>
      </c>
    </row>
    <row r="139" spans="1:82" s="40" customFormat="1" ht="24">
      <c r="A139" s="2952">
        <v>7</v>
      </c>
      <c r="B139" s="2955" t="s">
        <v>706</v>
      </c>
      <c r="C139" s="2957">
        <v>0.1</v>
      </c>
      <c r="D139" s="2552" t="s">
        <v>695</v>
      </c>
      <c r="E139" s="2997"/>
      <c r="F139" s="404"/>
      <c r="G139" s="402"/>
      <c r="H139" s="402"/>
      <c r="I139" s="402">
        <v>4</v>
      </c>
      <c r="J139" s="402"/>
      <c r="K139" s="264"/>
      <c r="L139" s="2997"/>
      <c r="M139" s="404"/>
      <c r="N139" s="402"/>
      <c r="O139" s="402"/>
      <c r="P139" s="402"/>
      <c r="Q139" s="402"/>
      <c r="R139" s="264"/>
      <c r="S139" s="2997"/>
      <c r="T139" s="404"/>
      <c r="U139" s="402"/>
      <c r="V139" s="402"/>
      <c r="W139" s="402"/>
      <c r="X139" s="402"/>
      <c r="Y139" s="403"/>
      <c r="Z139" s="2997"/>
      <c r="AA139" s="404"/>
      <c r="AB139" s="402"/>
      <c r="AC139" s="402"/>
      <c r="AD139" s="402"/>
      <c r="AE139" s="402"/>
      <c r="AF139" s="403"/>
      <c r="AG139" s="2997"/>
      <c r="AH139" s="404"/>
      <c r="AI139" s="402"/>
      <c r="AJ139" s="402"/>
      <c r="AK139" s="402"/>
      <c r="AL139" s="402"/>
      <c r="AM139" s="403"/>
      <c r="AN139" s="2997"/>
      <c r="AO139" s="3002"/>
      <c r="AP139" s="3003"/>
      <c r="AQ139" s="3003"/>
      <c r="AR139" s="3003"/>
      <c r="AS139" s="3003"/>
      <c r="AT139" s="3004"/>
      <c r="AU139" s="4422"/>
      <c r="AV139" s="143"/>
      <c r="AW139" s="4438">
        <f t="shared" si="309"/>
        <v>0</v>
      </c>
      <c r="AX139" s="4438">
        <f t="shared" si="280"/>
        <v>0</v>
      </c>
      <c r="AY139" s="4438">
        <f t="shared" si="281"/>
        <v>0</v>
      </c>
      <c r="AZ139" s="4438">
        <f t="shared" si="282"/>
        <v>2.045167524784874</v>
      </c>
      <c r="BA139" s="4438">
        <f t="shared" si="283"/>
        <v>0</v>
      </c>
      <c r="BB139" s="4438">
        <f t="shared" si="284"/>
        <v>0</v>
      </c>
      <c r="BC139" s="143"/>
      <c r="BD139" s="4438">
        <f t="shared" si="285"/>
        <v>0</v>
      </c>
      <c r="BE139" s="4438">
        <f t="shared" si="286"/>
        <v>0</v>
      </c>
      <c r="BF139" s="4438">
        <f t="shared" si="287"/>
        <v>0</v>
      </c>
      <c r="BG139" s="4438">
        <f t="shared" si="288"/>
        <v>0</v>
      </c>
      <c r="BH139" s="4438">
        <f t="shared" si="289"/>
        <v>0</v>
      </c>
      <c r="BI139" s="4438">
        <f t="shared" si="290"/>
        <v>0</v>
      </c>
      <c r="BJ139" s="143"/>
      <c r="BK139" s="4438">
        <f t="shared" si="291"/>
        <v>0</v>
      </c>
      <c r="BL139" s="4438">
        <f t="shared" si="292"/>
        <v>0</v>
      </c>
      <c r="BM139" s="4438">
        <f t="shared" si="293"/>
        <v>0</v>
      </c>
      <c r="BN139" s="4438">
        <f t="shared" si="294"/>
        <v>0</v>
      </c>
      <c r="BO139" s="4438">
        <f t="shared" si="295"/>
        <v>0</v>
      </c>
      <c r="BP139" s="4438">
        <f t="shared" si="296"/>
        <v>0</v>
      </c>
      <c r="BQ139" s="143"/>
      <c r="BR139" s="4438">
        <f t="shared" si="297"/>
        <v>0</v>
      </c>
      <c r="BS139" s="4438">
        <f t="shared" si="298"/>
        <v>0</v>
      </c>
      <c r="BT139" s="4438">
        <f t="shared" si="299"/>
        <v>0</v>
      </c>
      <c r="BU139" s="4438">
        <f t="shared" si="300"/>
        <v>0</v>
      </c>
      <c r="BV139" s="4438">
        <f t="shared" si="301"/>
        <v>0</v>
      </c>
      <c r="BW139" s="4438">
        <f t="shared" si="302"/>
        <v>0</v>
      </c>
      <c r="BX139" s="143"/>
      <c r="BY139" s="4438">
        <f t="shared" si="303"/>
        <v>0</v>
      </c>
      <c r="BZ139" s="4438">
        <f t="shared" si="304"/>
        <v>0</v>
      </c>
      <c r="CA139" s="4438">
        <f t="shared" si="305"/>
        <v>0</v>
      </c>
      <c r="CB139" s="4438">
        <f t="shared" si="306"/>
        <v>0</v>
      </c>
      <c r="CC139" s="4438">
        <f t="shared" si="307"/>
        <v>0</v>
      </c>
      <c r="CD139" s="4438">
        <f t="shared" si="308"/>
        <v>0</v>
      </c>
    </row>
    <row r="140" spans="1:82" s="40" customFormat="1">
      <c r="A140" s="2952">
        <v>8</v>
      </c>
      <c r="B140" s="2955" t="s">
        <v>716</v>
      </c>
      <c r="C140" s="2957">
        <v>0.1</v>
      </c>
      <c r="D140" s="2552" t="s">
        <v>713</v>
      </c>
      <c r="E140" s="2997"/>
      <c r="F140" s="404"/>
      <c r="G140" s="402"/>
      <c r="H140" s="402"/>
      <c r="I140" s="402"/>
      <c r="J140" s="402"/>
      <c r="K140" s="264"/>
      <c r="L140" s="2997"/>
      <c r="M140" s="404"/>
      <c r="N140" s="402"/>
      <c r="O140" s="402"/>
      <c r="P140" s="402"/>
      <c r="Q140" s="402"/>
      <c r="R140" s="264"/>
      <c r="S140" s="2997"/>
      <c r="T140" s="404"/>
      <c r="U140" s="402"/>
      <c r="V140" s="402"/>
      <c r="W140" s="402"/>
      <c r="X140" s="402"/>
      <c r="Y140" s="403"/>
      <c r="Z140" s="2997"/>
      <c r="AA140" s="404"/>
      <c r="AB140" s="402"/>
      <c r="AC140" s="402"/>
      <c r="AD140" s="402"/>
      <c r="AE140" s="402"/>
      <c r="AF140" s="403"/>
      <c r="AG140" s="2997"/>
      <c r="AH140" s="404"/>
      <c r="AI140" s="402"/>
      <c r="AJ140" s="402"/>
      <c r="AK140" s="402"/>
      <c r="AL140" s="402"/>
      <c r="AM140" s="403"/>
      <c r="AN140" s="2997"/>
      <c r="AO140" s="3002"/>
      <c r="AP140" s="3003"/>
      <c r="AQ140" s="3003"/>
      <c r="AR140" s="3003"/>
      <c r="AS140" s="3003"/>
      <c r="AT140" s="3004"/>
      <c r="AU140" s="4422"/>
      <c r="AV140" s="143"/>
      <c r="AW140" s="4438">
        <f t="shared" si="309"/>
        <v>0</v>
      </c>
      <c r="AX140" s="4438">
        <f t="shared" si="280"/>
        <v>0</v>
      </c>
      <c r="AY140" s="4438">
        <f t="shared" si="281"/>
        <v>0</v>
      </c>
      <c r="AZ140" s="4438">
        <f t="shared" si="282"/>
        <v>0</v>
      </c>
      <c r="BA140" s="4438">
        <f t="shared" si="283"/>
        <v>0</v>
      </c>
      <c r="BB140" s="4438">
        <f t="shared" si="284"/>
        <v>0</v>
      </c>
      <c r="BC140" s="143"/>
      <c r="BD140" s="4438">
        <f t="shared" si="285"/>
        <v>0</v>
      </c>
      <c r="BE140" s="4438">
        <f t="shared" si="286"/>
        <v>0</v>
      </c>
      <c r="BF140" s="4438">
        <f t="shared" si="287"/>
        <v>0</v>
      </c>
      <c r="BG140" s="4438">
        <f t="shared" si="288"/>
        <v>0</v>
      </c>
      <c r="BH140" s="4438">
        <f t="shared" si="289"/>
        <v>0</v>
      </c>
      <c r="BI140" s="4438">
        <f t="shared" si="290"/>
        <v>0</v>
      </c>
      <c r="BJ140" s="143"/>
      <c r="BK140" s="4438">
        <f t="shared" si="291"/>
        <v>0</v>
      </c>
      <c r="BL140" s="4438">
        <f t="shared" si="292"/>
        <v>0</v>
      </c>
      <c r="BM140" s="4438">
        <f t="shared" si="293"/>
        <v>0</v>
      </c>
      <c r="BN140" s="4438">
        <f t="shared" si="294"/>
        <v>0</v>
      </c>
      <c r="BO140" s="4438">
        <f t="shared" si="295"/>
        <v>0</v>
      </c>
      <c r="BP140" s="4438">
        <f t="shared" si="296"/>
        <v>0</v>
      </c>
      <c r="BQ140" s="143"/>
      <c r="BR140" s="4438">
        <f t="shared" si="297"/>
        <v>0</v>
      </c>
      <c r="BS140" s="4438">
        <f t="shared" si="298"/>
        <v>0</v>
      </c>
      <c r="BT140" s="4438">
        <f t="shared" si="299"/>
        <v>0</v>
      </c>
      <c r="BU140" s="4438">
        <f t="shared" si="300"/>
        <v>0</v>
      </c>
      <c r="BV140" s="4438">
        <f t="shared" si="301"/>
        <v>0</v>
      </c>
      <c r="BW140" s="4438">
        <f t="shared" si="302"/>
        <v>0</v>
      </c>
      <c r="BX140" s="143"/>
      <c r="BY140" s="4438">
        <f t="shared" si="303"/>
        <v>0</v>
      </c>
      <c r="BZ140" s="4438">
        <f t="shared" si="304"/>
        <v>0</v>
      </c>
      <c r="CA140" s="4438">
        <f t="shared" si="305"/>
        <v>0</v>
      </c>
      <c r="CB140" s="4438">
        <f t="shared" si="306"/>
        <v>0</v>
      </c>
      <c r="CC140" s="4438">
        <f t="shared" si="307"/>
        <v>0</v>
      </c>
      <c r="CD140" s="4438">
        <f t="shared" si="308"/>
        <v>0</v>
      </c>
    </row>
    <row r="141" spans="1:82" s="40" customFormat="1">
      <c r="A141" s="2958">
        <v>9</v>
      </c>
      <c r="B141" s="2955">
        <v>911306</v>
      </c>
      <c r="C141" s="2957">
        <v>0.1</v>
      </c>
      <c r="D141" s="2956" t="s">
        <v>1032</v>
      </c>
      <c r="E141" s="2997"/>
      <c r="F141" s="404"/>
      <c r="G141" s="402"/>
      <c r="H141" s="402"/>
      <c r="I141" s="402">
        <v>3</v>
      </c>
      <c r="J141" s="402"/>
      <c r="K141" s="264"/>
      <c r="L141" s="2997"/>
      <c r="M141" s="404"/>
      <c r="N141" s="402"/>
      <c r="O141" s="402"/>
      <c r="P141" s="402"/>
      <c r="Q141" s="402"/>
      <c r="R141" s="264"/>
      <c r="S141" s="2997"/>
      <c r="T141" s="404"/>
      <c r="U141" s="402"/>
      <c r="V141" s="402"/>
      <c r="W141" s="402"/>
      <c r="X141" s="402"/>
      <c r="Y141" s="403"/>
      <c r="Z141" s="2997"/>
      <c r="AA141" s="404"/>
      <c r="AB141" s="402"/>
      <c r="AC141" s="402"/>
      <c r="AD141" s="402"/>
      <c r="AE141" s="402"/>
      <c r="AF141" s="403"/>
      <c r="AG141" s="2997"/>
      <c r="AH141" s="404"/>
      <c r="AI141" s="402"/>
      <c r="AJ141" s="402"/>
      <c r="AK141" s="402"/>
      <c r="AL141" s="402"/>
      <c r="AM141" s="403"/>
      <c r="AN141" s="2997"/>
      <c r="AO141" s="3002"/>
      <c r="AP141" s="3003"/>
      <c r="AQ141" s="3003"/>
      <c r="AR141" s="3003"/>
      <c r="AS141" s="3003"/>
      <c r="AT141" s="3004"/>
      <c r="AU141" s="4422"/>
      <c r="AV141" s="143"/>
      <c r="AW141" s="4438">
        <f t="shared" si="309"/>
        <v>0</v>
      </c>
      <c r="AX141" s="4438">
        <f t="shared" si="280"/>
        <v>0</v>
      </c>
      <c r="AY141" s="4438">
        <f t="shared" si="281"/>
        <v>0</v>
      </c>
      <c r="AZ141" s="4438">
        <f t="shared" si="282"/>
        <v>1.5338756435886556</v>
      </c>
      <c r="BA141" s="4438">
        <f t="shared" si="283"/>
        <v>0</v>
      </c>
      <c r="BB141" s="4438">
        <f t="shared" si="284"/>
        <v>0</v>
      </c>
      <c r="BC141" s="143"/>
      <c r="BD141" s="4438">
        <f t="shared" si="285"/>
        <v>0</v>
      </c>
      <c r="BE141" s="4438">
        <f t="shared" si="286"/>
        <v>0</v>
      </c>
      <c r="BF141" s="4438">
        <f t="shared" si="287"/>
        <v>0</v>
      </c>
      <c r="BG141" s="4438">
        <f t="shared" si="288"/>
        <v>0</v>
      </c>
      <c r="BH141" s="4438">
        <f t="shared" si="289"/>
        <v>0</v>
      </c>
      <c r="BI141" s="4438">
        <f t="shared" si="290"/>
        <v>0</v>
      </c>
      <c r="BJ141" s="143"/>
      <c r="BK141" s="4438">
        <f t="shared" si="291"/>
        <v>0</v>
      </c>
      <c r="BL141" s="4438">
        <f t="shared" si="292"/>
        <v>0</v>
      </c>
      <c r="BM141" s="4438">
        <f t="shared" si="293"/>
        <v>0</v>
      </c>
      <c r="BN141" s="4438">
        <f t="shared" si="294"/>
        <v>0</v>
      </c>
      <c r="BO141" s="4438">
        <f t="shared" si="295"/>
        <v>0</v>
      </c>
      <c r="BP141" s="4438">
        <f t="shared" si="296"/>
        <v>0</v>
      </c>
      <c r="BQ141" s="143"/>
      <c r="BR141" s="4438">
        <f t="shared" si="297"/>
        <v>0</v>
      </c>
      <c r="BS141" s="4438">
        <f t="shared" si="298"/>
        <v>0</v>
      </c>
      <c r="BT141" s="4438">
        <f t="shared" si="299"/>
        <v>0</v>
      </c>
      <c r="BU141" s="4438">
        <f t="shared" si="300"/>
        <v>0</v>
      </c>
      <c r="BV141" s="4438">
        <f t="shared" si="301"/>
        <v>0</v>
      </c>
      <c r="BW141" s="4438">
        <f t="shared" si="302"/>
        <v>0</v>
      </c>
      <c r="BX141" s="143"/>
      <c r="BY141" s="4438">
        <f t="shared" si="303"/>
        <v>0</v>
      </c>
      <c r="BZ141" s="4438">
        <f t="shared" si="304"/>
        <v>0</v>
      </c>
      <c r="CA141" s="4438">
        <f t="shared" si="305"/>
        <v>0</v>
      </c>
      <c r="CB141" s="4438">
        <f t="shared" si="306"/>
        <v>0</v>
      </c>
      <c r="CC141" s="4438">
        <f t="shared" si="307"/>
        <v>0</v>
      </c>
      <c r="CD141" s="4438">
        <f t="shared" si="308"/>
        <v>0</v>
      </c>
    </row>
    <row r="142" spans="1:82" s="40" customFormat="1">
      <c r="A142" s="2958">
        <v>10</v>
      </c>
      <c r="B142" s="2955">
        <v>91140101</v>
      </c>
      <c r="C142" s="2959">
        <v>0.1</v>
      </c>
      <c r="D142" s="2546" t="s">
        <v>1016</v>
      </c>
      <c r="E142" s="2997"/>
      <c r="F142" s="404"/>
      <c r="G142" s="402"/>
      <c r="H142" s="402"/>
      <c r="I142" s="402">
        <v>77</v>
      </c>
      <c r="J142" s="402"/>
      <c r="K142" s="264"/>
      <c r="L142" s="2997"/>
      <c r="M142" s="404"/>
      <c r="N142" s="402"/>
      <c r="O142" s="402"/>
      <c r="P142" s="402"/>
      <c r="Q142" s="402"/>
      <c r="R142" s="264"/>
      <c r="S142" s="2997"/>
      <c r="T142" s="404"/>
      <c r="U142" s="402"/>
      <c r="V142" s="402"/>
      <c r="W142" s="402"/>
      <c r="X142" s="402"/>
      <c r="Y142" s="403"/>
      <c r="Z142" s="2997"/>
      <c r="AA142" s="404"/>
      <c r="AB142" s="402"/>
      <c r="AC142" s="402"/>
      <c r="AD142" s="402"/>
      <c r="AE142" s="402"/>
      <c r="AF142" s="403"/>
      <c r="AG142" s="2997"/>
      <c r="AH142" s="404"/>
      <c r="AI142" s="402"/>
      <c r="AJ142" s="402"/>
      <c r="AK142" s="402"/>
      <c r="AL142" s="402"/>
      <c r="AM142" s="403"/>
      <c r="AN142" s="2997"/>
      <c r="AO142" s="3002"/>
      <c r="AP142" s="3003"/>
      <c r="AQ142" s="3003"/>
      <c r="AR142" s="3003"/>
      <c r="AS142" s="3003"/>
      <c r="AT142" s="3004"/>
      <c r="AU142" s="4422"/>
      <c r="AV142" s="143"/>
      <c r="AW142" s="4438">
        <f t="shared" si="309"/>
        <v>0</v>
      </c>
      <c r="AX142" s="4438">
        <f t="shared" si="280"/>
        <v>0</v>
      </c>
      <c r="AY142" s="4438">
        <f t="shared" si="281"/>
        <v>0</v>
      </c>
      <c r="AZ142" s="4438">
        <f t="shared" si="282"/>
        <v>39.369474852108823</v>
      </c>
      <c r="BA142" s="4438">
        <f t="shared" si="283"/>
        <v>0</v>
      </c>
      <c r="BB142" s="4438">
        <f t="shared" si="284"/>
        <v>0</v>
      </c>
      <c r="BC142" s="143"/>
      <c r="BD142" s="4438">
        <f t="shared" si="285"/>
        <v>0</v>
      </c>
      <c r="BE142" s="4438">
        <f t="shared" si="286"/>
        <v>0</v>
      </c>
      <c r="BF142" s="4438">
        <f t="shared" si="287"/>
        <v>0</v>
      </c>
      <c r="BG142" s="4438">
        <f t="shared" si="288"/>
        <v>0</v>
      </c>
      <c r="BH142" s="4438">
        <f t="shared" si="289"/>
        <v>0</v>
      </c>
      <c r="BI142" s="4438">
        <f t="shared" si="290"/>
        <v>0</v>
      </c>
      <c r="BJ142" s="143"/>
      <c r="BK142" s="4438">
        <f t="shared" si="291"/>
        <v>0</v>
      </c>
      <c r="BL142" s="4438">
        <f t="shared" si="292"/>
        <v>0</v>
      </c>
      <c r="BM142" s="4438">
        <f t="shared" si="293"/>
        <v>0</v>
      </c>
      <c r="BN142" s="4438">
        <f t="shared" si="294"/>
        <v>0</v>
      </c>
      <c r="BO142" s="4438">
        <f t="shared" si="295"/>
        <v>0</v>
      </c>
      <c r="BP142" s="4438">
        <f t="shared" si="296"/>
        <v>0</v>
      </c>
      <c r="BQ142" s="143"/>
      <c r="BR142" s="4438">
        <f t="shared" si="297"/>
        <v>0</v>
      </c>
      <c r="BS142" s="4438">
        <f t="shared" si="298"/>
        <v>0</v>
      </c>
      <c r="BT142" s="4438">
        <f t="shared" si="299"/>
        <v>0</v>
      </c>
      <c r="BU142" s="4438">
        <f t="shared" si="300"/>
        <v>0</v>
      </c>
      <c r="BV142" s="4438">
        <f t="shared" si="301"/>
        <v>0</v>
      </c>
      <c r="BW142" s="4438">
        <f t="shared" si="302"/>
        <v>0</v>
      </c>
      <c r="BX142" s="143"/>
      <c r="BY142" s="4438">
        <f t="shared" si="303"/>
        <v>0</v>
      </c>
      <c r="BZ142" s="4438">
        <f t="shared" si="304"/>
        <v>0</v>
      </c>
      <c r="CA142" s="4438">
        <f t="shared" si="305"/>
        <v>0</v>
      </c>
      <c r="CB142" s="4438">
        <f t="shared" si="306"/>
        <v>0</v>
      </c>
      <c r="CC142" s="4438">
        <f t="shared" si="307"/>
        <v>0</v>
      </c>
      <c r="CD142" s="4438">
        <f t="shared" si="308"/>
        <v>0</v>
      </c>
    </row>
    <row r="143" spans="1:82" s="40" customFormat="1">
      <c r="A143" s="2958">
        <v>11</v>
      </c>
      <c r="B143" s="2955">
        <v>91140102</v>
      </c>
      <c r="C143" s="2959">
        <v>0.04</v>
      </c>
      <c r="D143" s="2546" t="s">
        <v>432</v>
      </c>
      <c r="E143" s="2997"/>
      <c r="F143" s="404"/>
      <c r="G143" s="402"/>
      <c r="H143" s="402"/>
      <c r="I143" s="402"/>
      <c r="J143" s="402"/>
      <c r="K143" s="264"/>
      <c r="L143" s="2997"/>
      <c r="M143" s="404"/>
      <c r="N143" s="402"/>
      <c r="O143" s="402"/>
      <c r="P143" s="402"/>
      <c r="Q143" s="402"/>
      <c r="R143" s="264"/>
      <c r="S143" s="2997"/>
      <c r="T143" s="404"/>
      <c r="U143" s="402"/>
      <c r="V143" s="402"/>
      <c r="W143" s="402"/>
      <c r="X143" s="402"/>
      <c r="Y143" s="403"/>
      <c r="Z143" s="2997"/>
      <c r="AA143" s="404"/>
      <c r="AB143" s="402"/>
      <c r="AC143" s="402"/>
      <c r="AD143" s="402"/>
      <c r="AE143" s="402"/>
      <c r="AF143" s="403"/>
      <c r="AG143" s="2997"/>
      <c r="AH143" s="404"/>
      <c r="AI143" s="402"/>
      <c r="AJ143" s="402"/>
      <c r="AK143" s="402"/>
      <c r="AL143" s="402"/>
      <c r="AM143" s="403"/>
      <c r="AN143" s="2997"/>
      <c r="AO143" s="3002"/>
      <c r="AP143" s="3003"/>
      <c r="AQ143" s="3003"/>
      <c r="AR143" s="3003"/>
      <c r="AS143" s="3003"/>
      <c r="AT143" s="3004"/>
      <c r="AU143" s="4422"/>
      <c r="AV143" s="143"/>
      <c r="AW143" s="4438">
        <f t="shared" si="309"/>
        <v>0</v>
      </c>
      <c r="AX143" s="4438">
        <f t="shared" si="280"/>
        <v>0</v>
      </c>
      <c r="AY143" s="4438">
        <f t="shared" si="281"/>
        <v>0</v>
      </c>
      <c r="AZ143" s="4438">
        <f t="shared" si="282"/>
        <v>0</v>
      </c>
      <c r="BA143" s="4438">
        <f t="shared" si="283"/>
        <v>0</v>
      </c>
      <c r="BB143" s="4438">
        <f t="shared" si="284"/>
        <v>0</v>
      </c>
      <c r="BC143" s="143"/>
      <c r="BD143" s="4438">
        <f t="shared" si="285"/>
        <v>0</v>
      </c>
      <c r="BE143" s="4438">
        <f t="shared" si="286"/>
        <v>0</v>
      </c>
      <c r="BF143" s="4438">
        <f t="shared" si="287"/>
        <v>0</v>
      </c>
      <c r="BG143" s="4438">
        <f t="shared" si="288"/>
        <v>0</v>
      </c>
      <c r="BH143" s="4438">
        <f t="shared" si="289"/>
        <v>0</v>
      </c>
      <c r="BI143" s="4438">
        <f t="shared" si="290"/>
        <v>0</v>
      </c>
      <c r="BJ143" s="143"/>
      <c r="BK143" s="4438">
        <f t="shared" si="291"/>
        <v>0</v>
      </c>
      <c r="BL143" s="4438">
        <f t="shared" si="292"/>
        <v>0</v>
      </c>
      <c r="BM143" s="4438">
        <f t="shared" si="293"/>
        <v>0</v>
      </c>
      <c r="BN143" s="4438">
        <f t="shared" si="294"/>
        <v>0</v>
      </c>
      <c r="BO143" s="4438">
        <f t="shared" si="295"/>
        <v>0</v>
      </c>
      <c r="BP143" s="4438">
        <f t="shared" si="296"/>
        <v>0</v>
      </c>
      <c r="BQ143" s="143"/>
      <c r="BR143" s="4438">
        <f t="shared" si="297"/>
        <v>0</v>
      </c>
      <c r="BS143" s="4438">
        <f t="shared" si="298"/>
        <v>0</v>
      </c>
      <c r="BT143" s="4438">
        <f t="shared" si="299"/>
        <v>0</v>
      </c>
      <c r="BU143" s="4438">
        <f t="shared" si="300"/>
        <v>0</v>
      </c>
      <c r="BV143" s="4438">
        <f t="shared" si="301"/>
        <v>0</v>
      </c>
      <c r="BW143" s="4438">
        <f t="shared" si="302"/>
        <v>0</v>
      </c>
      <c r="BX143" s="143"/>
      <c r="BY143" s="4438">
        <f t="shared" si="303"/>
        <v>0</v>
      </c>
      <c r="BZ143" s="4438">
        <f t="shared" si="304"/>
        <v>0</v>
      </c>
      <c r="CA143" s="4438">
        <f t="shared" si="305"/>
        <v>0</v>
      </c>
      <c r="CB143" s="4438">
        <f t="shared" si="306"/>
        <v>0</v>
      </c>
      <c r="CC143" s="4438">
        <f t="shared" si="307"/>
        <v>0</v>
      </c>
      <c r="CD143" s="4438">
        <f t="shared" si="308"/>
        <v>0</v>
      </c>
    </row>
    <row r="144" spans="1:82" s="40" customFormat="1">
      <c r="A144" s="2958">
        <v>12</v>
      </c>
      <c r="B144" s="2955" t="s">
        <v>698</v>
      </c>
      <c r="C144" s="2957">
        <v>0.02</v>
      </c>
      <c r="D144" s="2547" t="s">
        <v>738</v>
      </c>
      <c r="E144" s="2997"/>
      <c r="F144" s="404"/>
      <c r="G144" s="402"/>
      <c r="H144" s="402"/>
      <c r="I144" s="402"/>
      <c r="J144" s="402"/>
      <c r="K144" s="264"/>
      <c r="L144" s="2997"/>
      <c r="M144" s="404"/>
      <c r="N144" s="402"/>
      <c r="O144" s="402"/>
      <c r="P144" s="402"/>
      <c r="Q144" s="402"/>
      <c r="R144" s="264"/>
      <c r="S144" s="2997"/>
      <c r="T144" s="404"/>
      <c r="U144" s="402"/>
      <c r="V144" s="402"/>
      <c r="W144" s="402"/>
      <c r="X144" s="402"/>
      <c r="Y144" s="403"/>
      <c r="Z144" s="2997"/>
      <c r="AA144" s="404"/>
      <c r="AB144" s="402"/>
      <c r="AC144" s="402"/>
      <c r="AD144" s="402"/>
      <c r="AE144" s="402"/>
      <c r="AF144" s="403"/>
      <c r="AG144" s="2997"/>
      <c r="AH144" s="404"/>
      <c r="AI144" s="402"/>
      <c r="AJ144" s="402"/>
      <c r="AK144" s="402"/>
      <c r="AL144" s="402"/>
      <c r="AM144" s="403"/>
      <c r="AN144" s="2997"/>
      <c r="AO144" s="3002"/>
      <c r="AP144" s="3003"/>
      <c r="AQ144" s="3003"/>
      <c r="AR144" s="3003"/>
      <c r="AS144" s="3003"/>
      <c r="AT144" s="3004"/>
      <c r="AU144" s="4422"/>
      <c r="AV144" s="143"/>
      <c r="AW144" s="4438">
        <f t="shared" si="309"/>
        <v>0</v>
      </c>
      <c r="AX144" s="4438">
        <f t="shared" si="280"/>
        <v>0</v>
      </c>
      <c r="AY144" s="4438">
        <f t="shared" si="281"/>
        <v>0</v>
      </c>
      <c r="AZ144" s="4438">
        <f t="shared" si="282"/>
        <v>0</v>
      </c>
      <c r="BA144" s="4438">
        <f t="shared" si="283"/>
        <v>0</v>
      </c>
      <c r="BB144" s="4438">
        <f t="shared" si="284"/>
        <v>0</v>
      </c>
      <c r="BC144" s="143"/>
      <c r="BD144" s="4438">
        <f t="shared" si="285"/>
        <v>0</v>
      </c>
      <c r="BE144" s="4438">
        <f t="shared" si="286"/>
        <v>0</v>
      </c>
      <c r="BF144" s="4438">
        <f t="shared" si="287"/>
        <v>0</v>
      </c>
      <c r="BG144" s="4438">
        <f t="shared" si="288"/>
        <v>0</v>
      </c>
      <c r="BH144" s="4438">
        <f t="shared" si="289"/>
        <v>0</v>
      </c>
      <c r="BI144" s="4438">
        <f t="shared" si="290"/>
        <v>0</v>
      </c>
      <c r="BJ144" s="143"/>
      <c r="BK144" s="4438">
        <f t="shared" si="291"/>
        <v>0</v>
      </c>
      <c r="BL144" s="4438">
        <f t="shared" si="292"/>
        <v>0</v>
      </c>
      <c r="BM144" s="4438">
        <f t="shared" si="293"/>
        <v>0</v>
      </c>
      <c r="BN144" s="4438">
        <f t="shared" si="294"/>
        <v>0</v>
      </c>
      <c r="BO144" s="4438">
        <f t="shared" si="295"/>
        <v>0</v>
      </c>
      <c r="BP144" s="4438">
        <f t="shared" si="296"/>
        <v>0</v>
      </c>
      <c r="BQ144" s="143"/>
      <c r="BR144" s="4438">
        <f t="shared" si="297"/>
        <v>0</v>
      </c>
      <c r="BS144" s="4438">
        <f t="shared" si="298"/>
        <v>0</v>
      </c>
      <c r="BT144" s="4438">
        <f t="shared" si="299"/>
        <v>0</v>
      </c>
      <c r="BU144" s="4438">
        <f t="shared" si="300"/>
        <v>0</v>
      </c>
      <c r="BV144" s="4438">
        <f t="shared" si="301"/>
        <v>0</v>
      </c>
      <c r="BW144" s="4438">
        <f t="shared" si="302"/>
        <v>0</v>
      </c>
      <c r="BX144" s="143"/>
      <c r="BY144" s="4438">
        <f t="shared" si="303"/>
        <v>0</v>
      </c>
      <c r="BZ144" s="4438">
        <f t="shared" si="304"/>
        <v>0</v>
      </c>
      <c r="CA144" s="4438">
        <f t="shared" si="305"/>
        <v>0</v>
      </c>
      <c r="CB144" s="4438">
        <f t="shared" si="306"/>
        <v>0</v>
      </c>
      <c r="CC144" s="4438">
        <f t="shared" si="307"/>
        <v>0</v>
      </c>
      <c r="CD144" s="4438">
        <f t="shared" si="308"/>
        <v>0</v>
      </c>
    </row>
    <row r="145" spans="1:82" s="40" customFormat="1">
      <c r="A145" s="2958">
        <v>13</v>
      </c>
      <c r="B145" s="2955" t="s">
        <v>699</v>
      </c>
      <c r="C145" s="2957">
        <v>0.02</v>
      </c>
      <c r="D145" s="2547" t="s">
        <v>739</v>
      </c>
      <c r="E145" s="2997"/>
      <c r="F145" s="404"/>
      <c r="G145" s="402"/>
      <c r="H145" s="402"/>
      <c r="I145" s="402"/>
      <c r="J145" s="402"/>
      <c r="K145" s="264"/>
      <c r="L145" s="2997"/>
      <c r="M145" s="404"/>
      <c r="N145" s="402"/>
      <c r="O145" s="402"/>
      <c r="P145" s="402"/>
      <c r="Q145" s="402"/>
      <c r="R145" s="264"/>
      <c r="S145" s="2997"/>
      <c r="T145" s="404"/>
      <c r="U145" s="402"/>
      <c r="V145" s="402"/>
      <c r="W145" s="402"/>
      <c r="X145" s="402"/>
      <c r="Y145" s="403"/>
      <c r="Z145" s="2997"/>
      <c r="AA145" s="404"/>
      <c r="AB145" s="402"/>
      <c r="AC145" s="402"/>
      <c r="AD145" s="402"/>
      <c r="AE145" s="402"/>
      <c r="AF145" s="403"/>
      <c r="AG145" s="2997"/>
      <c r="AH145" s="404"/>
      <c r="AI145" s="402"/>
      <c r="AJ145" s="402"/>
      <c r="AK145" s="402"/>
      <c r="AL145" s="402"/>
      <c r="AM145" s="403"/>
      <c r="AN145" s="2997"/>
      <c r="AO145" s="3002"/>
      <c r="AP145" s="3003"/>
      <c r="AQ145" s="3003"/>
      <c r="AR145" s="3003"/>
      <c r="AS145" s="3003"/>
      <c r="AT145" s="3004"/>
      <c r="AU145" s="4422"/>
      <c r="AV145" s="143"/>
      <c r="AW145" s="4438">
        <f t="shared" si="309"/>
        <v>0</v>
      </c>
      <c r="AX145" s="4438">
        <f t="shared" si="280"/>
        <v>0</v>
      </c>
      <c r="AY145" s="4438">
        <f t="shared" si="281"/>
        <v>0</v>
      </c>
      <c r="AZ145" s="4438">
        <f t="shared" si="282"/>
        <v>0</v>
      </c>
      <c r="BA145" s="4438">
        <f t="shared" si="283"/>
        <v>0</v>
      </c>
      <c r="BB145" s="4438">
        <f t="shared" si="284"/>
        <v>0</v>
      </c>
      <c r="BC145" s="143"/>
      <c r="BD145" s="4438">
        <f t="shared" si="285"/>
        <v>0</v>
      </c>
      <c r="BE145" s="4438">
        <f t="shared" si="286"/>
        <v>0</v>
      </c>
      <c r="BF145" s="4438">
        <f t="shared" si="287"/>
        <v>0</v>
      </c>
      <c r="BG145" s="4438">
        <f t="shared" si="288"/>
        <v>0</v>
      </c>
      <c r="BH145" s="4438">
        <f t="shared" si="289"/>
        <v>0</v>
      </c>
      <c r="BI145" s="4438">
        <f t="shared" si="290"/>
        <v>0</v>
      </c>
      <c r="BJ145" s="143"/>
      <c r="BK145" s="4438">
        <f t="shared" si="291"/>
        <v>0</v>
      </c>
      <c r="BL145" s="4438">
        <f t="shared" si="292"/>
        <v>0</v>
      </c>
      <c r="BM145" s="4438">
        <f t="shared" si="293"/>
        <v>0</v>
      </c>
      <c r="BN145" s="4438">
        <f t="shared" si="294"/>
        <v>0</v>
      </c>
      <c r="BO145" s="4438">
        <f t="shared" si="295"/>
        <v>0</v>
      </c>
      <c r="BP145" s="4438">
        <f t="shared" si="296"/>
        <v>0</v>
      </c>
      <c r="BQ145" s="143"/>
      <c r="BR145" s="4438">
        <f t="shared" si="297"/>
        <v>0</v>
      </c>
      <c r="BS145" s="4438">
        <f t="shared" si="298"/>
        <v>0</v>
      </c>
      <c r="BT145" s="4438">
        <f t="shared" si="299"/>
        <v>0</v>
      </c>
      <c r="BU145" s="4438">
        <f t="shared" si="300"/>
        <v>0</v>
      </c>
      <c r="BV145" s="4438">
        <f t="shared" si="301"/>
        <v>0</v>
      </c>
      <c r="BW145" s="4438">
        <f t="shared" si="302"/>
        <v>0</v>
      </c>
      <c r="BX145" s="143"/>
      <c r="BY145" s="4438">
        <f t="shared" si="303"/>
        <v>0</v>
      </c>
      <c r="BZ145" s="4438">
        <f t="shared" si="304"/>
        <v>0</v>
      </c>
      <c r="CA145" s="4438">
        <f t="shared" si="305"/>
        <v>0</v>
      </c>
      <c r="CB145" s="4438">
        <f t="shared" si="306"/>
        <v>0</v>
      </c>
      <c r="CC145" s="4438">
        <f t="shared" si="307"/>
        <v>0</v>
      </c>
      <c r="CD145" s="4438">
        <f t="shared" si="308"/>
        <v>0</v>
      </c>
    </row>
    <row r="146" spans="1:82" s="40" customFormat="1">
      <c r="A146" s="2958">
        <v>14</v>
      </c>
      <c r="B146" s="2955" t="s">
        <v>700</v>
      </c>
      <c r="C146" s="2957">
        <v>0.02</v>
      </c>
      <c r="D146" s="2547" t="s">
        <v>418</v>
      </c>
      <c r="E146" s="2997"/>
      <c r="F146" s="404"/>
      <c r="G146" s="402"/>
      <c r="H146" s="402"/>
      <c r="I146" s="402"/>
      <c r="J146" s="402"/>
      <c r="K146" s="264"/>
      <c r="L146" s="2997"/>
      <c r="M146" s="404"/>
      <c r="N146" s="402"/>
      <c r="O146" s="402"/>
      <c r="P146" s="402"/>
      <c r="Q146" s="402"/>
      <c r="R146" s="264"/>
      <c r="S146" s="2997"/>
      <c r="T146" s="404"/>
      <c r="U146" s="402"/>
      <c r="V146" s="402"/>
      <c r="W146" s="402"/>
      <c r="X146" s="402"/>
      <c r="Y146" s="403"/>
      <c r="Z146" s="2997"/>
      <c r="AA146" s="404"/>
      <c r="AB146" s="402"/>
      <c r="AC146" s="402"/>
      <c r="AD146" s="402"/>
      <c r="AE146" s="402"/>
      <c r="AF146" s="403"/>
      <c r="AG146" s="2997"/>
      <c r="AH146" s="404"/>
      <c r="AI146" s="402"/>
      <c r="AJ146" s="402"/>
      <c r="AK146" s="402"/>
      <c r="AL146" s="402"/>
      <c r="AM146" s="403"/>
      <c r="AN146" s="2997"/>
      <c r="AO146" s="3002"/>
      <c r="AP146" s="3003"/>
      <c r="AQ146" s="3003"/>
      <c r="AR146" s="3003"/>
      <c r="AS146" s="3003"/>
      <c r="AT146" s="3004"/>
      <c r="AU146" s="4422"/>
      <c r="AV146" s="143"/>
      <c r="AW146" s="4438">
        <f t="shared" si="309"/>
        <v>0</v>
      </c>
      <c r="AX146" s="4438">
        <f t="shared" si="280"/>
        <v>0</v>
      </c>
      <c r="AY146" s="4438">
        <f t="shared" si="281"/>
        <v>0</v>
      </c>
      <c r="AZ146" s="4438">
        <f t="shared" si="282"/>
        <v>0</v>
      </c>
      <c r="BA146" s="4438">
        <f t="shared" si="283"/>
        <v>0</v>
      </c>
      <c r="BB146" s="4438">
        <f t="shared" si="284"/>
        <v>0</v>
      </c>
      <c r="BC146" s="143"/>
      <c r="BD146" s="4438">
        <f t="shared" si="285"/>
        <v>0</v>
      </c>
      <c r="BE146" s="4438">
        <f t="shared" si="286"/>
        <v>0</v>
      </c>
      <c r="BF146" s="4438">
        <f t="shared" si="287"/>
        <v>0</v>
      </c>
      <c r="BG146" s="4438">
        <f t="shared" si="288"/>
        <v>0</v>
      </c>
      <c r="BH146" s="4438">
        <f t="shared" si="289"/>
        <v>0</v>
      </c>
      <c r="BI146" s="4438">
        <f t="shared" si="290"/>
        <v>0</v>
      </c>
      <c r="BJ146" s="143"/>
      <c r="BK146" s="4438">
        <f t="shared" si="291"/>
        <v>0</v>
      </c>
      <c r="BL146" s="4438">
        <f t="shared" si="292"/>
        <v>0</v>
      </c>
      <c r="BM146" s="4438">
        <f t="shared" si="293"/>
        <v>0</v>
      </c>
      <c r="BN146" s="4438">
        <f t="shared" si="294"/>
        <v>0</v>
      </c>
      <c r="BO146" s="4438">
        <f t="shared" si="295"/>
        <v>0</v>
      </c>
      <c r="BP146" s="4438">
        <f t="shared" si="296"/>
        <v>0</v>
      </c>
      <c r="BQ146" s="143"/>
      <c r="BR146" s="4438">
        <f t="shared" si="297"/>
        <v>0</v>
      </c>
      <c r="BS146" s="4438">
        <f t="shared" si="298"/>
        <v>0</v>
      </c>
      <c r="BT146" s="4438">
        <f t="shared" si="299"/>
        <v>0</v>
      </c>
      <c r="BU146" s="4438">
        <f t="shared" si="300"/>
        <v>0</v>
      </c>
      <c r="BV146" s="4438">
        <f t="shared" si="301"/>
        <v>0</v>
      </c>
      <c r="BW146" s="4438">
        <f t="shared" si="302"/>
        <v>0</v>
      </c>
      <c r="BX146" s="143"/>
      <c r="BY146" s="4438">
        <f t="shared" si="303"/>
        <v>0</v>
      </c>
      <c r="BZ146" s="4438">
        <f t="shared" si="304"/>
        <v>0</v>
      </c>
      <c r="CA146" s="4438">
        <f t="shared" si="305"/>
        <v>0</v>
      </c>
      <c r="CB146" s="4438">
        <f t="shared" si="306"/>
        <v>0</v>
      </c>
      <c r="CC146" s="4438">
        <f t="shared" si="307"/>
        <v>0</v>
      </c>
      <c r="CD146" s="4438">
        <f t="shared" si="308"/>
        <v>0</v>
      </c>
    </row>
    <row r="147" spans="1:82" s="40" customFormat="1">
      <c r="A147" s="2958">
        <v>15</v>
      </c>
      <c r="B147" s="2955" t="s">
        <v>701</v>
      </c>
      <c r="C147" s="2957">
        <v>0.02</v>
      </c>
      <c r="D147" s="2546" t="s">
        <v>419</v>
      </c>
      <c r="E147" s="2997"/>
      <c r="F147" s="404"/>
      <c r="G147" s="402"/>
      <c r="H147" s="402"/>
      <c r="I147" s="402">
        <v>7</v>
      </c>
      <c r="J147" s="402"/>
      <c r="K147" s="264"/>
      <c r="L147" s="2997"/>
      <c r="M147" s="404"/>
      <c r="N147" s="402"/>
      <c r="O147" s="402"/>
      <c r="P147" s="402"/>
      <c r="Q147" s="402"/>
      <c r="R147" s="264"/>
      <c r="S147" s="2997"/>
      <c r="T147" s="404"/>
      <c r="U147" s="402"/>
      <c r="V147" s="402"/>
      <c r="W147" s="402"/>
      <c r="X147" s="402"/>
      <c r="Y147" s="403"/>
      <c r="Z147" s="2997"/>
      <c r="AA147" s="404"/>
      <c r="AB147" s="402"/>
      <c r="AC147" s="402"/>
      <c r="AD147" s="402"/>
      <c r="AE147" s="402"/>
      <c r="AF147" s="403"/>
      <c r="AG147" s="2997"/>
      <c r="AH147" s="404"/>
      <c r="AI147" s="402"/>
      <c r="AJ147" s="402"/>
      <c r="AK147" s="402"/>
      <c r="AL147" s="402"/>
      <c r="AM147" s="403"/>
      <c r="AN147" s="2997"/>
      <c r="AO147" s="3002"/>
      <c r="AP147" s="3003"/>
      <c r="AQ147" s="3003"/>
      <c r="AR147" s="3003"/>
      <c r="AS147" s="3003"/>
      <c r="AT147" s="3004"/>
      <c r="AU147" s="4422"/>
      <c r="AV147" s="143"/>
      <c r="AW147" s="4438">
        <f t="shared" si="309"/>
        <v>0</v>
      </c>
      <c r="AX147" s="4438">
        <f t="shared" si="280"/>
        <v>0</v>
      </c>
      <c r="AY147" s="4438">
        <f t="shared" si="281"/>
        <v>0</v>
      </c>
      <c r="AZ147" s="4438">
        <f t="shared" si="282"/>
        <v>3.5790431683735293</v>
      </c>
      <c r="BA147" s="4438">
        <f t="shared" si="283"/>
        <v>0</v>
      </c>
      <c r="BB147" s="4438">
        <f t="shared" si="284"/>
        <v>0</v>
      </c>
      <c r="BC147" s="143"/>
      <c r="BD147" s="4438">
        <f t="shared" si="285"/>
        <v>0</v>
      </c>
      <c r="BE147" s="4438">
        <f t="shared" si="286"/>
        <v>0</v>
      </c>
      <c r="BF147" s="4438">
        <f t="shared" si="287"/>
        <v>0</v>
      </c>
      <c r="BG147" s="4438">
        <f t="shared" si="288"/>
        <v>0</v>
      </c>
      <c r="BH147" s="4438">
        <f t="shared" si="289"/>
        <v>0</v>
      </c>
      <c r="BI147" s="4438">
        <f t="shared" si="290"/>
        <v>0</v>
      </c>
      <c r="BJ147" s="143"/>
      <c r="BK147" s="4438">
        <f t="shared" si="291"/>
        <v>0</v>
      </c>
      <c r="BL147" s="4438">
        <f t="shared" si="292"/>
        <v>0</v>
      </c>
      <c r="BM147" s="4438">
        <f t="shared" si="293"/>
        <v>0</v>
      </c>
      <c r="BN147" s="4438">
        <f t="shared" si="294"/>
        <v>0</v>
      </c>
      <c r="BO147" s="4438">
        <f t="shared" si="295"/>
        <v>0</v>
      </c>
      <c r="BP147" s="4438">
        <f t="shared" si="296"/>
        <v>0</v>
      </c>
      <c r="BQ147" s="143"/>
      <c r="BR147" s="4438">
        <f t="shared" si="297"/>
        <v>0</v>
      </c>
      <c r="BS147" s="4438">
        <f t="shared" si="298"/>
        <v>0</v>
      </c>
      <c r="BT147" s="4438">
        <f t="shared" si="299"/>
        <v>0</v>
      </c>
      <c r="BU147" s="4438">
        <f t="shared" si="300"/>
        <v>0</v>
      </c>
      <c r="BV147" s="4438">
        <f t="shared" si="301"/>
        <v>0</v>
      </c>
      <c r="BW147" s="4438">
        <f t="shared" si="302"/>
        <v>0</v>
      </c>
      <c r="BX147" s="143"/>
      <c r="BY147" s="4438">
        <f t="shared" si="303"/>
        <v>0</v>
      </c>
      <c r="BZ147" s="4438">
        <f t="shared" si="304"/>
        <v>0</v>
      </c>
      <c r="CA147" s="4438">
        <f t="shared" si="305"/>
        <v>0</v>
      </c>
      <c r="CB147" s="4438">
        <f t="shared" si="306"/>
        <v>0</v>
      </c>
      <c r="CC147" s="4438">
        <f t="shared" si="307"/>
        <v>0</v>
      </c>
      <c r="CD147" s="4438">
        <f t="shared" si="308"/>
        <v>0</v>
      </c>
    </row>
    <row r="148" spans="1:82" s="40" customFormat="1">
      <c r="A148" s="2958">
        <v>16</v>
      </c>
      <c r="B148" s="2955" t="s">
        <v>702</v>
      </c>
      <c r="C148" s="2957">
        <v>0.02</v>
      </c>
      <c r="D148" s="2547" t="s">
        <v>420</v>
      </c>
      <c r="E148" s="2997"/>
      <c r="F148" s="404"/>
      <c r="G148" s="402"/>
      <c r="H148" s="402"/>
      <c r="I148" s="402"/>
      <c r="J148" s="402"/>
      <c r="K148" s="264"/>
      <c r="L148" s="2997"/>
      <c r="M148" s="404"/>
      <c r="N148" s="402"/>
      <c r="O148" s="402"/>
      <c r="P148" s="402"/>
      <c r="Q148" s="402"/>
      <c r="R148" s="264"/>
      <c r="S148" s="2997"/>
      <c r="T148" s="404"/>
      <c r="U148" s="402"/>
      <c r="V148" s="402"/>
      <c r="W148" s="402"/>
      <c r="X148" s="402"/>
      <c r="Y148" s="403"/>
      <c r="Z148" s="2997"/>
      <c r="AA148" s="404"/>
      <c r="AB148" s="402"/>
      <c r="AC148" s="402"/>
      <c r="AD148" s="402"/>
      <c r="AE148" s="402"/>
      <c r="AF148" s="403"/>
      <c r="AG148" s="2997"/>
      <c r="AH148" s="404"/>
      <c r="AI148" s="402"/>
      <c r="AJ148" s="402"/>
      <c r="AK148" s="402"/>
      <c r="AL148" s="402"/>
      <c r="AM148" s="403"/>
      <c r="AN148" s="2997"/>
      <c r="AO148" s="3002"/>
      <c r="AP148" s="3003"/>
      <c r="AQ148" s="3003"/>
      <c r="AR148" s="3003"/>
      <c r="AS148" s="3003"/>
      <c r="AT148" s="3004"/>
      <c r="AU148" s="4422"/>
      <c r="AV148" s="143"/>
      <c r="AW148" s="4438">
        <f t="shared" si="309"/>
        <v>0</v>
      </c>
      <c r="AX148" s="4438">
        <f t="shared" si="280"/>
        <v>0</v>
      </c>
      <c r="AY148" s="4438">
        <f t="shared" si="281"/>
        <v>0</v>
      </c>
      <c r="AZ148" s="4438">
        <f t="shared" si="282"/>
        <v>0</v>
      </c>
      <c r="BA148" s="4438">
        <f t="shared" si="283"/>
        <v>0</v>
      </c>
      <c r="BB148" s="4438">
        <f t="shared" si="284"/>
        <v>0</v>
      </c>
      <c r="BC148" s="143"/>
      <c r="BD148" s="4438">
        <f t="shared" si="285"/>
        <v>0</v>
      </c>
      <c r="BE148" s="4438">
        <f t="shared" si="286"/>
        <v>0</v>
      </c>
      <c r="BF148" s="4438">
        <f t="shared" si="287"/>
        <v>0</v>
      </c>
      <c r="BG148" s="4438">
        <f t="shared" si="288"/>
        <v>0</v>
      </c>
      <c r="BH148" s="4438">
        <f t="shared" si="289"/>
        <v>0</v>
      </c>
      <c r="BI148" s="4438">
        <f t="shared" si="290"/>
        <v>0</v>
      </c>
      <c r="BJ148" s="143"/>
      <c r="BK148" s="4438">
        <f t="shared" si="291"/>
        <v>0</v>
      </c>
      <c r="BL148" s="4438">
        <f t="shared" si="292"/>
        <v>0</v>
      </c>
      <c r="BM148" s="4438">
        <f t="shared" si="293"/>
        <v>0</v>
      </c>
      <c r="BN148" s="4438">
        <f t="shared" si="294"/>
        <v>0</v>
      </c>
      <c r="BO148" s="4438">
        <f t="shared" si="295"/>
        <v>0</v>
      </c>
      <c r="BP148" s="4438">
        <f t="shared" si="296"/>
        <v>0</v>
      </c>
      <c r="BQ148" s="143"/>
      <c r="BR148" s="4438">
        <f t="shared" si="297"/>
        <v>0</v>
      </c>
      <c r="BS148" s="4438">
        <f t="shared" si="298"/>
        <v>0</v>
      </c>
      <c r="BT148" s="4438">
        <f t="shared" si="299"/>
        <v>0</v>
      </c>
      <c r="BU148" s="4438">
        <f t="shared" si="300"/>
        <v>0</v>
      </c>
      <c r="BV148" s="4438">
        <f t="shared" si="301"/>
        <v>0</v>
      </c>
      <c r="BW148" s="4438">
        <f t="shared" si="302"/>
        <v>0</v>
      </c>
      <c r="BX148" s="143"/>
      <c r="BY148" s="4438">
        <f t="shared" si="303"/>
        <v>0</v>
      </c>
      <c r="BZ148" s="4438">
        <f t="shared" si="304"/>
        <v>0</v>
      </c>
      <c r="CA148" s="4438">
        <f t="shared" si="305"/>
        <v>0</v>
      </c>
      <c r="CB148" s="4438">
        <f t="shared" si="306"/>
        <v>0</v>
      </c>
      <c r="CC148" s="4438">
        <f t="shared" si="307"/>
        <v>0</v>
      </c>
      <c r="CD148" s="4438">
        <f t="shared" si="308"/>
        <v>0</v>
      </c>
    </row>
    <row r="149" spans="1:82" s="40" customFormat="1">
      <c r="A149" s="2958">
        <v>17</v>
      </c>
      <c r="B149" s="2955" t="s">
        <v>703</v>
      </c>
      <c r="C149" s="2957">
        <v>0.02</v>
      </c>
      <c r="D149" s="2552" t="s">
        <v>421</v>
      </c>
      <c r="E149" s="2997"/>
      <c r="F149" s="404"/>
      <c r="G149" s="402"/>
      <c r="H149" s="402"/>
      <c r="I149" s="402"/>
      <c r="J149" s="402"/>
      <c r="K149" s="264"/>
      <c r="L149" s="2997"/>
      <c r="M149" s="404"/>
      <c r="N149" s="402"/>
      <c r="O149" s="402"/>
      <c r="P149" s="402"/>
      <c r="Q149" s="402"/>
      <c r="R149" s="264"/>
      <c r="S149" s="2997"/>
      <c r="T149" s="404"/>
      <c r="U149" s="402"/>
      <c r="V149" s="402"/>
      <c r="W149" s="402"/>
      <c r="X149" s="402"/>
      <c r="Y149" s="403"/>
      <c r="Z149" s="2997"/>
      <c r="AA149" s="404"/>
      <c r="AB149" s="402"/>
      <c r="AC149" s="402"/>
      <c r="AD149" s="402"/>
      <c r="AE149" s="402"/>
      <c r="AF149" s="403"/>
      <c r="AG149" s="2997"/>
      <c r="AH149" s="404"/>
      <c r="AI149" s="402"/>
      <c r="AJ149" s="402"/>
      <c r="AK149" s="402"/>
      <c r="AL149" s="402"/>
      <c r="AM149" s="403"/>
      <c r="AN149" s="2997"/>
      <c r="AO149" s="3002"/>
      <c r="AP149" s="3003"/>
      <c r="AQ149" s="3003"/>
      <c r="AR149" s="3003"/>
      <c r="AS149" s="3003"/>
      <c r="AT149" s="3004"/>
      <c r="AU149" s="4422"/>
      <c r="AV149" s="143"/>
      <c r="AW149" s="4438">
        <f t="shared" si="309"/>
        <v>0</v>
      </c>
      <c r="AX149" s="4438">
        <f t="shared" si="280"/>
        <v>0</v>
      </c>
      <c r="AY149" s="4438">
        <f t="shared" si="281"/>
        <v>0</v>
      </c>
      <c r="AZ149" s="4438">
        <f t="shared" si="282"/>
        <v>0</v>
      </c>
      <c r="BA149" s="4438">
        <f t="shared" si="283"/>
        <v>0</v>
      </c>
      <c r="BB149" s="4438">
        <f t="shared" si="284"/>
        <v>0</v>
      </c>
      <c r="BC149" s="143"/>
      <c r="BD149" s="4438">
        <f t="shared" si="285"/>
        <v>0</v>
      </c>
      <c r="BE149" s="4438">
        <f t="shared" si="286"/>
        <v>0</v>
      </c>
      <c r="BF149" s="4438">
        <f t="shared" si="287"/>
        <v>0</v>
      </c>
      <c r="BG149" s="4438">
        <f t="shared" si="288"/>
        <v>0</v>
      </c>
      <c r="BH149" s="4438">
        <f t="shared" si="289"/>
        <v>0</v>
      </c>
      <c r="BI149" s="4438">
        <f t="shared" si="290"/>
        <v>0</v>
      </c>
      <c r="BJ149" s="143"/>
      <c r="BK149" s="4438">
        <f t="shared" si="291"/>
        <v>0</v>
      </c>
      <c r="BL149" s="4438">
        <f t="shared" si="292"/>
        <v>0</v>
      </c>
      <c r="BM149" s="4438">
        <f t="shared" si="293"/>
        <v>0</v>
      </c>
      <c r="BN149" s="4438">
        <f t="shared" si="294"/>
        <v>0</v>
      </c>
      <c r="BO149" s="4438">
        <f t="shared" si="295"/>
        <v>0</v>
      </c>
      <c r="BP149" s="4438">
        <f t="shared" si="296"/>
        <v>0</v>
      </c>
      <c r="BQ149" s="143"/>
      <c r="BR149" s="4438">
        <f t="shared" si="297"/>
        <v>0</v>
      </c>
      <c r="BS149" s="4438">
        <f t="shared" si="298"/>
        <v>0</v>
      </c>
      <c r="BT149" s="4438">
        <f t="shared" si="299"/>
        <v>0</v>
      </c>
      <c r="BU149" s="4438">
        <f t="shared" si="300"/>
        <v>0</v>
      </c>
      <c r="BV149" s="4438">
        <f t="shared" si="301"/>
        <v>0</v>
      </c>
      <c r="BW149" s="4438">
        <f t="shared" si="302"/>
        <v>0</v>
      </c>
      <c r="BX149" s="143"/>
      <c r="BY149" s="4438">
        <f t="shared" si="303"/>
        <v>0</v>
      </c>
      <c r="BZ149" s="4438">
        <f t="shared" si="304"/>
        <v>0</v>
      </c>
      <c r="CA149" s="4438">
        <f t="shared" si="305"/>
        <v>0</v>
      </c>
      <c r="CB149" s="4438">
        <f t="shared" si="306"/>
        <v>0</v>
      </c>
      <c r="CC149" s="4438">
        <f t="shared" si="307"/>
        <v>0</v>
      </c>
      <c r="CD149" s="4438">
        <f t="shared" si="308"/>
        <v>0</v>
      </c>
    </row>
    <row r="150" spans="1:82" s="40" customFormat="1" ht="24">
      <c r="A150" s="2958">
        <v>18</v>
      </c>
      <c r="B150" s="2955" t="s">
        <v>704</v>
      </c>
      <c r="C150" s="2957">
        <v>0.04</v>
      </c>
      <c r="D150" s="2552" t="s">
        <v>422</v>
      </c>
      <c r="E150" s="2997"/>
      <c r="F150" s="404"/>
      <c r="G150" s="402"/>
      <c r="H150" s="402"/>
      <c r="I150" s="402"/>
      <c r="J150" s="402"/>
      <c r="K150" s="264"/>
      <c r="L150" s="2997"/>
      <c r="M150" s="404"/>
      <c r="N150" s="402"/>
      <c r="O150" s="402"/>
      <c r="P150" s="402"/>
      <c r="Q150" s="402"/>
      <c r="R150" s="264"/>
      <c r="S150" s="2997"/>
      <c r="T150" s="404"/>
      <c r="U150" s="402"/>
      <c r="V150" s="402"/>
      <c r="W150" s="402"/>
      <c r="X150" s="402"/>
      <c r="Y150" s="403"/>
      <c r="Z150" s="2997"/>
      <c r="AA150" s="404"/>
      <c r="AB150" s="402"/>
      <c r="AC150" s="402"/>
      <c r="AD150" s="402"/>
      <c r="AE150" s="402"/>
      <c r="AF150" s="403"/>
      <c r="AG150" s="2997"/>
      <c r="AH150" s="404"/>
      <c r="AI150" s="402"/>
      <c r="AJ150" s="402"/>
      <c r="AK150" s="402"/>
      <c r="AL150" s="402"/>
      <c r="AM150" s="403"/>
      <c r="AN150" s="2997"/>
      <c r="AO150" s="3002"/>
      <c r="AP150" s="3003"/>
      <c r="AQ150" s="3003"/>
      <c r="AR150" s="3003"/>
      <c r="AS150" s="3003"/>
      <c r="AT150" s="3004"/>
      <c r="AU150" s="4422"/>
      <c r="AV150" s="143"/>
      <c r="AW150" s="4438">
        <f t="shared" si="309"/>
        <v>0</v>
      </c>
      <c r="AX150" s="4438">
        <f t="shared" si="280"/>
        <v>0</v>
      </c>
      <c r="AY150" s="4438">
        <f t="shared" si="281"/>
        <v>0</v>
      </c>
      <c r="AZ150" s="4438">
        <f t="shared" si="282"/>
        <v>0</v>
      </c>
      <c r="BA150" s="4438">
        <f t="shared" si="283"/>
        <v>0</v>
      </c>
      <c r="BB150" s="4438">
        <f t="shared" si="284"/>
        <v>0</v>
      </c>
      <c r="BC150" s="143"/>
      <c r="BD150" s="4438">
        <f t="shared" si="285"/>
        <v>0</v>
      </c>
      <c r="BE150" s="4438">
        <f t="shared" si="286"/>
        <v>0</v>
      </c>
      <c r="BF150" s="4438">
        <f t="shared" si="287"/>
        <v>0</v>
      </c>
      <c r="BG150" s="4438">
        <f t="shared" si="288"/>
        <v>0</v>
      </c>
      <c r="BH150" s="4438">
        <f t="shared" si="289"/>
        <v>0</v>
      </c>
      <c r="BI150" s="4438">
        <f t="shared" si="290"/>
        <v>0</v>
      </c>
      <c r="BJ150" s="143"/>
      <c r="BK150" s="4438">
        <f t="shared" si="291"/>
        <v>0</v>
      </c>
      <c r="BL150" s="4438">
        <f t="shared" si="292"/>
        <v>0</v>
      </c>
      <c r="BM150" s="4438">
        <f t="shared" si="293"/>
        <v>0</v>
      </c>
      <c r="BN150" s="4438">
        <f t="shared" si="294"/>
        <v>0</v>
      </c>
      <c r="BO150" s="4438">
        <f t="shared" si="295"/>
        <v>0</v>
      </c>
      <c r="BP150" s="4438">
        <f t="shared" si="296"/>
        <v>0</v>
      </c>
      <c r="BQ150" s="143"/>
      <c r="BR150" s="4438">
        <f t="shared" si="297"/>
        <v>0</v>
      </c>
      <c r="BS150" s="4438">
        <f t="shared" si="298"/>
        <v>0</v>
      </c>
      <c r="BT150" s="4438">
        <f t="shared" si="299"/>
        <v>0</v>
      </c>
      <c r="BU150" s="4438">
        <f t="shared" si="300"/>
        <v>0</v>
      </c>
      <c r="BV150" s="4438">
        <f t="shared" si="301"/>
        <v>0</v>
      </c>
      <c r="BW150" s="4438">
        <f t="shared" si="302"/>
        <v>0</v>
      </c>
      <c r="BX150" s="143"/>
      <c r="BY150" s="4438">
        <f t="shared" si="303"/>
        <v>0</v>
      </c>
      <c r="BZ150" s="4438">
        <f t="shared" si="304"/>
        <v>0</v>
      </c>
      <c r="CA150" s="4438">
        <f t="shared" si="305"/>
        <v>0</v>
      </c>
      <c r="CB150" s="4438">
        <f t="shared" si="306"/>
        <v>0</v>
      </c>
      <c r="CC150" s="4438">
        <f t="shared" si="307"/>
        <v>0</v>
      </c>
      <c r="CD150" s="4438">
        <f t="shared" si="308"/>
        <v>0</v>
      </c>
    </row>
    <row r="151" spans="1:82" s="40" customFormat="1">
      <c r="A151" s="2958">
        <v>19</v>
      </c>
      <c r="B151" s="2955" t="s">
        <v>705</v>
      </c>
      <c r="C151" s="2957">
        <v>0.04</v>
      </c>
      <c r="D151" s="2552" t="s">
        <v>423</v>
      </c>
      <c r="E151" s="2997"/>
      <c r="F151" s="404"/>
      <c r="G151" s="402"/>
      <c r="H151" s="402"/>
      <c r="I151" s="402"/>
      <c r="J151" s="402"/>
      <c r="K151" s="264"/>
      <c r="L151" s="2997"/>
      <c r="M151" s="404"/>
      <c r="N151" s="402"/>
      <c r="O151" s="402"/>
      <c r="P151" s="402"/>
      <c r="Q151" s="402"/>
      <c r="R151" s="264"/>
      <c r="S151" s="2997"/>
      <c r="T151" s="404"/>
      <c r="U151" s="402"/>
      <c r="V151" s="402"/>
      <c r="W151" s="402"/>
      <c r="X151" s="402"/>
      <c r="Y151" s="403"/>
      <c r="Z151" s="2997"/>
      <c r="AA151" s="404"/>
      <c r="AB151" s="402"/>
      <c r="AC151" s="402"/>
      <c r="AD151" s="402"/>
      <c r="AE151" s="402"/>
      <c r="AF151" s="403"/>
      <c r="AG151" s="2997"/>
      <c r="AH151" s="404"/>
      <c r="AI151" s="402"/>
      <c r="AJ151" s="402"/>
      <c r="AK151" s="402"/>
      <c r="AL151" s="402"/>
      <c r="AM151" s="403"/>
      <c r="AN151" s="2997"/>
      <c r="AO151" s="3002"/>
      <c r="AP151" s="3003"/>
      <c r="AQ151" s="3003"/>
      <c r="AR151" s="3003"/>
      <c r="AS151" s="3003"/>
      <c r="AT151" s="3004"/>
      <c r="AU151" s="4422"/>
      <c r="AV151" s="143"/>
      <c r="AW151" s="4438">
        <f t="shared" si="309"/>
        <v>0</v>
      </c>
      <c r="AX151" s="4438">
        <f t="shared" si="280"/>
        <v>0</v>
      </c>
      <c r="AY151" s="4438">
        <f t="shared" si="281"/>
        <v>0</v>
      </c>
      <c r="AZ151" s="4438">
        <f t="shared" si="282"/>
        <v>0</v>
      </c>
      <c r="BA151" s="4438">
        <f t="shared" si="283"/>
        <v>0</v>
      </c>
      <c r="BB151" s="4438">
        <f t="shared" si="284"/>
        <v>0</v>
      </c>
      <c r="BC151" s="143"/>
      <c r="BD151" s="4438">
        <f t="shared" si="285"/>
        <v>0</v>
      </c>
      <c r="BE151" s="4438">
        <f t="shared" si="286"/>
        <v>0</v>
      </c>
      <c r="BF151" s="4438">
        <f t="shared" si="287"/>
        <v>0</v>
      </c>
      <c r="BG151" s="4438">
        <f t="shared" si="288"/>
        <v>0</v>
      </c>
      <c r="BH151" s="4438">
        <f t="shared" si="289"/>
        <v>0</v>
      </c>
      <c r="BI151" s="4438">
        <f t="shared" si="290"/>
        <v>0</v>
      </c>
      <c r="BJ151" s="143"/>
      <c r="BK151" s="4438">
        <f t="shared" si="291"/>
        <v>0</v>
      </c>
      <c r="BL151" s="4438">
        <f t="shared" si="292"/>
        <v>0</v>
      </c>
      <c r="BM151" s="4438">
        <f t="shared" si="293"/>
        <v>0</v>
      </c>
      <c r="BN151" s="4438">
        <f t="shared" si="294"/>
        <v>0</v>
      </c>
      <c r="BO151" s="4438">
        <f t="shared" si="295"/>
        <v>0</v>
      </c>
      <c r="BP151" s="4438">
        <f t="shared" si="296"/>
        <v>0</v>
      </c>
      <c r="BQ151" s="143"/>
      <c r="BR151" s="4438">
        <f t="shared" si="297"/>
        <v>0</v>
      </c>
      <c r="BS151" s="4438">
        <f t="shared" si="298"/>
        <v>0</v>
      </c>
      <c r="BT151" s="4438">
        <f t="shared" si="299"/>
        <v>0</v>
      </c>
      <c r="BU151" s="4438">
        <f t="shared" si="300"/>
        <v>0</v>
      </c>
      <c r="BV151" s="4438">
        <f t="shared" si="301"/>
        <v>0</v>
      </c>
      <c r="BW151" s="4438">
        <f t="shared" si="302"/>
        <v>0</v>
      </c>
      <c r="BX151" s="143"/>
      <c r="BY151" s="4438">
        <f t="shared" si="303"/>
        <v>0</v>
      </c>
      <c r="BZ151" s="4438">
        <f t="shared" si="304"/>
        <v>0</v>
      </c>
      <c r="CA151" s="4438">
        <f t="shared" si="305"/>
        <v>0</v>
      </c>
      <c r="CB151" s="4438">
        <f t="shared" si="306"/>
        <v>0</v>
      </c>
      <c r="CC151" s="4438">
        <f t="shared" si="307"/>
        <v>0</v>
      </c>
      <c r="CD151" s="4438">
        <f t="shared" si="308"/>
        <v>0</v>
      </c>
    </row>
    <row r="152" spans="1:82" s="40" customFormat="1">
      <c r="A152" s="2958">
        <v>20</v>
      </c>
      <c r="B152" s="2955" t="s">
        <v>717</v>
      </c>
      <c r="C152" s="2957">
        <v>0.04</v>
      </c>
      <c r="D152" s="2956" t="s">
        <v>434</v>
      </c>
      <c r="E152" s="2997"/>
      <c r="F152" s="404"/>
      <c r="G152" s="402"/>
      <c r="H152" s="402"/>
      <c r="I152" s="402"/>
      <c r="J152" s="402"/>
      <c r="K152" s="264"/>
      <c r="L152" s="2997"/>
      <c r="M152" s="404"/>
      <c r="N152" s="402"/>
      <c r="O152" s="402"/>
      <c r="P152" s="402"/>
      <c r="Q152" s="402"/>
      <c r="R152" s="264"/>
      <c r="S152" s="2997"/>
      <c r="T152" s="404"/>
      <c r="U152" s="402"/>
      <c r="V152" s="402"/>
      <c r="W152" s="402"/>
      <c r="X152" s="402"/>
      <c r="Y152" s="403"/>
      <c r="Z152" s="2997"/>
      <c r="AA152" s="404"/>
      <c r="AB152" s="402"/>
      <c r="AC152" s="402"/>
      <c r="AD152" s="402"/>
      <c r="AE152" s="402"/>
      <c r="AF152" s="403"/>
      <c r="AG152" s="2997"/>
      <c r="AH152" s="404"/>
      <c r="AI152" s="402"/>
      <c r="AJ152" s="402"/>
      <c r="AK152" s="402"/>
      <c r="AL152" s="402"/>
      <c r="AM152" s="403"/>
      <c r="AN152" s="2997"/>
      <c r="AO152" s="3002"/>
      <c r="AP152" s="3003"/>
      <c r="AQ152" s="3003"/>
      <c r="AR152" s="3003"/>
      <c r="AS152" s="3003"/>
      <c r="AT152" s="3004"/>
      <c r="AU152" s="4422"/>
      <c r="AV152" s="143"/>
      <c r="AW152" s="4438">
        <f t="shared" si="309"/>
        <v>0</v>
      </c>
      <c r="AX152" s="4438">
        <f t="shared" si="280"/>
        <v>0</v>
      </c>
      <c r="AY152" s="4438">
        <f t="shared" si="281"/>
        <v>0</v>
      </c>
      <c r="AZ152" s="4438">
        <f t="shared" si="282"/>
        <v>0</v>
      </c>
      <c r="BA152" s="4438">
        <f t="shared" si="283"/>
        <v>0</v>
      </c>
      <c r="BB152" s="4438">
        <f t="shared" si="284"/>
        <v>0</v>
      </c>
      <c r="BC152" s="143"/>
      <c r="BD152" s="4438">
        <f t="shared" si="285"/>
        <v>0</v>
      </c>
      <c r="BE152" s="4438">
        <f t="shared" si="286"/>
        <v>0</v>
      </c>
      <c r="BF152" s="4438">
        <f t="shared" si="287"/>
        <v>0</v>
      </c>
      <c r="BG152" s="4438">
        <f t="shared" si="288"/>
        <v>0</v>
      </c>
      <c r="BH152" s="4438">
        <f t="shared" si="289"/>
        <v>0</v>
      </c>
      <c r="BI152" s="4438">
        <f t="shared" si="290"/>
        <v>0</v>
      </c>
      <c r="BJ152" s="143"/>
      <c r="BK152" s="4438">
        <f t="shared" si="291"/>
        <v>0</v>
      </c>
      <c r="BL152" s="4438">
        <f t="shared" si="292"/>
        <v>0</v>
      </c>
      <c r="BM152" s="4438">
        <f t="shared" si="293"/>
        <v>0</v>
      </c>
      <c r="BN152" s="4438">
        <f t="shared" si="294"/>
        <v>0</v>
      </c>
      <c r="BO152" s="4438">
        <f t="shared" si="295"/>
        <v>0</v>
      </c>
      <c r="BP152" s="4438">
        <f t="shared" si="296"/>
        <v>0</v>
      </c>
      <c r="BQ152" s="143"/>
      <c r="BR152" s="4438">
        <f t="shared" si="297"/>
        <v>0</v>
      </c>
      <c r="BS152" s="4438">
        <f t="shared" si="298"/>
        <v>0</v>
      </c>
      <c r="BT152" s="4438">
        <f t="shared" si="299"/>
        <v>0</v>
      </c>
      <c r="BU152" s="4438">
        <f t="shared" si="300"/>
        <v>0</v>
      </c>
      <c r="BV152" s="4438">
        <f t="shared" si="301"/>
        <v>0</v>
      </c>
      <c r="BW152" s="4438">
        <f t="shared" si="302"/>
        <v>0</v>
      </c>
      <c r="BX152" s="143"/>
      <c r="BY152" s="4438">
        <f t="shared" si="303"/>
        <v>0</v>
      </c>
      <c r="BZ152" s="4438">
        <f t="shared" si="304"/>
        <v>0</v>
      </c>
      <c r="CA152" s="4438">
        <f t="shared" si="305"/>
        <v>0</v>
      </c>
      <c r="CB152" s="4438">
        <f t="shared" si="306"/>
        <v>0</v>
      </c>
      <c r="CC152" s="4438">
        <f t="shared" si="307"/>
        <v>0</v>
      </c>
      <c r="CD152" s="4438">
        <f t="shared" si="308"/>
        <v>0</v>
      </c>
    </row>
    <row r="153" spans="1:82" s="40" customFormat="1" ht="24.75" thickBot="1">
      <c r="A153" s="2958">
        <v>21</v>
      </c>
      <c r="B153" s="2955" t="s">
        <v>707</v>
      </c>
      <c r="C153" s="2883">
        <v>0.2</v>
      </c>
      <c r="D153" s="2552" t="s">
        <v>679</v>
      </c>
      <c r="E153" s="2997"/>
      <c r="F153" s="404"/>
      <c r="G153" s="402"/>
      <c r="H153" s="402"/>
      <c r="I153" s="402"/>
      <c r="J153" s="402"/>
      <c r="K153" s="264"/>
      <c r="L153" s="2997"/>
      <c r="M153" s="404"/>
      <c r="N153" s="402"/>
      <c r="O153" s="402"/>
      <c r="P153" s="402"/>
      <c r="Q153" s="402"/>
      <c r="R153" s="264"/>
      <c r="S153" s="2997"/>
      <c r="T153" s="404"/>
      <c r="U153" s="402"/>
      <c r="V153" s="402"/>
      <c r="W153" s="402"/>
      <c r="X153" s="402"/>
      <c r="Y153" s="403"/>
      <c r="Z153" s="2997"/>
      <c r="AA153" s="404"/>
      <c r="AB153" s="402"/>
      <c r="AC153" s="402"/>
      <c r="AD153" s="402"/>
      <c r="AE153" s="402"/>
      <c r="AF153" s="403"/>
      <c r="AG153" s="2997"/>
      <c r="AH153" s="404"/>
      <c r="AI153" s="402"/>
      <c r="AJ153" s="402"/>
      <c r="AK153" s="402"/>
      <c r="AL153" s="402"/>
      <c r="AM153" s="403"/>
      <c r="AN153" s="3005"/>
      <c r="AO153" s="3006"/>
      <c r="AP153" s="3007"/>
      <c r="AQ153" s="3007"/>
      <c r="AR153" s="3007"/>
      <c r="AS153" s="3007"/>
      <c r="AT153" s="3008"/>
      <c r="AU153" s="4422"/>
      <c r="AV153" s="143"/>
      <c r="AW153" s="4438">
        <f t="shared" si="309"/>
        <v>0</v>
      </c>
      <c r="AX153" s="4438">
        <f t="shared" si="280"/>
        <v>0</v>
      </c>
      <c r="AY153" s="4438">
        <f t="shared" si="281"/>
        <v>0</v>
      </c>
      <c r="AZ153" s="4438">
        <f t="shared" si="282"/>
        <v>0</v>
      </c>
      <c r="BA153" s="4438">
        <f t="shared" si="283"/>
        <v>0</v>
      </c>
      <c r="BB153" s="4438">
        <f t="shared" si="284"/>
        <v>0</v>
      </c>
      <c r="BC153" s="143"/>
      <c r="BD153" s="4438">
        <f t="shared" si="285"/>
        <v>0</v>
      </c>
      <c r="BE153" s="4438">
        <f t="shared" si="286"/>
        <v>0</v>
      </c>
      <c r="BF153" s="4438">
        <f t="shared" si="287"/>
        <v>0</v>
      </c>
      <c r="BG153" s="4438">
        <f t="shared" si="288"/>
        <v>0</v>
      </c>
      <c r="BH153" s="4438">
        <f t="shared" si="289"/>
        <v>0</v>
      </c>
      <c r="BI153" s="4438">
        <f t="shared" si="290"/>
        <v>0</v>
      </c>
      <c r="BJ153" s="143"/>
      <c r="BK153" s="4438">
        <f t="shared" si="291"/>
        <v>0</v>
      </c>
      <c r="BL153" s="4438">
        <f t="shared" si="292"/>
        <v>0</v>
      </c>
      <c r="BM153" s="4438">
        <f t="shared" si="293"/>
        <v>0</v>
      </c>
      <c r="BN153" s="4438">
        <f t="shared" si="294"/>
        <v>0</v>
      </c>
      <c r="BO153" s="4438">
        <f t="shared" si="295"/>
        <v>0</v>
      </c>
      <c r="BP153" s="4438">
        <f t="shared" si="296"/>
        <v>0</v>
      </c>
      <c r="BQ153" s="143"/>
      <c r="BR153" s="4438">
        <f t="shared" si="297"/>
        <v>0</v>
      </c>
      <c r="BS153" s="4438">
        <f t="shared" si="298"/>
        <v>0</v>
      </c>
      <c r="BT153" s="4438">
        <f t="shared" si="299"/>
        <v>0</v>
      </c>
      <c r="BU153" s="4438">
        <f t="shared" si="300"/>
        <v>0</v>
      </c>
      <c r="BV153" s="4438">
        <f t="shared" si="301"/>
        <v>0</v>
      </c>
      <c r="BW153" s="4438">
        <f t="shared" si="302"/>
        <v>0</v>
      </c>
      <c r="BX153" s="143"/>
      <c r="BY153" s="4438">
        <f t="shared" si="303"/>
        <v>0</v>
      </c>
      <c r="BZ153" s="4438">
        <f t="shared" si="304"/>
        <v>0</v>
      </c>
      <c r="CA153" s="4438">
        <f t="shared" si="305"/>
        <v>0</v>
      </c>
      <c r="CB153" s="4438">
        <f t="shared" si="306"/>
        <v>0</v>
      </c>
      <c r="CC153" s="4438">
        <f t="shared" si="307"/>
        <v>0</v>
      </c>
      <c r="CD153" s="4438">
        <f t="shared" si="308"/>
        <v>0</v>
      </c>
    </row>
    <row r="154" spans="1:82" s="40" customFormat="1" ht="21.75" customHeight="1" thickBot="1">
      <c r="A154" s="2961">
        <v>2</v>
      </c>
      <c r="B154" s="2962"/>
      <c r="C154" s="2962"/>
      <c r="D154" s="2826" t="s">
        <v>218</v>
      </c>
      <c r="E154" s="2830">
        <f>SUM(E155:E175)</f>
        <v>0</v>
      </c>
      <c r="F154" s="2827">
        <f>SUM(F155:F175)</f>
        <v>-3.0000000000000004</v>
      </c>
      <c r="G154" s="2828">
        <f t="shared" ref="G154:AT154" si="311">SUM(G155:G175)</f>
        <v>-3.0000000000000004</v>
      </c>
      <c r="H154" s="2828">
        <f t="shared" si="311"/>
        <v>-6.79</v>
      </c>
      <c r="I154" s="2828">
        <f t="shared" si="311"/>
        <v>-21.430000000000003</v>
      </c>
      <c r="J154" s="2828">
        <f t="shared" si="311"/>
        <v>-24.23</v>
      </c>
      <c r="K154" s="2829">
        <f t="shared" si="311"/>
        <v>-24.23</v>
      </c>
      <c r="L154" s="2830">
        <f t="shared" si="311"/>
        <v>0</v>
      </c>
      <c r="M154" s="2827">
        <f t="shared" si="311"/>
        <v>0</v>
      </c>
      <c r="N154" s="2828">
        <f t="shared" si="311"/>
        <v>0</v>
      </c>
      <c r="O154" s="2828">
        <f t="shared" si="311"/>
        <v>0</v>
      </c>
      <c r="P154" s="2828">
        <f t="shared" si="311"/>
        <v>0</v>
      </c>
      <c r="Q154" s="2828">
        <f t="shared" si="311"/>
        <v>0</v>
      </c>
      <c r="R154" s="2831">
        <f t="shared" si="311"/>
        <v>0</v>
      </c>
      <c r="S154" s="2830">
        <f t="shared" si="311"/>
        <v>0</v>
      </c>
      <c r="T154" s="2827">
        <f t="shared" si="311"/>
        <v>0</v>
      </c>
      <c r="U154" s="2828">
        <f t="shared" si="311"/>
        <v>0</v>
      </c>
      <c r="V154" s="2828">
        <f t="shared" si="311"/>
        <v>0</v>
      </c>
      <c r="W154" s="2828">
        <f t="shared" si="311"/>
        <v>0</v>
      </c>
      <c r="X154" s="2828">
        <f t="shared" si="311"/>
        <v>0</v>
      </c>
      <c r="Y154" s="2831">
        <f t="shared" si="311"/>
        <v>0</v>
      </c>
      <c r="Z154" s="2830">
        <f t="shared" si="311"/>
        <v>0</v>
      </c>
      <c r="AA154" s="2827">
        <f t="shared" si="311"/>
        <v>0</v>
      </c>
      <c r="AB154" s="2828">
        <f t="shared" si="311"/>
        <v>0</v>
      </c>
      <c r="AC154" s="2828">
        <f t="shared" si="311"/>
        <v>0</v>
      </c>
      <c r="AD154" s="2828">
        <f t="shared" si="311"/>
        <v>0</v>
      </c>
      <c r="AE154" s="2828">
        <f t="shared" si="311"/>
        <v>0</v>
      </c>
      <c r="AF154" s="2831">
        <f t="shared" si="311"/>
        <v>0</v>
      </c>
      <c r="AG154" s="2830">
        <f t="shared" si="311"/>
        <v>0</v>
      </c>
      <c r="AH154" s="2827">
        <f t="shared" si="311"/>
        <v>0</v>
      </c>
      <c r="AI154" s="2828">
        <f t="shared" si="311"/>
        <v>0</v>
      </c>
      <c r="AJ154" s="2828">
        <f t="shared" si="311"/>
        <v>0</v>
      </c>
      <c r="AK154" s="2828">
        <f t="shared" si="311"/>
        <v>0</v>
      </c>
      <c r="AL154" s="2828">
        <f t="shared" si="311"/>
        <v>0</v>
      </c>
      <c r="AM154" s="2831">
        <f t="shared" si="311"/>
        <v>0</v>
      </c>
      <c r="AN154" s="2830">
        <f t="shared" si="311"/>
        <v>0</v>
      </c>
      <c r="AO154" s="2827">
        <f t="shared" si="311"/>
        <v>0</v>
      </c>
      <c r="AP154" s="2828">
        <f t="shared" si="311"/>
        <v>0</v>
      </c>
      <c r="AQ154" s="2828">
        <f t="shared" si="311"/>
        <v>0</v>
      </c>
      <c r="AR154" s="2828">
        <f t="shared" si="311"/>
        <v>0</v>
      </c>
      <c r="AS154" s="2828">
        <f t="shared" si="311"/>
        <v>0</v>
      </c>
      <c r="AT154" s="2831">
        <f t="shared" si="311"/>
        <v>0</v>
      </c>
      <c r="AU154" s="4422"/>
      <c r="AV154" s="143"/>
      <c r="AW154" s="4438">
        <f t="shared" si="309"/>
        <v>-1.5338756435886558</v>
      </c>
      <c r="AX154" s="4438">
        <f t="shared" si="280"/>
        <v>-1.5338756435886558</v>
      </c>
      <c r="AY154" s="4438">
        <f t="shared" si="281"/>
        <v>-3.4716718733223235</v>
      </c>
      <c r="AZ154" s="4438">
        <f t="shared" si="282"/>
        <v>-10.956985014034965</v>
      </c>
      <c r="BA154" s="4438">
        <f t="shared" si="283"/>
        <v>-12.388602281384374</v>
      </c>
      <c r="BB154" s="4438">
        <f t="shared" si="284"/>
        <v>-12.388602281384374</v>
      </c>
      <c r="BC154" s="143"/>
      <c r="BD154" s="4438">
        <f t="shared" si="285"/>
        <v>0</v>
      </c>
      <c r="BE154" s="4438">
        <f t="shared" si="286"/>
        <v>0</v>
      </c>
      <c r="BF154" s="4438">
        <f t="shared" si="287"/>
        <v>0</v>
      </c>
      <c r="BG154" s="4438">
        <f t="shared" si="288"/>
        <v>0</v>
      </c>
      <c r="BH154" s="4438">
        <f t="shared" si="289"/>
        <v>0</v>
      </c>
      <c r="BI154" s="4438">
        <f t="shared" si="290"/>
        <v>0</v>
      </c>
      <c r="BJ154" s="143"/>
      <c r="BK154" s="4438">
        <f t="shared" si="291"/>
        <v>0</v>
      </c>
      <c r="BL154" s="4438">
        <f t="shared" si="292"/>
        <v>0</v>
      </c>
      <c r="BM154" s="4438">
        <f t="shared" si="293"/>
        <v>0</v>
      </c>
      <c r="BN154" s="4438">
        <f t="shared" si="294"/>
        <v>0</v>
      </c>
      <c r="BO154" s="4438">
        <f t="shared" si="295"/>
        <v>0</v>
      </c>
      <c r="BP154" s="4438">
        <f t="shared" si="296"/>
        <v>0</v>
      </c>
      <c r="BQ154" s="143"/>
      <c r="BR154" s="4438">
        <f t="shared" si="297"/>
        <v>0</v>
      </c>
      <c r="BS154" s="4438">
        <f t="shared" si="298"/>
        <v>0</v>
      </c>
      <c r="BT154" s="4438">
        <f t="shared" si="299"/>
        <v>0</v>
      </c>
      <c r="BU154" s="4438">
        <f t="shared" si="300"/>
        <v>0</v>
      </c>
      <c r="BV154" s="4438">
        <f t="shared" si="301"/>
        <v>0</v>
      </c>
      <c r="BW154" s="4438">
        <f t="shared" si="302"/>
        <v>0</v>
      </c>
      <c r="BX154" s="143"/>
      <c r="BY154" s="4438">
        <f t="shared" si="303"/>
        <v>0</v>
      </c>
      <c r="BZ154" s="4438">
        <f t="shared" si="304"/>
        <v>0</v>
      </c>
      <c r="CA154" s="4438">
        <f t="shared" si="305"/>
        <v>0</v>
      </c>
      <c r="CB154" s="4438">
        <f t="shared" si="306"/>
        <v>0</v>
      </c>
      <c r="CC154" s="4438">
        <f t="shared" si="307"/>
        <v>0</v>
      </c>
      <c r="CD154" s="4438">
        <f t="shared" si="308"/>
        <v>0</v>
      </c>
    </row>
    <row r="155" spans="1:82" s="40" customFormat="1">
      <c r="A155" s="2952">
        <v>1</v>
      </c>
      <c r="B155" s="2953" t="s">
        <v>696</v>
      </c>
      <c r="C155" s="2954">
        <v>0</v>
      </c>
      <c r="D155" s="2546" t="s">
        <v>558</v>
      </c>
      <c r="E155" s="2997"/>
      <c r="F155" s="2963">
        <f>(E111*$C111)+(F111*$C111)-(F133*$C111)</f>
        <v>0</v>
      </c>
      <c r="G155" s="2964">
        <f>F155+(G111*$C111)-(G133*$C111)</f>
        <v>0</v>
      </c>
      <c r="H155" s="2964">
        <f t="shared" ref="H155:K155" si="312">G155+(H111*$C111)-(H133*$C111)</f>
        <v>0</v>
      </c>
      <c r="I155" s="2964">
        <f t="shared" si="312"/>
        <v>0</v>
      </c>
      <c r="J155" s="2964">
        <f t="shared" si="312"/>
        <v>0</v>
      </c>
      <c r="K155" s="2965">
        <f t="shared" si="312"/>
        <v>0</v>
      </c>
      <c r="L155" s="2997"/>
      <c r="M155" s="2963">
        <f>(L111*$C111)+(M111*$C111)-(M133*$C111)</f>
        <v>0</v>
      </c>
      <c r="N155" s="2964">
        <f>M155+(N111*$C111)-(N133*$C111)</f>
        <v>0</v>
      </c>
      <c r="O155" s="2964">
        <f t="shared" ref="O155:R155" si="313">N155+(O111*$C111)-(O133*$C111)</f>
        <v>0</v>
      </c>
      <c r="P155" s="2964">
        <f t="shared" si="313"/>
        <v>0</v>
      </c>
      <c r="Q155" s="2964">
        <f t="shared" si="313"/>
        <v>0</v>
      </c>
      <c r="R155" s="2965">
        <f t="shared" si="313"/>
        <v>0</v>
      </c>
      <c r="S155" s="2997"/>
      <c r="T155" s="2963">
        <f>(S111*$C111)+(T111*$C111)-(T133*$C111)</f>
        <v>0</v>
      </c>
      <c r="U155" s="2964">
        <f>T155+(U111*$C111)-(U133*$C111)</f>
        <v>0</v>
      </c>
      <c r="V155" s="2964">
        <f t="shared" ref="V155:Y155" si="314">U155+(V111*$C111)-(V133*$C111)</f>
        <v>0</v>
      </c>
      <c r="W155" s="2964">
        <f t="shared" si="314"/>
        <v>0</v>
      </c>
      <c r="X155" s="2964">
        <f t="shared" si="314"/>
        <v>0</v>
      </c>
      <c r="Y155" s="2965">
        <f t="shared" si="314"/>
        <v>0</v>
      </c>
      <c r="Z155" s="2997"/>
      <c r="AA155" s="2963">
        <f>(Z111*$C111)+(AA111*$C111)-(AA133*$C111)</f>
        <v>0</v>
      </c>
      <c r="AB155" s="2964">
        <f>AA155+(AB111*$C111)-(AB133*$C111)</f>
        <v>0</v>
      </c>
      <c r="AC155" s="2964">
        <f t="shared" ref="AC155:AF170" si="315">AB155+(AC111*$C111)-(AC133*$C111)</f>
        <v>0</v>
      </c>
      <c r="AD155" s="2964">
        <f t="shared" si="315"/>
        <v>0</v>
      </c>
      <c r="AE155" s="2964">
        <f t="shared" si="315"/>
        <v>0</v>
      </c>
      <c r="AF155" s="2965">
        <f t="shared" si="315"/>
        <v>0</v>
      </c>
      <c r="AG155" s="2997"/>
      <c r="AH155" s="2963">
        <f>(AG111*$C111)+(AH111*$C111)-(AH133*$C111)</f>
        <v>0</v>
      </c>
      <c r="AI155" s="2964">
        <f>AH155+(AI111*$C111)-(AI133*$C111)</f>
        <v>0</v>
      </c>
      <c r="AJ155" s="2964">
        <f t="shared" ref="AJ155:AM170" si="316">AI155+(AJ111*$C111)-(AJ133*$C111)</f>
        <v>0</v>
      </c>
      <c r="AK155" s="2964">
        <f t="shared" si="316"/>
        <v>0</v>
      </c>
      <c r="AL155" s="2964">
        <f t="shared" si="316"/>
        <v>0</v>
      </c>
      <c r="AM155" s="2965">
        <f t="shared" si="316"/>
        <v>0</v>
      </c>
      <c r="AN155" s="2998"/>
      <c r="AO155" s="2999"/>
      <c r="AP155" s="3000"/>
      <c r="AQ155" s="3000"/>
      <c r="AR155" s="3000"/>
      <c r="AS155" s="3000"/>
      <c r="AT155" s="3001"/>
      <c r="AU155" s="4422"/>
      <c r="AV155" s="143"/>
      <c r="AW155" s="4438">
        <f t="shared" si="309"/>
        <v>0</v>
      </c>
      <c r="AX155" s="4438">
        <f t="shared" si="280"/>
        <v>0</v>
      </c>
      <c r="AY155" s="4438">
        <f t="shared" si="281"/>
        <v>0</v>
      </c>
      <c r="AZ155" s="4438">
        <f t="shared" si="282"/>
        <v>0</v>
      </c>
      <c r="BA155" s="4438">
        <f t="shared" si="283"/>
        <v>0</v>
      </c>
      <c r="BB155" s="4438">
        <f t="shared" si="284"/>
        <v>0</v>
      </c>
      <c r="BC155" s="143"/>
      <c r="BD155" s="4438">
        <f t="shared" si="285"/>
        <v>0</v>
      </c>
      <c r="BE155" s="4438">
        <f t="shared" si="286"/>
        <v>0</v>
      </c>
      <c r="BF155" s="4438">
        <f t="shared" si="287"/>
        <v>0</v>
      </c>
      <c r="BG155" s="4438">
        <f t="shared" si="288"/>
        <v>0</v>
      </c>
      <c r="BH155" s="4438">
        <f t="shared" si="289"/>
        <v>0</v>
      </c>
      <c r="BI155" s="4438">
        <f t="shared" si="290"/>
        <v>0</v>
      </c>
      <c r="BJ155" s="143"/>
      <c r="BK155" s="4438">
        <f t="shared" si="291"/>
        <v>0</v>
      </c>
      <c r="BL155" s="4438">
        <f t="shared" si="292"/>
        <v>0</v>
      </c>
      <c r="BM155" s="4438">
        <f t="shared" si="293"/>
        <v>0</v>
      </c>
      <c r="BN155" s="4438">
        <f t="shared" si="294"/>
        <v>0</v>
      </c>
      <c r="BO155" s="4438">
        <f t="shared" si="295"/>
        <v>0</v>
      </c>
      <c r="BP155" s="4438">
        <f t="shared" si="296"/>
        <v>0</v>
      </c>
      <c r="BQ155" s="143"/>
      <c r="BR155" s="4438">
        <f t="shared" si="297"/>
        <v>0</v>
      </c>
      <c r="BS155" s="4438">
        <f t="shared" si="298"/>
        <v>0</v>
      </c>
      <c r="BT155" s="4438">
        <f t="shared" si="299"/>
        <v>0</v>
      </c>
      <c r="BU155" s="4438">
        <f t="shared" si="300"/>
        <v>0</v>
      </c>
      <c r="BV155" s="4438">
        <f t="shared" si="301"/>
        <v>0</v>
      </c>
      <c r="BW155" s="4438">
        <f t="shared" si="302"/>
        <v>0</v>
      </c>
      <c r="BX155" s="143"/>
      <c r="BY155" s="4438">
        <f t="shared" si="303"/>
        <v>0</v>
      </c>
      <c r="BZ155" s="4438">
        <f t="shared" si="304"/>
        <v>0</v>
      </c>
      <c r="CA155" s="4438">
        <f t="shared" si="305"/>
        <v>0</v>
      </c>
      <c r="CB155" s="4438">
        <f t="shared" si="306"/>
        <v>0</v>
      </c>
      <c r="CC155" s="4438">
        <f t="shared" si="307"/>
        <v>0</v>
      </c>
      <c r="CD155" s="4438">
        <f t="shared" si="308"/>
        <v>0</v>
      </c>
    </row>
    <row r="156" spans="1:82" s="40" customFormat="1">
      <c r="A156" s="2952">
        <v>2</v>
      </c>
      <c r="B156" s="2955" t="s">
        <v>697</v>
      </c>
      <c r="C156" s="2954">
        <v>0.03</v>
      </c>
      <c r="D156" s="2956" t="s">
        <v>426</v>
      </c>
      <c r="E156" s="2997"/>
      <c r="F156" s="2966">
        <f t="shared" ref="F156:F175" si="317">(E112*$C112)+(F112*$C112)-(F134*$C112)</f>
        <v>0</v>
      </c>
      <c r="G156" s="2902">
        <f t="shared" ref="G156:K171" si="318">F156+(G112*$C112)-(G134*$C112)</f>
        <v>0</v>
      </c>
      <c r="H156" s="2902">
        <f t="shared" si="318"/>
        <v>-0.09</v>
      </c>
      <c r="I156" s="2902">
        <f t="shared" si="318"/>
        <v>-0.09</v>
      </c>
      <c r="J156" s="2902">
        <f t="shared" si="318"/>
        <v>-0.09</v>
      </c>
      <c r="K156" s="2967">
        <f t="shared" si="318"/>
        <v>-0.09</v>
      </c>
      <c r="L156" s="2997"/>
      <c r="M156" s="2966">
        <f t="shared" ref="M156:M175" si="319">(L112*$C112)+(M112*$C112)-(M134*$C112)</f>
        <v>0</v>
      </c>
      <c r="N156" s="2902">
        <f t="shared" ref="N156:R171" si="320">M156+(N112*$C112)-(N134*$C112)</f>
        <v>0</v>
      </c>
      <c r="O156" s="2902">
        <f t="shared" si="320"/>
        <v>0</v>
      </c>
      <c r="P156" s="2902">
        <f t="shared" si="320"/>
        <v>0</v>
      </c>
      <c r="Q156" s="2902">
        <f t="shared" si="320"/>
        <v>0</v>
      </c>
      <c r="R156" s="2967">
        <f t="shared" si="320"/>
        <v>0</v>
      </c>
      <c r="S156" s="2997"/>
      <c r="T156" s="2966">
        <f t="shared" ref="T156:T175" si="321">(S112*$C112)+(T112*$C112)-(T134*$C112)</f>
        <v>0</v>
      </c>
      <c r="U156" s="2902">
        <f t="shared" ref="U156:Y171" si="322">T156+(U112*$C112)-(U134*$C112)</f>
        <v>0</v>
      </c>
      <c r="V156" s="2902">
        <f t="shared" si="322"/>
        <v>0</v>
      </c>
      <c r="W156" s="2902">
        <f t="shared" si="322"/>
        <v>0</v>
      </c>
      <c r="X156" s="2902">
        <f t="shared" si="322"/>
        <v>0</v>
      </c>
      <c r="Y156" s="2967">
        <f t="shared" si="322"/>
        <v>0</v>
      </c>
      <c r="Z156" s="2997"/>
      <c r="AA156" s="2966">
        <f t="shared" ref="AA156:AA175" si="323">(Z112*$C112)+(AA112*$C112)-(AA134*$C112)</f>
        <v>0</v>
      </c>
      <c r="AB156" s="2902">
        <f t="shared" ref="AB156:AF171" si="324">AA156+(AB112*$C112)-(AB134*$C112)</f>
        <v>0</v>
      </c>
      <c r="AC156" s="2902">
        <f t="shared" si="315"/>
        <v>0</v>
      </c>
      <c r="AD156" s="2902">
        <f t="shared" si="315"/>
        <v>0</v>
      </c>
      <c r="AE156" s="2902">
        <f t="shared" si="315"/>
        <v>0</v>
      </c>
      <c r="AF156" s="2967">
        <f t="shared" si="315"/>
        <v>0</v>
      </c>
      <c r="AG156" s="2997"/>
      <c r="AH156" s="2966">
        <f t="shared" ref="AH156:AH175" si="325">(AG112*$C112)+(AH112*$C112)-(AH134*$C112)</f>
        <v>0</v>
      </c>
      <c r="AI156" s="2902">
        <f t="shared" ref="AI156:AM171" si="326">AH156+(AI112*$C112)-(AI134*$C112)</f>
        <v>0</v>
      </c>
      <c r="AJ156" s="2902">
        <f t="shared" si="316"/>
        <v>0</v>
      </c>
      <c r="AK156" s="2902">
        <f t="shared" si="316"/>
        <v>0</v>
      </c>
      <c r="AL156" s="2902">
        <f t="shared" si="316"/>
        <v>0</v>
      </c>
      <c r="AM156" s="2967">
        <f t="shared" si="316"/>
        <v>0</v>
      </c>
      <c r="AN156" s="2997"/>
      <c r="AO156" s="3002"/>
      <c r="AP156" s="3003"/>
      <c r="AQ156" s="3003"/>
      <c r="AR156" s="3003"/>
      <c r="AS156" s="3003"/>
      <c r="AT156" s="3004"/>
      <c r="AU156" s="4422"/>
      <c r="AV156" s="143"/>
      <c r="AW156" s="4438">
        <f t="shared" si="309"/>
        <v>0</v>
      </c>
      <c r="AX156" s="4438">
        <f t="shared" si="280"/>
        <v>0</v>
      </c>
      <c r="AY156" s="4438">
        <f t="shared" si="281"/>
        <v>-4.601626930765966E-2</v>
      </c>
      <c r="AZ156" s="4438">
        <f t="shared" si="282"/>
        <v>-4.601626930765966E-2</v>
      </c>
      <c r="BA156" s="4438">
        <f t="shared" si="283"/>
        <v>-4.601626930765966E-2</v>
      </c>
      <c r="BB156" s="4438">
        <f t="shared" si="284"/>
        <v>-4.601626930765966E-2</v>
      </c>
      <c r="BC156" s="143"/>
      <c r="BD156" s="4438">
        <f t="shared" si="285"/>
        <v>0</v>
      </c>
      <c r="BE156" s="4438">
        <f t="shared" si="286"/>
        <v>0</v>
      </c>
      <c r="BF156" s="4438">
        <f t="shared" si="287"/>
        <v>0</v>
      </c>
      <c r="BG156" s="4438">
        <f t="shared" si="288"/>
        <v>0</v>
      </c>
      <c r="BH156" s="4438">
        <f t="shared" si="289"/>
        <v>0</v>
      </c>
      <c r="BI156" s="4438">
        <f t="shared" si="290"/>
        <v>0</v>
      </c>
      <c r="BJ156" s="143"/>
      <c r="BK156" s="4438">
        <f t="shared" si="291"/>
        <v>0</v>
      </c>
      <c r="BL156" s="4438">
        <f t="shared" si="292"/>
        <v>0</v>
      </c>
      <c r="BM156" s="4438">
        <f t="shared" si="293"/>
        <v>0</v>
      </c>
      <c r="BN156" s="4438">
        <f t="shared" si="294"/>
        <v>0</v>
      </c>
      <c r="BO156" s="4438">
        <f t="shared" si="295"/>
        <v>0</v>
      </c>
      <c r="BP156" s="4438">
        <f t="shared" si="296"/>
        <v>0</v>
      </c>
      <c r="BQ156" s="143"/>
      <c r="BR156" s="4438">
        <f t="shared" si="297"/>
        <v>0</v>
      </c>
      <c r="BS156" s="4438">
        <f t="shared" si="298"/>
        <v>0</v>
      </c>
      <c r="BT156" s="4438">
        <f t="shared" si="299"/>
        <v>0</v>
      </c>
      <c r="BU156" s="4438">
        <f t="shared" si="300"/>
        <v>0</v>
      </c>
      <c r="BV156" s="4438">
        <f t="shared" si="301"/>
        <v>0</v>
      </c>
      <c r="BW156" s="4438">
        <f t="shared" si="302"/>
        <v>0</v>
      </c>
      <c r="BX156" s="143"/>
      <c r="BY156" s="4438">
        <f t="shared" si="303"/>
        <v>0</v>
      </c>
      <c r="BZ156" s="4438">
        <f t="shared" si="304"/>
        <v>0</v>
      </c>
      <c r="CA156" s="4438">
        <f t="shared" si="305"/>
        <v>0</v>
      </c>
      <c r="CB156" s="4438">
        <f t="shared" si="306"/>
        <v>0</v>
      </c>
      <c r="CC156" s="4438">
        <f t="shared" si="307"/>
        <v>0</v>
      </c>
      <c r="CD156" s="4438">
        <f t="shared" si="308"/>
        <v>0</v>
      </c>
    </row>
    <row r="157" spans="1:82" s="40" customFormat="1">
      <c r="A157" s="2952">
        <v>3</v>
      </c>
      <c r="B157" s="2955">
        <v>911301</v>
      </c>
      <c r="C157" s="2957">
        <v>0.1</v>
      </c>
      <c r="D157" s="2956" t="s">
        <v>427</v>
      </c>
      <c r="E157" s="3845"/>
      <c r="F157" s="2966">
        <f t="shared" si="317"/>
        <v>0</v>
      </c>
      <c r="G157" s="2902">
        <f t="shared" si="318"/>
        <v>0</v>
      </c>
      <c r="H157" s="2902">
        <f t="shared" si="318"/>
        <v>0</v>
      </c>
      <c r="I157" s="2902">
        <f t="shared" si="318"/>
        <v>0</v>
      </c>
      <c r="J157" s="2902">
        <f t="shared" si="318"/>
        <v>0</v>
      </c>
      <c r="K157" s="2967">
        <f t="shared" si="318"/>
        <v>0</v>
      </c>
      <c r="L157" s="3845"/>
      <c r="M157" s="2966">
        <f t="shared" si="319"/>
        <v>0</v>
      </c>
      <c r="N157" s="2902">
        <f t="shared" si="320"/>
        <v>0</v>
      </c>
      <c r="O157" s="2902">
        <f t="shared" si="320"/>
        <v>0</v>
      </c>
      <c r="P157" s="2902">
        <f t="shared" si="320"/>
        <v>0</v>
      </c>
      <c r="Q157" s="2902">
        <f t="shared" si="320"/>
        <v>0</v>
      </c>
      <c r="R157" s="2967">
        <f t="shared" si="320"/>
        <v>0</v>
      </c>
      <c r="S157" s="3845"/>
      <c r="T157" s="2966">
        <f t="shared" si="321"/>
        <v>0</v>
      </c>
      <c r="U157" s="2902">
        <f t="shared" si="322"/>
        <v>0</v>
      </c>
      <c r="V157" s="2902">
        <f t="shared" si="322"/>
        <v>0</v>
      </c>
      <c r="W157" s="2902">
        <f t="shared" si="322"/>
        <v>0</v>
      </c>
      <c r="X157" s="2902">
        <f t="shared" si="322"/>
        <v>0</v>
      </c>
      <c r="Y157" s="2967">
        <f t="shared" si="322"/>
        <v>0</v>
      </c>
      <c r="Z157" s="3845"/>
      <c r="AA157" s="2966">
        <f t="shared" si="323"/>
        <v>0</v>
      </c>
      <c r="AB157" s="2902">
        <f t="shared" si="324"/>
        <v>0</v>
      </c>
      <c r="AC157" s="2902">
        <f t="shared" si="315"/>
        <v>0</v>
      </c>
      <c r="AD157" s="2902">
        <f t="shared" si="315"/>
        <v>0</v>
      </c>
      <c r="AE157" s="2902">
        <f t="shared" si="315"/>
        <v>0</v>
      </c>
      <c r="AF157" s="2967">
        <f t="shared" si="315"/>
        <v>0</v>
      </c>
      <c r="AG157" s="3845"/>
      <c r="AH157" s="2966">
        <f t="shared" si="325"/>
        <v>0</v>
      </c>
      <c r="AI157" s="2902">
        <f t="shared" si="326"/>
        <v>0</v>
      </c>
      <c r="AJ157" s="2902">
        <f t="shared" si="316"/>
        <v>0</v>
      </c>
      <c r="AK157" s="2902">
        <f t="shared" si="316"/>
        <v>0</v>
      </c>
      <c r="AL157" s="2902">
        <f t="shared" si="316"/>
        <v>0</v>
      </c>
      <c r="AM157" s="2967">
        <f t="shared" si="316"/>
        <v>0</v>
      </c>
      <c r="AN157" s="3845"/>
      <c r="AO157" s="3846"/>
      <c r="AP157" s="3847"/>
      <c r="AQ157" s="3847"/>
      <c r="AR157" s="3847"/>
      <c r="AS157" s="3847"/>
      <c r="AT157" s="3848"/>
      <c r="AU157" s="4422"/>
      <c r="AV157" s="143"/>
      <c r="AW157" s="4438">
        <f t="shared" si="309"/>
        <v>0</v>
      </c>
      <c r="AX157" s="4438">
        <f t="shared" si="280"/>
        <v>0</v>
      </c>
      <c r="AY157" s="4438">
        <f t="shared" si="281"/>
        <v>0</v>
      </c>
      <c r="AZ157" s="4438">
        <f t="shared" si="282"/>
        <v>0</v>
      </c>
      <c r="BA157" s="4438">
        <f t="shared" si="283"/>
        <v>0</v>
      </c>
      <c r="BB157" s="4438">
        <f t="shared" si="284"/>
        <v>0</v>
      </c>
      <c r="BC157" s="143"/>
      <c r="BD157" s="4438">
        <f t="shared" si="285"/>
        <v>0</v>
      </c>
      <c r="BE157" s="4438">
        <f t="shared" si="286"/>
        <v>0</v>
      </c>
      <c r="BF157" s="4438">
        <f t="shared" si="287"/>
        <v>0</v>
      </c>
      <c r="BG157" s="4438">
        <f t="shared" si="288"/>
        <v>0</v>
      </c>
      <c r="BH157" s="4438">
        <f t="shared" si="289"/>
        <v>0</v>
      </c>
      <c r="BI157" s="4438">
        <f t="shared" si="290"/>
        <v>0</v>
      </c>
      <c r="BJ157" s="143"/>
      <c r="BK157" s="4438">
        <f t="shared" si="291"/>
        <v>0</v>
      </c>
      <c r="BL157" s="4438">
        <f t="shared" si="292"/>
        <v>0</v>
      </c>
      <c r="BM157" s="4438">
        <f t="shared" si="293"/>
        <v>0</v>
      </c>
      <c r="BN157" s="4438">
        <f t="shared" si="294"/>
        <v>0</v>
      </c>
      <c r="BO157" s="4438">
        <f t="shared" si="295"/>
        <v>0</v>
      </c>
      <c r="BP157" s="4438">
        <f t="shared" si="296"/>
        <v>0</v>
      </c>
      <c r="BQ157" s="143"/>
      <c r="BR157" s="4438">
        <f t="shared" si="297"/>
        <v>0</v>
      </c>
      <c r="BS157" s="4438">
        <f t="shared" si="298"/>
        <v>0</v>
      </c>
      <c r="BT157" s="4438">
        <f t="shared" si="299"/>
        <v>0</v>
      </c>
      <c r="BU157" s="4438">
        <f t="shared" si="300"/>
        <v>0</v>
      </c>
      <c r="BV157" s="4438">
        <f t="shared" si="301"/>
        <v>0</v>
      </c>
      <c r="BW157" s="4438">
        <f t="shared" si="302"/>
        <v>0</v>
      </c>
      <c r="BX157" s="143"/>
      <c r="BY157" s="4438">
        <f t="shared" si="303"/>
        <v>0</v>
      </c>
      <c r="BZ157" s="4438">
        <f t="shared" si="304"/>
        <v>0</v>
      </c>
      <c r="CA157" s="4438">
        <f t="shared" si="305"/>
        <v>0</v>
      </c>
      <c r="CB157" s="4438">
        <f t="shared" si="306"/>
        <v>0</v>
      </c>
      <c r="CC157" s="4438">
        <f t="shared" si="307"/>
        <v>0</v>
      </c>
      <c r="CD157" s="4438">
        <f t="shared" si="308"/>
        <v>0</v>
      </c>
    </row>
    <row r="158" spans="1:82" s="40" customFormat="1">
      <c r="A158" s="3839">
        <v>4</v>
      </c>
      <c r="B158" s="2953">
        <v>911302</v>
      </c>
      <c r="C158" s="3840">
        <v>0.1</v>
      </c>
      <c r="D158" s="3849" t="s">
        <v>428</v>
      </c>
      <c r="E158" s="3845"/>
      <c r="F158" s="3842">
        <f t="shared" si="317"/>
        <v>0</v>
      </c>
      <c r="G158" s="3843">
        <f t="shared" si="318"/>
        <v>0</v>
      </c>
      <c r="H158" s="3843">
        <f t="shared" si="318"/>
        <v>0</v>
      </c>
      <c r="I158" s="3843">
        <f t="shared" si="318"/>
        <v>0</v>
      </c>
      <c r="J158" s="3843">
        <f t="shared" si="318"/>
        <v>0</v>
      </c>
      <c r="K158" s="3844">
        <f t="shared" si="318"/>
        <v>0</v>
      </c>
      <c r="L158" s="3845"/>
      <c r="M158" s="3842">
        <f t="shared" si="319"/>
        <v>0</v>
      </c>
      <c r="N158" s="3843">
        <f t="shared" si="320"/>
        <v>0</v>
      </c>
      <c r="O158" s="3843">
        <f t="shared" si="320"/>
        <v>0</v>
      </c>
      <c r="P158" s="3843">
        <f t="shared" si="320"/>
        <v>0</v>
      </c>
      <c r="Q158" s="3843">
        <f t="shared" si="320"/>
        <v>0</v>
      </c>
      <c r="R158" s="3844">
        <f t="shared" si="320"/>
        <v>0</v>
      </c>
      <c r="S158" s="3845"/>
      <c r="T158" s="3842">
        <f t="shared" si="321"/>
        <v>0</v>
      </c>
      <c r="U158" s="3843">
        <f t="shared" si="322"/>
        <v>0</v>
      </c>
      <c r="V158" s="3843">
        <f t="shared" si="322"/>
        <v>0</v>
      </c>
      <c r="W158" s="3843">
        <f t="shared" si="322"/>
        <v>0</v>
      </c>
      <c r="X158" s="3843">
        <f t="shared" si="322"/>
        <v>0</v>
      </c>
      <c r="Y158" s="3844">
        <f t="shared" si="322"/>
        <v>0</v>
      </c>
      <c r="Z158" s="3845"/>
      <c r="AA158" s="3842">
        <f t="shared" si="323"/>
        <v>0</v>
      </c>
      <c r="AB158" s="3843">
        <f t="shared" si="324"/>
        <v>0</v>
      </c>
      <c r="AC158" s="3843">
        <f t="shared" si="315"/>
        <v>0</v>
      </c>
      <c r="AD158" s="3843">
        <f t="shared" si="315"/>
        <v>0</v>
      </c>
      <c r="AE158" s="3843">
        <f t="shared" si="315"/>
        <v>0</v>
      </c>
      <c r="AF158" s="3844">
        <f t="shared" si="315"/>
        <v>0</v>
      </c>
      <c r="AG158" s="3845"/>
      <c r="AH158" s="3842">
        <f t="shared" si="325"/>
        <v>0</v>
      </c>
      <c r="AI158" s="3843">
        <f t="shared" si="326"/>
        <v>0</v>
      </c>
      <c r="AJ158" s="3843">
        <f t="shared" si="316"/>
        <v>0</v>
      </c>
      <c r="AK158" s="3843">
        <f t="shared" si="316"/>
        <v>0</v>
      </c>
      <c r="AL158" s="3843">
        <f t="shared" si="316"/>
        <v>0</v>
      </c>
      <c r="AM158" s="3844">
        <f t="shared" si="316"/>
        <v>0</v>
      </c>
      <c r="AN158" s="3845"/>
      <c r="AO158" s="3846"/>
      <c r="AP158" s="3847"/>
      <c r="AQ158" s="3847"/>
      <c r="AR158" s="3847"/>
      <c r="AS158" s="3847"/>
      <c r="AT158" s="3848"/>
      <c r="AU158" s="4422"/>
      <c r="AV158" s="143"/>
      <c r="AW158" s="4438">
        <f t="shared" si="309"/>
        <v>0</v>
      </c>
      <c r="AX158" s="4438">
        <f t="shared" si="280"/>
        <v>0</v>
      </c>
      <c r="AY158" s="4438">
        <f t="shared" si="281"/>
        <v>0</v>
      </c>
      <c r="AZ158" s="4438">
        <f t="shared" si="282"/>
        <v>0</v>
      </c>
      <c r="BA158" s="4438">
        <f t="shared" si="283"/>
        <v>0</v>
      </c>
      <c r="BB158" s="4438">
        <f t="shared" si="284"/>
        <v>0</v>
      </c>
      <c r="BC158" s="143"/>
      <c r="BD158" s="4438">
        <f t="shared" si="285"/>
        <v>0</v>
      </c>
      <c r="BE158" s="4438">
        <f t="shared" si="286"/>
        <v>0</v>
      </c>
      <c r="BF158" s="4438">
        <f t="shared" si="287"/>
        <v>0</v>
      </c>
      <c r="BG158" s="4438">
        <f t="shared" si="288"/>
        <v>0</v>
      </c>
      <c r="BH158" s="4438">
        <f t="shared" si="289"/>
        <v>0</v>
      </c>
      <c r="BI158" s="4438">
        <f t="shared" si="290"/>
        <v>0</v>
      </c>
      <c r="BJ158" s="143"/>
      <c r="BK158" s="4438">
        <f t="shared" si="291"/>
        <v>0</v>
      </c>
      <c r="BL158" s="4438">
        <f t="shared" si="292"/>
        <v>0</v>
      </c>
      <c r="BM158" s="4438">
        <f t="shared" si="293"/>
        <v>0</v>
      </c>
      <c r="BN158" s="4438">
        <f t="shared" si="294"/>
        <v>0</v>
      </c>
      <c r="BO158" s="4438">
        <f t="shared" si="295"/>
        <v>0</v>
      </c>
      <c r="BP158" s="4438">
        <f t="shared" si="296"/>
        <v>0</v>
      </c>
      <c r="BQ158" s="143"/>
      <c r="BR158" s="4438">
        <f t="shared" si="297"/>
        <v>0</v>
      </c>
      <c r="BS158" s="4438">
        <f t="shared" si="298"/>
        <v>0</v>
      </c>
      <c r="BT158" s="4438">
        <f t="shared" si="299"/>
        <v>0</v>
      </c>
      <c r="BU158" s="4438">
        <f t="shared" si="300"/>
        <v>0</v>
      </c>
      <c r="BV158" s="4438">
        <f t="shared" si="301"/>
        <v>0</v>
      </c>
      <c r="BW158" s="4438">
        <f t="shared" si="302"/>
        <v>0</v>
      </c>
      <c r="BX158" s="143"/>
      <c r="BY158" s="4438">
        <f t="shared" si="303"/>
        <v>0</v>
      </c>
      <c r="BZ158" s="4438">
        <f t="shared" si="304"/>
        <v>0</v>
      </c>
      <c r="CA158" s="4438">
        <f t="shared" si="305"/>
        <v>0</v>
      </c>
      <c r="CB158" s="4438">
        <f t="shared" si="306"/>
        <v>0</v>
      </c>
      <c r="CC158" s="4438">
        <f t="shared" si="307"/>
        <v>0</v>
      </c>
      <c r="CD158" s="4438">
        <f t="shared" si="308"/>
        <v>0</v>
      </c>
    </row>
    <row r="159" spans="1:82" s="40" customFormat="1">
      <c r="A159" s="3839">
        <v>5</v>
      </c>
      <c r="B159" s="2953" t="s">
        <v>714</v>
      </c>
      <c r="C159" s="3840">
        <v>0.1</v>
      </c>
      <c r="D159" s="3841" t="s">
        <v>407</v>
      </c>
      <c r="E159" s="2997"/>
      <c r="F159" s="3842">
        <f t="shared" si="317"/>
        <v>-2.3000000000000003</v>
      </c>
      <c r="G159" s="3843">
        <f t="shared" si="318"/>
        <v>-2.3000000000000003</v>
      </c>
      <c r="H159" s="3843">
        <f t="shared" si="318"/>
        <v>-6</v>
      </c>
      <c r="I159" s="3843">
        <f t="shared" si="318"/>
        <v>-10.9</v>
      </c>
      <c r="J159" s="3843">
        <f t="shared" si="318"/>
        <v>-13.5</v>
      </c>
      <c r="K159" s="3844">
        <f t="shared" si="318"/>
        <v>-13.5</v>
      </c>
      <c r="L159" s="2997"/>
      <c r="M159" s="3842">
        <f t="shared" si="319"/>
        <v>0</v>
      </c>
      <c r="N159" s="3843">
        <f t="shared" si="320"/>
        <v>0</v>
      </c>
      <c r="O159" s="3843">
        <f t="shared" si="320"/>
        <v>0</v>
      </c>
      <c r="P159" s="3843">
        <f t="shared" si="320"/>
        <v>0</v>
      </c>
      <c r="Q159" s="3843">
        <f t="shared" si="320"/>
        <v>0</v>
      </c>
      <c r="R159" s="3844">
        <f t="shared" si="320"/>
        <v>0</v>
      </c>
      <c r="S159" s="2997"/>
      <c r="T159" s="3842">
        <f t="shared" si="321"/>
        <v>0</v>
      </c>
      <c r="U159" s="3843">
        <f t="shared" si="322"/>
        <v>0</v>
      </c>
      <c r="V159" s="3843">
        <f t="shared" si="322"/>
        <v>0</v>
      </c>
      <c r="W159" s="3843">
        <f t="shared" si="322"/>
        <v>0</v>
      </c>
      <c r="X159" s="3843">
        <f t="shared" si="322"/>
        <v>0</v>
      </c>
      <c r="Y159" s="3844">
        <f t="shared" si="322"/>
        <v>0</v>
      </c>
      <c r="Z159" s="2997"/>
      <c r="AA159" s="3842">
        <f t="shared" si="323"/>
        <v>0</v>
      </c>
      <c r="AB159" s="3843">
        <f t="shared" si="324"/>
        <v>0</v>
      </c>
      <c r="AC159" s="3843">
        <f t="shared" si="315"/>
        <v>0</v>
      </c>
      <c r="AD159" s="3843">
        <f t="shared" si="315"/>
        <v>0</v>
      </c>
      <c r="AE159" s="3843">
        <f t="shared" si="315"/>
        <v>0</v>
      </c>
      <c r="AF159" s="3844">
        <f t="shared" si="315"/>
        <v>0</v>
      </c>
      <c r="AG159" s="2997"/>
      <c r="AH159" s="3842">
        <f t="shared" si="325"/>
        <v>0</v>
      </c>
      <c r="AI159" s="3843">
        <f t="shared" si="326"/>
        <v>0</v>
      </c>
      <c r="AJ159" s="3843">
        <f t="shared" si="316"/>
        <v>0</v>
      </c>
      <c r="AK159" s="3843">
        <f t="shared" si="316"/>
        <v>0</v>
      </c>
      <c r="AL159" s="3843">
        <f t="shared" si="316"/>
        <v>0</v>
      </c>
      <c r="AM159" s="3844">
        <f t="shared" si="316"/>
        <v>0</v>
      </c>
      <c r="AN159" s="2997"/>
      <c r="AO159" s="3002"/>
      <c r="AP159" s="3003"/>
      <c r="AQ159" s="3003"/>
      <c r="AR159" s="3003"/>
      <c r="AS159" s="3003"/>
      <c r="AT159" s="3004"/>
      <c r="AU159" s="4422"/>
      <c r="AV159" s="143"/>
      <c r="AW159" s="4438">
        <f t="shared" si="309"/>
        <v>-1.1759713267513028</v>
      </c>
      <c r="AX159" s="4438">
        <f t="shared" si="280"/>
        <v>-1.1759713267513028</v>
      </c>
      <c r="AY159" s="4438">
        <f t="shared" si="281"/>
        <v>-3.0677512871773112</v>
      </c>
      <c r="AZ159" s="4438">
        <f t="shared" si="282"/>
        <v>-5.5730815050387816</v>
      </c>
      <c r="BA159" s="4438">
        <f t="shared" si="283"/>
        <v>-6.9024403961489496</v>
      </c>
      <c r="BB159" s="4438">
        <f t="shared" si="284"/>
        <v>-6.9024403961489496</v>
      </c>
      <c r="BC159" s="143"/>
      <c r="BD159" s="4438">
        <f t="shared" si="285"/>
        <v>0</v>
      </c>
      <c r="BE159" s="4438">
        <f t="shared" si="286"/>
        <v>0</v>
      </c>
      <c r="BF159" s="4438">
        <f t="shared" si="287"/>
        <v>0</v>
      </c>
      <c r="BG159" s="4438">
        <f t="shared" si="288"/>
        <v>0</v>
      </c>
      <c r="BH159" s="4438">
        <f t="shared" si="289"/>
        <v>0</v>
      </c>
      <c r="BI159" s="4438">
        <f t="shared" si="290"/>
        <v>0</v>
      </c>
      <c r="BJ159" s="143"/>
      <c r="BK159" s="4438">
        <f t="shared" si="291"/>
        <v>0</v>
      </c>
      <c r="BL159" s="4438">
        <f t="shared" si="292"/>
        <v>0</v>
      </c>
      <c r="BM159" s="4438">
        <f t="shared" si="293"/>
        <v>0</v>
      </c>
      <c r="BN159" s="4438">
        <f t="shared" si="294"/>
        <v>0</v>
      </c>
      <c r="BO159" s="4438">
        <f t="shared" si="295"/>
        <v>0</v>
      </c>
      <c r="BP159" s="4438">
        <f t="shared" si="296"/>
        <v>0</v>
      </c>
      <c r="BQ159" s="143"/>
      <c r="BR159" s="4438">
        <f t="shared" si="297"/>
        <v>0</v>
      </c>
      <c r="BS159" s="4438">
        <f t="shared" si="298"/>
        <v>0</v>
      </c>
      <c r="BT159" s="4438">
        <f t="shared" si="299"/>
        <v>0</v>
      </c>
      <c r="BU159" s="4438">
        <f t="shared" si="300"/>
        <v>0</v>
      </c>
      <c r="BV159" s="4438">
        <f t="shared" si="301"/>
        <v>0</v>
      </c>
      <c r="BW159" s="4438">
        <f t="shared" si="302"/>
        <v>0</v>
      </c>
      <c r="BX159" s="143"/>
      <c r="BY159" s="4438">
        <f t="shared" si="303"/>
        <v>0</v>
      </c>
      <c r="BZ159" s="4438">
        <f t="shared" si="304"/>
        <v>0</v>
      </c>
      <c r="CA159" s="4438">
        <f t="shared" si="305"/>
        <v>0</v>
      </c>
      <c r="CB159" s="4438">
        <f t="shared" si="306"/>
        <v>0</v>
      </c>
      <c r="CC159" s="4438">
        <f t="shared" si="307"/>
        <v>0</v>
      </c>
      <c r="CD159" s="4438">
        <f t="shared" si="308"/>
        <v>0</v>
      </c>
    </row>
    <row r="160" spans="1:82" s="40" customFormat="1">
      <c r="A160" s="2952">
        <v>6</v>
      </c>
      <c r="B160" s="2955" t="s">
        <v>715</v>
      </c>
      <c r="C160" s="2957">
        <v>0.1</v>
      </c>
      <c r="D160" s="2552" t="s">
        <v>408</v>
      </c>
      <c r="E160" s="2997"/>
      <c r="F160" s="2966">
        <f t="shared" si="317"/>
        <v>-0.70000000000000007</v>
      </c>
      <c r="G160" s="2902">
        <f t="shared" si="318"/>
        <v>-0.70000000000000007</v>
      </c>
      <c r="H160" s="2902">
        <f t="shared" si="318"/>
        <v>-0.70000000000000007</v>
      </c>
      <c r="I160" s="2902">
        <f t="shared" si="318"/>
        <v>-1.9000000000000004</v>
      </c>
      <c r="J160" s="2902">
        <f t="shared" si="318"/>
        <v>-2.1000000000000005</v>
      </c>
      <c r="K160" s="2967">
        <f t="shared" si="318"/>
        <v>-2.1000000000000005</v>
      </c>
      <c r="L160" s="2997"/>
      <c r="M160" s="2966">
        <f t="shared" si="319"/>
        <v>0</v>
      </c>
      <c r="N160" s="2902">
        <f t="shared" si="320"/>
        <v>0</v>
      </c>
      <c r="O160" s="2902">
        <f t="shared" si="320"/>
        <v>0</v>
      </c>
      <c r="P160" s="2902">
        <f t="shared" si="320"/>
        <v>0</v>
      </c>
      <c r="Q160" s="2902">
        <f t="shared" si="320"/>
        <v>0</v>
      </c>
      <c r="R160" s="2967">
        <f t="shared" si="320"/>
        <v>0</v>
      </c>
      <c r="S160" s="2997"/>
      <c r="T160" s="2966">
        <f t="shared" si="321"/>
        <v>0</v>
      </c>
      <c r="U160" s="2902">
        <f t="shared" si="322"/>
        <v>0</v>
      </c>
      <c r="V160" s="2902">
        <f t="shared" si="322"/>
        <v>0</v>
      </c>
      <c r="W160" s="2902">
        <f t="shared" si="322"/>
        <v>0</v>
      </c>
      <c r="X160" s="2902">
        <f t="shared" si="322"/>
        <v>0</v>
      </c>
      <c r="Y160" s="2967">
        <f t="shared" si="322"/>
        <v>0</v>
      </c>
      <c r="Z160" s="2997"/>
      <c r="AA160" s="2966">
        <f t="shared" si="323"/>
        <v>0</v>
      </c>
      <c r="AB160" s="2902">
        <f t="shared" si="324"/>
        <v>0</v>
      </c>
      <c r="AC160" s="2902">
        <f t="shared" si="315"/>
        <v>0</v>
      </c>
      <c r="AD160" s="2902">
        <f t="shared" si="315"/>
        <v>0</v>
      </c>
      <c r="AE160" s="2902">
        <f t="shared" si="315"/>
        <v>0</v>
      </c>
      <c r="AF160" s="2967">
        <f t="shared" si="315"/>
        <v>0</v>
      </c>
      <c r="AG160" s="2997"/>
      <c r="AH160" s="2966">
        <f t="shared" si="325"/>
        <v>0</v>
      </c>
      <c r="AI160" s="2902">
        <f t="shared" si="326"/>
        <v>0</v>
      </c>
      <c r="AJ160" s="2902">
        <f t="shared" si="316"/>
        <v>0</v>
      </c>
      <c r="AK160" s="2902">
        <f t="shared" si="316"/>
        <v>0</v>
      </c>
      <c r="AL160" s="2902">
        <f t="shared" si="316"/>
        <v>0</v>
      </c>
      <c r="AM160" s="2967">
        <f t="shared" si="316"/>
        <v>0</v>
      </c>
      <c r="AN160" s="2997"/>
      <c r="AO160" s="3002"/>
      <c r="AP160" s="3003"/>
      <c r="AQ160" s="3003"/>
      <c r="AR160" s="3003"/>
      <c r="AS160" s="3003"/>
      <c r="AT160" s="3004"/>
      <c r="AU160" s="4422"/>
      <c r="AV160" s="143"/>
      <c r="AW160" s="4438">
        <f t="shared" si="309"/>
        <v>-0.35790431683735296</v>
      </c>
      <c r="AX160" s="4438">
        <f t="shared" si="280"/>
        <v>-0.35790431683735296</v>
      </c>
      <c r="AY160" s="4438">
        <f t="shared" si="281"/>
        <v>-0.35790431683735296</v>
      </c>
      <c r="AZ160" s="4438">
        <f t="shared" si="282"/>
        <v>-0.97145457427281534</v>
      </c>
      <c r="BA160" s="4438">
        <f t="shared" si="283"/>
        <v>-1.0737129505120591</v>
      </c>
      <c r="BB160" s="4438">
        <f t="shared" si="284"/>
        <v>-1.0737129505120591</v>
      </c>
      <c r="BC160" s="143"/>
      <c r="BD160" s="4438">
        <f t="shared" si="285"/>
        <v>0</v>
      </c>
      <c r="BE160" s="4438">
        <f t="shared" si="286"/>
        <v>0</v>
      </c>
      <c r="BF160" s="4438">
        <f t="shared" si="287"/>
        <v>0</v>
      </c>
      <c r="BG160" s="4438">
        <f t="shared" si="288"/>
        <v>0</v>
      </c>
      <c r="BH160" s="4438">
        <f t="shared" si="289"/>
        <v>0</v>
      </c>
      <c r="BI160" s="4438">
        <f t="shared" si="290"/>
        <v>0</v>
      </c>
      <c r="BJ160" s="143"/>
      <c r="BK160" s="4438">
        <f t="shared" si="291"/>
        <v>0</v>
      </c>
      <c r="BL160" s="4438">
        <f t="shared" si="292"/>
        <v>0</v>
      </c>
      <c r="BM160" s="4438">
        <f t="shared" si="293"/>
        <v>0</v>
      </c>
      <c r="BN160" s="4438">
        <f t="shared" si="294"/>
        <v>0</v>
      </c>
      <c r="BO160" s="4438">
        <f t="shared" si="295"/>
        <v>0</v>
      </c>
      <c r="BP160" s="4438">
        <f t="shared" si="296"/>
        <v>0</v>
      </c>
      <c r="BQ160" s="143"/>
      <c r="BR160" s="4438">
        <f t="shared" si="297"/>
        <v>0</v>
      </c>
      <c r="BS160" s="4438">
        <f t="shared" si="298"/>
        <v>0</v>
      </c>
      <c r="BT160" s="4438">
        <f t="shared" si="299"/>
        <v>0</v>
      </c>
      <c r="BU160" s="4438">
        <f t="shared" si="300"/>
        <v>0</v>
      </c>
      <c r="BV160" s="4438">
        <f t="shared" si="301"/>
        <v>0</v>
      </c>
      <c r="BW160" s="4438">
        <f t="shared" si="302"/>
        <v>0</v>
      </c>
      <c r="BX160" s="143"/>
      <c r="BY160" s="4438">
        <f t="shared" si="303"/>
        <v>0</v>
      </c>
      <c r="BZ160" s="4438">
        <f t="shared" si="304"/>
        <v>0</v>
      </c>
      <c r="CA160" s="4438">
        <f t="shared" si="305"/>
        <v>0</v>
      </c>
      <c r="CB160" s="4438">
        <f t="shared" si="306"/>
        <v>0</v>
      </c>
      <c r="CC160" s="4438">
        <f t="shared" si="307"/>
        <v>0</v>
      </c>
      <c r="CD160" s="4438">
        <f t="shared" si="308"/>
        <v>0</v>
      </c>
    </row>
    <row r="161" spans="1:82" s="40" customFormat="1" ht="21.75" customHeight="1">
      <c r="A161" s="2952">
        <v>7</v>
      </c>
      <c r="B161" s="2955" t="s">
        <v>706</v>
      </c>
      <c r="C161" s="2957">
        <v>0.1</v>
      </c>
      <c r="D161" s="2552" t="s">
        <v>695</v>
      </c>
      <c r="E161" s="2997"/>
      <c r="F161" s="2966">
        <f t="shared" si="317"/>
        <v>0</v>
      </c>
      <c r="G161" s="2902">
        <f t="shared" si="318"/>
        <v>0</v>
      </c>
      <c r="H161" s="2902">
        <f t="shared" si="318"/>
        <v>0</v>
      </c>
      <c r="I161" s="2902">
        <f t="shared" si="318"/>
        <v>-0.4</v>
      </c>
      <c r="J161" s="2902">
        <f t="shared" si="318"/>
        <v>-0.4</v>
      </c>
      <c r="K161" s="2967">
        <f t="shared" si="318"/>
        <v>-0.4</v>
      </c>
      <c r="L161" s="2997"/>
      <c r="M161" s="2966">
        <f t="shared" si="319"/>
        <v>0</v>
      </c>
      <c r="N161" s="2902">
        <f t="shared" si="320"/>
        <v>0</v>
      </c>
      <c r="O161" s="2902">
        <f t="shared" si="320"/>
        <v>0</v>
      </c>
      <c r="P161" s="2902">
        <f t="shared" si="320"/>
        <v>0</v>
      </c>
      <c r="Q161" s="2902">
        <f t="shared" si="320"/>
        <v>0</v>
      </c>
      <c r="R161" s="2967">
        <f t="shared" si="320"/>
        <v>0</v>
      </c>
      <c r="S161" s="2997"/>
      <c r="T161" s="2966">
        <f t="shared" si="321"/>
        <v>0</v>
      </c>
      <c r="U161" s="2902">
        <f t="shared" si="322"/>
        <v>0</v>
      </c>
      <c r="V161" s="2902">
        <f t="shared" si="322"/>
        <v>0</v>
      </c>
      <c r="W161" s="2902">
        <f t="shared" si="322"/>
        <v>0</v>
      </c>
      <c r="X161" s="2902">
        <f t="shared" si="322"/>
        <v>0</v>
      </c>
      <c r="Y161" s="2967">
        <f t="shared" si="322"/>
        <v>0</v>
      </c>
      <c r="Z161" s="2997"/>
      <c r="AA161" s="2966">
        <f t="shared" si="323"/>
        <v>0</v>
      </c>
      <c r="AB161" s="2902">
        <f t="shared" si="324"/>
        <v>0</v>
      </c>
      <c r="AC161" s="2902">
        <f t="shared" si="315"/>
        <v>0</v>
      </c>
      <c r="AD161" s="2902">
        <f t="shared" si="315"/>
        <v>0</v>
      </c>
      <c r="AE161" s="2902">
        <f t="shared" si="315"/>
        <v>0</v>
      </c>
      <c r="AF161" s="2967">
        <f t="shared" si="315"/>
        <v>0</v>
      </c>
      <c r="AG161" s="2997"/>
      <c r="AH161" s="2966">
        <f t="shared" si="325"/>
        <v>0</v>
      </c>
      <c r="AI161" s="2902">
        <f t="shared" si="326"/>
        <v>0</v>
      </c>
      <c r="AJ161" s="2902">
        <f t="shared" si="316"/>
        <v>0</v>
      </c>
      <c r="AK161" s="2902">
        <f t="shared" si="316"/>
        <v>0</v>
      </c>
      <c r="AL161" s="2902">
        <f t="shared" si="316"/>
        <v>0</v>
      </c>
      <c r="AM161" s="2967">
        <f t="shared" si="316"/>
        <v>0</v>
      </c>
      <c r="AN161" s="2997"/>
      <c r="AO161" s="3002"/>
      <c r="AP161" s="3003"/>
      <c r="AQ161" s="3003"/>
      <c r="AR161" s="3003"/>
      <c r="AS161" s="3003"/>
      <c r="AT161" s="3004"/>
      <c r="AU161" s="4422"/>
      <c r="AV161" s="143"/>
      <c r="AW161" s="4438">
        <f t="shared" si="309"/>
        <v>0</v>
      </c>
      <c r="AX161" s="4438">
        <f t="shared" si="280"/>
        <v>0</v>
      </c>
      <c r="AY161" s="4438">
        <f t="shared" si="281"/>
        <v>0</v>
      </c>
      <c r="AZ161" s="4438">
        <f t="shared" si="282"/>
        <v>-0.20451675247848741</v>
      </c>
      <c r="BA161" s="4438">
        <f t="shared" si="283"/>
        <v>-0.20451675247848741</v>
      </c>
      <c r="BB161" s="4438">
        <f t="shared" si="284"/>
        <v>-0.20451675247848741</v>
      </c>
      <c r="BC161" s="143"/>
      <c r="BD161" s="4438">
        <f t="shared" si="285"/>
        <v>0</v>
      </c>
      <c r="BE161" s="4438">
        <f t="shared" si="286"/>
        <v>0</v>
      </c>
      <c r="BF161" s="4438">
        <f t="shared" si="287"/>
        <v>0</v>
      </c>
      <c r="BG161" s="4438">
        <f t="shared" si="288"/>
        <v>0</v>
      </c>
      <c r="BH161" s="4438">
        <f t="shared" si="289"/>
        <v>0</v>
      </c>
      <c r="BI161" s="4438">
        <f t="shared" si="290"/>
        <v>0</v>
      </c>
      <c r="BJ161" s="143"/>
      <c r="BK161" s="4438">
        <f t="shared" si="291"/>
        <v>0</v>
      </c>
      <c r="BL161" s="4438">
        <f t="shared" si="292"/>
        <v>0</v>
      </c>
      <c r="BM161" s="4438">
        <f t="shared" si="293"/>
        <v>0</v>
      </c>
      <c r="BN161" s="4438">
        <f t="shared" si="294"/>
        <v>0</v>
      </c>
      <c r="BO161" s="4438">
        <f t="shared" si="295"/>
        <v>0</v>
      </c>
      <c r="BP161" s="4438">
        <f t="shared" si="296"/>
        <v>0</v>
      </c>
      <c r="BQ161" s="143"/>
      <c r="BR161" s="4438">
        <f t="shared" si="297"/>
        <v>0</v>
      </c>
      <c r="BS161" s="4438">
        <f t="shared" si="298"/>
        <v>0</v>
      </c>
      <c r="BT161" s="4438">
        <f t="shared" si="299"/>
        <v>0</v>
      </c>
      <c r="BU161" s="4438">
        <f t="shared" si="300"/>
        <v>0</v>
      </c>
      <c r="BV161" s="4438">
        <f t="shared" si="301"/>
        <v>0</v>
      </c>
      <c r="BW161" s="4438">
        <f t="shared" si="302"/>
        <v>0</v>
      </c>
      <c r="BX161" s="143"/>
      <c r="BY161" s="4438">
        <f t="shared" si="303"/>
        <v>0</v>
      </c>
      <c r="BZ161" s="4438">
        <f t="shared" si="304"/>
        <v>0</v>
      </c>
      <c r="CA161" s="4438">
        <f t="shared" si="305"/>
        <v>0</v>
      </c>
      <c r="CB161" s="4438">
        <f t="shared" si="306"/>
        <v>0</v>
      </c>
      <c r="CC161" s="4438">
        <f t="shared" si="307"/>
        <v>0</v>
      </c>
      <c r="CD161" s="4438">
        <f t="shared" si="308"/>
        <v>0</v>
      </c>
    </row>
    <row r="162" spans="1:82" s="40" customFormat="1">
      <c r="A162" s="2952">
        <v>8</v>
      </c>
      <c r="B162" s="2955" t="s">
        <v>716</v>
      </c>
      <c r="C162" s="2957">
        <v>0.1</v>
      </c>
      <c r="D162" s="2552" t="s">
        <v>713</v>
      </c>
      <c r="E162" s="2997"/>
      <c r="F162" s="2966">
        <f t="shared" si="317"/>
        <v>0</v>
      </c>
      <c r="G162" s="2902">
        <f t="shared" si="318"/>
        <v>0</v>
      </c>
      <c r="H162" s="2902">
        <f t="shared" si="318"/>
        <v>0</v>
      </c>
      <c r="I162" s="2902">
        <f t="shared" si="318"/>
        <v>0</v>
      </c>
      <c r="J162" s="2902">
        <f t="shared" si="318"/>
        <v>0</v>
      </c>
      <c r="K162" s="2967">
        <f t="shared" si="318"/>
        <v>0</v>
      </c>
      <c r="L162" s="2997"/>
      <c r="M162" s="2966">
        <f t="shared" si="319"/>
        <v>0</v>
      </c>
      <c r="N162" s="2902">
        <f t="shared" si="320"/>
        <v>0</v>
      </c>
      <c r="O162" s="2902">
        <f t="shared" si="320"/>
        <v>0</v>
      </c>
      <c r="P162" s="2902">
        <f t="shared" si="320"/>
        <v>0</v>
      </c>
      <c r="Q162" s="2902">
        <f t="shared" si="320"/>
        <v>0</v>
      </c>
      <c r="R162" s="2967">
        <f t="shared" si="320"/>
        <v>0</v>
      </c>
      <c r="S162" s="2997"/>
      <c r="T162" s="2966">
        <f t="shared" si="321"/>
        <v>0</v>
      </c>
      <c r="U162" s="2902">
        <f t="shared" si="322"/>
        <v>0</v>
      </c>
      <c r="V162" s="2902">
        <f t="shared" si="322"/>
        <v>0</v>
      </c>
      <c r="W162" s="2902">
        <f t="shared" si="322"/>
        <v>0</v>
      </c>
      <c r="X162" s="2902">
        <f t="shared" si="322"/>
        <v>0</v>
      </c>
      <c r="Y162" s="2967">
        <f t="shared" si="322"/>
        <v>0</v>
      </c>
      <c r="Z162" s="2997"/>
      <c r="AA162" s="2966">
        <f t="shared" si="323"/>
        <v>0</v>
      </c>
      <c r="AB162" s="2902">
        <f t="shared" si="324"/>
        <v>0</v>
      </c>
      <c r="AC162" s="2902">
        <f t="shared" si="315"/>
        <v>0</v>
      </c>
      <c r="AD162" s="2902">
        <f t="shared" si="315"/>
        <v>0</v>
      </c>
      <c r="AE162" s="2902">
        <f t="shared" si="315"/>
        <v>0</v>
      </c>
      <c r="AF162" s="2967">
        <f t="shared" si="315"/>
        <v>0</v>
      </c>
      <c r="AG162" s="2997"/>
      <c r="AH162" s="2966">
        <f t="shared" si="325"/>
        <v>0</v>
      </c>
      <c r="AI162" s="2902">
        <f t="shared" si="326"/>
        <v>0</v>
      </c>
      <c r="AJ162" s="2902">
        <f t="shared" si="316"/>
        <v>0</v>
      </c>
      <c r="AK162" s="2902">
        <f t="shared" si="316"/>
        <v>0</v>
      </c>
      <c r="AL162" s="2902">
        <f t="shared" si="316"/>
        <v>0</v>
      </c>
      <c r="AM162" s="2967">
        <f t="shared" si="316"/>
        <v>0</v>
      </c>
      <c r="AN162" s="2997"/>
      <c r="AO162" s="3002"/>
      <c r="AP162" s="3003"/>
      <c r="AQ162" s="3003"/>
      <c r="AR162" s="3003"/>
      <c r="AS162" s="3003"/>
      <c r="AT162" s="3004"/>
      <c r="AU162" s="4422"/>
      <c r="AV162" s="143"/>
      <c r="AW162" s="4438">
        <f t="shared" si="309"/>
        <v>0</v>
      </c>
      <c r="AX162" s="4438">
        <f t="shared" si="280"/>
        <v>0</v>
      </c>
      <c r="AY162" s="4438">
        <f t="shared" si="281"/>
        <v>0</v>
      </c>
      <c r="AZ162" s="4438">
        <f t="shared" si="282"/>
        <v>0</v>
      </c>
      <c r="BA162" s="4438">
        <f t="shared" si="283"/>
        <v>0</v>
      </c>
      <c r="BB162" s="4438">
        <f t="shared" si="284"/>
        <v>0</v>
      </c>
      <c r="BC162" s="143"/>
      <c r="BD162" s="4438">
        <f t="shared" si="285"/>
        <v>0</v>
      </c>
      <c r="BE162" s="4438">
        <f t="shared" si="286"/>
        <v>0</v>
      </c>
      <c r="BF162" s="4438">
        <f t="shared" si="287"/>
        <v>0</v>
      </c>
      <c r="BG162" s="4438">
        <f t="shared" si="288"/>
        <v>0</v>
      </c>
      <c r="BH162" s="4438">
        <f t="shared" si="289"/>
        <v>0</v>
      </c>
      <c r="BI162" s="4438">
        <f t="shared" si="290"/>
        <v>0</v>
      </c>
      <c r="BJ162" s="143"/>
      <c r="BK162" s="4438">
        <f t="shared" si="291"/>
        <v>0</v>
      </c>
      <c r="BL162" s="4438">
        <f t="shared" si="292"/>
        <v>0</v>
      </c>
      <c r="BM162" s="4438">
        <f t="shared" si="293"/>
        <v>0</v>
      </c>
      <c r="BN162" s="4438">
        <f t="shared" si="294"/>
        <v>0</v>
      </c>
      <c r="BO162" s="4438">
        <f t="shared" si="295"/>
        <v>0</v>
      </c>
      <c r="BP162" s="4438">
        <f t="shared" si="296"/>
        <v>0</v>
      </c>
      <c r="BQ162" s="143"/>
      <c r="BR162" s="4438">
        <f t="shared" si="297"/>
        <v>0</v>
      </c>
      <c r="BS162" s="4438">
        <f t="shared" si="298"/>
        <v>0</v>
      </c>
      <c r="BT162" s="4438">
        <f t="shared" si="299"/>
        <v>0</v>
      </c>
      <c r="BU162" s="4438">
        <f t="shared" si="300"/>
        <v>0</v>
      </c>
      <c r="BV162" s="4438">
        <f t="shared" si="301"/>
        <v>0</v>
      </c>
      <c r="BW162" s="4438">
        <f t="shared" si="302"/>
        <v>0</v>
      </c>
      <c r="BX162" s="143"/>
      <c r="BY162" s="4438">
        <f t="shared" si="303"/>
        <v>0</v>
      </c>
      <c r="BZ162" s="4438">
        <f t="shared" si="304"/>
        <v>0</v>
      </c>
      <c r="CA162" s="4438">
        <f t="shared" si="305"/>
        <v>0</v>
      </c>
      <c r="CB162" s="4438">
        <f t="shared" si="306"/>
        <v>0</v>
      </c>
      <c r="CC162" s="4438">
        <f t="shared" si="307"/>
        <v>0</v>
      </c>
      <c r="CD162" s="4438">
        <f t="shared" si="308"/>
        <v>0</v>
      </c>
    </row>
    <row r="163" spans="1:82" s="40" customFormat="1">
      <c r="A163" s="2958">
        <v>9</v>
      </c>
      <c r="B163" s="2955">
        <v>911306</v>
      </c>
      <c r="C163" s="2957">
        <v>0.1</v>
      </c>
      <c r="D163" s="2956" t="s">
        <v>1032</v>
      </c>
      <c r="E163" s="2997"/>
      <c r="F163" s="2966">
        <f t="shared" si="317"/>
        <v>0</v>
      </c>
      <c r="G163" s="2902">
        <f t="shared" si="318"/>
        <v>0</v>
      </c>
      <c r="H163" s="2902">
        <f t="shared" si="318"/>
        <v>0</v>
      </c>
      <c r="I163" s="2902">
        <f t="shared" si="318"/>
        <v>-0.30000000000000004</v>
      </c>
      <c r="J163" s="2902">
        <f t="shared" si="318"/>
        <v>-0.30000000000000004</v>
      </c>
      <c r="K163" s="2967">
        <f t="shared" si="318"/>
        <v>-0.30000000000000004</v>
      </c>
      <c r="L163" s="2997"/>
      <c r="M163" s="2966">
        <f t="shared" si="319"/>
        <v>0</v>
      </c>
      <c r="N163" s="2902">
        <f t="shared" si="320"/>
        <v>0</v>
      </c>
      <c r="O163" s="2902">
        <f t="shared" si="320"/>
        <v>0</v>
      </c>
      <c r="P163" s="2902">
        <f t="shared" si="320"/>
        <v>0</v>
      </c>
      <c r="Q163" s="2902">
        <f t="shared" si="320"/>
        <v>0</v>
      </c>
      <c r="R163" s="2967">
        <f t="shared" si="320"/>
        <v>0</v>
      </c>
      <c r="S163" s="2997"/>
      <c r="T163" s="2966">
        <f t="shared" si="321"/>
        <v>0</v>
      </c>
      <c r="U163" s="2902">
        <f t="shared" si="322"/>
        <v>0</v>
      </c>
      <c r="V163" s="2902">
        <f t="shared" si="322"/>
        <v>0</v>
      </c>
      <c r="W163" s="2902">
        <f t="shared" si="322"/>
        <v>0</v>
      </c>
      <c r="X163" s="2902">
        <f t="shared" si="322"/>
        <v>0</v>
      </c>
      <c r="Y163" s="2967">
        <f t="shared" si="322"/>
        <v>0</v>
      </c>
      <c r="Z163" s="2997"/>
      <c r="AA163" s="2966">
        <f t="shared" si="323"/>
        <v>0</v>
      </c>
      <c r="AB163" s="2902">
        <f t="shared" si="324"/>
        <v>0</v>
      </c>
      <c r="AC163" s="2902">
        <f t="shared" si="315"/>
        <v>0</v>
      </c>
      <c r="AD163" s="2902">
        <f t="shared" si="315"/>
        <v>0</v>
      </c>
      <c r="AE163" s="2902">
        <f t="shared" si="315"/>
        <v>0</v>
      </c>
      <c r="AF163" s="2967">
        <f t="shared" si="315"/>
        <v>0</v>
      </c>
      <c r="AG163" s="2997"/>
      <c r="AH163" s="2966">
        <f t="shared" si="325"/>
        <v>0</v>
      </c>
      <c r="AI163" s="2902">
        <f t="shared" si="326"/>
        <v>0</v>
      </c>
      <c r="AJ163" s="2902">
        <f t="shared" si="316"/>
        <v>0</v>
      </c>
      <c r="AK163" s="2902">
        <f t="shared" si="316"/>
        <v>0</v>
      </c>
      <c r="AL163" s="2902">
        <f t="shared" si="316"/>
        <v>0</v>
      </c>
      <c r="AM163" s="2967">
        <f t="shared" si="316"/>
        <v>0</v>
      </c>
      <c r="AN163" s="2997"/>
      <c r="AO163" s="3002"/>
      <c r="AP163" s="3003"/>
      <c r="AQ163" s="3003"/>
      <c r="AR163" s="3003"/>
      <c r="AS163" s="3003"/>
      <c r="AT163" s="3004"/>
      <c r="AU163" s="4422"/>
      <c r="AV163" s="143"/>
      <c r="AW163" s="4438">
        <f t="shared" si="309"/>
        <v>0</v>
      </c>
      <c r="AX163" s="4438">
        <f t="shared" si="280"/>
        <v>0</v>
      </c>
      <c r="AY163" s="4438">
        <f t="shared" si="281"/>
        <v>0</v>
      </c>
      <c r="AZ163" s="4438">
        <f t="shared" si="282"/>
        <v>-0.15338756435886558</v>
      </c>
      <c r="BA163" s="4438">
        <f t="shared" si="283"/>
        <v>-0.15338756435886558</v>
      </c>
      <c r="BB163" s="4438">
        <f t="shared" si="284"/>
        <v>-0.15338756435886558</v>
      </c>
      <c r="BC163" s="143"/>
      <c r="BD163" s="4438">
        <f t="shared" si="285"/>
        <v>0</v>
      </c>
      <c r="BE163" s="4438">
        <f t="shared" si="286"/>
        <v>0</v>
      </c>
      <c r="BF163" s="4438">
        <f t="shared" si="287"/>
        <v>0</v>
      </c>
      <c r="BG163" s="4438">
        <f t="shared" si="288"/>
        <v>0</v>
      </c>
      <c r="BH163" s="4438">
        <f t="shared" si="289"/>
        <v>0</v>
      </c>
      <c r="BI163" s="4438">
        <f t="shared" si="290"/>
        <v>0</v>
      </c>
      <c r="BJ163" s="143"/>
      <c r="BK163" s="4438">
        <f t="shared" si="291"/>
        <v>0</v>
      </c>
      <c r="BL163" s="4438">
        <f t="shared" si="292"/>
        <v>0</v>
      </c>
      <c r="BM163" s="4438">
        <f t="shared" si="293"/>
        <v>0</v>
      </c>
      <c r="BN163" s="4438">
        <f t="shared" si="294"/>
        <v>0</v>
      </c>
      <c r="BO163" s="4438">
        <f t="shared" si="295"/>
        <v>0</v>
      </c>
      <c r="BP163" s="4438">
        <f t="shared" si="296"/>
        <v>0</v>
      </c>
      <c r="BQ163" s="143"/>
      <c r="BR163" s="4438">
        <f t="shared" si="297"/>
        <v>0</v>
      </c>
      <c r="BS163" s="4438">
        <f t="shared" si="298"/>
        <v>0</v>
      </c>
      <c r="BT163" s="4438">
        <f t="shared" si="299"/>
        <v>0</v>
      </c>
      <c r="BU163" s="4438">
        <f t="shared" si="300"/>
        <v>0</v>
      </c>
      <c r="BV163" s="4438">
        <f t="shared" si="301"/>
        <v>0</v>
      </c>
      <c r="BW163" s="4438">
        <f t="shared" si="302"/>
        <v>0</v>
      </c>
      <c r="BX163" s="143"/>
      <c r="BY163" s="4438">
        <f t="shared" si="303"/>
        <v>0</v>
      </c>
      <c r="BZ163" s="4438">
        <f t="shared" si="304"/>
        <v>0</v>
      </c>
      <c r="CA163" s="4438">
        <f t="shared" si="305"/>
        <v>0</v>
      </c>
      <c r="CB163" s="4438">
        <f t="shared" si="306"/>
        <v>0</v>
      </c>
      <c r="CC163" s="4438">
        <f t="shared" si="307"/>
        <v>0</v>
      </c>
      <c r="CD163" s="4438">
        <f t="shared" si="308"/>
        <v>0</v>
      </c>
    </row>
    <row r="164" spans="1:82" s="40" customFormat="1">
      <c r="A164" s="2958">
        <v>10</v>
      </c>
      <c r="B164" s="2955">
        <v>91140101</v>
      </c>
      <c r="C164" s="2959">
        <v>0.1</v>
      </c>
      <c r="D164" s="2546" t="s">
        <v>1016</v>
      </c>
      <c r="E164" s="2997"/>
      <c r="F164" s="2966">
        <f t="shared" si="317"/>
        <v>0</v>
      </c>
      <c r="G164" s="2902">
        <f t="shared" si="318"/>
        <v>0</v>
      </c>
      <c r="H164" s="2902">
        <f t="shared" si="318"/>
        <v>0</v>
      </c>
      <c r="I164" s="2902">
        <f t="shared" si="318"/>
        <v>-7.7</v>
      </c>
      <c r="J164" s="2902">
        <f t="shared" si="318"/>
        <v>-7.7</v>
      </c>
      <c r="K164" s="2967">
        <f t="shared" si="318"/>
        <v>-7.7</v>
      </c>
      <c r="L164" s="2997"/>
      <c r="M164" s="2966">
        <f t="shared" si="319"/>
        <v>0</v>
      </c>
      <c r="N164" s="2902">
        <f t="shared" si="320"/>
        <v>0</v>
      </c>
      <c r="O164" s="2902">
        <f t="shared" si="320"/>
        <v>0</v>
      </c>
      <c r="P164" s="2902">
        <f t="shared" si="320"/>
        <v>0</v>
      </c>
      <c r="Q164" s="2902">
        <f t="shared" si="320"/>
        <v>0</v>
      </c>
      <c r="R164" s="2967">
        <f t="shared" si="320"/>
        <v>0</v>
      </c>
      <c r="S164" s="2997"/>
      <c r="T164" s="2966">
        <f t="shared" si="321"/>
        <v>0</v>
      </c>
      <c r="U164" s="2902">
        <f t="shared" si="322"/>
        <v>0</v>
      </c>
      <c r="V164" s="2902">
        <f t="shared" si="322"/>
        <v>0</v>
      </c>
      <c r="W164" s="2902">
        <f t="shared" si="322"/>
        <v>0</v>
      </c>
      <c r="X164" s="2902">
        <f t="shared" si="322"/>
        <v>0</v>
      </c>
      <c r="Y164" s="2967">
        <f t="shared" si="322"/>
        <v>0</v>
      </c>
      <c r="Z164" s="2997"/>
      <c r="AA164" s="2966">
        <f t="shared" si="323"/>
        <v>0</v>
      </c>
      <c r="AB164" s="2902">
        <f t="shared" si="324"/>
        <v>0</v>
      </c>
      <c r="AC164" s="2902">
        <f t="shared" si="315"/>
        <v>0</v>
      </c>
      <c r="AD164" s="2902">
        <f t="shared" si="315"/>
        <v>0</v>
      </c>
      <c r="AE164" s="2902">
        <f t="shared" si="315"/>
        <v>0</v>
      </c>
      <c r="AF164" s="2967">
        <f t="shared" si="315"/>
        <v>0</v>
      </c>
      <c r="AG164" s="2997"/>
      <c r="AH164" s="2966">
        <f t="shared" si="325"/>
        <v>0</v>
      </c>
      <c r="AI164" s="2902">
        <f t="shared" si="326"/>
        <v>0</v>
      </c>
      <c r="AJ164" s="2902">
        <f t="shared" si="316"/>
        <v>0</v>
      </c>
      <c r="AK164" s="2902">
        <f t="shared" si="316"/>
        <v>0</v>
      </c>
      <c r="AL164" s="2902">
        <f t="shared" si="316"/>
        <v>0</v>
      </c>
      <c r="AM164" s="2967">
        <f t="shared" si="316"/>
        <v>0</v>
      </c>
      <c r="AN164" s="2997"/>
      <c r="AO164" s="3002"/>
      <c r="AP164" s="3003"/>
      <c r="AQ164" s="3003"/>
      <c r="AR164" s="3003"/>
      <c r="AS164" s="3003"/>
      <c r="AT164" s="3004"/>
      <c r="AU164" s="4422"/>
      <c r="AV164" s="143"/>
      <c r="AW164" s="4438">
        <f t="shared" si="309"/>
        <v>0</v>
      </c>
      <c r="AX164" s="4438">
        <f t="shared" si="280"/>
        <v>0</v>
      </c>
      <c r="AY164" s="4438">
        <f t="shared" si="281"/>
        <v>0</v>
      </c>
      <c r="AZ164" s="4438">
        <f t="shared" si="282"/>
        <v>-3.9369474852108826</v>
      </c>
      <c r="BA164" s="4438">
        <f t="shared" si="283"/>
        <v>-3.9369474852108826</v>
      </c>
      <c r="BB164" s="4438">
        <f t="shared" si="284"/>
        <v>-3.9369474852108826</v>
      </c>
      <c r="BC164" s="143"/>
      <c r="BD164" s="4438">
        <f t="shared" si="285"/>
        <v>0</v>
      </c>
      <c r="BE164" s="4438">
        <f t="shared" si="286"/>
        <v>0</v>
      </c>
      <c r="BF164" s="4438">
        <f t="shared" si="287"/>
        <v>0</v>
      </c>
      <c r="BG164" s="4438">
        <f t="shared" si="288"/>
        <v>0</v>
      </c>
      <c r="BH164" s="4438">
        <f t="shared" si="289"/>
        <v>0</v>
      </c>
      <c r="BI164" s="4438">
        <f t="shared" si="290"/>
        <v>0</v>
      </c>
      <c r="BJ164" s="143"/>
      <c r="BK164" s="4438">
        <f t="shared" si="291"/>
        <v>0</v>
      </c>
      <c r="BL164" s="4438">
        <f t="shared" si="292"/>
        <v>0</v>
      </c>
      <c r="BM164" s="4438">
        <f t="shared" si="293"/>
        <v>0</v>
      </c>
      <c r="BN164" s="4438">
        <f t="shared" si="294"/>
        <v>0</v>
      </c>
      <c r="BO164" s="4438">
        <f t="shared" si="295"/>
        <v>0</v>
      </c>
      <c r="BP164" s="4438">
        <f t="shared" si="296"/>
        <v>0</v>
      </c>
      <c r="BQ164" s="143"/>
      <c r="BR164" s="4438">
        <f t="shared" si="297"/>
        <v>0</v>
      </c>
      <c r="BS164" s="4438">
        <f t="shared" si="298"/>
        <v>0</v>
      </c>
      <c r="BT164" s="4438">
        <f t="shared" si="299"/>
        <v>0</v>
      </c>
      <c r="BU164" s="4438">
        <f t="shared" si="300"/>
        <v>0</v>
      </c>
      <c r="BV164" s="4438">
        <f t="shared" si="301"/>
        <v>0</v>
      </c>
      <c r="BW164" s="4438">
        <f t="shared" si="302"/>
        <v>0</v>
      </c>
      <c r="BX164" s="143"/>
      <c r="BY164" s="4438">
        <f t="shared" si="303"/>
        <v>0</v>
      </c>
      <c r="BZ164" s="4438">
        <f t="shared" si="304"/>
        <v>0</v>
      </c>
      <c r="CA164" s="4438">
        <f t="shared" si="305"/>
        <v>0</v>
      </c>
      <c r="CB164" s="4438">
        <f t="shared" si="306"/>
        <v>0</v>
      </c>
      <c r="CC164" s="4438">
        <f t="shared" si="307"/>
        <v>0</v>
      </c>
      <c r="CD164" s="4438">
        <f t="shared" si="308"/>
        <v>0</v>
      </c>
    </row>
    <row r="165" spans="1:82" s="40" customFormat="1">
      <c r="A165" s="2958">
        <v>11</v>
      </c>
      <c r="B165" s="2955">
        <v>91140102</v>
      </c>
      <c r="C165" s="2959">
        <v>0.04</v>
      </c>
      <c r="D165" s="2546" t="s">
        <v>432</v>
      </c>
      <c r="E165" s="2997"/>
      <c r="F165" s="2966">
        <f t="shared" si="317"/>
        <v>0</v>
      </c>
      <c r="G165" s="2902">
        <f t="shared" si="318"/>
        <v>0</v>
      </c>
      <c r="H165" s="2902">
        <f t="shared" si="318"/>
        <v>0</v>
      </c>
      <c r="I165" s="2902">
        <f t="shared" si="318"/>
        <v>0</v>
      </c>
      <c r="J165" s="2902">
        <f t="shared" si="318"/>
        <v>0</v>
      </c>
      <c r="K165" s="2967">
        <f t="shared" si="318"/>
        <v>0</v>
      </c>
      <c r="L165" s="2997"/>
      <c r="M165" s="2966">
        <f t="shared" si="319"/>
        <v>0</v>
      </c>
      <c r="N165" s="2902">
        <f t="shared" si="320"/>
        <v>0</v>
      </c>
      <c r="O165" s="2902">
        <f t="shared" si="320"/>
        <v>0</v>
      </c>
      <c r="P165" s="2902">
        <f t="shared" si="320"/>
        <v>0</v>
      </c>
      <c r="Q165" s="2902">
        <f t="shared" si="320"/>
        <v>0</v>
      </c>
      <c r="R165" s="2967">
        <f t="shared" si="320"/>
        <v>0</v>
      </c>
      <c r="S165" s="2997"/>
      <c r="T165" s="2966">
        <f t="shared" si="321"/>
        <v>0</v>
      </c>
      <c r="U165" s="2902">
        <f t="shared" si="322"/>
        <v>0</v>
      </c>
      <c r="V165" s="2902">
        <f t="shared" si="322"/>
        <v>0</v>
      </c>
      <c r="W165" s="2902">
        <f t="shared" si="322"/>
        <v>0</v>
      </c>
      <c r="X165" s="2902">
        <f t="shared" si="322"/>
        <v>0</v>
      </c>
      <c r="Y165" s="2967">
        <f t="shared" si="322"/>
        <v>0</v>
      </c>
      <c r="Z165" s="2997"/>
      <c r="AA165" s="2966">
        <f t="shared" si="323"/>
        <v>0</v>
      </c>
      <c r="AB165" s="2902">
        <f t="shared" si="324"/>
        <v>0</v>
      </c>
      <c r="AC165" s="2902">
        <f t="shared" si="315"/>
        <v>0</v>
      </c>
      <c r="AD165" s="2902">
        <f t="shared" si="315"/>
        <v>0</v>
      </c>
      <c r="AE165" s="2902">
        <f t="shared" si="315"/>
        <v>0</v>
      </c>
      <c r="AF165" s="2967">
        <f t="shared" si="315"/>
        <v>0</v>
      </c>
      <c r="AG165" s="2997"/>
      <c r="AH165" s="2966">
        <f t="shared" si="325"/>
        <v>0</v>
      </c>
      <c r="AI165" s="2902">
        <f t="shared" si="326"/>
        <v>0</v>
      </c>
      <c r="AJ165" s="2902">
        <f t="shared" si="316"/>
        <v>0</v>
      </c>
      <c r="AK165" s="2902">
        <f t="shared" si="316"/>
        <v>0</v>
      </c>
      <c r="AL165" s="2902">
        <f t="shared" si="316"/>
        <v>0</v>
      </c>
      <c r="AM165" s="2967">
        <f t="shared" si="316"/>
        <v>0</v>
      </c>
      <c r="AN165" s="2997"/>
      <c r="AO165" s="3002"/>
      <c r="AP165" s="3003"/>
      <c r="AQ165" s="3003"/>
      <c r="AR165" s="3003"/>
      <c r="AS165" s="3003"/>
      <c r="AT165" s="3004"/>
      <c r="AU165" s="4422"/>
      <c r="AV165" s="143"/>
      <c r="AW165" s="4438">
        <f t="shared" si="309"/>
        <v>0</v>
      </c>
      <c r="AX165" s="4438">
        <f t="shared" si="280"/>
        <v>0</v>
      </c>
      <c r="AY165" s="4438">
        <f t="shared" si="281"/>
        <v>0</v>
      </c>
      <c r="AZ165" s="4438">
        <f t="shared" si="282"/>
        <v>0</v>
      </c>
      <c r="BA165" s="4438">
        <f t="shared" si="283"/>
        <v>0</v>
      </c>
      <c r="BB165" s="4438">
        <f t="shared" si="284"/>
        <v>0</v>
      </c>
      <c r="BC165" s="143"/>
      <c r="BD165" s="4438">
        <f t="shared" si="285"/>
        <v>0</v>
      </c>
      <c r="BE165" s="4438">
        <f t="shared" si="286"/>
        <v>0</v>
      </c>
      <c r="BF165" s="4438">
        <f t="shared" si="287"/>
        <v>0</v>
      </c>
      <c r="BG165" s="4438">
        <f t="shared" si="288"/>
        <v>0</v>
      </c>
      <c r="BH165" s="4438">
        <f t="shared" si="289"/>
        <v>0</v>
      </c>
      <c r="BI165" s="4438">
        <f t="shared" si="290"/>
        <v>0</v>
      </c>
      <c r="BJ165" s="143"/>
      <c r="BK165" s="4438">
        <f t="shared" si="291"/>
        <v>0</v>
      </c>
      <c r="BL165" s="4438">
        <f t="shared" si="292"/>
        <v>0</v>
      </c>
      <c r="BM165" s="4438">
        <f t="shared" si="293"/>
        <v>0</v>
      </c>
      <c r="BN165" s="4438">
        <f t="shared" si="294"/>
        <v>0</v>
      </c>
      <c r="BO165" s="4438">
        <f t="shared" si="295"/>
        <v>0</v>
      </c>
      <c r="BP165" s="4438">
        <f t="shared" si="296"/>
        <v>0</v>
      </c>
      <c r="BQ165" s="143"/>
      <c r="BR165" s="4438">
        <f t="shared" si="297"/>
        <v>0</v>
      </c>
      <c r="BS165" s="4438">
        <f t="shared" si="298"/>
        <v>0</v>
      </c>
      <c r="BT165" s="4438">
        <f t="shared" si="299"/>
        <v>0</v>
      </c>
      <c r="BU165" s="4438">
        <f t="shared" si="300"/>
        <v>0</v>
      </c>
      <c r="BV165" s="4438">
        <f t="shared" si="301"/>
        <v>0</v>
      </c>
      <c r="BW165" s="4438">
        <f t="shared" si="302"/>
        <v>0</v>
      </c>
      <c r="BX165" s="143"/>
      <c r="BY165" s="4438">
        <f t="shared" si="303"/>
        <v>0</v>
      </c>
      <c r="BZ165" s="4438">
        <f t="shared" si="304"/>
        <v>0</v>
      </c>
      <c r="CA165" s="4438">
        <f t="shared" si="305"/>
        <v>0</v>
      </c>
      <c r="CB165" s="4438">
        <f t="shared" si="306"/>
        <v>0</v>
      </c>
      <c r="CC165" s="4438">
        <f t="shared" si="307"/>
        <v>0</v>
      </c>
      <c r="CD165" s="4438">
        <f t="shared" si="308"/>
        <v>0</v>
      </c>
    </row>
    <row r="166" spans="1:82" s="40" customFormat="1">
      <c r="A166" s="2958">
        <v>12</v>
      </c>
      <c r="B166" s="2955" t="s">
        <v>698</v>
      </c>
      <c r="C166" s="2957">
        <v>0.02</v>
      </c>
      <c r="D166" s="2547" t="s">
        <v>738</v>
      </c>
      <c r="E166" s="2997"/>
      <c r="F166" s="2966">
        <f t="shared" si="317"/>
        <v>0</v>
      </c>
      <c r="G166" s="2902">
        <f t="shared" si="318"/>
        <v>0</v>
      </c>
      <c r="H166" s="2902">
        <f t="shared" si="318"/>
        <v>0</v>
      </c>
      <c r="I166" s="2902">
        <f t="shared" si="318"/>
        <v>0</v>
      </c>
      <c r="J166" s="2902">
        <f t="shared" si="318"/>
        <v>0</v>
      </c>
      <c r="K166" s="2967">
        <f t="shared" si="318"/>
        <v>0</v>
      </c>
      <c r="L166" s="2997"/>
      <c r="M166" s="2966">
        <f t="shared" si="319"/>
        <v>0</v>
      </c>
      <c r="N166" s="2902">
        <f t="shared" si="320"/>
        <v>0</v>
      </c>
      <c r="O166" s="2902">
        <f t="shared" si="320"/>
        <v>0</v>
      </c>
      <c r="P166" s="2902">
        <f t="shared" si="320"/>
        <v>0</v>
      </c>
      <c r="Q166" s="2902">
        <f t="shared" si="320"/>
        <v>0</v>
      </c>
      <c r="R166" s="2967">
        <f t="shared" si="320"/>
        <v>0</v>
      </c>
      <c r="S166" s="2997"/>
      <c r="T166" s="2966">
        <f t="shared" si="321"/>
        <v>0</v>
      </c>
      <c r="U166" s="2902">
        <f t="shared" si="322"/>
        <v>0</v>
      </c>
      <c r="V166" s="2902">
        <f t="shared" si="322"/>
        <v>0</v>
      </c>
      <c r="W166" s="2902">
        <f t="shared" si="322"/>
        <v>0</v>
      </c>
      <c r="X166" s="2902">
        <f t="shared" si="322"/>
        <v>0</v>
      </c>
      <c r="Y166" s="2967">
        <f t="shared" si="322"/>
        <v>0</v>
      </c>
      <c r="Z166" s="2997"/>
      <c r="AA166" s="2966">
        <f t="shared" si="323"/>
        <v>0</v>
      </c>
      <c r="AB166" s="2902">
        <f t="shared" si="324"/>
        <v>0</v>
      </c>
      <c r="AC166" s="2902">
        <f t="shared" si="315"/>
        <v>0</v>
      </c>
      <c r="AD166" s="2902">
        <f t="shared" si="315"/>
        <v>0</v>
      </c>
      <c r="AE166" s="2902">
        <f t="shared" si="315"/>
        <v>0</v>
      </c>
      <c r="AF166" s="2967">
        <f t="shared" si="315"/>
        <v>0</v>
      </c>
      <c r="AG166" s="2997"/>
      <c r="AH166" s="2966">
        <f t="shared" si="325"/>
        <v>0</v>
      </c>
      <c r="AI166" s="2902">
        <f t="shared" si="326"/>
        <v>0</v>
      </c>
      <c r="AJ166" s="2902">
        <f t="shared" si="316"/>
        <v>0</v>
      </c>
      <c r="AK166" s="2902">
        <f t="shared" si="316"/>
        <v>0</v>
      </c>
      <c r="AL166" s="2902">
        <f t="shared" si="316"/>
        <v>0</v>
      </c>
      <c r="AM166" s="2967">
        <f t="shared" si="316"/>
        <v>0</v>
      </c>
      <c r="AN166" s="2997"/>
      <c r="AO166" s="3002"/>
      <c r="AP166" s="3003"/>
      <c r="AQ166" s="3003"/>
      <c r="AR166" s="3003"/>
      <c r="AS166" s="3003"/>
      <c r="AT166" s="3004"/>
      <c r="AU166" s="4422"/>
      <c r="AV166" s="143"/>
      <c r="AW166" s="4438">
        <f t="shared" si="309"/>
        <v>0</v>
      </c>
      <c r="AX166" s="4438">
        <f t="shared" si="280"/>
        <v>0</v>
      </c>
      <c r="AY166" s="4438">
        <f t="shared" si="281"/>
        <v>0</v>
      </c>
      <c r="AZ166" s="4438">
        <f t="shared" si="282"/>
        <v>0</v>
      </c>
      <c r="BA166" s="4438">
        <f t="shared" si="283"/>
        <v>0</v>
      </c>
      <c r="BB166" s="4438">
        <f t="shared" si="284"/>
        <v>0</v>
      </c>
      <c r="BC166" s="143"/>
      <c r="BD166" s="4438">
        <f t="shared" si="285"/>
        <v>0</v>
      </c>
      <c r="BE166" s="4438">
        <f t="shared" si="286"/>
        <v>0</v>
      </c>
      <c r="BF166" s="4438">
        <f t="shared" si="287"/>
        <v>0</v>
      </c>
      <c r="BG166" s="4438">
        <f t="shared" si="288"/>
        <v>0</v>
      </c>
      <c r="BH166" s="4438">
        <f t="shared" si="289"/>
        <v>0</v>
      </c>
      <c r="BI166" s="4438">
        <f t="shared" si="290"/>
        <v>0</v>
      </c>
      <c r="BJ166" s="143"/>
      <c r="BK166" s="4438">
        <f t="shared" si="291"/>
        <v>0</v>
      </c>
      <c r="BL166" s="4438">
        <f t="shared" si="292"/>
        <v>0</v>
      </c>
      <c r="BM166" s="4438">
        <f t="shared" si="293"/>
        <v>0</v>
      </c>
      <c r="BN166" s="4438">
        <f t="shared" si="294"/>
        <v>0</v>
      </c>
      <c r="BO166" s="4438">
        <f t="shared" si="295"/>
        <v>0</v>
      </c>
      <c r="BP166" s="4438">
        <f t="shared" si="296"/>
        <v>0</v>
      </c>
      <c r="BQ166" s="143"/>
      <c r="BR166" s="4438">
        <f t="shared" si="297"/>
        <v>0</v>
      </c>
      <c r="BS166" s="4438">
        <f t="shared" si="298"/>
        <v>0</v>
      </c>
      <c r="BT166" s="4438">
        <f t="shared" si="299"/>
        <v>0</v>
      </c>
      <c r="BU166" s="4438">
        <f t="shared" si="300"/>
        <v>0</v>
      </c>
      <c r="BV166" s="4438">
        <f t="shared" si="301"/>
        <v>0</v>
      </c>
      <c r="BW166" s="4438">
        <f t="shared" si="302"/>
        <v>0</v>
      </c>
      <c r="BX166" s="143"/>
      <c r="BY166" s="4438">
        <f t="shared" si="303"/>
        <v>0</v>
      </c>
      <c r="BZ166" s="4438">
        <f t="shared" si="304"/>
        <v>0</v>
      </c>
      <c r="CA166" s="4438">
        <f t="shared" si="305"/>
        <v>0</v>
      </c>
      <c r="CB166" s="4438">
        <f t="shared" si="306"/>
        <v>0</v>
      </c>
      <c r="CC166" s="4438">
        <f t="shared" si="307"/>
        <v>0</v>
      </c>
      <c r="CD166" s="4438">
        <f t="shared" si="308"/>
        <v>0</v>
      </c>
    </row>
    <row r="167" spans="1:82" s="40" customFormat="1">
      <c r="A167" s="2958">
        <v>13</v>
      </c>
      <c r="B167" s="2955" t="s">
        <v>699</v>
      </c>
      <c r="C167" s="2957">
        <v>0.02</v>
      </c>
      <c r="D167" s="2547" t="s">
        <v>739</v>
      </c>
      <c r="E167" s="2997"/>
      <c r="F167" s="2966">
        <f t="shared" si="317"/>
        <v>0</v>
      </c>
      <c r="G167" s="2902">
        <f t="shared" si="318"/>
        <v>0</v>
      </c>
      <c r="H167" s="2902">
        <f t="shared" si="318"/>
        <v>0</v>
      </c>
      <c r="I167" s="2902">
        <f t="shared" si="318"/>
        <v>0</v>
      </c>
      <c r="J167" s="2902">
        <f t="shared" si="318"/>
        <v>0</v>
      </c>
      <c r="K167" s="2967">
        <f t="shared" si="318"/>
        <v>0</v>
      </c>
      <c r="L167" s="2997"/>
      <c r="M167" s="2966">
        <f t="shared" si="319"/>
        <v>0</v>
      </c>
      <c r="N167" s="2902">
        <f t="shared" si="320"/>
        <v>0</v>
      </c>
      <c r="O167" s="2902">
        <f t="shared" si="320"/>
        <v>0</v>
      </c>
      <c r="P167" s="2902">
        <f t="shared" si="320"/>
        <v>0</v>
      </c>
      <c r="Q167" s="2902">
        <f t="shared" si="320"/>
        <v>0</v>
      </c>
      <c r="R167" s="2967">
        <f t="shared" si="320"/>
        <v>0</v>
      </c>
      <c r="S167" s="2997"/>
      <c r="T167" s="2966">
        <f t="shared" si="321"/>
        <v>0</v>
      </c>
      <c r="U167" s="2902">
        <f t="shared" si="322"/>
        <v>0</v>
      </c>
      <c r="V167" s="2902">
        <f t="shared" si="322"/>
        <v>0</v>
      </c>
      <c r="W167" s="2902">
        <f t="shared" si="322"/>
        <v>0</v>
      </c>
      <c r="X167" s="2902">
        <f t="shared" si="322"/>
        <v>0</v>
      </c>
      <c r="Y167" s="2967">
        <f t="shared" si="322"/>
        <v>0</v>
      </c>
      <c r="Z167" s="2997"/>
      <c r="AA167" s="2966">
        <f t="shared" si="323"/>
        <v>0</v>
      </c>
      <c r="AB167" s="2902">
        <f t="shared" si="324"/>
        <v>0</v>
      </c>
      <c r="AC167" s="2902">
        <f t="shared" si="315"/>
        <v>0</v>
      </c>
      <c r="AD167" s="2902">
        <f t="shared" si="315"/>
        <v>0</v>
      </c>
      <c r="AE167" s="2902">
        <f t="shared" si="315"/>
        <v>0</v>
      </c>
      <c r="AF167" s="2967">
        <f t="shared" si="315"/>
        <v>0</v>
      </c>
      <c r="AG167" s="2997"/>
      <c r="AH167" s="2966">
        <f t="shared" si="325"/>
        <v>0</v>
      </c>
      <c r="AI167" s="2902">
        <f t="shared" si="326"/>
        <v>0</v>
      </c>
      <c r="AJ167" s="2902">
        <f t="shared" si="316"/>
        <v>0</v>
      </c>
      <c r="AK167" s="2902">
        <f t="shared" si="316"/>
        <v>0</v>
      </c>
      <c r="AL167" s="2902">
        <f t="shared" si="316"/>
        <v>0</v>
      </c>
      <c r="AM167" s="2967">
        <f t="shared" si="316"/>
        <v>0</v>
      </c>
      <c r="AN167" s="2997"/>
      <c r="AO167" s="3002"/>
      <c r="AP167" s="3003"/>
      <c r="AQ167" s="3003"/>
      <c r="AR167" s="3003"/>
      <c r="AS167" s="3003"/>
      <c r="AT167" s="3004"/>
      <c r="AU167" s="4422"/>
      <c r="AV167" s="143"/>
      <c r="AW167" s="4438">
        <f t="shared" si="309"/>
        <v>0</v>
      </c>
      <c r="AX167" s="4438">
        <f t="shared" si="280"/>
        <v>0</v>
      </c>
      <c r="AY167" s="4438">
        <f t="shared" si="281"/>
        <v>0</v>
      </c>
      <c r="AZ167" s="4438">
        <f t="shared" si="282"/>
        <v>0</v>
      </c>
      <c r="BA167" s="4438">
        <f t="shared" si="283"/>
        <v>0</v>
      </c>
      <c r="BB167" s="4438">
        <f t="shared" si="284"/>
        <v>0</v>
      </c>
      <c r="BC167" s="143"/>
      <c r="BD167" s="4438">
        <f t="shared" si="285"/>
        <v>0</v>
      </c>
      <c r="BE167" s="4438">
        <f t="shared" si="286"/>
        <v>0</v>
      </c>
      <c r="BF167" s="4438">
        <f t="shared" si="287"/>
        <v>0</v>
      </c>
      <c r="BG167" s="4438">
        <f t="shared" si="288"/>
        <v>0</v>
      </c>
      <c r="BH167" s="4438">
        <f t="shared" si="289"/>
        <v>0</v>
      </c>
      <c r="BI167" s="4438">
        <f t="shared" si="290"/>
        <v>0</v>
      </c>
      <c r="BJ167" s="143"/>
      <c r="BK167" s="4438">
        <f t="shared" si="291"/>
        <v>0</v>
      </c>
      <c r="BL167" s="4438">
        <f t="shared" si="292"/>
        <v>0</v>
      </c>
      <c r="BM167" s="4438">
        <f t="shared" si="293"/>
        <v>0</v>
      </c>
      <c r="BN167" s="4438">
        <f t="shared" si="294"/>
        <v>0</v>
      </c>
      <c r="BO167" s="4438">
        <f t="shared" si="295"/>
        <v>0</v>
      </c>
      <c r="BP167" s="4438">
        <f t="shared" si="296"/>
        <v>0</v>
      </c>
      <c r="BQ167" s="143"/>
      <c r="BR167" s="4438">
        <f t="shared" si="297"/>
        <v>0</v>
      </c>
      <c r="BS167" s="4438">
        <f t="shared" si="298"/>
        <v>0</v>
      </c>
      <c r="BT167" s="4438">
        <f t="shared" si="299"/>
        <v>0</v>
      </c>
      <c r="BU167" s="4438">
        <f t="shared" si="300"/>
        <v>0</v>
      </c>
      <c r="BV167" s="4438">
        <f t="shared" si="301"/>
        <v>0</v>
      </c>
      <c r="BW167" s="4438">
        <f t="shared" si="302"/>
        <v>0</v>
      </c>
      <c r="BX167" s="143"/>
      <c r="BY167" s="4438">
        <f t="shared" si="303"/>
        <v>0</v>
      </c>
      <c r="BZ167" s="4438">
        <f t="shared" si="304"/>
        <v>0</v>
      </c>
      <c r="CA167" s="4438">
        <f t="shared" si="305"/>
        <v>0</v>
      </c>
      <c r="CB167" s="4438">
        <f t="shared" si="306"/>
        <v>0</v>
      </c>
      <c r="CC167" s="4438">
        <f t="shared" si="307"/>
        <v>0</v>
      </c>
      <c r="CD167" s="4438">
        <f t="shared" si="308"/>
        <v>0</v>
      </c>
    </row>
    <row r="168" spans="1:82" s="40" customFormat="1">
      <c r="A168" s="2958">
        <v>14</v>
      </c>
      <c r="B168" s="2955" t="s">
        <v>700</v>
      </c>
      <c r="C168" s="2957">
        <v>0.02</v>
      </c>
      <c r="D168" s="2547" t="s">
        <v>418</v>
      </c>
      <c r="E168" s="2997"/>
      <c r="F168" s="2966">
        <f t="shared" si="317"/>
        <v>0</v>
      </c>
      <c r="G168" s="2902">
        <f t="shared" si="318"/>
        <v>0</v>
      </c>
      <c r="H168" s="2902">
        <f t="shared" si="318"/>
        <v>0</v>
      </c>
      <c r="I168" s="2902">
        <f t="shared" si="318"/>
        <v>0</v>
      </c>
      <c r="J168" s="2902">
        <f t="shared" si="318"/>
        <v>0</v>
      </c>
      <c r="K168" s="2967">
        <f t="shared" si="318"/>
        <v>0</v>
      </c>
      <c r="L168" s="2997"/>
      <c r="M168" s="2966">
        <f t="shared" si="319"/>
        <v>0</v>
      </c>
      <c r="N168" s="2902">
        <f t="shared" si="320"/>
        <v>0</v>
      </c>
      <c r="O168" s="2902">
        <f t="shared" si="320"/>
        <v>0</v>
      </c>
      <c r="P168" s="2902">
        <f t="shared" si="320"/>
        <v>0</v>
      </c>
      <c r="Q168" s="2902">
        <f t="shared" si="320"/>
        <v>0</v>
      </c>
      <c r="R168" s="2967">
        <f t="shared" si="320"/>
        <v>0</v>
      </c>
      <c r="S168" s="2997"/>
      <c r="T168" s="2966">
        <f t="shared" si="321"/>
        <v>0</v>
      </c>
      <c r="U168" s="2902">
        <f t="shared" si="322"/>
        <v>0</v>
      </c>
      <c r="V168" s="2902">
        <f t="shared" si="322"/>
        <v>0</v>
      </c>
      <c r="W168" s="2902">
        <f t="shared" si="322"/>
        <v>0</v>
      </c>
      <c r="X168" s="2902">
        <f t="shared" si="322"/>
        <v>0</v>
      </c>
      <c r="Y168" s="2967">
        <f t="shared" si="322"/>
        <v>0</v>
      </c>
      <c r="Z168" s="2997"/>
      <c r="AA168" s="2966">
        <f t="shared" si="323"/>
        <v>0</v>
      </c>
      <c r="AB168" s="2902">
        <f t="shared" si="324"/>
        <v>0</v>
      </c>
      <c r="AC168" s="2902">
        <f t="shared" si="315"/>
        <v>0</v>
      </c>
      <c r="AD168" s="2902">
        <f t="shared" si="315"/>
        <v>0</v>
      </c>
      <c r="AE168" s="2902">
        <f t="shared" si="315"/>
        <v>0</v>
      </c>
      <c r="AF168" s="2967">
        <f t="shared" si="315"/>
        <v>0</v>
      </c>
      <c r="AG168" s="2997"/>
      <c r="AH168" s="2966">
        <f t="shared" si="325"/>
        <v>0</v>
      </c>
      <c r="AI168" s="2902">
        <f t="shared" si="326"/>
        <v>0</v>
      </c>
      <c r="AJ168" s="2902">
        <f t="shared" si="316"/>
        <v>0</v>
      </c>
      <c r="AK168" s="2902">
        <f t="shared" si="316"/>
        <v>0</v>
      </c>
      <c r="AL168" s="2902">
        <f t="shared" si="316"/>
        <v>0</v>
      </c>
      <c r="AM168" s="2967">
        <f t="shared" si="316"/>
        <v>0</v>
      </c>
      <c r="AN168" s="2997"/>
      <c r="AO168" s="3002"/>
      <c r="AP168" s="3003"/>
      <c r="AQ168" s="3003"/>
      <c r="AR168" s="3003"/>
      <c r="AS168" s="3003"/>
      <c r="AT168" s="3004"/>
      <c r="AU168" s="4422"/>
      <c r="AV168" s="143"/>
      <c r="AW168" s="4438">
        <f t="shared" si="309"/>
        <v>0</v>
      </c>
      <c r="AX168" s="4438">
        <f t="shared" si="280"/>
        <v>0</v>
      </c>
      <c r="AY168" s="4438">
        <f t="shared" si="281"/>
        <v>0</v>
      </c>
      <c r="AZ168" s="4438">
        <f t="shared" si="282"/>
        <v>0</v>
      </c>
      <c r="BA168" s="4438">
        <f t="shared" si="283"/>
        <v>0</v>
      </c>
      <c r="BB168" s="4438">
        <f t="shared" si="284"/>
        <v>0</v>
      </c>
      <c r="BC168" s="143"/>
      <c r="BD168" s="4438">
        <f t="shared" si="285"/>
        <v>0</v>
      </c>
      <c r="BE168" s="4438">
        <f t="shared" si="286"/>
        <v>0</v>
      </c>
      <c r="BF168" s="4438">
        <f t="shared" si="287"/>
        <v>0</v>
      </c>
      <c r="BG168" s="4438">
        <f t="shared" si="288"/>
        <v>0</v>
      </c>
      <c r="BH168" s="4438">
        <f t="shared" si="289"/>
        <v>0</v>
      </c>
      <c r="BI168" s="4438">
        <f t="shared" si="290"/>
        <v>0</v>
      </c>
      <c r="BJ168" s="143"/>
      <c r="BK168" s="4438">
        <f t="shared" si="291"/>
        <v>0</v>
      </c>
      <c r="BL168" s="4438">
        <f t="shared" si="292"/>
        <v>0</v>
      </c>
      <c r="BM168" s="4438">
        <f t="shared" si="293"/>
        <v>0</v>
      </c>
      <c r="BN168" s="4438">
        <f t="shared" si="294"/>
        <v>0</v>
      </c>
      <c r="BO168" s="4438">
        <f t="shared" si="295"/>
        <v>0</v>
      </c>
      <c r="BP168" s="4438">
        <f t="shared" si="296"/>
        <v>0</v>
      </c>
      <c r="BQ168" s="143"/>
      <c r="BR168" s="4438">
        <f t="shared" si="297"/>
        <v>0</v>
      </c>
      <c r="BS168" s="4438">
        <f t="shared" si="298"/>
        <v>0</v>
      </c>
      <c r="BT168" s="4438">
        <f t="shared" si="299"/>
        <v>0</v>
      </c>
      <c r="BU168" s="4438">
        <f t="shared" si="300"/>
        <v>0</v>
      </c>
      <c r="BV168" s="4438">
        <f t="shared" si="301"/>
        <v>0</v>
      </c>
      <c r="BW168" s="4438">
        <f t="shared" si="302"/>
        <v>0</v>
      </c>
      <c r="BX168" s="143"/>
      <c r="BY168" s="4438">
        <f t="shared" si="303"/>
        <v>0</v>
      </c>
      <c r="BZ168" s="4438">
        <f t="shared" si="304"/>
        <v>0</v>
      </c>
      <c r="CA168" s="4438">
        <f t="shared" si="305"/>
        <v>0</v>
      </c>
      <c r="CB168" s="4438">
        <f t="shared" si="306"/>
        <v>0</v>
      </c>
      <c r="CC168" s="4438">
        <f t="shared" si="307"/>
        <v>0</v>
      </c>
      <c r="CD168" s="4438">
        <f t="shared" si="308"/>
        <v>0</v>
      </c>
    </row>
    <row r="169" spans="1:82" s="40" customFormat="1">
      <c r="A169" s="2958">
        <v>15</v>
      </c>
      <c r="B169" s="2955" t="s">
        <v>701</v>
      </c>
      <c r="C169" s="2957">
        <v>0.02</v>
      </c>
      <c r="D169" s="2546" t="s">
        <v>419</v>
      </c>
      <c r="E169" s="2997"/>
      <c r="F169" s="2966">
        <f t="shared" si="317"/>
        <v>0</v>
      </c>
      <c r="G169" s="2902">
        <f t="shared" si="318"/>
        <v>0</v>
      </c>
      <c r="H169" s="2902">
        <f t="shared" si="318"/>
        <v>0</v>
      </c>
      <c r="I169" s="2902">
        <f t="shared" si="318"/>
        <v>-0.14000000000000001</v>
      </c>
      <c r="J169" s="2902">
        <f t="shared" si="318"/>
        <v>-0.14000000000000001</v>
      </c>
      <c r="K169" s="2967">
        <f t="shared" si="318"/>
        <v>-0.14000000000000001</v>
      </c>
      <c r="L169" s="2997"/>
      <c r="M169" s="2966">
        <f t="shared" si="319"/>
        <v>0</v>
      </c>
      <c r="N169" s="2902">
        <f t="shared" si="320"/>
        <v>0</v>
      </c>
      <c r="O169" s="2902">
        <f t="shared" si="320"/>
        <v>0</v>
      </c>
      <c r="P169" s="2902">
        <f t="shared" si="320"/>
        <v>0</v>
      </c>
      <c r="Q169" s="2902">
        <f t="shared" si="320"/>
        <v>0</v>
      </c>
      <c r="R169" s="2967">
        <f t="shared" si="320"/>
        <v>0</v>
      </c>
      <c r="S169" s="2997"/>
      <c r="T169" s="2966">
        <f t="shared" si="321"/>
        <v>0</v>
      </c>
      <c r="U169" s="2902">
        <f t="shared" si="322"/>
        <v>0</v>
      </c>
      <c r="V169" s="2902">
        <f t="shared" si="322"/>
        <v>0</v>
      </c>
      <c r="W169" s="2902">
        <f t="shared" si="322"/>
        <v>0</v>
      </c>
      <c r="X169" s="2902">
        <f t="shared" si="322"/>
        <v>0</v>
      </c>
      <c r="Y169" s="2967">
        <f t="shared" si="322"/>
        <v>0</v>
      </c>
      <c r="Z169" s="2997"/>
      <c r="AA169" s="2966">
        <f t="shared" si="323"/>
        <v>0</v>
      </c>
      <c r="AB169" s="2902">
        <f t="shared" si="324"/>
        <v>0</v>
      </c>
      <c r="AC169" s="2902">
        <f t="shared" si="315"/>
        <v>0</v>
      </c>
      <c r="AD169" s="2902">
        <f t="shared" si="315"/>
        <v>0</v>
      </c>
      <c r="AE169" s="2902">
        <f t="shared" si="315"/>
        <v>0</v>
      </c>
      <c r="AF169" s="2967">
        <f t="shared" si="315"/>
        <v>0</v>
      </c>
      <c r="AG169" s="2997"/>
      <c r="AH169" s="2966">
        <f t="shared" si="325"/>
        <v>0</v>
      </c>
      <c r="AI169" s="2902">
        <f t="shared" si="326"/>
        <v>0</v>
      </c>
      <c r="AJ169" s="2902">
        <f t="shared" si="316"/>
        <v>0</v>
      </c>
      <c r="AK169" s="2902">
        <f t="shared" si="316"/>
        <v>0</v>
      </c>
      <c r="AL169" s="2902">
        <f t="shared" si="316"/>
        <v>0</v>
      </c>
      <c r="AM169" s="2967">
        <f t="shared" si="316"/>
        <v>0</v>
      </c>
      <c r="AN169" s="2997"/>
      <c r="AO169" s="3002"/>
      <c r="AP169" s="3003"/>
      <c r="AQ169" s="3003"/>
      <c r="AR169" s="3003"/>
      <c r="AS169" s="3003"/>
      <c r="AT169" s="3004"/>
      <c r="AU169" s="4422"/>
      <c r="AV169" s="143"/>
      <c r="AW169" s="4438">
        <f t="shared" si="309"/>
        <v>0</v>
      </c>
      <c r="AX169" s="4438">
        <f t="shared" si="280"/>
        <v>0</v>
      </c>
      <c r="AY169" s="4438">
        <f t="shared" si="281"/>
        <v>0</v>
      </c>
      <c r="AZ169" s="4438">
        <f t="shared" si="282"/>
        <v>-7.158086336747059E-2</v>
      </c>
      <c r="BA169" s="4438">
        <f t="shared" si="283"/>
        <v>-7.158086336747059E-2</v>
      </c>
      <c r="BB169" s="4438">
        <f t="shared" si="284"/>
        <v>-7.158086336747059E-2</v>
      </c>
      <c r="BC169" s="143"/>
      <c r="BD169" s="4438">
        <f t="shared" si="285"/>
        <v>0</v>
      </c>
      <c r="BE169" s="4438">
        <f t="shared" si="286"/>
        <v>0</v>
      </c>
      <c r="BF169" s="4438">
        <f t="shared" si="287"/>
        <v>0</v>
      </c>
      <c r="BG169" s="4438">
        <f t="shared" si="288"/>
        <v>0</v>
      </c>
      <c r="BH169" s="4438">
        <f t="shared" si="289"/>
        <v>0</v>
      </c>
      <c r="BI169" s="4438">
        <f t="shared" si="290"/>
        <v>0</v>
      </c>
      <c r="BJ169" s="143"/>
      <c r="BK169" s="4438">
        <f t="shared" si="291"/>
        <v>0</v>
      </c>
      <c r="BL169" s="4438">
        <f t="shared" si="292"/>
        <v>0</v>
      </c>
      <c r="BM169" s="4438">
        <f t="shared" si="293"/>
        <v>0</v>
      </c>
      <c r="BN169" s="4438">
        <f t="shared" si="294"/>
        <v>0</v>
      </c>
      <c r="BO169" s="4438">
        <f t="shared" si="295"/>
        <v>0</v>
      </c>
      <c r="BP169" s="4438">
        <f t="shared" si="296"/>
        <v>0</v>
      </c>
      <c r="BQ169" s="143"/>
      <c r="BR169" s="4438">
        <f t="shared" si="297"/>
        <v>0</v>
      </c>
      <c r="BS169" s="4438">
        <f t="shared" si="298"/>
        <v>0</v>
      </c>
      <c r="BT169" s="4438">
        <f t="shared" si="299"/>
        <v>0</v>
      </c>
      <c r="BU169" s="4438">
        <f t="shared" si="300"/>
        <v>0</v>
      </c>
      <c r="BV169" s="4438">
        <f t="shared" si="301"/>
        <v>0</v>
      </c>
      <c r="BW169" s="4438">
        <f t="shared" si="302"/>
        <v>0</v>
      </c>
      <c r="BX169" s="143"/>
      <c r="BY169" s="4438">
        <f t="shared" si="303"/>
        <v>0</v>
      </c>
      <c r="BZ169" s="4438">
        <f t="shared" si="304"/>
        <v>0</v>
      </c>
      <c r="CA169" s="4438">
        <f t="shared" si="305"/>
        <v>0</v>
      </c>
      <c r="CB169" s="4438">
        <f t="shared" si="306"/>
        <v>0</v>
      </c>
      <c r="CC169" s="4438">
        <f t="shared" si="307"/>
        <v>0</v>
      </c>
      <c r="CD169" s="4438">
        <f t="shared" si="308"/>
        <v>0</v>
      </c>
    </row>
    <row r="170" spans="1:82" s="40" customFormat="1">
      <c r="A170" s="2958">
        <v>16</v>
      </c>
      <c r="B170" s="2955" t="s">
        <v>702</v>
      </c>
      <c r="C170" s="2957">
        <v>0.02</v>
      </c>
      <c r="D170" s="2547" t="s">
        <v>420</v>
      </c>
      <c r="E170" s="2997"/>
      <c r="F170" s="2966">
        <f t="shared" si="317"/>
        <v>0</v>
      </c>
      <c r="G170" s="2902">
        <f t="shared" si="318"/>
        <v>0</v>
      </c>
      <c r="H170" s="2902">
        <f t="shared" si="318"/>
        <v>0</v>
      </c>
      <c r="I170" s="2902">
        <f t="shared" si="318"/>
        <v>0</v>
      </c>
      <c r="J170" s="2902">
        <f t="shared" si="318"/>
        <v>0</v>
      </c>
      <c r="K170" s="2967">
        <f t="shared" si="318"/>
        <v>0</v>
      </c>
      <c r="L170" s="2997"/>
      <c r="M170" s="2966">
        <f t="shared" si="319"/>
        <v>0</v>
      </c>
      <c r="N170" s="2902">
        <f t="shared" si="320"/>
        <v>0</v>
      </c>
      <c r="O170" s="2902">
        <f t="shared" si="320"/>
        <v>0</v>
      </c>
      <c r="P170" s="2902">
        <f t="shared" si="320"/>
        <v>0</v>
      </c>
      <c r="Q170" s="2902">
        <f t="shared" si="320"/>
        <v>0</v>
      </c>
      <c r="R170" s="2967">
        <f t="shared" si="320"/>
        <v>0</v>
      </c>
      <c r="S170" s="2997"/>
      <c r="T170" s="2966">
        <f t="shared" si="321"/>
        <v>0</v>
      </c>
      <c r="U170" s="2902">
        <f t="shared" si="322"/>
        <v>0</v>
      </c>
      <c r="V170" s="2902">
        <f t="shared" si="322"/>
        <v>0</v>
      </c>
      <c r="W170" s="2902">
        <f t="shared" si="322"/>
        <v>0</v>
      </c>
      <c r="X170" s="2902">
        <f t="shared" si="322"/>
        <v>0</v>
      </c>
      <c r="Y170" s="2967">
        <f t="shared" si="322"/>
        <v>0</v>
      </c>
      <c r="Z170" s="2997"/>
      <c r="AA170" s="2966">
        <f t="shared" si="323"/>
        <v>0</v>
      </c>
      <c r="AB170" s="2902">
        <f t="shared" si="324"/>
        <v>0</v>
      </c>
      <c r="AC170" s="2902">
        <f t="shared" si="315"/>
        <v>0</v>
      </c>
      <c r="AD170" s="2902">
        <f t="shared" si="315"/>
        <v>0</v>
      </c>
      <c r="AE170" s="2902">
        <f t="shared" si="315"/>
        <v>0</v>
      </c>
      <c r="AF170" s="2967">
        <f t="shared" si="315"/>
        <v>0</v>
      </c>
      <c r="AG170" s="2997"/>
      <c r="AH170" s="2966">
        <f t="shared" si="325"/>
        <v>0</v>
      </c>
      <c r="AI170" s="2902">
        <f t="shared" si="326"/>
        <v>0</v>
      </c>
      <c r="AJ170" s="2902">
        <f t="shared" si="316"/>
        <v>0</v>
      </c>
      <c r="AK170" s="2902">
        <f t="shared" si="316"/>
        <v>0</v>
      </c>
      <c r="AL170" s="2902">
        <f t="shared" si="316"/>
        <v>0</v>
      </c>
      <c r="AM170" s="2967">
        <f t="shared" si="316"/>
        <v>0</v>
      </c>
      <c r="AN170" s="2997"/>
      <c r="AO170" s="3002"/>
      <c r="AP170" s="3003"/>
      <c r="AQ170" s="3003"/>
      <c r="AR170" s="3003"/>
      <c r="AS170" s="3003"/>
      <c r="AT170" s="3004"/>
      <c r="AU170" s="4422"/>
      <c r="AV170" s="143"/>
      <c r="AW170" s="4438">
        <f t="shared" si="309"/>
        <v>0</v>
      </c>
      <c r="AX170" s="4438">
        <f t="shared" si="280"/>
        <v>0</v>
      </c>
      <c r="AY170" s="4438">
        <f t="shared" si="281"/>
        <v>0</v>
      </c>
      <c r="AZ170" s="4438">
        <f t="shared" si="282"/>
        <v>0</v>
      </c>
      <c r="BA170" s="4438">
        <f t="shared" si="283"/>
        <v>0</v>
      </c>
      <c r="BB170" s="4438">
        <f t="shared" si="284"/>
        <v>0</v>
      </c>
      <c r="BC170" s="143"/>
      <c r="BD170" s="4438">
        <f t="shared" si="285"/>
        <v>0</v>
      </c>
      <c r="BE170" s="4438">
        <f t="shared" si="286"/>
        <v>0</v>
      </c>
      <c r="BF170" s="4438">
        <f t="shared" si="287"/>
        <v>0</v>
      </c>
      <c r="BG170" s="4438">
        <f t="shared" si="288"/>
        <v>0</v>
      </c>
      <c r="BH170" s="4438">
        <f t="shared" si="289"/>
        <v>0</v>
      </c>
      <c r="BI170" s="4438">
        <f t="shared" si="290"/>
        <v>0</v>
      </c>
      <c r="BJ170" s="143"/>
      <c r="BK170" s="4438">
        <f t="shared" si="291"/>
        <v>0</v>
      </c>
      <c r="BL170" s="4438">
        <f t="shared" si="292"/>
        <v>0</v>
      </c>
      <c r="BM170" s="4438">
        <f t="shared" si="293"/>
        <v>0</v>
      </c>
      <c r="BN170" s="4438">
        <f t="shared" si="294"/>
        <v>0</v>
      </c>
      <c r="BO170" s="4438">
        <f t="shared" si="295"/>
        <v>0</v>
      </c>
      <c r="BP170" s="4438">
        <f t="shared" si="296"/>
        <v>0</v>
      </c>
      <c r="BQ170" s="143"/>
      <c r="BR170" s="4438">
        <f t="shared" si="297"/>
        <v>0</v>
      </c>
      <c r="BS170" s="4438">
        <f t="shared" si="298"/>
        <v>0</v>
      </c>
      <c r="BT170" s="4438">
        <f t="shared" si="299"/>
        <v>0</v>
      </c>
      <c r="BU170" s="4438">
        <f t="shared" si="300"/>
        <v>0</v>
      </c>
      <c r="BV170" s="4438">
        <f t="shared" si="301"/>
        <v>0</v>
      </c>
      <c r="BW170" s="4438">
        <f t="shared" si="302"/>
        <v>0</v>
      </c>
      <c r="BX170" s="143"/>
      <c r="BY170" s="4438">
        <f t="shared" si="303"/>
        <v>0</v>
      </c>
      <c r="BZ170" s="4438">
        <f t="shared" si="304"/>
        <v>0</v>
      </c>
      <c r="CA170" s="4438">
        <f t="shared" si="305"/>
        <v>0</v>
      </c>
      <c r="CB170" s="4438">
        <f t="shared" si="306"/>
        <v>0</v>
      </c>
      <c r="CC170" s="4438">
        <f t="shared" si="307"/>
        <v>0</v>
      </c>
      <c r="CD170" s="4438">
        <f t="shared" si="308"/>
        <v>0</v>
      </c>
    </row>
    <row r="171" spans="1:82" s="40" customFormat="1">
      <c r="A171" s="2958">
        <v>17</v>
      </c>
      <c r="B171" s="2955" t="s">
        <v>703</v>
      </c>
      <c r="C171" s="2957">
        <v>0.02</v>
      </c>
      <c r="D171" s="2552" t="s">
        <v>421</v>
      </c>
      <c r="E171" s="2997"/>
      <c r="F171" s="2966">
        <f t="shared" si="317"/>
        <v>0</v>
      </c>
      <c r="G171" s="2902">
        <f t="shared" si="318"/>
        <v>0</v>
      </c>
      <c r="H171" s="2902">
        <f t="shared" si="318"/>
        <v>0</v>
      </c>
      <c r="I171" s="2902">
        <f t="shared" si="318"/>
        <v>0</v>
      </c>
      <c r="J171" s="2902">
        <f t="shared" si="318"/>
        <v>0</v>
      </c>
      <c r="K171" s="2967">
        <f t="shared" si="318"/>
        <v>0</v>
      </c>
      <c r="L171" s="2997"/>
      <c r="M171" s="2966">
        <f t="shared" si="319"/>
        <v>0</v>
      </c>
      <c r="N171" s="2902">
        <f t="shared" si="320"/>
        <v>0</v>
      </c>
      <c r="O171" s="2902">
        <f t="shared" si="320"/>
        <v>0</v>
      </c>
      <c r="P171" s="2902">
        <f t="shared" si="320"/>
        <v>0</v>
      </c>
      <c r="Q171" s="2902">
        <f t="shared" si="320"/>
        <v>0</v>
      </c>
      <c r="R171" s="2967">
        <f t="shared" si="320"/>
        <v>0</v>
      </c>
      <c r="S171" s="2997"/>
      <c r="T171" s="2966">
        <f t="shared" si="321"/>
        <v>0</v>
      </c>
      <c r="U171" s="2902">
        <f t="shared" si="322"/>
        <v>0</v>
      </c>
      <c r="V171" s="2902">
        <f t="shared" si="322"/>
        <v>0</v>
      </c>
      <c r="W171" s="2902">
        <f t="shared" si="322"/>
        <v>0</v>
      </c>
      <c r="X171" s="2902">
        <f t="shared" si="322"/>
        <v>0</v>
      </c>
      <c r="Y171" s="2967">
        <f t="shared" si="322"/>
        <v>0</v>
      </c>
      <c r="Z171" s="2997"/>
      <c r="AA171" s="2966">
        <f t="shared" si="323"/>
        <v>0</v>
      </c>
      <c r="AB171" s="2902">
        <f t="shared" si="324"/>
        <v>0</v>
      </c>
      <c r="AC171" s="2902">
        <f t="shared" si="324"/>
        <v>0</v>
      </c>
      <c r="AD171" s="2902">
        <f t="shared" si="324"/>
        <v>0</v>
      </c>
      <c r="AE171" s="2902">
        <f t="shared" si="324"/>
        <v>0</v>
      </c>
      <c r="AF171" s="2967">
        <f t="shared" si="324"/>
        <v>0</v>
      </c>
      <c r="AG171" s="2997"/>
      <c r="AH171" s="2966">
        <f t="shared" si="325"/>
        <v>0</v>
      </c>
      <c r="AI171" s="2902">
        <f t="shared" si="326"/>
        <v>0</v>
      </c>
      <c r="AJ171" s="2902">
        <f t="shared" si="326"/>
        <v>0</v>
      </c>
      <c r="AK171" s="2902">
        <f t="shared" si="326"/>
        <v>0</v>
      </c>
      <c r="AL171" s="2902">
        <f t="shared" si="326"/>
        <v>0</v>
      </c>
      <c r="AM171" s="2967">
        <f t="shared" si="326"/>
        <v>0</v>
      </c>
      <c r="AN171" s="2997"/>
      <c r="AO171" s="3002"/>
      <c r="AP171" s="3003"/>
      <c r="AQ171" s="3003"/>
      <c r="AR171" s="3003"/>
      <c r="AS171" s="3003"/>
      <c r="AT171" s="3004"/>
      <c r="AU171" s="4422"/>
      <c r="AV171" s="143"/>
      <c r="AW171" s="4438">
        <f t="shared" si="309"/>
        <v>0</v>
      </c>
      <c r="AX171" s="4438">
        <f t="shared" si="280"/>
        <v>0</v>
      </c>
      <c r="AY171" s="4438">
        <f t="shared" si="281"/>
        <v>0</v>
      </c>
      <c r="AZ171" s="4438">
        <f t="shared" si="282"/>
        <v>0</v>
      </c>
      <c r="BA171" s="4438">
        <f t="shared" si="283"/>
        <v>0</v>
      </c>
      <c r="BB171" s="4438">
        <f t="shared" si="284"/>
        <v>0</v>
      </c>
      <c r="BC171" s="143"/>
      <c r="BD171" s="4438">
        <f t="shared" si="285"/>
        <v>0</v>
      </c>
      <c r="BE171" s="4438">
        <f t="shared" si="286"/>
        <v>0</v>
      </c>
      <c r="BF171" s="4438">
        <f t="shared" si="287"/>
        <v>0</v>
      </c>
      <c r="BG171" s="4438">
        <f t="shared" si="288"/>
        <v>0</v>
      </c>
      <c r="BH171" s="4438">
        <f t="shared" si="289"/>
        <v>0</v>
      </c>
      <c r="BI171" s="4438">
        <f t="shared" si="290"/>
        <v>0</v>
      </c>
      <c r="BJ171" s="143"/>
      <c r="BK171" s="4438">
        <f t="shared" si="291"/>
        <v>0</v>
      </c>
      <c r="BL171" s="4438">
        <f t="shared" si="292"/>
        <v>0</v>
      </c>
      <c r="BM171" s="4438">
        <f t="shared" si="293"/>
        <v>0</v>
      </c>
      <c r="BN171" s="4438">
        <f t="shared" si="294"/>
        <v>0</v>
      </c>
      <c r="BO171" s="4438">
        <f t="shared" si="295"/>
        <v>0</v>
      </c>
      <c r="BP171" s="4438">
        <f t="shared" si="296"/>
        <v>0</v>
      </c>
      <c r="BQ171" s="143"/>
      <c r="BR171" s="4438">
        <f t="shared" si="297"/>
        <v>0</v>
      </c>
      <c r="BS171" s="4438">
        <f t="shared" si="298"/>
        <v>0</v>
      </c>
      <c r="BT171" s="4438">
        <f t="shared" si="299"/>
        <v>0</v>
      </c>
      <c r="BU171" s="4438">
        <f t="shared" si="300"/>
        <v>0</v>
      </c>
      <c r="BV171" s="4438">
        <f t="shared" si="301"/>
        <v>0</v>
      </c>
      <c r="BW171" s="4438">
        <f t="shared" si="302"/>
        <v>0</v>
      </c>
      <c r="BX171" s="143"/>
      <c r="BY171" s="4438">
        <f t="shared" si="303"/>
        <v>0</v>
      </c>
      <c r="BZ171" s="4438">
        <f t="shared" si="304"/>
        <v>0</v>
      </c>
      <c r="CA171" s="4438">
        <f t="shared" si="305"/>
        <v>0</v>
      </c>
      <c r="CB171" s="4438">
        <f t="shared" si="306"/>
        <v>0</v>
      </c>
      <c r="CC171" s="4438">
        <f t="shared" si="307"/>
        <v>0</v>
      </c>
      <c r="CD171" s="4438">
        <f t="shared" si="308"/>
        <v>0</v>
      </c>
    </row>
    <row r="172" spans="1:82" s="40" customFormat="1" ht="24">
      <c r="A172" s="2958">
        <v>18</v>
      </c>
      <c r="B172" s="2955" t="s">
        <v>704</v>
      </c>
      <c r="C172" s="2957">
        <v>0.04</v>
      </c>
      <c r="D172" s="2552" t="s">
        <v>422</v>
      </c>
      <c r="E172" s="2997"/>
      <c r="F172" s="2966">
        <f t="shared" si="317"/>
        <v>0</v>
      </c>
      <c r="G172" s="2902">
        <f t="shared" ref="G172:K175" si="327">F172+(G128*$C128)-(G150*$C128)</f>
        <v>0</v>
      </c>
      <c r="H172" s="2902">
        <f t="shared" si="327"/>
        <v>0</v>
      </c>
      <c r="I172" s="2902">
        <f t="shared" si="327"/>
        <v>0</v>
      </c>
      <c r="J172" s="2902">
        <f t="shared" si="327"/>
        <v>0</v>
      </c>
      <c r="K172" s="2967">
        <f t="shared" si="327"/>
        <v>0</v>
      </c>
      <c r="L172" s="2997"/>
      <c r="M172" s="2966">
        <f t="shared" si="319"/>
        <v>0</v>
      </c>
      <c r="N172" s="2902">
        <f t="shared" ref="N172:R175" si="328">M172+(N128*$C128)-(N150*$C128)</f>
        <v>0</v>
      </c>
      <c r="O172" s="2902">
        <f t="shared" si="328"/>
        <v>0</v>
      </c>
      <c r="P172" s="2902">
        <f t="shared" si="328"/>
        <v>0</v>
      </c>
      <c r="Q172" s="2902">
        <f t="shared" si="328"/>
        <v>0</v>
      </c>
      <c r="R172" s="2967">
        <f t="shared" si="328"/>
        <v>0</v>
      </c>
      <c r="S172" s="2997"/>
      <c r="T172" s="2966">
        <f t="shared" si="321"/>
        <v>0</v>
      </c>
      <c r="U172" s="2902">
        <f t="shared" ref="U172:Y175" si="329">T172+(U128*$C128)-(U150*$C128)</f>
        <v>0</v>
      </c>
      <c r="V172" s="2902">
        <f t="shared" si="329"/>
        <v>0</v>
      </c>
      <c r="W172" s="2902">
        <f t="shared" si="329"/>
        <v>0</v>
      </c>
      <c r="X172" s="2902">
        <f t="shared" si="329"/>
        <v>0</v>
      </c>
      <c r="Y172" s="2967">
        <f t="shared" si="329"/>
        <v>0</v>
      </c>
      <c r="Z172" s="2997"/>
      <c r="AA172" s="2966">
        <f t="shared" si="323"/>
        <v>0</v>
      </c>
      <c r="AB172" s="2902">
        <f t="shared" ref="AB172:AF175" si="330">AA172+(AB128*$C128)-(AB150*$C128)</f>
        <v>0</v>
      </c>
      <c r="AC172" s="2902">
        <f t="shared" si="330"/>
        <v>0</v>
      </c>
      <c r="AD172" s="2902">
        <f t="shared" si="330"/>
        <v>0</v>
      </c>
      <c r="AE172" s="2902">
        <f t="shared" si="330"/>
        <v>0</v>
      </c>
      <c r="AF172" s="2967">
        <f t="shared" si="330"/>
        <v>0</v>
      </c>
      <c r="AG172" s="2997"/>
      <c r="AH172" s="2966">
        <f t="shared" si="325"/>
        <v>0</v>
      </c>
      <c r="AI172" s="2902">
        <f t="shared" ref="AI172:AM175" si="331">AH172+(AI128*$C128)-(AI150*$C128)</f>
        <v>0</v>
      </c>
      <c r="AJ172" s="2902">
        <f t="shared" si="331"/>
        <v>0</v>
      </c>
      <c r="AK172" s="2902">
        <f t="shared" si="331"/>
        <v>0</v>
      </c>
      <c r="AL172" s="2902">
        <f t="shared" si="331"/>
        <v>0</v>
      </c>
      <c r="AM172" s="2967">
        <f t="shared" si="331"/>
        <v>0</v>
      </c>
      <c r="AN172" s="2997"/>
      <c r="AO172" s="3002"/>
      <c r="AP172" s="3003"/>
      <c r="AQ172" s="3003"/>
      <c r="AR172" s="3003"/>
      <c r="AS172" s="3003"/>
      <c r="AT172" s="3004"/>
      <c r="AU172" s="4422"/>
      <c r="AV172" s="143"/>
      <c r="AW172" s="4438">
        <f t="shared" si="309"/>
        <v>0</v>
      </c>
      <c r="AX172" s="4438">
        <f t="shared" si="280"/>
        <v>0</v>
      </c>
      <c r="AY172" s="4438">
        <f t="shared" si="281"/>
        <v>0</v>
      </c>
      <c r="AZ172" s="4438">
        <f t="shared" si="282"/>
        <v>0</v>
      </c>
      <c r="BA172" s="4438">
        <f t="shared" si="283"/>
        <v>0</v>
      </c>
      <c r="BB172" s="4438">
        <f t="shared" si="284"/>
        <v>0</v>
      </c>
      <c r="BC172" s="143"/>
      <c r="BD172" s="4438">
        <f t="shared" si="285"/>
        <v>0</v>
      </c>
      <c r="BE172" s="4438">
        <f t="shared" si="286"/>
        <v>0</v>
      </c>
      <c r="BF172" s="4438">
        <f t="shared" si="287"/>
        <v>0</v>
      </c>
      <c r="BG172" s="4438">
        <f t="shared" si="288"/>
        <v>0</v>
      </c>
      <c r="BH172" s="4438">
        <f t="shared" si="289"/>
        <v>0</v>
      </c>
      <c r="BI172" s="4438">
        <f t="shared" si="290"/>
        <v>0</v>
      </c>
      <c r="BJ172" s="143"/>
      <c r="BK172" s="4438">
        <f t="shared" si="291"/>
        <v>0</v>
      </c>
      <c r="BL172" s="4438">
        <f t="shared" si="292"/>
        <v>0</v>
      </c>
      <c r="BM172" s="4438">
        <f t="shared" si="293"/>
        <v>0</v>
      </c>
      <c r="BN172" s="4438">
        <f t="shared" si="294"/>
        <v>0</v>
      </c>
      <c r="BO172" s="4438">
        <f t="shared" si="295"/>
        <v>0</v>
      </c>
      <c r="BP172" s="4438">
        <f t="shared" si="296"/>
        <v>0</v>
      </c>
      <c r="BQ172" s="143"/>
      <c r="BR172" s="4438">
        <f t="shared" si="297"/>
        <v>0</v>
      </c>
      <c r="BS172" s="4438">
        <f t="shared" si="298"/>
        <v>0</v>
      </c>
      <c r="BT172" s="4438">
        <f t="shared" si="299"/>
        <v>0</v>
      </c>
      <c r="BU172" s="4438">
        <f t="shared" si="300"/>
        <v>0</v>
      </c>
      <c r="BV172" s="4438">
        <f t="shared" si="301"/>
        <v>0</v>
      </c>
      <c r="BW172" s="4438">
        <f t="shared" si="302"/>
        <v>0</v>
      </c>
      <c r="BX172" s="143"/>
      <c r="BY172" s="4438">
        <f t="shared" si="303"/>
        <v>0</v>
      </c>
      <c r="BZ172" s="4438">
        <f t="shared" si="304"/>
        <v>0</v>
      </c>
      <c r="CA172" s="4438">
        <f t="shared" si="305"/>
        <v>0</v>
      </c>
      <c r="CB172" s="4438">
        <f t="shared" si="306"/>
        <v>0</v>
      </c>
      <c r="CC172" s="4438">
        <f t="shared" si="307"/>
        <v>0</v>
      </c>
      <c r="CD172" s="4438">
        <f t="shared" si="308"/>
        <v>0</v>
      </c>
    </row>
    <row r="173" spans="1:82" s="40" customFormat="1">
      <c r="A173" s="2958">
        <v>19</v>
      </c>
      <c r="B173" s="2955" t="s">
        <v>705</v>
      </c>
      <c r="C173" s="2957">
        <v>0.04</v>
      </c>
      <c r="D173" s="2552" t="s">
        <v>423</v>
      </c>
      <c r="E173" s="2997"/>
      <c r="F173" s="2966">
        <f t="shared" si="317"/>
        <v>0</v>
      </c>
      <c r="G173" s="2902">
        <f t="shared" si="327"/>
        <v>0</v>
      </c>
      <c r="H173" s="2902">
        <f t="shared" si="327"/>
        <v>0</v>
      </c>
      <c r="I173" s="2902">
        <f t="shared" si="327"/>
        <v>0</v>
      </c>
      <c r="J173" s="2902">
        <f t="shared" si="327"/>
        <v>0</v>
      </c>
      <c r="K173" s="2967">
        <f t="shared" si="327"/>
        <v>0</v>
      </c>
      <c r="L173" s="2997"/>
      <c r="M173" s="2966">
        <f t="shared" si="319"/>
        <v>0</v>
      </c>
      <c r="N173" s="2902">
        <f t="shared" si="328"/>
        <v>0</v>
      </c>
      <c r="O173" s="2902">
        <f t="shared" si="328"/>
        <v>0</v>
      </c>
      <c r="P173" s="2902">
        <f t="shared" si="328"/>
        <v>0</v>
      </c>
      <c r="Q173" s="2902">
        <f t="shared" si="328"/>
        <v>0</v>
      </c>
      <c r="R173" s="2967">
        <f t="shared" si="328"/>
        <v>0</v>
      </c>
      <c r="S173" s="2997"/>
      <c r="T173" s="2966">
        <f t="shared" si="321"/>
        <v>0</v>
      </c>
      <c r="U173" s="2902">
        <f t="shared" si="329"/>
        <v>0</v>
      </c>
      <c r="V173" s="2902">
        <f t="shared" si="329"/>
        <v>0</v>
      </c>
      <c r="W173" s="2902">
        <f t="shared" si="329"/>
        <v>0</v>
      </c>
      <c r="X173" s="2902">
        <f t="shared" si="329"/>
        <v>0</v>
      </c>
      <c r="Y173" s="2967">
        <f t="shared" si="329"/>
        <v>0</v>
      </c>
      <c r="Z173" s="2997"/>
      <c r="AA173" s="2966">
        <f t="shared" si="323"/>
        <v>0</v>
      </c>
      <c r="AB173" s="2902">
        <f t="shared" si="330"/>
        <v>0</v>
      </c>
      <c r="AC173" s="2902">
        <f t="shared" si="330"/>
        <v>0</v>
      </c>
      <c r="AD173" s="2902">
        <f t="shared" si="330"/>
        <v>0</v>
      </c>
      <c r="AE173" s="2902">
        <f t="shared" si="330"/>
        <v>0</v>
      </c>
      <c r="AF173" s="2967">
        <f t="shared" si="330"/>
        <v>0</v>
      </c>
      <c r="AG173" s="2997"/>
      <c r="AH173" s="2966">
        <f t="shared" si="325"/>
        <v>0</v>
      </c>
      <c r="AI173" s="2902">
        <f t="shared" si="331"/>
        <v>0</v>
      </c>
      <c r="AJ173" s="2902">
        <f t="shared" si="331"/>
        <v>0</v>
      </c>
      <c r="AK173" s="2902">
        <f t="shared" si="331"/>
        <v>0</v>
      </c>
      <c r="AL173" s="2902">
        <f t="shared" si="331"/>
        <v>0</v>
      </c>
      <c r="AM173" s="2967">
        <f t="shared" si="331"/>
        <v>0</v>
      </c>
      <c r="AN173" s="2997"/>
      <c r="AO173" s="3002"/>
      <c r="AP173" s="3003"/>
      <c r="AQ173" s="3003"/>
      <c r="AR173" s="3003"/>
      <c r="AS173" s="3003"/>
      <c r="AT173" s="3004"/>
      <c r="AU173" s="4422"/>
      <c r="AV173" s="143"/>
      <c r="AW173" s="4438">
        <f t="shared" si="309"/>
        <v>0</v>
      </c>
      <c r="AX173" s="4438">
        <f t="shared" si="280"/>
        <v>0</v>
      </c>
      <c r="AY173" s="4438">
        <f t="shared" si="281"/>
        <v>0</v>
      </c>
      <c r="AZ173" s="4438">
        <f t="shared" si="282"/>
        <v>0</v>
      </c>
      <c r="BA173" s="4438">
        <f t="shared" si="283"/>
        <v>0</v>
      </c>
      <c r="BB173" s="4438">
        <f t="shared" si="284"/>
        <v>0</v>
      </c>
      <c r="BC173" s="143"/>
      <c r="BD173" s="4438">
        <f t="shared" si="285"/>
        <v>0</v>
      </c>
      <c r="BE173" s="4438">
        <f t="shared" si="286"/>
        <v>0</v>
      </c>
      <c r="BF173" s="4438">
        <f t="shared" si="287"/>
        <v>0</v>
      </c>
      <c r="BG173" s="4438">
        <f t="shared" si="288"/>
        <v>0</v>
      </c>
      <c r="BH173" s="4438">
        <f t="shared" si="289"/>
        <v>0</v>
      </c>
      <c r="BI173" s="4438">
        <f t="shared" si="290"/>
        <v>0</v>
      </c>
      <c r="BJ173" s="143"/>
      <c r="BK173" s="4438">
        <f t="shared" si="291"/>
        <v>0</v>
      </c>
      <c r="BL173" s="4438">
        <f t="shared" si="292"/>
        <v>0</v>
      </c>
      <c r="BM173" s="4438">
        <f t="shared" si="293"/>
        <v>0</v>
      </c>
      <c r="BN173" s="4438">
        <f t="shared" si="294"/>
        <v>0</v>
      </c>
      <c r="BO173" s="4438">
        <f t="shared" si="295"/>
        <v>0</v>
      </c>
      <c r="BP173" s="4438">
        <f t="shared" si="296"/>
        <v>0</v>
      </c>
      <c r="BQ173" s="143"/>
      <c r="BR173" s="4438">
        <f t="shared" si="297"/>
        <v>0</v>
      </c>
      <c r="BS173" s="4438">
        <f t="shared" si="298"/>
        <v>0</v>
      </c>
      <c r="BT173" s="4438">
        <f t="shared" si="299"/>
        <v>0</v>
      </c>
      <c r="BU173" s="4438">
        <f t="shared" si="300"/>
        <v>0</v>
      </c>
      <c r="BV173" s="4438">
        <f t="shared" si="301"/>
        <v>0</v>
      </c>
      <c r="BW173" s="4438">
        <f t="shared" si="302"/>
        <v>0</v>
      </c>
      <c r="BX173" s="143"/>
      <c r="BY173" s="4438">
        <f t="shared" si="303"/>
        <v>0</v>
      </c>
      <c r="BZ173" s="4438">
        <f t="shared" si="304"/>
        <v>0</v>
      </c>
      <c r="CA173" s="4438">
        <f t="shared" si="305"/>
        <v>0</v>
      </c>
      <c r="CB173" s="4438">
        <f t="shared" si="306"/>
        <v>0</v>
      </c>
      <c r="CC173" s="4438">
        <f t="shared" si="307"/>
        <v>0</v>
      </c>
      <c r="CD173" s="4438">
        <f t="shared" si="308"/>
        <v>0</v>
      </c>
    </row>
    <row r="174" spans="1:82" s="40" customFormat="1">
      <c r="A174" s="2958">
        <v>20</v>
      </c>
      <c r="B174" s="2955" t="s">
        <v>717</v>
      </c>
      <c r="C174" s="2957">
        <v>0.04</v>
      </c>
      <c r="D174" s="2956" t="s">
        <v>434</v>
      </c>
      <c r="E174" s="2997"/>
      <c r="F174" s="2966">
        <f t="shared" si="317"/>
        <v>0</v>
      </c>
      <c r="G174" s="2902">
        <f t="shared" si="327"/>
        <v>0</v>
      </c>
      <c r="H174" s="2902">
        <f t="shared" si="327"/>
        <v>0</v>
      </c>
      <c r="I174" s="2902">
        <f t="shared" si="327"/>
        <v>0</v>
      </c>
      <c r="J174" s="2902">
        <f t="shared" si="327"/>
        <v>0</v>
      </c>
      <c r="K174" s="2967">
        <f t="shared" si="327"/>
        <v>0</v>
      </c>
      <c r="L174" s="2997"/>
      <c r="M174" s="2966">
        <f t="shared" si="319"/>
        <v>0</v>
      </c>
      <c r="N174" s="2902">
        <f t="shared" si="328"/>
        <v>0</v>
      </c>
      <c r="O174" s="2902">
        <f t="shared" si="328"/>
        <v>0</v>
      </c>
      <c r="P174" s="2902">
        <f t="shared" si="328"/>
        <v>0</v>
      </c>
      <c r="Q174" s="2902">
        <f t="shared" si="328"/>
        <v>0</v>
      </c>
      <c r="R174" s="2967">
        <f t="shared" si="328"/>
        <v>0</v>
      </c>
      <c r="S174" s="2997"/>
      <c r="T174" s="2966">
        <f t="shared" si="321"/>
        <v>0</v>
      </c>
      <c r="U174" s="2902">
        <f t="shared" si="329"/>
        <v>0</v>
      </c>
      <c r="V174" s="2902">
        <f t="shared" si="329"/>
        <v>0</v>
      </c>
      <c r="W174" s="2902">
        <f t="shared" si="329"/>
        <v>0</v>
      </c>
      <c r="X174" s="2902">
        <f t="shared" si="329"/>
        <v>0</v>
      </c>
      <c r="Y174" s="2967">
        <f t="shared" si="329"/>
        <v>0</v>
      </c>
      <c r="Z174" s="2997"/>
      <c r="AA174" s="2966">
        <f t="shared" si="323"/>
        <v>0</v>
      </c>
      <c r="AB174" s="2902">
        <f t="shared" si="330"/>
        <v>0</v>
      </c>
      <c r="AC174" s="2902">
        <f t="shared" si="330"/>
        <v>0</v>
      </c>
      <c r="AD174" s="2902">
        <f t="shared" si="330"/>
        <v>0</v>
      </c>
      <c r="AE174" s="2902">
        <f t="shared" si="330"/>
        <v>0</v>
      </c>
      <c r="AF174" s="2967">
        <f t="shared" si="330"/>
        <v>0</v>
      </c>
      <c r="AG174" s="2997"/>
      <c r="AH174" s="2966">
        <f t="shared" si="325"/>
        <v>0</v>
      </c>
      <c r="AI174" s="2902">
        <f t="shared" si="331"/>
        <v>0</v>
      </c>
      <c r="AJ174" s="2902">
        <f t="shared" si="331"/>
        <v>0</v>
      </c>
      <c r="AK174" s="2902">
        <f t="shared" si="331"/>
        <v>0</v>
      </c>
      <c r="AL174" s="2902">
        <f t="shared" si="331"/>
        <v>0</v>
      </c>
      <c r="AM174" s="2967">
        <f t="shared" si="331"/>
        <v>0</v>
      </c>
      <c r="AN174" s="2997"/>
      <c r="AO174" s="3002"/>
      <c r="AP174" s="3003"/>
      <c r="AQ174" s="3003"/>
      <c r="AR174" s="3003"/>
      <c r="AS174" s="3003"/>
      <c r="AT174" s="3004"/>
      <c r="AU174" s="4422"/>
      <c r="AV174" s="143"/>
      <c r="AW174" s="4438">
        <f t="shared" ref="AW174:AW175" si="332">IFERROR(F174/$D$1,0)</f>
        <v>0</v>
      </c>
      <c r="AX174" s="4438">
        <f t="shared" ref="AX174:AX175" si="333">IFERROR(G174/$D$1,0)</f>
        <v>0</v>
      </c>
      <c r="AY174" s="4438">
        <f t="shared" ref="AY174:AY175" si="334">IFERROR(H174/$D$1,0)</f>
        <v>0</v>
      </c>
      <c r="AZ174" s="4438">
        <f t="shared" ref="AZ174:AZ175" si="335">IFERROR(I174/$D$1,0)</f>
        <v>0</v>
      </c>
      <c r="BA174" s="4438">
        <f t="shared" ref="BA174:BA175" si="336">IFERROR(J174/$D$1,0)</f>
        <v>0</v>
      </c>
      <c r="BB174" s="4438">
        <f t="shared" ref="BB174:BB175" si="337">IFERROR(K174/$D$1,0)</f>
        <v>0</v>
      </c>
      <c r="BC174" s="143"/>
      <c r="BD174" s="4438">
        <f t="shared" ref="BD174:BD175" si="338">IFERROR(M174/$D$1,0)</f>
        <v>0</v>
      </c>
      <c r="BE174" s="4438">
        <f t="shared" ref="BE174:BE175" si="339">IFERROR(N174/$D$1,0)</f>
        <v>0</v>
      </c>
      <c r="BF174" s="4438">
        <f t="shared" ref="BF174:BF175" si="340">IFERROR(O174/$D$1,0)</f>
        <v>0</v>
      </c>
      <c r="BG174" s="4438">
        <f t="shared" ref="BG174:BG175" si="341">IFERROR(P174/$D$1,0)</f>
        <v>0</v>
      </c>
      <c r="BH174" s="4438">
        <f t="shared" ref="BH174:BH175" si="342">IFERROR(Q174/$D$1,0)</f>
        <v>0</v>
      </c>
      <c r="BI174" s="4438">
        <f t="shared" ref="BI174:BI175" si="343">IFERROR(R174/$D$1,0)</f>
        <v>0</v>
      </c>
      <c r="BJ174" s="143"/>
      <c r="BK174" s="4438">
        <f t="shared" ref="BK174:BK175" si="344">IFERROR(T174/$D$1,0)</f>
        <v>0</v>
      </c>
      <c r="BL174" s="4438">
        <f t="shared" ref="BL174:BL175" si="345">IFERROR(U174/$D$1,0)</f>
        <v>0</v>
      </c>
      <c r="BM174" s="4438">
        <f t="shared" ref="BM174:BM175" si="346">IFERROR(V174/$D$1,0)</f>
        <v>0</v>
      </c>
      <c r="BN174" s="4438">
        <f t="shared" ref="BN174:BN175" si="347">IFERROR(W174/$D$1,0)</f>
        <v>0</v>
      </c>
      <c r="BO174" s="4438">
        <f t="shared" ref="BO174:BO175" si="348">IFERROR(X174/$D$1,0)</f>
        <v>0</v>
      </c>
      <c r="BP174" s="4438">
        <f t="shared" ref="BP174:BP175" si="349">IFERROR(Y174/$D$1,0)</f>
        <v>0</v>
      </c>
      <c r="BQ174" s="143"/>
      <c r="BR174" s="4438">
        <f t="shared" ref="BR174:BR175" si="350">IFERROR(AA174/$D$1,0)</f>
        <v>0</v>
      </c>
      <c r="BS174" s="4438">
        <f t="shared" ref="BS174:BS175" si="351">IFERROR(AB174/$D$1,0)</f>
        <v>0</v>
      </c>
      <c r="BT174" s="4438">
        <f t="shared" ref="BT174:BT175" si="352">IFERROR(AC174/$D$1,0)</f>
        <v>0</v>
      </c>
      <c r="BU174" s="4438">
        <f t="shared" ref="BU174:BU175" si="353">IFERROR(AD174/$D$1,0)</f>
        <v>0</v>
      </c>
      <c r="BV174" s="4438">
        <f t="shared" ref="BV174:BV175" si="354">IFERROR(AE174/$D$1,0)</f>
        <v>0</v>
      </c>
      <c r="BW174" s="4438">
        <f t="shared" ref="BW174:BW175" si="355">IFERROR(AF174/$D$1,0)</f>
        <v>0</v>
      </c>
      <c r="BX174" s="143"/>
      <c r="BY174" s="4438">
        <f t="shared" ref="BY174:BY175" si="356">IFERROR(AH174/$D$1,0)</f>
        <v>0</v>
      </c>
      <c r="BZ174" s="4438">
        <f t="shared" ref="BZ174:BZ175" si="357">IFERROR(AI174/$D$1,0)</f>
        <v>0</v>
      </c>
      <c r="CA174" s="4438">
        <f t="shared" ref="CA174:CA175" si="358">IFERROR(AJ174/$D$1,0)</f>
        <v>0</v>
      </c>
      <c r="CB174" s="4438">
        <f t="shared" ref="CB174:CB175" si="359">IFERROR(AK174/$D$1,0)</f>
        <v>0</v>
      </c>
      <c r="CC174" s="4438">
        <f t="shared" ref="CC174:CC175" si="360">IFERROR(AL174/$D$1,0)</f>
        <v>0</v>
      </c>
      <c r="CD174" s="4438">
        <f t="shared" ref="CD174:CD175" si="361">IFERROR(AM174/$D$1,0)</f>
        <v>0</v>
      </c>
    </row>
    <row r="175" spans="1:82" s="40" customFormat="1" ht="24.75" thickBot="1">
      <c r="A175" s="2968">
        <v>21</v>
      </c>
      <c r="B175" s="2969" t="s">
        <v>707</v>
      </c>
      <c r="C175" s="2970">
        <v>0.2</v>
      </c>
      <c r="D175" s="2971" t="s">
        <v>679</v>
      </c>
      <c r="E175" s="3005"/>
      <c r="F175" s="2972">
        <f t="shared" si="317"/>
        <v>0</v>
      </c>
      <c r="G175" s="2973">
        <f t="shared" si="327"/>
        <v>0</v>
      </c>
      <c r="H175" s="2973">
        <f t="shared" si="327"/>
        <v>0</v>
      </c>
      <c r="I175" s="2973">
        <f t="shared" si="327"/>
        <v>0</v>
      </c>
      <c r="J175" s="2973">
        <f t="shared" si="327"/>
        <v>0</v>
      </c>
      <c r="K175" s="2974">
        <f t="shared" si="327"/>
        <v>0</v>
      </c>
      <c r="L175" s="3005"/>
      <c r="M175" s="2972">
        <f t="shared" si="319"/>
        <v>0</v>
      </c>
      <c r="N175" s="2973">
        <f t="shared" si="328"/>
        <v>0</v>
      </c>
      <c r="O175" s="2973">
        <f t="shared" si="328"/>
        <v>0</v>
      </c>
      <c r="P175" s="2973">
        <f t="shared" si="328"/>
        <v>0</v>
      </c>
      <c r="Q175" s="2973">
        <f t="shared" si="328"/>
        <v>0</v>
      </c>
      <c r="R175" s="2974">
        <f t="shared" si="328"/>
        <v>0</v>
      </c>
      <c r="S175" s="3005"/>
      <c r="T175" s="2972">
        <f t="shared" si="321"/>
        <v>0</v>
      </c>
      <c r="U175" s="2973">
        <f t="shared" si="329"/>
        <v>0</v>
      </c>
      <c r="V175" s="2973">
        <f t="shared" si="329"/>
        <v>0</v>
      </c>
      <c r="W175" s="2973">
        <f t="shared" si="329"/>
        <v>0</v>
      </c>
      <c r="X175" s="2973">
        <f t="shared" si="329"/>
        <v>0</v>
      </c>
      <c r="Y175" s="2974">
        <f t="shared" si="329"/>
        <v>0</v>
      </c>
      <c r="Z175" s="3005"/>
      <c r="AA175" s="2972">
        <f t="shared" si="323"/>
        <v>0</v>
      </c>
      <c r="AB175" s="2973">
        <f t="shared" si="330"/>
        <v>0</v>
      </c>
      <c r="AC175" s="2973">
        <f t="shared" si="330"/>
        <v>0</v>
      </c>
      <c r="AD175" s="2973">
        <f t="shared" si="330"/>
        <v>0</v>
      </c>
      <c r="AE175" s="2973">
        <f t="shared" si="330"/>
        <v>0</v>
      </c>
      <c r="AF175" s="2974">
        <f t="shared" si="330"/>
        <v>0</v>
      </c>
      <c r="AG175" s="3005"/>
      <c r="AH175" s="2972">
        <f t="shared" si="325"/>
        <v>0</v>
      </c>
      <c r="AI175" s="2973">
        <f t="shared" si="331"/>
        <v>0</v>
      </c>
      <c r="AJ175" s="2973">
        <f t="shared" si="331"/>
        <v>0</v>
      </c>
      <c r="AK175" s="2973">
        <f t="shared" si="331"/>
        <v>0</v>
      </c>
      <c r="AL175" s="2973">
        <f t="shared" si="331"/>
        <v>0</v>
      </c>
      <c r="AM175" s="2974">
        <f t="shared" si="331"/>
        <v>0</v>
      </c>
      <c r="AN175" s="3005"/>
      <c r="AO175" s="3006"/>
      <c r="AP175" s="3007"/>
      <c r="AQ175" s="3007"/>
      <c r="AR175" s="3007"/>
      <c r="AS175" s="3007"/>
      <c r="AT175" s="3008"/>
      <c r="AU175" s="4422"/>
      <c r="AV175" s="143"/>
      <c r="AW175" s="4438">
        <f t="shared" si="332"/>
        <v>0</v>
      </c>
      <c r="AX175" s="4438">
        <f t="shared" si="333"/>
        <v>0</v>
      </c>
      <c r="AY175" s="4438">
        <f t="shared" si="334"/>
        <v>0</v>
      </c>
      <c r="AZ175" s="4438">
        <f t="shared" si="335"/>
        <v>0</v>
      </c>
      <c r="BA175" s="4438">
        <f t="shared" si="336"/>
        <v>0</v>
      </c>
      <c r="BB175" s="4438">
        <f t="shared" si="337"/>
        <v>0</v>
      </c>
      <c r="BC175" s="143"/>
      <c r="BD175" s="4438">
        <f t="shared" si="338"/>
        <v>0</v>
      </c>
      <c r="BE175" s="4438">
        <f t="shared" si="339"/>
        <v>0</v>
      </c>
      <c r="BF175" s="4438">
        <f t="shared" si="340"/>
        <v>0</v>
      </c>
      <c r="BG175" s="4438">
        <f t="shared" si="341"/>
        <v>0</v>
      </c>
      <c r="BH175" s="4438">
        <f t="shared" si="342"/>
        <v>0</v>
      </c>
      <c r="BI175" s="4438">
        <f t="shared" si="343"/>
        <v>0</v>
      </c>
      <c r="BJ175" s="143"/>
      <c r="BK175" s="4438">
        <f t="shared" si="344"/>
        <v>0</v>
      </c>
      <c r="BL175" s="4438">
        <f t="shared" si="345"/>
        <v>0</v>
      </c>
      <c r="BM175" s="4438">
        <f t="shared" si="346"/>
        <v>0</v>
      </c>
      <c r="BN175" s="4438">
        <f t="shared" si="347"/>
        <v>0</v>
      </c>
      <c r="BO175" s="4438">
        <f t="shared" si="348"/>
        <v>0</v>
      </c>
      <c r="BP175" s="4438">
        <f t="shared" si="349"/>
        <v>0</v>
      </c>
      <c r="BQ175" s="143"/>
      <c r="BR175" s="4438">
        <f t="shared" si="350"/>
        <v>0</v>
      </c>
      <c r="BS175" s="4438">
        <f t="shared" si="351"/>
        <v>0</v>
      </c>
      <c r="BT175" s="4438">
        <f t="shared" si="352"/>
        <v>0</v>
      </c>
      <c r="BU175" s="4438">
        <f t="shared" si="353"/>
        <v>0</v>
      </c>
      <c r="BV175" s="4438">
        <f t="shared" si="354"/>
        <v>0</v>
      </c>
      <c r="BW175" s="4438">
        <f t="shared" si="355"/>
        <v>0</v>
      </c>
      <c r="BX175" s="143"/>
      <c r="BY175" s="4438">
        <f t="shared" si="356"/>
        <v>0</v>
      </c>
      <c r="BZ175" s="4438">
        <f t="shared" si="357"/>
        <v>0</v>
      </c>
      <c r="CA175" s="4438">
        <f t="shared" si="358"/>
        <v>0</v>
      </c>
      <c r="CB175" s="4438">
        <f t="shared" si="359"/>
        <v>0</v>
      </c>
      <c r="CC175" s="4438">
        <f t="shared" si="360"/>
        <v>0</v>
      </c>
      <c r="CD175" s="4438">
        <f t="shared" si="361"/>
        <v>0</v>
      </c>
    </row>
    <row r="176" spans="1:82" ht="15.75">
      <c r="A176" s="642"/>
      <c r="B176" s="642"/>
      <c r="C176" s="642"/>
      <c r="D176" s="642"/>
      <c r="E176" s="642"/>
      <c r="F176" s="642"/>
      <c r="G176" s="642"/>
      <c r="H176" s="642"/>
      <c r="I176" s="642"/>
      <c r="J176" s="642"/>
      <c r="K176" s="642"/>
      <c r="L176" s="642"/>
    </row>
    <row r="177" spans="1:43">
      <c r="A177" s="2975"/>
      <c r="B177" s="2976"/>
      <c r="C177" s="2976"/>
      <c r="D177" s="2976"/>
      <c r="E177" s="41"/>
      <c r="F177" s="41"/>
      <c r="G177" s="41"/>
      <c r="H177" s="41"/>
      <c r="I177" s="41"/>
      <c r="J177" s="41"/>
      <c r="K177" s="41"/>
      <c r="L177" s="41"/>
    </row>
    <row r="178" spans="1:43">
      <c r="A178" s="2975"/>
      <c r="B178" s="2976"/>
      <c r="C178" s="2976"/>
      <c r="D178" s="2976"/>
      <c r="E178" s="41"/>
      <c r="F178" s="41"/>
      <c r="G178" s="41"/>
      <c r="H178" s="41"/>
      <c r="I178" s="41"/>
      <c r="J178" s="41"/>
      <c r="K178" s="41"/>
      <c r="L178" s="41"/>
    </row>
    <row r="179" spans="1:43">
      <c r="C179" s="2977"/>
      <c r="J179" s="32"/>
      <c r="K179" s="32"/>
    </row>
    <row r="180" spans="1:43">
      <c r="E180" s="1953" t="str">
        <f>'Приложение '!B82</f>
        <v>Дата: 29.06.2026</v>
      </c>
      <c r="J180" s="2978"/>
      <c r="K180" s="32"/>
      <c r="AJ180" s="2979"/>
      <c r="AK180" s="2980"/>
    </row>
    <row r="181" spans="1:43">
      <c r="J181" s="2978"/>
      <c r="K181" s="32"/>
      <c r="L181" s="2981"/>
      <c r="Y181" s="679"/>
      <c r="AD181" s="43"/>
      <c r="AE181" s="659"/>
      <c r="AF181" s="679"/>
      <c r="AJ181" s="2979"/>
      <c r="AK181" s="2982"/>
      <c r="AN181" s="43"/>
      <c r="AO181" s="659"/>
      <c r="AP181" s="32"/>
      <c r="AQ181" s="659"/>
    </row>
    <row r="182" spans="1:43">
      <c r="J182" s="2978"/>
      <c r="K182" s="32"/>
      <c r="Y182" s="680"/>
      <c r="AD182" s="678"/>
      <c r="AE182" s="32"/>
      <c r="AF182" s="680"/>
      <c r="AJ182" s="2979"/>
      <c r="AK182" s="2979"/>
      <c r="AN182" s="678"/>
      <c r="AO182" s="32"/>
      <c r="AP182" s="32"/>
      <c r="AQ182" s="659"/>
    </row>
    <row r="183" spans="1:43">
      <c r="E183" s="684" t="s">
        <v>187</v>
      </c>
      <c r="J183" s="2978"/>
      <c r="K183" s="32"/>
      <c r="Y183" s="680"/>
      <c r="AD183" s="678"/>
      <c r="AE183" s="32"/>
      <c r="AF183" s="680"/>
      <c r="AJ183" s="2979"/>
      <c r="AK183" s="2979"/>
      <c r="AN183" s="678"/>
      <c r="AO183" s="32"/>
      <c r="AP183" s="32"/>
      <c r="AQ183" s="659"/>
    </row>
    <row r="184" spans="1:43">
      <c r="E184" s="2592" t="s">
        <v>565</v>
      </c>
      <c r="J184" s="2978"/>
      <c r="K184" s="32"/>
      <c r="N184" s="659"/>
      <c r="P184" s="636"/>
      <c r="Q184" s="636"/>
      <c r="R184" s="636"/>
      <c r="S184" s="636"/>
      <c r="T184" s="636"/>
      <c r="U184" s="636"/>
      <c r="V184" s="636"/>
      <c r="W184" s="636"/>
      <c r="X184" s="636"/>
      <c r="Y184" s="680"/>
      <c r="AD184" s="678"/>
      <c r="AE184" s="32"/>
      <c r="AF184" s="680"/>
      <c r="AJ184" s="2979"/>
      <c r="AK184" s="2980"/>
      <c r="AN184" s="678"/>
      <c r="AO184" s="32"/>
      <c r="AP184" s="32"/>
      <c r="AQ184" s="659"/>
    </row>
    <row r="185" spans="1:43" ht="28.5" customHeight="1">
      <c r="E185" s="5173" t="str">
        <f>"2. За периода "&amp;F9&amp;" - "&amp;K9&amp;" се посочва (със знак +) отчетната стойност на активи, които ще достигнат своя полезен живот през съответната година и не следва да им тече амортизация."" "</f>
        <v xml:space="preserve">2. За периода 2026 г. - 2031 г. се посочва (със знак +) отчетната стойност на активи, които ще достигнат своя полезен живот през съответната година и не следва да им тече амортизация." </v>
      </c>
      <c r="F185" s="5173"/>
      <c r="G185" s="5173"/>
      <c r="H185" s="5173"/>
      <c r="I185" s="5173"/>
      <c r="J185" s="5173"/>
      <c r="K185" s="5173"/>
      <c r="L185" s="5173"/>
      <c r="M185" s="5173"/>
      <c r="N185" s="5173"/>
      <c r="O185" s="5173"/>
      <c r="P185" s="5173"/>
      <c r="Q185" s="5173"/>
      <c r="R185" s="5173"/>
      <c r="S185" s="5173"/>
      <c r="T185" s="5173"/>
      <c r="U185" s="5173"/>
      <c r="V185" s="5173"/>
      <c r="W185" s="5173"/>
      <c r="X185" s="5173"/>
      <c r="Y185" s="5173"/>
      <c r="AD185" s="678"/>
      <c r="AE185" s="32"/>
      <c r="AF185" s="680"/>
      <c r="AK185" s="2982"/>
      <c r="AN185" s="678"/>
      <c r="AO185" s="32"/>
      <c r="AP185" s="32"/>
      <c r="AQ185" s="659"/>
    </row>
    <row r="186" spans="1:43" ht="28.5" customHeight="1">
      <c r="B186" s="684"/>
      <c r="C186" s="684"/>
      <c r="D186" s="684"/>
      <c r="E186" s="5173" t="str">
        <f>CONCATENATE("4. В случай, че през периода ",F9," - ",K9," ще бъдат придобити нови публични активи за експлоатация и поддръжка, ","тяхната отчетна стойност се посочва в т.1.1. в категория III -Публични дълготрайни активи, ","предоставени на ВиК оператора за експлоатация и поддръжка. В т.1.2 на категория III"," се  посочва отчетната стойност на публични активи, ;чийто полезен живот свършва в съответната година (отчетната стойност на активите, чийто полезен живот свършва през ",E9," се посочват през ",F9,"). Резултативната величина на двете отчетни стойности ще калкулира разхода за амортизация съответно в посока увеличение или намаление. ")</f>
        <v xml:space="preserve">4. В случай, че през периода 2026 г. - 2031 г. ще бъдат придобити нови публични активи за експлоатация и поддръжка, тяхната отчетна стойност се посочва в т.1.1. в категория III -Публични дълготрайни активи, предоставени на ВиК оператора за експлоатация и поддръжка. В т.1.2 на категория III се  посочва отчетната стойност на публични активи, ;чийто полезен живот свършва в съответната година (отчетната стойност на активите, чийто полезен живот свършва през 2025 г. се посочват през 2026 г.). Резултативната величина на двете отчетни стойности ще калкулира разхода за амортизация съответно в посока увеличение или намаление. </v>
      </c>
      <c r="F186" s="5173"/>
      <c r="G186" s="5173"/>
      <c r="H186" s="5173"/>
      <c r="I186" s="5173"/>
      <c r="J186" s="5173"/>
      <c r="K186" s="5173"/>
      <c r="L186" s="5173"/>
      <c r="M186" s="5173"/>
      <c r="N186" s="5173"/>
      <c r="O186" s="5173"/>
      <c r="P186" s="5173"/>
      <c r="Q186" s="5173"/>
      <c r="R186" s="5173"/>
      <c r="S186" s="5173"/>
      <c r="T186" s="5173"/>
      <c r="U186" s="5173"/>
      <c r="V186" s="5173"/>
      <c r="W186" s="5173"/>
      <c r="X186" s="5173"/>
      <c r="Y186" s="5173"/>
      <c r="AD186" s="684"/>
      <c r="AE186" s="32"/>
      <c r="AF186" s="680"/>
      <c r="AN186" s="684"/>
      <c r="AO186" s="32"/>
      <c r="AP186" s="32"/>
      <c r="AQ186" s="659"/>
    </row>
    <row r="187" spans="1:43" ht="24" customHeight="1">
      <c r="B187" s="3686"/>
      <c r="C187" s="3686"/>
      <c r="D187" s="3686"/>
      <c r="E187" s="2592" t="s">
        <v>1059</v>
      </c>
      <c r="N187" s="659"/>
      <c r="P187" s="636"/>
      <c r="Q187" s="636"/>
      <c r="R187" s="636"/>
      <c r="S187" s="636"/>
      <c r="T187" s="636"/>
      <c r="U187" s="636"/>
      <c r="V187" s="636"/>
      <c r="W187" s="636"/>
      <c r="X187" s="636"/>
      <c r="Y187" s="636"/>
      <c r="AD187" s="678"/>
      <c r="AE187" s="1685"/>
      <c r="AF187" s="678"/>
      <c r="AK187" s="678"/>
      <c r="AL187" s="1685"/>
      <c r="AM187" s="678"/>
      <c r="AN187" s="32"/>
      <c r="AO187" s="2983"/>
      <c r="AP187" s="32"/>
      <c r="AQ187" s="659"/>
    </row>
    <row r="188" spans="1:43" ht="20.25" customHeight="1">
      <c r="B188" s="3686"/>
      <c r="C188" s="3686"/>
      <c r="D188" s="3686"/>
      <c r="F188" s="3686"/>
      <c r="G188" s="3686"/>
      <c r="H188" s="3686"/>
      <c r="I188" s="3686"/>
      <c r="J188" s="3686"/>
      <c r="K188" s="3686"/>
      <c r="L188" s="3686"/>
      <c r="M188" s="3686"/>
      <c r="N188" s="3686"/>
      <c r="O188" s="3686"/>
      <c r="P188" s="3686"/>
      <c r="Q188" s="3686"/>
      <c r="R188" s="3686"/>
      <c r="W188" s="678"/>
      <c r="X188" s="678"/>
      <c r="Y188" s="32"/>
      <c r="AD188" s="678"/>
      <c r="AE188" s="678"/>
      <c r="AF188" s="32"/>
      <c r="AK188" s="678"/>
      <c r="AL188" s="678"/>
      <c r="AM188" s="32"/>
      <c r="AN188" s="2984"/>
      <c r="AO188" s="659"/>
    </row>
    <row r="189" spans="1:43" ht="25.5" customHeight="1">
      <c r="B189" s="3686"/>
      <c r="C189" s="3686"/>
      <c r="D189" s="3686"/>
      <c r="E189" s="3686"/>
      <c r="F189" s="3686"/>
      <c r="G189" s="3686"/>
      <c r="H189" s="3686"/>
      <c r="I189" s="3686"/>
      <c r="J189" s="3686"/>
      <c r="K189" s="3686"/>
      <c r="L189" s="3686"/>
      <c r="M189" s="3686"/>
      <c r="N189" s="3686"/>
      <c r="O189" s="3686"/>
      <c r="P189" s="3686"/>
      <c r="Q189" s="3686"/>
      <c r="R189" s="3686"/>
      <c r="S189" s="1295"/>
    </row>
    <row r="190" spans="1:43" ht="54.75" customHeight="1">
      <c r="B190" s="3686"/>
      <c r="C190" s="3686"/>
      <c r="D190" s="3686"/>
      <c r="E190" s="3686"/>
      <c r="F190" s="3686"/>
      <c r="G190" s="3686"/>
      <c r="H190" s="3686"/>
      <c r="I190" s="3686"/>
      <c r="J190" s="3686"/>
      <c r="K190" s="3686"/>
      <c r="L190" s="3686"/>
      <c r="M190" s="3686"/>
      <c r="N190" s="3686"/>
      <c r="O190" s="3686"/>
      <c r="P190" s="3686"/>
      <c r="Q190" s="3686"/>
      <c r="R190" s="3686"/>
    </row>
    <row r="191" spans="1:43" ht="14.25" customHeight="1">
      <c r="B191" s="3686"/>
      <c r="C191" s="3686"/>
      <c r="D191" s="3686"/>
      <c r="E191" s="3686"/>
      <c r="F191" s="3686"/>
      <c r="G191" s="3686"/>
      <c r="H191" s="3686"/>
      <c r="I191" s="3686"/>
      <c r="J191" s="3686"/>
      <c r="K191" s="3686"/>
      <c r="L191" s="3686"/>
      <c r="M191" s="3686"/>
      <c r="N191" s="3686"/>
      <c r="O191" s="3686"/>
      <c r="P191" s="3686"/>
      <c r="Q191" s="3686"/>
      <c r="R191" s="3686"/>
    </row>
    <row r="192" spans="1:43" ht="60.75" customHeight="1"/>
    <row r="193" ht="20.25" customHeight="1"/>
  </sheetData>
  <sheetProtection algorithmName="SHA-512" hashValue="DFcXaCGlzEL+N+jbyNUiCJDkZL8yT1NliGWJFzuuCs2xNL3bTpPN8TfiGRbWdffLNVBOqH/xiezu9QXYKsRGaA==" saltValue="ZbSWL/1ofMEWkO6yTtjzug==" spinCount="100000" sheet="1" formatCells="0" formatColumns="0" formatRows="0"/>
  <mergeCells count="28">
    <mergeCell ref="BX8:CD8"/>
    <mergeCell ref="A1:C1"/>
    <mergeCell ref="AV8:BB8"/>
    <mergeCell ref="BC8:BI8"/>
    <mergeCell ref="BJ8:BP8"/>
    <mergeCell ref="BQ8:BW8"/>
    <mergeCell ref="AN8:AT8"/>
    <mergeCell ref="Z8:AF8"/>
    <mergeCell ref="AG8:AM8"/>
    <mergeCell ref="E185:Y185"/>
    <mergeCell ref="E186:Y186"/>
    <mergeCell ref="A2:Y2"/>
    <mergeCell ref="A3:Y3"/>
    <mergeCell ref="T10:Y10"/>
    <mergeCell ref="A4:Y4"/>
    <mergeCell ref="A5:Y5"/>
    <mergeCell ref="D8:D9"/>
    <mergeCell ref="A8:A9"/>
    <mergeCell ref="E8:K8"/>
    <mergeCell ref="L8:R8"/>
    <mergeCell ref="S8:Y8"/>
    <mergeCell ref="B8:B9"/>
    <mergeCell ref="C8:C9"/>
    <mergeCell ref="AA10:AF10"/>
    <mergeCell ref="AH10:AM10"/>
    <mergeCell ref="AO10:AT10"/>
    <mergeCell ref="F10:K10"/>
    <mergeCell ref="M10:R10"/>
  </mergeCells>
  <printOptions horizontalCentered="1"/>
  <pageMargins left="0" right="0" top="0.47244094488188981" bottom="0.23622047244094491" header="0.31496062992125984" footer="0.11811023622047245"/>
  <pageSetup paperSize="9" scale="67" orientation="landscape" r:id="rId1"/>
  <headerFooter alignWithMargins="0">
    <oddFooter>&amp;C&amp;A&amp;RСтр. &amp;P от &amp;N</oddFooter>
  </headerFooter>
  <rowBreaks count="3" manualBreakCount="3">
    <brk id="55" max="45" man="1"/>
    <brk id="108" max="45" man="1"/>
    <brk id="157" max="45" man="1"/>
  </rowBreaks>
  <colBreaks count="1" manualBreakCount="1">
    <brk id="25" max="190"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AT241"/>
  <sheetViews>
    <sheetView showGridLines="0" zoomScale="55" zoomScaleNormal="55" zoomScaleSheetLayoutView="106" workbookViewId="0">
      <pane xSplit="4" ySplit="10" topLeftCell="E11" activePane="bottomRight" state="frozen"/>
      <selection pane="topRight" activeCell="E1" sqref="E1"/>
      <selection pane="bottomLeft" activeCell="A11" sqref="A11"/>
      <selection pane="bottomRight" activeCell="M176" sqref="M176:M196"/>
    </sheetView>
  </sheetViews>
  <sheetFormatPr defaultRowHeight="12.75"/>
  <cols>
    <col min="1" max="1" width="3.42578125" style="176" customWidth="1"/>
    <col min="2" max="2" width="8.42578125" style="177" customWidth="1"/>
    <col min="3" max="3" width="5.85546875" style="177" customWidth="1"/>
    <col min="4" max="4" width="22.5703125" style="177" customWidth="1"/>
    <col min="5" max="5" width="8.42578125" style="176" customWidth="1"/>
    <col min="6" max="6" width="10.85546875" style="176" customWidth="1"/>
    <col min="7" max="7" width="8.140625" style="176" customWidth="1"/>
    <col min="8" max="9" width="8.5703125" style="176" customWidth="1"/>
    <col min="10" max="10" width="10.85546875" style="176" customWidth="1"/>
    <col min="11" max="11" width="8.140625" style="176" customWidth="1"/>
    <col min="12" max="13" width="8.5703125" style="176" customWidth="1"/>
    <col min="14" max="14" width="11.140625" style="176" customWidth="1"/>
    <col min="15" max="17" width="8.5703125" style="176" customWidth="1"/>
    <col min="18" max="18" width="10.42578125" style="176" customWidth="1"/>
    <col min="19" max="21" width="8.5703125" style="176" customWidth="1"/>
    <col min="22" max="22" width="12" style="176" customWidth="1"/>
    <col min="23" max="24" width="8.5703125" style="176" customWidth="1"/>
    <col min="25" max="25" width="2.42578125" customWidth="1"/>
    <col min="26" max="45" width="8.5703125" customWidth="1"/>
  </cols>
  <sheetData>
    <row r="1" spans="1:45" s="1291" customFormat="1" ht="41.1" customHeight="1" thickBot="1">
      <c r="A1" s="5121" t="str">
        <f>+'1. Обща информация'!B40</f>
        <v>Фиксиран курс на лева към 1 евро</v>
      </c>
      <c r="B1" s="5122"/>
      <c r="C1" s="5123"/>
      <c r="D1" s="4442">
        <f>+'1. Обща информация'!$C$40</f>
        <v>1.95583</v>
      </c>
      <c r="E1" s="176"/>
      <c r="F1" s="2480"/>
      <c r="G1" s="177"/>
      <c r="H1" s="177"/>
      <c r="I1" s="177"/>
      <c r="J1" s="177"/>
      <c r="K1" s="177"/>
      <c r="L1" s="176"/>
      <c r="M1" s="177"/>
      <c r="N1" s="177"/>
      <c r="O1" s="177"/>
      <c r="P1" s="177"/>
      <c r="Q1" s="177"/>
      <c r="R1" s="177"/>
      <c r="S1" s="176"/>
      <c r="T1" s="177"/>
      <c r="U1" s="177"/>
      <c r="V1" s="177"/>
      <c r="X1" s="3678" t="s">
        <v>189</v>
      </c>
      <c r="Y1" s="177"/>
      <c r="Z1" s="177"/>
      <c r="AA1" s="177"/>
      <c r="AB1" s="177"/>
      <c r="AC1" s="177"/>
      <c r="AD1" s="3678"/>
      <c r="AE1" s="176"/>
      <c r="AF1" s="177"/>
      <c r="AG1" s="177"/>
      <c r="AH1" s="177"/>
      <c r="AI1" s="177"/>
      <c r="AJ1" s="177"/>
      <c r="AK1" s="3678"/>
      <c r="AM1" s="1292"/>
      <c r="AN1" s="1292"/>
    </row>
    <row r="2" spans="1:45" s="1291" customFormat="1" ht="18.75">
      <c r="A2" s="5155" t="s">
        <v>1789</v>
      </c>
      <c r="B2" s="5155"/>
      <c r="C2" s="5155"/>
      <c r="D2" s="5155"/>
      <c r="E2" s="5155"/>
      <c r="F2" s="5155"/>
      <c r="G2" s="5155"/>
      <c r="H2" s="5155"/>
      <c r="I2" s="5155"/>
      <c r="J2" s="5155"/>
      <c r="K2" s="5155"/>
      <c r="L2" s="5155"/>
      <c r="M2" s="5155"/>
      <c r="N2" s="5155"/>
      <c r="O2" s="5155"/>
      <c r="P2" s="5155"/>
      <c r="Q2" s="5155"/>
      <c r="R2" s="5155"/>
      <c r="S2" s="5155"/>
      <c r="T2" s="5155"/>
      <c r="U2" s="5155"/>
      <c r="V2" s="5155"/>
      <c r="W2" s="5155"/>
      <c r="X2" s="5155"/>
      <c r="Y2" s="3684"/>
      <c r="Z2" s="3684"/>
      <c r="AA2" s="3684"/>
      <c r="AB2" s="3684"/>
      <c r="AC2" s="3684"/>
      <c r="AD2" s="3684"/>
      <c r="AE2" s="3684"/>
      <c r="AF2" s="3684"/>
      <c r="AG2" s="3684"/>
      <c r="AH2" s="3684"/>
      <c r="AI2" s="3684"/>
      <c r="AJ2" s="3684"/>
      <c r="AK2" s="3684"/>
      <c r="AL2" s="2481"/>
      <c r="AM2" s="1292"/>
      <c r="AN2" s="1292"/>
    </row>
    <row r="3" spans="1:45" s="1291" customFormat="1" ht="18.75">
      <c r="A3" s="5155" t="str">
        <f>+"Амортизационен план на Дълготрайни Активи за базова година"</f>
        <v>Амортизационен план на Дълготрайни Активи за базова година</v>
      </c>
      <c r="B3" s="5155"/>
      <c r="C3" s="5155"/>
      <c r="D3" s="5155"/>
      <c r="E3" s="5155"/>
      <c r="F3" s="5155"/>
      <c r="G3" s="5155"/>
      <c r="H3" s="5155"/>
      <c r="I3" s="5155"/>
      <c r="J3" s="5155"/>
      <c r="K3" s="5155"/>
      <c r="L3" s="5155"/>
      <c r="M3" s="5155"/>
      <c r="N3" s="5155"/>
      <c r="O3" s="5155"/>
      <c r="P3" s="5155"/>
      <c r="Q3" s="5155"/>
      <c r="R3" s="5155"/>
      <c r="S3" s="5155"/>
      <c r="T3" s="5155"/>
      <c r="U3" s="5155"/>
      <c r="V3" s="5155"/>
      <c r="W3" s="5155"/>
      <c r="X3" s="5155"/>
      <c r="Y3" s="3684"/>
      <c r="Z3" s="3684"/>
      <c r="AA3" s="3684"/>
      <c r="AB3" s="3684"/>
      <c r="AC3" s="3684"/>
      <c r="AD3" s="3684"/>
      <c r="AE3" s="3684"/>
      <c r="AF3" s="3684"/>
      <c r="AG3" s="3684"/>
      <c r="AH3" s="3684"/>
      <c r="AI3" s="3684"/>
      <c r="AJ3" s="3684"/>
      <c r="AK3" s="3684"/>
      <c r="AL3" s="2481"/>
      <c r="AM3" s="1292"/>
      <c r="AN3" s="1292"/>
    </row>
    <row r="4" spans="1:45" s="1291" customFormat="1" ht="15.75">
      <c r="A4" s="5161" t="str">
        <f>'1. Обща информация'!A4:D4</f>
        <v>на ВОДОСНАБДЯВАНЕ И КАНАЛИЗАЦИЯ ЕООД, гр. ХАСКОВО</v>
      </c>
      <c r="B4" s="5161"/>
      <c r="C4" s="5161"/>
      <c r="D4" s="5161"/>
      <c r="E4" s="5161"/>
      <c r="F4" s="5161"/>
      <c r="G4" s="5161"/>
      <c r="H4" s="5161"/>
      <c r="I4" s="5161"/>
      <c r="J4" s="5161"/>
      <c r="K4" s="5161"/>
      <c r="L4" s="5161"/>
      <c r="M4" s="5161"/>
      <c r="N4" s="5161"/>
      <c r="O4" s="5161"/>
      <c r="P4" s="5161"/>
      <c r="Q4" s="5161"/>
      <c r="R4" s="5161"/>
      <c r="S4" s="5161"/>
      <c r="T4" s="5161"/>
      <c r="U4" s="5161"/>
      <c r="V4" s="5161"/>
      <c r="W4" s="5161"/>
      <c r="X4" s="5161"/>
      <c r="Y4" s="3683"/>
      <c r="Z4" s="3683"/>
      <c r="AA4" s="3683"/>
      <c r="AB4" s="3683"/>
      <c r="AC4" s="3683"/>
      <c r="AD4" s="3683"/>
      <c r="AE4" s="3683"/>
      <c r="AF4" s="3683"/>
      <c r="AG4" s="3683"/>
      <c r="AH4" s="3683"/>
      <c r="AI4" s="3683"/>
      <c r="AJ4" s="3683"/>
      <c r="AK4" s="3683"/>
      <c r="AL4" s="175"/>
      <c r="AM4" s="2482"/>
      <c r="AN4" s="175"/>
      <c r="AO4" s="175"/>
      <c r="AP4" s="175"/>
      <c r="AQ4" s="175"/>
    </row>
    <row r="5" spans="1:45" s="1291" customFormat="1" ht="15.75">
      <c r="A5" s="5161" t="str">
        <f>'1. Обща информация'!A5:D5</f>
        <v>ЕИК по БУЛСТАТ: 126004284</v>
      </c>
      <c r="B5" s="5161"/>
      <c r="C5" s="5161"/>
      <c r="D5" s="5161"/>
      <c r="E5" s="5161"/>
      <c r="F5" s="5161"/>
      <c r="G5" s="5161"/>
      <c r="H5" s="5161"/>
      <c r="I5" s="5161"/>
      <c r="J5" s="5161"/>
      <c r="K5" s="5161"/>
      <c r="L5" s="5161"/>
      <c r="M5" s="5161"/>
      <c r="N5" s="5161"/>
      <c r="O5" s="5161"/>
      <c r="P5" s="5161"/>
      <c r="Q5" s="5161"/>
      <c r="R5" s="5161"/>
      <c r="S5" s="5161"/>
      <c r="T5" s="5161"/>
      <c r="U5" s="5161"/>
      <c r="V5" s="5161"/>
      <c r="W5" s="5161"/>
      <c r="X5" s="5161"/>
      <c r="Y5" s="3683"/>
      <c r="Z5" s="3683"/>
      <c r="AA5" s="3683"/>
      <c r="AB5" s="3683"/>
      <c r="AC5" s="3683"/>
      <c r="AD5" s="3683"/>
      <c r="AE5" s="3683"/>
      <c r="AF5" s="3683"/>
      <c r="AG5" s="3683"/>
      <c r="AH5" s="3683"/>
      <c r="AI5" s="3683"/>
      <c r="AJ5" s="3683"/>
      <c r="AK5" s="3683"/>
      <c r="AL5" s="175"/>
      <c r="AM5" s="2482"/>
      <c r="AN5" s="175"/>
      <c r="AO5" s="175"/>
      <c r="AP5" s="175"/>
      <c r="AQ5" s="175"/>
    </row>
    <row r="6" spans="1:45" ht="16.5" thickBot="1">
      <c r="A6" s="3683"/>
      <c r="B6" s="3683"/>
      <c r="C6" s="3683"/>
      <c r="D6" s="3683"/>
      <c r="E6" s="4055"/>
      <c r="F6" s="4055"/>
      <c r="G6" s="4055"/>
      <c r="H6" s="4055"/>
      <c r="I6" s="4055"/>
      <c r="J6" s="4055"/>
      <c r="K6" s="4055"/>
      <c r="L6" s="4055"/>
      <c r="M6" s="4055"/>
      <c r="N6" s="4055"/>
      <c r="O6" s="4055"/>
      <c r="P6" s="4055"/>
      <c r="Q6" s="4055"/>
      <c r="R6" s="4055"/>
      <c r="S6" s="4055"/>
      <c r="T6" s="4055"/>
      <c r="U6" s="4055"/>
      <c r="V6" s="4055"/>
      <c r="W6" s="4055"/>
      <c r="X6" s="650" t="s">
        <v>190</v>
      </c>
      <c r="AS6" s="650" t="s">
        <v>1892</v>
      </c>
    </row>
    <row r="7" spans="1:45" ht="14.1" customHeight="1" thickBot="1">
      <c r="A7" s="5157" t="s">
        <v>1</v>
      </c>
      <c r="B7" s="5157" t="s">
        <v>1044</v>
      </c>
      <c r="C7" s="5157" t="s">
        <v>1043</v>
      </c>
      <c r="D7" s="5157" t="s">
        <v>87</v>
      </c>
      <c r="E7" s="5186" t="s">
        <v>210</v>
      </c>
      <c r="F7" s="5187"/>
      <c r="G7" s="5187"/>
      <c r="H7" s="5188"/>
      <c r="I7" s="5186" t="s">
        <v>174</v>
      </c>
      <c r="J7" s="5187"/>
      <c r="K7" s="5187"/>
      <c r="L7" s="5188"/>
      <c r="M7" s="5186" t="s">
        <v>184</v>
      </c>
      <c r="N7" s="5187"/>
      <c r="O7" s="5187"/>
      <c r="P7" s="5188"/>
      <c r="Q7" s="5186" t="s">
        <v>1029</v>
      </c>
      <c r="R7" s="5187"/>
      <c r="S7" s="5187"/>
      <c r="T7" s="5188"/>
      <c r="U7" s="5186" t="s">
        <v>1092</v>
      </c>
      <c r="V7" s="5187"/>
      <c r="W7" s="5187"/>
      <c r="X7" s="5188"/>
      <c r="Y7" s="4422"/>
      <c r="Z7" s="5150" t="s">
        <v>210</v>
      </c>
      <c r="AA7" s="5150"/>
      <c r="AB7" s="5150"/>
      <c r="AC7" s="5150"/>
      <c r="AD7" s="5150" t="s">
        <v>174</v>
      </c>
      <c r="AE7" s="5150"/>
      <c r="AF7" s="5150"/>
      <c r="AG7" s="5150"/>
      <c r="AH7" s="5150" t="s">
        <v>184</v>
      </c>
      <c r="AI7" s="5150"/>
      <c r="AJ7" s="5150"/>
      <c r="AK7" s="5150"/>
      <c r="AL7" s="4445" t="s">
        <v>1029</v>
      </c>
      <c r="AM7" s="4445"/>
      <c r="AN7" s="4445"/>
      <c r="AO7" s="4445"/>
      <c r="AP7" s="5150" t="s">
        <v>1092</v>
      </c>
      <c r="AQ7" s="5150"/>
      <c r="AR7" s="5150"/>
      <c r="AS7" s="5150"/>
    </row>
    <row r="8" spans="1:45" ht="13.5" thickBot="1">
      <c r="A8" s="5185"/>
      <c r="B8" s="5185"/>
      <c r="C8" s="5185"/>
      <c r="D8" s="5185"/>
      <c r="E8" s="2484" t="str">
        <f>+'Приложение '!C12</f>
        <v>2024 г.</v>
      </c>
      <c r="F8" s="2484" t="str">
        <f>+'11. Амортиз. план'!E8</f>
        <v>2025 г.</v>
      </c>
      <c r="G8" s="2484" t="str">
        <f>+F8</f>
        <v>2025 г.</v>
      </c>
      <c r="H8" s="2489" t="str">
        <f>+G8</f>
        <v>2025 г.</v>
      </c>
      <c r="I8" s="2484" t="str">
        <f>+E8</f>
        <v>2024 г.</v>
      </c>
      <c r="J8" s="2484" t="str">
        <f>+F8</f>
        <v>2025 г.</v>
      </c>
      <c r="K8" s="2484" t="str">
        <f t="shared" ref="K8:L9" si="0">+G8</f>
        <v>2025 г.</v>
      </c>
      <c r="L8" s="2484" t="str">
        <f t="shared" si="0"/>
        <v>2025 г.</v>
      </c>
      <c r="M8" s="2484" t="str">
        <f>+I8</f>
        <v>2024 г.</v>
      </c>
      <c r="N8" s="2484" t="str">
        <f>+J8</f>
        <v>2025 г.</v>
      </c>
      <c r="O8" s="2484" t="str">
        <f t="shared" ref="O8:P9" si="1">+K8</f>
        <v>2025 г.</v>
      </c>
      <c r="P8" s="2484" t="str">
        <f t="shared" si="1"/>
        <v>2025 г.</v>
      </c>
      <c r="Q8" s="2484" t="str">
        <f>+M8</f>
        <v>2024 г.</v>
      </c>
      <c r="R8" s="2484" t="str">
        <f>+N8</f>
        <v>2025 г.</v>
      </c>
      <c r="S8" s="2484" t="str">
        <f t="shared" ref="S8:T9" si="2">+O8</f>
        <v>2025 г.</v>
      </c>
      <c r="T8" s="2484" t="str">
        <f t="shared" si="2"/>
        <v>2025 г.</v>
      </c>
      <c r="U8" s="2484" t="str">
        <f>+Q8</f>
        <v>2024 г.</v>
      </c>
      <c r="V8" s="2484" t="str">
        <f>+R8</f>
        <v>2025 г.</v>
      </c>
      <c r="W8" s="2484" t="str">
        <f t="shared" ref="W8:X9" si="3">+S8</f>
        <v>2025 г.</v>
      </c>
      <c r="X8" s="2489" t="str">
        <f t="shared" si="3"/>
        <v>2025 г.</v>
      </c>
      <c r="Y8" s="4422"/>
      <c r="Z8" s="4443" t="str">
        <f>+E8</f>
        <v>2024 г.</v>
      </c>
      <c r="AA8" s="4443" t="str">
        <f t="shared" ref="AA8:AC8" si="4">+F8</f>
        <v>2025 г.</v>
      </c>
      <c r="AB8" s="4443" t="str">
        <f t="shared" si="4"/>
        <v>2025 г.</v>
      </c>
      <c r="AC8" s="4443" t="str">
        <f t="shared" si="4"/>
        <v>2025 г.</v>
      </c>
      <c r="AD8" s="4443" t="str">
        <f>+Z8</f>
        <v>2024 г.</v>
      </c>
      <c r="AE8" s="4443" t="str">
        <f>+AA8</f>
        <v>2025 г.</v>
      </c>
      <c r="AF8" s="4443" t="str">
        <f t="shared" ref="AF8:AF9" si="5">+AB8</f>
        <v>2025 г.</v>
      </c>
      <c r="AG8" s="4443" t="str">
        <f t="shared" ref="AG8:AG9" si="6">+AC8</f>
        <v>2025 г.</v>
      </c>
      <c r="AH8" s="4443" t="str">
        <f>+AD8</f>
        <v>2024 г.</v>
      </c>
      <c r="AI8" s="4443" t="str">
        <f>+AE8</f>
        <v>2025 г.</v>
      </c>
      <c r="AJ8" s="4443" t="str">
        <f t="shared" ref="AJ8:AJ9" si="7">+AF8</f>
        <v>2025 г.</v>
      </c>
      <c r="AK8" s="4443" t="str">
        <f t="shared" ref="AK8:AK9" si="8">+AG8</f>
        <v>2025 г.</v>
      </c>
      <c r="AL8" s="4443" t="str">
        <f>+AH8</f>
        <v>2024 г.</v>
      </c>
      <c r="AM8" s="4443" t="str">
        <f>+AI8</f>
        <v>2025 г.</v>
      </c>
      <c r="AN8" s="4443" t="str">
        <f t="shared" ref="AN8:AN9" si="9">+AJ8</f>
        <v>2025 г.</v>
      </c>
      <c r="AO8" s="4443" t="str">
        <f t="shared" ref="AO8:AO9" si="10">+AK8</f>
        <v>2025 г.</v>
      </c>
      <c r="AP8" s="4443" t="str">
        <f>+AL8</f>
        <v>2024 г.</v>
      </c>
      <c r="AQ8" s="4443" t="str">
        <f>+AM8</f>
        <v>2025 г.</v>
      </c>
      <c r="AR8" s="4443" t="str">
        <f t="shared" ref="AR8:AR9" si="11">+AN8</f>
        <v>2025 г.</v>
      </c>
      <c r="AS8" s="4443" t="str">
        <f t="shared" ref="AS8:AS9" si="12">+AO8</f>
        <v>2025 г.</v>
      </c>
    </row>
    <row r="9" spans="1:45" ht="47.1" customHeight="1" thickBot="1">
      <c r="A9" s="5158"/>
      <c r="B9" s="5158"/>
      <c r="C9" s="5158"/>
      <c r="D9" s="5158"/>
      <c r="E9" s="4056" t="s">
        <v>192</v>
      </c>
      <c r="F9" s="4056" t="s">
        <v>1853</v>
      </c>
      <c r="G9" s="4056" t="s">
        <v>1790</v>
      </c>
      <c r="H9" s="4057" t="s">
        <v>1791</v>
      </c>
      <c r="I9" s="4056" t="str">
        <f>+E9</f>
        <v>Отчет</v>
      </c>
      <c r="J9" s="4056" t="str">
        <f>+F9</f>
        <v>Постъпили трансфери / начислена амортизация</v>
      </c>
      <c r="K9" s="4056" t="str">
        <f t="shared" si="0"/>
        <v>Отписани</v>
      </c>
      <c r="L9" s="4057" t="str">
        <f t="shared" si="0"/>
        <v>Прогноза</v>
      </c>
      <c r="M9" s="4056" t="str">
        <f>+I9</f>
        <v>Отчет</v>
      </c>
      <c r="N9" s="4056" t="str">
        <f>+J9</f>
        <v>Постъпили трансфери / начислена амортизация</v>
      </c>
      <c r="O9" s="4056" t="str">
        <f t="shared" si="1"/>
        <v>Отписани</v>
      </c>
      <c r="P9" s="4057" t="str">
        <f t="shared" si="1"/>
        <v>Прогноза</v>
      </c>
      <c r="Q9" s="4056" t="str">
        <f>+M9</f>
        <v>Отчет</v>
      </c>
      <c r="R9" s="4056" t="str">
        <f>+N9</f>
        <v>Постъпили трансфери / начислена амортизация</v>
      </c>
      <c r="S9" s="4056" t="str">
        <f t="shared" si="2"/>
        <v>Отписани</v>
      </c>
      <c r="T9" s="4056" t="str">
        <f t="shared" si="2"/>
        <v>Прогноза</v>
      </c>
      <c r="U9" s="4056" t="str">
        <f>+Q9</f>
        <v>Отчет</v>
      </c>
      <c r="V9" s="4056" t="str">
        <f>+R9</f>
        <v>Постъпили трансфери / начислена амортизация</v>
      </c>
      <c r="W9" s="4056" t="str">
        <f t="shared" si="3"/>
        <v>Отписани</v>
      </c>
      <c r="X9" s="4057" t="str">
        <f t="shared" si="3"/>
        <v>Прогноза</v>
      </c>
      <c r="Y9" s="4422"/>
      <c r="Z9" s="4455" t="s">
        <v>192</v>
      </c>
      <c r="AA9" s="4455" t="s">
        <v>1853</v>
      </c>
      <c r="AB9" s="4455" t="s">
        <v>1790</v>
      </c>
      <c r="AC9" s="4455" t="s">
        <v>1791</v>
      </c>
      <c r="AD9" s="4455" t="str">
        <f>+Z9</f>
        <v>Отчет</v>
      </c>
      <c r="AE9" s="4455" t="str">
        <f>+AA9</f>
        <v>Постъпили трансфери / начислена амортизация</v>
      </c>
      <c r="AF9" s="4455" t="str">
        <f t="shared" si="5"/>
        <v>Отписани</v>
      </c>
      <c r="AG9" s="4455" t="str">
        <f t="shared" si="6"/>
        <v>Прогноза</v>
      </c>
      <c r="AH9" s="4455" t="str">
        <f>+AD9</f>
        <v>Отчет</v>
      </c>
      <c r="AI9" s="4455" t="str">
        <f>+AE9</f>
        <v>Постъпили трансфери / начислена амортизация</v>
      </c>
      <c r="AJ9" s="4455" t="str">
        <f t="shared" si="7"/>
        <v>Отписани</v>
      </c>
      <c r="AK9" s="4455" t="str">
        <f t="shared" si="8"/>
        <v>Прогноза</v>
      </c>
      <c r="AL9" s="4455" t="str">
        <f>+AH9</f>
        <v>Отчет</v>
      </c>
      <c r="AM9" s="4455" t="str">
        <f>+AI9</f>
        <v>Постъпили трансфери / начислена амортизация</v>
      </c>
      <c r="AN9" s="4455" t="str">
        <f t="shared" si="9"/>
        <v>Отписани</v>
      </c>
      <c r="AO9" s="4455" t="str">
        <f t="shared" si="10"/>
        <v>Прогноза</v>
      </c>
      <c r="AP9" s="4455" t="str">
        <f>+AL9</f>
        <v>Отчет</v>
      </c>
      <c r="AQ9" s="4455" t="str">
        <f>+AM9</f>
        <v>Постъпили трансфери / начислена амортизация</v>
      </c>
      <c r="AR9" s="4455" t="str">
        <f t="shared" si="11"/>
        <v>Отписани</v>
      </c>
      <c r="AS9" s="4455" t="str">
        <f t="shared" si="12"/>
        <v>Прогноза</v>
      </c>
    </row>
    <row r="10" spans="1:45" ht="13.5" customHeight="1" thickBot="1">
      <c r="A10" s="2490" t="s">
        <v>402</v>
      </c>
      <c r="B10" s="5189" t="s">
        <v>403</v>
      </c>
      <c r="C10" s="5190"/>
      <c r="D10" s="5190"/>
      <c r="E10" s="5190"/>
      <c r="F10" s="5190"/>
      <c r="G10" s="5190"/>
      <c r="H10" s="5190"/>
      <c r="I10" s="5190"/>
      <c r="J10" s="5190"/>
      <c r="K10" s="5190"/>
      <c r="L10" s="5190"/>
      <c r="M10" s="5190"/>
      <c r="N10" s="5190"/>
      <c r="O10" s="5190"/>
      <c r="P10" s="5190"/>
      <c r="Q10" s="5190"/>
      <c r="R10" s="5190"/>
      <c r="S10" s="5190"/>
      <c r="T10" s="5190"/>
      <c r="U10" s="5190"/>
      <c r="V10" s="5190"/>
      <c r="W10" s="5190"/>
      <c r="X10" s="5191"/>
      <c r="Y10" s="4422"/>
    </row>
    <row r="11" spans="1:45" ht="13.5" thickBot="1">
      <c r="A11" s="2501" t="s">
        <v>205</v>
      </c>
      <c r="B11" s="5192" t="s">
        <v>334</v>
      </c>
      <c r="C11" s="5193"/>
      <c r="D11" s="5194"/>
      <c r="E11" s="2503">
        <f>SUM(E12:E39)-E14-E20</f>
        <v>9857</v>
      </c>
      <c r="F11" s="2503">
        <f>SUM(F12:F39)-F14-F20-F30-F36</f>
        <v>1467</v>
      </c>
      <c r="G11" s="2503">
        <f>SUM(G12:G39)-G14-G20</f>
        <v>0</v>
      </c>
      <c r="H11" s="2503">
        <f>SUM(H12:H39)-H14-H20</f>
        <v>11324</v>
      </c>
      <c r="I11" s="2503">
        <f>SUM(I12:I39)-I14-I20</f>
        <v>1886</v>
      </c>
      <c r="J11" s="2503">
        <f>SUM(J12:J39)-J14-J20-J30-J36</f>
        <v>149</v>
      </c>
      <c r="K11" s="2503">
        <f>SUM(K12:K39)-K14-K20</f>
        <v>0</v>
      </c>
      <c r="L11" s="2503">
        <f>SUM(L12:L39)-L14-L20</f>
        <v>2035</v>
      </c>
      <c r="M11" s="2503">
        <f>SUM(M12:M39)-M14-M20</f>
        <v>1421</v>
      </c>
      <c r="N11" s="2503">
        <f>SUM(N12:N39)-N14-N20-N30-N36</f>
        <v>243</v>
      </c>
      <c r="O11" s="2503">
        <f>SUM(O12:O39)-O14-O20</f>
        <v>0</v>
      </c>
      <c r="P11" s="2503">
        <f>SUM(P12:P39)-P14-P20</f>
        <v>1664</v>
      </c>
      <c r="Q11" s="2503">
        <f>SUM(Q12:Q39)-Q14-Q20</f>
        <v>0</v>
      </c>
      <c r="R11" s="2503">
        <f>SUM(R12:R39)-R14-R20-R30-R36</f>
        <v>0</v>
      </c>
      <c r="S11" s="2503">
        <f>SUM(S12:S39)-S14-S20</f>
        <v>0</v>
      </c>
      <c r="T11" s="2503">
        <f>SUM(T12:T39)-T14-T20</f>
        <v>0</v>
      </c>
      <c r="U11" s="2503">
        <f>SUM(U12:U39)-U14-U20</f>
        <v>0</v>
      </c>
      <c r="V11" s="2503">
        <f>SUM(V12:V39)-V14-V20-V30-V36</f>
        <v>0</v>
      </c>
      <c r="W11" s="2503">
        <f>SUM(W12:W39)-W14-W20</f>
        <v>0</v>
      </c>
      <c r="X11" s="2503">
        <f>SUM(X12:X39)-X14-X20</f>
        <v>0</v>
      </c>
      <c r="Y11" s="4422"/>
      <c r="Z11" s="4438">
        <f>IFERROR(E11/$D$1,0)</f>
        <v>5039.8040729511258</v>
      </c>
      <c r="AA11" s="4438">
        <f t="shared" ref="AA11:AR11" si="13">IFERROR(F11/$D$1,0)</f>
        <v>750.06518971485252</v>
      </c>
      <c r="AB11" s="4438">
        <f t="shared" si="13"/>
        <v>0</v>
      </c>
      <c r="AC11" s="4438">
        <f t="shared" si="13"/>
        <v>5789.8692626659786</v>
      </c>
      <c r="AD11" s="4438">
        <f t="shared" si="13"/>
        <v>964.29648793606805</v>
      </c>
      <c r="AE11" s="4438">
        <f t="shared" si="13"/>
        <v>76.182490298236559</v>
      </c>
      <c r="AF11" s="4438">
        <f t="shared" si="13"/>
        <v>0</v>
      </c>
      <c r="AG11" s="4438">
        <f t="shared" si="13"/>
        <v>1040.4789782343046</v>
      </c>
      <c r="AH11" s="4438">
        <f t="shared" si="13"/>
        <v>726.54576317982651</v>
      </c>
      <c r="AI11" s="4438">
        <f t="shared" si="13"/>
        <v>124.2439271306811</v>
      </c>
      <c r="AJ11" s="4438">
        <f t="shared" si="13"/>
        <v>0</v>
      </c>
      <c r="AK11" s="4438">
        <f t="shared" si="13"/>
        <v>850.78969031050758</v>
      </c>
      <c r="AL11" s="4438">
        <f t="shared" si="13"/>
        <v>0</v>
      </c>
      <c r="AM11" s="4438">
        <f t="shared" si="13"/>
        <v>0</v>
      </c>
      <c r="AN11" s="4438">
        <f t="shared" si="13"/>
        <v>0</v>
      </c>
      <c r="AO11" s="4438">
        <f t="shared" si="13"/>
        <v>0</v>
      </c>
      <c r="AP11" s="4438">
        <f t="shared" si="13"/>
        <v>0</v>
      </c>
      <c r="AQ11" s="4438">
        <f t="shared" si="13"/>
        <v>0</v>
      </c>
      <c r="AR11" s="4438">
        <f t="shared" si="13"/>
        <v>0</v>
      </c>
      <c r="AS11" s="4438">
        <f>IFERROR(X11/$D$1,0)</f>
        <v>0</v>
      </c>
    </row>
    <row r="12" spans="1:45">
      <c r="A12" s="2509">
        <v>1</v>
      </c>
      <c r="B12" s="2510">
        <v>20101</v>
      </c>
      <c r="C12" s="2511">
        <v>0</v>
      </c>
      <c r="D12" s="2512" t="s">
        <v>556</v>
      </c>
      <c r="E12" s="4644">
        <v>54</v>
      </c>
      <c r="F12" s="2601">
        <v>0</v>
      </c>
      <c r="G12" s="2601">
        <v>0</v>
      </c>
      <c r="H12" s="4386">
        <f>+E12+F12-G12</f>
        <v>54</v>
      </c>
      <c r="I12" s="4644">
        <v>37</v>
      </c>
      <c r="J12" s="2601"/>
      <c r="K12" s="2601"/>
      <c r="L12" s="4386">
        <f>+I12+J12-K12</f>
        <v>37</v>
      </c>
      <c r="M12" s="4644">
        <v>73</v>
      </c>
      <c r="N12" s="2601"/>
      <c r="O12" s="2601"/>
      <c r="P12" s="4386">
        <f>+M12+N12-O12</f>
        <v>73</v>
      </c>
      <c r="Q12" s="2601"/>
      <c r="R12" s="2601"/>
      <c r="S12" s="2601"/>
      <c r="T12" s="4386">
        <f>+Q12+R12-S12</f>
        <v>0</v>
      </c>
      <c r="U12" s="2601"/>
      <c r="V12" s="2601"/>
      <c r="W12" s="2601"/>
      <c r="X12" s="4386">
        <f>+U12+V12-W12</f>
        <v>0</v>
      </c>
      <c r="Y12" s="4422"/>
      <c r="Z12" s="4438">
        <f t="shared" ref="Z12:Z75" si="14">IFERROR(E12/$D$1,0)</f>
        <v>27.609761584595798</v>
      </c>
      <c r="AA12" s="4438">
        <f t="shared" ref="AA12:AA65" si="15">IFERROR(F12/$D$1,0)</f>
        <v>0</v>
      </c>
      <c r="AB12" s="4438">
        <f t="shared" ref="AB12:AB65" si="16">IFERROR(G12/$D$1,0)</f>
        <v>0</v>
      </c>
      <c r="AC12" s="4438">
        <f t="shared" ref="AC12:AC75" si="17">IFERROR(H12/$D$1,0)</f>
        <v>27.609761584595798</v>
      </c>
      <c r="AD12" s="4438">
        <f t="shared" ref="AD12:AD75" si="18">IFERROR(I12/$D$1,0)</f>
        <v>18.917799604260086</v>
      </c>
      <c r="AE12" s="4438">
        <f t="shared" ref="AE12:AE65" si="19">IFERROR(J12/$D$1,0)</f>
        <v>0</v>
      </c>
      <c r="AF12" s="4438">
        <f t="shared" ref="AF12:AF65" si="20">IFERROR(K12/$D$1,0)</f>
        <v>0</v>
      </c>
      <c r="AG12" s="4438">
        <f t="shared" ref="AG12:AG75" si="21">IFERROR(L12/$D$1,0)</f>
        <v>18.917799604260086</v>
      </c>
      <c r="AH12" s="4438">
        <f t="shared" ref="AH12:AH75" si="22">IFERROR(M12/$D$1,0)</f>
        <v>37.32430732732395</v>
      </c>
      <c r="AI12" s="4438">
        <f t="shared" ref="AI12:AI65" si="23">IFERROR(N12/$D$1,0)</f>
        <v>0</v>
      </c>
      <c r="AJ12" s="4438">
        <f t="shared" ref="AJ12:AJ65" si="24">IFERROR(O12/$D$1,0)</f>
        <v>0</v>
      </c>
      <c r="AK12" s="4438">
        <f t="shared" ref="AK12:AK75" si="25">IFERROR(P12/$D$1,0)</f>
        <v>37.32430732732395</v>
      </c>
      <c r="AL12" s="4438">
        <f t="shared" ref="AL12:AL75" si="26">IFERROR(Q12/$D$1,0)</f>
        <v>0</v>
      </c>
      <c r="AM12" s="4438">
        <f t="shared" ref="AM12:AM65" si="27">IFERROR(R12/$D$1,0)</f>
        <v>0</v>
      </c>
      <c r="AN12" s="4438">
        <f t="shared" ref="AN12:AN65" si="28">IFERROR(S12/$D$1,0)</f>
        <v>0</v>
      </c>
      <c r="AO12" s="4438">
        <f t="shared" ref="AO12:AO75" si="29">IFERROR(T12/$D$1,0)</f>
        <v>0</v>
      </c>
      <c r="AP12" s="4438">
        <f t="shared" ref="AP12:AP75" si="30">IFERROR(U12/$D$1,0)</f>
        <v>0</v>
      </c>
      <c r="AQ12" s="4438">
        <f t="shared" ref="AQ12:AQ65" si="31">IFERROR(V12/$D$1,0)</f>
        <v>0</v>
      </c>
      <c r="AR12" s="4438">
        <f t="shared" ref="AR12:AR65" si="32">IFERROR(W12/$D$1,0)</f>
        <v>0</v>
      </c>
      <c r="AS12" s="4438">
        <f t="shared" ref="AS12:AS75" si="33">IFERROR(X12/$D$1,0)</f>
        <v>0</v>
      </c>
    </row>
    <row r="13" spans="1:45" ht="24">
      <c r="A13" s="2515">
        <v>2</v>
      </c>
      <c r="B13" s="2516">
        <v>20201</v>
      </c>
      <c r="C13" s="2517">
        <v>0.03</v>
      </c>
      <c r="D13" s="2518" t="s">
        <v>425</v>
      </c>
      <c r="E13" s="4645">
        <v>514</v>
      </c>
      <c r="F13" s="400">
        <v>0</v>
      </c>
      <c r="G13" s="400">
        <v>0</v>
      </c>
      <c r="H13" s="4387">
        <f>+E13+F13-G13</f>
        <v>514</v>
      </c>
      <c r="I13" s="4645">
        <v>356</v>
      </c>
      <c r="J13" s="400"/>
      <c r="K13" s="400"/>
      <c r="L13" s="4387">
        <f>+I13+J13-K13</f>
        <v>356</v>
      </c>
      <c r="M13" s="4645">
        <v>701</v>
      </c>
      <c r="N13" s="400"/>
      <c r="O13" s="400"/>
      <c r="P13" s="4387">
        <f>+M13+N13-O13</f>
        <v>701</v>
      </c>
      <c r="Q13" s="400"/>
      <c r="R13" s="400"/>
      <c r="S13" s="400"/>
      <c r="T13" s="4387">
        <f>+Q13+R13-S13</f>
        <v>0</v>
      </c>
      <c r="U13" s="400"/>
      <c r="V13" s="400"/>
      <c r="W13" s="400"/>
      <c r="X13" s="4387">
        <f>+U13+V13-W13</f>
        <v>0</v>
      </c>
      <c r="Y13" s="4422"/>
      <c r="Z13" s="4438">
        <f t="shared" si="14"/>
        <v>262.80402693485632</v>
      </c>
      <c r="AA13" s="4438">
        <f t="shared" si="15"/>
        <v>0</v>
      </c>
      <c r="AB13" s="4438">
        <f t="shared" si="16"/>
        <v>0</v>
      </c>
      <c r="AC13" s="4438">
        <f t="shared" si="17"/>
        <v>262.80402693485632</v>
      </c>
      <c r="AD13" s="4438">
        <f t="shared" si="18"/>
        <v>182.01990970585379</v>
      </c>
      <c r="AE13" s="4438">
        <f t="shared" si="19"/>
        <v>0</v>
      </c>
      <c r="AF13" s="4438">
        <f t="shared" si="20"/>
        <v>0</v>
      </c>
      <c r="AG13" s="4438">
        <f t="shared" si="21"/>
        <v>182.01990970585379</v>
      </c>
      <c r="AH13" s="4438">
        <f t="shared" si="22"/>
        <v>358.41560871854915</v>
      </c>
      <c r="AI13" s="4438">
        <f t="shared" si="23"/>
        <v>0</v>
      </c>
      <c r="AJ13" s="4438">
        <f t="shared" si="24"/>
        <v>0</v>
      </c>
      <c r="AK13" s="4438">
        <f t="shared" si="25"/>
        <v>358.41560871854915</v>
      </c>
      <c r="AL13" s="4438">
        <f t="shared" si="26"/>
        <v>0</v>
      </c>
      <c r="AM13" s="4438">
        <f t="shared" si="27"/>
        <v>0</v>
      </c>
      <c r="AN13" s="4438">
        <f t="shared" si="28"/>
        <v>0</v>
      </c>
      <c r="AO13" s="4438">
        <f t="shared" si="29"/>
        <v>0</v>
      </c>
      <c r="AP13" s="4438">
        <f t="shared" si="30"/>
        <v>0</v>
      </c>
      <c r="AQ13" s="4438">
        <f t="shared" si="31"/>
        <v>0</v>
      </c>
      <c r="AR13" s="4438">
        <f t="shared" si="32"/>
        <v>0</v>
      </c>
      <c r="AS13" s="4438">
        <f t="shared" si="33"/>
        <v>0</v>
      </c>
    </row>
    <row r="14" spans="1:45" ht="24">
      <c r="A14" s="2515">
        <v>3</v>
      </c>
      <c r="B14" s="2516">
        <v>203</v>
      </c>
      <c r="C14" s="2517"/>
      <c r="D14" s="2520" t="s">
        <v>405</v>
      </c>
      <c r="E14" s="2606">
        <f>SUM(E15:E18)</f>
        <v>3610</v>
      </c>
      <c r="F14" s="2606">
        <f t="shared" ref="F14:G14" si="34">SUM(F15:F18)</f>
        <v>866</v>
      </c>
      <c r="G14" s="2606">
        <f t="shared" si="34"/>
        <v>0</v>
      </c>
      <c r="H14" s="4058">
        <f>SUM(H15:H18)</f>
        <v>4476</v>
      </c>
      <c r="I14" s="2606">
        <f>SUM(I15:I18)</f>
        <v>34</v>
      </c>
      <c r="J14" s="2606">
        <f t="shared" ref="J14:K14" si="35">SUM(J15:J18)</f>
        <v>0</v>
      </c>
      <c r="K14" s="2606">
        <f t="shared" si="35"/>
        <v>0</v>
      </c>
      <c r="L14" s="4058">
        <f>SUM(L15:L18)</f>
        <v>34</v>
      </c>
      <c r="M14" s="2606">
        <f>SUM(M15:M18)</f>
        <v>79</v>
      </c>
      <c r="N14" s="2606">
        <f t="shared" ref="N14:O14" si="36">SUM(N15:N18)</f>
        <v>0</v>
      </c>
      <c r="O14" s="2606">
        <f t="shared" si="36"/>
        <v>0</v>
      </c>
      <c r="P14" s="4058">
        <f>SUM(P15:P18)</f>
        <v>79</v>
      </c>
      <c r="Q14" s="2606">
        <f>SUM(Q15:Q18)</f>
        <v>0</v>
      </c>
      <c r="R14" s="2606">
        <f t="shared" ref="R14:S14" si="37">SUM(R15:R18)</f>
        <v>0</v>
      </c>
      <c r="S14" s="2606">
        <f t="shared" si="37"/>
        <v>0</v>
      </c>
      <c r="T14" s="4058">
        <f>SUM(T15:T18)</f>
        <v>0</v>
      </c>
      <c r="U14" s="2606">
        <f>SUM(U15:U18)</f>
        <v>0</v>
      </c>
      <c r="V14" s="2606">
        <f t="shared" ref="V14:W14" si="38">SUM(V15:V18)</f>
        <v>0</v>
      </c>
      <c r="W14" s="2606">
        <f t="shared" si="38"/>
        <v>0</v>
      </c>
      <c r="X14" s="4058">
        <f>SUM(X15:X18)</f>
        <v>0</v>
      </c>
      <c r="Y14" s="4422"/>
      <c r="Z14" s="4438">
        <f t="shared" si="14"/>
        <v>1845.7636911183488</v>
      </c>
      <c r="AA14" s="4438">
        <f t="shared" si="15"/>
        <v>442.77876911592523</v>
      </c>
      <c r="AB14" s="4438">
        <f t="shared" si="16"/>
        <v>0</v>
      </c>
      <c r="AC14" s="4438">
        <f t="shared" si="17"/>
        <v>2288.5424602342741</v>
      </c>
      <c r="AD14" s="4438">
        <f t="shared" si="18"/>
        <v>17.383923960671428</v>
      </c>
      <c r="AE14" s="4438">
        <f t="shared" si="19"/>
        <v>0</v>
      </c>
      <c r="AF14" s="4438">
        <f t="shared" si="20"/>
        <v>0</v>
      </c>
      <c r="AG14" s="4438">
        <f t="shared" si="21"/>
        <v>17.383923960671428</v>
      </c>
      <c r="AH14" s="4438">
        <f t="shared" si="22"/>
        <v>40.392058614501259</v>
      </c>
      <c r="AI14" s="4438">
        <f t="shared" si="23"/>
        <v>0</v>
      </c>
      <c r="AJ14" s="4438">
        <f t="shared" si="24"/>
        <v>0</v>
      </c>
      <c r="AK14" s="4438">
        <f t="shared" si="25"/>
        <v>40.392058614501259</v>
      </c>
      <c r="AL14" s="4438">
        <f t="shared" si="26"/>
        <v>0</v>
      </c>
      <c r="AM14" s="4438">
        <f t="shared" si="27"/>
        <v>0</v>
      </c>
      <c r="AN14" s="4438">
        <f t="shared" si="28"/>
        <v>0</v>
      </c>
      <c r="AO14" s="4438">
        <f t="shared" si="29"/>
        <v>0</v>
      </c>
      <c r="AP14" s="4438">
        <f t="shared" si="30"/>
        <v>0</v>
      </c>
      <c r="AQ14" s="4438">
        <f t="shared" si="31"/>
        <v>0</v>
      </c>
      <c r="AR14" s="4438">
        <f t="shared" si="32"/>
        <v>0</v>
      </c>
      <c r="AS14" s="4438">
        <f t="shared" si="33"/>
        <v>0</v>
      </c>
    </row>
    <row r="15" spans="1:45">
      <c r="A15" s="2515"/>
      <c r="B15" s="2516">
        <v>20301</v>
      </c>
      <c r="C15" s="2522">
        <v>0.1</v>
      </c>
      <c r="D15" s="2523" t="s">
        <v>427</v>
      </c>
      <c r="E15" s="4646">
        <v>80</v>
      </c>
      <c r="F15" s="400">
        <v>4</v>
      </c>
      <c r="G15" s="400">
        <v>0</v>
      </c>
      <c r="H15" s="4387">
        <f t="shared" ref="H15:H19" si="39">+E15+F15-G15</f>
        <v>84</v>
      </c>
      <c r="I15" s="4646">
        <v>0</v>
      </c>
      <c r="J15" s="400"/>
      <c r="K15" s="400"/>
      <c r="L15" s="4387">
        <f t="shared" ref="L15:L19" si="40">+I15+J15-K15</f>
        <v>0</v>
      </c>
      <c r="M15" s="4646">
        <v>1</v>
      </c>
      <c r="N15" s="400"/>
      <c r="O15" s="400"/>
      <c r="P15" s="4387">
        <f t="shared" ref="P15:P19" si="41">+M15+N15-O15</f>
        <v>1</v>
      </c>
      <c r="Q15" s="400"/>
      <c r="R15" s="400"/>
      <c r="S15" s="400"/>
      <c r="T15" s="4387">
        <f t="shared" ref="T15:T19" si="42">+Q15+R15-S15</f>
        <v>0</v>
      </c>
      <c r="U15" s="400"/>
      <c r="V15" s="400"/>
      <c r="W15" s="400"/>
      <c r="X15" s="4387">
        <f t="shared" ref="X15:X19" si="43">+U15+V15-W15</f>
        <v>0</v>
      </c>
      <c r="Y15" s="4422"/>
      <c r="Z15" s="4438">
        <f t="shared" si="14"/>
        <v>40.903350495697481</v>
      </c>
      <c r="AA15" s="4438">
        <f t="shared" si="15"/>
        <v>2.045167524784874</v>
      </c>
      <c r="AB15" s="4438">
        <f t="shared" si="16"/>
        <v>0</v>
      </c>
      <c r="AC15" s="4438">
        <f t="shared" si="17"/>
        <v>42.948518020482354</v>
      </c>
      <c r="AD15" s="4438">
        <f t="shared" si="18"/>
        <v>0</v>
      </c>
      <c r="AE15" s="4438">
        <f t="shared" si="19"/>
        <v>0</v>
      </c>
      <c r="AF15" s="4438">
        <f t="shared" si="20"/>
        <v>0</v>
      </c>
      <c r="AG15" s="4438">
        <f t="shared" si="21"/>
        <v>0</v>
      </c>
      <c r="AH15" s="4438">
        <f t="shared" si="22"/>
        <v>0.51129188119621849</v>
      </c>
      <c r="AI15" s="4438">
        <f t="shared" si="23"/>
        <v>0</v>
      </c>
      <c r="AJ15" s="4438">
        <f t="shared" si="24"/>
        <v>0</v>
      </c>
      <c r="AK15" s="4438">
        <f t="shared" si="25"/>
        <v>0.51129188119621849</v>
      </c>
      <c r="AL15" s="4438">
        <f t="shared" si="26"/>
        <v>0</v>
      </c>
      <c r="AM15" s="4438">
        <f t="shared" si="27"/>
        <v>0</v>
      </c>
      <c r="AN15" s="4438">
        <f t="shared" si="28"/>
        <v>0</v>
      </c>
      <c r="AO15" s="4438">
        <f t="shared" si="29"/>
        <v>0</v>
      </c>
      <c r="AP15" s="4438">
        <f t="shared" si="30"/>
        <v>0</v>
      </c>
      <c r="AQ15" s="4438">
        <f t="shared" si="31"/>
        <v>0</v>
      </c>
      <c r="AR15" s="4438">
        <f t="shared" si="32"/>
        <v>0</v>
      </c>
      <c r="AS15" s="4438">
        <f t="shared" si="33"/>
        <v>0</v>
      </c>
    </row>
    <row r="16" spans="1:45">
      <c r="A16" s="2515"/>
      <c r="B16" s="2516">
        <v>20302</v>
      </c>
      <c r="C16" s="2522">
        <v>0.1</v>
      </c>
      <c r="D16" s="2523" t="s">
        <v>428</v>
      </c>
      <c r="E16" s="4646">
        <v>114</v>
      </c>
      <c r="F16" s="400">
        <v>23</v>
      </c>
      <c r="G16" s="400">
        <v>0</v>
      </c>
      <c r="H16" s="4387">
        <f t="shared" si="39"/>
        <v>137</v>
      </c>
      <c r="I16" s="4646">
        <v>0</v>
      </c>
      <c r="J16" s="400"/>
      <c r="K16" s="400"/>
      <c r="L16" s="4387">
        <f t="shared" si="40"/>
        <v>0</v>
      </c>
      <c r="M16" s="4646">
        <v>6</v>
      </c>
      <c r="N16" s="400"/>
      <c r="O16" s="400"/>
      <c r="P16" s="4387">
        <f t="shared" si="41"/>
        <v>6</v>
      </c>
      <c r="Q16" s="400"/>
      <c r="R16" s="400"/>
      <c r="S16" s="400"/>
      <c r="T16" s="4387">
        <f t="shared" si="42"/>
        <v>0</v>
      </c>
      <c r="U16" s="400"/>
      <c r="V16" s="400"/>
      <c r="W16" s="400"/>
      <c r="X16" s="4387">
        <f t="shared" si="43"/>
        <v>0</v>
      </c>
      <c r="Y16" s="4422"/>
      <c r="Z16" s="4438">
        <f t="shared" si="14"/>
        <v>58.287274456368905</v>
      </c>
      <c r="AA16" s="4438">
        <f t="shared" si="15"/>
        <v>11.759713267513025</v>
      </c>
      <c r="AB16" s="4438">
        <f t="shared" si="16"/>
        <v>0</v>
      </c>
      <c r="AC16" s="4438">
        <f t="shared" si="17"/>
        <v>70.046987723881941</v>
      </c>
      <c r="AD16" s="4438">
        <f t="shared" si="18"/>
        <v>0</v>
      </c>
      <c r="AE16" s="4438">
        <f t="shared" si="19"/>
        <v>0</v>
      </c>
      <c r="AF16" s="4438">
        <f t="shared" si="20"/>
        <v>0</v>
      </c>
      <c r="AG16" s="4438">
        <f t="shared" si="21"/>
        <v>0</v>
      </c>
      <c r="AH16" s="4438">
        <f t="shared" si="22"/>
        <v>3.0677512871773112</v>
      </c>
      <c r="AI16" s="4438">
        <f t="shared" si="23"/>
        <v>0</v>
      </c>
      <c r="AJ16" s="4438">
        <f t="shared" si="24"/>
        <v>0</v>
      </c>
      <c r="AK16" s="4438">
        <f t="shared" si="25"/>
        <v>3.0677512871773112</v>
      </c>
      <c r="AL16" s="4438">
        <f t="shared" si="26"/>
        <v>0</v>
      </c>
      <c r="AM16" s="4438">
        <f t="shared" si="27"/>
        <v>0</v>
      </c>
      <c r="AN16" s="4438">
        <f t="shared" si="28"/>
        <v>0</v>
      </c>
      <c r="AO16" s="4438">
        <f t="shared" si="29"/>
        <v>0</v>
      </c>
      <c r="AP16" s="4438">
        <f t="shared" si="30"/>
        <v>0</v>
      </c>
      <c r="AQ16" s="4438">
        <f t="shared" si="31"/>
        <v>0</v>
      </c>
      <c r="AR16" s="4438">
        <f t="shared" si="32"/>
        <v>0</v>
      </c>
      <c r="AS16" s="4438">
        <f t="shared" si="33"/>
        <v>0</v>
      </c>
    </row>
    <row r="17" spans="1:46" ht="24">
      <c r="A17" s="2515"/>
      <c r="B17" s="2516">
        <v>20303</v>
      </c>
      <c r="C17" s="2517">
        <v>0.1</v>
      </c>
      <c r="D17" s="2523" t="s">
        <v>406</v>
      </c>
      <c r="E17" s="4646">
        <v>3037</v>
      </c>
      <c r="F17" s="400">
        <v>801</v>
      </c>
      <c r="G17" s="400">
        <v>0</v>
      </c>
      <c r="H17" s="4387">
        <f t="shared" si="39"/>
        <v>3838</v>
      </c>
      <c r="I17" s="4646">
        <v>29</v>
      </c>
      <c r="J17" s="400"/>
      <c r="K17" s="400"/>
      <c r="L17" s="4387">
        <f t="shared" si="40"/>
        <v>29</v>
      </c>
      <c r="M17" s="4646">
        <v>57</v>
      </c>
      <c r="N17" s="400"/>
      <c r="O17" s="400"/>
      <c r="P17" s="4387">
        <f t="shared" si="41"/>
        <v>57</v>
      </c>
      <c r="Q17" s="400"/>
      <c r="R17" s="400"/>
      <c r="S17" s="400"/>
      <c r="T17" s="4387">
        <f t="shared" si="42"/>
        <v>0</v>
      </c>
      <c r="U17" s="400"/>
      <c r="V17" s="400"/>
      <c r="W17" s="400"/>
      <c r="X17" s="4387">
        <f t="shared" si="43"/>
        <v>0</v>
      </c>
      <c r="Y17" s="4422"/>
      <c r="Z17" s="4438">
        <f t="shared" si="14"/>
        <v>1552.7934431929157</v>
      </c>
      <c r="AA17" s="4438">
        <f t="shared" si="15"/>
        <v>409.54479683817101</v>
      </c>
      <c r="AB17" s="4438">
        <f t="shared" si="16"/>
        <v>0</v>
      </c>
      <c r="AC17" s="4438">
        <f t="shared" si="17"/>
        <v>1962.3382400310866</v>
      </c>
      <c r="AD17" s="4438">
        <f t="shared" si="18"/>
        <v>14.827464554690337</v>
      </c>
      <c r="AE17" s="4438">
        <f t="shared" si="19"/>
        <v>0</v>
      </c>
      <c r="AF17" s="4438">
        <f t="shared" si="20"/>
        <v>0</v>
      </c>
      <c r="AG17" s="4438">
        <f t="shared" si="21"/>
        <v>14.827464554690337</v>
      </c>
      <c r="AH17" s="4438">
        <f t="shared" si="22"/>
        <v>29.143637228184453</v>
      </c>
      <c r="AI17" s="4438">
        <f t="shared" si="23"/>
        <v>0</v>
      </c>
      <c r="AJ17" s="4438">
        <f t="shared" si="24"/>
        <v>0</v>
      </c>
      <c r="AK17" s="4438">
        <f t="shared" si="25"/>
        <v>29.143637228184453</v>
      </c>
      <c r="AL17" s="4438">
        <f t="shared" si="26"/>
        <v>0</v>
      </c>
      <c r="AM17" s="4438">
        <f t="shared" si="27"/>
        <v>0</v>
      </c>
      <c r="AN17" s="4438">
        <f t="shared" si="28"/>
        <v>0</v>
      </c>
      <c r="AO17" s="4438">
        <f t="shared" si="29"/>
        <v>0</v>
      </c>
      <c r="AP17" s="4438">
        <f t="shared" si="30"/>
        <v>0</v>
      </c>
      <c r="AQ17" s="4438">
        <f t="shared" si="31"/>
        <v>0</v>
      </c>
      <c r="AR17" s="4438">
        <f t="shared" si="32"/>
        <v>0</v>
      </c>
      <c r="AS17" s="4438">
        <f t="shared" si="33"/>
        <v>0</v>
      </c>
    </row>
    <row r="18" spans="1:46" ht="24">
      <c r="A18" s="2515"/>
      <c r="B18" s="2516">
        <v>20306</v>
      </c>
      <c r="C18" s="2517">
        <v>0.1</v>
      </c>
      <c r="D18" s="2523" t="s">
        <v>409</v>
      </c>
      <c r="E18" s="4646">
        <v>379</v>
      </c>
      <c r="F18" s="400">
        <v>38</v>
      </c>
      <c r="G18" s="400">
        <v>0</v>
      </c>
      <c r="H18" s="4387">
        <f t="shared" si="39"/>
        <v>417</v>
      </c>
      <c r="I18" s="4646">
        <v>5</v>
      </c>
      <c r="J18" s="400"/>
      <c r="K18" s="400"/>
      <c r="L18" s="4387">
        <f t="shared" si="40"/>
        <v>5</v>
      </c>
      <c r="M18" s="4646">
        <v>15</v>
      </c>
      <c r="N18" s="400"/>
      <c r="O18" s="400"/>
      <c r="P18" s="4387">
        <f t="shared" si="41"/>
        <v>15</v>
      </c>
      <c r="Q18" s="400"/>
      <c r="R18" s="400"/>
      <c r="S18" s="400"/>
      <c r="T18" s="4387">
        <f t="shared" si="42"/>
        <v>0</v>
      </c>
      <c r="U18" s="400"/>
      <c r="V18" s="400"/>
      <c r="W18" s="400"/>
      <c r="X18" s="4387">
        <f t="shared" si="43"/>
        <v>0</v>
      </c>
      <c r="Y18" s="4422"/>
      <c r="Z18" s="4438">
        <f t="shared" si="14"/>
        <v>193.7796229733668</v>
      </c>
      <c r="AA18" s="4438">
        <f t="shared" si="15"/>
        <v>19.429091485456304</v>
      </c>
      <c r="AB18" s="4438">
        <f t="shared" si="16"/>
        <v>0</v>
      </c>
      <c r="AC18" s="4438">
        <f t="shared" si="17"/>
        <v>213.20871445882312</v>
      </c>
      <c r="AD18" s="4438">
        <f t="shared" si="18"/>
        <v>2.5564594059810926</v>
      </c>
      <c r="AE18" s="4438">
        <f t="shared" si="19"/>
        <v>0</v>
      </c>
      <c r="AF18" s="4438">
        <f t="shared" si="20"/>
        <v>0</v>
      </c>
      <c r="AG18" s="4438">
        <f t="shared" si="21"/>
        <v>2.5564594059810926</v>
      </c>
      <c r="AH18" s="4438">
        <f t="shared" si="22"/>
        <v>7.6693782179432777</v>
      </c>
      <c r="AI18" s="4438">
        <f t="shared" si="23"/>
        <v>0</v>
      </c>
      <c r="AJ18" s="4438">
        <f t="shared" si="24"/>
        <v>0</v>
      </c>
      <c r="AK18" s="4438">
        <f t="shared" si="25"/>
        <v>7.6693782179432777</v>
      </c>
      <c r="AL18" s="4438">
        <f t="shared" si="26"/>
        <v>0</v>
      </c>
      <c r="AM18" s="4438">
        <f t="shared" si="27"/>
        <v>0</v>
      </c>
      <c r="AN18" s="4438">
        <f t="shared" si="28"/>
        <v>0</v>
      </c>
      <c r="AO18" s="4438">
        <f t="shared" si="29"/>
        <v>0</v>
      </c>
      <c r="AP18" s="4438">
        <f t="shared" si="30"/>
        <v>0</v>
      </c>
      <c r="AQ18" s="4438">
        <f t="shared" si="31"/>
        <v>0</v>
      </c>
      <c r="AR18" s="4438">
        <f t="shared" si="32"/>
        <v>0</v>
      </c>
      <c r="AS18" s="4438">
        <f t="shared" si="33"/>
        <v>0</v>
      </c>
    </row>
    <row r="19" spans="1:46">
      <c r="A19" s="2515">
        <v>4</v>
      </c>
      <c r="B19" s="2516">
        <v>20403</v>
      </c>
      <c r="C19" s="2522">
        <v>0.04</v>
      </c>
      <c r="D19" s="2525" t="s">
        <v>434</v>
      </c>
      <c r="E19" s="4647">
        <v>132</v>
      </c>
      <c r="F19" s="400"/>
      <c r="G19" s="400"/>
      <c r="H19" s="4387">
        <f t="shared" si="39"/>
        <v>132</v>
      </c>
      <c r="I19" s="4647">
        <v>1</v>
      </c>
      <c r="J19" s="400"/>
      <c r="K19" s="400"/>
      <c r="L19" s="4387">
        <f t="shared" si="40"/>
        <v>1</v>
      </c>
      <c r="M19" s="4647">
        <v>2</v>
      </c>
      <c r="N19" s="400"/>
      <c r="O19" s="400"/>
      <c r="P19" s="4387">
        <f t="shared" si="41"/>
        <v>2</v>
      </c>
      <c r="Q19" s="400"/>
      <c r="R19" s="400"/>
      <c r="S19" s="400"/>
      <c r="T19" s="4387">
        <f t="shared" si="42"/>
        <v>0</v>
      </c>
      <c r="U19" s="400"/>
      <c r="V19" s="400"/>
      <c r="W19" s="400"/>
      <c r="X19" s="4387">
        <f t="shared" si="43"/>
        <v>0</v>
      </c>
      <c r="Y19" s="4422"/>
      <c r="Z19" s="4438">
        <f t="shared" si="14"/>
        <v>67.490528317900839</v>
      </c>
      <c r="AA19" s="4438">
        <f t="shared" si="15"/>
        <v>0</v>
      </c>
      <c r="AB19" s="4438">
        <f t="shared" si="16"/>
        <v>0</v>
      </c>
      <c r="AC19" s="4438">
        <f t="shared" si="17"/>
        <v>67.490528317900839</v>
      </c>
      <c r="AD19" s="4438">
        <f t="shared" si="18"/>
        <v>0.51129188119621849</v>
      </c>
      <c r="AE19" s="4438">
        <f t="shared" si="19"/>
        <v>0</v>
      </c>
      <c r="AF19" s="4438">
        <f t="shared" si="20"/>
        <v>0</v>
      </c>
      <c r="AG19" s="4438">
        <f t="shared" si="21"/>
        <v>0.51129188119621849</v>
      </c>
      <c r="AH19" s="4438">
        <f t="shared" si="22"/>
        <v>1.022583762392437</v>
      </c>
      <c r="AI19" s="4438">
        <f t="shared" si="23"/>
        <v>0</v>
      </c>
      <c r="AJ19" s="4438">
        <f t="shared" si="24"/>
        <v>0</v>
      </c>
      <c r="AK19" s="4438">
        <f t="shared" si="25"/>
        <v>1.022583762392437</v>
      </c>
      <c r="AL19" s="4438">
        <f t="shared" si="26"/>
        <v>0</v>
      </c>
      <c r="AM19" s="4438">
        <f t="shared" si="27"/>
        <v>0</v>
      </c>
      <c r="AN19" s="4438">
        <f t="shared" si="28"/>
        <v>0</v>
      </c>
      <c r="AO19" s="4438">
        <f t="shared" si="29"/>
        <v>0</v>
      </c>
      <c r="AP19" s="4438">
        <f t="shared" si="30"/>
        <v>0</v>
      </c>
      <c r="AQ19" s="4438">
        <f t="shared" si="31"/>
        <v>0</v>
      </c>
      <c r="AR19" s="4438">
        <f t="shared" si="32"/>
        <v>0</v>
      </c>
      <c r="AS19" s="4438">
        <f t="shared" si="33"/>
        <v>0</v>
      </c>
    </row>
    <row r="20" spans="1:46">
      <c r="A20" s="2515">
        <v>5</v>
      </c>
      <c r="B20" s="2516">
        <v>205</v>
      </c>
      <c r="C20" s="2516"/>
      <c r="D20" s="2520" t="s">
        <v>212</v>
      </c>
      <c r="E20" s="2610">
        <f>SUM(E21:E24)</f>
        <v>4119</v>
      </c>
      <c r="F20" s="2610">
        <f t="shared" ref="F20:H20" si="44">SUM(F21:F24)</f>
        <v>0</v>
      </c>
      <c r="G20" s="2610">
        <f t="shared" si="44"/>
        <v>0</v>
      </c>
      <c r="H20" s="4059">
        <f t="shared" si="44"/>
        <v>4119</v>
      </c>
      <c r="I20" s="2610">
        <f>SUM(I21:I24)</f>
        <v>1266</v>
      </c>
      <c r="J20" s="2610">
        <f t="shared" ref="J20:L20" si="45">SUM(J21:J24)</f>
        <v>0</v>
      </c>
      <c r="K20" s="2610">
        <f t="shared" si="45"/>
        <v>0</v>
      </c>
      <c r="L20" s="4059">
        <f t="shared" si="45"/>
        <v>1266</v>
      </c>
      <c r="M20" s="2610">
        <f>SUM(M21:M24)</f>
        <v>199</v>
      </c>
      <c r="N20" s="2610">
        <f t="shared" ref="N20:P20" si="46">SUM(N21:N24)</f>
        <v>0</v>
      </c>
      <c r="O20" s="2610">
        <f t="shared" si="46"/>
        <v>0</v>
      </c>
      <c r="P20" s="4059">
        <f t="shared" si="46"/>
        <v>199</v>
      </c>
      <c r="Q20" s="2610">
        <f>SUM(Q21:Q24)</f>
        <v>0</v>
      </c>
      <c r="R20" s="2610">
        <f t="shared" ref="R20:T20" si="47">SUM(R21:R24)</f>
        <v>0</v>
      </c>
      <c r="S20" s="2610">
        <f t="shared" si="47"/>
        <v>0</v>
      </c>
      <c r="T20" s="4059">
        <f t="shared" si="47"/>
        <v>0</v>
      </c>
      <c r="U20" s="2610">
        <f>SUM(U21:U24)</f>
        <v>0</v>
      </c>
      <c r="V20" s="2610">
        <f t="shared" ref="V20:X20" si="48">SUM(V21:V24)</f>
        <v>0</v>
      </c>
      <c r="W20" s="2610">
        <f t="shared" si="48"/>
        <v>0</v>
      </c>
      <c r="X20" s="4059">
        <f t="shared" si="48"/>
        <v>0</v>
      </c>
      <c r="Y20" s="4422"/>
      <c r="Z20" s="4438">
        <f t="shared" si="14"/>
        <v>2106.0112586472242</v>
      </c>
      <c r="AA20" s="4438">
        <f t="shared" si="15"/>
        <v>0</v>
      </c>
      <c r="AB20" s="4438">
        <f t="shared" si="16"/>
        <v>0</v>
      </c>
      <c r="AC20" s="4438">
        <f t="shared" si="17"/>
        <v>2106.0112586472242</v>
      </c>
      <c r="AD20" s="4438">
        <f t="shared" si="18"/>
        <v>647.29552159441266</v>
      </c>
      <c r="AE20" s="4438">
        <f t="shared" si="19"/>
        <v>0</v>
      </c>
      <c r="AF20" s="4438">
        <f t="shared" si="20"/>
        <v>0</v>
      </c>
      <c r="AG20" s="4438">
        <f t="shared" si="21"/>
        <v>647.29552159441266</v>
      </c>
      <c r="AH20" s="4438">
        <f t="shared" si="22"/>
        <v>101.74708435804749</v>
      </c>
      <c r="AI20" s="4438">
        <f t="shared" si="23"/>
        <v>0</v>
      </c>
      <c r="AJ20" s="4438">
        <f t="shared" si="24"/>
        <v>0</v>
      </c>
      <c r="AK20" s="4438">
        <f t="shared" si="25"/>
        <v>101.74708435804749</v>
      </c>
      <c r="AL20" s="4438">
        <f t="shared" si="26"/>
        <v>0</v>
      </c>
      <c r="AM20" s="4438">
        <f t="shared" si="27"/>
        <v>0</v>
      </c>
      <c r="AN20" s="4438">
        <f t="shared" si="28"/>
        <v>0</v>
      </c>
      <c r="AO20" s="4438">
        <f t="shared" si="29"/>
        <v>0</v>
      </c>
      <c r="AP20" s="4438">
        <f t="shared" si="30"/>
        <v>0</v>
      </c>
      <c r="AQ20" s="4438">
        <f t="shared" si="31"/>
        <v>0</v>
      </c>
      <c r="AR20" s="4438">
        <f t="shared" si="32"/>
        <v>0</v>
      </c>
      <c r="AS20" s="4438">
        <f t="shared" si="33"/>
        <v>0</v>
      </c>
    </row>
    <row r="21" spans="1:46">
      <c r="A21" s="2526"/>
      <c r="B21" s="2527">
        <v>20501</v>
      </c>
      <c r="C21" s="2522">
        <v>0.08</v>
      </c>
      <c r="D21" s="2528" t="s">
        <v>410</v>
      </c>
      <c r="E21" s="400">
        <v>2187</v>
      </c>
      <c r="F21" s="400"/>
      <c r="G21" s="400"/>
      <c r="H21" s="4387">
        <f t="shared" ref="H21:H29" si="49">+E21+F21-G21</f>
        <v>2187</v>
      </c>
      <c r="I21" s="400">
        <v>1184</v>
      </c>
      <c r="J21" s="400"/>
      <c r="K21" s="400"/>
      <c r="L21" s="4387">
        <f t="shared" ref="L21:L29" si="50">+I21+J21-K21</f>
        <v>1184</v>
      </c>
      <c r="M21" s="400">
        <v>10</v>
      </c>
      <c r="N21" s="400"/>
      <c r="O21" s="400"/>
      <c r="P21" s="4387">
        <f t="shared" ref="P21:P29" si="51">+M21+N21-O21</f>
        <v>10</v>
      </c>
      <c r="Q21" s="400"/>
      <c r="R21" s="400"/>
      <c r="S21" s="400"/>
      <c r="T21" s="4387">
        <f t="shared" ref="T21:T29" si="52">+Q21+R21-S21</f>
        <v>0</v>
      </c>
      <c r="U21" s="400"/>
      <c r="V21" s="400"/>
      <c r="W21" s="400"/>
      <c r="X21" s="4387">
        <f t="shared" ref="X21:X29" si="53">+U21+V21-W21</f>
        <v>0</v>
      </c>
      <c r="Y21" s="4422"/>
      <c r="Z21" s="4438">
        <f t="shared" si="14"/>
        <v>1118.1953441761298</v>
      </c>
      <c r="AA21" s="4438">
        <f t="shared" si="15"/>
        <v>0</v>
      </c>
      <c r="AB21" s="4438">
        <f t="shared" si="16"/>
        <v>0</v>
      </c>
      <c r="AC21" s="4438">
        <f t="shared" si="17"/>
        <v>1118.1953441761298</v>
      </c>
      <c r="AD21" s="4438">
        <f t="shared" si="18"/>
        <v>605.36958733632275</v>
      </c>
      <c r="AE21" s="4438">
        <f t="shared" si="19"/>
        <v>0</v>
      </c>
      <c r="AF21" s="4438">
        <f t="shared" si="20"/>
        <v>0</v>
      </c>
      <c r="AG21" s="4438">
        <f t="shared" si="21"/>
        <v>605.36958733632275</v>
      </c>
      <c r="AH21" s="4438">
        <f t="shared" si="22"/>
        <v>5.1129188119621851</v>
      </c>
      <c r="AI21" s="4438">
        <f t="shared" si="23"/>
        <v>0</v>
      </c>
      <c r="AJ21" s="4438">
        <f t="shared" si="24"/>
        <v>0</v>
      </c>
      <c r="AK21" s="4438">
        <f t="shared" si="25"/>
        <v>5.1129188119621851</v>
      </c>
      <c r="AL21" s="4438">
        <f t="shared" si="26"/>
        <v>0</v>
      </c>
      <c r="AM21" s="4438">
        <f t="shared" si="27"/>
        <v>0</v>
      </c>
      <c r="AN21" s="4438">
        <f t="shared" si="28"/>
        <v>0</v>
      </c>
      <c r="AO21" s="4438">
        <f t="shared" si="29"/>
        <v>0</v>
      </c>
      <c r="AP21" s="4438">
        <f t="shared" si="30"/>
        <v>0</v>
      </c>
      <c r="AQ21" s="4438">
        <f t="shared" si="31"/>
        <v>0</v>
      </c>
      <c r="AR21" s="4438">
        <f t="shared" si="32"/>
        <v>0</v>
      </c>
      <c r="AS21" s="4438">
        <f t="shared" si="33"/>
        <v>0</v>
      </c>
    </row>
    <row r="22" spans="1:46">
      <c r="A22" s="2526"/>
      <c r="B22" s="2527">
        <v>20502</v>
      </c>
      <c r="C22" s="2522">
        <v>0.1</v>
      </c>
      <c r="D22" s="2528" t="s">
        <v>411</v>
      </c>
      <c r="E22" s="400">
        <v>1329</v>
      </c>
      <c r="F22" s="400"/>
      <c r="G22" s="400"/>
      <c r="H22" s="4387">
        <f t="shared" si="49"/>
        <v>1329</v>
      </c>
      <c r="I22" s="400">
        <v>29</v>
      </c>
      <c r="J22" s="400"/>
      <c r="K22" s="400"/>
      <c r="L22" s="4387">
        <f t="shared" si="50"/>
        <v>29</v>
      </c>
      <c r="M22" s="400">
        <v>67</v>
      </c>
      <c r="N22" s="400"/>
      <c r="O22" s="400"/>
      <c r="P22" s="4387">
        <f t="shared" si="51"/>
        <v>67</v>
      </c>
      <c r="Q22" s="400"/>
      <c r="R22" s="400"/>
      <c r="S22" s="400"/>
      <c r="T22" s="4387">
        <f t="shared" si="52"/>
        <v>0</v>
      </c>
      <c r="U22" s="400"/>
      <c r="V22" s="400"/>
      <c r="W22" s="400"/>
      <c r="X22" s="4387">
        <f t="shared" si="53"/>
        <v>0</v>
      </c>
      <c r="Y22" s="4422"/>
      <c r="Z22" s="4438">
        <f t="shared" si="14"/>
        <v>679.50691010977437</v>
      </c>
      <c r="AA22" s="4438">
        <f t="shared" si="15"/>
        <v>0</v>
      </c>
      <c r="AB22" s="4438">
        <f t="shared" si="16"/>
        <v>0</v>
      </c>
      <c r="AC22" s="4438">
        <f t="shared" si="17"/>
        <v>679.50691010977437</v>
      </c>
      <c r="AD22" s="4438">
        <f t="shared" si="18"/>
        <v>14.827464554690337</v>
      </c>
      <c r="AE22" s="4438">
        <f t="shared" si="19"/>
        <v>0</v>
      </c>
      <c r="AF22" s="4438">
        <f t="shared" si="20"/>
        <v>0</v>
      </c>
      <c r="AG22" s="4438">
        <f t="shared" si="21"/>
        <v>14.827464554690337</v>
      </c>
      <c r="AH22" s="4438">
        <f t="shared" si="22"/>
        <v>34.256556040146641</v>
      </c>
      <c r="AI22" s="4438">
        <f t="shared" si="23"/>
        <v>0</v>
      </c>
      <c r="AJ22" s="4438">
        <f t="shared" si="24"/>
        <v>0</v>
      </c>
      <c r="AK22" s="4438">
        <f t="shared" si="25"/>
        <v>34.256556040146641</v>
      </c>
      <c r="AL22" s="4438">
        <f t="shared" si="26"/>
        <v>0</v>
      </c>
      <c r="AM22" s="4438">
        <f t="shared" si="27"/>
        <v>0</v>
      </c>
      <c r="AN22" s="4438">
        <f t="shared" si="28"/>
        <v>0</v>
      </c>
      <c r="AO22" s="4438">
        <f t="shared" si="29"/>
        <v>0</v>
      </c>
      <c r="AP22" s="4438">
        <f t="shared" si="30"/>
        <v>0</v>
      </c>
      <c r="AQ22" s="4438">
        <f t="shared" si="31"/>
        <v>0</v>
      </c>
      <c r="AR22" s="4438">
        <f t="shared" si="32"/>
        <v>0</v>
      </c>
      <c r="AS22" s="4438">
        <f t="shared" si="33"/>
        <v>0</v>
      </c>
    </row>
    <row r="23" spans="1:46">
      <c r="A23" s="2526"/>
      <c r="B23" s="2527">
        <v>20503</v>
      </c>
      <c r="C23" s="2522">
        <v>0.1</v>
      </c>
      <c r="D23" s="2523" t="s">
        <v>412</v>
      </c>
      <c r="E23" s="400">
        <v>587</v>
      </c>
      <c r="F23" s="400"/>
      <c r="G23" s="400"/>
      <c r="H23" s="4387">
        <f t="shared" si="49"/>
        <v>587</v>
      </c>
      <c r="I23" s="400">
        <v>53</v>
      </c>
      <c r="J23" s="400"/>
      <c r="K23" s="400"/>
      <c r="L23" s="4387">
        <f t="shared" si="50"/>
        <v>53</v>
      </c>
      <c r="M23" s="400">
        <v>122</v>
      </c>
      <c r="N23" s="400"/>
      <c r="O23" s="400"/>
      <c r="P23" s="4387">
        <f t="shared" si="51"/>
        <v>122</v>
      </c>
      <c r="Q23" s="400"/>
      <c r="R23" s="400"/>
      <c r="S23" s="400"/>
      <c r="T23" s="4387">
        <f t="shared" si="52"/>
        <v>0</v>
      </c>
      <c r="U23" s="400"/>
      <c r="V23" s="400"/>
      <c r="W23" s="400"/>
      <c r="X23" s="4387">
        <f t="shared" si="53"/>
        <v>0</v>
      </c>
      <c r="Y23" s="4422"/>
      <c r="Z23" s="4438">
        <f t="shared" si="14"/>
        <v>300.12833426218026</v>
      </c>
      <c r="AA23" s="4438">
        <f t="shared" si="15"/>
        <v>0</v>
      </c>
      <c r="AB23" s="4438">
        <f t="shared" si="16"/>
        <v>0</v>
      </c>
      <c r="AC23" s="4438">
        <f t="shared" si="17"/>
        <v>300.12833426218026</v>
      </c>
      <c r="AD23" s="4438">
        <f t="shared" si="18"/>
        <v>27.09846970339958</v>
      </c>
      <c r="AE23" s="4438">
        <f t="shared" si="19"/>
        <v>0</v>
      </c>
      <c r="AF23" s="4438">
        <f t="shared" si="20"/>
        <v>0</v>
      </c>
      <c r="AG23" s="4438">
        <f t="shared" si="21"/>
        <v>27.09846970339958</v>
      </c>
      <c r="AH23" s="4438">
        <f t="shared" si="22"/>
        <v>62.377609505938658</v>
      </c>
      <c r="AI23" s="4438">
        <f t="shared" si="23"/>
        <v>0</v>
      </c>
      <c r="AJ23" s="4438">
        <f t="shared" si="24"/>
        <v>0</v>
      </c>
      <c r="AK23" s="4438">
        <f t="shared" si="25"/>
        <v>62.377609505938658</v>
      </c>
      <c r="AL23" s="4438">
        <f t="shared" si="26"/>
        <v>0</v>
      </c>
      <c r="AM23" s="4438">
        <f t="shared" si="27"/>
        <v>0</v>
      </c>
      <c r="AN23" s="4438">
        <f t="shared" si="28"/>
        <v>0</v>
      </c>
      <c r="AO23" s="4438">
        <f t="shared" si="29"/>
        <v>0</v>
      </c>
      <c r="AP23" s="4438">
        <f t="shared" si="30"/>
        <v>0</v>
      </c>
      <c r="AQ23" s="4438">
        <f t="shared" si="31"/>
        <v>0</v>
      </c>
      <c r="AR23" s="4438">
        <f t="shared" si="32"/>
        <v>0</v>
      </c>
      <c r="AS23" s="4438">
        <f t="shared" si="33"/>
        <v>0</v>
      </c>
    </row>
    <row r="24" spans="1:46" ht="24">
      <c r="A24" s="2526"/>
      <c r="B24" s="2527">
        <v>20504</v>
      </c>
      <c r="C24" s="2522">
        <v>0.1</v>
      </c>
      <c r="D24" s="2523" t="s">
        <v>557</v>
      </c>
      <c r="E24" s="400">
        <v>16</v>
      </c>
      <c r="F24" s="400"/>
      <c r="G24" s="400"/>
      <c r="H24" s="4387">
        <f t="shared" si="49"/>
        <v>16</v>
      </c>
      <c r="I24" s="400">
        <v>0</v>
      </c>
      <c r="J24" s="400"/>
      <c r="K24" s="400"/>
      <c r="L24" s="4387">
        <f t="shared" si="50"/>
        <v>0</v>
      </c>
      <c r="M24" s="400">
        <v>0</v>
      </c>
      <c r="N24" s="400"/>
      <c r="O24" s="400"/>
      <c r="P24" s="4387">
        <f t="shared" si="51"/>
        <v>0</v>
      </c>
      <c r="Q24" s="400"/>
      <c r="R24" s="400"/>
      <c r="S24" s="400"/>
      <c r="T24" s="4387">
        <f t="shared" si="52"/>
        <v>0</v>
      </c>
      <c r="U24" s="400"/>
      <c r="V24" s="400"/>
      <c r="W24" s="400"/>
      <c r="X24" s="4387">
        <f t="shared" si="53"/>
        <v>0</v>
      </c>
      <c r="Y24" s="4422"/>
      <c r="Z24" s="4438">
        <f t="shared" si="14"/>
        <v>8.1806700991394958</v>
      </c>
      <c r="AA24" s="4438">
        <f t="shared" si="15"/>
        <v>0</v>
      </c>
      <c r="AB24" s="4438">
        <f t="shared" si="16"/>
        <v>0</v>
      </c>
      <c r="AC24" s="4438">
        <f t="shared" si="17"/>
        <v>8.1806700991394958</v>
      </c>
      <c r="AD24" s="4438">
        <f t="shared" si="18"/>
        <v>0</v>
      </c>
      <c r="AE24" s="4438">
        <f t="shared" si="19"/>
        <v>0</v>
      </c>
      <c r="AF24" s="4438">
        <f t="shared" si="20"/>
        <v>0</v>
      </c>
      <c r="AG24" s="4438">
        <f t="shared" si="21"/>
        <v>0</v>
      </c>
      <c r="AH24" s="4438">
        <f t="shared" si="22"/>
        <v>0</v>
      </c>
      <c r="AI24" s="4438">
        <f t="shared" si="23"/>
        <v>0</v>
      </c>
      <c r="AJ24" s="4438">
        <f t="shared" si="24"/>
        <v>0</v>
      </c>
      <c r="AK24" s="4438">
        <f t="shared" si="25"/>
        <v>0</v>
      </c>
      <c r="AL24" s="4438">
        <f t="shared" si="26"/>
        <v>0</v>
      </c>
      <c r="AM24" s="4438">
        <f t="shared" si="27"/>
        <v>0</v>
      </c>
      <c r="AN24" s="4438">
        <f t="shared" si="28"/>
        <v>0</v>
      </c>
      <c r="AO24" s="4438">
        <f t="shared" si="29"/>
        <v>0</v>
      </c>
      <c r="AP24" s="4438">
        <f t="shared" si="30"/>
        <v>0</v>
      </c>
      <c r="AQ24" s="4438">
        <f t="shared" si="31"/>
        <v>0</v>
      </c>
      <c r="AR24" s="4438">
        <f t="shared" si="32"/>
        <v>0</v>
      </c>
      <c r="AS24" s="4438">
        <f t="shared" si="33"/>
        <v>0</v>
      </c>
    </row>
    <row r="25" spans="1:46">
      <c r="A25" s="2526">
        <v>6</v>
      </c>
      <c r="B25" s="2527">
        <v>208</v>
      </c>
      <c r="C25" s="2522">
        <v>0.2</v>
      </c>
      <c r="D25" s="2529" t="s">
        <v>413</v>
      </c>
      <c r="E25" s="400">
        <v>178</v>
      </c>
      <c r="F25" s="400">
        <v>16</v>
      </c>
      <c r="G25" s="400">
        <v>0</v>
      </c>
      <c r="H25" s="4387">
        <f t="shared" si="49"/>
        <v>194</v>
      </c>
      <c r="I25" s="400">
        <v>66</v>
      </c>
      <c r="J25" s="4633">
        <v>4</v>
      </c>
      <c r="K25" s="400"/>
      <c r="L25" s="4387">
        <f t="shared" si="50"/>
        <v>70</v>
      </c>
      <c r="M25" s="400">
        <v>124</v>
      </c>
      <c r="N25" s="400">
        <v>8</v>
      </c>
      <c r="O25" s="400"/>
      <c r="P25" s="4387">
        <f t="shared" si="51"/>
        <v>132</v>
      </c>
      <c r="Q25" s="400"/>
      <c r="R25" s="400"/>
      <c r="S25" s="400"/>
      <c r="T25" s="4387">
        <f t="shared" si="52"/>
        <v>0</v>
      </c>
      <c r="U25" s="400"/>
      <c r="V25" s="400"/>
      <c r="W25" s="400"/>
      <c r="X25" s="4387">
        <f t="shared" si="53"/>
        <v>0</v>
      </c>
      <c r="Y25" s="4422"/>
      <c r="Z25" s="4438">
        <f t="shared" si="14"/>
        <v>91.009954852926896</v>
      </c>
      <c r="AA25" s="4438">
        <f t="shared" si="15"/>
        <v>8.1806700991394958</v>
      </c>
      <c r="AB25" s="4438">
        <f t="shared" si="16"/>
        <v>0</v>
      </c>
      <c r="AC25" s="4438">
        <f t="shared" si="17"/>
        <v>99.190624952066386</v>
      </c>
      <c r="AD25" s="4438">
        <f t="shared" si="18"/>
        <v>33.74526415895042</v>
      </c>
      <c r="AE25" s="4438">
        <f t="shared" si="19"/>
        <v>2.045167524784874</v>
      </c>
      <c r="AF25" s="4438">
        <f t="shared" si="20"/>
        <v>0</v>
      </c>
      <c r="AG25" s="4438">
        <f t="shared" si="21"/>
        <v>35.790431683735292</v>
      </c>
      <c r="AH25" s="4438">
        <f t="shared" si="22"/>
        <v>63.400193268331094</v>
      </c>
      <c r="AI25" s="4438">
        <f t="shared" si="23"/>
        <v>4.0903350495697479</v>
      </c>
      <c r="AJ25" s="4438">
        <f t="shared" si="24"/>
        <v>0</v>
      </c>
      <c r="AK25" s="4438">
        <f t="shared" si="25"/>
        <v>67.490528317900839</v>
      </c>
      <c r="AL25" s="4438">
        <f t="shared" si="26"/>
        <v>0</v>
      </c>
      <c r="AM25" s="4438">
        <f t="shared" si="27"/>
        <v>0</v>
      </c>
      <c r="AN25" s="4438">
        <f t="shared" si="28"/>
        <v>0</v>
      </c>
      <c r="AO25" s="4438">
        <f t="shared" si="29"/>
        <v>0</v>
      </c>
      <c r="AP25" s="4438">
        <f t="shared" si="30"/>
        <v>0</v>
      </c>
      <c r="AQ25" s="4438">
        <f t="shared" si="31"/>
        <v>0</v>
      </c>
      <c r="AR25" s="4438">
        <f t="shared" si="32"/>
        <v>0</v>
      </c>
      <c r="AS25" s="4438">
        <f t="shared" si="33"/>
        <v>0</v>
      </c>
    </row>
    <row r="26" spans="1:46">
      <c r="A26" s="2526">
        <v>7</v>
      </c>
      <c r="B26" s="2530">
        <v>20601</v>
      </c>
      <c r="C26" s="2522">
        <v>0.1</v>
      </c>
      <c r="D26" s="2529" t="s">
        <v>564</v>
      </c>
      <c r="E26" s="400">
        <v>52</v>
      </c>
      <c r="F26" s="400">
        <v>7</v>
      </c>
      <c r="G26" s="400">
        <v>0</v>
      </c>
      <c r="H26" s="4387">
        <f t="shared" si="49"/>
        <v>59</v>
      </c>
      <c r="I26" s="400">
        <v>10</v>
      </c>
      <c r="J26" s="4633">
        <v>2</v>
      </c>
      <c r="K26" s="400"/>
      <c r="L26" s="4387">
        <f t="shared" si="50"/>
        <v>12</v>
      </c>
      <c r="M26" s="400">
        <v>27</v>
      </c>
      <c r="N26" s="400">
        <v>5</v>
      </c>
      <c r="O26" s="400"/>
      <c r="P26" s="4387">
        <f t="shared" si="51"/>
        <v>32</v>
      </c>
      <c r="Q26" s="400"/>
      <c r="R26" s="400"/>
      <c r="S26" s="400"/>
      <c r="T26" s="4387">
        <f t="shared" si="52"/>
        <v>0</v>
      </c>
      <c r="U26" s="400"/>
      <c r="V26" s="400"/>
      <c r="W26" s="400"/>
      <c r="X26" s="4387">
        <f t="shared" si="53"/>
        <v>0</v>
      </c>
      <c r="Y26" s="4422"/>
      <c r="Z26" s="4438">
        <f t="shared" si="14"/>
        <v>26.587177822203362</v>
      </c>
      <c r="AA26" s="4438">
        <f t="shared" si="15"/>
        <v>3.5790431683735293</v>
      </c>
      <c r="AB26" s="4438">
        <f t="shared" si="16"/>
        <v>0</v>
      </c>
      <c r="AC26" s="4438">
        <f t="shared" si="17"/>
        <v>30.166220990576893</v>
      </c>
      <c r="AD26" s="4438">
        <f t="shared" si="18"/>
        <v>5.1129188119621851</v>
      </c>
      <c r="AE26" s="4438">
        <f t="shared" si="19"/>
        <v>1.022583762392437</v>
      </c>
      <c r="AF26" s="4438">
        <f t="shared" si="20"/>
        <v>0</v>
      </c>
      <c r="AG26" s="4438">
        <f t="shared" si="21"/>
        <v>6.1355025743546223</v>
      </c>
      <c r="AH26" s="4438">
        <f t="shared" si="22"/>
        <v>13.804880792297899</v>
      </c>
      <c r="AI26" s="4438">
        <f t="shared" si="23"/>
        <v>2.5564594059810926</v>
      </c>
      <c r="AJ26" s="4438">
        <f t="shared" si="24"/>
        <v>0</v>
      </c>
      <c r="AK26" s="4438">
        <f t="shared" si="25"/>
        <v>16.361340198278992</v>
      </c>
      <c r="AL26" s="4438">
        <f t="shared" si="26"/>
        <v>0</v>
      </c>
      <c r="AM26" s="4438">
        <f t="shared" si="27"/>
        <v>0</v>
      </c>
      <c r="AN26" s="4438">
        <f t="shared" si="28"/>
        <v>0</v>
      </c>
      <c r="AO26" s="4438">
        <f t="shared" si="29"/>
        <v>0</v>
      </c>
      <c r="AP26" s="4438">
        <f t="shared" si="30"/>
        <v>0</v>
      </c>
      <c r="AQ26" s="4438">
        <f t="shared" si="31"/>
        <v>0</v>
      </c>
      <c r="AR26" s="4438">
        <f t="shared" si="32"/>
        <v>0</v>
      </c>
      <c r="AS26" s="4438">
        <f t="shared" si="33"/>
        <v>0</v>
      </c>
    </row>
    <row r="27" spans="1:46">
      <c r="A27" s="2531">
        <v>8</v>
      </c>
      <c r="B27" s="2530">
        <v>20602</v>
      </c>
      <c r="C27" s="2522">
        <v>0.1</v>
      </c>
      <c r="D27" s="2529" t="s">
        <v>435</v>
      </c>
      <c r="E27" s="400">
        <v>74</v>
      </c>
      <c r="F27" s="400">
        <v>27</v>
      </c>
      <c r="G27" s="400">
        <v>0</v>
      </c>
      <c r="H27" s="4387">
        <f t="shared" si="49"/>
        <v>101</v>
      </c>
      <c r="I27" s="400">
        <v>42</v>
      </c>
      <c r="J27" s="173">
        <v>5</v>
      </c>
      <c r="K27" s="400"/>
      <c r="L27" s="4387">
        <f t="shared" si="50"/>
        <v>47</v>
      </c>
      <c r="M27" s="400">
        <v>89</v>
      </c>
      <c r="N27" s="400">
        <v>13</v>
      </c>
      <c r="O27" s="400"/>
      <c r="P27" s="4387">
        <f t="shared" si="51"/>
        <v>102</v>
      </c>
      <c r="Q27" s="400"/>
      <c r="R27" s="400"/>
      <c r="S27" s="400"/>
      <c r="T27" s="4387">
        <f t="shared" si="52"/>
        <v>0</v>
      </c>
      <c r="U27" s="400"/>
      <c r="V27" s="400"/>
      <c r="W27" s="400"/>
      <c r="X27" s="4387">
        <f t="shared" si="53"/>
        <v>0</v>
      </c>
      <c r="Y27" s="4422"/>
      <c r="Z27" s="4438">
        <f t="shared" si="14"/>
        <v>37.835599208520172</v>
      </c>
      <c r="AA27" s="4438">
        <f t="shared" si="15"/>
        <v>13.804880792297899</v>
      </c>
      <c r="AB27" s="4438">
        <f t="shared" si="16"/>
        <v>0</v>
      </c>
      <c r="AC27" s="4438">
        <f t="shared" si="17"/>
        <v>51.640480000818066</v>
      </c>
      <c r="AD27" s="4438">
        <f t="shared" si="18"/>
        <v>21.474259010241177</v>
      </c>
      <c r="AE27" s="4438">
        <f t="shared" si="19"/>
        <v>2.5564594059810926</v>
      </c>
      <c r="AF27" s="4438">
        <f t="shared" si="20"/>
        <v>0</v>
      </c>
      <c r="AG27" s="4438">
        <f t="shared" si="21"/>
        <v>24.030718416222268</v>
      </c>
      <c r="AH27" s="4438">
        <f t="shared" si="22"/>
        <v>45.504977426463448</v>
      </c>
      <c r="AI27" s="4438">
        <f t="shared" si="23"/>
        <v>6.6467944555508405</v>
      </c>
      <c r="AJ27" s="4438">
        <f t="shared" si="24"/>
        <v>0</v>
      </c>
      <c r="AK27" s="4438">
        <f t="shared" si="25"/>
        <v>52.151771882014287</v>
      </c>
      <c r="AL27" s="4438">
        <f t="shared" si="26"/>
        <v>0</v>
      </c>
      <c r="AM27" s="4438">
        <f t="shared" si="27"/>
        <v>0</v>
      </c>
      <c r="AN27" s="4438">
        <f t="shared" si="28"/>
        <v>0</v>
      </c>
      <c r="AO27" s="4438">
        <f t="shared" si="29"/>
        <v>0</v>
      </c>
      <c r="AP27" s="4438">
        <f t="shared" si="30"/>
        <v>0</v>
      </c>
      <c r="AQ27" s="4438">
        <f t="shared" si="31"/>
        <v>0</v>
      </c>
      <c r="AR27" s="4438">
        <f t="shared" si="32"/>
        <v>0</v>
      </c>
      <c r="AS27" s="4438">
        <f t="shared" si="33"/>
        <v>0</v>
      </c>
    </row>
    <row r="28" spans="1:46">
      <c r="A28" s="2531">
        <v>9</v>
      </c>
      <c r="B28" s="2527">
        <v>20603</v>
      </c>
      <c r="C28" s="2522">
        <v>0.5</v>
      </c>
      <c r="D28" s="2529" t="s">
        <v>1015</v>
      </c>
      <c r="E28" s="400">
        <v>4</v>
      </c>
      <c r="F28" s="400"/>
      <c r="G28" s="400"/>
      <c r="H28" s="4387">
        <f t="shared" si="49"/>
        <v>4</v>
      </c>
      <c r="I28" s="400">
        <v>2</v>
      </c>
      <c r="J28" s="400"/>
      <c r="K28" s="400"/>
      <c r="L28" s="4387">
        <f t="shared" si="50"/>
        <v>2</v>
      </c>
      <c r="M28" s="400">
        <v>5</v>
      </c>
      <c r="N28" s="400"/>
      <c r="O28" s="400"/>
      <c r="P28" s="4387">
        <f t="shared" si="51"/>
        <v>5</v>
      </c>
      <c r="Q28" s="400"/>
      <c r="R28" s="400"/>
      <c r="S28" s="400"/>
      <c r="T28" s="4387">
        <f t="shared" si="52"/>
        <v>0</v>
      </c>
      <c r="U28" s="400"/>
      <c r="V28" s="400"/>
      <c r="W28" s="400"/>
      <c r="X28" s="4387">
        <f t="shared" si="53"/>
        <v>0</v>
      </c>
      <c r="Y28" s="4422"/>
      <c r="Z28" s="4438">
        <f t="shared" si="14"/>
        <v>2.045167524784874</v>
      </c>
      <c r="AA28" s="4438">
        <f t="shared" si="15"/>
        <v>0</v>
      </c>
      <c r="AB28" s="4438">
        <f t="shared" si="16"/>
        <v>0</v>
      </c>
      <c r="AC28" s="4438">
        <f t="shared" si="17"/>
        <v>2.045167524784874</v>
      </c>
      <c r="AD28" s="4438">
        <f t="shared" si="18"/>
        <v>1.022583762392437</v>
      </c>
      <c r="AE28" s="4438">
        <f t="shared" si="19"/>
        <v>0</v>
      </c>
      <c r="AF28" s="4438">
        <f t="shared" si="20"/>
        <v>0</v>
      </c>
      <c r="AG28" s="4438">
        <f t="shared" si="21"/>
        <v>1.022583762392437</v>
      </c>
      <c r="AH28" s="4438">
        <f t="shared" si="22"/>
        <v>2.5564594059810926</v>
      </c>
      <c r="AI28" s="4438">
        <f t="shared" si="23"/>
        <v>0</v>
      </c>
      <c r="AJ28" s="4438">
        <f t="shared" si="24"/>
        <v>0</v>
      </c>
      <c r="AK28" s="4438">
        <f t="shared" si="25"/>
        <v>2.5564594059810926</v>
      </c>
      <c r="AL28" s="4438">
        <f t="shared" si="26"/>
        <v>0</v>
      </c>
      <c r="AM28" s="4438">
        <f t="shared" si="27"/>
        <v>0</v>
      </c>
      <c r="AN28" s="4438">
        <f t="shared" si="28"/>
        <v>0</v>
      </c>
      <c r="AO28" s="4438">
        <f t="shared" si="29"/>
        <v>0</v>
      </c>
      <c r="AP28" s="4438">
        <f t="shared" si="30"/>
        <v>0</v>
      </c>
      <c r="AQ28" s="4438">
        <f t="shared" si="31"/>
        <v>0</v>
      </c>
      <c r="AR28" s="4438">
        <f t="shared" si="32"/>
        <v>0</v>
      </c>
      <c r="AS28" s="4438">
        <f t="shared" si="33"/>
        <v>0</v>
      </c>
    </row>
    <row r="29" spans="1:46">
      <c r="A29" s="2531">
        <v>10</v>
      </c>
      <c r="B29" s="2527">
        <v>209</v>
      </c>
      <c r="C29" s="2522">
        <v>0.1</v>
      </c>
      <c r="D29" s="2529" t="s">
        <v>213</v>
      </c>
      <c r="E29" s="400">
        <v>1</v>
      </c>
      <c r="F29" s="400"/>
      <c r="G29" s="400"/>
      <c r="H29" s="4387">
        <f t="shared" si="49"/>
        <v>1</v>
      </c>
      <c r="I29" s="400">
        <v>0</v>
      </c>
      <c r="J29" s="400"/>
      <c r="K29" s="400"/>
      <c r="L29" s="4387">
        <f t="shared" si="50"/>
        <v>0</v>
      </c>
      <c r="M29" s="400">
        <v>1</v>
      </c>
      <c r="N29" s="400"/>
      <c r="O29" s="400"/>
      <c r="P29" s="4387">
        <f t="shared" si="51"/>
        <v>1</v>
      </c>
      <c r="Q29" s="400"/>
      <c r="R29" s="400"/>
      <c r="S29" s="400"/>
      <c r="T29" s="4387">
        <f t="shared" si="52"/>
        <v>0</v>
      </c>
      <c r="U29" s="400"/>
      <c r="V29" s="400"/>
      <c r="W29" s="400"/>
      <c r="X29" s="4387">
        <f t="shared" si="53"/>
        <v>0</v>
      </c>
      <c r="Y29" s="4422"/>
      <c r="Z29" s="4438">
        <f t="shared" si="14"/>
        <v>0.51129188119621849</v>
      </c>
      <c r="AA29" s="4438">
        <f t="shared" si="15"/>
        <v>0</v>
      </c>
      <c r="AB29" s="4438">
        <f t="shared" si="16"/>
        <v>0</v>
      </c>
      <c r="AC29" s="4438">
        <f t="shared" si="17"/>
        <v>0.51129188119621849</v>
      </c>
      <c r="AD29" s="4438">
        <f t="shared" si="18"/>
        <v>0</v>
      </c>
      <c r="AE29" s="4438">
        <f t="shared" si="19"/>
        <v>0</v>
      </c>
      <c r="AF29" s="4438">
        <f t="shared" si="20"/>
        <v>0</v>
      </c>
      <c r="AG29" s="4438">
        <f t="shared" si="21"/>
        <v>0</v>
      </c>
      <c r="AH29" s="4438">
        <f t="shared" si="22"/>
        <v>0.51129188119621849</v>
      </c>
      <c r="AI29" s="4438">
        <f t="shared" si="23"/>
        <v>0</v>
      </c>
      <c r="AJ29" s="4438">
        <f t="shared" si="24"/>
        <v>0</v>
      </c>
      <c r="AK29" s="4438">
        <f t="shared" si="25"/>
        <v>0.51129188119621849</v>
      </c>
      <c r="AL29" s="4438">
        <f t="shared" si="26"/>
        <v>0</v>
      </c>
      <c r="AM29" s="4438">
        <f t="shared" si="27"/>
        <v>0</v>
      </c>
      <c r="AN29" s="4438">
        <f t="shared" si="28"/>
        <v>0</v>
      </c>
      <c r="AO29" s="4438">
        <f t="shared" si="29"/>
        <v>0</v>
      </c>
      <c r="AP29" s="4438">
        <f t="shared" si="30"/>
        <v>0</v>
      </c>
      <c r="AQ29" s="4438">
        <f t="shared" si="31"/>
        <v>0</v>
      </c>
      <c r="AR29" s="4438">
        <f t="shared" si="32"/>
        <v>0</v>
      </c>
      <c r="AS29" s="4438">
        <f t="shared" si="33"/>
        <v>0</v>
      </c>
    </row>
    <row r="30" spans="1:46" ht="36">
      <c r="A30" s="2527">
        <v>11</v>
      </c>
      <c r="B30" s="2527">
        <v>207</v>
      </c>
      <c r="C30" s="2527" t="s">
        <v>313</v>
      </c>
      <c r="D30" s="2529" t="s">
        <v>414</v>
      </c>
      <c r="E30" s="400">
        <v>1035</v>
      </c>
      <c r="F30" s="4387">
        <f t="shared" ref="F30:G30" si="54">SUM(F31:F32)</f>
        <v>547</v>
      </c>
      <c r="G30" s="4387">
        <f t="shared" si="54"/>
        <v>0</v>
      </c>
      <c r="H30" s="4387">
        <f>+E30+F30-G30</f>
        <v>1582</v>
      </c>
      <c r="I30" s="400">
        <v>28</v>
      </c>
      <c r="J30" s="4387">
        <f t="shared" ref="J30" si="55">SUM(J31:J32)</f>
        <v>135</v>
      </c>
      <c r="K30" s="4387">
        <f t="shared" ref="K30" si="56">SUM(K31:K32)</f>
        <v>0</v>
      </c>
      <c r="L30" s="4387">
        <f>+I30+J30-K30</f>
        <v>163</v>
      </c>
      <c r="M30" s="400">
        <v>34</v>
      </c>
      <c r="N30" s="4387">
        <f t="shared" ref="N30" si="57">SUM(N31:N32)</f>
        <v>211</v>
      </c>
      <c r="O30" s="4387">
        <f t="shared" ref="O30" si="58">SUM(O31:O32)</f>
        <v>0</v>
      </c>
      <c r="P30" s="4387">
        <f>+M30+N30-O30</f>
        <v>245</v>
      </c>
      <c r="Q30" s="400"/>
      <c r="R30" s="4387">
        <f t="shared" ref="R30" si="59">SUM(R31:R32)</f>
        <v>0</v>
      </c>
      <c r="S30" s="4387">
        <f t="shared" ref="S30" si="60">SUM(S31:S32)</f>
        <v>0</v>
      </c>
      <c r="T30" s="4387">
        <f>+Q30+R30-S30</f>
        <v>0</v>
      </c>
      <c r="U30" s="400"/>
      <c r="V30" s="4387">
        <f t="shared" ref="V30" si="61">SUM(V31:V32)</f>
        <v>0</v>
      </c>
      <c r="W30" s="4387">
        <f t="shared" ref="W30" si="62">SUM(W31:W32)</f>
        <v>0</v>
      </c>
      <c r="X30" s="4387">
        <f>+U30+V30-W30</f>
        <v>0</v>
      </c>
      <c r="Y30" s="4422"/>
      <c r="Z30" s="4438">
        <f t="shared" si="14"/>
        <v>529.18709703808611</v>
      </c>
      <c r="AA30" s="4438">
        <f t="shared" si="15"/>
        <v>279.67665901433151</v>
      </c>
      <c r="AB30" s="4438">
        <f t="shared" si="16"/>
        <v>0</v>
      </c>
      <c r="AC30" s="4438">
        <f t="shared" si="17"/>
        <v>808.86375605241767</v>
      </c>
      <c r="AD30" s="4438">
        <f t="shared" si="18"/>
        <v>14.316172673494117</v>
      </c>
      <c r="AE30" s="4438">
        <f t="shared" si="19"/>
        <v>69.024403961489497</v>
      </c>
      <c r="AF30" s="4438">
        <f t="shared" si="20"/>
        <v>0</v>
      </c>
      <c r="AG30" s="4438">
        <f t="shared" si="21"/>
        <v>83.34057663498362</v>
      </c>
      <c r="AH30" s="4438">
        <f t="shared" si="22"/>
        <v>17.383923960671428</v>
      </c>
      <c r="AI30" s="4438">
        <f t="shared" si="23"/>
        <v>107.88258693240211</v>
      </c>
      <c r="AJ30" s="4438">
        <f t="shared" si="24"/>
        <v>0</v>
      </c>
      <c r="AK30" s="4438">
        <f t="shared" si="25"/>
        <v>125.26651089307353</v>
      </c>
      <c r="AL30" s="4438">
        <f t="shared" si="26"/>
        <v>0</v>
      </c>
      <c r="AM30" s="4438">
        <f t="shared" si="27"/>
        <v>0</v>
      </c>
      <c r="AN30" s="4438">
        <f t="shared" si="28"/>
        <v>0</v>
      </c>
      <c r="AO30" s="4438">
        <f t="shared" si="29"/>
        <v>0</v>
      </c>
      <c r="AP30" s="4438">
        <f t="shared" si="30"/>
        <v>0</v>
      </c>
      <c r="AQ30" s="4438">
        <f t="shared" si="31"/>
        <v>0</v>
      </c>
      <c r="AR30" s="4438">
        <f t="shared" si="32"/>
        <v>0</v>
      </c>
      <c r="AS30" s="4438">
        <f t="shared" si="33"/>
        <v>0</v>
      </c>
    </row>
    <row r="31" spans="1:46">
      <c r="A31" s="2531"/>
      <c r="B31" s="4060"/>
      <c r="C31" s="4060"/>
      <c r="D31" s="4061" t="s">
        <v>1792</v>
      </c>
      <c r="E31" s="5183"/>
      <c r="F31" s="4062">
        <v>2870</v>
      </c>
      <c r="G31" s="4062"/>
      <c r="H31" s="5183"/>
      <c r="I31" s="5183"/>
      <c r="J31" s="4062">
        <v>247</v>
      </c>
      <c r="K31" s="4062"/>
      <c r="L31" s="5183"/>
      <c r="M31" s="5183"/>
      <c r="N31" s="4062">
        <v>440</v>
      </c>
      <c r="O31" s="4062"/>
      <c r="P31" s="5183"/>
      <c r="Q31" s="5183"/>
      <c r="R31" s="4062"/>
      <c r="S31" s="4062"/>
      <c r="T31" s="5183"/>
      <c r="U31" s="5183"/>
      <c r="V31" s="4062"/>
      <c r="W31" s="4062"/>
      <c r="X31" s="5183"/>
      <c r="Y31" s="4422"/>
      <c r="Z31" s="4450"/>
      <c r="AA31" s="4438">
        <f t="shared" si="15"/>
        <v>1467.4076990331471</v>
      </c>
      <c r="AB31" s="4438">
        <f t="shared" si="16"/>
        <v>0</v>
      </c>
      <c r="AC31" s="4446"/>
      <c r="AD31" s="4447"/>
      <c r="AE31" s="4438">
        <f t="shared" si="19"/>
        <v>126.28909465546597</v>
      </c>
      <c r="AF31" s="4438">
        <f t="shared" si="20"/>
        <v>0</v>
      </c>
      <c r="AG31" s="4446"/>
      <c r="AH31" s="4447"/>
      <c r="AI31" s="4438">
        <f t="shared" si="23"/>
        <v>224.96842772633613</v>
      </c>
      <c r="AJ31" s="4438">
        <f t="shared" si="24"/>
        <v>0</v>
      </c>
      <c r="AK31" s="4446"/>
      <c r="AL31" s="4447"/>
      <c r="AM31" s="4438">
        <f t="shared" si="27"/>
        <v>0</v>
      </c>
      <c r="AN31" s="4438">
        <f t="shared" si="28"/>
        <v>0</v>
      </c>
      <c r="AO31" s="4446"/>
      <c r="AP31" s="4447"/>
      <c r="AQ31" s="4438">
        <f t="shared" si="31"/>
        <v>0</v>
      </c>
      <c r="AR31" s="4438">
        <f t="shared" si="32"/>
        <v>0</v>
      </c>
      <c r="AS31" s="4452"/>
      <c r="AT31" s="4453"/>
    </row>
    <row r="32" spans="1:46" ht="24">
      <c r="A32" s="2531"/>
      <c r="B32" s="4060"/>
      <c r="C32" s="4060"/>
      <c r="D32" s="4061" t="s">
        <v>1793</v>
      </c>
      <c r="E32" s="5184"/>
      <c r="F32" s="4062">
        <v>-2323</v>
      </c>
      <c r="G32" s="4062"/>
      <c r="H32" s="5184"/>
      <c r="I32" s="5184"/>
      <c r="J32" s="4062">
        <v>-112</v>
      </c>
      <c r="K32" s="4062"/>
      <c r="L32" s="5184"/>
      <c r="M32" s="5184"/>
      <c r="N32" s="4062">
        <v>-229</v>
      </c>
      <c r="O32" s="4062"/>
      <c r="P32" s="5184"/>
      <c r="Q32" s="5184"/>
      <c r="R32" s="4062"/>
      <c r="S32" s="4062"/>
      <c r="T32" s="5184"/>
      <c r="U32" s="5184"/>
      <c r="V32" s="4062"/>
      <c r="W32" s="4062"/>
      <c r="X32" s="5184"/>
      <c r="Y32" s="4422"/>
      <c r="Z32" s="4451"/>
      <c r="AA32" s="4438">
        <f t="shared" si="15"/>
        <v>-1187.7310400188155</v>
      </c>
      <c r="AB32" s="4438">
        <f t="shared" si="16"/>
        <v>0</v>
      </c>
      <c r="AC32" s="4448"/>
      <c r="AD32" s="4449"/>
      <c r="AE32" s="4438">
        <f t="shared" si="19"/>
        <v>-57.264690693976469</v>
      </c>
      <c r="AF32" s="4438">
        <f t="shared" si="20"/>
        <v>0</v>
      </c>
      <c r="AG32" s="4448"/>
      <c r="AH32" s="4449"/>
      <c r="AI32" s="4438">
        <f t="shared" si="23"/>
        <v>-117.08584079393404</v>
      </c>
      <c r="AJ32" s="4438">
        <f t="shared" si="24"/>
        <v>0</v>
      </c>
      <c r="AK32" s="4448"/>
      <c r="AL32" s="4449"/>
      <c r="AM32" s="4438">
        <f t="shared" si="27"/>
        <v>0</v>
      </c>
      <c r="AN32" s="4438">
        <f t="shared" si="28"/>
        <v>0</v>
      </c>
      <c r="AO32" s="4448"/>
      <c r="AP32" s="4449"/>
      <c r="AQ32" s="4438">
        <f t="shared" si="31"/>
        <v>0</v>
      </c>
      <c r="AR32" s="4438">
        <f t="shared" si="32"/>
        <v>0</v>
      </c>
      <c r="AS32" s="4452"/>
      <c r="AT32" s="4453"/>
    </row>
    <row r="33" spans="1:45">
      <c r="A33" s="2531">
        <v>12</v>
      </c>
      <c r="B33" s="2527">
        <v>212</v>
      </c>
      <c r="C33" s="2522">
        <v>0.2</v>
      </c>
      <c r="D33" s="2532" t="s">
        <v>214</v>
      </c>
      <c r="E33" s="400">
        <v>56</v>
      </c>
      <c r="F33" s="400">
        <v>4</v>
      </c>
      <c r="G33" s="400"/>
      <c r="H33" s="4387">
        <f t="shared" ref="H33:H36" si="63">+E33+F33-G33</f>
        <v>60</v>
      </c>
      <c r="I33" s="400">
        <v>35</v>
      </c>
      <c r="J33" s="400">
        <v>3</v>
      </c>
      <c r="K33" s="400"/>
      <c r="L33" s="4387">
        <f t="shared" ref="L33:L36" si="64">+I33+J33-K33</f>
        <v>38</v>
      </c>
      <c r="M33" s="400">
        <v>69</v>
      </c>
      <c r="N33" s="400">
        <v>6</v>
      </c>
      <c r="O33" s="400"/>
      <c r="P33" s="4387">
        <f t="shared" ref="P33:P36" si="65">+M33+N33-O33</f>
        <v>75</v>
      </c>
      <c r="Q33" s="400"/>
      <c r="R33" s="400"/>
      <c r="S33" s="400"/>
      <c r="T33" s="4387">
        <f t="shared" ref="T33:T36" si="66">+Q33+R33-S33</f>
        <v>0</v>
      </c>
      <c r="U33" s="400"/>
      <c r="V33" s="400"/>
      <c r="W33" s="400"/>
      <c r="X33" s="4387">
        <f t="shared" ref="X33:X36" si="67">+U33+V33-W33</f>
        <v>0</v>
      </c>
      <c r="Y33" s="4422"/>
      <c r="Z33" s="4438">
        <f t="shared" si="14"/>
        <v>28.632345346988235</v>
      </c>
      <c r="AA33" s="4438">
        <f t="shared" si="15"/>
        <v>2.045167524784874</v>
      </c>
      <c r="AB33" s="4438">
        <f t="shared" si="16"/>
        <v>0</v>
      </c>
      <c r="AC33" s="4438">
        <f t="shared" si="17"/>
        <v>30.677512871773111</v>
      </c>
      <c r="AD33" s="4438">
        <f t="shared" si="18"/>
        <v>17.895215841867646</v>
      </c>
      <c r="AE33" s="4438">
        <f t="shared" si="19"/>
        <v>1.5338756435886556</v>
      </c>
      <c r="AF33" s="4438">
        <f t="shared" si="20"/>
        <v>0</v>
      </c>
      <c r="AG33" s="4438">
        <f t="shared" si="21"/>
        <v>19.429091485456304</v>
      </c>
      <c r="AH33" s="4438">
        <f t="shared" si="22"/>
        <v>35.279139802539078</v>
      </c>
      <c r="AI33" s="4438">
        <f t="shared" si="23"/>
        <v>3.0677512871773112</v>
      </c>
      <c r="AJ33" s="4438">
        <f t="shared" si="24"/>
        <v>0</v>
      </c>
      <c r="AK33" s="4438">
        <f t="shared" si="25"/>
        <v>38.346891089716387</v>
      </c>
      <c r="AL33" s="4438">
        <f t="shared" si="26"/>
        <v>0</v>
      </c>
      <c r="AM33" s="4438">
        <f t="shared" si="27"/>
        <v>0</v>
      </c>
      <c r="AN33" s="4438">
        <f t="shared" si="28"/>
        <v>0</v>
      </c>
      <c r="AO33" s="4438">
        <f t="shared" si="29"/>
        <v>0</v>
      </c>
      <c r="AP33" s="4438">
        <f t="shared" si="30"/>
        <v>0</v>
      </c>
      <c r="AQ33" s="4438">
        <f t="shared" si="31"/>
        <v>0</v>
      </c>
      <c r="AR33" s="4438">
        <f t="shared" si="32"/>
        <v>0</v>
      </c>
      <c r="AS33" s="4438">
        <f t="shared" si="33"/>
        <v>0</v>
      </c>
    </row>
    <row r="34" spans="1:45" ht="24">
      <c r="A34" s="2531">
        <v>13</v>
      </c>
      <c r="B34" s="2526">
        <v>213</v>
      </c>
      <c r="C34" s="2533">
        <v>0.2</v>
      </c>
      <c r="D34" s="2520" t="s">
        <v>215</v>
      </c>
      <c r="E34" s="400"/>
      <c r="F34" s="400"/>
      <c r="G34" s="400"/>
      <c r="H34" s="4387">
        <f t="shared" si="63"/>
        <v>0</v>
      </c>
      <c r="I34" s="400">
        <v>0</v>
      </c>
      <c r="J34" s="400"/>
      <c r="K34" s="400"/>
      <c r="L34" s="4387">
        <f t="shared" si="64"/>
        <v>0</v>
      </c>
      <c r="M34" s="400">
        <v>0</v>
      </c>
      <c r="N34" s="400"/>
      <c r="O34" s="400"/>
      <c r="P34" s="4387">
        <f t="shared" si="65"/>
        <v>0</v>
      </c>
      <c r="Q34" s="400"/>
      <c r="R34" s="400"/>
      <c r="S34" s="400"/>
      <c r="T34" s="4387">
        <f t="shared" si="66"/>
        <v>0</v>
      </c>
      <c r="U34" s="400"/>
      <c r="V34" s="400"/>
      <c r="W34" s="400"/>
      <c r="X34" s="4387">
        <f t="shared" si="67"/>
        <v>0</v>
      </c>
      <c r="Y34" s="4422"/>
      <c r="Z34" s="4438">
        <f t="shared" si="14"/>
        <v>0</v>
      </c>
      <c r="AA34" s="4438">
        <f t="shared" si="15"/>
        <v>0</v>
      </c>
      <c r="AB34" s="4438">
        <f t="shared" si="16"/>
        <v>0</v>
      </c>
      <c r="AC34" s="4438">
        <f t="shared" si="17"/>
        <v>0</v>
      </c>
      <c r="AD34" s="4438">
        <f t="shared" si="18"/>
        <v>0</v>
      </c>
      <c r="AE34" s="4438">
        <f t="shared" si="19"/>
        <v>0</v>
      </c>
      <c r="AF34" s="4438">
        <f t="shared" si="20"/>
        <v>0</v>
      </c>
      <c r="AG34" s="4438">
        <f t="shared" si="21"/>
        <v>0</v>
      </c>
      <c r="AH34" s="4438">
        <f t="shared" si="22"/>
        <v>0</v>
      </c>
      <c r="AI34" s="4438">
        <f t="shared" si="23"/>
        <v>0</v>
      </c>
      <c r="AJ34" s="4438">
        <f t="shared" si="24"/>
        <v>0</v>
      </c>
      <c r="AK34" s="4438">
        <f t="shared" si="25"/>
        <v>0</v>
      </c>
      <c r="AL34" s="4438">
        <f t="shared" si="26"/>
        <v>0</v>
      </c>
      <c r="AM34" s="4438">
        <f t="shared" si="27"/>
        <v>0</v>
      </c>
      <c r="AN34" s="4438">
        <f t="shared" si="28"/>
        <v>0</v>
      </c>
      <c r="AO34" s="4438">
        <f t="shared" si="29"/>
        <v>0</v>
      </c>
      <c r="AP34" s="4438">
        <f t="shared" si="30"/>
        <v>0</v>
      </c>
      <c r="AQ34" s="4438">
        <f t="shared" si="31"/>
        <v>0</v>
      </c>
      <c r="AR34" s="4438">
        <f t="shared" si="32"/>
        <v>0</v>
      </c>
      <c r="AS34" s="4438">
        <f t="shared" si="33"/>
        <v>0</v>
      </c>
    </row>
    <row r="35" spans="1:45" ht="24">
      <c r="A35" s="2531">
        <v>14</v>
      </c>
      <c r="B35" s="2600"/>
      <c r="C35" s="2600"/>
      <c r="D35" s="2534" t="s">
        <v>628</v>
      </c>
      <c r="E35" s="400"/>
      <c r="F35" s="400"/>
      <c r="G35" s="400"/>
      <c r="H35" s="4387">
        <f t="shared" si="63"/>
        <v>0</v>
      </c>
      <c r="I35" s="400">
        <v>0</v>
      </c>
      <c r="J35" s="400"/>
      <c r="K35" s="400"/>
      <c r="L35" s="4387">
        <f t="shared" si="64"/>
        <v>0</v>
      </c>
      <c r="M35" s="400">
        <v>0</v>
      </c>
      <c r="N35" s="400"/>
      <c r="O35" s="400"/>
      <c r="P35" s="4387">
        <f t="shared" si="65"/>
        <v>0</v>
      </c>
      <c r="Q35" s="400"/>
      <c r="R35" s="400"/>
      <c r="S35" s="400"/>
      <c r="T35" s="4387">
        <f t="shared" si="66"/>
        <v>0</v>
      </c>
      <c r="U35" s="400"/>
      <c r="V35" s="400"/>
      <c r="W35" s="400"/>
      <c r="X35" s="4387">
        <f t="shared" si="67"/>
        <v>0</v>
      </c>
      <c r="Y35" s="4422"/>
      <c r="Z35" s="4438">
        <f t="shared" si="14"/>
        <v>0</v>
      </c>
      <c r="AA35" s="4438">
        <f t="shared" si="15"/>
        <v>0</v>
      </c>
      <c r="AB35" s="4438">
        <f t="shared" si="16"/>
        <v>0</v>
      </c>
      <c r="AC35" s="4438">
        <f t="shared" si="17"/>
        <v>0</v>
      </c>
      <c r="AD35" s="4438">
        <f t="shared" si="18"/>
        <v>0</v>
      </c>
      <c r="AE35" s="4438">
        <f t="shared" si="19"/>
        <v>0</v>
      </c>
      <c r="AF35" s="4438">
        <f t="shared" si="20"/>
        <v>0</v>
      </c>
      <c r="AG35" s="4438">
        <f t="shared" si="21"/>
        <v>0</v>
      </c>
      <c r="AH35" s="4438">
        <f t="shared" si="22"/>
        <v>0</v>
      </c>
      <c r="AI35" s="4438">
        <f t="shared" si="23"/>
        <v>0</v>
      </c>
      <c r="AJ35" s="4438">
        <f t="shared" si="24"/>
        <v>0</v>
      </c>
      <c r="AK35" s="4438">
        <f t="shared" si="25"/>
        <v>0</v>
      </c>
      <c r="AL35" s="4438">
        <f t="shared" si="26"/>
        <v>0</v>
      </c>
      <c r="AM35" s="4438">
        <f t="shared" si="27"/>
        <v>0</v>
      </c>
      <c r="AN35" s="4438">
        <f t="shared" si="28"/>
        <v>0</v>
      </c>
      <c r="AO35" s="4438">
        <f t="shared" si="29"/>
        <v>0</v>
      </c>
      <c r="AP35" s="4438">
        <f t="shared" si="30"/>
        <v>0</v>
      </c>
      <c r="AQ35" s="4438">
        <f t="shared" si="31"/>
        <v>0</v>
      </c>
      <c r="AR35" s="4438">
        <f t="shared" si="32"/>
        <v>0</v>
      </c>
      <c r="AS35" s="4438">
        <f t="shared" si="33"/>
        <v>0</v>
      </c>
    </row>
    <row r="36" spans="1:45" ht="24">
      <c r="A36" s="2531">
        <v>15</v>
      </c>
      <c r="B36" s="2526">
        <v>207</v>
      </c>
      <c r="C36" s="2526" t="s">
        <v>313</v>
      </c>
      <c r="D36" s="2535" t="s">
        <v>415</v>
      </c>
      <c r="E36" s="400">
        <v>0</v>
      </c>
      <c r="F36" s="4387">
        <f t="shared" ref="F36" si="68">SUM(F37:F38)</f>
        <v>0</v>
      </c>
      <c r="G36" s="4387">
        <f t="shared" ref="G36" si="69">SUM(G37:G38)</f>
        <v>0</v>
      </c>
      <c r="H36" s="4387">
        <f t="shared" si="63"/>
        <v>0</v>
      </c>
      <c r="I36" s="400">
        <v>0</v>
      </c>
      <c r="J36" s="4387">
        <f t="shared" ref="J36:K36" si="70">SUM(J37:J38)</f>
        <v>0</v>
      </c>
      <c r="K36" s="4387">
        <f t="shared" si="70"/>
        <v>0</v>
      </c>
      <c r="L36" s="4387">
        <f t="shared" si="64"/>
        <v>0</v>
      </c>
      <c r="M36" s="400">
        <v>0</v>
      </c>
      <c r="N36" s="4387">
        <f t="shared" ref="N36:O36" si="71">SUM(N37:N38)</f>
        <v>0</v>
      </c>
      <c r="O36" s="4387">
        <f t="shared" si="71"/>
        <v>0</v>
      </c>
      <c r="P36" s="4387">
        <f t="shared" si="65"/>
        <v>0</v>
      </c>
      <c r="Q36" s="400"/>
      <c r="R36" s="4387">
        <f t="shared" ref="R36:S36" si="72">SUM(R37:R38)</f>
        <v>0</v>
      </c>
      <c r="S36" s="4387">
        <f t="shared" si="72"/>
        <v>0</v>
      </c>
      <c r="T36" s="4387">
        <f t="shared" si="66"/>
        <v>0</v>
      </c>
      <c r="U36" s="400"/>
      <c r="V36" s="4387">
        <f t="shared" ref="V36:W36" si="73">SUM(V37:V38)</f>
        <v>0</v>
      </c>
      <c r="W36" s="4387">
        <f t="shared" si="73"/>
        <v>0</v>
      </c>
      <c r="X36" s="4387">
        <f t="shared" si="67"/>
        <v>0</v>
      </c>
      <c r="Y36" s="4422"/>
      <c r="Z36" s="4438">
        <f t="shared" si="14"/>
        <v>0</v>
      </c>
      <c r="AA36" s="4438">
        <f t="shared" si="15"/>
        <v>0</v>
      </c>
      <c r="AB36" s="4438">
        <f t="shared" si="16"/>
        <v>0</v>
      </c>
      <c r="AC36" s="4438">
        <f t="shared" si="17"/>
        <v>0</v>
      </c>
      <c r="AD36" s="4438">
        <f t="shared" si="18"/>
        <v>0</v>
      </c>
      <c r="AE36" s="4438">
        <f t="shared" si="19"/>
        <v>0</v>
      </c>
      <c r="AF36" s="4438">
        <f t="shared" si="20"/>
        <v>0</v>
      </c>
      <c r="AG36" s="4438">
        <f t="shared" si="21"/>
        <v>0</v>
      </c>
      <c r="AH36" s="4438">
        <f t="shared" si="22"/>
        <v>0</v>
      </c>
      <c r="AI36" s="4438">
        <f t="shared" si="23"/>
        <v>0</v>
      </c>
      <c r="AJ36" s="4438">
        <f t="shared" si="24"/>
        <v>0</v>
      </c>
      <c r="AK36" s="4438">
        <f t="shared" si="25"/>
        <v>0</v>
      </c>
      <c r="AL36" s="4438">
        <f t="shared" si="26"/>
        <v>0</v>
      </c>
      <c r="AM36" s="4438">
        <f t="shared" si="27"/>
        <v>0</v>
      </c>
      <c r="AN36" s="4438">
        <f t="shared" si="28"/>
        <v>0</v>
      </c>
      <c r="AO36" s="4438">
        <f t="shared" si="29"/>
        <v>0</v>
      </c>
      <c r="AP36" s="4438">
        <f t="shared" si="30"/>
        <v>0</v>
      </c>
      <c r="AQ36" s="4438">
        <f t="shared" si="31"/>
        <v>0</v>
      </c>
      <c r="AR36" s="4438">
        <f t="shared" si="32"/>
        <v>0</v>
      </c>
      <c r="AS36" s="4438">
        <f t="shared" si="33"/>
        <v>0</v>
      </c>
    </row>
    <row r="37" spans="1:45">
      <c r="A37" s="2531"/>
      <c r="B37" s="4060"/>
      <c r="C37" s="4060"/>
      <c r="D37" s="4061" t="s">
        <v>1792</v>
      </c>
      <c r="E37" s="5183"/>
      <c r="F37" s="4062">
        <v>4</v>
      </c>
      <c r="G37" s="4062"/>
      <c r="H37" s="5183"/>
      <c r="I37" s="5183"/>
      <c r="J37" s="4062">
        <v>3</v>
      </c>
      <c r="K37" s="4062"/>
      <c r="L37" s="5195"/>
      <c r="M37" s="5195"/>
      <c r="N37" s="4062">
        <v>6</v>
      </c>
      <c r="O37" s="4062"/>
      <c r="P37" s="5183"/>
      <c r="Q37" s="5183"/>
      <c r="R37" s="4062"/>
      <c r="S37" s="4062"/>
      <c r="T37" s="5183"/>
      <c r="U37" s="5183"/>
      <c r="V37" s="4062"/>
      <c r="W37" s="4062"/>
      <c r="X37" s="5183"/>
      <c r="Y37" s="4422"/>
      <c r="Z37" s="4438">
        <f t="shared" si="14"/>
        <v>0</v>
      </c>
      <c r="AA37" s="4438">
        <f t="shared" si="15"/>
        <v>2.045167524784874</v>
      </c>
      <c r="AB37" s="4438">
        <f t="shared" si="16"/>
        <v>0</v>
      </c>
      <c r="AC37" s="4438">
        <f t="shared" si="17"/>
        <v>0</v>
      </c>
      <c r="AD37" s="4438">
        <f t="shared" si="18"/>
        <v>0</v>
      </c>
      <c r="AE37" s="4438">
        <f t="shared" si="19"/>
        <v>1.5338756435886556</v>
      </c>
      <c r="AF37" s="4438">
        <f t="shared" si="20"/>
        <v>0</v>
      </c>
      <c r="AG37" s="4438">
        <f t="shared" si="21"/>
        <v>0</v>
      </c>
      <c r="AH37" s="4438">
        <f t="shared" si="22"/>
        <v>0</v>
      </c>
      <c r="AI37" s="4438">
        <f t="shared" si="23"/>
        <v>3.0677512871773112</v>
      </c>
      <c r="AJ37" s="4438">
        <f t="shared" si="24"/>
        <v>0</v>
      </c>
      <c r="AK37" s="4438">
        <f t="shared" si="25"/>
        <v>0</v>
      </c>
      <c r="AL37" s="4438">
        <f t="shared" si="26"/>
        <v>0</v>
      </c>
      <c r="AM37" s="4438">
        <f t="shared" si="27"/>
        <v>0</v>
      </c>
      <c r="AN37" s="4438">
        <f t="shared" si="28"/>
        <v>0</v>
      </c>
      <c r="AO37" s="4438">
        <f t="shared" si="29"/>
        <v>0</v>
      </c>
      <c r="AP37" s="4438">
        <f t="shared" si="30"/>
        <v>0</v>
      </c>
      <c r="AQ37" s="4438">
        <f t="shared" si="31"/>
        <v>0</v>
      </c>
      <c r="AR37" s="4438">
        <f t="shared" si="32"/>
        <v>0</v>
      </c>
      <c r="AS37" s="4438">
        <f t="shared" si="33"/>
        <v>0</v>
      </c>
    </row>
    <row r="38" spans="1:45" ht="24">
      <c r="A38" s="2531"/>
      <c r="B38" s="4060"/>
      <c r="C38" s="4060"/>
      <c r="D38" s="4061" t="s">
        <v>1793</v>
      </c>
      <c r="E38" s="5184"/>
      <c r="F38" s="4062">
        <v>-4</v>
      </c>
      <c r="G38" s="4062"/>
      <c r="H38" s="5184"/>
      <c r="I38" s="5184"/>
      <c r="J38" s="4062">
        <v>-3</v>
      </c>
      <c r="K38" s="4062"/>
      <c r="L38" s="5196"/>
      <c r="M38" s="5196"/>
      <c r="N38" s="4062">
        <v>-6</v>
      </c>
      <c r="O38" s="4062"/>
      <c r="P38" s="5184"/>
      <c r="Q38" s="5184"/>
      <c r="R38" s="4062"/>
      <c r="S38" s="4062"/>
      <c r="T38" s="5184"/>
      <c r="U38" s="5184"/>
      <c r="V38" s="4062"/>
      <c r="W38" s="4062"/>
      <c r="X38" s="5184"/>
      <c r="Y38" s="4422"/>
      <c r="Z38" s="4438">
        <f t="shared" si="14"/>
        <v>0</v>
      </c>
      <c r="AA38" s="4438">
        <f t="shared" si="15"/>
        <v>-2.045167524784874</v>
      </c>
      <c r="AB38" s="4438">
        <f t="shared" si="16"/>
        <v>0</v>
      </c>
      <c r="AC38" s="4438">
        <f t="shared" si="17"/>
        <v>0</v>
      </c>
      <c r="AD38" s="4438">
        <f t="shared" si="18"/>
        <v>0</v>
      </c>
      <c r="AE38" s="4438">
        <f t="shared" si="19"/>
        <v>-1.5338756435886556</v>
      </c>
      <c r="AF38" s="4438">
        <f t="shared" si="20"/>
        <v>0</v>
      </c>
      <c r="AG38" s="4438">
        <f t="shared" si="21"/>
        <v>0</v>
      </c>
      <c r="AH38" s="4438">
        <f t="shared" si="22"/>
        <v>0</v>
      </c>
      <c r="AI38" s="4438">
        <f t="shared" si="23"/>
        <v>-3.0677512871773112</v>
      </c>
      <c r="AJ38" s="4438">
        <f t="shared" si="24"/>
        <v>0</v>
      </c>
      <c r="AK38" s="4438">
        <f t="shared" si="25"/>
        <v>0</v>
      </c>
      <c r="AL38" s="4438">
        <f t="shared" si="26"/>
        <v>0</v>
      </c>
      <c r="AM38" s="4438">
        <f t="shared" si="27"/>
        <v>0</v>
      </c>
      <c r="AN38" s="4438">
        <f t="shared" si="28"/>
        <v>0</v>
      </c>
      <c r="AO38" s="4438">
        <f t="shared" si="29"/>
        <v>0</v>
      </c>
      <c r="AP38" s="4438">
        <f t="shared" si="30"/>
        <v>0</v>
      </c>
      <c r="AQ38" s="4438">
        <f t="shared" si="31"/>
        <v>0</v>
      </c>
      <c r="AR38" s="4438">
        <f t="shared" si="32"/>
        <v>0</v>
      </c>
      <c r="AS38" s="4438">
        <f t="shared" si="33"/>
        <v>0</v>
      </c>
    </row>
    <row r="39" spans="1:45" ht="13.5" thickBot="1">
      <c r="A39" s="2531">
        <v>16</v>
      </c>
      <c r="B39" s="2536">
        <v>219</v>
      </c>
      <c r="C39" s="2537">
        <v>0.1</v>
      </c>
      <c r="D39" s="2538" t="s">
        <v>216</v>
      </c>
      <c r="E39" s="401">
        <v>28</v>
      </c>
      <c r="F39" s="401"/>
      <c r="G39" s="401"/>
      <c r="H39" s="4388">
        <f t="shared" ref="H39" si="74">+E39+F39-G39</f>
        <v>28</v>
      </c>
      <c r="I39" s="4648">
        <v>9</v>
      </c>
      <c r="J39" s="401"/>
      <c r="K39" s="401"/>
      <c r="L39" s="4388">
        <f t="shared" ref="L39" si="75">+I39+J39-K39</f>
        <v>9</v>
      </c>
      <c r="M39" s="401">
        <v>18</v>
      </c>
      <c r="N39" s="401"/>
      <c r="O39" s="401"/>
      <c r="P39" s="4388">
        <f t="shared" ref="P39" si="76">+M39+N39-O39</f>
        <v>18</v>
      </c>
      <c r="Q39" s="401"/>
      <c r="R39" s="401"/>
      <c r="S39" s="401"/>
      <c r="T39" s="4388">
        <f t="shared" ref="T39" si="77">+Q39+R39-S39</f>
        <v>0</v>
      </c>
      <c r="U39" s="401"/>
      <c r="V39" s="401"/>
      <c r="W39" s="401"/>
      <c r="X39" s="4388">
        <f t="shared" ref="X39" si="78">+U39+V39-W39</f>
        <v>0</v>
      </c>
      <c r="Y39" s="4422"/>
      <c r="Z39" s="4438">
        <f t="shared" si="14"/>
        <v>14.316172673494117</v>
      </c>
      <c r="AA39" s="4438">
        <f t="shared" si="15"/>
        <v>0</v>
      </c>
      <c r="AB39" s="4438">
        <f t="shared" si="16"/>
        <v>0</v>
      </c>
      <c r="AC39" s="4438">
        <f t="shared" si="17"/>
        <v>14.316172673494117</v>
      </c>
      <c r="AD39" s="4438">
        <f t="shared" si="18"/>
        <v>4.6016269307659661</v>
      </c>
      <c r="AE39" s="4438">
        <f t="shared" si="19"/>
        <v>0</v>
      </c>
      <c r="AF39" s="4438">
        <f t="shared" si="20"/>
        <v>0</v>
      </c>
      <c r="AG39" s="4438">
        <f t="shared" si="21"/>
        <v>4.6016269307659661</v>
      </c>
      <c r="AH39" s="4438">
        <f t="shared" si="22"/>
        <v>9.2032538615319321</v>
      </c>
      <c r="AI39" s="4438">
        <f t="shared" si="23"/>
        <v>0</v>
      </c>
      <c r="AJ39" s="4438">
        <f t="shared" si="24"/>
        <v>0</v>
      </c>
      <c r="AK39" s="4438">
        <f t="shared" si="25"/>
        <v>9.2032538615319321</v>
      </c>
      <c r="AL39" s="4438">
        <f t="shared" si="26"/>
        <v>0</v>
      </c>
      <c r="AM39" s="4438">
        <f t="shared" si="27"/>
        <v>0</v>
      </c>
      <c r="AN39" s="4438">
        <f t="shared" si="28"/>
        <v>0</v>
      </c>
      <c r="AO39" s="4438">
        <f t="shared" si="29"/>
        <v>0</v>
      </c>
      <c r="AP39" s="4438">
        <f t="shared" si="30"/>
        <v>0</v>
      </c>
      <c r="AQ39" s="4438">
        <f t="shared" si="31"/>
        <v>0</v>
      </c>
      <c r="AR39" s="4438">
        <f t="shared" si="32"/>
        <v>0</v>
      </c>
      <c r="AS39" s="4438">
        <f t="shared" si="33"/>
        <v>0</v>
      </c>
    </row>
    <row r="40" spans="1:45" ht="13.5" thickBot="1">
      <c r="A40" s="3685" t="s">
        <v>206</v>
      </c>
      <c r="B40" s="5192" t="s">
        <v>220</v>
      </c>
      <c r="C40" s="5193"/>
      <c r="D40" s="5194"/>
      <c r="E40" s="2507">
        <f t="shared" ref="E40:H40" si="79">SUM(E41:E64)-E43-E49</f>
        <v>5820</v>
      </c>
      <c r="F40" s="2507">
        <f t="shared" si="79"/>
        <v>341</v>
      </c>
      <c r="G40" s="2507">
        <f t="shared" si="79"/>
        <v>0</v>
      </c>
      <c r="H40" s="2507">
        <f t="shared" si="79"/>
        <v>6161</v>
      </c>
      <c r="I40" s="2507">
        <f t="shared" ref="I40:L40" si="80">SUM(I41:I64)-I43-I49</f>
        <v>1654</v>
      </c>
      <c r="J40" s="2507">
        <f t="shared" si="80"/>
        <v>32</v>
      </c>
      <c r="K40" s="2507">
        <f t="shared" si="80"/>
        <v>0</v>
      </c>
      <c r="L40" s="2507">
        <f t="shared" si="80"/>
        <v>1686</v>
      </c>
      <c r="M40" s="2507">
        <f t="shared" ref="M40:X40" si="81">SUM(M41:M64)-M43-M49</f>
        <v>1019</v>
      </c>
      <c r="N40" s="2507">
        <f t="shared" si="81"/>
        <v>54</v>
      </c>
      <c r="O40" s="2507">
        <f t="shared" si="81"/>
        <v>0</v>
      </c>
      <c r="P40" s="2507">
        <f t="shared" si="81"/>
        <v>1073</v>
      </c>
      <c r="Q40" s="2507">
        <f t="shared" si="81"/>
        <v>0</v>
      </c>
      <c r="R40" s="2507">
        <f t="shared" si="81"/>
        <v>0</v>
      </c>
      <c r="S40" s="2507">
        <f t="shared" si="81"/>
        <v>0</v>
      </c>
      <c r="T40" s="2507">
        <f t="shared" si="81"/>
        <v>0</v>
      </c>
      <c r="U40" s="2507">
        <f t="shared" si="81"/>
        <v>0</v>
      </c>
      <c r="V40" s="2507">
        <f t="shared" si="81"/>
        <v>0</v>
      </c>
      <c r="W40" s="2507">
        <f t="shared" si="81"/>
        <v>0</v>
      </c>
      <c r="X40" s="2507">
        <f t="shared" si="81"/>
        <v>0</v>
      </c>
      <c r="Y40" s="4422"/>
      <c r="Z40" s="4438">
        <f t="shared" si="14"/>
        <v>2975.7187485619916</v>
      </c>
      <c r="AA40" s="4438">
        <f t="shared" si="15"/>
        <v>174.3505314879105</v>
      </c>
      <c r="AB40" s="4438">
        <f t="shared" si="16"/>
        <v>0</v>
      </c>
      <c r="AC40" s="4438">
        <f t="shared" si="17"/>
        <v>3150.0692800499023</v>
      </c>
      <c r="AD40" s="4438">
        <f t="shared" si="18"/>
        <v>845.67677149854535</v>
      </c>
      <c r="AE40" s="4438">
        <f t="shared" si="19"/>
        <v>16.361340198278992</v>
      </c>
      <c r="AF40" s="4438">
        <f t="shared" si="20"/>
        <v>0</v>
      </c>
      <c r="AG40" s="4438">
        <f t="shared" si="21"/>
        <v>862.03811169682433</v>
      </c>
      <c r="AH40" s="4438">
        <f t="shared" si="22"/>
        <v>521.00642693894667</v>
      </c>
      <c r="AI40" s="4438">
        <f t="shared" si="23"/>
        <v>27.609761584595798</v>
      </c>
      <c r="AJ40" s="4438">
        <f t="shared" si="24"/>
        <v>0</v>
      </c>
      <c r="AK40" s="4438">
        <f t="shared" si="25"/>
        <v>548.61618852354241</v>
      </c>
      <c r="AL40" s="4438">
        <f t="shared" si="26"/>
        <v>0</v>
      </c>
      <c r="AM40" s="4438">
        <f t="shared" si="27"/>
        <v>0</v>
      </c>
      <c r="AN40" s="4438">
        <f t="shared" si="28"/>
        <v>0</v>
      </c>
      <c r="AO40" s="4438">
        <f t="shared" si="29"/>
        <v>0</v>
      </c>
      <c r="AP40" s="4438">
        <f t="shared" si="30"/>
        <v>0</v>
      </c>
      <c r="AQ40" s="4438">
        <f t="shared" si="31"/>
        <v>0</v>
      </c>
      <c r="AR40" s="4438">
        <f t="shared" si="32"/>
        <v>0</v>
      </c>
      <c r="AS40" s="4438">
        <f t="shared" si="33"/>
        <v>0</v>
      </c>
    </row>
    <row r="41" spans="1:45">
      <c r="A41" s="2509">
        <v>1</v>
      </c>
      <c r="B41" s="2509">
        <v>20101</v>
      </c>
      <c r="C41" s="2558">
        <v>0</v>
      </c>
      <c r="D41" s="2561" t="s">
        <v>556</v>
      </c>
      <c r="E41" s="4644">
        <v>0</v>
      </c>
      <c r="F41" s="400">
        <v>0</v>
      </c>
      <c r="G41" s="400"/>
      <c r="H41" s="4387">
        <f t="shared" ref="H41:H42" si="82">+E41+F41-G41</f>
        <v>0</v>
      </c>
      <c r="I41" s="4644">
        <v>0</v>
      </c>
      <c r="J41" s="400"/>
      <c r="K41" s="400"/>
      <c r="L41" s="4387">
        <f t="shared" ref="L41:L42" si="83">+I41+J41-K41</f>
        <v>0</v>
      </c>
      <c r="M41" s="4644">
        <v>0</v>
      </c>
      <c r="N41" s="400"/>
      <c r="O41" s="400"/>
      <c r="P41" s="4387">
        <f t="shared" ref="P41:P42" si="84">+M41+N41-O41</f>
        <v>0</v>
      </c>
      <c r="Q41" s="400"/>
      <c r="R41" s="400"/>
      <c r="S41" s="400"/>
      <c r="T41" s="4387">
        <f t="shared" ref="T41:T42" si="85">+Q41+R41-S41</f>
        <v>0</v>
      </c>
      <c r="U41" s="400"/>
      <c r="V41" s="400"/>
      <c r="W41" s="400"/>
      <c r="X41" s="4387">
        <f t="shared" ref="X41:X42" si="86">+U41+V41-W41</f>
        <v>0</v>
      </c>
      <c r="Y41" s="4422"/>
      <c r="Z41" s="4438">
        <f t="shared" si="14"/>
        <v>0</v>
      </c>
      <c r="AA41" s="4438">
        <f t="shared" si="15"/>
        <v>0</v>
      </c>
      <c r="AB41" s="4438">
        <f t="shared" si="16"/>
        <v>0</v>
      </c>
      <c r="AC41" s="4438">
        <f t="shared" si="17"/>
        <v>0</v>
      </c>
      <c r="AD41" s="4438">
        <f t="shared" si="18"/>
        <v>0</v>
      </c>
      <c r="AE41" s="4438">
        <f t="shared" si="19"/>
        <v>0</v>
      </c>
      <c r="AF41" s="4438">
        <f t="shared" si="20"/>
        <v>0</v>
      </c>
      <c r="AG41" s="4438">
        <f t="shared" si="21"/>
        <v>0</v>
      </c>
      <c r="AH41" s="4438">
        <f t="shared" si="22"/>
        <v>0</v>
      </c>
      <c r="AI41" s="4438">
        <f t="shared" si="23"/>
        <v>0</v>
      </c>
      <c r="AJ41" s="4438">
        <f t="shared" si="24"/>
        <v>0</v>
      </c>
      <c r="AK41" s="4438">
        <f t="shared" si="25"/>
        <v>0</v>
      </c>
      <c r="AL41" s="4438">
        <f t="shared" si="26"/>
        <v>0</v>
      </c>
      <c r="AM41" s="4438">
        <f t="shared" si="27"/>
        <v>0</v>
      </c>
      <c r="AN41" s="4438">
        <f t="shared" si="28"/>
        <v>0</v>
      </c>
      <c r="AO41" s="4438">
        <f t="shared" si="29"/>
        <v>0</v>
      </c>
      <c r="AP41" s="4438">
        <f t="shared" si="30"/>
        <v>0</v>
      </c>
      <c r="AQ41" s="4438">
        <f t="shared" si="31"/>
        <v>0</v>
      </c>
      <c r="AR41" s="4438">
        <f t="shared" si="32"/>
        <v>0</v>
      </c>
      <c r="AS41" s="4438">
        <f t="shared" si="33"/>
        <v>0</v>
      </c>
    </row>
    <row r="42" spans="1:45" ht="24">
      <c r="A42" s="2515">
        <v>2</v>
      </c>
      <c r="B42" s="2515">
        <v>20201</v>
      </c>
      <c r="C42" s="2562">
        <v>0.03</v>
      </c>
      <c r="D42" s="2563" t="s">
        <v>425</v>
      </c>
      <c r="E42" s="4645">
        <v>412</v>
      </c>
      <c r="F42" s="2616">
        <v>12</v>
      </c>
      <c r="G42" s="2616"/>
      <c r="H42" s="2641">
        <f t="shared" si="82"/>
        <v>424</v>
      </c>
      <c r="I42" s="4645">
        <v>286</v>
      </c>
      <c r="J42" s="2616">
        <v>8</v>
      </c>
      <c r="K42" s="2616"/>
      <c r="L42" s="2641">
        <f t="shared" si="83"/>
        <v>294</v>
      </c>
      <c r="M42" s="4645">
        <v>562</v>
      </c>
      <c r="N42" s="2616">
        <v>17</v>
      </c>
      <c r="O42" s="2616"/>
      <c r="P42" s="2641">
        <f t="shared" si="84"/>
        <v>579</v>
      </c>
      <c r="Q42" s="2616"/>
      <c r="R42" s="2616"/>
      <c r="S42" s="2616"/>
      <c r="T42" s="2641">
        <f t="shared" si="85"/>
        <v>0</v>
      </c>
      <c r="U42" s="2616"/>
      <c r="V42" s="2616"/>
      <c r="W42" s="2616"/>
      <c r="X42" s="2641">
        <f t="shared" si="86"/>
        <v>0</v>
      </c>
      <c r="Y42" s="4422"/>
      <c r="Z42" s="4438">
        <f t="shared" si="14"/>
        <v>210.65225505284201</v>
      </c>
      <c r="AA42" s="4438">
        <f t="shared" si="15"/>
        <v>6.1355025743546223</v>
      </c>
      <c r="AB42" s="4438">
        <f t="shared" si="16"/>
        <v>0</v>
      </c>
      <c r="AC42" s="4438">
        <f t="shared" si="17"/>
        <v>216.78775762719664</v>
      </c>
      <c r="AD42" s="4438">
        <f t="shared" si="18"/>
        <v>146.22947802211849</v>
      </c>
      <c r="AE42" s="4438">
        <f t="shared" si="19"/>
        <v>4.0903350495697479</v>
      </c>
      <c r="AF42" s="4438">
        <f t="shared" si="20"/>
        <v>0</v>
      </c>
      <c r="AG42" s="4438">
        <f t="shared" si="21"/>
        <v>150.31981307168823</v>
      </c>
      <c r="AH42" s="4438">
        <f t="shared" si="22"/>
        <v>287.3460372322748</v>
      </c>
      <c r="AI42" s="4438">
        <f t="shared" si="23"/>
        <v>8.691961980335714</v>
      </c>
      <c r="AJ42" s="4438">
        <f t="shared" si="24"/>
        <v>0</v>
      </c>
      <c r="AK42" s="4438">
        <f t="shared" si="25"/>
        <v>296.03799921261049</v>
      </c>
      <c r="AL42" s="4438">
        <f t="shared" si="26"/>
        <v>0</v>
      </c>
      <c r="AM42" s="4438">
        <f t="shared" si="27"/>
        <v>0</v>
      </c>
      <c r="AN42" s="4438">
        <f t="shared" si="28"/>
        <v>0</v>
      </c>
      <c r="AO42" s="4438">
        <f t="shared" si="29"/>
        <v>0</v>
      </c>
      <c r="AP42" s="4438">
        <f t="shared" si="30"/>
        <v>0</v>
      </c>
      <c r="AQ42" s="4438">
        <f t="shared" si="31"/>
        <v>0</v>
      </c>
      <c r="AR42" s="4438">
        <f t="shared" si="32"/>
        <v>0</v>
      </c>
      <c r="AS42" s="4438">
        <f t="shared" si="33"/>
        <v>0</v>
      </c>
    </row>
    <row r="43" spans="1:45" ht="24">
      <c r="A43" s="2515">
        <v>3</v>
      </c>
      <c r="B43" s="2516">
        <v>203</v>
      </c>
      <c r="C43" s="2511"/>
      <c r="D43" s="2547" t="s">
        <v>405</v>
      </c>
      <c r="E43" s="2619">
        <f>SUM(E44:E47)</f>
        <v>2536</v>
      </c>
      <c r="F43" s="2619">
        <f t="shared" ref="F43:H43" si="87">SUM(F44:F47)</f>
        <v>132</v>
      </c>
      <c r="G43" s="2619">
        <f t="shared" si="87"/>
        <v>0</v>
      </c>
      <c r="H43" s="2619">
        <f t="shared" si="87"/>
        <v>2668</v>
      </c>
      <c r="I43" s="2619">
        <f>SUM(I44:I47)</f>
        <v>32</v>
      </c>
      <c r="J43" s="2619">
        <f t="shared" ref="J43:L43" si="88">SUM(J44:J47)</f>
        <v>0</v>
      </c>
      <c r="K43" s="2619">
        <f t="shared" si="88"/>
        <v>0</v>
      </c>
      <c r="L43" s="2619">
        <f t="shared" si="88"/>
        <v>32</v>
      </c>
      <c r="M43" s="2619">
        <f>SUM(M44:M47)</f>
        <v>68</v>
      </c>
      <c r="N43" s="2619">
        <f t="shared" ref="N43:P43" si="89">SUM(N44:N47)</f>
        <v>1</v>
      </c>
      <c r="O43" s="2619">
        <f t="shared" si="89"/>
        <v>0</v>
      </c>
      <c r="P43" s="2619">
        <f t="shared" si="89"/>
        <v>69</v>
      </c>
      <c r="Q43" s="2619">
        <f>SUM(Q44:Q47)</f>
        <v>0</v>
      </c>
      <c r="R43" s="2619">
        <f t="shared" ref="R43:T43" si="90">SUM(R44:R47)</f>
        <v>0</v>
      </c>
      <c r="S43" s="2619">
        <f t="shared" si="90"/>
        <v>0</v>
      </c>
      <c r="T43" s="2619">
        <f t="shared" si="90"/>
        <v>0</v>
      </c>
      <c r="U43" s="2619">
        <f>SUM(U44:U47)</f>
        <v>0</v>
      </c>
      <c r="V43" s="2619">
        <f t="shared" ref="V43:X43" si="91">SUM(V44:V47)</f>
        <v>0</v>
      </c>
      <c r="W43" s="2619">
        <f t="shared" si="91"/>
        <v>0</v>
      </c>
      <c r="X43" s="2619">
        <f t="shared" si="91"/>
        <v>0</v>
      </c>
      <c r="Y43" s="4422"/>
      <c r="Z43" s="4438">
        <f t="shared" si="14"/>
        <v>1296.6362107136101</v>
      </c>
      <c r="AA43" s="4438">
        <f t="shared" si="15"/>
        <v>67.490528317900839</v>
      </c>
      <c r="AB43" s="4438">
        <f t="shared" si="16"/>
        <v>0</v>
      </c>
      <c r="AC43" s="4438">
        <f t="shared" si="17"/>
        <v>1364.1267390315109</v>
      </c>
      <c r="AD43" s="4438">
        <f t="shared" si="18"/>
        <v>16.361340198278992</v>
      </c>
      <c r="AE43" s="4438">
        <f t="shared" si="19"/>
        <v>0</v>
      </c>
      <c r="AF43" s="4438">
        <f t="shared" si="20"/>
        <v>0</v>
      </c>
      <c r="AG43" s="4438">
        <f t="shared" si="21"/>
        <v>16.361340198278992</v>
      </c>
      <c r="AH43" s="4438">
        <f t="shared" si="22"/>
        <v>34.767847921342856</v>
      </c>
      <c r="AI43" s="4438">
        <f t="shared" si="23"/>
        <v>0.51129188119621849</v>
      </c>
      <c r="AJ43" s="4438">
        <f t="shared" si="24"/>
        <v>0</v>
      </c>
      <c r="AK43" s="4438">
        <f t="shared" si="25"/>
        <v>35.279139802539078</v>
      </c>
      <c r="AL43" s="4438">
        <f t="shared" si="26"/>
        <v>0</v>
      </c>
      <c r="AM43" s="4438">
        <f t="shared" si="27"/>
        <v>0</v>
      </c>
      <c r="AN43" s="4438">
        <f t="shared" si="28"/>
        <v>0</v>
      </c>
      <c r="AO43" s="4438">
        <f t="shared" si="29"/>
        <v>0</v>
      </c>
      <c r="AP43" s="4438">
        <f t="shared" si="30"/>
        <v>0</v>
      </c>
      <c r="AQ43" s="4438">
        <f t="shared" si="31"/>
        <v>0</v>
      </c>
      <c r="AR43" s="4438">
        <f t="shared" si="32"/>
        <v>0</v>
      </c>
      <c r="AS43" s="4438">
        <f t="shared" si="33"/>
        <v>0</v>
      </c>
    </row>
    <row r="44" spans="1:45">
      <c r="A44" s="2515"/>
      <c r="B44" s="2516">
        <v>20301</v>
      </c>
      <c r="C44" s="2522">
        <v>0.1</v>
      </c>
      <c r="D44" s="2550" t="s">
        <v>427</v>
      </c>
      <c r="E44" s="4646">
        <v>78</v>
      </c>
      <c r="F44" s="400">
        <v>1</v>
      </c>
      <c r="G44" s="400"/>
      <c r="H44" s="4387">
        <f t="shared" ref="H44:H48" si="92">+E44+F44-G44</f>
        <v>79</v>
      </c>
      <c r="I44" s="4646">
        <v>0</v>
      </c>
      <c r="J44" s="400"/>
      <c r="K44" s="400"/>
      <c r="L44" s="4387">
        <f t="shared" ref="L44:L48" si="93">+I44+J44-K44</f>
        <v>0</v>
      </c>
      <c r="M44" s="4646">
        <v>1</v>
      </c>
      <c r="N44" s="400"/>
      <c r="O44" s="400"/>
      <c r="P44" s="4387">
        <f t="shared" ref="P44:P48" si="94">+M44+N44-O44</f>
        <v>1</v>
      </c>
      <c r="Q44" s="2616"/>
      <c r="R44" s="400"/>
      <c r="S44" s="400"/>
      <c r="T44" s="4387">
        <f t="shared" ref="T44:T48" si="95">+Q44+R44-S44</f>
        <v>0</v>
      </c>
      <c r="U44" s="2616"/>
      <c r="V44" s="400"/>
      <c r="W44" s="400"/>
      <c r="X44" s="4387">
        <f t="shared" ref="X44:X48" si="96">+U44+V44-W44</f>
        <v>0</v>
      </c>
      <c r="Y44" s="4422"/>
      <c r="Z44" s="4438">
        <f t="shared" si="14"/>
        <v>39.880766733305045</v>
      </c>
      <c r="AA44" s="4438">
        <f t="shared" si="15"/>
        <v>0.51129188119621849</v>
      </c>
      <c r="AB44" s="4438">
        <f t="shared" si="16"/>
        <v>0</v>
      </c>
      <c r="AC44" s="4438">
        <f t="shared" si="17"/>
        <v>40.392058614501259</v>
      </c>
      <c r="AD44" s="4438">
        <f t="shared" si="18"/>
        <v>0</v>
      </c>
      <c r="AE44" s="4438">
        <f t="shared" si="19"/>
        <v>0</v>
      </c>
      <c r="AF44" s="4438">
        <f t="shared" si="20"/>
        <v>0</v>
      </c>
      <c r="AG44" s="4438">
        <f t="shared" si="21"/>
        <v>0</v>
      </c>
      <c r="AH44" s="4438">
        <f t="shared" si="22"/>
        <v>0.51129188119621849</v>
      </c>
      <c r="AI44" s="4438">
        <f t="shared" si="23"/>
        <v>0</v>
      </c>
      <c r="AJ44" s="4438">
        <f t="shared" si="24"/>
        <v>0</v>
      </c>
      <c r="AK44" s="4438">
        <f t="shared" si="25"/>
        <v>0.51129188119621849</v>
      </c>
      <c r="AL44" s="4438">
        <f t="shared" si="26"/>
        <v>0</v>
      </c>
      <c r="AM44" s="4438">
        <f t="shared" si="27"/>
        <v>0</v>
      </c>
      <c r="AN44" s="4438">
        <f t="shared" si="28"/>
        <v>0</v>
      </c>
      <c r="AO44" s="4438">
        <f t="shared" si="29"/>
        <v>0</v>
      </c>
      <c r="AP44" s="4438">
        <f t="shared" si="30"/>
        <v>0</v>
      </c>
      <c r="AQ44" s="4438">
        <f t="shared" si="31"/>
        <v>0</v>
      </c>
      <c r="AR44" s="4438">
        <f t="shared" si="32"/>
        <v>0</v>
      </c>
      <c r="AS44" s="4438">
        <f t="shared" si="33"/>
        <v>0</v>
      </c>
    </row>
    <row r="45" spans="1:45">
      <c r="A45" s="2515"/>
      <c r="B45" s="2516">
        <v>20302</v>
      </c>
      <c r="C45" s="2522">
        <v>0.1</v>
      </c>
      <c r="D45" s="2550" t="s">
        <v>428</v>
      </c>
      <c r="E45" s="4646">
        <v>95</v>
      </c>
      <c r="F45" s="400">
        <v>6</v>
      </c>
      <c r="G45" s="400"/>
      <c r="H45" s="4387">
        <f t="shared" si="92"/>
        <v>101</v>
      </c>
      <c r="I45" s="4646">
        <v>0</v>
      </c>
      <c r="J45" s="400"/>
      <c r="K45" s="400"/>
      <c r="L45" s="4387">
        <f t="shared" si="93"/>
        <v>0</v>
      </c>
      <c r="M45" s="4646">
        <v>2</v>
      </c>
      <c r="N45" s="400"/>
      <c r="O45" s="400"/>
      <c r="P45" s="4387">
        <f t="shared" si="94"/>
        <v>2</v>
      </c>
      <c r="Q45" s="2616"/>
      <c r="R45" s="400"/>
      <c r="S45" s="400"/>
      <c r="T45" s="4387">
        <f t="shared" si="95"/>
        <v>0</v>
      </c>
      <c r="U45" s="2616"/>
      <c r="V45" s="400"/>
      <c r="W45" s="400"/>
      <c r="X45" s="4387">
        <f t="shared" si="96"/>
        <v>0</v>
      </c>
      <c r="Y45" s="4422"/>
      <c r="Z45" s="4438">
        <f t="shared" si="14"/>
        <v>48.572728713640757</v>
      </c>
      <c r="AA45" s="4438">
        <f t="shared" si="15"/>
        <v>3.0677512871773112</v>
      </c>
      <c r="AB45" s="4438">
        <f t="shared" si="16"/>
        <v>0</v>
      </c>
      <c r="AC45" s="4438">
        <f t="shared" si="17"/>
        <v>51.640480000818066</v>
      </c>
      <c r="AD45" s="4438">
        <f t="shared" si="18"/>
        <v>0</v>
      </c>
      <c r="AE45" s="4438">
        <f t="shared" si="19"/>
        <v>0</v>
      </c>
      <c r="AF45" s="4438">
        <f t="shared" si="20"/>
        <v>0</v>
      </c>
      <c r="AG45" s="4438">
        <f t="shared" si="21"/>
        <v>0</v>
      </c>
      <c r="AH45" s="4438">
        <f t="shared" si="22"/>
        <v>1.022583762392437</v>
      </c>
      <c r="AI45" s="4438">
        <f t="shared" si="23"/>
        <v>0</v>
      </c>
      <c r="AJ45" s="4438">
        <f t="shared" si="24"/>
        <v>0</v>
      </c>
      <c r="AK45" s="4438">
        <f t="shared" si="25"/>
        <v>1.022583762392437</v>
      </c>
      <c r="AL45" s="4438">
        <f t="shared" si="26"/>
        <v>0</v>
      </c>
      <c r="AM45" s="4438">
        <f t="shared" si="27"/>
        <v>0</v>
      </c>
      <c r="AN45" s="4438">
        <f t="shared" si="28"/>
        <v>0</v>
      </c>
      <c r="AO45" s="4438">
        <f t="shared" si="29"/>
        <v>0</v>
      </c>
      <c r="AP45" s="4438">
        <f t="shared" si="30"/>
        <v>0</v>
      </c>
      <c r="AQ45" s="4438">
        <f t="shared" si="31"/>
        <v>0</v>
      </c>
      <c r="AR45" s="4438">
        <f t="shared" si="32"/>
        <v>0</v>
      </c>
      <c r="AS45" s="4438">
        <f t="shared" si="33"/>
        <v>0</v>
      </c>
    </row>
    <row r="46" spans="1:45" ht="24">
      <c r="A46" s="2515"/>
      <c r="B46" s="2516">
        <v>20303</v>
      </c>
      <c r="C46" s="2511">
        <v>0.1</v>
      </c>
      <c r="D46" s="2550" t="s">
        <v>406</v>
      </c>
      <c r="E46" s="4646">
        <v>2049</v>
      </c>
      <c r="F46" s="400">
        <v>113</v>
      </c>
      <c r="G46" s="400"/>
      <c r="H46" s="4387">
        <f t="shared" si="92"/>
        <v>2162</v>
      </c>
      <c r="I46" s="4646">
        <v>29</v>
      </c>
      <c r="J46" s="400"/>
      <c r="K46" s="400"/>
      <c r="L46" s="4387">
        <f t="shared" si="93"/>
        <v>29</v>
      </c>
      <c r="M46" s="4646">
        <v>57</v>
      </c>
      <c r="N46" s="400">
        <v>1</v>
      </c>
      <c r="O46" s="400"/>
      <c r="P46" s="4387">
        <f t="shared" si="94"/>
        <v>58</v>
      </c>
      <c r="Q46" s="2616"/>
      <c r="R46" s="400"/>
      <c r="S46" s="400"/>
      <c r="T46" s="4387">
        <f t="shared" si="95"/>
        <v>0</v>
      </c>
      <c r="U46" s="2616"/>
      <c r="V46" s="400"/>
      <c r="W46" s="400"/>
      <c r="X46" s="4387">
        <f t="shared" si="96"/>
        <v>0</v>
      </c>
      <c r="Y46" s="4422"/>
      <c r="Z46" s="4438">
        <f t="shared" si="14"/>
        <v>1047.6370645710517</v>
      </c>
      <c r="AA46" s="4438">
        <f t="shared" si="15"/>
        <v>57.775982575172691</v>
      </c>
      <c r="AB46" s="4438">
        <f t="shared" si="16"/>
        <v>0</v>
      </c>
      <c r="AC46" s="4438">
        <f t="shared" si="17"/>
        <v>1105.4130471462245</v>
      </c>
      <c r="AD46" s="4438">
        <f t="shared" si="18"/>
        <v>14.827464554690337</v>
      </c>
      <c r="AE46" s="4438">
        <f t="shared" si="19"/>
        <v>0</v>
      </c>
      <c r="AF46" s="4438">
        <f t="shared" si="20"/>
        <v>0</v>
      </c>
      <c r="AG46" s="4438">
        <f t="shared" si="21"/>
        <v>14.827464554690337</v>
      </c>
      <c r="AH46" s="4438">
        <f t="shared" si="22"/>
        <v>29.143637228184453</v>
      </c>
      <c r="AI46" s="4438">
        <f t="shared" si="23"/>
        <v>0.51129188119621849</v>
      </c>
      <c r="AJ46" s="4438">
        <f t="shared" si="24"/>
        <v>0</v>
      </c>
      <c r="AK46" s="4438">
        <f t="shared" si="25"/>
        <v>29.654929109380674</v>
      </c>
      <c r="AL46" s="4438">
        <f t="shared" si="26"/>
        <v>0</v>
      </c>
      <c r="AM46" s="4438">
        <f t="shared" si="27"/>
        <v>0</v>
      </c>
      <c r="AN46" s="4438">
        <f t="shared" si="28"/>
        <v>0</v>
      </c>
      <c r="AO46" s="4438">
        <f t="shared" si="29"/>
        <v>0</v>
      </c>
      <c r="AP46" s="4438">
        <f t="shared" si="30"/>
        <v>0</v>
      </c>
      <c r="AQ46" s="4438">
        <f t="shared" si="31"/>
        <v>0</v>
      </c>
      <c r="AR46" s="4438">
        <f t="shared" si="32"/>
        <v>0</v>
      </c>
      <c r="AS46" s="4438">
        <f t="shared" si="33"/>
        <v>0</v>
      </c>
    </row>
    <row r="47" spans="1:45" ht="24">
      <c r="A47" s="2515"/>
      <c r="B47" s="2516">
        <v>20306</v>
      </c>
      <c r="C47" s="2511">
        <v>0.1</v>
      </c>
      <c r="D47" s="2550" t="s">
        <v>409</v>
      </c>
      <c r="E47" s="4646">
        <v>314</v>
      </c>
      <c r="F47" s="400">
        <v>12</v>
      </c>
      <c r="G47" s="400"/>
      <c r="H47" s="4387">
        <f t="shared" si="92"/>
        <v>326</v>
      </c>
      <c r="I47" s="4646">
        <v>3</v>
      </c>
      <c r="J47" s="400"/>
      <c r="K47" s="400"/>
      <c r="L47" s="4387">
        <f t="shared" si="93"/>
        <v>3</v>
      </c>
      <c r="M47" s="4646">
        <v>8</v>
      </c>
      <c r="N47" s="400"/>
      <c r="O47" s="400"/>
      <c r="P47" s="4387">
        <f t="shared" si="94"/>
        <v>8</v>
      </c>
      <c r="Q47" s="2616"/>
      <c r="R47" s="400"/>
      <c r="S47" s="400"/>
      <c r="T47" s="4387">
        <f t="shared" si="95"/>
        <v>0</v>
      </c>
      <c r="U47" s="2616"/>
      <c r="V47" s="400"/>
      <c r="W47" s="400"/>
      <c r="X47" s="4387">
        <f t="shared" si="96"/>
        <v>0</v>
      </c>
      <c r="Y47" s="4422"/>
      <c r="Z47" s="4438">
        <f t="shared" si="14"/>
        <v>160.54565069561261</v>
      </c>
      <c r="AA47" s="4438">
        <f t="shared" si="15"/>
        <v>6.1355025743546223</v>
      </c>
      <c r="AB47" s="4438">
        <f t="shared" si="16"/>
        <v>0</v>
      </c>
      <c r="AC47" s="4438">
        <f t="shared" si="17"/>
        <v>166.68115326996724</v>
      </c>
      <c r="AD47" s="4438">
        <f t="shared" si="18"/>
        <v>1.5338756435886556</v>
      </c>
      <c r="AE47" s="4438">
        <f t="shared" si="19"/>
        <v>0</v>
      </c>
      <c r="AF47" s="4438">
        <f t="shared" si="20"/>
        <v>0</v>
      </c>
      <c r="AG47" s="4438">
        <f t="shared" si="21"/>
        <v>1.5338756435886556</v>
      </c>
      <c r="AH47" s="4438">
        <f t="shared" si="22"/>
        <v>4.0903350495697479</v>
      </c>
      <c r="AI47" s="4438">
        <f t="shared" si="23"/>
        <v>0</v>
      </c>
      <c r="AJ47" s="4438">
        <f t="shared" si="24"/>
        <v>0</v>
      </c>
      <c r="AK47" s="4438">
        <f t="shared" si="25"/>
        <v>4.0903350495697479</v>
      </c>
      <c r="AL47" s="4438">
        <f t="shared" si="26"/>
        <v>0</v>
      </c>
      <c r="AM47" s="4438">
        <f t="shared" si="27"/>
        <v>0</v>
      </c>
      <c r="AN47" s="4438">
        <f t="shared" si="28"/>
        <v>0</v>
      </c>
      <c r="AO47" s="4438">
        <f t="shared" si="29"/>
        <v>0</v>
      </c>
      <c r="AP47" s="4438">
        <f t="shared" si="30"/>
        <v>0</v>
      </c>
      <c r="AQ47" s="4438">
        <f t="shared" si="31"/>
        <v>0</v>
      </c>
      <c r="AR47" s="4438">
        <f t="shared" si="32"/>
        <v>0</v>
      </c>
      <c r="AS47" s="4438">
        <f t="shared" si="33"/>
        <v>0</v>
      </c>
    </row>
    <row r="48" spans="1:45">
      <c r="A48" s="2515">
        <v>4</v>
      </c>
      <c r="B48" s="2516">
        <v>20403</v>
      </c>
      <c r="C48" s="2522">
        <v>0.04</v>
      </c>
      <c r="D48" s="2552" t="s">
        <v>434</v>
      </c>
      <c r="E48" s="4647">
        <v>132</v>
      </c>
      <c r="F48" s="400">
        <v>0</v>
      </c>
      <c r="G48" s="400"/>
      <c r="H48" s="4387">
        <f t="shared" si="92"/>
        <v>132</v>
      </c>
      <c r="I48" s="4647">
        <v>1</v>
      </c>
      <c r="J48" s="400"/>
      <c r="K48" s="400"/>
      <c r="L48" s="4387">
        <f t="shared" si="93"/>
        <v>1</v>
      </c>
      <c r="M48" s="4647">
        <v>1</v>
      </c>
      <c r="N48" s="400"/>
      <c r="O48" s="400"/>
      <c r="P48" s="4387">
        <f t="shared" si="94"/>
        <v>1</v>
      </c>
      <c r="Q48" s="2616"/>
      <c r="R48" s="400"/>
      <c r="S48" s="400"/>
      <c r="T48" s="4387">
        <f t="shared" si="95"/>
        <v>0</v>
      </c>
      <c r="U48" s="2616"/>
      <c r="V48" s="400"/>
      <c r="W48" s="400"/>
      <c r="X48" s="4387">
        <f t="shared" si="96"/>
        <v>0</v>
      </c>
      <c r="Y48" s="4422"/>
      <c r="Z48" s="4438">
        <f t="shared" si="14"/>
        <v>67.490528317900839</v>
      </c>
      <c r="AA48" s="4438">
        <f t="shared" si="15"/>
        <v>0</v>
      </c>
      <c r="AB48" s="4438">
        <f t="shared" si="16"/>
        <v>0</v>
      </c>
      <c r="AC48" s="4438">
        <f t="shared" si="17"/>
        <v>67.490528317900839</v>
      </c>
      <c r="AD48" s="4438">
        <f t="shared" si="18"/>
        <v>0.51129188119621849</v>
      </c>
      <c r="AE48" s="4438">
        <f t="shared" si="19"/>
        <v>0</v>
      </c>
      <c r="AF48" s="4438">
        <f t="shared" si="20"/>
        <v>0</v>
      </c>
      <c r="AG48" s="4438">
        <f t="shared" si="21"/>
        <v>0.51129188119621849</v>
      </c>
      <c r="AH48" s="4438">
        <f t="shared" si="22"/>
        <v>0.51129188119621849</v>
      </c>
      <c r="AI48" s="4438">
        <f t="shared" si="23"/>
        <v>0</v>
      </c>
      <c r="AJ48" s="4438">
        <f t="shared" si="24"/>
        <v>0</v>
      </c>
      <c r="AK48" s="4438">
        <f t="shared" si="25"/>
        <v>0.51129188119621849</v>
      </c>
      <c r="AL48" s="4438">
        <f t="shared" si="26"/>
        <v>0</v>
      </c>
      <c r="AM48" s="4438">
        <f t="shared" si="27"/>
        <v>0</v>
      </c>
      <c r="AN48" s="4438">
        <f t="shared" si="28"/>
        <v>0</v>
      </c>
      <c r="AO48" s="4438">
        <f t="shared" si="29"/>
        <v>0</v>
      </c>
      <c r="AP48" s="4438">
        <f t="shared" si="30"/>
        <v>0</v>
      </c>
      <c r="AQ48" s="4438">
        <f t="shared" si="31"/>
        <v>0</v>
      </c>
      <c r="AR48" s="4438">
        <f t="shared" si="32"/>
        <v>0</v>
      </c>
      <c r="AS48" s="4438">
        <f t="shared" si="33"/>
        <v>0</v>
      </c>
    </row>
    <row r="49" spans="1:45">
      <c r="A49" s="2515">
        <v>5</v>
      </c>
      <c r="B49" s="2516">
        <v>205</v>
      </c>
      <c r="C49" s="2511"/>
      <c r="D49" s="2547" t="s">
        <v>212</v>
      </c>
      <c r="E49" s="2610">
        <f>SUM(E50:E53)</f>
        <v>2420</v>
      </c>
      <c r="F49" s="2610">
        <f t="shared" ref="F49:H49" si="97">SUM(F50:F53)</f>
        <v>172</v>
      </c>
      <c r="G49" s="2610">
        <f t="shared" si="97"/>
        <v>0</v>
      </c>
      <c r="H49" s="2610">
        <f t="shared" si="97"/>
        <v>2592</v>
      </c>
      <c r="I49" s="2610">
        <f>SUM(I50:I53)</f>
        <v>1213</v>
      </c>
      <c r="J49" s="2610">
        <f t="shared" ref="J49:L49" si="98">SUM(J50:J53)</f>
        <v>10</v>
      </c>
      <c r="K49" s="2610">
        <f t="shared" si="98"/>
        <v>0</v>
      </c>
      <c r="L49" s="2610">
        <f t="shared" si="98"/>
        <v>1223</v>
      </c>
      <c r="M49" s="2610">
        <f>SUM(M50:M53)</f>
        <v>148</v>
      </c>
      <c r="N49" s="2610">
        <f t="shared" ref="N49:P49" si="99">SUM(N50:N53)</f>
        <v>7</v>
      </c>
      <c r="O49" s="2610">
        <f t="shared" si="99"/>
        <v>0</v>
      </c>
      <c r="P49" s="2610">
        <f t="shared" si="99"/>
        <v>155</v>
      </c>
      <c r="Q49" s="2610">
        <f>SUM(Q50:Q53)</f>
        <v>0</v>
      </c>
      <c r="R49" s="2610">
        <f t="shared" ref="R49:T49" si="100">SUM(R50:R53)</f>
        <v>0</v>
      </c>
      <c r="S49" s="2610">
        <f t="shared" si="100"/>
        <v>0</v>
      </c>
      <c r="T49" s="2610">
        <f t="shared" si="100"/>
        <v>0</v>
      </c>
      <c r="U49" s="2610">
        <f>SUM(U50:U53)</f>
        <v>0</v>
      </c>
      <c r="V49" s="2610">
        <f t="shared" ref="V49:X49" si="101">SUM(V50:V53)</f>
        <v>0</v>
      </c>
      <c r="W49" s="2610">
        <f t="shared" si="101"/>
        <v>0</v>
      </c>
      <c r="X49" s="2610">
        <f t="shared" si="101"/>
        <v>0</v>
      </c>
      <c r="Y49" s="4422"/>
      <c r="Z49" s="4438">
        <f t="shared" si="14"/>
        <v>1237.3263524948488</v>
      </c>
      <c r="AA49" s="4438">
        <f t="shared" si="15"/>
        <v>87.94220356574958</v>
      </c>
      <c r="AB49" s="4438">
        <f t="shared" si="16"/>
        <v>0</v>
      </c>
      <c r="AC49" s="4438">
        <f t="shared" si="17"/>
        <v>1325.2685560605983</v>
      </c>
      <c r="AD49" s="4438">
        <f t="shared" si="18"/>
        <v>620.19705189101307</v>
      </c>
      <c r="AE49" s="4438">
        <f t="shared" si="19"/>
        <v>5.1129188119621851</v>
      </c>
      <c r="AF49" s="4438">
        <f t="shared" si="20"/>
        <v>0</v>
      </c>
      <c r="AG49" s="4438">
        <f t="shared" si="21"/>
        <v>625.30997070297519</v>
      </c>
      <c r="AH49" s="4438">
        <f t="shared" si="22"/>
        <v>75.671198417040344</v>
      </c>
      <c r="AI49" s="4438">
        <f t="shared" si="23"/>
        <v>3.5790431683735293</v>
      </c>
      <c r="AJ49" s="4438">
        <f t="shared" si="24"/>
        <v>0</v>
      </c>
      <c r="AK49" s="4438">
        <f t="shared" si="25"/>
        <v>79.25024158541386</v>
      </c>
      <c r="AL49" s="4438">
        <f t="shared" si="26"/>
        <v>0</v>
      </c>
      <c r="AM49" s="4438">
        <f t="shared" si="27"/>
        <v>0</v>
      </c>
      <c r="AN49" s="4438">
        <f t="shared" si="28"/>
        <v>0</v>
      </c>
      <c r="AO49" s="4438">
        <f t="shared" si="29"/>
        <v>0</v>
      </c>
      <c r="AP49" s="4438">
        <f t="shared" si="30"/>
        <v>0</v>
      </c>
      <c r="AQ49" s="4438">
        <f t="shared" si="31"/>
        <v>0</v>
      </c>
      <c r="AR49" s="4438">
        <f t="shared" si="32"/>
        <v>0</v>
      </c>
      <c r="AS49" s="4438">
        <f t="shared" si="33"/>
        <v>0</v>
      </c>
    </row>
    <row r="50" spans="1:45">
      <c r="A50" s="2526"/>
      <c r="B50" s="2527">
        <v>20501</v>
      </c>
      <c r="C50" s="2511">
        <v>0.08</v>
      </c>
      <c r="D50" s="2553" t="s">
        <v>410</v>
      </c>
      <c r="E50" s="4646">
        <v>1479</v>
      </c>
      <c r="F50" s="400">
        <v>63</v>
      </c>
      <c r="G50" s="400"/>
      <c r="H50" s="4387">
        <f t="shared" ref="H50:H64" si="102">+E50+F50-G50</f>
        <v>1542</v>
      </c>
      <c r="I50" s="2616">
        <v>1156</v>
      </c>
      <c r="J50" s="400">
        <v>7</v>
      </c>
      <c r="K50" s="400"/>
      <c r="L50" s="4387">
        <f t="shared" ref="L50:L64" si="103">+I50+J50-K50</f>
        <v>1163</v>
      </c>
      <c r="M50" s="2616">
        <v>10</v>
      </c>
      <c r="N50" s="400"/>
      <c r="O50" s="400"/>
      <c r="P50" s="4387">
        <f t="shared" ref="P50:P64" si="104">+M50+N50-O50</f>
        <v>10</v>
      </c>
      <c r="Q50" s="2616"/>
      <c r="R50" s="400"/>
      <c r="S50" s="400"/>
      <c r="T50" s="4387">
        <f t="shared" ref="T50:T64" si="105">+Q50+R50-S50</f>
        <v>0</v>
      </c>
      <c r="U50" s="2616"/>
      <c r="V50" s="400"/>
      <c r="W50" s="400"/>
      <c r="X50" s="4387">
        <f t="shared" ref="X50:X64" si="106">+U50+V50-W50</f>
        <v>0</v>
      </c>
      <c r="Y50" s="4422"/>
      <c r="Z50" s="4438">
        <f t="shared" si="14"/>
        <v>756.20069228920715</v>
      </c>
      <c r="AA50" s="4438">
        <f t="shared" si="15"/>
        <v>32.211388515361769</v>
      </c>
      <c r="AB50" s="4438">
        <f t="shared" si="16"/>
        <v>0</v>
      </c>
      <c r="AC50" s="4438">
        <f t="shared" si="17"/>
        <v>788.41208080456897</v>
      </c>
      <c r="AD50" s="4438">
        <f t="shared" si="18"/>
        <v>591.05341466282857</v>
      </c>
      <c r="AE50" s="4438">
        <f t="shared" si="19"/>
        <v>3.5790431683735293</v>
      </c>
      <c r="AF50" s="4438">
        <f t="shared" si="20"/>
        <v>0</v>
      </c>
      <c r="AG50" s="4438">
        <f t="shared" si="21"/>
        <v>594.63245783120215</v>
      </c>
      <c r="AH50" s="4438">
        <f t="shared" si="22"/>
        <v>5.1129188119621851</v>
      </c>
      <c r="AI50" s="4438">
        <f t="shared" si="23"/>
        <v>0</v>
      </c>
      <c r="AJ50" s="4438">
        <f t="shared" si="24"/>
        <v>0</v>
      </c>
      <c r="AK50" s="4438">
        <f t="shared" si="25"/>
        <v>5.1129188119621851</v>
      </c>
      <c r="AL50" s="4438">
        <f t="shared" si="26"/>
        <v>0</v>
      </c>
      <c r="AM50" s="4438">
        <f t="shared" si="27"/>
        <v>0</v>
      </c>
      <c r="AN50" s="4438">
        <f t="shared" si="28"/>
        <v>0</v>
      </c>
      <c r="AO50" s="4438">
        <f t="shared" si="29"/>
        <v>0</v>
      </c>
      <c r="AP50" s="4438">
        <f t="shared" si="30"/>
        <v>0</v>
      </c>
      <c r="AQ50" s="4438">
        <f t="shared" si="31"/>
        <v>0</v>
      </c>
      <c r="AR50" s="4438">
        <f t="shared" si="32"/>
        <v>0</v>
      </c>
      <c r="AS50" s="4438">
        <f t="shared" si="33"/>
        <v>0</v>
      </c>
    </row>
    <row r="51" spans="1:45">
      <c r="A51" s="2526"/>
      <c r="B51" s="2527">
        <v>20502</v>
      </c>
      <c r="C51" s="2511">
        <v>0.1</v>
      </c>
      <c r="D51" s="2553" t="s">
        <v>411</v>
      </c>
      <c r="E51" s="4646">
        <v>460</v>
      </c>
      <c r="F51" s="400">
        <v>91</v>
      </c>
      <c r="G51" s="400"/>
      <c r="H51" s="4387">
        <f t="shared" si="102"/>
        <v>551</v>
      </c>
      <c r="I51" s="2616">
        <v>28</v>
      </c>
      <c r="J51" s="400"/>
      <c r="K51" s="400"/>
      <c r="L51" s="4387">
        <f t="shared" si="103"/>
        <v>28</v>
      </c>
      <c r="M51" s="2616">
        <v>63</v>
      </c>
      <c r="N51" s="400">
        <v>1</v>
      </c>
      <c r="O51" s="400"/>
      <c r="P51" s="4387">
        <f t="shared" si="104"/>
        <v>64</v>
      </c>
      <c r="Q51" s="2616"/>
      <c r="R51" s="400"/>
      <c r="S51" s="400"/>
      <c r="T51" s="4387">
        <f t="shared" si="105"/>
        <v>0</v>
      </c>
      <c r="U51" s="2616"/>
      <c r="V51" s="400"/>
      <c r="W51" s="400"/>
      <c r="X51" s="4387">
        <f t="shared" si="106"/>
        <v>0</v>
      </c>
      <c r="Y51" s="4422"/>
      <c r="Z51" s="4438">
        <f t="shared" si="14"/>
        <v>235.19426535026051</v>
      </c>
      <c r="AA51" s="4438">
        <f t="shared" si="15"/>
        <v>46.527561188855884</v>
      </c>
      <c r="AB51" s="4438">
        <f t="shared" si="16"/>
        <v>0</v>
      </c>
      <c r="AC51" s="4438">
        <f t="shared" si="17"/>
        <v>281.72182653911636</v>
      </c>
      <c r="AD51" s="4438">
        <f t="shared" si="18"/>
        <v>14.316172673494117</v>
      </c>
      <c r="AE51" s="4438">
        <f t="shared" si="19"/>
        <v>0</v>
      </c>
      <c r="AF51" s="4438">
        <f t="shared" si="20"/>
        <v>0</v>
      </c>
      <c r="AG51" s="4438">
        <f t="shared" si="21"/>
        <v>14.316172673494117</v>
      </c>
      <c r="AH51" s="4438">
        <f t="shared" si="22"/>
        <v>32.211388515361769</v>
      </c>
      <c r="AI51" s="4438">
        <f t="shared" si="23"/>
        <v>0.51129188119621849</v>
      </c>
      <c r="AJ51" s="4438">
        <f t="shared" si="24"/>
        <v>0</v>
      </c>
      <c r="AK51" s="4438">
        <f t="shared" si="25"/>
        <v>32.722680396557983</v>
      </c>
      <c r="AL51" s="4438">
        <f t="shared" si="26"/>
        <v>0</v>
      </c>
      <c r="AM51" s="4438">
        <f t="shared" si="27"/>
        <v>0</v>
      </c>
      <c r="AN51" s="4438">
        <f t="shared" si="28"/>
        <v>0</v>
      </c>
      <c r="AO51" s="4438">
        <f t="shared" si="29"/>
        <v>0</v>
      </c>
      <c r="AP51" s="4438">
        <f t="shared" si="30"/>
        <v>0</v>
      </c>
      <c r="AQ51" s="4438">
        <f t="shared" si="31"/>
        <v>0</v>
      </c>
      <c r="AR51" s="4438">
        <f t="shared" si="32"/>
        <v>0</v>
      </c>
      <c r="AS51" s="4438">
        <f t="shared" si="33"/>
        <v>0</v>
      </c>
    </row>
    <row r="52" spans="1:45">
      <c r="A52" s="2526"/>
      <c r="B52" s="2527">
        <v>20503</v>
      </c>
      <c r="C52" s="2511">
        <v>0.1</v>
      </c>
      <c r="D52" s="2550" t="s">
        <v>412</v>
      </c>
      <c r="E52" s="4646">
        <v>466</v>
      </c>
      <c r="F52" s="400">
        <v>18</v>
      </c>
      <c r="G52" s="400"/>
      <c r="H52" s="4387">
        <f t="shared" si="102"/>
        <v>484</v>
      </c>
      <c r="I52" s="2616">
        <v>29</v>
      </c>
      <c r="J52" s="400">
        <v>3</v>
      </c>
      <c r="K52" s="400"/>
      <c r="L52" s="4387">
        <f t="shared" si="103"/>
        <v>32</v>
      </c>
      <c r="M52" s="2616">
        <v>75</v>
      </c>
      <c r="N52" s="400">
        <v>6</v>
      </c>
      <c r="O52" s="400"/>
      <c r="P52" s="4387">
        <f t="shared" si="104"/>
        <v>81</v>
      </c>
      <c r="Q52" s="2616"/>
      <c r="R52" s="400"/>
      <c r="S52" s="400"/>
      <c r="T52" s="4387">
        <f t="shared" si="105"/>
        <v>0</v>
      </c>
      <c r="U52" s="2616"/>
      <c r="V52" s="400"/>
      <c r="W52" s="400"/>
      <c r="X52" s="4387">
        <f t="shared" si="106"/>
        <v>0</v>
      </c>
      <c r="Y52" s="4422"/>
      <c r="Z52" s="4438">
        <f t="shared" si="14"/>
        <v>238.26201663743782</v>
      </c>
      <c r="AA52" s="4438">
        <f t="shared" si="15"/>
        <v>9.2032538615319321</v>
      </c>
      <c r="AB52" s="4438">
        <f t="shared" si="16"/>
        <v>0</v>
      </c>
      <c r="AC52" s="4438">
        <f t="shared" si="17"/>
        <v>247.46527049896974</v>
      </c>
      <c r="AD52" s="4438">
        <f t="shared" si="18"/>
        <v>14.827464554690337</v>
      </c>
      <c r="AE52" s="4438">
        <f t="shared" si="19"/>
        <v>1.5338756435886556</v>
      </c>
      <c r="AF52" s="4438">
        <f t="shared" si="20"/>
        <v>0</v>
      </c>
      <c r="AG52" s="4438">
        <f t="shared" si="21"/>
        <v>16.361340198278992</v>
      </c>
      <c r="AH52" s="4438">
        <f t="shared" si="22"/>
        <v>38.346891089716387</v>
      </c>
      <c r="AI52" s="4438">
        <f t="shared" si="23"/>
        <v>3.0677512871773112</v>
      </c>
      <c r="AJ52" s="4438">
        <f t="shared" si="24"/>
        <v>0</v>
      </c>
      <c r="AK52" s="4438">
        <f t="shared" si="25"/>
        <v>41.414642376893696</v>
      </c>
      <c r="AL52" s="4438">
        <f t="shared" si="26"/>
        <v>0</v>
      </c>
      <c r="AM52" s="4438">
        <f t="shared" si="27"/>
        <v>0</v>
      </c>
      <c r="AN52" s="4438">
        <f t="shared" si="28"/>
        <v>0</v>
      </c>
      <c r="AO52" s="4438">
        <f t="shared" si="29"/>
        <v>0</v>
      </c>
      <c r="AP52" s="4438">
        <f t="shared" si="30"/>
        <v>0</v>
      </c>
      <c r="AQ52" s="4438">
        <f t="shared" si="31"/>
        <v>0</v>
      </c>
      <c r="AR52" s="4438">
        <f t="shared" si="32"/>
        <v>0</v>
      </c>
      <c r="AS52" s="4438">
        <f t="shared" si="33"/>
        <v>0</v>
      </c>
    </row>
    <row r="53" spans="1:45" ht="24">
      <c r="A53" s="2526"/>
      <c r="B53" s="2527">
        <v>20504</v>
      </c>
      <c r="C53" s="2511">
        <v>0.1</v>
      </c>
      <c r="D53" s="2550" t="s">
        <v>557</v>
      </c>
      <c r="E53" s="4646">
        <v>15</v>
      </c>
      <c r="F53" s="400">
        <v>0</v>
      </c>
      <c r="G53" s="400"/>
      <c r="H53" s="4387">
        <f t="shared" si="102"/>
        <v>15</v>
      </c>
      <c r="I53" s="2616">
        <v>0</v>
      </c>
      <c r="J53" s="400"/>
      <c r="K53" s="400"/>
      <c r="L53" s="4387">
        <f t="shared" si="103"/>
        <v>0</v>
      </c>
      <c r="M53" s="2616">
        <v>0</v>
      </c>
      <c r="N53" s="400"/>
      <c r="O53" s="400"/>
      <c r="P53" s="4387">
        <f t="shared" si="104"/>
        <v>0</v>
      </c>
      <c r="Q53" s="2616"/>
      <c r="R53" s="400"/>
      <c r="S53" s="400"/>
      <c r="T53" s="4387">
        <f t="shared" si="105"/>
        <v>0</v>
      </c>
      <c r="U53" s="2616"/>
      <c r="V53" s="400"/>
      <c r="W53" s="400"/>
      <c r="X53" s="4387">
        <f t="shared" si="106"/>
        <v>0</v>
      </c>
      <c r="Y53" s="4422"/>
      <c r="Z53" s="4438">
        <f t="shared" si="14"/>
        <v>7.6693782179432777</v>
      </c>
      <c r="AA53" s="4438">
        <f t="shared" si="15"/>
        <v>0</v>
      </c>
      <c r="AB53" s="4438">
        <f t="shared" si="16"/>
        <v>0</v>
      </c>
      <c r="AC53" s="4438">
        <f t="shared" si="17"/>
        <v>7.6693782179432777</v>
      </c>
      <c r="AD53" s="4438">
        <f t="shared" si="18"/>
        <v>0</v>
      </c>
      <c r="AE53" s="4438">
        <f t="shared" si="19"/>
        <v>0</v>
      </c>
      <c r="AF53" s="4438">
        <f t="shared" si="20"/>
        <v>0</v>
      </c>
      <c r="AG53" s="4438">
        <f t="shared" si="21"/>
        <v>0</v>
      </c>
      <c r="AH53" s="4438">
        <f t="shared" si="22"/>
        <v>0</v>
      </c>
      <c r="AI53" s="4438">
        <f t="shared" si="23"/>
        <v>0</v>
      </c>
      <c r="AJ53" s="4438">
        <f t="shared" si="24"/>
        <v>0</v>
      </c>
      <c r="AK53" s="4438">
        <f t="shared" si="25"/>
        <v>0</v>
      </c>
      <c r="AL53" s="4438">
        <f t="shared" si="26"/>
        <v>0</v>
      </c>
      <c r="AM53" s="4438">
        <f t="shared" si="27"/>
        <v>0</v>
      </c>
      <c r="AN53" s="4438">
        <f t="shared" si="28"/>
        <v>0</v>
      </c>
      <c r="AO53" s="4438">
        <f t="shared" si="29"/>
        <v>0</v>
      </c>
      <c r="AP53" s="4438">
        <f t="shared" si="30"/>
        <v>0</v>
      </c>
      <c r="AQ53" s="4438">
        <f t="shared" si="31"/>
        <v>0</v>
      </c>
      <c r="AR53" s="4438">
        <f t="shared" si="32"/>
        <v>0</v>
      </c>
      <c r="AS53" s="4438">
        <f t="shared" si="33"/>
        <v>0</v>
      </c>
    </row>
    <row r="54" spans="1:45">
      <c r="A54" s="2526">
        <v>6</v>
      </c>
      <c r="B54" s="2527">
        <v>208</v>
      </c>
      <c r="C54" s="2511">
        <v>0.2</v>
      </c>
      <c r="D54" s="2552" t="s">
        <v>413</v>
      </c>
      <c r="E54" s="4647">
        <v>160</v>
      </c>
      <c r="F54" s="400">
        <v>7</v>
      </c>
      <c r="G54" s="400"/>
      <c r="H54" s="4387">
        <f t="shared" si="102"/>
        <v>167</v>
      </c>
      <c r="I54" s="2616">
        <v>55</v>
      </c>
      <c r="J54" s="400">
        <v>4</v>
      </c>
      <c r="K54" s="400"/>
      <c r="L54" s="4387">
        <f t="shared" si="103"/>
        <v>59</v>
      </c>
      <c r="M54" s="2616">
        <v>104</v>
      </c>
      <c r="N54" s="400">
        <v>7</v>
      </c>
      <c r="O54" s="400"/>
      <c r="P54" s="4387">
        <f t="shared" si="104"/>
        <v>111</v>
      </c>
      <c r="Q54" s="2616"/>
      <c r="R54" s="400"/>
      <c r="S54" s="400"/>
      <c r="T54" s="4387">
        <f t="shared" si="105"/>
        <v>0</v>
      </c>
      <c r="U54" s="2616"/>
      <c r="V54" s="400"/>
      <c r="W54" s="400"/>
      <c r="X54" s="4387">
        <f t="shared" si="106"/>
        <v>0</v>
      </c>
      <c r="Y54" s="4422"/>
      <c r="Z54" s="4438">
        <f t="shared" si="14"/>
        <v>81.806700991394962</v>
      </c>
      <c r="AA54" s="4438">
        <f t="shared" si="15"/>
        <v>3.5790431683735293</v>
      </c>
      <c r="AB54" s="4438">
        <f t="shared" si="16"/>
        <v>0</v>
      </c>
      <c r="AC54" s="4438">
        <f t="shared" si="17"/>
        <v>85.385744159768493</v>
      </c>
      <c r="AD54" s="4438">
        <f t="shared" si="18"/>
        <v>28.121053465792016</v>
      </c>
      <c r="AE54" s="4438">
        <f t="shared" si="19"/>
        <v>2.045167524784874</v>
      </c>
      <c r="AF54" s="4438">
        <f t="shared" si="20"/>
        <v>0</v>
      </c>
      <c r="AG54" s="4438">
        <f t="shared" si="21"/>
        <v>30.166220990576893</v>
      </c>
      <c r="AH54" s="4438">
        <f t="shared" si="22"/>
        <v>53.174355644406724</v>
      </c>
      <c r="AI54" s="4438">
        <f t="shared" si="23"/>
        <v>3.5790431683735293</v>
      </c>
      <c r="AJ54" s="4438">
        <f t="shared" si="24"/>
        <v>0</v>
      </c>
      <c r="AK54" s="4438">
        <f t="shared" si="25"/>
        <v>56.753398812780254</v>
      </c>
      <c r="AL54" s="4438">
        <f t="shared" si="26"/>
        <v>0</v>
      </c>
      <c r="AM54" s="4438">
        <f t="shared" si="27"/>
        <v>0</v>
      </c>
      <c r="AN54" s="4438">
        <f t="shared" si="28"/>
        <v>0</v>
      </c>
      <c r="AO54" s="4438">
        <f t="shared" si="29"/>
        <v>0</v>
      </c>
      <c r="AP54" s="4438">
        <f t="shared" si="30"/>
        <v>0</v>
      </c>
      <c r="AQ54" s="4438">
        <f t="shared" si="31"/>
        <v>0</v>
      </c>
      <c r="AR54" s="4438">
        <f t="shared" si="32"/>
        <v>0</v>
      </c>
      <c r="AS54" s="4438">
        <f t="shared" si="33"/>
        <v>0</v>
      </c>
    </row>
    <row r="55" spans="1:45">
      <c r="A55" s="2526">
        <v>7</v>
      </c>
      <c r="B55" s="2530">
        <v>20601</v>
      </c>
      <c r="C55" s="2522">
        <v>0.1</v>
      </c>
      <c r="D55" s="2552" t="s">
        <v>564</v>
      </c>
      <c r="E55" s="4647">
        <v>49</v>
      </c>
      <c r="F55" s="400">
        <v>1</v>
      </c>
      <c r="G55" s="400"/>
      <c r="H55" s="4387">
        <f t="shared" si="102"/>
        <v>50</v>
      </c>
      <c r="I55" s="2616">
        <v>9</v>
      </c>
      <c r="J55" s="400"/>
      <c r="K55" s="400"/>
      <c r="L55" s="4387">
        <f t="shared" si="103"/>
        <v>9</v>
      </c>
      <c r="M55" s="2616">
        <v>20</v>
      </c>
      <c r="N55" s="400">
        <v>2</v>
      </c>
      <c r="O55" s="400"/>
      <c r="P55" s="4387">
        <f t="shared" si="104"/>
        <v>22</v>
      </c>
      <c r="Q55" s="2616"/>
      <c r="R55" s="400"/>
      <c r="S55" s="400"/>
      <c r="T55" s="4387">
        <f t="shared" si="105"/>
        <v>0</v>
      </c>
      <c r="U55" s="2616"/>
      <c r="V55" s="400"/>
      <c r="W55" s="400"/>
      <c r="X55" s="4387">
        <f t="shared" si="106"/>
        <v>0</v>
      </c>
      <c r="Y55" s="4422"/>
      <c r="Z55" s="4438">
        <f t="shared" si="14"/>
        <v>25.053302178614707</v>
      </c>
      <c r="AA55" s="4438">
        <f t="shared" si="15"/>
        <v>0.51129188119621849</v>
      </c>
      <c r="AB55" s="4438">
        <f t="shared" si="16"/>
        <v>0</v>
      </c>
      <c r="AC55" s="4438">
        <f t="shared" si="17"/>
        <v>25.564594059810926</v>
      </c>
      <c r="AD55" s="4438">
        <f t="shared" si="18"/>
        <v>4.6016269307659661</v>
      </c>
      <c r="AE55" s="4438">
        <f t="shared" si="19"/>
        <v>0</v>
      </c>
      <c r="AF55" s="4438">
        <f t="shared" si="20"/>
        <v>0</v>
      </c>
      <c r="AG55" s="4438">
        <f t="shared" si="21"/>
        <v>4.6016269307659661</v>
      </c>
      <c r="AH55" s="4438">
        <f t="shared" si="22"/>
        <v>10.22583762392437</v>
      </c>
      <c r="AI55" s="4438">
        <f t="shared" si="23"/>
        <v>1.022583762392437</v>
      </c>
      <c r="AJ55" s="4438">
        <f t="shared" si="24"/>
        <v>0</v>
      </c>
      <c r="AK55" s="4438">
        <f t="shared" si="25"/>
        <v>11.248421386316807</v>
      </c>
      <c r="AL55" s="4438">
        <f t="shared" si="26"/>
        <v>0</v>
      </c>
      <c r="AM55" s="4438">
        <f t="shared" si="27"/>
        <v>0</v>
      </c>
      <c r="AN55" s="4438">
        <f t="shared" si="28"/>
        <v>0</v>
      </c>
      <c r="AO55" s="4438">
        <f t="shared" si="29"/>
        <v>0</v>
      </c>
      <c r="AP55" s="4438">
        <f t="shared" si="30"/>
        <v>0</v>
      </c>
      <c r="AQ55" s="4438">
        <f t="shared" si="31"/>
        <v>0</v>
      </c>
      <c r="AR55" s="4438">
        <f t="shared" si="32"/>
        <v>0</v>
      </c>
      <c r="AS55" s="4438">
        <f t="shared" si="33"/>
        <v>0</v>
      </c>
    </row>
    <row r="56" spans="1:45">
      <c r="A56" s="2531">
        <v>8</v>
      </c>
      <c r="B56" s="2530">
        <v>20602</v>
      </c>
      <c r="C56" s="2522">
        <v>0.1</v>
      </c>
      <c r="D56" s="2552" t="s">
        <v>435</v>
      </c>
      <c r="E56" s="4647">
        <v>39</v>
      </c>
      <c r="F56" s="400">
        <v>6</v>
      </c>
      <c r="G56" s="400"/>
      <c r="H56" s="4387">
        <f t="shared" si="102"/>
        <v>45</v>
      </c>
      <c r="I56" s="2616">
        <v>23</v>
      </c>
      <c r="J56" s="400">
        <v>3</v>
      </c>
      <c r="K56" s="400"/>
      <c r="L56" s="4387">
        <f t="shared" si="103"/>
        <v>26</v>
      </c>
      <c r="M56" s="2616">
        <v>47</v>
      </c>
      <c r="N56" s="400">
        <v>6</v>
      </c>
      <c r="O56" s="400"/>
      <c r="P56" s="4387">
        <f t="shared" si="104"/>
        <v>53</v>
      </c>
      <c r="Q56" s="2616"/>
      <c r="R56" s="400"/>
      <c r="S56" s="400"/>
      <c r="T56" s="4387">
        <f t="shared" si="105"/>
        <v>0</v>
      </c>
      <c r="U56" s="2616"/>
      <c r="V56" s="400"/>
      <c r="W56" s="400"/>
      <c r="X56" s="4387">
        <f t="shared" si="106"/>
        <v>0</v>
      </c>
      <c r="Y56" s="4422"/>
      <c r="Z56" s="4438">
        <f t="shared" si="14"/>
        <v>19.940383366652522</v>
      </c>
      <c r="AA56" s="4438">
        <f t="shared" si="15"/>
        <v>3.0677512871773112</v>
      </c>
      <c r="AB56" s="4438">
        <f t="shared" si="16"/>
        <v>0</v>
      </c>
      <c r="AC56" s="4438">
        <f t="shared" si="17"/>
        <v>23.008134653829831</v>
      </c>
      <c r="AD56" s="4438">
        <f t="shared" si="18"/>
        <v>11.759713267513025</v>
      </c>
      <c r="AE56" s="4438">
        <f t="shared" si="19"/>
        <v>1.5338756435886556</v>
      </c>
      <c r="AF56" s="4438">
        <f t="shared" si="20"/>
        <v>0</v>
      </c>
      <c r="AG56" s="4438">
        <f t="shared" si="21"/>
        <v>13.293588911101681</v>
      </c>
      <c r="AH56" s="4438">
        <f t="shared" si="22"/>
        <v>24.030718416222268</v>
      </c>
      <c r="AI56" s="4438">
        <f t="shared" si="23"/>
        <v>3.0677512871773112</v>
      </c>
      <c r="AJ56" s="4438">
        <f t="shared" si="24"/>
        <v>0</v>
      </c>
      <c r="AK56" s="4438">
        <f t="shared" si="25"/>
        <v>27.09846970339958</v>
      </c>
      <c r="AL56" s="4438">
        <f t="shared" si="26"/>
        <v>0</v>
      </c>
      <c r="AM56" s="4438">
        <f t="shared" si="27"/>
        <v>0</v>
      </c>
      <c r="AN56" s="4438">
        <f t="shared" si="28"/>
        <v>0</v>
      </c>
      <c r="AO56" s="4438">
        <f t="shared" si="29"/>
        <v>0</v>
      </c>
      <c r="AP56" s="4438">
        <f t="shared" si="30"/>
        <v>0</v>
      </c>
      <c r="AQ56" s="4438">
        <f t="shared" si="31"/>
        <v>0</v>
      </c>
      <c r="AR56" s="4438">
        <f t="shared" si="32"/>
        <v>0</v>
      </c>
      <c r="AS56" s="4438">
        <f t="shared" si="33"/>
        <v>0</v>
      </c>
    </row>
    <row r="57" spans="1:45">
      <c r="A57" s="2531">
        <v>9</v>
      </c>
      <c r="B57" s="2527">
        <v>20603</v>
      </c>
      <c r="C57" s="2522">
        <v>0.5</v>
      </c>
      <c r="D57" s="2552" t="s">
        <v>1015</v>
      </c>
      <c r="E57" s="4647">
        <v>3</v>
      </c>
      <c r="F57" s="400">
        <v>1</v>
      </c>
      <c r="G57" s="400"/>
      <c r="H57" s="4387">
        <f t="shared" si="102"/>
        <v>4</v>
      </c>
      <c r="I57" s="2616">
        <v>1</v>
      </c>
      <c r="J57" s="400">
        <v>1</v>
      </c>
      <c r="K57" s="400"/>
      <c r="L57" s="4387">
        <f t="shared" si="103"/>
        <v>2</v>
      </c>
      <c r="M57" s="2616">
        <v>2</v>
      </c>
      <c r="N57" s="400">
        <v>2</v>
      </c>
      <c r="O57" s="400"/>
      <c r="P57" s="4387">
        <f t="shared" si="104"/>
        <v>4</v>
      </c>
      <c r="Q57" s="2616"/>
      <c r="R57" s="400"/>
      <c r="S57" s="400"/>
      <c r="T57" s="4387">
        <f t="shared" si="105"/>
        <v>0</v>
      </c>
      <c r="U57" s="2616"/>
      <c r="V57" s="400"/>
      <c r="W57" s="400"/>
      <c r="X57" s="4387">
        <f t="shared" si="106"/>
        <v>0</v>
      </c>
      <c r="Y57" s="4422"/>
      <c r="Z57" s="4438">
        <f t="shared" si="14"/>
        <v>1.5338756435886556</v>
      </c>
      <c r="AA57" s="4438">
        <f t="shared" si="15"/>
        <v>0.51129188119621849</v>
      </c>
      <c r="AB57" s="4438">
        <f t="shared" si="16"/>
        <v>0</v>
      </c>
      <c r="AC57" s="4438">
        <f t="shared" si="17"/>
        <v>2.045167524784874</v>
      </c>
      <c r="AD57" s="4438">
        <f t="shared" si="18"/>
        <v>0.51129188119621849</v>
      </c>
      <c r="AE57" s="4438">
        <f t="shared" si="19"/>
        <v>0.51129188119621849</v>
      </c>
      <c r="AF57" s="4438">
        <f t="shared" si="20"/>
        <v>0</v>
      </c>
      <c r="AG57" s="4438">
        <f t="shared" si="21"/>
        <v>1.022583762392437</v>
      </c>
      <c r="AH57" s="4438">
        <f t="shared" si="22"/>
        <v>1.022583762392437</v>
      </c>
      <c r="AI57" s="4438">
        <f t="shared" si="23"/>
        <v>1.022583762392437</v>
      </c>
      <c r="AJ57" s="4438">
        <f t="shared" si="24"/>
        <v>0</v>
      </c>
      <c r="AK57" s="4438">
        <f t="shared" si="25"/>
        <v>2.045167524784874</v>
      </c>
      <c r="AL57" s="4438">
        <f t="shared" si="26"/>
        <v>0</v>
      </c>
      <c r="AM57" s="4438">
        <f t="shared" si="27"/>
        <v>0</v>
      </c>
      <c r="AN57" s="4438">
        <f t="shared" si="28"/>
        <v>0</v>
      </c>
      <c r="AO57" s="4438">
        <f t="shared" si="29"/>
        <v>0</v>
      </c>
      <c r="AP57" s="4438">
        <f t="shared" si="30"/>
        <v>0</v>
      </c>
      <c r="AQ57" s="4438">
        <f t="shared" si="31"/>
        <v>0</v>
      </c>
      <c r="AR57" s="4438">
        <f t="shared" si="32"/>
        <v>0</v>
      </c>
      <c r="AS57" s="4438">
        <f t="shared" si="33"/>
        <v>0</v>
      </c>
    </row>
    <row r="58" spans="1:45">
      <c r="A58" s="2531">
        <v>10</v>
      </c>
      <c r="B58" s="2527">
        <v>209</v>
      </c>
      <c r="C58" s="2511">
        <v>0.1</v>
      </c>
      <c r="D58" s="2552" t="s">
        <v>213</v>
      </c>
      <c r="E58" s="4648">
        <v>1</v>
      </c>
      <c r="F58" s="400">
        <v>0</v>
      </c>
      <c r="G58" s="400"/>
      <c r="H58" s="4387">
        <f t="shared" si="102"/>
        <v>1</v>
      </c>
      <c r="I58" s="2616"/>
      <c r="J58" s="400"/>
      <c r="K58" s="400"/>
      <c r="L58" s="4387">
        <f t="shared" si="103"/>
        <v>0</v>
      </c>
      <c r="M58" s="2616">
        <v>1</v>
      </c>
      <c r="N58" s="400"/>
      <c r="O58" s="400"/>
      <c r="P58" s="4387">
        <f t="shared" si="104"/>
        <v>1</v>
      </c>
      <c r="Q58" s="2616"/>
      <c r="R58" s="400"/>
      <c r="S58" s="400"/>
      <c r="T58" s="4387">
        <f t="shared" si="105"/>
        <v>0</v>
      </c>
      <c r="U58" s="2616"/>
      <c r="V58" s="400"/>
      <c r="W58" s="400"/>
      <c r="X58" s="4387">
        <f t="shared" si="106"/>
        <v>0</v>
      </c>
      <c r="Y58" s="4422"/>
      <c r="Z58" s="4438">
        <f t="shared" si="14"/>
        <v>0.51129188119621849</v>
      </c>
      <c r="AA58" s="4438">
        <f t="shared" si="15"/>
        <v>0</v>
      </c>
      <c r="AB58" s="4438">
        <f t="shared" si="16"/>
        <v>0</v>
      </c>
      <c r="AC58" s="4438">
        <f t="shared" si="17"/>
        <v>0.51129188119621849</v>
      </c>
      <c r="AD58" s="4438">
        <f t="shared" si="18"/>
        <v>0</v>
      </c>
      <c r="AE58" s="4438">
        <f t="shared" si="19"/>
        <v>0</v>
      </c>
      <c r="AF58" s="4438">
        <f t="shared" si="20"/>
        <v>0</v>
      </c>
      <c r="AG58" s="4438">
        <f t="shared" si="21"/>
        <v>0</v>
      </c>
      <c r="AH58" s="4438">
        <f t="shared" si="22"/>
        <v>0.51129188119621849</v>
      </c>
      <c r="AI58" s="4438">
        <f t="shared" si="23"/>
        <v>0</v>
      </c>
      <c r="AJ58" s="4438">
        <f t="shared" si="24"/>
        <v>0</v>
      </c>
      <c r="AK58" s="4438">
        <f t="shared" si="25"/>
        <v>0.51129188119621849</v>
      </c>
      <c r="AL58" s="4438">
        <f t="shared" si="26"/>
        <v>0</v>
      </c>
      <c r="AM58" s="4438">
        <f t="shared" si="27"/>
        <v>0</v>
      </c>
      <c r="AN58" s="4438">
        <f t="shared" si="28"/>
        <v>0</v>
      </c>
      <c r="AO58" s="4438">
        <f t="shared" si="29"/>
        <v>0</v>
      </c>
      <c r="AP58" s="4438">
        <f t="shared" si="30"/>
        <v>0</v>
      </c>
      <c r="AQ58" s="4438">
        <f t="shared" si="31"/>
        <v>0</v>
      </c>
      <c r="AR58" s="4438">
        <f t="shared" si="32"/>
        <v>0</v>
      </c>
      <c r="AS58" s="4438">
        <f t="shared" si="33"/>
        <v>0</v>
      </c>
    </row>
    <row r="59" spans="1:45" ht="36">
      <c r="A59" s="2531">
        <v>11</v>
      </c>
      <c r="B59" s="2527">
        <v>207</v>
      </c>
      <c r="C59" s="2511" t="s">
        <v>313</v>
      </c>
      <c r="D59" s="2552" t="s">
        <v>414</v>
      </c>
      <c r="E59" s="400">
        <v>0</v>
      </c>
      <c r="F59" s="400"/>
      <c r="G59" s="400"/>
      <c r="H59" s="4387">
        <f t="shared" si="102"/>
        <v>0</v>
      </c>
      <c r="I59" s="400">
        <v>0</v>
      </c>
      <c r="J59" s="400"/>
      <c r="K59" s="400"/>
      <c r="L59" s="4387">
        <f t="shared" si="103"/>
        <v>0</v>
      </c>
      <c r="M59" s="400">
        <v>0</v>
      </c>
      <c r="N59" s="400"/>
      <c r="O59" s="400"/>
      <c r="P59" s="4387">
        <f t="shared" si="104"/>
        <v>0</v>
      </c>
      <c r="Q59" s="400"/>
      <c r="R59" s="400"/>
      <c r="S59" s="400"/>
      <c r="T59" s="4387">
        <f t="shared" si="105"/>
        <v>0</v>
      </c>
      <c r="U59" s="400"/>
      <c r="V59" s="400"/>
      <c r="W59" s="400"/>
      <c r="X59" s="4387">
        <f t="shared" si="106"/>
        <v>0</v>
      </c>
      <c r="Y59" s="4422"/>
      <c r="Z59" s="4438">
        <f t="shared" si="14"/>
        <v>0</v>
      </c>
      <c r="AA59" s="4438">
        <f t="shared" si="15"/>
        <v>0</v>
      </c>
      <c r="AB59" s="4438">
        <f t="shared" si="16"/>
        <v>0</v>
      </c>
      <c r="AC59" s="4438">
        <f t="shared" si="17"/>
        <v>0</v>
      </c>
      <c r="AD59" s="4438">
        <f t="shared" si="18"/>
        <v>0</v>
      </c>
      <c r="AE59" s="4438">
        <f t="shared" si="19"/>
        <v>0</v>
      </c>
      <c r="AF59" s="4438">
        <f t="shared" si="20"/>
        <v>0</v>
      </c>
      <c r="AG59" s="4438">
        <f t="shared" si="21"/>
        <v>0</v>
      </c>
      <c r="AH59" s="4438">
        <f t="shared" si="22"/>
        <v>0</v>
      </c>
      <c r="AI59" s="4438">
        <f t="shared" si="23"/>
        <v>0</v>
      </c>
      <c r="AJ59" s="4438">
        <f t="shared" si="24"/>
        <v>0</v>
      </c>
      <c r="AK59" s="4438">
        <f t="shared" si="25"/>
        <v>0</v>
      </c>
      <c r="AL59" s="4438">
        <f t="shared" si="26"/>
        <v>0</v>
      </c>
      <c r="AM59" s="4438">
        <f t="shared" si="27"/>
        <v>0</v>
      </c>
      <c r="AN59" s="4438">
        <f t="shared" si="28"/>
        <v>0</v>
      </c>
      <c r="AO59" s="4438">
        <f t="shared" si="29"/>
        <v>0</v>
      </c>
      <c r="AP59" s="4438">
        <f t="shared" si="30"/>
        <v>0</v>
      </c>
      <c r="AQ59" s="4438">
        <f t="shared" si="31"/>
        <v>0</v>
      </c>
      <c r="AR59" s="4438">
        <f t="shared" si="32"/>
        <v>0</v>
      </c>
      <c r="AS59" s="4438">
        <f t="shared" si="33"/>
        <v>0</v>
      </c>
    </row>
    <row r="60" spans="1:45">
      <c r="A60" s="2531">
        <v>12</v>
      </c>
      <c r="B60" s="2527">
        <v>212</v>
      </c>
      <c r="C60" s="2522">
        <v>0.2</v>
      </c>
      <c r="D60" s="2554" t="s">
        <v>214</v>
      </c>
      <c r="E60" s="4645">
        <v>48</v>
      </c>
      <c r="F60" s="400">
        <v>8</v>
      </c>
      <c r="G60" s="400"/>
      <c r="H60" s="4387">
        <f t="shared" si="102"/>
        <v>56</v>
      </c>
      <c r="I60" s="2616">
        <v>31</v>
      </c>
      <c r="J60" s="400">
        <v>4</v>
      </c>
      <c r="K60" s="400"/>
      <c r="L60" s="4387">
        <f t="shared" si="103"/>
        <v>35</v>
      </c>
      <c r="M60" s="2616">
        <v>60</v>
      </c>
      <c r="N60" s="400">
        <v>9</v>
      </c>
      <c r="O60" s="400"/>
      <c r="P60" s="4387">
        <f t="shared" si="104"/>
        <v>69</v>
      </c>
      <c r="Q60" s="2616"/>
      <c r="R60" s="400"/>
      <c r="S60" s="400"/>
      <c r="T60" s="4387">
        <f t="shared" si="105"/>
        <v>0</v>
      </c>
      <c r="U60" s="2616"/>
      <c r="V60" s="400"/>
      <c r="W60" s="400"/>
      <c r="X60" s="4387">
        <f t="shared" si="106"/>
        <v>0</v>
      </c>
      <c r="Y60" s="4422"/>
      <c r="Z60" s="4438">
        <f t="shared" si="14"/>
        <v>24.542010297418489</v>
      </c>
      <c r="AA60" s="4438">
        <f t="shared" si="15"/>
        <v>4.0903350495697479</v>
      </c>
      <c r="AB60" s="4438">
        <f t="shared" si="16"/>
        <v>0</v>
      </c>
      <c r="AC60" s="4438">
        <f t="shared" si="17"/>
        <v>28.632345346988235</v>
      </c>
      <c r="AD60" s="4438">
        <f t="shared" si="18"/>
        <v>15.850048317082774</v>
      </c>
      <c r="AE60" s="4438">
        <f t="shared" si="19"/>
        <v>2.045167524784874</v>
      </c>
      <c r="AF60" s="4438">
        <f t="shared" si="20"/>
        <v>0</v>
      </c>
      <c r="AG60" s="4438">
        <f t="shared" si="21"/>
        <v>17.895215841867646</v>
      </c>
      <c r="AH60" s="4438">
        <f t="shared" si="22"/>
        <v>30.677512871773111</v>
      </c>
      <c r="AI60" s="4438">
        <f t="shared" si="23"/>
        <v>4.6016269307659661</v>
      </c>
      <c r="AJ60" s="4438">
        <f t="shared" si="24"/>
        <v>0</v>
      </c>
      <c r="AK60" s="4438">
        <f t="shared" si="25"/>
        <v>35.279139802539078</v>
      </c>
      <c r="AL60" s="4438">
        <f t="shared" si="26"/>
        <v>0</v>
      </c>
      <c r="AM60" s="4438">
        <f t="shared" si="27"/>
        <v>0</v>
      </c>
      <c r="AN60" s="4438">
        <f t="shared" si="28"/>
        <v>0</v>
      </c>
      <c r="AO60" s="4438">
        <f t="shared" si="29"/>
        <v>0</v>
      </c>
      <c r="AP60" s="4438">
        <f t="shared" si="30"/>
        <v>0</v>
      </c>
      <c r="AQ60" s="4438">
        <f t="shared" si="31"/>
        <v>0</v>
      </c>
      <c r="AR60" s="4438">
        <f t="shared" si="32"/>
        <v>0</v>
      </c>
      <c r="AS60" s="4438">
        <f t="shared" si="33"/>
        <v>0</v>
      </c>
    </row>
    <row r="61" spans="1:45" ht="24">
      <c r="A61" s="2531">
        <v>13</v>
      </c>
      <c r="B61" s="2526">
        <v>213</v>
      </c>
      <c r="C61" s="2533">
        <v>0.2</v>
      </c>
      <c r="D61" s="2555" t="s">
        <v>215</v>
      </c>
      <c r="E61" s="2616">
        <v>0</v>
      </c>
      <c r="F61" s="400"/>
      <c r="G61" s="400"/>
      <c r="H61" s="4387">
        <f t="shared" si="102"/>
        <v>0</v>
      </c>
      <c r="I61" s="2616">
        <v>0</v>
      </c>
      <c r="J61" s="400"/>
      <c r="K61" s="400"/>
      <c r="L61" s="4387">
        <f t="shared" si="103"/>
        <v>0</v>
      </c>
      <c r="M61" s="2616">
        <v>0</v>
      </c>
      <c r="N61" s="400"/>
      <c r="O61" s="400"/>
      <c r="P61" s="4387">
        <f t="shared" si="104"/>
        <v>0</v>
      </c>
      <c r="Q61" s="2616"/>
      <c r="R61" s="400"/>
      <c r="S61" s="400"/>
      <c r="T61" s="4387">
        <f t="shared" si="105"/>
        <v>0</v>
      </c>
      <c r="U61" s="2616"/>
      <c r="V61" s="400"/>
      <c r="W61" s="400"/>
      <c r="X61" s="4387">
        <f t="shared" si="106"/>
        <v>0</v>
      </c>
      <c r="Y61" s="4422"/>
      <c r="Z61" s="4438">
        <f t="shared" si="14"/>
        <v>0</v>
      </c>
      <c r="AA61" s="4438">
        <f t="shared" si="15"/>
        <v>0</v>
      </c>
      <c r="AB61" s="4438">
        <f t="shared" si="16"/>
        <v>0</v>
      </c>
      <c r="AC61" s="4438">
        <f t="shared" si="17"/>
        <v>0</v>
      </c>
      <c r="AD61" s="4438">
        <f t="shared" si="18"/>
        <v>0</v>
      </c>
      <c r="AE61" s="4438">
        <f t="shared" si="19"/>
        <v>0</v>
      </c>
      <c r="AF61" s="4438">
        <f t="shared" si="20"/>
        <v>0</v>
      </c>
      <c r="AG61" s="4438">
        <f t="shared" si="21"/>
        <v>0</v>
      </c>
      <c r="AH61" s="4438">
        <f t="shared" si="22"/>
        <v>0</v>
      </c>
      <c r="AI61" s="4438">
        <f t="shared" si="23"/>
        <v>0</v>
      </c>
      <c r="AJ61" s="4438">
        <f t="shared" si="24"/>
        <v>0</v>
      </c>
      <c r="AK61" s="4438">
        <f t="shared" si="25"/>
        <v>0</v>
      </c>
      <c r="AL61" s="4438">
        <f t="shared" si="26"/>
        <v>0</v>
      </c>
      <c r="AM61" s="4438">
        <f t="shared" si="27"/>
        <v>0</v>
      </c>
      <c r="AN61" s="4438">
        <f t="shared" si="28"/>
        <v>0</v>
      </c>
      <c r="AO61" s="4438">
        <f t="shared" si="29"/>
        <v>0</v>
      </c>
      <c r="AP61" s="4438">
        <f t="shared" si="30"/>
        <v>0</v>
      </c>
      <c r="AQ61" s="4438">
        <f t="shared" si="31"/>
        <v>0</v>
      </c>
      <c r="AR61" s="4438">
        <f t="shared" si="32"/>
        <v>0</v>
      </c>
      <c r="AS61" s="4438">
        <f t="shared" si="33"/>
        <v>0</v>
      </c>
    </row>
    <row r="62" spans="1:45" ht="24">
      <c r="A62" s="2531">
        <v>14</v>
      </c>
      <c r="B62" s="2600"/>
      <c r="C62" s="2600"/>
      <c r="D62" s="2556" t="s">
        <v>628</v>
      </c>
      <c r="E62" s="2616">
        <v>0</v>
      </c>
      <c r="F62" s="400"/>
      <c r="G62" s="400"/>
      <c r="H62" s="4387">
        <f t="shared" si="102"/>
        <v>0</v>
      </c>
      <c r="I62" s="2616">
        <v>0</v>
      </c>
      <c r="J62" s="400"/>
      <c r="K62" s="400"/>
      <c r="L62" s="4387">
        <f t="shared" si="103"/>
        <v>0</v>
      </c>
      <c r="M62" s="2616">
        <v>0</v>
      </c>
      <c r="N62" s="400"/>
      <c r="O62" s="400"/>
      <c r="P62" s="4387">
        <f t="shared" si="104"/>
        <v>0</v>
      </c>
      <c r="Q62" s="2616"/>
      <c r="R62" s="400"/>
      <c r="S62" s="400"/>
      <c r="T62" s="4387">
        <f t="shared" si="105"/>
        <v>0</v>
      </c>
      <c r="U62" s="2616"/>
      <c r="V62" s="400"/>
      <c r="W62" s="400"/>
      <c r="X62" s="4387">
        <f t="shared" si="106"/>
        <v>0</v>
      </c>
      <c r="Y62" s="4422"/>
      <c r="Z62" s="4438">
        <f t="shared" si="14"/>
        <v>0</v>
      </c>
      <c r="AA62" s="4438">
        <f t="shared" si="15"/>
        <v>0</v>
      </c>
      <c r="AB62" s="4438">
        <f t="shared" si="16"/>
        <v>0</v>
      </c>
      <c r="AC62" s="4438">
        <f t="shared" si="17"/>
        <v>0</v>
      </c>
      <c r="AD62" s="4438">
        <f t="shared" si="18"/>
        <v>0</v>
      </c>
      <c r="AE62" s="4438">
        <f t="shared" si="19"/>
        <v>0</v>
      </c>
      <c r="AF62" s="4438">
        <f t="shared" si="20"/>
        <v>0</v>
      </c>
      <c r="AG62" s="4438">
        <f t="shared" si="21"/>
        <v>0</v>
      </c>
      <c r="AH62" s="4438">
        <f t="shared" si="22"/>
        <v>0</v>
      </c>
      <c r="AI62" s="4438">
        <f t="shared" si="23"/>
        <v>0</v>
      </c>
      <c r="AJ62" s="4438">
        <f t="shared" si="24"/>
        <v>0</v>
      </c>
      <c r="AK62" s="4438">
        <f t="shared" si="25"/>
        <v>0</v>
      </c>
      <c r="AL62" s="4438">
        <f t="shared" si="26"/>
        <v>0</v>
      </c>
      <c r="AM62" s="4438">
        <f t="shared" si="27"/>
        <v>0</v>
      </c>
      <c r="AN62" s="4438">
        <f t="shared" si="28"/>
        <v>0</v>
      </c>
      <c r="AO62" s="4438">
        <f t="shared" si="29"/>
        <v>0</v>
      </c>
      <c r="AP62" s="4438">
        <f t="shared" si="30"/>
        <v>0</v>
      </c>
      <c r="AQ62" s="4438">
        <f t="shared" si="31"/>
        <v>0</v>
      </c>
      <c r="AR62" s="4438">
        <f t="shared" si="32"/>
        <v>0</v>
      </c>
      <c r="AS62" s="4438">
        <f t="shared" si="33"/>
        <v>0</v>
      </c>
    </row>
    <row r="63" spans="1:45" ht="24">
      <c r="A63" s="2531">
        <v>15</v>
      </c>
      <c r="B63" s="2526">
        <v>207</v>
      </c>
      <c r="C63" s="2558" t="s">
        <v>313</v>
      </c>
      <c r="D63" s="2555" t="s">
        <v>415</v>
      </c>
      <c r="E63" s="2616">
        <v>0</v>
      </c>
      <c r="F63" s="400"/>
      <c r="G63" s="400"/>
      <c r="H63" s="4387">
        <f t="shared" si="102"/>
        <v>0</v>
      </c>
      <c r="I63" s="2616">
        <v>0</v>
      </c>
      <c r="J63" s="400"/>
      <c r="K63" s="400"/>
      <c r="L63" s="4387">
        <f t="shared" si="103"/>
        <v>0</v>
      </c>
      <c r="M63" s="2616">
        <v>0</v>
      </c>
      <c r="N63" s="400"/>
      <c r="O63" s="400"/>
      <c r="P63" s="4387">
        <f t="shared" si="104"/>
        <v>0</v>
      </c>
      <c r="Q63" s="2616"/>
      <c r="R63" s="400"/>
      <c r="S63" s="400"/>
      <c r="T63" s="4387">
        <f t="shared" si="105"/>
        <v>0</v>
      </c>
      <c r="U63" s="2616"/>
      <c r="V63" s="400"/>
      <c r="W63" s="400"/>
      <c r="X63" s="4387">
        <f t="shared" si="106"/>
        <v>0</v>
      </c>
      <c r="Y63" s="4422"/>
      <c r="Z63" s="4438">
        <f t="shared" si="14"/>
        <v>0</v>
      </c>
      <c r="AA63" s="4438">
        <f t="shared" si="15"/>
        <v>0</v>
      </c>
      <c r="AB63" s="4438">
        <f t="shared" si="16"/>
        <v>0</v>
      </c>
      <c r="AC63" s="4438">
        <f t="shared" si="17"/>
        <v>0</v>
      </c>
      <c r="AD63" s="4438">
        <f t="shared" si="18"/>
        <v>0</v>
      </c>
      <c r="AE63" s="4438">
        <f t="shared" si="19"/>
        <v>0</v>
      </c>
      <c r="AF63" s="4438">
        <f t="shared" si="20"/>
        <v>0</v>
      </c>
      <c r="AG63" s="4438">
        <f t="shared" si="21"/>
        <v>0</v>
      </c>
      <c r="AH63" s="4438">
        <f t="shared" si="22"/>
        <v>0</v>
      </c>
      <c r="AI63" s="4438">
        <f t="shared" si="23"/>
        <v>0</v>
      </c>
      <c r="AJ63" s="4438">
        <f t="shared" si="24"/>
        <v>0</v>
      </c>
      <c r="AK63" s="4438">
        <f t="shared" si="25"/>
        <v>0</v>
      </c>
      <c r="AL63" s="4438">
        <f t="shared" si="26"/>
        <v>0</v>
      </c>
      <c r="AM63" s="4438">
        <f t="shared" si="27"/>
        <v>0</v>
      </c>
      <c r="AN63" s="4438">
        <f t="shared" si="28"/>
        <v>0</v>
      </c>
      <c r="AO63" s="4438">
        <f t="shared" si="29"/>
        <v>0</v>
      </c>
      <c r="AP63" s="4438">
        <f t="shared" si="30"/>
        <v>0</v>
      </c>
      <c r="AQ63" s="4438">
        <f t="shared" si="31"/>
        <v>0</v>
      </c>
      <c r="AR63" s="4438">
        <f t="shared" si="32"/>
        <v>0</v>
      </c>
      <c r="AS63" s="4438">
        <f t="shared" si="33"/>
        <v>0</v>
      </c>
    </row>
    <row r="64" spans="1:45" ht="13.5" thickBot="1">
      <c r="A64" s="2531">
        <v>16</v>
      </c>
      <c r="B64" s="2536">
        <v>219</v>
      </c>
      <c r="C64" s="2564">
        <v>0.1</v>
      </c>
      <c r="D64" s="2560" t="s">
        <v>216</v>
      </c>
      <c r="E64" s="4648">
        <v>20</v>
      </c>
      <c r="F64" s="401">
        <v>2</v>
      </c>
      <c r="G64" s="401"/>
      <c r="H64" s="4388">
        <f t="shared" si="102"/>
        <v>22</v>
      </c>
      <c r="I64" s="2616">
        <v>3</v>
      </c>
      <c r="J64" s="401">
        <v>2</v>
      </c>
      <c r="K64" s="401"/>
      <c r="L64" s="4388">
        <f t="shared" si="103"/>
        <v>5</v>
      </c>
      <c r="M64" s="2616">
        <v>6</v>
      </c>
      <c r="N64" s="401">
        <v>3</v>
      </c>
      <c r="O64" s="401"/>
      <c r="P64" s="4388">
        <f t="shared" si="104"/>
        <v>9</v>
      </c>
      <c r="Q64" s="2616"/>
      <c r="R64" s="401"/>
      <c r="S64" s="401"/>
      <c r="T64" s="4388">
        <f t="shared" si="105"/>
        <v>0</v>
      </c>
      <c r="U64" s="2616"/>
      <c r="V64" s="401"/>
      <c r="W64" s="401"/>
      <c r="X64" s="4388">
        <f t="shared" si="106"/>
        <v>0</v>
      </c>
      <c r="Y64" s="4422"/>
      <c r="Z64" s="4438">
        <f t="shared" si="14"/>
        <v>10.22583762392437</v>
      </c>
      <c r="AA64" s="4438">
        <f t="shared" si="15"/>
        <v>1.022583762392437</v>
      </c>
      <c r="AB64" s="4438">
        <f t="shared" si="16"/>
        <v>0</v>
      </c>
      <c r="AC64" s="4438">
        <f t="shared" si="17"/>
        <v>11.248421386316807</v>
      </c>
      <c r="AD64" s="4438">
        <f t="shared" si="18"/>
        <v>1.5338756435886556</v>
      </c>
      <c r="AE64" s="4438">
        <f t="shared" si="19"/>
        <v>1.022583762392437</v>
      </c>
      <c r="AF64" s="4438">
        <f t="shared" si="20"/>
        <v>0</v>
      </c>
      <c r="AG64" s="4438">
        <f t="shared" si="21"/>
        <v>2.5564594059810926</v>
      </c>
      <c r="AH64" s="4438">
        <f t="shared" si="22"/>
        <v>3.0677512871773112</v>
      </c>
      <c r="AI64" s="4438">
        <f t="shared" si="23"/>
        <v>1.5338756435886556</v>
      </c>
      <c r="AJ64" s="4438">
        <f t="shared" si="24"/>
        <v>0</v>
      </c>
      <c r="AK64" s="4438">
        <f t="shared" si="25"/>
        <v>4.6016269307659661</v>
      </c>
      <c r="AL64" s="4438">
        <f t="shared" si="26"/>
        <v>0</v>
      </c>
      <c r="AM64" s="4438">
        <f t="shared" si="27"/>
        <v>0</v>
      </c>
      <c r="AN64" s="4438">
        <f t="shared" si="28"/>
        <v>0</v>
      </c>
      <c r="AO64" s="4438">
        <f t="shared" si="29"/>
        <v>0</v>
      </c>
      <c r="AP64" s="4438">
        <f t="shared" si="30"/>
        <v>0</v>
      </c>
      <c r="AQ64" s="4438">
        <f t="shared" si="31"/>
        <v>0</v>
      </c>
      <c r="AR64" s="4438">
        <f t="shared" si="32"/>
        <v>0</v>
      </c>
      <c r="AS64" s="4438">
        <f t="shared" si="33"/>
        <v>0</v>
      </c>
    </row>
    <row r="65" spans="1:45" ht="13.5" thickBot="1">
      <c r="A65" s="3685" t="s">
        <v>219</v>
      </c>
      <c r="B65" s="5192" t="s">
        <v>222</v>
      </c>
      <c r="C65" s="5193"/>
      <c r="D65" s="5194"/>
      <c r="E65" s="2507">
        <f t="shared" ref="E65:H65" si="107">SUM(E66:E89)-E68-E74</f>
        <v>4037</v>
      </c>
      <c r="F65" s="2507">
        <f t="shared" si="107"/>
        <v>0</v>
      </c>
      <c r="G65" s="2507">
        <f t="shared" si="107"/>
        <v>0</v>
      </c>
      <c r="H65" s="2507">
        <f t="shared" si="107"/>
        <v>5163</v>
      </c>
      <c r="I65" s="2507">
        <f t="shared" ref="I65:L65" si="108">SUM(I66:I89)-I68-I74</f>
        <v>232</v>
      </c>
      <c r="J65" s="2507">
        <f t="shared" si="108"/>
        <v>0</v>
      </c>
      <c r="K65" s="2507">
        <f t="shared" si="108"/>
        <v>0</v>
      </c>
      <c r="L65" s="2507">
        <f t="shared" si="108"/>
        <v>349</v>
      </c>
      <c r="M65" s="2507">
        <f t="shared" ref="M65:X65" si="109">SUM(M66:M89)-M68-M74</f>
        <v>402</v>
      </c>
      <c r="N65" s="2507">
        <f t="shared" si="109"/>
        <v>0</v>
      </c>
      <c r="O65" s="2507">
        <f t="shared" si="109"/>
        <v>0</v>
      </c>
      <c r="P65" s="2507">
        <f t="shared" si="109"/>
        <v>591</v>
      </c>
      <c r="Q65" s="2507">
        <f t="shared" si="109"/>
        <v>0</v>
      </c>
      <c r="R65" s="2507">
        <f t="shared" si="109"/>
        <v>0</v>
      </c>
      <c r="S65" s="2507">
        <f t="shared" si="109"/>
        <v>0</v>
      </c>
      <c r="T65" s="2507">
        <f t="shared" si="109"/>
        <v>0</v>
      </c>
      <c r="U65" s="2507">
        <f t="shared" si="109"/>
        <v>0</v>
      </c>
      <c r="V65" s="2507">
        <f t="shared" si="109"/>
        <v>0</v>
      </c>
      <c r="W65" s="2507">
        <f t="shared" si="109"/>
        <v>0</v>
      </c>
      <c r="X65" s="2507">
        <f t="shared" si="109"/>
        <v>0</v>
      </c>
      <c r="Y65" s="4422"/>
      <c r="Z65" s="4438">
        <f t="shared" si="14"/>
        <v>2064.0853243891343</v>
      </c>
      <c r="AA65" s="4438">
        <f t="shared" si="15"/>
        <v>0</v>
      </c>
      <c r="AB65" s="4438">
        <f t="shared" si="16"/>
        <v>0</v>
      </c>
      <c r="AC65" s="4438">
        <f t="shared" si="17"/>
        <v>2639.7999826160762</v>
      </c>
      <c r="AD65" s="4438">
        <f t="shared" si="18"/>
        <v>118.6197164375227</v>
      </c>
      <c r="AE65" s="4438">
        <f t="shared" si="19"/>
        <v>0</v>
      </c>
      <c r="AF65" s="4438">
        <f t="shared" si="20"/>
        <v>0</v>
      </c>
      <c r="AG65" s="4438">
        <f t="shared" si="21"/>
        <v>178.44086653748025</v>
      </c>
      <c r="AH65" s="4438">
        <f t="shared" si="22"/>
        <v>205.53933624087983</v>
      </c>
      <c r="AI65" s="4438">
        <f t="shared" si="23"/>
        <v>0</v>
      </c>
      <c r="AJ65" s="4438">
        <f t="shared" si="24"/>
        <v>0</v>
      </c>
      <c r="AK65" s="4438">
        <f t="shared" si="25"/>
        <v>302.17350178696512</v>
      </c>
      <c r="AL65" s="4438">
        <f t="shared" si="26"/>
        <v>0</v>
      </c>
      <c r="AM65" s="4438">
        <f t="shared" si="27"/>
        <v>0</v>
      </c>
      <c r="AN65" s="4438">
        <f t="shared" si="28"/>
        <v>0</v>
      </c>
      <c r="AO65" s="4438">
        <f t="shared" si="29"/>
        <v>0</v>
      </c>
      <c r="AP65" s="4438">
        <f t="shared" si="30"/>
        <v>0</v>
      </c>
      <c r="AQ65" s="4438">
        <f t="shared" si="31"/>
        <v>0</v>
      </c>
      <c r="AR65" s="4438">
        <f t="shared" si="32"/>
        <v>0</v>
      </c>
      <c r="AS65" s="4438">
        <f t="shared" si="33"/>
        <v>0</v>
      </c>
    </row>
    <row r="66" spans="1:45">
      <c r="A66" s="2509">
        <v>1</v>
      </c>
      <c r="B66" s="2509">
        <v>20101</v>
      </c>
      <c r="C66" s="2533">
        <v>0</v>
      </c>
      <c r="D66" s="2561" t="s">
        <v>556</v>
      </c>
      <c r="E66" s="2621">
        <f>E12-E41</f>
        <v>54</v>
      </c>
      <c r="F66" s="5197"/>
      <c r="G66" s="5198"/>
      <c r="H66" s="2621">
        <f>H12-H41</f>
        <v>54</v>
      </c>
      <c r="I66" s="2621">
        <f>I12-I41</f>
        <v>37</v>
      </c>
      <c r="J66" s="5197"/>
      <c r="K66" s="5198"/>
      <c r="L66" s="2621">
        <f>L12-L41</f>
        <v>37</v>
      </c>
      <c r="M66" s="2621">
        <f>M12-M41</f>
        <v>73</v>
      </c>
      <c r="N66" s="5197"/>
      <c r="O66" s="5198"/>
      <c r="P66" s="2621">
        <f>P12-P41</f>
        <v>73</v>
      </c>
      <c r="Q66" s="2621">
        <f>Q12-Q41</f>
        <v>0</v>
      </c>
      <c r="R66" s="5197"/>
      <c r="S66" s="5198"/>
      <c r="T66" s="2621">
        <f>T12-T41</f>
        <v>0</v>
      </c>
      <c r="U66" s="2621">
        <f>U12-U41</f>
        <v>0</v>
      </c>
      <c r="V66" s="5197"/>
      <c r="W66" s="5198"/>
      <c r="X66" s="2621">
        <f>X12-X41</f>
        <v>0</v>
      </c>
      <c r="Y66" s="4422"/>
      <c r="Z66" s="4438">
        <f t="shared" si="14"/>
        <v>27.609761584595798</v>
      </c>
      <c r="AA66" s="4446"/>
      <c r="AB66" s="4447"/>
      <c r="AC66" s="4438">
        <f t="shared" si="17"/>
        <v>27.609761584595798</v>
      </c>
      <c r="AD66" s="4438">
        <f t="shared" si="18"/>
        <v>18.917799604260086</v>
      </c>
      <c r="AE66" s="4446"/>
      <c r="AF66" s="4447"/>
      <c r="AG66" s="4438">
        <f t="shared" si="21"/>
        <v>18.917799604260086</v>
      </c>
      <c r="AH66" s="4438">
        <f t="shared" si="22"/>
        <v>37.32430732732395</v>
      </c>
      <c r="AI66" s="4446"/>
      <c r="AJ66" s="4447"/>
      <c r="AK66" s="4438">
        <f t="shared" si="25"/>
        <v>37.32430732732395</v>
      </c>
      <c r="AL66" s="4438">
        <f t="shared" si="26"/>
        <v>0</v>
      </c>
      <c r="AM66" s="4446"/>
      <c r="AN66" s="4447"/>
      <c r="AO66" s="4438">
        <f t="shared" si="29"/>
        <v>0</v>
      </c>
      <c r="AP66" s="4438">
        <f t="shared" si="30"/>
        <v>0</v>
      </c>
      <c r="AQ66" s="4446"/>
      <c r="AR66" s="4447"/>
      <c r="AS66" s="4438">
        <f t="shared" si="33"/>
        <v>0</v>
      </c>
    </row>
    <row r="67" spans="1:45" ht="24">
      <c r="A67" s="2515">
        <v>2</v>
      </c>
      <c r="B67" s="2515">
        <v>20201</v>
      </c>
      <c r="C67" s="2562">
        <v>0.03</v>
      </c>
      <c r="D67" s="2563" t="s">
        <v>425</v>
      </c>
      <c r="E67" s="1091">
        <f>E13-E42</f>
        <v>102</v>
      </c>
      <c r="F67" s="5199"/>
      <c r="G67" s="5200"/>
      <c r="H67" s="1091">
        <f>H13-H42</f>
        <v>90</v>
      </c>
      <c r="I67" s="1091">
        <f>I13-I42</f>
        <v>70</v>
      </c>
      <c r="J67" s="5199"/>
      <c r="K67" s="5200"/>
      <c r="L67" s="1091">
        <f>L13-L42</f>
        <v>62</v>
      </c>
      <c r="M67" s="1091">
        <f>M13-M42</f>
        <v>139</v>
      </c>
      <c r="N67" s="5199"/>
      <c r="O67" s="5200"/>
      <c r="P67" s="1091">
        <f>P13-P42</f>
        <v>122</v>
      </c>
      <c r="Q67" s="1091">
        <f>Q13-Q42</f>
        <v>0</v>
      </c>
      <c r="R67" s="5199"/>
      <c r="S67" s="5200"/>
      <c r="T67" s="1091">
        <f>T13-T42</f>
        <v>0</v>
      </c>
      <c r="U67" s="1091">
        <f>U13-U42</f>
        <v>0</v>
      </c>
      <c r="V67" s="5199"/>
      <c r="W67" s="5200"/>
      <c r="X67" s="1091">
        <f>X13-X42</f>
        <v>0</v>
      </c>
      <c r="Y67" s="4422"/>
      <c r="Z67" s="4438">
        <f t="shared" si="14"/>
        <v>52.151771882014287</v>
      </c>
      <c r="AA67" s="4453"/>
      <c r="AB67" s="4454"/>
      <c r="AC67" s="4438">
        <f t="shared" si="17"/>
        <v>46.016269307659663</v>
      </c>
      <c r="AD67" s="4438">
        <f t="shared" si="18"/>
        <v>35.790431683735292</v>
      </c>
      <c r="AE67" s="4453"/>
      <c r="AF67" s="4454"/>
      <c r="AG67" s="4438">
        <f t="shared" si="21"/>
        <v>31.700096634165547</v>
      </c>
      <c r="AH67" s="4438">
        <f t="shared" si="22"/>
        <v>71.06957148627437</v>
      </c>
      <c r="AI67" s="4453"/>
      <c r="AJ67" s="4454"/>
      <c r="AK67" s="4438">
        <f t="shared" si="25"/>
        <v>62.377609505938658</v>
      </c>
      <c r="AL67" s="4438">
        <f t="shared" si="26"/>
        <v>0</v>
      </c>
      <c r="AM67" s="4453"/>
      <c r="AN67" s="4454"/>
      <c r="AO67" s="4438">
        <f t="shared" si="29"/>
        <v>0</v>
      </c>
      <c r="AP67" s="4438">
        <f t="shared" si="30"/>
        <v>0</v>
      </c>
      <c r="AQ67" s="4453"/>
      <c r="AR67" s="4454"/>
      <c r="AS67" s="4438">
        <f t="shared" si="33"/>
        <v>0</v>
      </c>
    </row>
    <row r="68" spans="1:45" ht="24">
      <c r="A68" s="2515">
        <v>3</v>
      </c>
      <c r="B68" s="2516">
        <v>203</v>
      </c>
      <c r="C68" s="2522"/>
      <c r="D68" s="2547" t="s">
        <v>405</v>
      </c>
      <c r="E68" s="2606">
        <f t="shared" ref="E68:I68" si="110">SUM(E69:E72)</f>
        <v>1074</v>
      </c>
      <c r="F68" s="5199"/>
      <c r="G68" s="5200"/>
      <c r="H68" s="2606">
        <f t="shared" si="110"/>
        <v>1808</v>
      </c>
      <c r="I68" s="2606">
        <f t="shared" si="110"/>
        <v>2</v>
      </c>
      <c r="J68" s="5199"/>
      <c r="K68" s="5200"/>
      <c r="L68" s="2606">
        <f t="shared" ref="L68:M68" si="111">SUM(L69:L72)</f>
        <v>2</v>
      </c>
      <c r="M68" s="2606">
        <f t="shared" si="111"/>
        <v>11</v>
      </c>
      <c r="N68" s="5199"/>
      <c r="O68" s="5200"/>
      <c r="P68" s="2606">
        <f t="shared" ref="P68:Q68" si="112">SUM(P69:P72)</f>
        <v>10</v>
      </c>
      <c r="Q68" s="2606">
        <f t="shared" si="112"/>
        <v>0</v>
      </c>
      <c r="R68" s="5199"/>
      <c r="S68" s="5200"/>
      <c r="T68" s="2606">
        <f t="shared" ref="T68:U68" si="113">SUM(T69:T72)</f>
        <v>0</v>
      </c>
      <c r="U68" s="2606">
        <f t="shared" si="113"/>
        <v>0</v>
      </c>
      <c r="V68" s="5199"/>
      <c r="W68" s="5200"/>
      <c r="X68" s="2606">
        <f t="shared" ref="X68" si="114">SUM(X69:X72)</f>
        <v>0</v>
      </c>
      <c r="Y68" s="4422"/>
      <c r="Z68" s="4438">
        <f t="shared" si="14"/>
        <v>549.12748040473866</v>
      </c>
      <c r="AA68" s="4453"/>
      <c r="AB68" s="4454"/>
      <c r="AC68" s="4438">
        <f t="shared" si="17"/>
        <v>924.41572120276305</v>
      </c>
      <c r="AD68" s="4438">
        <f t="shared" si="18"/>
        <v>1.022583762392437</v>
      </c>
      <c r="AE68" s="4453"/>
      <c r="AF68" s="4454"/>
      <c r="AG68" s="4438">
        <f t="shared" si="21"/>
        <v>1.022583762392437</v>
      </c>
      <c r="AH68" s="4438">
        <f t="shared" si="22"/>
        <v>5.6242106931584033</v>
      </c>
      <c r="AI68" s="4453"/>
      <c r="AJ68" s="4454"/>
      <c r="AK68" s="4438">
        <f t="shared" si="25"/>
        <v>5.1129188119621851</v>
      </c>
      <c r="AL68" s="4438">
        <f t="shared" si="26"/>
        <v>0</v>
      </c>
      <c r="AM68" s="4453"/>
      <c r="AN68" s="4454"/>
      <c r="AO68" s="4438">
        <f t="shared" si="29"/>
        <v>0</v>
      </c>
      <c r="AP68" s="4438">
        <f t="shared" si="30"/>
        <v>0</v>
      </c>
      <c r="AQ68" s="4453"/>
      <c r="AR68" s="4454"/>
      <c r="AS68" s="4438">
        <f t="shared" si="33"/>
        <v>0</v>
      </c>
    </row>
    <row r="69" spans="1:45">
      <c r="A69" s="2515"/>
      <c r="B69" s="2516">
        <v>20301</v>
      </c>
      <c r="C69" s="2522">
        <v>0.1</v>
      </c>
      <c r="D69" s="2550" t="s">
        <v>427</v>
      </c>
      <c r="E69" s="1091">
        <f>E15-E44</f>
        <v>2</v>
      </c>
      <c r="F69" s="5199"/>
      <c r="G69" s="5200"/>
      <c r="H69" s="1091">
        <f t="shared" ref="H69:I73" si="115">H15-H44</f>
        <v>5</v>
      </c>
      <c r="I69" s="1091">
        <f t="shared" si="115"/>
        <v>0</v>
      </c>
      <c r="J69" s="5199"/>
      <c r="K69" s="5200"/>
      <c r="L69" s="1091">
        <f t="shared" ref="L69:M73" si="116">L15-L44</f>
        <v>0</v>
      </c>
      <c r="M69" s="1091">
        <f t="shared" si="116"/>
        <v>0</v>
      </c>
      <c r="N69" s="5199"/>
      <c r="O69" s="5200"/>
      <c r="P69" s="1091">
        <f t="shared" ref="P69:Q73" si="117">P15-P44</f>
        <v>0</v>
      </c>
      <c r="Q69" s="1091">
        <f t="shared" si="117"/>
        <v>0</v>
      </c>
      <c r="R69" s="5199"/>
      <c r="S69" s="5200"/>
      <c r="T69" s="1091">
        <f t="shared" ref="T69:U73" si="118">T15-T44</f>
        <v>0</v>
      </c>
      <c r="U69" s="1091">
        <f t="shared" si="118"/>
        <v>0</v>
      </c>
      <c r="V69" s="5199"/>
      <c r="W69" s="5200"/>
      <c r="X69" s="1091">
        <f>X15-X44</f>
        <v>0</v>
      </c>
      <c r="Y69" s="4422"/>
      <c r="Z69" s="4438">
        <f t="shared" si="14"/>
        <v>1.022583762392437</v>
      </c>
      <c r="AA69" s="4453"/>
      <c r="AB69" s="4454"/>
      <c r="AC69" s="4438">
        <f t="shared" si="17"/>
        <v>2.5564594059810926</v>
      </c>
      <c r="AD69" s="4438">
        <f t="shared" si="18"/>
        <v>0</v>
      </c>
      <c r="AE69" s="4453"/>
      <c r="AF69" s="4454"/>
      <c r="AG69" s="4438">
        <f t="shared" si="21"/>
        <v>0</v>
      </c>
      <c r="AH69" s="4438">
        <f t="shared" si="22"/>
        <v>0</v>
      </c>
      <c r="AI69" s="4453"/>
      <c r="AJ69" s="4454"/>
      <c r="AK69" s="4438">
        <f t="shared" si="25"/>
        <v>0</v>
      </c>
      <c r="AL69" s="4438">
        <f t="shared" si="26"/>
        <v>0</v>
      </c>
      <c r="AM69" s="4453"/>
      <c r="AN69" s="4454"/>
      <c r="AO69" s="4438">
        <f t="shared" si="29"/>
        <v>0</v>
      </c>
      <c r="AP69" s="4438">
        <f t="shared" si="30"/>
        <v>0</v>
      </c>
      <c r="AQ69" s="4453"/>
      <c r="AR69" s="4454"/>
      <c r="AS69" s="4438">
        <f t="shared" si="33"/>
        <v>0</v>
      </c>
    </row>
    <row r="70" spans="1:45">
      <c r="A70" s="2515"/>
      <c r="B70" s="2516">
        <v>20302</v>
      </c>
      <c r="C70" s="2522">
        <v>0.1</v>
      </c>
      <c r="D70" s="2550" t="s">
        <v>428</v>
      </c>
      <c r="E70" s="1091">
        <f>E16-E45</f>
        <v>19</v>
      </c>
      <c r="F70" s="5199"/>
      <c r="G70" s="5200"/>
      <c r="H70" s="1091">
        <f t="shared" si="115"/>
        <v>36</v>
      </c>
      <c r="I70" s="1091">
        <f t="shared" si="115"/>
        <v>0</v>
      </c>
      <c r="J70" s="5199"/>
      <c r="K70" s="5200"/>
      <c r="L70" s="1091">
        <f t="shared" si="116"/>
        <v>0</v>
      </c>
      <c r="M70" s="1091">
        <f t="shared" si="116"/>
        <v>4</v>
      </c>
      <c r="N70" s="5199"/>
      <c r="O70" s="5200"/>
      <c r="P70" s="1091">
        <f t="shared" si="117"/>
        <v>4</v>
      </c>
      <c r="Q70" s="1091">
        <f t="shared" si="117"/>
        <v>0</v>
      </c>
      <c r="R70" s="5199"/>
      <c r="S70" s="5200"/>
      <c r="T70" s="1091">
        <f t="shared" si="118"/>
        <v>0</v>
      </c>
      <c r="U70" s="1091">
        <f t="shared" si="118"/>
        <v>0</v>
      </c>
      <c r="V70" s="5199"/>
      <c r="W70" s="5200"/>
      <c r="X70" s="1091">
        <f>X16-X45</f>
        <v>0</v>
      </c>
      <c r="Y70" s="4422"/>
      <c r="Z70" s="4438">
        <f t="shared" si="14"/>
        <v>9.7145457427281521</v>
      </c>
      <c r="AA70" s="4453"/>
      <c r="AB70" s="4454"/>
      <c r="AC70" s="4438">
        <f t="shared" si="17"/>
        <v>18.406507723063864</v>
      </c>
      <c r="AD70" s="4438">
        <f t="shared" si="18"/>
        <v>0</v>
      </c>
      <c r="AE70" s="4453"/>
      <c r="AF70" s="4454"/>
      <c r="AG70" s="4438">
        <f t="shared" si="21"/>
        <v>0</v>
      </c>
      <c r="AH70" s="4438">
        <f t="shared" si="22"/>
        <v>2.045167524784874</v>
      </c>
      <c r="AI70" s="4453"/>
      <c r="AJ70" s="4454"/>
      <c r="AK70" s="4438">
        <f t="shared" si="25"/>
        <v>2.045167524784874</v>
      </c>
      <c r="AL70" s="4438">
        <f t="shared" si="26"/>
        <v>0</v>
      </c>
      <c r="AM70" s="4453"/>
      <c r="AN70" s="4454"/>
      <c r="AO70" s="4438">
        <f t="shared" si="29"/>
        <v>0</v>
      </c>
      <c r="AP70" s="4438">
        <f t="shared" si="30"/>
        <v>0</v>
      </c>
      <c r="AQ70" s="4453"/>
      <c r="AR70" s="4454"/>
      <c r="AS70" s="4438">
        <f t="shared" si="33"/>
        <v>0</v>
      </c>
    </row>
    <row r="71" spans="1:45" ht="24">
      <c r="A71" s="2515"/>
      <c r="B71" s="2516">
        <v>20303</v>
      </c>
      <c r="C71" s="2522">
        <v>0.1</v>
      </c>
      <c r="D71" s="2550" t="s">
        <v>406</v>
      </c>
      <c r="E71" s="1091">
        <f>E17-E46</f>
        <v>988</v>
      </c>
      <c r="F71" s="5199"/>
      <c r="G71" s="5200"/>
      <c r="H71" s="1091">
        <f t="shared" si="115"/>
        <v>1676</v>
      </c>
      <c r="I71" s="1091">
        <f t="shared" si="115"/>
        <v>0</v>
      </c>
      <c r="J71" s="5199"/>
      <c r="K71" s="5200"/>
      <c r="L71" s="1091">
        <f t="shared" si="116"/>
        <v>0</v>
      </c>
      <c r="M71" s="1091">
        <f t="shared" si="116"/>
        <v>0</v>
      </c>
      <c r="N71" s="5199"/>
      <c r="O71" s="5200"/>
      <c r="P71" s="1091">
        <f t="shared" si="117"/>
        <v>-1</v>
      </c>
      <c r="Q71" s="1091">
        <f t="shared" si="117"/>
        <v>0</v>
      </c>
      <c r="R71" s="5199"/>
      <c r="S71" s="5200"/>
      <c r="T71" s="1091">
        <f t="shared" si="118"/>
        <v>0</v>
      </c>
      <c r="U71" s="1091">
        <f t="shared" si="118"/>
        <v>0</v>
      </c>
      <c r="V71" s="5199"/>
      <c r="W71" s="5200"/>
      <c r="X71" s="1091">
        <f>X17-X46</f>
        <v>0</v>
      </c>
      <c r="Y71" s="4422"/>
      <c r="Z71" s="4438">
        <f t="shared" si="14"/>
        <v>505.15637862186389</v>
      </c>
      <c r="AA71" s="4453"/>
      <c r="AB71" s="4454"/>
      <c r="AC71" s="4438">
        <f t="shared" si="17"/>
        <v>856.92519288486221</v>
      </c>
      <c r="AD71" s="4438">
        <f t="shared" si="18"/>
        <v>0</v>
      </c>
      <c r="AE71" s="4453"/>
      <c r="AF71" s="4454"/>
      <c r="AG71" s="4438">
        <f t="shared" si="21"/>
        <v>0</v>
      </c>
      <c r="AH71" s="4438">
        <f t="shared" si="22"/>
        <v>0</v>
      </c>
      <c r="AI71" s="4453"/>
      <c r="AJ71" s="4454"/>
      <c r="AK71" s="4438">
        <f t="shared" si="25"/>
        <v>-0.51129188119621849</v>
      </c>
      <c r="AL71" s="4438">
        <f t="shared" si="26"/>
        <v>0</v>
      </c>
      <c r="AM71" s="4453"/>
      <c r="AN71" s="4454"/>
      <c r="AO71" s="4438">
        <f t="shared" si="29"/>
        <v>0</v>
      </c>
      <c r="AP71" s="4438">
        <f t="shared" si="30"/>
        <v>0</v>
      </c>
      <c r="AQ71" s="4453"/>
      <c r="AR71" s="4454"/>
      <c r="AS71" s="4438">
        <f t="shared" si="33"/>
        <v>0</v>
      </c>
    </row>
    <row r="72" spans="1:45" ht="24">
      <c r="A72" s="2515"/>
      <c r="B72" s="2516">
        <v>20306</v>
      </c>
      <c r="C72" s="2522">
        <v>0.1</v>
      </c>
      <c r="D72" s="2550" t="s">
        <v>409</v>
      </c>
      <c r="E72" s="1091">
        <f>E18-E47</f>
        <v>65</v>
      </c>
      <c r="F72" s="5199"/>
      <c r="G72" s="5200"/>
      <c r="H72" s="1091">
        <f t="shared" si="115"/>
        <v>91</v>
      </c>
      <c r="I72" s="1091">
        <f t="shared" si="115"/>
        <v>2</v>
      </c>
      <c r="J72" s="5199"/>
      <c r="K72" s="5200"/>
      <c r="L72" s="1091">
        <f t="shared" si="116"/>
        <v>2</v>
      </c>
      <c r="M72" s="1091">
        <f t="shared" si="116"/>
        <v>7</v>
      </c>
      <c r="N72" s="5199"/>
      <c r="O72" s="5200"/>
      <c r="P72" s="1091">
        <f t="shared" si="117"/>
        <v>7</v>
      </c>
      <c r="Q72" s="1091">
        <f t="shared" si="117"/>
        <v>0</v>
      </c>
      <c r="R72" s="5199"/>
      <c r="S72" s="5200"/>
      <c r="T72" s="1091">
        <f t="shared" si="118"/>
        <v>0</v>
      </c>
      <c r="U72" s="1091">
        <f t="shared" si="118"/>
        <v>0</v>
      </c>
      <c r="V72" s="5199"/>
      <c r="W72" s="5200"/>
      <c r="X72" s="1091">
        <f>X18-X47</f>
        <v>0</v>
      </c>
      <c r="Y72" s="4422"/>
      <c r="Z72" s="4438">
        <f t="shared" si="14"/>
        <v>33.233972277754205</v>
      </c>
      <c r="AA72" s="4453"/>
      <c r="AB72" s="4454"/>
      <c r="AC72" s="4438">
        <f t="shared" si="17"/>
        <v>46.527561188855884</v>
      </c>
      <c r="AD72" s="4438">
        <f t="shared" si="18"/>
        <v>1.022583762392437</v>
      </c>
      <c r="AE72" s="4453"/>
      <c r="AF72" s="4454"/>
      <c r="AG72" s="4438">
        <f t="shared" si="21"/>
        <v>1.022583762392437</v>
      </c>
      <c r="AH72" s="4438">
        <f t="shared" si="22"/>
        <v>3.5790431683735293</v>
      </c>
      <c r="AI72" s="4453"/>
      <c r="AJ72" s="4454"/>
      <c r="AK72" s="4438">
        <f t="shared" si="25"/>
        <v>3.5790431683735293</v>
      </c>
      <c r="AL72" s="4438">
        <f t="shared" si="26"/>
        <v>0</v>
      </c>
      <c r="AM72" s="4453"/>
      <c r="AN72" s="4454"/>
      <c r="AO72" s="4438">
        <f t="shared" si="29"/>
        <v>0</v>
      </c>
      <c r="AP72" s="4438">
        <f t="shared" si="30"/>
        <v>0</v>
      </c>
      <c r="AQ72" s="4453"/>
      <c r="AR72" s="4454"/>
      <c r="AS72" s="4438">
        <f t="shared" si="33"/>
        <v>0</v>
      </c>
    </row>
    <row r="73" spans="1:45">
      <c r="A73" s="2515">
        <v>4</v>
      </c>
      <c r="B73" s="2516">
        <v>20403</v>
      </c>
      <c r="C73" s="2522">
        <v>0.04</v>
      </c>
      <c r="D73" s="2552" t="s">
        <v>434</v>
      </c>
      <c r="E73" s="1091">
        <f>E19-E48</f>
        <v>0</v>
      </c>
      <c r="F73" s="5199"/>
      <c r="G73" s="5200"/>
      <c r="H73" s="1091">
        <f t="shared" si="115"/>
        <v>0</v>
      </c>
      <c r="I73" s="1091">
        <f t="shared" si="115"/>
        <v>0</v>
      </c>
      <c r="J73" s="5199"/>
      <c r="K73" s="5200"/>
      <c r="L73" s="1091">
        <f t="shared" si="116"/>
        <v>0</v>
      </c>
      <c r="M73" s="1091">
        <f t="shared" si="116"/>
        <v>1</v>
      </c>
      <c r="N73" s="5199"/>
      <c r="O73" s="5200"/>
      <c r="P73" s="1091">
        <f t="shared" si="117"/>
        <v>1</v>
      </c>
      <c r="Q73" s="1091">
        <f t="shared" si="117"/>
        <v>0</v>
      </c>
      <c r="R73" s="5199"/>
      <c r="S73" s="5200"/>
      <c r="T73" s="1091">
        <f t="shared" si="118"/>
        <v>0</v>
      </c>
      <c r="U73" s="1091">
        <f t="shared" si="118"/>
        <v>0</v>
      </c>
      <c r="V73" s="5199"/>
      <c r="W73" s="5200"/>
      <c r="X73" s="1091">
        <f>X19-X48</f>
        <v>0</v>
      </c>
      <c r="Y73" s="4422"/>
      <c r="Z73" s="4438">
        <f t="shared" si="14"/>
        <v>0</v>
      </c>
      <c r="AA73" s="4453"/>
      <c r="AB73" s="4454"/>
      <c r="AC73" s="4438">
        <f t="shared" si="17"/>
        <v>0</v>
      </c>
      <c r="AD73" s="4438">
        <f t="shared" si="18"/>
        <v>0</v>
      </c>
      <c r="AE73" s="4453"/>
      <c r="AF73" s="4454"/>
      <c r="AG73" s="4438">
        <f t="shared" si="21"/>
        <v>0</v>
      </c>
      <c r="AH73" s="4438">
        <f t="shared" si="22"/>
        <v>0.51129188119621849</v>
      </c>
      <c r="AI73" s="4453"/>
      <c r="AJ73" s="4454"/>
      <c r="AK73" s="4438">
        <f t="shared" si="25"/>
        <v>0.51129188119621849</v>
      </c>
      <c r="AL73" s="4438">
        <f t="shared" si="26"/>
        <v>0</v>
      </c>
      <c r="AM73" s="4453"/>
      <c r="AN73" s="4454"/>
      <c r="AO73" s="4438">
        <f t="shared" si="29"/>
        <v>0</v>
      </c>
      <c r="AP73" s="4438">
        <f t="shared" si="30"/>
        <v>0</v>
      </c>
      <c r="AQ73" s="4453"/>
      <c r="AR73" s="4454"/>
      <c r="AS73" s="4438">
        <f t="shared" si="33"/>
        <v>0</v>
      </c>
    </row>
    <row r="74" spans="1:45">
      <c r="A74" s="2515">
        <v>5</v>
      </c>
      <c r="B74" s="2516">
        <v>205</v>
      </c>
      <c r="C74" s="2522"/>
      <c r="D74" s="2547" t="s">
        <v>212</v>
      </c>
      <c r="E74" s="2619">
        <f>SUM(E75:E78)</f>
        <v>1699</v>
      </c>
      <c r="F74" s="5199"/>
      <c r="G74" s="5200"/>
      <c r="H74" s="2619">
        <f t="shared" ref="H74" si="119">SUM(H75:H78)</f>
        <v>1527</v>
      </c>
      <c r="I74" s="2619">
        <f>SUM(I75:I78)</f>
        <v>53</v>
      </c>
      <c r="J74" s="5199"/>
      <c r="K74" s="5200"/>
      <c r="L74" s="2619">
        <f t="shared" ref="L74" si="120">SUM(L75:L78)</f>
        <v>43</v>
      </c>
      <c r="M74" s="2619">
        <f>SUM(M75:M78)</f>
        <v>51</v>
      </c>
      <c r="N74" s="5199"/>
      <c r="O74" s="5200"/>
      <c r="P74" s="2619">
        <f t="shared" ref="P74" si="121">SUM(P75:P78)</f>
        <v>44</v>
      </c>
      <c r="Q74" s="2619">
        <f>SUM(Q75:Q78)</f>
        <v>0</v>
      </c>
      <c r="R74" s="5199"/>
      <c r="S74" s="5200"/>
      <c r="T74" s="2619">
        <f t="shared" ref="T74" si="122">SUM(T75:T78)</f>
        <v>0</v>
      </c>
      <c r="U74" s="2619">
        <f>SUM(U75:U78)</f>
        <v>0</v>
      </c>
      <c r="V74" s="5199"/>
      <c r="W74" s="5200"/>
      <c r="X74" s="2619">
        <f t="shared" ref="X74" si="123">SUM(X75:X78)</f>
        <v>0</v>
      </c>
      <c r="Y74" s="4422"/>
      <c r="Z74" s="4438">
        <f t="shared" si="14"/>
        <v>868.68490615237522</v>
      </c>
      <c r="AA74" s="4453"/>
      <c r="AB74" s="4454"/>
      <c r="AC74" s="4438">
        <f t="shared" si="17"/>
        <v>780.74270258662568</v>
      </c>
      <c r="AD74" s="4438">
        <f t="shared" si="18"/>
        <v>27.09846970339958</v>
      </c>
      <c r="AE74" s="4453"/>
      <c r="AF74" s="4454"/>
      <c r="AG74" s="4438">
        <f t="shared" si="21"/>
        <v>21.985550891437395</v>
      </c>
      <c r="AH74" s="4438">
        <f t="shared" si="22"/>
        <v>26.075885941007144</v>
      </c>
      <c r="AI74" s="4453"/>
      <c r="AJ74" s="4454"/>
      <c r="AK74" s="4438">
        <f t="shared" si="25"/>
        <v>22.496842772633613</v>
      </c>
      <c r="AL74" s="4438">
        <f t="shared" si="26"/>
        <v>0</v>
      </c>
      <c r="AM74" s="4453"/>
      <c r="AN74" s="4454"/>
      <c r="AO74" s="4438">
        <f t="shared" si="29"/>
        <v>0</v>
      </c>
      <c r="AP74" s="4438">
        <f t="shared" si="30"/>
        <v>0</v>
      </c>
      <c r="AQ74" s="4453"/>
      <c r="AR74" s="4454"/>
      <c r="AS74" s="4438">
        <f t="shared" si="33"/>
        <v>0</v>
      </c>
    </row>
    <row r="75" spans="1:45">
      <c r="A75" s="2526"/>
      <c r="B75" s="2527">
        <v>20501</v>
      </c>
      <c r="C75" s="2522">
        <v>0.08</v>
      </c>
      <c r="D75" s="2553" t="s">
        <v>410</v>
      </c>
      <c r="E75" s="1091">
        <f t="shared" ref="E75:E84" si="124">E21-E50</f>
        <v>708</v>
      </c>
      <c r="F75" s="5199"/>
      <c r="G75" s="5200"/>
      <c r="H75" s="1091">
        <f t="shared" ref="H75:I84" si="125">H21-H50</f>
        <v>645</v>
      </c>
      <c r="I75" s="1091">
        <f t="shared" si="125"/>
        <v>28</v>
      </c>
      <c r="J75" s="5199"/>
      <c r="K75" s="5200"/>
      <c r="L75" s="1091">
        <f t="shared" ref="L75:M84" si="126">L21-L50</f>
        <v>21</v>
      </c>
      <c r="M75" s="1091">
        <f t="shared" si="126"/>
        <v>0</v>
      </c>
      <c r="N75" s="5199"/>
      <c r="O75" s="5200"/>
      <c r="P75" s="1091">
        <f t="shared" ref="P75:Q84" si="127">P21-P50</f>
        <v>0</v>
      </c>
      <c r="Q75" s="1091">
        <f t="shared" si="127"/>
        <v>0</v>
      </c>
      <c r="R75" s="5199"/>
      <c r="S75" s="5200"/>
      <c r="T75" s="1091">
        <f t="shared" ref="T75:U84" si="128">T21-T50</f>
        <v>0</v>
      </c>
      <c r="U75" s="1091">
        <f t="shared" si="128"/>
        <v>0</v>
      </c>
      <c r="V75" s="5199"/>
      <c r="W75" s="5200"/>
      <c r="X75" s="1091">
        <f t="shared" ref="X75:X84" si="129">X21-X50</f>
        <v>0</v>
      </c>
      <c r="Y75" s="4422"/>
      <c r="Z75" s="4438">
        <f t="shared" si="14"/>
        <v>361.99465188692267</v>
      </c>
      <c r="AA75" s="4453"/>
      <c r="AB75" s="4454"/>
      <c r="AC75" s="4438">
        <f t="shared" si="17"/>
        <v>329.78326337156091</v>
      </c>
      <c r="AD75" s="4438">
        <f t="shared" si="18"/>
        <v>14.316172673494117</v>
      </c>
      <c r="AE75" s="4453"/>
      <c r="AF75" s="4454"/>
      <c r="AG75" s="4438">
        <f t="shared" si="21"/>
        <v>10.737129505120588</v>
      </c>
      <c r="AH75" s="4438">
        <f t="shared" si="22"/>
        <v>0</v>
      </c>
      <c r="AI75" s="4453"/>
      <c r="AJ75" s="4454"/>
      <c r="AK75" s="4438">
        <f t="shared" si="25"/>
        <v>0</v>
      </c>
      <c r="AL75" s="4438">
        <f t="shared" si="26"/>
        <v>0</v>
      </c>
      <c r="AM75" s="4453"/>
      <c r="AN75" s="4454"/>
      <c r="AO75" s="4438">
        <f t="shared" si="29"/>
        <v>0</v>
      </c>
      <c r="AP75" s="4438">
        <f t="shared" si="30"/>
        <v>0</v>
      </c>
      <c r="AQ75" s="4453"/>
      <c r="AR75" s="4454"/>
      <c r="AS75" s="4438">
        <f t="shared" si="33"/>
        <v>0</v>
      </c>
    </row>
    <row r="76" spans="1:45">
      <c r="A76" s="2526"/>
      <c r="B76" s="2527">
        <v>20502</v>
      </c>
      <c r="C76" s="2522">
        <v>0.1</v>
      </c>
      <c r="D76" s="2553" t="s">
        <v>411</v>
      </c>
      <c r="E76" s="1091">
        <f t="shared" si="124"/>
        <v>869</v>
      </c>
      <c r="F76" s="5199"/>
      <c r="G76" s="5200"/>
      <c r="H76" s="1091">
        <f t="shared" si="125"/>
        <v>778</v>
      </c>
      <c r="I76" s="1091">
        <f t="shared" si="125"/>
        <v>1</v>
      </c>
      <c r="J76" s="5199"/>
      <c r="K76" s="5200"/>
      <c r="L76" s="1091">
        <f t="shared" si="126"/>
        <v>1</v>
      </c>
      <c r="M76" s="1091">
        <f t="shared" si="126"/>
        <v>4</v>
      </c>
      <c r="N76" s="5199"/>
      <c r="O76" s="5200"/>
      <c r="P76" s="1091">
        <f t="shared" si="127"/>
        <v>3</v>
      </c>
      <c r="Q76" s="1091">
        <f t="shared" si="127"/>
        <v>0</v>
      </c>
      <c r="R76" s="5199"/>
      <c r="S76" s="5200"/>
      <c r="T76" s="1091">
        <f t="shared" si="128"/>
        <v>0</v>
      </c>
      <c r="U76" s="1091">
        <f t="shared" si="128"/>
        <v>0</v>
      </c>
      <c r="V76" s="5199"/>
      <c r="W76" s="5200"/>
      <c r="X76" s="1091">
        <f t="shared" si="129"/>
        <v>0</v>
      </c>
      <c r="Y76" s="4422"/>
      <c r="Z76" s="4438">
        <f t="shared" ref="Z76:Z139" si="130">IFERROR(E76/$D$1,0)</f>
        <v>444.31264475951389</v>
      </c>
      <c r="AA76" s="4453"/>
      <c r="AB76" s="4454"/>
      <c r="AC76" s="4438">
        <f t="shared" ref="AC76:AC139" si="131">IFERROR(H76/$D$1,0)</f>
        <v>397.785083570658</v>
      </c>
      <c r="AD76" s="4438">
        <f t="shared" ref="AD76:AD139" si="132">IFERROR(I76/$D$1,0)</f>
        <v>0.51129188119621849</v>
      </c>
      <c r="AE76" s="4453"/>
      <c r="AF76" s="4454"/>
      <c r="AG76" s="4438">
        <f t="shared" ref="AG76:AG139" si="133">IFERROR(L76/$D$1,0)</f>
        <v>0.51129188119621849</v>
      </c>
      <c r="AH76" s="4438">
        <f t="shared" ref="AH76:AH139" si="134">IFERROR(M76/$D$1,0)</f>
        <v>2.045167524784874</v>
      </c>
      <c r="AI76" s="4453"/>
      <c r="AJ76" s="4454"/>
      <c r="AK76" s="4438">
        <f t="shared" ref="AK76:AK139" si="135">IFERROR(P76/$D$1,0)</f>
        <v>1.5338756435886556</v>
      </c>
      <c r="AL76" s="4438">
        <f t="shared" ref="AL76:AL139" si="136">IFERROR(Q76/$D$1,0)</f>
        <v>0</v>
      </c>
      <c r="AM76" s="4453"/>
      <c r="AN76" s="4454"/>
      <c r="AO76" s="4438">
        <f t="shared" ref="AO76:AO139" si="137">IFERROR(T76/$D$1,0)</f>
        <v>0</v>
      </c>
      <c r="AP76" s="4438">
        <f t="shared" ref="AP76:AP139" si="138">IFERROR(U76/$D$1,0)</f>
        <v>0</v>
      </c>
      <c r="AQ76" s="4453"/>
      <c r="AR76" s="4454"/>
      <c r="AS76" s="4438">
        <f t="shared" ref="AS76:AS139" si="139">IFERROR(X76/$D$1,0)</f>
        <v>0</v>
      </c>
    </row>
    <row r="77" spans="1:45">
      <c r="A77" s="2526"/>
      <c r="B77" s="2527">
        <v>20503</v>
      </c>
      <c r="C77" s="2522">
        <v>0.1</v>
      </c>
      <c r="D77" s="2550" t="s">
        <v>412</v>
      </c>
      <c r="E77" s="1091">
        <f t="shared" si="124"/>
        <v>121</v>
      </c>
      <c r="F77" s="5199"/>
      <c r="G77" s="5200"/>
      <c r="H77" s="1091">
        <f t="shared" si="125"/>
        <v>103</v>
      </c>
      <c r="I77" s="1091">
        <f t="shared" si="125"/>
        <v>24</v>
      </c>
      <c r="J77" s="5199"/>
      <c r="K77" s="5200"/>
      <c r="L77" s="1091">
        <f t="shared" si="126"/>
        <v>21</v>
      </c>
      <c r="M77" s="1091">
        <f t="shared" si="126"/>
        <v>47</v>
      </c>
      <c r="N77" s="5199"/>
      <c r="O77" s="5200"/>
      <c r="P77" s="1091">
        <f t="shared" si="127"/>
        <v>41</v>
      </c>
      <c r="Q77" s="1091">
        <f t="shared" si="127"/>
        <v>0</v>
      </c>
      <c r="R77" s="5199"/>
      <c r="S77" s="5200"/>
      <c r="T77" s="1091">
        <f t="shared" si="128"/>
        <v>0</v>
      </c>
      <c r="U77" s="1091">
        <f t="shared" si="128"/>
        <v>0</v>
      </c>
      <c r="V77" s="5199"/>
      <c r="W77" s="5200"/>
      <c r="X77" s="1091">
        <f t="shared" si="129"/>
        <v>0</v>
      </c>
      <c r="Y77" s="4422"/>
      <c r="Z77" s="4438">
        <f t="shared" si="130"/>
        <v>61.866317624742436</v>
      </c>
      <c r="AA77" s="4453"/>
      <c r="AB77" s="4454"/>
      <c r="AC77" s="4438">
        <f t="shared" si="131"/>
        <v>52.663063763210502</v>
      </c>
      <c r="AD77" s="4438">
        <f t="shared" si="132"/>
        <v>12.271005148709245</v>
      </c>
      <c r="AE77" s="4453"/>
      <c r="AF77" s="4454"/>
      <c r="AG77" s="4438">
        <f t="shared" si="133"/>
        <v>10.737129505120588</v>
      </c>
      <c r="AH77" s="4438">
        <f t="shared" si="134"/>
        <v>24.030718416222268</v>
      </c>
      <c r="AI77" s="4453"/>
      <c r="AJ77" s="4454"/>
      <c r="AK77" s="4438">
        <f t="shared" si="135"/>
        <v>20.962967129044959</v>
      </c>
      <c r="AL77" s="4438">
        <f t="shared" si="136"/>
        <v>0</v>
      </c>
      <c r="AM77" s="4453"/>
      <c r="AN77" s="4454"/>
      <c r="AO77" s="4438">
        <f t="shared" si="137"/>
        <v>0</v>
      </c>
      <c r="AP77" s="4438">
        <f t="shared" si="138"/>
        <v>0</v>
      </c>
      <c r="AQ77" s="4453"/>
      <c r="AR77" s="4454"/>
      <c r="AS77" s="4438">
        <f t="shared" si="139"/>
        <v>0</v>
      </c>
    </row>
    <row r="78" spans="1:45" ht="24">
      <c r="A78" s="2526"/>
      <c r="B78" s="2527">
        <v>20504</v>
      </c>
      <c r="C78" s="2522">
        <v>0.1</v>
      </c>
      <c r="D78" s="2550" t="s">
        <v>557</v>
      </c>
      <c r="E78" s="1091">
        <f t="shared" si="124"/>
        <v>1</v>
      </c>
      <c r="F78" s="5199"/>
      <c r="G78" s="5200"/>
      <c r="H78" s="1091">
        <f t="shared" si="125"/>
        <v>1</v>
      </c>
      <c r="I78" s="1091">
        <f t="shared" si="125"/>
        <v>0</v>
      </c>
      <c r="J78" s="5199"/>
      <c r="K78" s="5200"/>
      <c r="L78" s="1091">
        <f t="shared" si="126"/>
        <v>0</v>
      </c>
      <c r="M78" s="1091">
        <f t="shared" si="126"/>
        <v>0</v>
      </c>
      <c r="N78" s="5199"/>
      <c r="O78" s="5200"/>
      <c r="P78" s="1091">
        <f t="shared" si="127"/>
        <v>0</v>
      </c>
      <c r="Q78" s="1091">
        <f t="shared" si="127"/>
        <v>0</v>
      </c>
      <c r="R78" s="5199"/>
      <c r="S78" s="5200"/>
      <c r="T78" s="1091">
        <f t="shared" si="128"/>
        <v>0</v>
      </c>
      <c r="U78" s="1091">
        <f t="shared" si="128"/>
        <v>0</v>
      </c>
      <c r="V78" s="5199"/>
      <c r="W78" s="5200"/>
      <c r="X78" s="1091">
        <f t="shared" si="129"/>
        <v>0</v>
      </c>
      <c r="Y78" s="4422"/>
      <c r="Z78" s="4438">
        <f t="shared" si="130"/>
        <v>0.51129188119621849</v>
      </c>
      <c r="AA78" s="4453"/>
      <c r="AB78" s="4454"/>
      <c r="AC78" s="4438">
        <f t="shared" si="131"/>
        <v>0.51129188119621849</v>
      </c>
      <c r="AD78" s="4438">
        <f t="shared" si="132"/>
        <v>0</v>
      </c>
      <c r="AE78" s="4453"/>
      <c r="AF78" s="4454"/>
      <c r="AG78" s="4438">
        <f t="shared" si="133"/>
        <v>0</v>
      </c>
      <c r="AH78" s="4438">
        <f t="shared" si="134"/>
        <v>0</v>
      </c>
      <c r="AI78" s="4453"/>
      <c r="AJ78" s="4454"/>
      <c r="AK78" s="4438">
        <f t="shared" si="135"/>
        <v>0</v>
      </c>
      <c r="AL78" s="4438">
        <f t="shared" si="136"/>
        <v>0</v>
      </c>
      <c r="AM78" s="4453"/>
      <c r="AN78" s="4454"/>
      <c r="AO78" s="4438">
        <f t="shared" si="137"/>
        <v>0</v>
      </c>
      <c r="AP78" s="4438">
        <f t="shared" si="138"/>
        <v>0</v>
      </c>
      <c r="AQ78" s="4453"/>
      <c r="AR78" s="4454"/>
      <c r="AS78" s="4438">
        <f t="shared" si="139"/>
        <v>0</v>
      </c>
    </row>
    <row r="79" spans="1:45">
      <c r="A79" s="2526">
        <v>6</v>
      </c>
      <c r="B79" s="2527">
        <v>208</v>
      </c>
      <c r="C79" s="2522">
        <v>0.2</v>
      </c>
      <c r="D79" s="2552" t="s">
        <v>413</v>
      </c>
      <c r="E79" s="1091">
        <f t="shared" si="124"/>
        <v>18</v>
      </c>
      <c r="F79" s="5199"/>
      <c r="G79" s="5200"/>
      <c r="H79" s="1091">
        <f t="shared" si="125"/>
        <v>27</v>
      </c>
      <c r="I79" s="1091">
        <f t="shared" si="125"/>
        <v>11</v>
      </c>
      <c r="J79" s="5199"/>
      <c r="K79" s="5200"/>
      <c r="L79" s="1091">
        <f t="shared" si="126"/>
        <v>11</v>
      </c>
      <c r="M79" s="1091">
        <f t="shared" si="126"/>
        <v>20</v>
      </c>
      <c r="N79" s="5199"/>
      <c r="O79" s="5200"/>
      <c r="P79" s="1091">
        <f t="shared" si="127"/>
        <v>21</v>
      </c>
      <c r="Q79" s="1091">
        <f t="shared" si="127"/>
        <v>0</v>
      </c>
      <c r="R79" s="5199"/>
      <c r="S79" s="5200"/>
      <c r="T79" s="1091">
        <f t="shared" si="128"/>
        <v>0</v>
      </c>
      <c r="U79" s="1091">
        <f t="shared" si="128"/>
        <v>0</v>
      </c>
      <c r="V79" s="5199"/>
      <c r="W79" s="5200"/>
      <c r="X79" s="1091">
        <f t="shared" si="129"/>
        <v>0</v>
      </c>
      <c r="Y79" s="4422"/>
      <c r="Z79" s="4438">
        <f t="shared" si="130"/>
        <v>9.2032538615319321</v>
      </c>
      <c r="AA79" s="4453"/>
      <c r="AB79" s="4454"/>
      <c r="AC79" s="4438">
        <f t="shared" si="131"/>
        <v>13.804880792297899</v>
      </c>
      <c r="AD79" s="4438">
        <f t="shared" si="132"/>
        <v>5.6242106931584033</v>
      </c>
      <c r="AE79" s="4453"/>
      <c r="AF79" s="4454"/>
      <c r="AG79" s="4438">
        <f t="shared" si="133"/>
        <v>5.6242106931584033</v>
      </c>
      <c r="AH79" s="4438">
        <f t="shared" si="134"/>
        <v>10.22583762392437</v>
      </c>
      <c r="AI79" s="4453"/>
      <c r="AJ79" s="4454"/>
      <c r="AK79" s="4438">
        <f t="shared" si="135"/>
        <v>10.737129505120588</v>
      </c>
      <c r="AL79" s="4438">
        <f t="shared" si="136"/>
        <v>0</v>
      </c>
      <c r="AM79" s="4453"/>
      <c r="AN79" s="4454"/>
      <c r="AO79" s="4438">
        <f t="shared" si="137"/>
        <v>0</v>
      </c>
      <c r="AP79" s="4438">
        <f t="shared" si="138"/>
        <v>0</v>
      </c>
      <c r="AQ79" s="4453"/>
      <c r="AR79" s="4454"/>
      <c r="AS79" s="4438">
        <f t="shared" si="139"/>
        <v>0</v>
      </c>
    </row>
    <row r="80" spans="1:45">
      <c r="A80" s="2526">
        <v>7</v>
      </c>
      <c r="B80" s="2530">
        <v>20601</v>
      </c>
      <c r="C80" s="2522">
        <v>0.1</v>
      </c>
      <c r="D80" s="2552" t="s">
        <v>564</v>
      </c>
      <c r="E80" s="1091">
        <f t="shared" si="124"/>
        <v>3</v>
      </c>
      <c r="F80" s="5199"/>
      <c r="G80" s="5200"/>
      <c r="H80" s="1091">
        <f t="shared" si="125"/>
        <v>9</v>
      </c>
      <c r="I80" s="1091">
        <f t="shared" si="125"/>
        <v>1</v>
      </c>
      <c r="J80" s="5199"/>
      <c r="K80" s="5200"/>
      <c r="L80" s="1091">
        <f t="shared" si="126"/>
        <v>3</v>
      </c>
      <c r="M80" s="1091">
        <f t="shared" si="126"/>
        <v>7</v>
      </c>
      <c r="N80" s="5199"/>
      <c r="O80" s="5200"/>
      <c r="P80" s="1091">
        <f t="shared" si="127"/>
        <v>10</v>
      </c>
      <c r="Q80" s="1091">
        <f t="shared" si="127"/>
        <v>0</v>
      </c>
      <c r="R80" s="5199"/>
      <c r="S80" s="5200"/>
      <c r="T80" s="1091">
        <f t="shared" si="128"/>
        <v>0</v>
      </c>
      <c r="U80" s="1091">
        <f t="shared" si="128"/>
        <v>0</v>
      </c>
      <c r="V80" s="5199"/>
      <c r="W80" s="5200"/>
      <c r="X80" s="1091">
        <f t="shared" si="129"/>
        <v>0</v>
      </c>
      <c r="Y80" s="4422"/>
      <c r="Z80" s="4438">
        <f t="shared" si="130"/>
        <v>1.5338756435886556</v>
      </c>
      <c r="AA80" s="4453"/>
      <c r="AB80" s="4454"/>
      <c r="AC80" s="4438">
        <f t="shared" si="131"/>
        <v>4.6016269307659661</v>
      </c>
      <c r="AD80" s="4438">
        <f t="shared" si="132"/>
        <v>0.51129188119621849</v>
      </c>
      <c r="AE80" s="4453"/>
      <c r="AF80" s="4454"/>
      <c r="AG80" s="4438">
        <f t="shared" si="133"/>
        <v>1.5338756435886556</v>
      </c>
      <c r="AH80" s="4438">
        <f t="shared" si="134"/>
        <v>3.5790431683735293</v>
      </c>
      <c r="AI80" s="4453"/>
      <c r="AJ80" s="4454"/>
      <c r="AK80" s="4438">
        <f t="shared" si="135"/>
        <v>5.1129188119621851</v>
      </c>
      <c r="AL80" s="4438">
        <f t="shared" si="136"/>
        <v>0</v>
      </c>
      <c r="AM80" s="4453"/>
      <c r="AN80" s="4454"/>
      <c r="AO80" s="4438">
        <f t="shared" si="137"/>
        <v>0</v>
      </c>
      <c r="AP80" s="4438">
        <f t="shared" si="138"/>
        <v>0</v>
      </c>
      <c r="AQ80" s="4453"/>
      <c r="AR80" s="4454"/>
      <c r="AS80" s="4438">
        <f t="shared" si="139"/>
        <v>0</v>
      </c>
    </row>
    <row r="81" spans="1:45">
      <c r="A81" s="2531">
        <v>8</v>
      </c>
      <c r="B81" s="2530">
        <v>20602</v>
      </c>
      <c r="C81" s="2522">
        <v>0.1</v>
      </c>
      <c r="D81" s="2552" t="s">
        <v>435</v>
      </c>
      <c r="E81" s="1091">
        <f t="shared" si="124"/>
        <v>35</v>
      </c>
      <c r="F81" s="5199"/>
      <c r="G81" s="5200"/>
      <c r="H81" s="1091">
        <f t="shared" si="125"/>
        <v>56</v>
      </c>
      <c r="I81" s="1091">
        <f t="shared" si="125"/>
        <v>19</v>
      </c>
      <c r="J81" s="5199"/>
      <c r="K81" s="5200"/>
      <c r="L81" s="1091">
        <f t="shared" si="126"/>
        <v>21</v>
      </c>
      <c r="M81" s="1091">
        <f t="shared" si="126"/>
        <v>42</v>
      </c>
      <c r="N81" s="5199"/>
      <c r="O81" s="5200"/>
      <c r="P81" s="1091">
        <f t="shared" si="127"/>
        <v>49</v>
      </c>
      <c r="Q81" s="1091">
        <f t="shared" si="127"/>
        <v>0</v>
      </c>
      <c r="R81" s="5199"/>
      <c r="S81" s="5200"/>
      <c r="T81" s="1091">
        <f t="shared" si="128"/>
        <v>0</v>
      </c>
      <c r="U81" s="1091">
        <f t="shared" si="128"/>
        <v>0</v>
      </c>
      <c r="V81" s="5199"/>
      <c r="W81" s="5200"/>
      <c r="X81" s="1091">
        <f t="shared" si="129"/>
        <v>0</v>
      </c>
      <c r="Y81" s="4422"/>
      <c r="Z81" s="4438">
        <f t="shared" si="130"/>
        <v>17.895215841867646</v>
      </c>
      <c r="AA81" s="4453"/>
      <c r="AB81" s="4454"/>
      <c r="AC81" s="4438">
        <f t="shared" si="131"/>
        <v>28.632345346988235</v>
      </c>
      <c r="AD81" s="4438">
        <f t="shared" si="132"/>
        <v>9.7145457427281521</v>
      </c>
      <c r="AE81" s="4453"/>
      <c r="AF81" s="4454"/>
      <c r="AG81" s="4438">
        <f t="shared" si="133"/>
        <v>10.737129505120588</v>
      </c>
      <c r="AH81" s="4438">
        <f t="shared" si="134"/>
        <v>21.474259010241177</v>
      </c>
      <c r="AI81" s="4453"/>
      <c r="AJ81" s="4454"/>
      <c r="AK81" s="4438">
        <f t="shared" si="135"/>
        <v>25.053302178614707</v>
      </c>
      <c r="AL81" s="4438">
        <f t="shared" si="136"/>
        <v>0</v>
      </c>
      <c r="AM81" s="4453"/>
      <c r="AN81" s="4454"/>
      <c r="AO81" s="4438">
        <f t="shared" si="137"/>
        <v>0</v>
      </c>
      <c r="AP81" s="4438">
        <f t="shared" si="138"/>
        <v>0</v>
      </c>
      <c r="AQ81" s="4453"/>
      <c r="AR81" s="4454"/>
      <c r="AS81" s="4438">
        <f t="shared" si="139"/>
        <v>0</v>
      </c>
    </row>
    <row r="82" spans="1:45">
      <c r="A82" s="2531">
        <v>9</v>
      </c>
      <c r="B82" s="2527">
        <v>20603</v>
      </c>
      <c r="C82" s="2522">
        <v>0.5</v>
      </c>
      <c r="D82" s="2552" t="s">
        <v>1015</v>
      </c>
      <c r="E82" s="1091">
        <f t="shared" si="124"/>
        <v>1</v>
      </c>
      <c r="F82" s="5199"/>
      <c r="G82" s="5200"/>
      <c r="H82" s="1091">
        <f t="shared" si="125"/>
        <v>0</v>
      </c>
      <c r="I82" s="1091">
        <f t="shared" si="125"/>
        <v>1</v>
      </c>
      <c r="J82" s="5199"/>
      <c r="K82" s="5200"/>
      <c r="L82" s="1091">
        <f t="shared" si="126"/>
        <v>0</v>
      </c>
      <c r="M82" s="1091">
        <f t="shared" si="126"/>
        <v>3</v>
      </c>
      <c r="N82" s="5199"/>
      <c r="O82" s="5200"/>
      <c r="P82" s="1091">
        <f t="shared" si="127"/>
        <v>1</v>
      </c>
      <c r="Q82" s="1091">
        <f t="shared" si="127"/>
        <v>0</v>
      </c>
      <c r="R82" s="5199"/>
      <c r="S82" s="5200"/>
      <c r="T82" s="1091">
        <f t="shared" si="128"/>
        <v>0</v>
      </c>
      <c r="U82" s="1091">
        <f t="shared" si="128"/>
        <v>0</v>
      </c>
      <c r="V82" s="5199"/>
      <c r="W82" s="5200"/>
      <c r="X82" s="1091">
        <f t="shared" si="129"/>
        <v>0</v>
      </c>
      <c r="Y82" s="4422"/>
      <c r="Z82" s="4438">
        <f t="shared" si="130"/>
        <v>0.51129188119621849</v>
      </c>
      <c r="AA82" s="4453"/>
      <c r="AB82" s="4454"/>
      <c r="AC82" s="4438">
        <f t="shared" si="131"/>
        <v>0</v>
      </c>
      <c r="AD82" s="4438">
        <f t="shared" si="132"/>
        <v>0.51129188119621849</v>
      </c>
      <c r="AE82" s="4453"/>
      <c r="AF82" s="4454"/>
      <c r="AG82" s="4438">
        <f t="shared" si="133"/>
        <v>0</v>
      </c>
      <c r="AH82" s="4438">
        <f t="shared" si="134"/>
        <v>1.5338756435886556</v>
      </c>
      <c r="AI82" s="4453"/>
      <c r="AJ82" s="4454"/>
      <c r="AK82" s="4438">
        <f t="shared" si="135"/>
        <v>0.51129188119621849</v>
      </c>
      <c r="AL82" s="4438">
        <f t="shared" si="136"/>
        <v>0</v>
      </c>
      <c r="AM82" s="4453"/>
      <c r="AN82" s="4454"/>
      <c r="AO82" s="4438">
        <f t="shared" si="137"/>
        <v>0</v>
      </c>
      <c r="AP82" s="4438">
        <f t="shared" si="138"/>
        <v>0</v>
      </c>
      <c r="AQ82" s="4453"/>
      <c r="AR82" s="4454"/>
      <c r="AS82" s="4438">
        <f t="shared" si="139"/>
        <v>0</v>
      </c>
    </row>
    <row r="83" spans="1:45">
      <c r="A83" s="2531">
        <v>10</v>
      </c>
      <c r="B83" s="2527">
        <v>209</v>
      </c>
      <c r="C83" s="2522">
        <v>0.1</v>
      </c>
      <c r="D83" s="2552" t="s">
        <v>213</v>
      </c>
      <c r="E83" s="1091">
        <f t="shared" si="124"/>
        <v>0</v>
      </c>
      <c r="F83" s="5199"/>
      <c r="G83" s="5200"/>
      <c r="H83" s="1091">
        <f t="shared" si="125"/>
        <v>0</v>
      </c>
      <c r="I83" s="1091">
        <f t="shared" si="125"/>
        <v>0</v>
      </c>
      <c r="J83" s="5199"/>
      <c r="K83" s="5200"/>
      <c r="L83" s="1091">
        <f t="shared" si="126"/>
        <v>0</v>
      </c>
      <c r="M83" s="1091">
        <f t="shared" si="126"/>
        <v>0</v>
      </c>
      <c r="N83" s="5199"/>
      <c r="O83" s="5200"/>
      <c r="P83" s="1091">
        <f t="shared" si="127"/>
        <v>0</v>
      </c>
      <c r="Q83" s="1091">
        <f t="shared" si="127"/>
        <v>0</v>
      </c>
      <c r="R83" s="5199"/>
      <c r="S83" s="5200"/>
      <c r="T83" s="1091">
        <f t="shared" si="128"/>
        <v>0</v>
      </c>
      <c r="U83" s="1091">
        <f t="shared" si="128"/>
        <v>0</v>
      </c>
      <c r="V83" s="5199"/>
      <c r="W83" s="5200"/>
      <c r="X83" s="1091">
        <f t="shared" si="129"/>
        <v>0</v>
      </c>
      <c r="Y83" s="4422"/>
      <c r="Z83" s="4438">
        <f t="shared" si="130"/>
        <v>0</v>
      </c>
      <c r="AA83" s="4453"/>
      <c r="AB83" s="4454"/>
      <c r="AC83" s="4438">
        <f t="shared" si="131"/>
        <v>0</v>
      </c>
      <c r="AD83" s="4438">
        <f t="shared" si="132"/>
        <v>0</v>
      </c>
      <c r="AE83" s="4453"/>
      <c r="AF83" s="4454"/>
      <c r="AG83" s="4438">
        <f t="shared" si="133"/>
        <v>0</v>
      </c>
      <c r="AH83" s="4438">
        <f t="shared" si="134"/>
        <v>0</v>
      </c>
      <c r="AI83" s="4453"/>
      <c r="AJ83" s="4454"/>
      <c r="AK83" s="4438">
        <f t="shared" si="135"/>
        <v>0</v>
      </c>
      <c r="AL83" s="4438">
        <f t="shared" si="136"/>
        <v>0</v>
      </c>
      <c r="AM83" s="4453"/>
      <c r="AN83" s="4454"/>
      <c r="AO83" s="4438">
        <f t="shared" si="137"/>
        <v>0</v>
      </c>
      <c r="AP83" s="4438">
        <f t="shared" si="138"/>
        <v>0</v>
      </c>
      <c r="AQ83" s="4453"/>
      <c r="AR83" s="4454"/>
      <c r="AS83" s="4438">
        <f t="shared" si="139"/>
        <v>0</v>
      </c>
    </row>
    <row r="84" spans="1:45" ht="36">
      <c r="A84" s="2531">
        <v>11</v>
      </c>
      <c r="B84" s="2527">
        <v>207</v>
      </c>
      <c r="C84" s="2522" t="s">
        <v>313</v>
      </c>
      <c r="D84" s="2552" t="s">
        <v>414</v>
      </c>
      <c r="E84" s="1091">
        <f t="shared" si="124"/>
        <v>1035</v>
      </c>
      <c r="F84" s="5199"/>
      <c r="G84" s="5200"/>
      <c r="H84" s="1091">
        <f t="shared" si="125"/>
        <v>1582</v>
      </c>
      <c r="I84" s="1091">
        <f t="shared" si="125"/>
        <v>28</v>
      </c>
      <c r="J84" s="5199"/>
      <c r="K84" s="5200"/>
      <c r="L84" s="1091">
        <f t="shared" si="126"/>
        <v>163</v>
      </c>
      <c r="M84" s="1091">
        <f t="shared" si="126"/>
        <v>34</v>
      </c>
      <c r="N84" s="5199"/>
      <c r="O84" s="5200"/>
      <c r="P84" s="1091">
        <f t="shared" si="127"/>
        <v>245</v>
      </c>
      <c r="Q84" s="1091">
        <f t="shared" si="127"/>
        <v>0</v>
      </c>
      <c r="R84" s="5199"/>
      <c r="S84" s="5200"/>
      <c r="T84" s="1091">
        <f t="shared" si="128"/>
        <v>0</v>
      </c>
      <c r="U84" s="1091">
        <f t="shared" si="128"/>
        <v>0</v>
      </c>
      <c r="V84" s="5199"/>
      <c r="W84" s="5200"/>
      <c r="X84" s="1091">
        <f t="shared" si="129"/>
        <v>0</v>
      </c>
      <c r="Y84" s="4422"/>
      <c r="Z84" s="4438">
        <f t="shared" si="130"/>
        <v>529.18709703808611</v>
      </c>
      <c r="AA84" s="4453"/>
      <c r="AB84" s="4454"/>
      <c r="AC84" s="4438">
        <f t="shared" si="131"/>
        <v>808.86375605241767</v>
      </c>
      <c r="AD84" s="4438">
        <f t="shared" si="132"/>
        <v>14.316172673494117</v>
      </c>
      <c r="AE84" s="4453"/>
      <c r="AF84" s="4454"/>
      <c r="AG84" s="4438">
        <f t="shared" si="133"/>
        <v>83.34057663498362</v>
      </c>
      <c r="AH84" s="4438">
        <f t="shared" si="134"/>
        <v>17.383923960671428</v>
      </c>
      <c r="AI84" s="4453"/>
      <c r="AJ84" s="4454"/>
      <c r="AK84" s="4438">
        <f t="shared" si="135"/>
        <v>125.26651089307353</v>
      </c>
      <c r="AL84" s="4438">
        <f t="shared" si="136"/>
        <v>0</v>
      </c>
      <c r="AM84" s="4453"/>
      <c r="AN84" s="4454"/>
      <c r="AO84" s="4438">
        <f t="shared" si="137"/>
        <v>0</v>
      </c>
      <c r="AP84" s="4438">
        <f t="shared" si="138"/>
        <v>0</v>
      </c>
      <c r="AQ84" s="4453"/>
      <c r="AR84" s="4454"/>
      <c r="AS84" s="4438">
        <f t="shared" si="139"/>
        <v>0</v>
      </c>
    </row>
    <row r="85" spans="1:45">
      <c r="A85" s="2531">
        <v>12</v>
      </c>
      <c r="B85" s="2527">
        <v>212</v>
      </c>
      <c r="C85" s="2522">
        <v>0.2</v>
      </c>
      <c r="D85" s="2554" t="s">
        <v>214</v>
      </c>
      <c r="E85" s="1091">
        <f>E33-E60</f>
        <v>8</v>
      </c>
      <c r="F85" s="5199"/>
      <c r="G85" s="5200"/>
      <c r="H85" s="1091">
        <f t="shared" ref="H85:I88" si="140">H33-H60</f>
        <v>4</v>
      </c>
      <c r="I85" s="1091">
        <f t="shared" si="140"/>
        <v>4</v>
      </c>
      <c r="J85" s="5199"/>
      <c r="K85" s="5200"/>
      <c r="L85" s="1091">
        <f t="shared" ref="L85:M88" si="141">L33-L60</f>
        <v>3</v>
      </c>
      <c r="M85" s="1091">
        <f t="shared" si="141"/>
        <v>9</v>
      </c>
      <c r="N85" s="5199"/>
      <c r="O85" s="5200"/>
      <c r="P85" s="1091">
        <f t="shared" ref="P85:Q88" si="142">P33-P60</f>
        <v>6</v>
      </c>
      <c r="Q85" s="1091">
        <f t="shared" si="142"/>
        <v>0</v>
      </c>
      <c r="R85" s="5199"/>
      <c r="S85" s="5200"/>
      <c r="T85" s="1091">
        <f t="shared" ref="T85:U88" si="143">T33-T60</f>
        <v>0</v>
      </c>
      <c r="U85" s="1091">
        <f t="shared" si="143"/>
        <v>0</v>
      </c>
      <c r="V85" s="5199"/>
      <c r="W85" s="5200"/>
      <c r="X85" s="1091">
        <f>X33-X60</f>
        <v>0</v>
      </c>
      <c r="Y85" s="4422"/>
      <c r="Z85" s="4438">
        <f t="shared" si="130"/>
        <v>4.0903350495697479</v>
      </c>
      <c r="AA85" s="4453"/>
      <c r="AB85" s="4454"/>
      <c r="AC85" s="4438">
        <f t="shared" si="131"/>
        <v>2.045167524784874</v>
      </c>
      <c r="AD85" s="4438">
        <f t="shared" si="132"/>
        <v>2.045167524784874</v>
      </c>
      <c r="AE85" s="4453"/>
      <c r="AF85" s="4454"/>
      <c r="AG85" s="4438">
        <f t="shared" si="133"/>
        <v>1.5338756435886556</v>
      </c>
      <c r="AH85" s="4438">
        <f t="shared" si="134"/>
        <v>4.6016269307659661</v>
      </c>
      <c r="AI85" s="4453"/>
      <c r="AJ85" s="4454"/>
      <c r="AK85" s="4438">
        <f t="shared" si="135"/>
        <v>3.0677512871773112</v>
      </c>
      <c r="AL85" s="4438">
        <f t="shared" si="136"/>
        <v>0</v>
      </c>
      <c r="AM85" s="4453"/>
      <c r="AN85" s="4454"/>
      <c r="AO85" s="4438">
        <f t="shared" si="137"/>
        <v>0</v>
      </c>
      <c r="AP85" s="4438">
        <f t="shared" si="138"/>
        <v>0</v>
      </c>
      <c r="AQ85" s="4453"/>
      <c r="AR85" s="4454"/>
      <c r="AS85" s="4438">
        <f t="shared" si="139"/>
        <v>0</v>
      </c>
    </row>
    <row r="86" spans="1:45" ht="24">
      <c r="A86" s="2531">
        <v>13</v>
      </c>
      <c r="B86" s="2526">
        <v>213</v>
      </c>
      <c r="C86" s="2533">
        <v>0.2</v>
      </c>
      <c r="D86" s="2555" t="s">
        <v>215</v>
      </c>
      <c r="E86" s="1091">
        <f>E34-E61</f>
        <v>0</v>
      </c>
      <c r="F86" s="5199"/>
      <c r="G86" s="5200"/>
      <c r="H86" s="1091">
        <f t="shared" si="140"/>
        <v>0</v>
      </c>
      <c r="I86" s="1091">
        <f t="shared" si="140"/>
        <v>0</v>
      </c>
      <c r="J86" s="5199"/>
      <c r="K86" s="5200"/>
      <c r="L86" s="1091">
        <f t="shared" si="141"/>
        <v>0</v>
      </c>
      <c r="M86" s="1091">
        <f t="shared" si="141"/>
        <v>0</v>
      </c>
      <c r="N86" s="5199"/>
      <c r="O86" s="5200"/>
      <c r="P86" s="1091">
        <f t="shared" si="142"/>
        <v>0</v>
      </c>
      <c r="Q86" s="1091">
        <f t="shared" si="142"/>
        <v>0</v>
      </c>
      <c r="R86" s="5199"/>
      <c r="S86" s="5200"/>
      <c r="T86" s="1091">
        <f t="shared" si="143"/>
        <v>0</v>
      </c>
      <c r="U86" s="1091">
        <f t="shared" si="143"/>
        <v>0</v>
      </c>
      <c r="V86" s="5199"/>
      <c r="W86" s="5200"/>
      <c r="X86" s="1091">
        <f>X34-X61</f>
        <v>0</v>
      </c>
      <c r="Y86" s="4422"/>
      <c r="Z86" s="4438">
        <f t="shared" si="130"/>
        <v>0</v>
      </c>
      <c r="AA86" s="4453"/>
      <c r="AB86" s="4454"/>
      <c r="AC86" s="4438">
        <f t="shared" si="131"/>
        <v>0</v>
      </c>
      <c r="AD86" s="4438">
        <f t="shared" si="132"/>
        <v>0</v>
      </c>
      <c r="AE86" s="4453"/>
      <c r="AF86" s="4454"/>
      <c r="AG86" s="4438">
        <f t="shared" si="133"/>
        <v>0</v>
      </c>
      <c r="AH86" s="4438">
        <f t="shared" si="134"/>
        <v>0</v>
      </c>
      <c r="AI86" s="4453"/>
      <c r="AJ86" s="4454"/>
      <c r="AK86" s="4438">
        <f t="shared" si="135"/>
        <v>0</v>
      </c>
      <c r="AL86" s="4438">
        <f t="shared" si="136"/>
        <v>0</v>
      </c>
      <c r="AM86" s="4453"/>
      <c r="AN86" s="4454"/>
      <c r="AO86" s="4438">
        <f t="shared" si="137"/>
        <v>0</v>
      </c>
      <c r="AP86" s="4438">
        <f t="shared" si="138"/>
        <v>0</v>
      </c>
      <c r="AQ86" s="4453"/>
      <c r="AR86" s="4454"/>
      <c r="AS86" s="4438">
        <f t="shared" si="139"/>
        <v>0</v>
      </c>
    </row>
    <row r="87" spans="1:45" ht="24">
      <c r="A87" s="2531">
        <v>14</v>
      </c>
      <c r="B87" s="4389"/>
      <c r="C87" s="4389"/>
      <c r="D87" s="2556" t="s">
        <v>628</v>
      </c>
      <c r="E87" s="1091">
        <f>E35-E62</f>
        <v>0</v>
      </c>
      <c r="F87" s="5199"/>
      <c r="G87" s="5200"/>
      <c r="H87" s="1091">
        <f t="shared" si="140"/>
        <v>0</v>
      </c>
      <c r="I87" s="1091">
        <f t="shared" si="140"/>
        <v>0</v>
      </c>
      <c r="J87" s="5199"/>
      <c r="K87" s="5200"/>
      <c r="L87" s="1091">
        <f t="shared" si="141"/>
        <v>0</v>
      </c>
      <c r="M87" s="1091">
        <f t="shared" si="141"/>
        <v>0</v>
      </c>
      <c r="N87" s="5199"/>
      <c r="O87" s="5200"/>
      <c r="P87" s="1091">
        <f t="shared" si="142"/>
        <v>0</v>
      </c>
      <c r="Q87" s="1091">
        <f t="shared" si="142"/>
        <v>0</v>
      </c>
      <c r="R87" s="5199"/>
      <c r="S87" s="5200"/>
      <c r="T87" s="1091">
        <f t="shared" si="143"/>
        <v>0</v>
      </c>
      <c r="U87" s="1091">
        <f t="shared" si="143"/>
        <v>0</v>
      </c>
      <c r="V87" s="5199"/>
      <c r="W87" s="5200"/>
      <c r="X87" s="1091">
        <f>X35-X62</f>
        <v>0</v>
      </c>
      <c r="Y87" s="4422"/>
      <c r="Z87" s="4438">
        <f t="shared" si="130"/>
        <v>0</v>
      </c>
      <c r="AA87" s="4453"/>
      <c r="AB87" s="4454"/>
      <c r="AC87" s="4438">
        <f t="shared" si="131"/>
        <v>0</v>
      </c>
      <c r="AD87" s="4438">
        <f t="shared" si="132"/>
        <v>0</v>
      </c>
      <c r="AE87" s="4453"/>
      <c r="AF87" s="4454"/>
      <c r="AG87" s="4438">
        <f t="shared" si="133"/>
        <v>0</v>
      </c>
      <c r="AH87" s="4438">
        <f t="shared" si="134"/>
        <v>0</v>
      </c>
      <c r="AI87" s="4453"/>
      <c r="AJ87" s="4454"/>
      <c r="AK87" s="4438">
        <f t="shared" si="135"/>
        <v>0</v>
      </c>
      <c r="AL87" s="4438">
        <f t="shared" si="136"/>
        <v>0</v>
      </c>
      <c r="AM87" s="4453"/>
      <c r="AN87" s="4454"/>
      <c r="AO87" s="4438">
        <f t="shared" si="137"/>
        <v>0</v>
      </c>
      <c r="AP87" s="4438">
        <f t="shared" si="138"/>
        <v>0</v>
      </c>
      <c r="AQ87" s="4453"/>
      <c r="AR87" s="4454"/>
      <c r="AS87" s="4438">
        <f t="shared" si="139"/>
        <v>0</v>
      </c>
    </row>
    <row r="88" spans="1:45" ht="24">
      <c r="A88" s="2531">
        <v>15</v>
      </c>
      <c r="B88" s="2526">
        <v>207</v>
      </c>
      <c r="C88" s="2526" t="s">
        <v>313</v>
      </c>
      <c r="D88" s="2555" t="s">
        <v>415</v>
      </c>
      <c r="E88" s="1091">
        <f>E36-E63</f>
        <v>0</v>
      </c>
      <c r="F88" s="5199"/>
      <c r="G88" s="5200"/>
      <c r="H88" s="1091">
        <f t="shared" si="140"/>
        <v>0</v>
      </c>
      <c r="I88" s="1091">
        <f t="shared" si="140"/>
        <v>0</v>
      </c>
      <c r="J88" s="5199"/>
      <c r="K88" s="5200"/>
      <c r="L88" s="1091">
        <f t="shared" si="141"/>
        <v>0</v>
      </c>
      <c r="M88" s="1091">
        <f t="shared" si="141"/>
        <v>0</v>
      </c>
      <c r="N88" s="5199"/>
      <c r="O88" s="5200"/>
      <c r="P88" s="1091">
        <f t="shared" si="142"/>
        <v>0</v>
      </c>
      <c r="Q88" s="1091">
        <f t="shared" si="142"/>
        <v>0</v>
      </c>
      <c r="R88" s="5199"/>
      <c r="S88" s="5200"/>
      <c r="T88" s="1091">
        <f t="shared" si="143"/>
        <v>0</v>
      </c>
      <c r="U88" s="1091">
        <f t="shared" si="143"/>
        <v>0</v>
      </c>
      <c r="V88" s="5199"/>
      <c r="W88" s="5200"/>
      <c r="X88" s="1091">
        <f>X36-X63</f>
        <v>0</v>
      </c>
      <c r="Y88" s="4422"/>
      <c r="Z88" s="4438">
        <f t="shared" si="130"/>
        <v>0</v>
      </c>
      <c r="AA88" s="4453"/>
      <c r="AB88" s="4454"/>
      <c r="AC88" s="4438">
        <f t="shared" si="131"/>
        <v>0</v>
      </c>
      <c r="AD88" s="4438">
        <f t="shared" si="132"/>
        <v>0</v>
      </c>
      <c r="AE88" s="4453"/>
      <c r="AF88" s="4454"/>
      <c r="AG88" s="4438">
        <f t="shared" si="133"/>
        <v>0</v>
      </c>
      <c r="AH88" s="4438">
        <f t="shared" si="134"/>
        <v>0</v>
      </c>
      <c r="AI88" s="4453"/>
      <c r="AJ88" s="4454"/>
      <c r="AK88" s="4438">
        <f t="shared" si="135"/>
        <v>0</v>
      </c>
      <c r="AL88" s="4438">
        <f t="shared" si="136"/>
        <v>0</v>
      </c>
      <c r="AM88" s="4453"/>
      <c r="AN88" s="4454"/>
      <c r="AO88" s="4438">
        <f t="shared" si="137"/>
        <v>0</v>
      </c>
      <c r="AP88" s="4438">
        <f t="shared" si="138"/>
        <v>0</v>
      </c>
      <c r="AQ88" s="4453"/>
      <c r="AR88" s="4454"/>
      <c r="AS88" s="4438">
        <f t="shared" si="139"/>
        <v>0</v>
      </c>
    </row>
    <row r="89" spans="1:45" ht="13.5" thickBot="1">
      <c r="A89" s="2531">
        <v>16</v>
      </c>
      <c r="B89" s="2536">
        <v>219</v>
      </c>
      <c r="C89" s="2537">
        <v>0.1</v>
      </c>
      <c r="D89" s="2560" t="s">
        <v>216</v>
      </c>
      <c r="E89" s="2628">
        <f>E39-E64</f>
        <v>8</v>
      </c>
      <c r="F89" s="5201"/>
      <c r="G89" s="5202"/>
      <c r="H89" s="2628">
        <f>H39-H64</f>
        <v>6</v>
      </c>
      <c r="I89" s="2628">
        <f>I39-I64</f>
        <v>6</v>
      </c>
      <c r="J89" s="5201"/>
      <c r="K89" s="5202"/>
      <c r="L89" s="2628">
        <f>L39-L64</f>
        <v>4</v>
      </c>
      <c r="M89" s="2628">
        <f>M39-M64</f>
        <v>12</v>
      </c>
      <c r="N89" s="5201"/>
      <c r="O89" s="5202"/>
      <c r="P89" s="2628">
        <f>P39-P64</f>
        <v>9</v>
      </c>
      <c r="Q89" s="2628">
        <f>Q39-Q64</f>
        <v>0</v>
      </c>
      <c r="R89" s="5201"/>
      <c r="S89" s="5202"/>
      <c r="T89" s="2628">
        <f>T39-T64</f>
        <v>0</v>
      </c>
      <c r="U89" s="2628">
        <f>U39-U64</f>
        <v>0</v>
      </c>
      <c r="V89" s="5201"/>
      <c r="W89" s="5202"/>
      <c r="X89" s="2628">
        <f>X39-X64</f>
        <v>0</v>
      </c>
      <c r="Y89" s="4422"/>
      <c r="Z89" s="4438">
        <f t="shared" si="130"/>
        <v>4.0903350495697479</v>
      </c>
      <c r="AA89" s="4448"/>
      <c r="AB89" s="4449"/>
      <c r="AC89" s="4438">
        <f t="shared" si="131"/>
        <v>3.0677512871773112</v>
      </c>
      <c r="AD89" s="4438">
        <f t="shared" si="132"/>
        <v>3.0677512871773112</v>
      </c>
      <c r="AE89" s="4448"/>
      <c r="AF89" s="4449"/>
      <c r="AG89" s="4438">
        <f t="shared" si="133"/>
        <v>2.045167524784874</v>
      </c>
      <c r="AH89" s="4438">
        <f t="shared" si="134"/>
        <v>6.1355025743546223</v>
      </c>
      <c r="AI89" s="4448"/>
      <c r="AJ89" s="4449"/>
      <c r="AK89" s="4438">
        <f t="shared" si="135"/>
        <v>4.6016269307659661</v>
      </c>
      <c r="AL89" s="4438">
        <f t="shared" si="136"/>
        <v>0</v>
      </c>
      <c r="AM89" s="4448"/>
      <c r="AN89" s="4449"/>
      <c r="AO89" s="4438">
        <f t="shared" si="137"/>
        <v>0</v>
      </c>
      <c r="AP89" s="4438">
        <f t="shared" si="138"/>
        <v>0</v>
      </c>
      <c r="AQ89" s="4448"/>
      <c r="AR89" s="4449"/>
      <c r="AS89" s="4438">
        <f t="shared" si="139"/>
        <v>0</v>
      </c>
    </row>
    <row r="90" spans="1:45" ht="13.5" customHeight="1" thickBot="1">
      <c r="A90" s="2568" t="s">
        <v>416</v>
      </c>
      <c r="B90" s="5189" t="s">
        <v>644</v>
      </c>
      <c r="C90" s="5190"/>
      <c r="D90" s="5190"/>
      <c r="E90" s="5190"/>
      <c r="F90" s="5190"/>
      <c r="G90" s="5190"/>
      <c r="H90" s="5190"/>
      <c r="I90" s="5190"/>
      <c r="J90" s="5190"/>
      <c r="K90" s="5190"/>
      <c r="L90" s="5190"/>
      <c r="M90" s="5190"/>
      <c r="N90" s="5190"/>
      <c r="O90" s="5190"/>
      <c r="P90" s="5190"/>
      <c r="Q90" s="5190"/>
      <c r="R90" s="5190"/>
      <c r="S90" s="5190"/>
      <c r="T90" s="5190"/>
      <c r="U90" s="5190"/>
      <c r="V90" s="5190"/>
      <c r="W90" s="5190"/>
      <c r="X90" s="5191"/>
      <c r="Y90" s="4422"/>
      <c r="Z90" s="4438">
        <f t="shared" si="130"/>
        <v>0</v>
      </c>
      <c r="AA90" s="4438">
        <f t="shared" ref="AA90:AA131" si="144">IFERROR(F90/$D$1,0)</f>
        <v>0</v>
      </c>
      <c r="AB90" s="4438">
        <f t="shared" ref="AB90:AB131" si="145">IFERROR(G90/$D$1,0)</f>
        <v>0</v>
      </c>
      <c r="AC90" s="4438">
        <f t="shared" si="131"/>
        <v>0</v>
      </c>
      <c r="AD90" s="4438">
        <f t="shared" si="132"/>
        <v>0</v>
      </c>
      <c r="AE90" s="4438">
        <f t="shared" ref="AE90:AE131" si="146">IFERROR(J90/$D$1,0)</f>
        <v>0</v>
      </c>
      <c r="AF90" s="4438">
        <f t="shared" ref="AF90:AF131" si="147">IFERROR(K90/$D$1,0)</f>
        <v>0</v>
      </c>
      <c r="AG90" s="4438">
        <f t="shared" si="133"/>
        <v>0</v>
      </c>
      <c r="AH90" s="4438">
        <f t="shared" si="134"/>
        <v>0</v>
      </c>
      <c r="AI90" s="4438">
        <f t="shared" ref="AI90:AI131" si="148">IFERROR(N90/$D$1,0)</f>
        <v>0</v>
      </c>
      <c r="AJ90" s="4438">
        <f t="shared" ref="AJ90:AJ131" si="149">IFERROR(O90/$D$1,0)</f>
        <v>0</v>
      </c>
      <c r="AK90" s="4438">
        <f t="shared" si="135"/>
        <v>0</v>
      </c>
      <c r="AL90" s="4438">
        <f t="shared" si="136"/>
        <v>0</v>
      </c>
      <c r="AM90" s="4438">
        <f t="shared" ref="AM90:AM131" si="150">IFERROR(R90/$D$1,0)</f>
        <v>0</v>
      </c>
      <c r="AN90" s="4438">
        <f t="shared" ref="AN90:AN131" si="151">IFERROR(S90/$D$1,0)</f>
        <v>0</v>
      </c>
      <c r="AO90" s="4438">
        <f t="shared" si="137"/>
        <v>0</v>
      </c>
      <c r="AP90" s="4438">
        <f t="shared" si="138"/>
        <v>0</v>
      </c>
      <c r="AQ90" s="4438">
        <f t="shared" ref="AQ90:AQ131" si="152">IFERROR(V90/$D$1,0)</f>
        <v>0</v>
      </c>
      <c r="AR90" s="4438">
        <f t="shared" ref="AR90:AR131" si="153">IFERROR(W90/$D$1,0)</f>
        <v>0</v>
      </c>
      <c r="AS90" s="4438">
        <f t="shared" si="139"/>
        <v>0</v>
      </c>
    </row>
    <row r="91" spans="1:45" ht="13.5" thickBot="1">
      <c r="A91" s="2501" t="s">
        <v>205</v>
      </c>
      <c r="B91" s="5192" t="s">
        <v>334</v>
      </c>
      <c r="C91" s="5193"/>
      <c r="D91" s="5194"/>
      <c r="E91" s="1220">
        <f t="shared" ref="E91:X91" si="154">SUM(E92:E110)</f>
        <v>4633</v>
      </c>
      <c r="F91" s="1220">
        <f t="shared" si="154"/>
        <v>1407</v>
      </c>
      <c r="G91" s="1220">
        <f t="shared" si="154"/>
        <v>0</v>
      </c>
      <c r="H91" s="1220">
        <f t="shared" si="154"/>
        <v>6040</v>
      </c>
      <c r="I91" s="1220">
        <f t="shared" si="154"/>
        <v>267</v>
      </c>
      <c r="J91" s="1220">
        <f t="shared" si="154"/>
        <v>101</v>
      </c>
      <c r="K91" s="1220">
        <f t="shared" si="154"/>
        <v>0</v>
      </c>
      <c r="L91" s="1220">
        <f t="shared" si="154"/>
        <v>368</v>
      </c>
      <c r="M91" s="1220">
        <f t="shared" si="154"/>
        <v>408</v>
      </c>
      <c r="N91" s="1220">
        <f t="shared" si="154"/>
        <v>203</v>
      </c>
      <c r="O91" s="1220">
        <f t="shared" si="154"/>
        <v>0</v>
      </c>
      <c r="P91" s="1220">
        <f t="shared" si="154"/>
        <v>611</v>
      </c>
      <c r="Q91" s="1220">
        <f t="shared" si="154"/>
        <v>0</v>
      </c>
      <c r="R91" s="1220">
        <f t="shared" si="154"/>
        <v>0</v>
      </c>
      <c r="S91" s="1220">
        <f t="shared" si="154"/>
        <v>0</v>
      </c>
      <c r="T91" s="1220">
        <f t="shared" si="154"/>
        <v>0</v>
      </c>
      <c r="U91" s="1220">
        <f t="shared" si="154"/>
        <v>0</v>
      </c>
      <c r="V91" s="1220">
        <f t="shared" si="154"/>
        <v>0</v>
      </c>
      <c r="W91" s="1220">
        <f t="shared" si="154"/>
        <v>0</v>
      </c>
      <c r="X91" s="1084">
        <f t="shared" si="154"/>
        <v>0</v>
      </c>
      <c r="Y91" s="4422"/>
      <c r="Z91" s="4438">
        <f t="shared" si="130"/>
        <v>2368.8152855820804</v>
      </c>
      <c r="AA91" s="4438">
        <f t="shared" si="144"/>
        <v>719.38767684307948</v>
      </c>
      <c r="AB91" s="4438">
        <f t="shared" si="145"/>
        <v>0</v>
      </c>
      <c r="AC91" s="4438">
        <f t="shared" si="131"/>
        <v>3088.2029624251595</v>
      </c>
      <c r="AD91" s="4438">
        <f t="shared" si="132"/>
        <v>136.51493227939034</v>
      </c>
      <c r="AE91" s="4438">
        <f t="shared" si="146"/>
        <v>51.640480000818066</v>
      </c>
      <c r="AF91" s="4438">
        <f t="shared" si="147"/>
        <v>0</v>
      </c>
      <c r="AG91" s="4438">
        <f t="shared" si="133"/>
        <v>188.1554122802084</v>
      </c>
      <c r="AH91" s="4438">
        <f t="shared" si="134"/>
        <v>208.60708752805715</v>
      </c>
      <c r="AI91" s="4438">
        <f t="shared" si="148"/>
        <v>103.79225188283236</v>
      </c>
      <c r="AJ91" s="4438">
        <f t="shared" si="149"/>
        <v>0</v>
      </c>
      <c r="AK91" s="4438">
        <f t="shared" si="135"/>
        <v>312.39933941088952</v>
      </c>
      <c r="AL91" s="4438">
        <f t="shared" si="136"/>
        <v>0</v>
      </c>
      <c r="AM91" s="4438">
        <f t="shared" si="150"/>
        <v>0</v>
      </c>
      <c r="AN91" s="4438">
        <f t="shared" si="151"/>
        <v>0</v>
      </c>
      <c r="AO91" s="4438">
        <f t="shared" si="137"/>
        <v>0</v>
      </c>
      <c r="AP91" s="4438">
        <f t="shared" si="138"/>
        <v>0</v>
      </c>
      <c r="AQ91" s="4438">
        <f t="shared" si="152"/>
        <v>0</v>
      </c>
      <c r="AR91" s="4438">
        <f t="shared" si="153"/>
        <v>0</v>
      </c>
      <c r="AS91" s="4438">
        <f t="shared" si="139"/>
        <v>0</v>
      </c>
    </row>
    <row r="92" spans="1:45">
      <c r="A92" s="2515">
        <v>1</v>
      </c>
      <c r="B92" s="2509">
        <v>20102</v>
      </c>
      <c r="C92" s="2533">
        <v>0</v>
      </c>
      <c r="D92" s="2563" t="s">
        <v>558</v>
      </c>
      <c r="E92" s="4645"/>
      <c r="F92" s="4634"/>
      <c r="G92" s="400"/>
      <c r="H92" s="4387">
        <f t="shared" ref="H92:H110" si="155">+E92+F92-G92</f>
        <v>0</v>
      </c>
      <c r="I92" s="4645">
        <v>0</v>
      </c>
      <c r="J92" s="4634"/>
      <c r="K92" s="400"/>
      <c r="L92" s="4387">
        <f t="shared" ref="L92:L110" si="156">+I92+J92-K92</f>
        <v>0</v>
      </c>
      <c r="M92" s="4645">
        <v>0</v>
      </c>
      <c r="N92" s="400"/>
      <c r="O92" s="400"/>
      <c r="P92" s="4387">
        <f t="shared" ref="P92:P110" si="157">+M92+N92-O92</f>
        <v>0</v>
      </c>
      <c r="Q92" s="400"/>
      <c r="R92" s="400"/>
      <c r="S92" s="400"/>
      <c r="T92" s="4387">
        <f t="shared" ref="T92:T110" si="158">+Q92+R92-S92</f>
        <v>0</v>
      </c>
      <c r="U92" s="400"/>
      <c r="V92" s="400"/>
      <c r="W92" s="400"/>
      <c r="X92" s="4387">
        <f t="shared" ref="X92:X110" si="159">+U92+V92-W92</f>
        <v>0</v>
      </c>
      <c r="Y92" s="4422"/>
      <c r="Z92" s="4438">
        <f t="shared" si="130"/>
        <v>0</v>
      </c>
      <c r="AA92" s="4438">
        <f t="shared" si="144"/>
        <v>0</v>
      </c>
      <c r="AB92" s="4438">
        <f t="shared" si="145"/>
        <v>0</v>
      </c>
      <c r="AC92" s="4438">
        <f t="shared" si="131"/>
        <v>0</v>
      </c>
      <c r="AD92" s="4438">
        <f t="shared" si="132"/>
        <v>0</v>
      </c>
      <c r="AE92" s="4438">
        <f t="shared" si="146"/>
        <v>0</v>
      </c>
      <c r="AF92" s="4438">
        <f t="shared" si="147"/>
        <v>0</v>
      </c>
      <c r="AG92" s="4438">
        <f t="shared" si="133"/>
        <v>0</v>
      </c>
      <c r="AH92" s="4438">
        <f t="shared" si="134"/>
        <v>0</v>
      </c>
      <c r="AI92" s="4438">
        <f t="shared" si="148"/>
        <v>0</v>
      </c>
      <c r="AJ92" s="4438">
        <f t="shared" si="149"/>
        <v>0</v>
      </c>
      <c r="AK92" s="4438">
        <f t="shared" si="135"/>
        <v>0</v>
      </c>
      <c r="AL92" s="4438">
        <f t="shared" si="136"/>
        <v>0</v>
      </c>
      <c r="AM92" s="4438">
        <f t="shared" si="150"/>
        <v>0</v>
      </c>
      <c r="AN92" s="4438">
        <f t="shared" si="151"/>
        <v>0</v>
      </c>
      <c r="AO92" s="4438">
        <f t="shared" si="137"/>
        <v>0</v>
      </c>
      <c r="AP92" s="4438">
        <f t="shared" si="138"/>
        <v>0</v>
      </c>
      <c r="AQ92" s="4438">
        <f t="shared" si="152"/>
        <v>0</v>
      </c>
      <c r="AR92" s="4438">
        <f t="shared" si="153"/>
        <v>0</v>
      </c>
      <c r="AS92" s="4438">
        <f t="shared" si="139"/>
        <v>0</v>
      </c>
    </row>
    <row r="93" spans="1:45">
      <c r="A93" s="2515">
        <v>2</v>
      </c>
      <c r="B93" s="2516">
        <v>20202</v>
      </c>
      <c r="C93" s="2517">
        <v>0.03</v>
      </c>
      <c r="D93" s="2571" t="s">
        <v>426</v>
      </c>
      <c r="E93" s="4645">
        <v>5</v>
      </c>
      <c r="F93" s="4636">
        <v>7</v>
      </c>
      <c r="G93" s="400"/>
      <c r="H93" s="4387">
        <f t="shared" si="155"/>
        <v>12</v>
      </c>
      <c r="I93" s="4645">
        <v>1</v>
      </c>
      <c r="J93" s="4634"/>
      <c r="K93" s="400"/>
      <c r="L93" s="4387">
        <f t="shared" si="156"/>
        <v>1</v>
      </c>
      <c r="M93" s="4645">
        <v>0</v>
      </c>
      <c r="N93" s="400"/>
      <c r="O93" s="400"/>
      <c r="P93" s="4387">
        <f t="shared" si="157"/>
        <v>0</v>
      </c>
      <c r="Q93" s="400"/>
      <c r="R93" s="400"/>
      <c r="S93" s="400"/>
      <c r="T93" s="4387">
        <f t="shared" si="158"/>
        <v>0</v>
      </c>
      <c r="U93" s="400"/>
      <c r="V93" s="400"/>
      <c r="W93" s="400"/>
      <c r="X93" s="4387">
        <f t="shared" si="159"/>
        <v>0</v>
      </c>
      <c r="Y93" s="4422"/>
      <c r="Z93" s="4438">
        <f t="shared" si="130"/>
        <v>2.5564594059810926</v>
      </c>
      <c r="AA93" s="4438">
        <f t="shared" si="144"/>
        <v>3.5790431683735293</v>
      </c>
      <c r="AB93" s="4438">
        <f t="shared" si="145"/>
        <v>0</v>
      </c>
      <c r="AC93" s="4438">
        <f t="shared" si="131"/>
        <v>6.1355025743546223</v>
      </c>
      <c r="AD93" s="4438">
        <f t="shared" si="132"/>
        <v>0.51129188119621849</v>
      </c>
      <c r="AE93" s="4438">
        <f t="shared" si="146"/>
        <v>0</v>
      </c>
      <c r="AF93" s="4438">
        <f t="shared" si="147"/>
        <v>0</v>
      </c>
      <c r="AG93" s="4438">
        <f t="shared" si="133"/>
        <v>0.51129188119621849</v>
      </c>
      <c r="AH93" s="4438">
        <f t="shared" si="134"/>
        <v>0</v>
      </c>
      <c r="AI93" s="4438">
        <f t="shared" si="148"/>
        <v>0</v>
      </c>
      <c r="AJ93" s="4438">
        <f t="shared" si="149"/>
        <v>0</v>
      </c>
      <c r="AK93" s="4438">
        <f t="shared" si="135"/>
        <v>0</v>
      </c>
      <c r="AL93" s="4438">
        <f t="shared" si="136"/>
        <v>0</v>
      </c>
      <c r="AM93" s="4438">
        <f t="shared" si="150"/>
        <v>0</v>
      </c>
      <c r="AN93" s="4438">
        <f t="shared" si="151"/>
        <v>0</v>
      </c>
      <c r="AO93" s="4438">
        <f t="shared" si="137"/>
        <v>0</v>
      </c>
      <c r="AP93" s="4438">
        <f t="shared" si="138"/>
        <v>0</v>
      </c>
      <c r="AQ93" s="4438">
        <f t="shared" si="152"/>
        <v>0</v>
      </c>
      <c r="AR93" s="4438">
        <f t="shared" si="153"/>
        <v>0</v>
      </c>
      <c r="AS93" s="4438">
        <f t="shared" si="139"/>
        <v>0</v>
      </c>
    </row>
    <row r="94" spans="1:45" ht="24">
      <c r="A94" s="2515">
        <v>3</v>
      </c>
      <c r="B94" s="2516">
        <v>2030401</v>
      </c>
      <c r="C94" s="2522">
        <v>0.1</v>
      </c>
      <c r="D94" s="2552" t="s">
        <v>1031</v>
      </c>
      <c r="E94" s="4645">
        <v>896</v>
      </c>
      <c r="F94" s="4636">
        <v>235</v>
      </c>
      <c r="G94" s="400"/>
      <c r="H94" s="4387">
        <f t="shared" si="155"/>
        <v>1131</v>
      </c>
      <c r="I94" s="4645">
        <v>38</v>
      </c>
      <c r="J94" s="4634"/>
      <c r="K94" s="400"/>
      <c r="L94" s="4387">
        <f t="shared" si="156"/>
        <v>38</v>
      </c>
      <c r="M94" s="4645">
        <v>2</v>
      </c>
      <c r="N94" s="400"/>
      <c r="O94" s="400"/>
      <c r="P94" s="4387">
        <f t="shared" si="157"/>
        <v>2</v>
      </c>
      <c r="Q94" s="400"/>
      <c r="R94" s="400"/>
      <c r="S94" s="400"/>
      <c r="T94" s="4387">
        <f t="shared" si="158"/>
        <v>0</v>
      </c>
      <c r="U94" s="400"/>
      <c r="V94" s="400"/>
      <c r="W94" s="400"/>
      <c r="X94" s="4387">
        <f t="shared" si="159"/>
        <v>0</v>
      </c>
      <c r="Y94" s="4422"/>
      <c r="Z94" s="4438">
        <f t="shared" si="130"/>
        <v>458.11752555181175</v>
      </c>
      <c r="AA94" s="4438">
        <f t="shared" si="144"/>
        <v>120.15359208111134</v>
      </c>
      <c r="AB94" s="4438">
        <f t="shared" si="145"/>
        <v>0</v>
      </c>
      <c r="AC94" s="4438">
        <f t="shared" si="131"/>
        <v>578.27111763292316</v>
      </c>
      <c r="AD94" s="4438">
        <f t="shared" si="132"/>
        <v>19.429091485456304</v>
      </c>
      <c r="AE94" s="4438">
        <f t="shared" si="146"/>
        <v>0</v>
      </c>
      <c r="AF94" s="4438">
        <f t="shared" si="147"/>
        <v>0</v>
      </c>
      <c r="AG94" s="4438">
        <f t="shared" si="133"/>
        <v>19.429091485456304</v>
      </c>
      <c r="AH94" s="4438">
        <f t="shared" si="134"/>
        <v>1.022583762392437</v>
      </c>
      <c r="AI94" s="4438">
        <f t="shared" si="148"/>
        <v>0</v>
      </c>
      <c r="AJ94" s="4438">
        <f t="shared" si="149"/>
        <v>0</v>
      </c>
      <c r="AK94" s="4438">
        <f t="shared" si="135"/>
        <v>1.022583762392437</v>
      </c>
      <c r="AL94" s="4438">
        <f t="shared" si="136"/>
        <v>0</v>
      </c>
      <c r="AM94" s="4438">
        <f t="shared" si="150"/>
        <v>0</v>
      </c>
      <c r="AN94" s="4438">
        <f t="shared" si="151"/>
        <v>0</v>
      </c>
      <c r="AO94" s="4438">
        <f t="shared" si="137"/>
        <v>0</v>
      </c>
      <c r="AP94" s="4438">
        <f t="shared" si="138"/>
        <v>0</v>
      </c>
      <c r="AQ94" s="4438">
        <f t="shared" si="152"/>
        <v>0</v>
      </c>
      <c r="AR94" s="4438">
        <f t="shared" si="153"/>
        <v>0</v>
      </c>
      <c r="AS94" s="4438">
        <f t="shared" si="139"/>
        <v>0</v>
      </c>
    </row>
    <row r="95" spans="1:45">
      <c r="A95" s="2515">
        <v>4</v>
      </c>
      <c r="B95" s="2516">
        <v>2030402</v>
      </c>
      <c r="C95" s="2522">
        <v>0.1</v>
      </c>
      <c r="D95" s="2552" t="s">
        <v>429</v>
      </c>
      <c r="E95" s="4645">
        <v>228</v>
      </c>
      <c r="F95" s="4636">
        <v>54</v>
      </c>
      <c r="G95" s="400"/>
      <c r="H95" s="4387">
        <f t="shared" si="155"/>
        <v>282</v>
      </c>
      <c r="I95" s="4645">
        <v>4</v>
      </c>
      <c r="J95" s="4634"/>
      <c r="K95" s="400"/>
      <c r="L95" s="4387">
        <f t="shared" si="156"/>
        <v>4</v>
      </c>
      <c r="M95" s="4645">
        <v>16</v>
      </c>
      <c r="N95" s="400"/>
      <c r="O95" s="400"/>
      <c r="P95" s="4387">
        <f t="shared" si="157"/>
        <v>16</v>
      </c>
      <c r="Q95" s="400"/>
      <c r="R95" s="400"/>
      <c r="S95" s="400"/>
      <c r="T95" s="4387">
        <f t="shared" si="158"/>
        <v>0</v>
      </c>
      <c r="U95" s="400"/>
      <c r="V95" s="400"/>
      <c r="W95" s="400"/>
      <c r="X95" s="4387">
        <f t="shared" si="159"/>
        <v>0</v>
      </c>
      <c r="Y95" s="4422"/>
      <c r="Z95" s="4438">
        <f t="shared" si="130"/>
        <v>116.57454891273781</v>
      </c>
      <c r="AA95" s="4438">
        <f t="shared" si="144"/>
        <v>27.609761584595798</v>
      </c>
      <c r="AB95" s="4438">
        <f t="shared" si="145"/>
        <v>0</v>
      </c>
      <c r="AC95" s="4438">
        <f t="shared" si="131"/>
        <v>144.18431049733363</v>
      </c>
      <c r="AD95" s="4438">
        <f t="shared" si="132"/>
        <v>2.045167524784874</v>
      </c>
      <c r="AE95" s="4438">
        <f t="shared" si="146"/>
        <v>0</v>
      </c>
      <c r="AF95" s="4438">
        <f t="shared" si="147"/>
        <v>0</v>
      </c>
      <c r="AG95" s="4438">
        <f t="shared" si="133"/>
        <v>2.045167524784874</v>
      </c>
      <c r="AH95" s="4438">
        <f t="shared" si="134"/>
        <v>8.1806700991394958</v>
      </c>
      <c r="AI95" s="4438">
        <f t="shared" si="148"/>
        <v>0</v>
      </c>
      <c r="AJ95" s="4438">
        <f t="shared" si="149"/>
        <v>0</v>
      </c>
      <c r="AK95" s="4438">
        <f t="shared" si="135"/>
        <v>8.1806700991394958</v>
      </c>
      <c r="AL95" s="4438">
        <f t="shared" si="136"/>
        <v>0</v>
      </c>
      <c r="AM95" s="4438">
        <f t="shared" si="150"/>
        <v>0</v>
      </c>
      <c r="AN95" s="4438">
        <f t="shared" si="151"/>
        <v>0</v>
      </c>
      <c r="AO95" s="4438">
        <f t="shared" si="137"/>
        <v>0</v>
      </c>
      <c r="AP95" s="4438">
        <f t="shared" si="138"/>
        <v>0</v>
      </c>
      <c r="AQ95" s="4438">
        <f t="shared" si="152"/>
        <v>0</v>
      </c>
      <c r="AR95" s="4438">
        <f t="shared" si="153"/>
        <v>0</v>
      </c>
      <c r="AS95" s="4438">
        <f t="shared" si="139"/>
        <v>0</v>
      </c>
    </row>
    <row r="96" spans="1:45">
      <c r="A96" s="2515">
        <v>5</v>
      </c>
      <c r="B96" s="2516">
        <v>2030501</v>
      </c>
      <c r="C96" s="2522">
        <v>0.1</v>
      </c>
      <c r="D96" s="2552" t="s">
        <v>1001</v>
      </c>
      <c r="E96" s="4645">
        <v>333</v>
      </c>
      <c r="F96" s="4636">
        <v>291</v>
      </c>
      <c r="G96" s="400"/>
      <c r="H96" s="4387">
        <f t="shared" si="155"/>
        <v>624</v>
      </c>
      <c r="I96" s="4645">
        <v>178</v>
      </c>
      <c r="J96" s="4634">
        <v>78</v>
      </c>
      <c r="K96" s="400"/>
      <c r="L96" s="4387">
        <f t="shared" si="156"/>
        <v>256</v>
      </c>
      <c r="M96" s="4645">
        <v>293</v>
      </c>
      <c r="N96" s="400">
        <v>153</v>
      </c>
      <c r="O96" s="400"/>
      <c r="P96" s="4387">
        <f t="shared" si="157"/>
        <v>446</v>
      </c>
      <c r="Q96" s="400"/>
      <c r="R96" s="400"/>
      <c r="S96" s="400"/>
      <c r="T96" s="4387">
        <f t="shared" si="158"/>
        <v>0</v>
      </c>
      <c r="U96" s="400"/>
      <c r="V96" s="400"/>
      <c r="W96" s="400"/>
      <c r="X96" s="4387">
        <f t="shared" si="159"/>
        <v>0</v>
      </c>
      <c r="Y96" s="4422"/>
      <c r="Z96" s="4438">
        <f t="shared" si="130"/>
        <v>170.26019643834076</v>
      </c>
      <c r="AA96" s="4438">
        <f t="shared" si="144"/>
        <v>148.78593742809957</v>
      </c>
      <c r="AB96" s="4438">
        <f t="shared" si="145"/>
        <v>0</v>
      </c>
      <c r="AC96" s="4438">
        <f t="shared" si="131"/>
        <v>319.04613386644036</v>
      </c>
      <c r="AD96" s="4438">
        <f t="shared" si="132"/>
        <v>91.009954852926896</v>
      </c>
      <c r="AE96" s="4438">
        <f t="shared" si="146"/>
        <v>39.880766733305045</v>
      </c>
      <c r="AF96" s="4438">
        <f t="shared" si="147"/>
        <v>0</v>
      </c>
      <c r="AG96" s="4438">
        <f t="shared" si="133"/>
        <v>130.89072158623193</v>
      </c>
      <c r="AH96" s="4438">
        <f t="shared" si="134"/>
        <v>149.80852119049203</v>
      </c>
      <c r="AI96" s="4438">
        <f t="shared" si="148"/>
        <v>78.227657823021431</v>
      </c>
      <c r="AJ96" s="4438">
        <f t="shared" si="149"/>
        <v>0</v>
      </c>
      <c r="AK96" s="4438">
        <f t="shared" si="135"/>
        <v>228.03617901351345</v>
      </c>
      <c r="AL96" s="4438">
        <f t="shared" si="136"/>
        <v>0</v>
      </c>
      <c r="AM96" s="4438">
        <f t="shared" si="150"/>
        <v>0</v>
      </c>
      <c r="AN96" s="4438">
        <f t="shared" si="151"/>
        <v>0</v>
      </c>
      <c r="AO96" s="4438">
        <f t="shared" si="137"/>
        <v>0</v>
      </c>
      <c r="AP96" s="4438">
        <f t="shared" si="138"/>
        <v>0</v>
      </c>
      <c r="AQ96" s="4438">
        <f t="shared" si="152"/>
        <v>0</v>
      </c>
      <c r="AR96" s="4438">
        <f t="shared" si="153"/>
        <v>0</v>
      </c>
      <c r="AS96" s="4438">
        <f t="shared" si="139"/>
        <v>0</v>
      </c>
    </row>
    <row r="97" spans="1:45" ht="36">
      <c r="A97" s="2515">
        <v>6</v>
      </c>
      <c r="B97" s="2516">
        <v>2030502</v>
      </c>
      <c r="C97" s="2522">
        <v>0.1</v>
      </c>
      <c r="D97" s="2552" t="s">
        <v>695</v>
      </c>
      <c r="E97" s="4645">
        <v>731</v>
      </c>
      <c r="F97" s="4636">
        <v>140</v>
      </c>
      <c r="G97" s="400"/>
      <c r="H97" s="4387">
        <f t="shared" si="155"/>
        <v>871</v>
      </c>
      <c r="I97" s="4645">
        <v>1</v>
      </c>
      <c r="J97" s="4634"/>
      <c r="K97" s="400"/>
      <c r="L97" s="4387">
        <f t="shared" si="156"/>
        <v>1</v>
      </c>
      <c r="M97" s="4645">
        <v>1</v>
      </c>
      <c r="N97" s="400"/>
      <c r="O97" s="400"/>
      <c r="P97" s="4387">
        <f t="shared" si="157"/>
        <v>1</v>
      </c>
      <c r="Q97" s="400"/>
      <c r="R97" s="400"/>
      <c r="S97" s="400"/>
      <c r="T97" s="4387">
        <f t="shared" si="158"/>
        <v>0</v>
      </c>
      <c r="U97" s="400"/>
      <c r="V97" s="400"/>
      <c r="W97" s="400"/>
      <c r="X97" s="4387">
        <f t="shared" si="159"/>
        <v>0</v>
      </c>
      <c r="Y97" s="4422"/>
      <c r="Z97" s="4438">
        <f t="shared" si="130"/>
        <v>373.75436515443573</v>
      </c>
      <c r="AA97" s="4438">
        <f t="shared" si="144"/>
        <v>71.580863367470585</v>
      </c>
      <c r="AB97" s="4438">
        <f t="shared" si="145"/>
        <v>0</v>
      </c>
      <c r="AC97" s="4438">
        <f t="shared" si="131"/>
        <v>445.33522852190629</v>
      </c>
      <c r="AD97" s="4438">
        <f t="shared" si="132"/>
        <v>0.51129188119621849</v>
      </c>
      <c r="AE97" s="4438">
        <f t="shared" si="146"/>
        <v>0</v>
      </c>
      <c r="AF97" s="4438">
        <f t="shared" si="147"/>
        <v>0</v>
      </c>
      <c r="AG97" s="4438">
        <f t="shared" si="133"/>
        <v>0.51129188119621849</v>
      </c>
      <c r="AH97" s="4438">
        <f t="shared" si="134"/>
        <v>0.51129188119621849</v>
      </c>
      <c r="AI97" s="4438">
        <f t="shared" si="148"/>
        <v>0</v>
      </c>
      <c r="AJ97" s="4438">
        <f t="shared" si="149"/>
        <v>0</v>
      </c>
      <c r="AK97" s="4438">
        <f t="shared" si="135"/>
        <v>0.51129188119621849</v>
      </c>
      <c r="AL97" s="4438">
        <f t="shared" si="136"/>
        <v>0</v>
      </c>
      <c r="AM97" s="4438">
        <f t="shared" si="150"/>
        <v>0</v>
      </c>
      <c r="AN97" s="4438">
        <f t="shared" si="151"/>
        <v>0</v>
      </c>
      <c r="AO97" s="4438">
        <f t="shared" si="137"/>
        <v>0</v>
      </c>
      <c r="AP97" s="4438">
        <f t="shared" si="138"/>
        <v>0</v>
      </c>
      <c r="AQ97" s="4438">
        <f t="shared" si="152"/>
        <v>0</v>
      </c>
      <c r="AR97" s="4438">
        <f t="shared" si="153"/>
        <v>0</v>
      </c>
      <c r="AS97" s="4438">
        <f t="shared" si="139"/>
        <v>0</v>
      </c>
    </row>
    <row r="98" spans="1:45">
      <c r="A98" s="2515">
        <v>7</v>
      </c>
      <c r="B98" s="2516">
        <v>2030503</v>
      </c>
      <c r="C98" s="2522">
        <v>0.1</v>
      </c>
      <c r="D98" s="2552" t="s">
        <v>713</v>
      </c>
      <c r="E98" s="4645">
        <v>209</v>
      </c>
      <c r="F98" s="4636">
        <v>2</v>
      </c>
      <c r="G98" s="400"/>
      <c r="H98" s="4387">
        <f t="shared" si="155"/>
        <v>211</v>
      </c>
      <c r="I98" s="4645">
        <v>4</v>
      </c>
      <c r="J98" s="4634"/>
      <c r="K98" s="400"/>
      <c r="L98" s="4387">
        <f t="shared" si="156"/>
        <v>4</v>
      </c>
      <c r="M98" s="4645">
        <v>11</v>
      </c>
      <c r="N98" s="400"/>
      <c r="O98" s="400"/>
      <c r="P98" s="4387">
        <f t="shared" si="157"/>
        <v>11</v>
      </c>
      <c r="Q98" s="400"/>
      <c r="R98" s="400"/>
      <c r="S98" s="400"/>
      <c r="T98" s="4387">
        <f t="shared" si="158"/>
        <v>0</v>
      </c>
      <c r="U98" s="400"/>
      <c r="V98" s="400"/>
      <c r="W98" s="400"/>
      <c r="X98" s="4387">
        <f t="shared" si="159"/>
        <v>0</v>
      </c>
      <c r="Y98" s="4422"/>
      <c r="Z98" s="4438">
        <f t="shared" si="130"/>
        <v>106.86000317000966</v>
      </c>
      <c r="AA98" s="4438">
        <f t="shared" si="144"/>
        <v>1.022583762392437</v>
      </c>
      <c r="AB98" s="4438">
        <f t="shared" si="145"/>
        <v>0</v>
      </c>
      <c r="AC98" s="4438">
        <f t="shared" si="131"/>
        <v>107.88258693240211</v>
      </c>
      <c r="AD98" s="4438">
        <f t="shared" si="132"/>
        <v>2.045167524784874</v>
      </c>
      <c r="AE98" s="4438">
        <f t="shared" si="146"/>
        <v>0</v>
      </c>
      <c r="AF98" s="4438">
        <f t="shared" si="147"/>
        <v>0</v>
      </c>
      <c r="AG98" s="4438">
        <f t="shared" si="133"/>
        <v>2.045167524784874</v>
      </c>
      <c r="AH98" s="4438">
        <f t="shared" si="134"/>
        <v>5.6242106931584033</v>
      </c>
      <c r="AI98" s="4438">
        <f t="shared" si="148"/>
        <v>0</v>
      </c>
      <c r="AJ98" s="4438">
        <f t="shared" si="149"/>
        <v>0</v>
      </c>
      <c r="AK98" s="4438">
        <f t="shared" si="135"/>
        <v>5.6242106931584033</v>
      </c>
      <c r="AL98" s="4438">
        <f t="shared" si="136"/>
        <v>0</v>
      </c>
      <c r="AM98" s="4438">
        <f t="shared" si="150"/>
        <v>0</v>
      </c>
      <c r="AN98" s="4438">
        <f t="shared" si="151"/>
        <v>0</v>
      </c>
      <c r="AO98" s="4438">
        <f t="shared" si="137"/>
        <v>0</v>
      </c>
      <c r="AP98" s="4438">
        <f t="shared" si="138"/>
        <v>0</v>
      </c>
      <c r="AQ98" s="4438">
        <f t="shared" si="152"/>
        <v>0</v>
      </c>
      <c r="AR98" s="4438">
        <f t="shared" si="153"/>
        <v>0</v>
      </c>
      <c r="AS98" s="4438">
        <f t="shared" si="139"/>
        <v>0</v>
      </c>
    </row>
    <row r="99" spans="1:45">
      <c r="A99" s="2515">
        <v>8</v>
      </c>
      <c r="B99" s="2516">
        <v>2040101</v>
      </c>
      <c r="C99" s="2572">
        <v>0.1</v>
      </c>
      <c r="D99" s="2546" t="s">
        <v>1016</v>
      </c>
      <c r="E99" s="4645">
        <v>38</v>
      </c>
      <c r="F99" s="4636"/>
      <c r="G99" s="400"/>
      <c r="H99" s="4387">
        <f t="shared" si="155"/>
        <v>38</v>
      </c>
      <c r="I99" s="4645">
        <v>0</v>
      </c>
      <c r="J99" s="4634"/>
      <c r="K99" s="400"/>
      <c r="L99" s="4387">
        <f t="shared" si="156"/>
        <v>0</v>
      </c>
      <c r="M99" s="4645">
        <v>2</v>
      </c>
      <c r="N99" s="400"/>
      <c r="O99" s="400"/>
      <c r="P99" s="4387">
        <f t="shared" si="157"/>
        <v>2</v>
      </c>
      <c r="Q99" s="400"/>
      <c r="R99" s="400"/>
      <c r="S99" s="400"/>
      <c r="T99" s="4387">
        <f t="shared" si="158"/>
        <v>0</v>
      </c>
      <c r="U99" s="400"/>
      <c r="V99" s="400"/>
      <c r="W99" s="400"/>
      <c r="X99" s="4387">
        <f t="shared" si="159"/>
        <v>0</v>
      </c>
      <c r="Y99" s="4422"/>
      <c r="Z99" s="4438">
        <f t="shared" si="130"/>
        <v>19.429091485456304</v>
      </c>
      <c r="AA99" s="4438">
        <f t="shared" si="144"/>
        <v>0</v>
      </c>
      <c r="AB99" s="4438">
        <f t="shared" si="145"/>
        <v>0</v>
      </c>
      <c r="AC99" s="4438">
        <f t="shared" si="131"/>
        <v>19.429091485456304</v>
      </c>
      <c r="AD99" s="4438">
        <f t="shared" si="132"/>
        <v>0</v>
      </c>
      <c r="AE99" s="4438">
        <f t="shared" si="146"/>
        <v>0</v>
      </c>
      <c r="AF99" s="4438">
        <f t="shared" si="147"/>
        <v>0</v>
      </c>
      <c r="AG99" s="4438">
        <f t="shared" si="133"/>
        <v>0</v>
      </c>
      <c r="AH99" s="4438">
        <f t="shared" si="134"/>
        <v>1.022583762392437</v>
      </c>
      <c r="AI99" s="4438">
        <f t="shared" si="148"/>
        <v>0</v>
      </c>
      <c r="AJ99" s="4438">
        <f t="shared" si="149"/>
        <v>0</v>
      </c>
      <c r="AK99" s="4438">
        <f t="shared" si="135"/>
        <v>1.022583762392437</v>
      </c>
      <c r="AL99" s="4438">
        <f t="shared" si="136"/>
        <v>0</v>
      </c>
      <c r="AM99" s="4438">
        <f t="shared" si="150"/>
        <v>0</v>
      </c>
      <c r="AN99" s="4438">
        <f t="shared" si="151"/>
        <v>0</v>
      </c>
      <c r="AO99" s="4438">
        <f t="shared" si="137"/>
        <v>0</v>
      </c>
      <c r="AP99" s="4438">
        <f t="shared" si="138"/>
        <v>0</v>
      </c>
      <c r="AQ99" s="4438">
        <f t="shared" si="152"/>
        <v>0</v>
      </c>
      <c r="AR99" s="4438">
        <f t="shared" si="153"/>
        <v>0</v>
      </c>
      <c r="AS99" s="4438">
        <f t="shared" si="139"/>
        <v>0</v>
      </c>
    </row>
    <row r="100" spans="1:45">
      <c r="A100" s="2573">
        <v>9</v>
      </c>
      <c r="B100" s="2516">
        <v>2040102</v>
      </c>
      <c r="C100" s="2572">
        <v>0.04</v>
      </c>
      <c r="D100" s="2546" t="s">
        <v>432</v>
      </c>
      <c r="E100" s="4645">
        <v>0</v>
      </c>
      <c r="F100" s="4636"/>
      <c r="G100" s="400"/>
      <c r="H100" s="4387">
        <f t="shared" si="155"/>
        <v>0</v>
      </c>
      <c r="I100" s="4645">
        <v>0</v>
      </c>
      <c r="J100" s="4634"/>
      <c r="K100" s="400"/>
      <c r="L100" s="4387">
        <f t="shared" si="156"/>
        <v>0</v>
      </c>
      <c r="M100" s="4645">
        <v>0</v>
      </c>
      <c r="N100" s="400"/>
      <c r="O100" s="400"/>
      <c r="P100" s="4387">
        <f t="shared" si="157"/>
        <v>0</v>
      </c>
      <c r="Q100" s="400"/>
      <c r="R100" s="400"/>
      <c r="S100" s="400"/>
      <c r="T100" s="4387">
        <f t="shared" si="158"/>
        <v>0</v>
      </c>
      <c r="U100" s="400"/>
      <c r="V100" s="400"/>
      <c r="W100" s="400"/>
      <c r="X100" s="4387">
        <f t="shared" si="159"/>
        <v>0</v>
      </c>
      <c r="Y100" s="4422"/>
      <c r="Z100" s="4438">
        <f t="shared" si="130"/>
        <v>0</v>
      </c>
      <c r="AA100" s="4438">
        <f t="shared" si="144"/>
        <v>0</v>
      </c>
      <c r="AB100" s="4438">
        <f t="shared" si="145"/>
        <v>0</v>
      </c>
      <c r="AC100" s="4438">
        <f t="shared" si="131"/>
        <v>0</v>
      </c>
      <c r="AD100" s="4438">
        <f t="shared" si="132"/>
        <v>0</v>
      </c>
      <c r="AE100" s="4438">
        <f t="shared" si="146"/>
        <v>0</v>
      </c>
      <c r="AF100" s="4438">
        <f t="shared" si="147"/>
        <v>0</v>
      </c>
      <c r="AG100" s="4438">
        <f t="shared" si="133"/>
        <v>0</v>
      </c>
      <c r="AH100" s="4438">
        <f t="shared" si="134"/>
        <v>0</v>
      </c>
      <c r="AI100" s="4438">
        <f t="shared" si="148"/>
        <v>0</v>
      </c>
      <c r="AJ100" s="4438">
        <f t="shared" si="149"/>
        <v>0</v>
      </c>
      <c r="AK100" s="4438">
        <f t="shared" si="135"/>
        <v>0</v>
      </c>
      <c r="AL100" s="4438">
        <f t="shared" si="136"/>
        <v>0</v>
      </c>
      <c r="AM100" s="4438">
        <f t="shared" si="150"/>
        <v>0</v>
      </c>
      <c r="AN100" s="4438">
        <f t="shared" si="151"/>
        <v>0</v>
      </c>
      <c r="AO100" s="4438">
        <f t="shared" si="137"/>
        <v>0</v>
      </c>
      <c r="AP100" s="4438">
        <f t="shared" si="138"/>
        <v>0</v>
      </c>
      <c r="AQ100" s="4438">
        <f t="shared" si="152"/>
        <v>0</v>
      </c>
      <c r="AR100" s="4438">
        <f t="shared" si="153"/>
        <v>0</v>
      </c>
      <c r="AS100" s="4438">
        <f t="shared" si="139"/>
        <v>0</v>
      </c>
    </row>
    <row r="101" spans="1:45">
      <c r="A101" s="2573">
        <v>10</v>
      </c>
      <c r="B101" s="2516">
        <v>2040201</v>
      </c>
      <c r="C101" s="2517">
        <v>0.02</v>
      </c>
      <c r="D101" s="2547" t="s">
        <v>738</v>
      </c>
      <c r="E101" s="4645">
        <v>0</v>
      </c>
      <c r="F101" s="4636"/>
      <c r="G101" s="400"/>
      <c r="H101" s="4387">
        <f t="shared" si="155"/>
        <v>0</v>
      </c>
      <c r="I101" s="4645">
        <v>0</v>
      </c>
      <c r="J101" s="4634"/>
      <c r="K101" s="400"/>
      <c r="L101" s="4387">
        <f t="shared" si="156"/>
        <v>0</v>
      </c>
      <c r="M101" s="4645">
        <v>0</v>
      </c>
      <c r="N101" s="400"/>
      <c r="O101" s="400"/>
      <c r="P101" s="4387">
        <f t="shared" si="157"/>
        <v>0</v>
      </c>
      <c r="Q101" s="400"/>
      <c r="R101" s="400"/>
      <c r="S101" s="400"/>
      <c r="T101" s="4387">
        <f t="shared" si="158"/>
        <v>0</v>
      </c>
      <c r="U101" s="400"/>
      <c r="V101" s="400"/>
      <c r="W101" s="400"/>
      <c r="X101" s="4387">
        <f t="shared" si="159"/>
        <v>0</v>
      </c>
      <c r="Y101" s="4422"/>
      <c r="Z101" s="4438">
        <f t="shared" si="130"/>
        <v>0</v>
      </c>
      <c r="AA101" s="4438">
        <f t="shared" si="144"/>
        <v>0</v>
      </c>
      <c r="AB101" s="4438">
        <f t="shared" si="145"/>
        <v>0</v>
      </c>
      <c r="AC101" s="4438">
        <f t="shared" si="131"/>
        <v>0</v>
      </c>
      <c r="AD101" s="4438">
        <f t="shared" si="132"/>
        <v>0</v>
      </c>
      <c r="AE101" s="4438">
        <f t="shared" si="146"/>
        <v>0</v>
      </c>
      <c r="AF101" s="4438">
        <f t="shared" si="147"/>
        <v>0</v>
      </c>
      <c r="AG101" s="4438">
        <f t="shared" si="133"/>
        <v>0</v>
      </c>
      <c r="AH101" s="4438">
        <f t="shared" si="134"/>
        <v>0</v>
      </c>
      <c r="AI101" s="4438">
        <f t="shared" si="148"/>
        <v>0</v>
      </c>
      <c r="AJ101" s="4438">
        <f t="shared" si="149"/>
        <v>0</v>
      </c>
      <c r="AK101" s="4438">
        <f t="shared" si="135"/>
        <v>0</v>
      </c>
      <c r="AL101" s="4438">
        <f t="shared" si="136"/>
        <v>0</v>
      </c>
      <c r="AM101" s="4438">
        <f t="shared" si="150"/>
        <v>0</v>
      </c>
      <c r="AN101" s="4438">
        <f t="shared" si="151"/>
        <v>0</v>
      </c>
      <c r="AO101" s="4438">
        <f t="shared" si="137"/>
        <v>0</v>
      </c>
      <c r="AP101" s="4438">
        <f t="shared" si="138"/>
        <v>0</v>
      </c>
      <c r="AQ101" s="4438">
        <f t="shared" si="152"/>
        <v>0</v>
      </c>
      <c r="AR101" s="4438">
        <f t="shared" si="153"/>
        <v>0</v>
      </c>
      <c r="AS101" s="4438">
        <f t="shared" si="139"/>
        <v>0</v>
      </c>
    </row>
    <row r="102" spans="1:45">
      <c r="A102" s="2573">
        <v>11</v>
      </c>
      <c r="B102" s="2516">
        <v>2040202</v>
      </c>
      <c r="C102" s="2517">
        <v>0.02</v>
      </c>
      <c r="D102" s="2547" t="s">
        <v>739</v>
      </c>
      <c r="E102" s="4647">
        <v>16</v>
      </c>
      <c r="F102" s="4636">
        <v>40</v>
      </c>
      <c r="G102" s="400"/>
      <c r="H102" s="4387">
        <f t="shared" si="155"/>
        <v>56</v>
      </c>
      <c r="I102" s="4647">
        <v>0</v>
      </c>
      <c r="J102" s="4634"/>
      <c r="K102" s="400"/>
      <c r="L102" s="4387">
        <f t="shared" si="156"/>
        <v>0</v>
      </c>
      <c r="M102" s="4647">
        <v>0</v>
      </c>
      <c r="N102" s="400"/>
      <c r="O102" s="400"/>
      <c r="P102" s="4387">
        <f t="shared" si="157"/>
        <v>0</v>
      </c>
      <c r="Q102" s="400"/>
      <c r="R102" s="400"/>
      <c r="S102" s="400"/>
      <c r="T102" s="4387">
        <f t="shared" si="158"/>
        <v>0</v>
      </c>
      <c r="U102" s="400"/>
      <c r="V102" s="400"/>
      <c r="W102" s="400"/>
      <c r="X102" s="4387">
        <f t="shared" si="159"/>
        <v>0</v>
      </c>
      <c r="Y102" s="4422"/>
      <c r="Z102" s="4438">
        <f t="shared" si="130"/>
        <v>8.1806700991394958</v>
      </c>
      <c r="AA102" s="4438">
        <f t="shared" si="144"/>
        <v>20.45167524784874</v>
      </c>
      <c r="AB102" s="4438">
        <f t="shared" si="145"/>
        <v>0</v>
      </c>
      <c r="AC102" s="4438">
        <f t="shared" si="131"/>
        <v>28.632345346988235</v>
      </c>
      <c r="AD102" s="4438">
        <f t="shared" si="132"/>
        <v>0</v>
      </c>
      <c r="AE102" s="4438">
        <f t="shared" si="146"/>
        <v>0</v>
      </c>
      <c r="AF102" s="4438">
        <f t="shared" si="147"/>
        <v>0</v>
      </c>
      <c r="AG102" s="4438">
        <f t="shared" si="133"/>
        <v>0</v>
      </c>
      <c r="AH102" s="4438">
        <f t="shared" si="134"/>
        <v>0</v>
      </c>
      <c r="AI102" s="4438">
        <f t="shared" si="148"/>
        <v>0</v>
      </c>
      <c r="AJ102" s="4438">
        <f t="shared" si="149"/>
        <v>0</v>
      </c>
      <c r="AK102" s="4438">
        <f t="shared" si="135"/>
        <v>0</v>
      </c>
      <c r="AL102" s="4438">
        <f t="shared" si="136"/>
        <v>0</v>
      </c>
      <c r="AM102" s="4438">
        <f t="shared" si="150"/>
        <v>0</v>
      </c>
      <c r="AN102" s="4438">
        <f t="shared" si="151"/>
        <v>0</v>
      </c>
      <c r="AO102" s="4438">
        <f t="shared" si="137"/>
        <v>0</v>
      </c>
      <c r="AP102" s="4438">
        <f t="shared" si="138"/>
        <v>0</v>
      </c>
      <c r="AQ102" s="4438">
        <f t="shared" si="152"/>
        <v>0</v>
      </c>
      <c r="AR102" s="4438">
        <f t="shared" si="153"/>
        <v>0</v>
      </c>
      <c r="AS102" s="4438">
        <f t="shared" si="139"/>
        <v>0</v>
      </c>
    </row>
    <row r="103" spans="1:45">
      <c r="A103" s="2573">
        <v>12</v>
      </c>
      <c r="B103" s="2516">
        <v>2040203</v>
      </c>
      <c r="C103" s="2517">
        <v>0.02</v>
      </c>
      <c r="D103" s="2547" t="s">
        <v>418</v>
      </c>
      <c r="E103" s="4645">
        <v>20</v>
      </c>
      <c r="F103" s="4636"/>
      <c r="G103" s="400"/>
      <c r="H103" s="4387">
        <f t="shared" si="155"/>
        <v>20</v>
      </c>
      <c r="I103" s="4645">
        <v>0</v>
      </c>
      <c r="J103" s="4634"/>
      <c r="K103" s="400"/>
      <c r="L103" s="4387">
        <f t="shared" si="156"/>
        <v>0</v>
      </c>
      <c r="M103" s="4645">
        <v>0</v>
      </c>
      <c r="N103" s="400"/>
      <c r="O103" s="400"/>
      <c r="P103" s="4387">
        <f t="shared" si="157"/>
        <v>0</v>
      </c>
      <c r="Q103" s="400"/>
      <c r="R103" s="400"/>
      <c r="S103" s="400"/>
      <c r="T103" s="4387">
        <f t="shared" si="158"/>
        <v>0</v>
      </c>
      <c r="U103" s="400"/>
      <c r="V103" s="400"/>
      <c r="W103" s="400"/>
      <c r="X103" s="4387">
        <f t="shared" si="159"/>
        <v>0</v>
      </c>
      <c r="Y103" s="4422"/>
      <c r="Z103" s="4438">
        <f t="shared" si="130"/>
        <v>10.22583762392437</v>
      </c>
      <c r="AA103" s="4438">
        <f t="shared" si="144"/>
        <v>0</v>
      </c>
      <c r="AB103" s="4438">
        <f t="shared" si="145"/>
        <v>0</v>
      </c>
      <c r="AC103" s="4438">
        <f t="shared" si="131"/>
        <v>10.22583762392437</v>
      </c>
      <c r="AD103" s="4438">
        <f t="shared" si="132"/>
        <v>0</v>
      </c>
      <c r="AE103" s="4438">
        <f t="shared" si="146"/>
        <v>0</v>
      </c>
      <c r="AF103" s="4438">
        <f t="shared" si="147"/>
        <v>0</v>
      </c>
      <c r="AG103" s="4438">
        <f t="shared" si="133"/>
        <v>0</v>
      </c>
      <c r="AH103" s="4438">
        <f t="shared" si="134"/>
        <v>0</v>
      </c>
      <c r="AI103" s="4438">
        <f t="shared" si="148"/>
        <v>0</v>
      </c>
      <c r="AJ103" s="4438">
        <f t="shared" si="149"/>
        <v>0</v>
      </c>
      <c r="AK103" s="4438">
        <f t="shared" si="135"/>
        <v>0</v>
      </c>
      <c r="AL103" s="4438">
        <f t="shared" si="136"/>
        <v>0</v>
      </c>
      <c r="AM103" s="4438">
        <f t="shared" si="150"/>
        <v>0</v>
      </c>
      <c r="AN103" s="4438">
        <f t="shared" si="151"/>
        <v>0</v>
      </c>
      <c r="AO103" s="4438">
        <f t="shared" si="137"/>
        <v>0</v>
      </c>
      <c r="AP103" s="4438">
        <f t="shared" si="138"/>
        <v>0</v>
      </c>
      <c r="AQ103" s="4438">
        <f t="shared" si="152"/>
        <v>0</v>
      </c>
      <c r="AR103" s="4438">
        <f t="shared" si="153"/>
        <v>0</v>
      </c>
      <c r="AS103" s="4438">
        <f t="shared" si="139"/>
        <v>0</v>
      </c>
    </row>
    <row r="104" spans="1:45" ht="24">
      <c r="A104" s="2573">
        <v>13</v>
      </c>
      <c r="B104" s="2516">
        <v>2040204</v>
      </c>
      <c r="C104" s="2517">
        <v>0.02</v>
      </c>
      <c r="D104" s="2546" t="s">
        <v>419</v>
      </c>
      <c r="E104" s="4645">
        <v>51</v>
      </c>
      <c r="F104" s="4636">
        <v>47</v>
      </c>
      <c r="G104" s="400"/>
      <c r="H104" s="4387">
        <f t="shared" si="155"/>
        <v>98</v>
      </c>
      <c r="I104" s="4645">
        <v>0</v>
      </c>
      <c r="J104" s="4634"/>
      <c r="K104" s="400"/>
      <c r="L104" s="4387">
        <f t="shared" si="156"/>
        <v>0</v>
      </c>
      <c r="M104" s="4645">
        <v>0</v>
      </c>
      <c r="N104" s="400"/>
      <c r="O104" s="400"/>
      <c r="P104" s="4387">
        <f t="shared" si="157"/>
        <v>0</v>
      </c>
      <c r="Q104" s="400"/>
      <c r="R104" s="400"/>
      <c r="S104" s="400"/>
      <c r="T104" s="4387">
        <f t="shared" si="158"/>
        <v>0</v>
      </c>
      <c r="U104" s="400"/>
      <c r="V104" s="400"/>
      <c r="W104" s="400"/>
      <c r="X104" s="4387">
        <f t="shared" si="159"/>
        <v>0</v>
      </c>
      <c r="Y104" s="4422"/>
      <c r="Z104" s="4438">
        <f t="shared" si="130"/>
        <v>26.075885941007144</v>
      </c>
      <c r="AA104" s="4438">
        <f t="shared" si="144"/>
        <v>24.030718416222268</v>
      </c>
      <c r="AB104" s="4438">
        <f t="shared" si="145"/>
        <v>0</v>
      </c>
      <c r="AC104" s="4438">
        <f t="shared" si="131"/>
        <v>50.106604357229415</v>
      </c>
      <c r="AD104" s="4438">
        <f t="shared" si="132"/>
        <v>0</v>
      </c>
      <c r="AE104" s="4438">
        <f t="shared" si="146"/>
        <v>0</v>
      </c>
      <c r="AF104" s="4438">
        <f t="shared" si="147"/>
        <v>0</v>
      </c>
      <c r="AG104" s="4438">
        <f t="shared" si="133"/>
        <v>0</v>
      </c>
      <c r="AH104" s="4438">
        <f t="shared" si="134"/>
        <v>0</v>
      </c>
      <c r="AI104" s="4438">
        <f t="shared" si="148"/>
        <v>0</v>
      </c>
      <c r="AJ104" s="4438">
        <f t="shared" si="149"/>
        <v>0</v>
      </c>
      <c r="AK104" s="4438">
        <f t="shared" si="135"/>
        <v>0</v>
      </c>
      <c r="AL104" s="4438">
        <f t="shared" si="136"/>
        <v>0</v>
      </c>
      <c r="AM104" s="4438">
        <f t="shared" si="150"/>
        <v>0</v>
      </c>
      <c r="AN104" s="4438">
        <f t="shared" si="151"/>
        <v>0</v>
      </c>
      <c r="AO104" s="4438">
        <f t="shared" si="137"/>
        <v>0</v>
      </c>
      <c r="AP104" s="4438">
        <f t="shared" si="138"/>
        <v>0</v>
      </c>
      <c r="AQ104" s="4438">
        <f t="shared" si="152"/>
        <v>0</v>
      </c>
      <c r="AR104" s="4438">
        <f t="shared" si="153"/>
        <v>0</v>
      </c>
      <c r="AS104" s="4438">
        <f t="shared" si="139"/>
        <v>0</v>
      </c>
    </row>
    <row r="105" spans="1:45">
      <c r="A105" s="2573">
        <v>14</v>
      </c>
      <c r="B105" s="2516">
        <v>2040205</v>
      </c>
      <c r="C105" s="2517">
        <v>0.02</v>
      </c>
      <c r="D105" s="2547" t="s">
        <v>420</v>
      </c>
      <c r="E105" s="4647">
        <v>2017</v>
      </c>
      <c r="F105" s="4636">
        <v>583</v>
      </c>
      <c r="G105" s="400"/>
      <c r="H105" s="4387">
        <f t="shared" si="155"/>
        <v>2600</v>
      </c>
      <c r="I105" s="4647">
        <v>0</v>
      </c>
      <c r="J105" s="4634"/>
      <c r="K105" s="400"/>
      <c r="L105" s="4387">
        <f t="shared" si="156"/>
        <v>0</v>
      </c>
      <c r="M105" s="4647">
        <v>0</v>
      </c>
      <c r="N105" s="400"/>
      <c r="O105" s="400"/>
      <c r="P105" s="4387">
        <f t="shared" si="157"/>
        <v>0</v>
      </c>
      <c r="Q105" s="400"/>
      <c r="R105" s="400"/>
      <c r="S105" s="400"/>
      <c r="T105" s="4387">
        <f t="shared" si="158"/>
        <v>0</v>
      </c>
      <c r="U105" s="400"/>
      <c r="V105" s="400"/>
      <c r="W105" s="400"/>
      <c r="X105" s="4387">
        <f t="shared" si="159"/>
        <v>0</v>
      </c>
      <c r="Y105" s="4422"/>
      <c r="Z105" s="4438">
        <f t="shared" si="130"/>
        <v>1031.2757243727726</v>
      </c>
      <c r="AA105" s="4438">
        <f t="shared" si="144"/>
        <v>298.0831667373954</v>
      </c>
      <c r="AB105" s="4438">
        <f t="shared" si="145"/>
        <v>0</v>
      </c>
      <c r="AC105" s="4438">
        <f t="shared" si="131"/>
        <v>1329.3588911101681</v>
      </c>
      <c r="AD105" s="4438">
        <f t="shared" si="132"/>
        <v>0</v>
      </c>
      <c r="AE105" s="4438">
        <f t="shared" si="146"/>
        <v>0</v>
      </c>
      <c r="AF105" s="4438">
        <f t="shared" si="147"/>
        <v>0</v>
      </c>
      <c r="AG105" s="4438">
        <f t="shared" si="133"/>
        <v>0</v>
      </c>
      <c r="AH105" s="4438">
        <f t="shared" si="134"/>
        <v>0</v>
      </c>
      <c r="AI105" s="4438">
        <f t="shared" si="148"/>
        <v>0</v>
      </c>
      <c r="AJ105" s="4438">
        <f t="shared" si="149"/>
        <v>0</v>
      </c>
      <c r="AK105" s="4438">
        <f t="shared" si="135"/>
        <v>0</v>
      </c>
      <c r="AL105" s="4438">
        <f t="shared" si="136"/>
        <v>0</v>
      </c>
      <c r="AM105" s="4438">
        <f t="shared" si="150"/>
        <v>0</v>
      </c>
      <c r="AN105" s="4438">
        <f t="shared" si="151"/>
        <v>0</v>
      </c>
      <c r="AO105" s="4438">
        <f t="shared" si="137"/>
        <v>0</v>
      </c>
      <c r="AP105" s="4438">
        <f t="shared" si="138"/>
        <v>0</v>
      </c>
      <c r="AQ105" s="4438">
        <f t="shared" si="152"/>
        <v>0</v>
      </c>
      <c r="AR105" s="4438">
        <f t="shared" si="153"/>
        <v>0</v>
      </c>
      <c r="AS105" s="4438">
        <f t="shared" si="139"/>
        <v>0</v>
      </c>
    </row>
    <row r="106" spans="1:45">
      <c r="A106" s="2573">
        <v>15</v>
      </c>
      <c r="B106" s="2516">
        <v>2040206</v>
      </c>
      <c r="C106" s="2517">
        <v>0.02</v>
      </c>
      <c r="D106" s="2552" t="s">
        <v>421</v>
      </c>
      <c r="E106" s="4647">
        <v>0</v>
      </c>
      <c r="F106" s="4636"/>
      <c r="G106" s="400"/>
      <c r="H106" s="4387">
        <f t="shared" si="155"/>
        <v>0</v>
      </c>
      <c r="I106" s="4647">
        <v>41</v>
      </c>
      <c r="J106" s="4634">
        <v>23</v>
      </c>
      <c r="K106" s="400"/>
      <c r="L106" s="4387">
        <f t="shared" si="156"/>
        <v>64</v>
      </c>
      <c r="M106" s="4647">
        <v>1</v>
      </c>
      <c r="N106" s="400"/>
      <c r="O106" s="400"/>
      <c r="P106" s="4387">
        <f t="shared" si="157"/>
        <v>1</v>
      </c>
      <c r="Q106" s="400"/>
      <c r="R106" s="400"/>
      <c r="S106" s="400"/>
      <c r="T106" s="4387">
        <f t="shared" si="158"/>
        <v>0</v>
      </c>
      <c r="U106" s="400"/>
      <c r="V106" s="400"/>
      <c r="W106" s="400"/>
      <c r="X106" s="4387">
        <f t="shared" si="159"/>
        <v>0</v>
      </c>
      <c r="Y106" s="4422"/>
      <c r="Z106" s="4438">
        <f t="shared" si="130"/>
        <v>0</v>
      </c>
      <c r="AA106" s="4438">
        <f t="shared" si="144"/>
        <v>0</v>
      </c>
      <c r="AB106" s="4438">
        <f t="shared" si="145"/>
        <v>0</v>
      </c>
      <c r="AC106" s="4438">
        <f t="shared" si="131"/>
        <v>0</v>
      </c>
      <c r="AD106" s="4438">
        <f t="shared" si="132"/>
        <v>20.962967129044959</v>
      </c>
      <c r="AE106" s="4438">
        <f t="shared" si="146"/>
        <v>11.759713267513025</v>
      </c>
      <c r="AF106" s="4438">
        <f t="shared" si="147"/>
        <v>0</v>
      </c>
      <c r="AG106" s="4438">
        <f t="shared" si="133"/>
        <v>32.722680396557983</v>
      </c>
      <c r="AH106" s="4438">
        <f t="shared" si="134"/>
        <v>0.51129188119621849</v>
      </c>
      <c r="AI106" s="4438">
        <f t="shared" si="148"/>
        <v>0</v>
      </c>
      <c r="AJ106" s="4438">
        <f t="shared" si="149"/>
        <v>0</v>
      </c>
      <c r="AK106" s="4438">
        <f t="shared" si="135"/>
        <v>0.51129188119621849</v>
      </c>
      <c r="AL106" s="4438">
        <f t="shared" si="136"/>
        <v>0</v>
      </c>
      <c r="AM106" s="4438">
        <f t="shared" si="150"/>
        <v>0</v>
      </c>
      <c r="AN106" s="4438">
        <f t="shared" si="151"/>
        <v>0</v>
      </c>
      <c r="AO106" s="4438">
        <f t="shared" si="137"/>
        <v>0</v>
      </c>
      <c r="AP106" s="4438">
        <f t="shared" si="138"/>
        <v>0</v>
      </c>
      <c r="AQ106" s="4438">
        <f t="shared" si="152"/>
        <v>0</v>
      </c>
      <c r="AR106" s="4438">
        <f t="shared" si="153"/>
        <v>0</v>
      </c>
      <c r="AS106" s="4438">
        <f t="shared" si="139"/>
        <v>0</v>
      </c>
    </row>
    <row r="107" spans="1:45" ht="48">
      <c r="A107" s="2573">
        <v>16</v>
      </c>
      <c r="B107" s="2516">
        <v>2040207</v>
      </c>
      <c r="C107" s="2517">
        <v>0.04</v>
      </c>
      <c r="D107" s="2552" t="s">
        <v>422</v>
      </c>
      <c r="E107" s="4647">
        <v>54</v>
      </c>
      <c r="F107" s="4636">
        <v>8</v>
      </c>
      <c r="G107" s="400"/>
      <c r="H107" s="4387">
        <f t="shared" si="155"/>
        <v>62</v>
      </c>
      <c r="I107" s="4647">
        <v>0</v>
      </c>
      <c r="J107" s="4634"/>
      <c r="K107" s="400"/>
      <c r="L107" s="4387">
        <f t="shared" si="156"/>
        <v>0</v>
      </c>
      <c r="M107" s="4647">
        <v>82</v>
      </c>
      <c r="N107" s="400">
        <v>38</v>
      </c>
      <c r="O107" s="400"/>
      <c r="P107" s="4387">
        <f t="shared" si="157"/>
        <v>120</v>
      </c>
      <c r="Q107" s="400"/>
      <c r="R107" s="400"/>
      <c r="S107" s="400"/>
      <c r="T107" s="4387">
        <f t="shared" si="158"/>
        <v>0</v>
      </c>
      <c r="U107" s="400"/>
      <c r="V107" s="400"/>
      <c r="W107" s="400"/>
      <c r="X107" s="4387">
        <f t="shared" si="159"/>
        <v>0</v>
      </c>
      <c r="Y107" s="4422"/>
      <c r="Z107" s="4438">
        <f t="shared" si="130"/>
        <v>27.609761584595798</v>
      </c>
      <c r="AA107" s="4438">
        <f t="shared" si="144"/>
        <v>4.0903350495697479</v>
      </c>
      <c r="AB107" s="4438">
        <f t="shared" si="145"/>
        <v>0</v>
      </c>
      <c r="AC107" s="4438">
        <f t="shared" si="131"/>
        <v>31.700096634165547</v>
      </c>
      <c r="AD107" s="4438">
        <f t="shared" si="132"/>
        <v>0</v>
      </c>
      <c r="AE107" s="4438">
        <f t="shared" si="146"/>
        <v>0</v>
      </c>
      <c r="AF107" s="4438">
        <f t="shared" si="147"/>
        <v>0</v>
      </c>
      <c r="AG107" s="4438">
        <f t="shared" si="133"/>
        <v>0</v>
      </c>
      <c r="AH107" s="4438">
        <f t="shared" si="134"/>
        <v>41.925934258089917</v>
      </c>
      <c r="AI107" s="4438">
        <f t="shared" si="148"/>
        <v>19.429091485456304</v>
      </c>
      <c r="AJ107" s="4438">
        <f t="shared" si="149"/>
        <v>0</v>
      </c>
      <c r="AK107" s="4438">
        <f t="shared" si="135"/>
        <v>61.355025743546221</v>
      </c>
      <c r="AL107" s="4438">
        <f t="shared" si="136"/>
        <v>0</v>
      </c>
      <c r="AM107" s="4438">
        <f t="shared" si="150"/>
        <v>0</v>
      </c>
      <c r="AN107" s="4438">
        <f t="shared" si="151"/>
        <v>0</v>
      </c>
      <c r="AO107" s="4438">
        <f t="shared" si="137"/>
        <v>0</v>
      </c>
      <c r="AP107" s="4438">
        <f t="shared" si="138"/>
        <v>0</v>
      </c>
      <c r="AQ107" s="4438">
        <f t="shared" si="152"/>
        <v>0</v>
      </c>
      <c r="AR107" s="4438">
        <f t="shared" si="153"/>
        <v>0</v>
      </c>
      <c r="AS107" s="4438">
        <f t="shared" si="139"/>
        <v>0</v>
      </c>
    </row>
    <row r="108" spans="1:45">
      <c r="A108" s="2573">
        <v>17</v>
      </c>
      <c r="B108" s="2516">
        <v>2040208</v>
      </c>
      <c r="C108" s="2517">
        <v>0.04</v>
      </c>
      <c r="D108" s="2552" t="s">
        <v>423</v>
      </c>
      <c r="E108" s="4647">
        <v>14</v>
      </c>
      <c r="F108" s="4636"/>
      <c r="G108" s="400"/>
      <c r="H108" s="4387">
        <f t="shared" si="155"/>
        <v>14</v>
      </c>
      <c r="I108" s="4647">
        <v>0</v>
      </c>
      <c r="J108" s="4634"/>
      <c r="K108" s="400"/>
      <c r="L108" s="4387">
        <f t="shared" si="156"/>
        <v>0</v>
      </c>
      <c r="M108" s="4647">
        <v>0</v>
      </c>
      <c r="N108" s="400"/>
      <c r="O108" s="400"/>
      <c r="P108" s="4387">
        <f t="shared" si="157"/>
        <v>0</v>
      </c>
      <c r="Q108" s="400"/>
      <c r="R108" s="400"/>
      <c r="S108" s="400"/>
      <c r="T108" s="4387">
        <f t="shared" si="158"/>
        <v>0</v>
      </c>
      <c r="U108" s="400"/>
      <c r="V108" s="400"/>
      <c r="W108" s="400"/>
      <c r="X108" s="4387">
        <f t="shared" si="159"/>
        <v>0</v>
      </c>
      <c r="Y108" s="4422"/>
      <c r="Z108" s="4438">
        <f t="shared" si="130"/>
        <v>7.1580863367470586</v>
      </c>
      <c r="AA108" s="4438">
        <f t="shared" si="144"/>
        <v>0</v>
      </c>
      <c r="AB108" s="4438">
        <f t="shared" si="145"/>
        <v>0</v>
      </c>
      <c r="AC108" s="4438">
        <f t="shared" si="131"/>
        <v>7.1580863367470586</v>
      </c>
      <c r="AD108" s="4438">
        <f t="shared" si="132"/>
        <v>0</v>
      </c>
      <c r="AE108" s="4438">
        <f t="shared" si="146"/>
        <v>0</v>
      </c>
      <c r="AF108" s="4438">
        <f t="shared" si="147"/>
        <v>0</v>
      </c>
      <c r="AG108" s="4438">
        <f t="shared" si="133"/>
        <v>0</v>
      </c>
      <c r="AH108" s="4438">
        <f t="shared" si="134"/>
        <v>0</v>
      </c>
      <c r="AI108" s="4438">
        <f t="shared" si="148"/>
        <v>0</v>
      </c>
      <c r="AJ108" s="4438">
        <f t="shared" si="149"/>
        <v>0</v>
      </c>
      <c r="AK108" s="4438">
        <f t="shared" si="135"/>
        <v>0</v>
      </c>
      <c r="AL108" s="4438">
        <f t="shared" si="136"/>
        <v>0</v>
      </c>
      <c r="AM108" s="4438">
        <f t="shared" si="150"/>
        <v>0</v>
      </c>
      <c r="AN108" s="4438">
        <f t="shared" si="151"/>
        <v>0</v>
      </c>
      <c r="AO108" s="4438">
        <f t="shared" si="137"/>
        <v>0</v>
      </c>
      <c r="AP108" s="4438">
        <f t="shared" si="138"/>
        <v>0</v>
      </c>
      <c r="AQ108" s="4438">
        <f t="shared" si="152"/>
        <v>0</v>
      </c>
      <c r="AR108" s="4438">
        <f t="shared" si="153"/>
        <v>0</v>
      </c>
      <c r="AS108" s="4438">
        <f t="shared" si="139"/>
        <v>0</v>
      </c>
    </row>
    <row r="109" spans="1:45">
      <c r="A109" s="2573">
        <v>18</v>
      </c>
      <c r="B109" s="2574" t="s">
        <v>1051</v>
      </c>
      <c r="C109" s="2517">
        <v>0.04</v>
      </c>
      <c r="D109" s="2571" t="s">
        <v>434</v>
      </c>
      <c r="E109" s="4647">
        <v>21</v>
      </c>
      <c r="F109" s="4636"/>
      <c r="G109" s="400"/>
      <c r="H109" s="4387">
        <f t="shared" si="155"/>
        <v>21</v>
      </c>
      <c r="I109" s="4647">
        <v>0</v>
      </c>
      <c r="J109" s="4634"/>
      <c r="K109" s="400"/>
      <c r="L109" s="4387">
        <f t="shared" si="156"/>
        <v>0</v>
      </c>
      <c r="M109" s="4647">
        <v>0</v>
      </c>
      <c r="N109" s="400">
        <v>12</v>
      </c>
      <c r="O109" s="400"/>
      <c r="P109" s="4387">
        <f t="shared" si="157"/>
        <v>12</v>
      </c>
      <c r="Q109" s="400"/>
      <c r="R109" s="400"/>
      <c r="S109" s="400"/>
      <c r="T109" s="4387">
        <f t="shared" si="158"/>
        <v>0</v>
      </c>
      <c r="U109" s="400"/>
      <c r="V109" s="400"/>
      <c r="W109" s="400"/>
      <c r="X109" s="4387">
        <f t="shared" si="159"/>
        <v>0</v>
      </c>
      <c r="Y109" s="4422"/>
      <c r="Z109" s="4438">
        <f t="shared" si="130"/>
        <v>10.737129505120588</v>
      </c>
      <c r="AA109" s="4438">
        <f t="shared" si="144"/>
        <v>0</v>
      </c>
      <c r="AB109" s="4438">
        <f t="shared" si="145"/>
        <v>0</v>
      </c>
      <c r="AC109" s="4438">
        <f t="shared" si="131"/>
        <v>10.737129505120588</v>
      </c>
      <c r="AD109" s="4438">
        <f t="shared" si="132"/>
        <v>0</v>
      </c>
      <c r="AE109" s="4438">
        <f t="shared" si="146"/>
        <v>0</v>
      </c>
      <c r="AF109" s="4438">
        <f t="shared" si="147"/>
        <v>0</v>
      </c>
      <c r="AG109" s="4438">
        <f t="shared" si="133"/>
        <v>0</v>
      </c>
      <c r="AH109" s="4438">
        <f t="shared" si="134"/>
        <v>0</v>
      </c>
      <c r="AI109" s="4438">
        <f t="shared" si="148"/>
        <v>6.1355025743546223</v>
      </c>
      <c r="AJ109" s="4438">
        <f t="shared" si="149"/>
        <v>0</v>
      </c>
      <c r="AK109" s="4438">
        <f t="shared" si="135"/>
        <v>6.1355025743546223</v>
      </c>
      <c r="AL109" s="4438">
        <f t="shared" si="136"/>
        <v>0</v>
      </c>
      <c r="AM109" s="4438">
        <f t="shared" si="150"/>
        <v>0</v>
      </c>
      <c r="AN109" s="4438">
        <f t="shared" si="151"/>
        <v>0</v>
      </c>
      <c r="AO109" s="4438">
        <f t="shared" si="137"/>
        <v>0</v>
      </c>
      <c r="AP109" s="4438">
        <f t="shared" si="138"/>
        <v>0</v>
      </c>
      <c r="AQ109" s="4438">
        <f t="shared" si="152"/>
        <v>0</v>
      </c>
      <c r="AR109" s="4438">
        <f t="shared" si="153"/>
        <v>0</v>
      </c>
      <c r="AS109" s="4438">
        <f t="shared" si="139"/>
        <v>0</v>
      </c>
    </row>
    <row r="110" spans="1:45" ht="48.75" thickBot="1">
      <c r="A110" s="2573">
        <v>19</v>
      </c>
      <c r="B110" s="2516">
        <v>215</v>
      </c>
      <c r="C110" s="2522">
        <v>0.2</v>
      </c>
      <c r="D110" s="2552" t="s">
        <v>679</v>
      </c>
      <c r="E110" s="4647">
        <v>0</v>
      </c>
      <c r="F110" s="4636"/>
      <c r="G110" s="400"/>
      <c r="H110" s="4387">
        <f t="shared" si="155"/>
        <v>0</v>
      </c>
      <c r="I110" s="4647">
        <v>0</v>
      </c>
      <c r="J110" s="4634"/>
      <c r="K110" s="400"/>
      <c r="L110" s="4387">
        <f t="shared" si="156"/>
        <v>0</v>
      </c>
      <c r="M110" s="4647">
        <v>0</v>
      </c>
      <c r="N110" s="400"/>
      <c r="O110" s="400"/>
      <c r="P110" s="4387">
        <f t="shared" si="157"/>
        <v>0</v>
      </c>
      <c r="Q110" s="400"/>
      <c r="R110" s="400"/>
      <c r="S110" s="400"/>
      <c r="T110" s="4387">
        <f t="shared" si="158"/>
        <v>0</v>
      </c>
      <c r="U110" s="400"/>
      <c r="V110" s="400"/>
      <c r="W110" s="400"/>
      <c r="X110" s="4387">
        <f t="shared" si="159"/>
        <v>0</v>
      </c>
      <c r="Y110" s="4422"/>
      <c r="Z110" s="4438">
        <f t="shared" si="130"/>
        <v>0</v>
      </c>
      <c r="AA110" s="4438">
        <f t="shared" si="144"/>
        <v>0</v>
      </c>
      <c r="AB110" s="4438">
        <f t="shared" si="145"/>
        <v>0</v>
      </c>
      <c r="AC110" s="4438">
        <f t="shared" si="131"/>
        <v>0</v>
      </c>
      <c r="AD110" s="4438">
        <f t="shared" si="132"/>
        <v>0</v>
      </c>
      <c r="AE110" s="4438">
        <f t="shared" si="146"/>
        <v>0</v>
      </c>
      <c r="AF110" s="4438">
        <f t="shared" si="147"/>
        <v>0</v>
      </c>
      <c r="AG110" s="4438">
        <f t="shared" si="133"/>
        <v>0</v>
      </c>
      <c r="AH110" s="4438">
        <f t="shared" si="134"/>
        <v>0</v>
      </c>
      <c r="AI110" s="4438">
        <f t="shared" si="148"/>
        <v>0</v>
      </c>
      <c r="AJ110" s="4438">
        <f t="shared" si="149"/>
        <v>0</v>
      </c>
      <c r="AK110" s="4438">
        <f t="shared" si="135"/>
        <v>0</v>
      </c>
      <c r="AL110" s="4438">
        <f t="shared" si="136"/>
        <v>0</v>
      </c>
      <c r="AM110" s="4438">
        <f t="shared" si="150"/>
        <v>0</v>
      </c>
      <c r="AN110" s="4438">
        <f t="shared" si="151"/>
        <v>0</v>
      </c>
      <c r="AO110" s="4438">
        <f t="shared" si="137"/>
        <v>0</v>
      </c>
      <c r="AP110" s="4438">
        <f t="shared" si="138"/>
        <v>0</v>
      </c>
      <c r="AQ110" s="4438">
        <f t="shared" si="152"/>
        <v>0</v>
      </c>
      <c r="AR110" s="4438">
        <f t="shared" si="153"/>
        <v>0</v>
      </c>
      <c r="AS110" s="4438">
        <f t="shared" si="139"/>
        <v>0</v>
      </c>
    </row>
    <row r="111" spans="1:45" ht="13.5" thickBot="1">
      <c r="A111" s="3685" t="s">
        <v>206</v>
      </c>
      <c r="B111" s="5192" t="s">
        <v>220</v>
      </c>
      <c r="C111" s="5193"/>
      <c r="D111" s="5194"/>
      <c r="E111" s="1220">
        <f t="shared" ref="E111:H111" si="160">SUM(E112:E130)</f>
        <v>782</v>
      </c>
      <c r="F111" s="1220">
        <f t="shared" si="160"/>
        <v>306</v>
      </c>
      <c r="G111" s="1220">
        <f t="shared" si="160"/>
        <v>0</v>
      </c>
      <c r="H111" s="1220">
        <f t="shared" si="160"/>
        <v>1088</v>
      </c>
      <c r="I111" s="1220">
        <f t="shared" ref="I111:X111" si="161">SUM(I112:I130)</f>
        <v>54</v>
      </c>
      <c r="J111" s="1220">
        <f t="shared" si="161"/>
        <v>26</v>
      </c>
      <c r="K111" s="1220">
        <f t="shared" si="161"/>
        <v>0</v>
      </c>
      <c r="L111" s="1220">
        <f t="shared" si="161"/>
        <v>80</v>
      </c>
      <c r="M111" s="1220">
        <f t="shared" si="161"/>
        <v>82</v>
      </c>
      <c r="N111" s="1220">
        <f t="shared" si="161"/>
        <v>44</v>
      </c>
      <c r="O111" s="1220">
        <f t="shared" si="161"/>
        <v>0</v>
      </c>
      <c r="P111" s="1220">
        <f t="shared" si="161"/>
        <v>126</v>
      </c>
      <c r="Q111" s="1220">
        <f t="shared" si="161"/>
        <v>0</v>
      </c>
      <c r="R111" s="1220">
        <f t="shared" si="161"/>
        <v>0</v>
      </c>
      <c r="S111" s="1220">
        <f t="shared" si="161"/>
        <v>0</v>
      </c>
      <c r="T111" s="1220">
        <f t="shared" si="161"/>
        <v>0</v>
      </c>
      <c r="U111" s="1220">
        <f t="shared" si="161"/>
        <v>0</v>
      </c>
      <c r="V111" s="1220">
        <f t="shared" si="161"/>
        <v>0</v>
      </c>
      <c r="W111" s="1220">
        <f t="shared" si="161"/>
        <v>0</v>
      </c>
      <c r="X111" s="1084">
        <f t="shared" si="161"/>
        <v>0</v>
      </c>
      <c r="Y111" s="4422"/>
      <c r="Z111" s="4438">
        <f t="shared" si="130"/>
        <v>399.83025109544286</v>
      </c>
      <c r="AA111" s="4438">
        <f t="shared" si="144"/>
        <v>156.45531564604286</v>
      </c>
      <c r="AB111" s="4438">
        <f t="shared" si="145"/>
        <v>0</v>
      </c>
      <c r="AC111" s="4438">
        <f t="shared" si="131"/>
        <v>556.2855667414857</v>
      </c>
      <c r="AD111" s="4438">
        <f t="shared" si="132"/>
        <v>27.609761584595798</v>
      </c>
      <c r="AE111" s="4438">
        <f t="shared" si="146"/>
        <v>13.293588911101681</v>
      </c>
      <c r="AF111" s="4438">
        <f t="shared" si="147"/>
        <v>0</v>
      </c>
      <c r="AG111" s="4438">
        <f t="shared" si="133"/>
        <v>40.903350495697481</v>
      </c>
      <c r="AH111" s="4438">
        <f t="shared" si="134"/>
        <v>41.925934258089917</v>
      </c>
      <c r="AI111" s="4438">
        <f t="shared" si="148"/>
        <v>22.496842772633613</v>
      </c>
      <c r="AJ111" s="4438">
        <f t="shared" si="149"/>
        <v>0</v>
      </c>
      <c r="AK111" s="4438">
        <f t="shared" si="135"/>
        <v>64.422777030723537</v>
      </c>
      <c r="AL111" s="4438">
        <f t="shared" si="136"/>
        <v>0</v>
      </c>
      <c r="AM111" s="4438">
        <f t="shared" si="150"/>
        <v>0</v>
      </c>
      <c r="AN111" s="4438">
        <f t="shared" si="151"/>
        <v>0</v>
      </c>
      <c r="AO111" s="4438">
        <f t="shared" si="137"/>
        <v>0</v>
      </c>
      <c r="AP111" s="4438">
        <f t="shared" si="138"/>
        <v>0</v>
      </c>
      <c r="AQ111" s="4438">
        <f t="shared" si="152"/>
        <v>0</v>
      </c>
      <c r="AR111" s="4438">
        <f t="shared" si="153"/>
        <v>0</v>
      </c>
      <c r="AS111" s="4438">
        <f t="shared" si="139"/>
        <v>0</v>
      </c>
    </row>
    <row r="112" spans="1:45">
      <c r="A112" s="2515">
        <v>1</v>
      </c>
      <c r="B112" s="2509">
        <v>20102</v>
      </c>
      <c r="C112" s="2533">
        <v>0</v>
      </c>
      <c r="D112" s="2563" t="s">
        <v>558</v>
      </c>
      <c r="E112" s="4645"/>
      <c r="F112" s="4635"/>
      <c r="G112" s="400"/>
      <c r="H112" s="4387">
        <f t="shared" ref="H112:H130" si="162">+E112+F112-G112</f>
        <v>0</v>
      </c>
      <c r="I112" s="4645"/>
      <c r="J112" s="4635"/>
      <c r="K112" s="400"/>
      <c r="L112" s="4387">
        <f t="shared" ref="L112:L130" si="163">+I112+J112-K112</f>
        <v>0</v>
      </c>
      <c r="M112" s="4645">
        <v>0</v>
      </c>
      <c r="N112" s="400"/>
      <c r="O112" s="400"/>
      <c r="P112" s="4387">
        <f t="shared" ref="P112:P130" si="164">+M112+N112-O112</f>
        <v>0</v>
      </c>
      <c r="Q112" s="400"/>
      <c r="R112" s="400"/>
      <c r="S112" s="400"/>
      <c r="T112" s="4387">
        <f t="shared" ref="T112:T130" si="165">+Q112+R112-S112</f>
        <v>0</v>
      </c>
      <c r="U112" s="400"/>
      <c r="V112" s="400"/>
      <c r="W112" s="400"/>
      <c r="X112" s="4387">
        <f t="shared" ref="X112:X130" si="166">+U112+V112-W112</f>
        <v>0</v>
      </c>
      <c r="Y112" s="4422"/>
      <c r="Z112" s="4438">
        <f t="shared" si="130"/>
        <v>0</v>
      </c>
      <c r="AA112" s="4438">
        <f t="shared" si="144"/>
        <v>0</v>
      </c>
      <c r="AB112" s="4438">
        <f t="shared" si="145"/>
        <v>0</v>
      </c>
      <c r="AC112" s="4438">
        <f t="shared" si="131"/>
        <v>0</v>
      </c>
      <c r="AD112" s="4438">
        <f t="shared" si="132"/>
        <v>0</v>
      </c>
      <c r="AE112" s="4438">
        <f t="shared" si="146"/>
        <v>0</v>
      </c>
      <c r="AF112" s="4438">
        <f t="shared" si="147"/>
        <v>0</v>
      </c>
      <c r="AG112" s="4438">
        <f t="shared" si="133"/>
        <v>0</v>
      </c>
      <c r="AH112" s="4438">
        <f t="shared" si="134"/>
        <v>0</v>
      </c>
      <c r="AI112" s="4438">
        <f t="shared" si="148"/>
        <v>0</v>
      </c>
      <c r="AJ112" s="4438">
        <f t="shared" si="149"/>
        <v>0</v>
      </c>
      <c r="AK112" s="4438">
        <f t="shared" si="135"/>
        <v>0</v>
      </c>
      <c r="AL112" s="4438">
        <f t="shared" si="136"/>
        <v>0</v>
      </c>
      <c r="AM112" s="4438">
        <f t="shared" si="150"/>
        <v>0</v>
      </c>
      <c r="AN112" s="4438">
        <f t="shared" si="151"/>
        <v>0</v>
      </c>
      <c r="AO112" s="4438">
        <f t="shared" si="137"/>
        <v>0</v>
      </c>
      <c r="AP112" s="4438">
        <f t="shared" si="138"/>
        <v>0</v>
      </c>
      <c r="AQ112" s="4438">
        <f t="shared" si="152"/>
        <v>0</v>
      </c>
      <c r="AR112" s="4438">
        <f t="shared" si="153"/>
        <v>0</v>
      </c>
      <c r="AS112" s="4438">
        <f t="shared" si="139"/>
        <v>0</v>
      </c>
    </row>
    <row r="113" spans="1:45">
      <c r="A113" s="2515">
        <v>2</v>
      </c>
      <c r="B113" s="2516">
        <v>20202</v>
      </c>
      <c r="C113" s="2517">
        <v>0.03</v>
      </c>
      <c r="D113" s="2571" t="s">
        <v>426</v>
      </c>
      <c r="E113" s="4645">
        <v>1</v>
      </c>
      <c r="F113" s="4635">
        <v>0</v>
      </c>
      <c r="G113" s="400"/>
      <c r="H113" s="4387">
        <f t="shared" si="162"/>
        <v>1</v>
      </c>
      <c r="I113" s="4645"/>
      <c r="J113" s="4635"/>
      <c r="K113" s="400"/>
      <c r="L113" s="4387">
        <f t="shared" si="163"/>
        <v>0</v>
      </c>
      <c r="M113" s="4645">
        <v>0</v>
      </c>
      <c r="N113" s="400"/>
      <c r="O113" s="400"/>
      <c r="P113" s="4387">
        <f t="shared" si="164"/>
        <v>0</v>
      </c>
      <c r="Q113" s="400"/>
      <c r="R113" s="400"/>
      <c r="S113" s="400"/>
      <c r="T113" s="4387">
        <f t="shared" si="165"/>
        <v>0</v>
      </c>
      <c r="U113" s="400"/>
      <c r="V113" s="400"/>
      <c r="W113" s="400"/>
      <c r="X113" s="4387">
        <f t="shared" si="166"/>
        <v>0</v>
      </c>
      <c r="Y113" s="4422"/>
      <c r="Z113" s="4438">
        <f t="shared" si="130"/>
        <v>0.51129188119621849</v>
      </c>
      <c r="AA113" s="4438">
        <f t="shared" si="144"/>
        <v>0</v>
      </c>
      <c r="AB113" s="4438">
        <f t="shared" si="145"/>
        <v>0</v>
      </c>
      <c r="AC113" s="4438">
        <f t="shared" si="131"/>
        <v>0.51129188119621849</v>
      </c>
      <c r="AD113" s="4438">
        <f t="shared" si="132"/>
        <v>0</v>
      </c>
      <c r="AE113" s="4438">
        <f t="shared" si="146"/>
        <v>0</v>
      </c>
      <c r="AF113" s="4438">
        <f t="shared" si="147"/>
        <v>0</v>
      </c>
      <c r="AG113" s="4438">
        <f t="shared" si="133"/>
        <v>0</v>
      </c>
      <c r="AH113" s="4438">
        <f t="shared" si="134"/>
        <v>0</v>
      </c>
      <c r="AI113" s="4438">
        <f t="shared" si="148"/>
        <v>0</v>
      </c>
      <c r="AJ113" s="4438">
        <f t="shared" si="149"/>
        <v>0</v>
      </c>
      <c r="AK113" s="4438">
        <f t="shared" si="135"/>
        <v>0</v>
      </c>
      <c r="AL113" s="4438">
        <f t="shared" si="136"/>
        <v>0</v>
      </c>
      <c r="AM113" s="4438">
        <f t="shared" si="150"/>
        <v>0</v>
      </c>
      <c r="AN113" s="4438">
        <f t="shared" si="151"/>
        <v>0</v>
      </c>
      <c r="AO113" s="4438">
        <f t="shared" si="137"/>
        <v>0</v>
      </c>
      <c r="AP113" s="4438">
        <f t="shared" si="138"/>
        <v>0</v>
      </c>
      <c r="AQ113" s="4438">
        <f t="shared" si="152"/>
        <v>0</v>
      </c>
      <c r="AR113" s="4438">
        <f t="shared" si="153"/>
        <v>0</v>
      </c>
      <c r="AS113" s="4438">
        <f t="shared" si="139"/>
        <v>0</v>
      </c>
    </row>
    <row r="114" spans="1:45" ht="24">
      <c r="A114" s="2515">
        <v>3</v>
      </c>
      <c r="B114" s="2516">
        <v>2030401</v>
      </c>
      <c r="C114" s="2522">
        <v>0.1</v>
      </c>
      <c r="D114" s="2552" t="s">
        <v>1031</v>
      </c>
      <c r="E114" s="4645">
        <v>204</v>
      </c>
      <c r="F114" s="4635">
        <v>90</v>
      </c>
      <c r="G114" s="400"/>
      <c r="H114" s="4387">
        <f t="shared" si="162"/>
        <v>294</v>
      </c>
      <c r="I114" s="4645">
        <v>17</v>
      </c>
      <c r="J114" s="4635">
        <v>3</v>
      </c>
      <c r="K114" s="400"/>
      <c r="L114" s="4387">
        <f t="shared" si="163"/>
        <v>20</v>
      </c>
      <c r="M114" s="4645">
        <v>1</v>
      </c>
      <c r="N114" s="400"/>
      <c r="O114" s="400"/>
      <c r="P114" s="4387">
        <f t="shared" si="164"/>
        <v>1</v>
      </c>
      <c r="Q114" s="400"/>
      <c r="R114" s="400"/>
      <c r="S114" s="400"/>
      <c r="T114" s="4387">
        <f t="shared" si="165"/>
        <v>0</v>
      </c>
      <c r="U114" s="400"/>
      <c r="V114" s="400"/>
      <c r="W114" s="400"/>
      <c r="X114" s="4387">
        <f t="shared" si="166"/>
        <v>0</v>
      </c>
      <c r="Y114" s="4422"/>
      <c r="Z114" s="4438">
        <f t="shared" si="130"/>
        <v>104.30354376402857</v>
      </c>
      <c r="AA114" s="4438">
        <f t="shared" si="144"/>
        <v>46.016269307659663</v>
      </c>
      <c r="AB114" s="4438">
        <f t="shared" si="145"/>
        <v>0</v>
      </c>
      <c r="AC114" s="4438">
        <f t="shared" si="131"/>
        <v>150.31981307168823</v>
      </c>
      <c r="AD114" s="4438">
        <f t="shared" si="132"/>
        <v>8.691961980335714</v>
      </c>
      <c r="AE114" s="4438">
        <f t="shared" si="146"/>
        <v>1.5338756435886556</v>
      </c>
      <c r="AF114" s="4438">
        <f t="shared" si="147"/>
        <v>0</v>
      </c>
      <c r="AG114" s="4438">
        <f t="shared" si="133"/>
        <v>10.22583762392437</v>
      </c>
      <c r="AH114" s="4438">
        <f t="shared" si="134"/>
        <v>0.51129188119621849</v>
      </c>
      <c r="AI114" s="4438">
        <f t="shared" si="148"/>
        <v>0</v>
      </c>
      <c r="AJ114" s="4438">
        <f t="shared" si="149"/>
        <v>0</v>
      </c>
      <c r="AK114" s="4438">
        <f t="shared" si="135"/>
        <v>0.51129188119621849</v>
      </c>
      <c r="AL114" s="4438">
        <f t="shared" si="136"/>
        <v>0</v>
      </c>
      <c r="AM114" s="4438">
        <f t="shared" si="150"/>
        <v>0</v>
      </c>
      <c r="AN114" s="4438">
        <f t="shared" si="151"/>
        <v>0</v>
      </c>
      <c r="AO114" s="4438">
        <f t="shared" si="137"/>
        <v>0</v>
      </c>
      <c r="AP114" s="4438">
        <f t="shared" si="138"/>
        <v>0</v>
      </c>
      <c r="AQ114" s="4438">
        <f t="shared" si="152"/>
        <v>0</v>
      </c>
      <c r="AR114" s="4438">
        <f t="shared" si="153"/>
        <v>0</v>
      </c>
      <c r="AS114" s="4438">
        <f t="shared" si="139"/>
        <v>0</v>
      </c>
    </row>
    <row r="115" spans="1:45">
      <c r="A115" s="2515">
        <v>4</v>
      </c>
      <c r="B115" s="2516">
        <v>2030402</v>
      </c>
      <c r="C115" s="2522">
        <v>0.1</v>
      </c>
      <c r="D115" s="2552" t="s">
        <v>429</v>
      </c>
      <c r="E115" s="4645">
        <v>61</v>
      </c>
      <c r="F115" s="4635">
        <v>24</v>
      </c>
      <c r="G115" s="400"/>
      <c r="H115" s="4387">
        <f t="shared" si="162"/>
        <v>85</v>
      </c>
      <c r="I115" s="4645">
        <v>1</v>
      </c>
      <c r="J115" s="4635">
        <v>0</v>
      </c>
      <c r="K115" s="400"/>
      <c r="L115" s="4387">
        <f t="shared" si="163"/>
        <v>1</v>
      </c>
      <c r="M115" s="4645">
        <v>4</v>
      </c>
      <c r="N115" s="400">
        <v>3</v>
      </c>
      <c r="O115" s="400"/>
      <c r="P115" s="4387">
        <f t="shared" si="164"/>
        <v>7</v>
      </c>
      <c r="Q115" s="400"/>
      <c r="R115" s="400"/>
      <c r="S115" s="400"/>
      <c r="T115" s="4387">
        <f t="shared" si="165"/>
        <v>0</v>
      </c>
      <c r="U115" s="400"/>
      <c r="V115" s="400"/>
      <c r="W115" s="400"/>
      <c r="X115" s="4387">
        <f t="shared" si="166"/>
        <v>0</v>
      </c>
      <c r="Y115" s="4422"/>
      <c r="Z115" s="4438">
        <f t="shared" si="130"/>
        <v>31.188804752969329</v>
      </c>
      <c r="AA115" s="4438">
        <f t="shared" si="144"/>
        <v>12.271005148709245</v>
      </c>
      <c r="AB115" s="4438">
        <f t="shared" si="145"/>
        <v>0</v>
      </c>
      <c r="AC115" s="4438">
        <f t="shared" si="131"/>
        <v>43.459809901678575</v>
      </c>
      <c r="AD115" s="4438">
        <f t="shared" si="132"/>
        <v>0.51129188119621849</v>
      </c>
      <c r="AE115" s="4438">
        <f t="shared" si="146"/>
        <v>0</v>
      </c>
      <c r="AF115" s="4438">
        <f t="shared" si="147"/>
        <v>0</v>
      </c>
      <c r="AG115" s="4438">
        <f t="shared" si="133"/>
        <v>0.51129188119621849</v>
      </c>
      <c r="AH115" s="4438">
        <f t="shared" si="134"/>
        <v>2.045167524784874</v>
      </c>
      <c r="AI115" s="4438">
        <f t="shared" si="148"/>
        <v>1.5338756435886556</v>
      </c>
      <c r="AJ115" s="4438">
        <f t="shared" si="149"/>
        <v>0</v>
      </c>
      <c r="AK115" s="4438">
        <f t="shared" si="135"/>
        <v>3.5790431683735293</v>
      </c>
      <c r="AL115" s="4438">
        <f t="shared" si="136"/>
        <v>0</v>
      </c>
      <c r="AM115" s="4438">
        <f t="shared" si="150"/>
        <v>0</v>
      </c>
      <c r="AN115" s="4438">
        <f t="shared" si="151"/>
        <v>0</v>
      </c>
      <c r="AO115" s="4438">
        <f t="shared" si="137"/>
        <v>0</v>
      </c>
      <c r="AP115" s="4438">
        <f t="shared" si="138"/>
        <v>0</v>
      </c>
      <c r="AQ115" s="4438">
        <f t="shared" si="152"/>
        <v>0</v>
      </c>
      <c r="AR115" s="4438">
        <f t="shared" si="153"/>
        <v>0</v>
      </c>
      <c r="AS115" s="4438">
        <f t="shared" si="139"/>
        <v>0</v>
      </c>
    </row>
    <row r="116" spans="1:45">
      <c r="A116" s="2515">
        <v>5</v>
      </c>
      <c r="B116" s="2516">
        <v>2030501</v>
      </c>
      <c r="C116" s="2522">
        <v>0.1</v>
      </c>
      <c r="D116" s="2552" t="s">
        <v>408</v>
      </c>
      <c r="E116" s="4645">
        <v>93</v>
      </c>
      <c r="F116" s="4635">
        <v>42</v>
      </c>
      <c r="G116" s="400"/>
      <c r="H116" s="4387">
        <f t="shared" si="162"/>
        <v>135</v>
      </c>
      <c r="I116" s="4645">
        <v>33</v>
      </c>
      <c r="J116" s="4635">
        <v>21</v>
      </c>
      <c r="K116" s="400"/>
      <c r="L116" s="4387">
        <f t="shared" si="163"/>
        <v>54</v>
      </c>
      <c r="M116" s="4645">
        <v>49</v>
      </c>
      <c r="N116" s="400">
        <v>35</v>
      </c>
      <c r="O116" s="400"/>
      <c r="P116" s="4387">
        <f t="shared" si="164"/>
        <v>84</v>
      </c>
      <c r="Q116" s="400"/>
      <c r="R116" s="400"/>
      <c r="S116" s="400"/>
      <c r="T116" s="4387">
        <f t="shared" si="165"/>
        <v>0</v>
      </c>
      <c r="U116" s="400"/>
      <c r="V116" s="400"/>
      <c r="W116" s="400"/>
      <c r="X116" s="4387">
        <f t="shared" si="166"/>
        <v>0</v>
      </c>
      <c r="Y116" s="4422"/>
      <c r="Z116" s="4438">
        <f t="shared" si="130"/>
        <v>47.550144951248321</v>
      </c>
      <c r="AA116" s="4438">
        <f t="shared" si="144"/>
        <v>21.474259010241177</v>
      </c>
      <c r="AB116" s="4438">
        <f t="shared" si="145"/>
        <v>0</v>
      </c>
      <c r="AC116" s="4438">
        <f t="shared" si="131"/>
        <v>69.024403961489497</v>
      </c>
      <c r="AD116" s="4438">
        <f t="shared" si="132"/>
        <v>16.87263207947521</v>
      </c>
      <c r="AE116" s="4438">
        <f t="shared" si="146"/>
        <v>10.737129505120588</v>
      </c>
      <c r="AF116" s="4438">
        <f t="shared" si="147"/>
        <v>0</v>
      </c>
      <c r="AG116" s="4438">
        <f t="shared" si="133"/>
        <v>27.609761584595798</v>
      </c>
      <c r="AH116" s="4438">
        <f t="shared" si="134"/>
        <v>25.053302178614707</v>
      </c>
      <c r="AI116" s="4438">
        <f t="shared" si="148"/>
        <v>17.895215841867646</v>
      </c>
      <c r="AJ116" s="4438">
        <f t="shared" si="149"/>
        <v>0</v>
      </c>
      <c r="AK116" s="4438">
        <f t="shared" si="135"/>
        <v>42.948518020482354</v>
      </c>
      <c r="AL116" s="4438">
        <f t="shared" si="136"/>
        <v>0</v>
      </c>
      <c r="AM116" s="4438">
        <f t="shared" si="150"/>
        <v>0</v>
      </c>
      <c r="AN116" s="4438">
        <f t="shared" si="151"/>
        <v>0</v>
      </c>
      <c r="AO116" s="4438">
        <f t="shared" si="137"/>
        <v>0</v>
      </c>
      <c r="AP116" s="4438">
        <f t="shared" si="138"/>
        <v>0</v>
      </c>
      <c r="AQ116" s="4438">
        <f t="shared" si="152"/>
        <v>0</v>
      </c>
      <c r="AR116" s="4438">
        <f t="shared" si="153"/>
        <v>0</v>
      </c>
      <c r="AS116" s="4438">
        <f t="shared" si="139"/>
        <v>0</v>
      </c>
    </row>
    <row r="117" spans="1:45" ht="36">
      <c r="A117" s="2515">
        <v>6</v>
      </c>
      <c r="B117" s="2516">
        <v>2030502</v>
      </c>
      <c r="C117" s="2522">
        <v>0.1</v>
      </c>
      <c r="D117" s="2552" t="s">
        <v>695</v>
      </c>
      <c r="E117" s="4645">
        <v>222</v>
      </c>
      <c r="F117" s="4635">
        <v>77</v>
      </c>
      <c r="G117" s="400"/>
      <c r="H117" s="4387">
        <f t="shared" si="162"/>
        <v>299</v>
      </c>
      <c r="I117" s="4645">
        <v>0</v>
      </c>
      <c r="J117" s="4635"/>
      <c r="K117" s="400"/>
      <c r="L117" s="4387">
        <f t="shared" si="163"/>
        <v>0</v>
      </c>
      <c r="M117" s="4645">
        <v>0</v>
      </c>
      <c r="N117" s="400"/>
      <c r="O117" s="400"/>
      <c r="P117" s="4387">
        <f t="shared" si="164"/>
        <v>0</v>
      </c>
      <c r="Q117" s="400"/>
      <c r="R117" s="400"/>
      <c r="S117" s="400"/>
      <c r="T117" s="4387">
        <f t="shared" si="165"/>
        <v>0</v>
      </c>
      <c r="U117" s="400"/>
      <c r="V117" s="400"/>
      <c r="W117" s="400"/>
      <c r="X117" s="4387">
        <f t="shared" si="166"/>
        <v>0</v>
      </c>
      <c r="Y117" s="4422"/>
      <c r="Z117" s="4438">
        <f t="shared" si="130"/>
        <v>113.50679762556051</v>
      </c>
      <c r="AA117" s="4438">
        <f t="shared" si="144"/>
        <v>39.369474852108823</v>
      </c>
      <c r="AB117" s="4438">
        <f t="shared" si="145"/>
        <v>0</v>
      </c>
      <c r="AC117" s="4438">
        <f t="shared" si="131"/>
        <v>152.87627247766932</v>
      </c>
      <c r="AD117" s="4438">
        <f t="shared" si="132"/>
        <v>0</v>
      </c>
      <c r="AE117" s="4438">
        <f t="shared" si="146"/>
        <v>0</v>
      </c>
      <c r="AF117" s="4438">
        <f t="shared" si="147"/>
        <v>0</v>
      </c>
      <c r="AG117" s="4438">
        <f t="shared" si="133"/>
        <v>0</v>
      </c>
      <c r="AH117" s="4438">
        <f t="shared" si="134"/>
        <v>0</v>
      </c>
      <c r="AI117" s="4438">
        <f t="shared" si="148"/>
        <v>0</v>
      </c>
      <c r="AJ117" s="4438">
        <f t="shared" si="149"/>
        <v>0</v>
      </c>
      <c r="AK117" s="4438">
        <f t="shared" si="135"/>
        <v>0</v>
      </c>
      <c r="AL117" s="4438">
        <f t="shared" si="136"/>
        <v>0</v>
      </c>
      <c r="AM117" s="4438">
        <f t="shared" si="150"/>
        <v>0</v>
      </c>
      <c r="AN117" s="4438">
        <f t="shared" si="151"/>
        <v>0</v>
      </c>
      <c r="AO117" s="4438">
        <f t="shared" si="137"/>
        <v>0</v>
      </c>
      <c r="AP117" s="4438">
        <f t="shared" si="138"/>
        <v>0</v>
      </c>
      <c r="AQ117" s="4438">
        <f t="shared" si="152"/>
        <v>0</v>
      </c>
      <c r="AR117" s="4438">
        <f t="shared" si="153"/>
        <v>0</v>
      </c>
      <c r="AS117" s="4438">
        <f t="shared" si="139"/>
        <v>0</v>
      </c>
    </row>
    <row r="118" spans="1:45">
      <c r="A118" s="2515">
        <v>7</v>
      </c>
      <c r="B118" s="2516">
        <v>2030503</v>
      </c>
      <c r="C118" s="2522">
        <v>0.1</v>
      </c>
      <c r="D118" s="2552" t="s">
        <v>713</v>
      </c>
      <c r="E118" s="4645">
        <v>64</v>
      </c>
      <c r="F118" s="4635">
        <v>21</v>
      </c>
      <c r="G118" s="400"/>
      <c r="H118" s="4387">
        <f t="shared" si="162"/>
        <v>85</v>
      </c>
      <c r="I118" s="4645">
        <v>1</v>
      </c>
      <c r="J118" s="4635">
        <v>1</v>
      </c>
      <c r="K118" s="400"/>
      <c r="L118" s="4387">
        <f t="shared" si="163"/>
        <v>2</v>
      </c>
      <c r="M118" s="4645">
        <v>4</v>
      </c>
      <c r="N118" s="400">
        <v>1</v>
      </c>
      <c r="O118" s="400"/>
      <c r="P118" s="4387">
        <f t="shared" si="164"/>
        <v>5</v>
      </c>
      <c r="Q118" s="400"/>
      <c r="R118" s="400"/>
      <c r="S118" s="400"/>
      <c r="T118" s="4387">
        <f t="shared" si="165"/>
        <v>0</v>
      </c>
      <c r="U118" s="400"/>
      <c r="V118" s="400"/>
      <c r="W118" s="400"/>
      <c r="X118" s="4387">
        <f t="shared" si="166"/>
        <v>0</v>
      </c>
      <c r="Y118" s="4422"/>
      <c r="Z118" s="4438">
        <f t="shared" si="130"/>
        <v>32.722680396557983</v>
      </c>
      <c r="AA118" s="4438">
        <f t="shared" si="144"/>
        <v>10.737129505120588</v>
      </c>
      <c r="AB118" s="4438">
        <f t="shared" si="145"/>
        <v>0</v>
      </c>
      <c r="AC118" s="4438">
        <f t="shared" si="131"/>
        <v>43.459809901678575</v>
      </c>
      <c r="AD118" s="4438">
        <f t="shared" si="132"/>
        <v>0.51129188119621849</v>
      </c>
      <c r="AE118" s="4438">
        <f t="shared" si="146"/>
        <v>0.51129188119621849</v>
      </c>
      <c r="AF118" s="4438">
        <f t="shared" si="147"/>
        <v>0</v>
      </c>
      <c r="AG118" s="4438">
        <f t="shared" si="133"/>
        <v>1.022583762392437</v>
      </c>
      <c r="AH118" s="4438">
        <f t="shared" si="134"/>
        <v>2.045167524784874</v>
      </c>
      <c r="AI118" s="4438">
        <f t="shared" si="148"/>
        <v>0.51129188119621849</v>
      </c>
      <c r="AJ118" s="4438">
        <f t="shared" si="149"/>
        <v>0</v>
      </c>
      <c r="AK118" s="4438">
        <f t="shared" si="135"/>
        <v>2.5564594059810926</v>
      </c>
      <c r="AL118" s="4438">
        <f t="shared" si="136"/>
        <v>0</v>
      </c>
      <c r="AM118" s="4438">
        <f t="shared" si="150"/>
        <v>0</v>
      </c>
      <c r="AN118" s="4438">
        <f t="shared" si="151"/>
        <v>0</v>
      </c>
      <c r="AO118" s="4438">
        <f t="shared" si="137"/>
        <v>0</v>
      </c>
      <c r="AP118" s="4438">
        <f t="shared" si="138"/>
        <v>0</v>
      </c>
      <c r="AQ118" s="4438">
        <f t="shared" si="152"/>
        <v>0</v>
      </c>
      <c r="AR118" s="4438">
        <f t="shared" si="153"/>
        <v>0</v>
      </c>
      <c r="AS118" s="4438">
        <f t="shared" si="139"/>
        <v>0</v>
      </c>
    </row>
    <row r="119" spans="1:45">
      <c r="A119" s="2515">
        <v>8</v>
      </c>
      <c r="B119" s="2516">
        <v>2040101</v>
      </c>
      <c r="C119" s="2572">
        <v>0.1</v>
      </c>
      <c r="D119" s="2546" t="s">
        <v>1016</v>
      </c>
      <c r="E119" s="4645">
        <v>25</v>
      </c>
      <c r="F119" s="4635">
        <v>2</v>
      </c>
      <c r="G119" s="400"/>
      <c r="H119" s="4387">
        <f t="shared" si="162"/>
        <v>27</v>
      </c>
      <c r="I119" s="4645">
        <v>0</v>
      </c>
      <c r="J119" s="4635"/>
      <c r="K119" s="400"/>
      <c r="L119" s="4387">
        <f t="shared" si="163"/>
        <v>0</v>
      </c>
      <c r="M119" s="4645">
        <v>1</v>
      </c>
      <c r="N119" s="400"/>
      <c r="O119" s="400"/>
      <c r="P119" s="4387">
        <f t="shared" si="164"/>
        <v>1</v>
      </c>
      <c r="Q119" s="400"/>
      <c r="R119" s="400"/>
      <c r="S119" s="400"/>
      <c r="T119" s="4387">
        <f t="shared" si="165"/>
        <v>0</v>
      </c>
      <c r="U119" s="400"/>
      <c r="V119" s="400"/>
      <c r="W119" s="400"/>
      <c r="X119" s="4387">
        <f t="shared" si="166"/>
        <v>0</v>
      </c>
      <c r="Y119" s="4422"/>
      <c r="Z119" s="4438">
        <f t="shared" si="130"/>
        <v>12.782297029905463</v>
      </c>
      <c r="AA119" s="4438">
        <f t="shared" si="144"/>
        <v>1.022583762392437</v>
      </c>
      <c r="AB119" s="4438">
        <f t="shared" si="145"/>
        <v>0</v>
      </c>
      <c r="AC119" s="4438">
        <f t="shared" si="131"/>
        <v>13.804880792297899</v>
      </c>
      <c r="AD119" s="4438">
        <f t="shared" si="132"/>
        <v>0</v>
      </c>
      <c r="AE119" s="4438">
        <f t="shared" si="146"/>
        <v>0</v>
      </c>
      <c r="AF119" s="4438">
        <f t="shared" si="147"/>
        <v>0</v>
      </c>
      <c r="AG119" s="4438">
        <f t="shared" si="133"/>
        <v>0</v>
      </c>
      <c r="AH119" s="4438">
        <f t="shared" si="134"/>
        <v>0.51129188119621849</v>
      </c>
      <c r="AI119" s="4438">
        <f t="shared" si="148"/>
        <v>0</v>
      </c>
      <c r="AJ119" s="4438">
        <f t="shared" si="149"/>
        <v>0</v>
      </c>
      <c r="AK119" s="4438">
        <f t="shared" si="135"/>
        <v>0.51129188119621849</v>
      </c>
      <c r="AL119" s="4438">
        <f t="shared" si="136"/>
        <v>0</v>
      </c>
      <c r="AM119" s="4438">
        <f t="shared" si="150"/>
        <v>0</v>
      </c>
      <c r="AN119" s="4438">
        <f t="shared" si="151"/>
        <v>0</v>
      </c>
      <c r="AO119" s="4438">
        <f t="shared" si="137"/>
        <v>0</v>
      </c>
      <c r="AP119" s="4438">
        <f t="shared" si="138"/>
        <v>0</v>
      </c>
      <c r="AQ119" s="4438">
        <f t="shared" si="152"/>
        <v>0</v>
      </c>
      <c r="AR119" s="4438">
        <f t="shared" si="153"/>
        <v>0</v>
      </c>
      <c r="AS119" s="4438">
        <f t="shared" si="139"/>
        <v>0</v>
      </c>
    </row>
    <row r="120" spans="1:45">
      <c r="A120" s="2573">
        <v>9</v>
      </c>
      <c r="B120" s="2516">
        <v>2040102</v>
      </c>
      <c r="C120" s="2572">
        <v>0.04</v>
      </c>
      <c r="D120" s="2546" t="s">
        <v>432</v>
      </c>
      <c r="E120" s="4645">
        <v>2</v>
      </c>
      <c r="F120" s="4635">
        <v>1</v>
      </c>
      <c r="G120" s="400"/>
      <c r="H120" s="4387">
        <f t="shared" si="162"/>
        <v>3</v>
      </c>
      <c r="I120" s="4645">
        <v>0</v>
      </c>
      <c r="J120" s="4635"/>
      <c r="K120" s="400"/>
      <c r="L120" s="4387">
        <f t="shared" si="163"/>
        <v>0</v>
      </c>
      <c r="M120" s="4645">
        <v>0</v>
      </c>
      <c r="N120" s="400"/>
      <c r="O120" s="400"/>
      <c r="P120" s="4387">
        <f t="shared" si="164"/>
        <v>0</v>
      </c>
      <c r="Q120" s="400"/>
      <c r="R120" s="400"/>
      <c r="S120" s="400"/>
      <c r="T120" s="4387">
        <f t="shared" si="165"/>
        <v>0</v>
      </c>
      <c r="U120" s="400"/>
      <c r="V120" s="400"/>
      <c r="W120" s="400"/>
      <c r="X120" s="4387">
        <f t="shared" si="166"/>
        <v>0</v>
      </c>
      <c r="Y120" s="4422"/>
      <c r="Z120" s="4438">
        <f t="shared" si="130"/>
        <v>1.022583762392437</v>
      </c>
      <c r="AA120" s="4438">
        <f t="shared" si="144"/>
        <v>0.51129188119621849</v>
      </c>
      <c r="AB120" s="4438">
        <f t="shared" si="145"/>
        <v>0</v>
      </c>
      <c r="AC120" s="4438">
        <f t="shared" si="131"/>
        <v>1.5338756435886556</v>
      </c>
      <c r="AD120" s="4438">
        <f t="shared" si="132"/>
        <v>0</v>
      </c>
      <c r="AE120" s="4438">
        <f t="shared" si="146"/>
        <v>0</v>
      </c>
      <c r="AF120" s="4438">
        <f t="shared" si="147"/>
        <v>0</v>
      </c>
      <c r="AG120" s="4438">
        <f t="shared" si="133"/>
        <v>0</v>
      </c>
      <c r="AH120" s="4438">
        <f t="shared" si="134"/>
        <v>0</v>
      </c>
      <c r="AI120" s="4438">
        <f t="shared" si="148"/>
        <v>0</v>
      </c>
      <c r="AJ120" s="4438">
        <f t="shared" si="149"/>
        <v>0</v>
      </c>
      <c r="AK120" s="4438">
        <f t="shared" si="135"/>
        <v>0</v>
      </c>
      <c r="AL120" s="4438">
        <f t="shared" si="136"/>
        <v>0</v>
      </c>
      <c r="AM120" s="4438">
        <f t="shared" si="150"/>
        <v>0</v>
      </c>
      <c r="AN120" s="4438">
        <f t="shared" si="151"/>
        <v>0</v>
      </c>
      <c r="AO120" s="4438">
        <f t="shared" si="137"/>
        <v>0</v>
      </c>
      <c r="AP120" s="4438">
        <f t="shared" si="138"/>
        <v>0</v>
      </c>
      <c r="AQ120" s="4438">
        <f t="shared" si="152"/>
        <v>0</v>
      </c>
      <c r="AR120" s="4438">
        <f t="shared" si="153"/>
        <v>0</v>
      </c>
      <c r="AS120" s="4438">
        <f t="shared" si="139"/>
        <v>0</v>
      </c>
    </row>
    <row r="121" spans="1:45">
      <c r="A121" s="2573">
        <v>10</v>
      </c>
      <c r="B121" s="2516">
        <v>2040201</v>
      </c>
      <c r="C121" s="2517">
        <v>0.02</v>
      </c>
      <c r="D121" s="2547" t="s">
        <v>738</v>
      </c>
      <c r="E121" s="4645"/>
      <c r="F121" s="4635"/>
      <c r="G121" s="400"/>
      <c r="H121" s="4387">
        <f t="shared" si="162"/>
        <v>0</v>
      </c>
      <c r="I121" s="4645">
        <v>0</v>
      </c>
      <c r="J121" s="4635"/>
      <c r="K121" s="400"/>
      <c r="L121" s="4387">
        <f t="shared" si="163"/>
        <v>0</v>
      </c>
      <c r="M121" s="4645">
        <v>0</v>
      </c>
      <c r="N121" s="400"/>
      <c r="O121" s="400"/>
      <c r="P121" s="4387">
        <f t="shared" si="164"/>
        <v>0</v>
      </c>
      <c r="Q121" s="400"/>
      <c r="R121" s="400"/>
      <c r="S121" s="400"/>
      <c r="T121" s="4387">
        <f t="shared" si="165"/>
        <v>0</v>
      </c>
      <c r="U121" s="400"/>
      <c r="V121" s="400"/>
      <c r="W121" s="400"/>
      <c r="X121" s="4387">
        <f t="shared" si="166"/>
        <v>0</v>
      </c>
      <c r="Y121" s="4422"/>
      <c r="Z121" s="4438">
        <f t="shared" si="130"/>
        <v>0</v>
      </c>
      <c r="AA121" s="4438">
        <f t="shared" si="144"/>
        <v>0</v>
      </c>
      <c r="AB121" s="4438">
        <f t="shared" si="145"/>
        <v>0</v>
      </c>
      <c r="AC121" s="4438">
        <f t="shared" si="131"/>
        <v>0</v>
      </c>
      <c r="AD121" s="4438">
        <f t="shared" si="132"/>
        <v>0</v>
      </c>
      <c r="AE121" s="4438">
        <f t="shared" si="146"/>
        <v>0</v>
      </c>
      <c r="AF121" s="4438">
        <f t="shared" si="147"/>
        <v>0</v>
      </c>
      <c r="AG121" s="4438">
        <f t="shared" si="133"/>
        <v>0</v>
      </c>
      <c r="AH121" s="4438">
        <f t="shared" si="134"/>
        <v>0</v>
      </c>
      <c r="AI121" s="4438">
        <f t="shared" si="148"/>
        <v>0</v>
      </c>
      <c r="AJ121" s="4438">
        <f t="shared" si="149"/>
        <v>0</v>
      </c>
      <c r="AK121" s="4438">
        <f t="shared" si="135"/>
        <v>0</v>
      </c>
      <c r="AL121" s="4438">
        <f t="shared" si="136"/>
        <v>0</v>
      </c>
      <c r="AM121" s="4438">
        <f t="shared" si="150"/>
        <v>0</v>
      </c>
      <c r="AN121" s="4438">
        <f t="shared" si="151"/>
        <v>0</v>
      </c>
      <c r="AO121" s="4438">
        <f t="shared" si="137"/>
        <v>0</v>
      </c>
      <c r="AP121" s="4438">
        <f t="shared" si="138"/>
        <v>0</v>
      </c>
      <c r="AQ121" s="4438">
        <f t="shared" si="152"/>
        <v>0</v>
      </c>
      <c r="AR121" s="4438">
        <f t="shared" si="153"/>
        <v>0</v>
      </c>
      <c r="AS121" s="4438">
        <f t="shared" si="139"/>
        <v>0</v>
      </c>
    </row>
    <row r="122" spans="1:45">
      <c r="A122" s="2573">
        <v>11</v>
      </c>
      <c r="B122" s="2516">
        <v>2040202</v>
      </c>
      <c r="C122" s="2517">
        <v>0.02</v>
      </c>
      <c r="D122" s="2547" t="s">
        <v>739</v>
      </c>
      <c r="E122" s="4647">
        <v>1</v>
      </c>
      <c r="F122" s="4633">
        <v>1</v>
      </c>
      <c r="G122" s="400"/>
      <c r="H122" s="4387">
        <f t="shared" si="162"/>
        <v>2</v>
      </c>
      <c r="I122" s="4647">
        <v>0</v>
      </c>
      <c r="J122" s="4635"/>
      <c r="K122" s="400"/>
      <c r="L122" s="4387">
        <f t="shared" si="163"/>
        <v>0</v>
      </c>
      <c r="M122" s="4647">
        <v>0</v>
      </c>
      <c r="N122" s="400"/>
      <c r="O122" s="400"/>
      <c r="P122" s="4387">
        <f t="shared" si="164"/>
        <v>0</v>
      </c>
      <c r="Q122" s="400"/>
      <c r="R122" s="400"/>
      <c r="S122" s="400"/>
      <c r="T122" s="4387">
        <f t="shared" si="165"/>
        <v>0</v>
      </c>
      <c r="U122" s="400"/>
      <c r="V122" s="400"/>
      <c r="W122" s="400"/>
      <c r="X122" s="4387">
        <f t="shared" si="166"/>
        <v>0</v>
      </c>
      <c r="Y122" s="4422"/>
      <c r="Z122" s="4438">
        <f t="shared" si="130"/>
        <v>0.51129188119621849</v>
      </c>
      <c r="AA122" s="4438">
        <f t="shared" si="144"/>
        <v>0.51129188119621849</v>
      </c>
      <c r="AB122" s="4438">
        <f t="shared" si="145"/>
        <v>0</v>
      </c>
      <c r="AC122" s="4438">
        <f t="shared" si="131"/>
        <v>1.022583762392437</v>
      </c>
      <c r="AD122" s="4438">
        <f t="shared" si="132"/>
        <v>0</v>
      </c>
      <c r="AE122" s="4438">
        <f t="shared" si="146"/>
        <v>0</v>
      </c>
      <c r="AF122" s="4438">
        <f t="shared" si="147"/>
        <v>0</v>
      </c>
      <c r="AG122" s="4438">
        <f t="shared" si="133"/>
        <v>0</v>
      </c>
      <c r="AH122" s="4438">
        <f t="shared" si="134"/>
        <v>0</v>
      </c>
      <c r="AI122" s="4438">
        <f t="shared" si="148"/>
        <v>0</v>
      </c>
      <c r="AJ122" s="4438">
        <f t="shared" si="149"/>
        <v>0</v>
      </c>
      <c r="AK122" s="4438">
        <f t="shared" si="135"/>
        <v>0</v>
      </c>
      <c r="AL122" s="4438">
        <f t="shared" si="136"/>
        <v>0</v>
      </c>
      <c r="AM122" s="4438">
        <f t="shared" si="150"/>
        <v>0</v>
      </c>
      <c r="AN122" s="4438">
        <f t="shared" si="151"/>
        <v>0</v>
      </c>
      <c r="AO122" s="4438">
        <f t="shared" si="137"/>
        <v>0</v>
      </c>
      <c r="AP122" s="4438">
        <f t="shared" si="138"/>
        <v>0</v>
      </c>
      <c r="AQ122" s="4438">
        <f t="shared" si="152"/>
        <v>0</v>
      </c>
      <c r="AR122" s="4438">
        <f t="shared" si="153"/>
        <v>0</v>
      </c>
      <c r="AS122" s="4438">
        <f t="shared" si="139"/>
        <v>0</v>
      </c>
    </row>
    <row r="123" spans="1:45">
      <c r="A123" s="2573">
        <v>12</v>
      </c>
      <c r="B123" s="2516">
        <v>2040203</v>
      </c>
      <c r="C123" s="2517">
        <v>0.02</v>
      </c>
      <c r="D123" s="2547" t="s">
        <v>418</v>
      </c>
      <c r="E123" s="4645"/>
      <c r="F123" s="4635"/>
      <c r="G123" s="400"/>
      <c r="H123" s="4387">
        <f t="shared" si="162"/>
        <v>0</v>
      </c>
      <c r="I123" s="4645">
        <v>0</v>
      </c>
      <c r="J123" s="4635"/>
      <c r="K123" s="400"/>
      <c r="L123" s="4387">
        <f t="shared" si="163"/>
        <v>0</v>
      </c>
      <c r="M123" s="4645">
        <v>0</v>
      </c>
      <c r="N123" s="400"/>
      <c r="O123" s="400"/>
      <c r="P123" s="4387">
        <f t="shared" si="164"/>
        <v>0</v>
      </c>
      <c r="Q123" s="400"/>
      <c r="R123" s="400"/>
      <c r="S123" s="400"/>
      <c r="T123" s="4387">
        <f t="shared" si="165"/>
        <v>0</v>
      </c>
      <c r="U123" s="400"/>
      <c r="V123" s="400"/>
      <c r="W123" s="400"/>
      <c r="X123" s="4387">
        <f t="shared" si="166"/>
        <v>0</v>
      </c>
      <c r="Y123" s="4422"/>
      <c r="Z123" s="4438">
        <f t="shared" si="130"/>
        <v>0</v>
      </c>
      <c r="AA123" s="4438">
        <f t="shared" si="144"/>
        <v>0</v>
      </c>
      <c r="AB123" s="4438">
        <f t="shared" si="145"/>
        <v>0</v>
      </c>
      <c r="AC123" s="4438">
        <f t="shared" si="131"/>
        <v>0</v>
      </c>
      <c r="AD123" s="4438">
        <f t="shared" si="132"/>
        <v>0</v>
      </c>
      <c r="AE123" s="4438">
        <f t="shared" si="146"/>
        <v>0</v>
      </c>
      <c r="AF123" s="4438">
        <f t="shared" si="147"/>
        <v>0</v>
      </c>
      <c r="AG123" s="4438">
        <f t="shared" si="133"/>
        <v>0</v>
      </c>
      <c r="AH123" s="4438">
        <f t="shared" si="134"/>
        <v>0</v>
      </c>
      <c r="AI123" s="4438">
        <f t="shared" si="148"/>
        <v>0</v>
      </c>
      <c r="AJ123" s="4438">
        <f t="shared" si="149"/>
        <v>0</v>
      </c>
      <c r="AK123" s="4438">
        <f t="shared" si="135"/>
        <v>0</v>
      </c>
      <c r="AL123" s="4438">
        <f t="shared" si="136"/>
        <v>0</v>
      </c>
      <c r="AM123" s="4438">
        <f t="shared" si="150"/>
        <v>0</v>
      </c>
      <c r="AN123" s="4438">
        <f t="shared" si="151"/>
        <v>0</v>
      </c>
      <c r="AO123" s="4438">
        <f t="shared" si="137"/>
        <v>0</v>
      </c>
      <c r="AP123" s="4438">
        <f t="shared" si="138"/>
        <v>0</v>
      </c>
      <c r="AQ123" s="4438">
        <f t="shared" si="152"/>
        <v>0</v>
      </c>
      <c r="AR123" s="4438">
        <f t="shared" si="153"/>
        <v>0</v>
      </c>
      <c r="AS123" s="4438">
        <f t="shared" si="139"/>
        <v>0</v>
      </c>
    </row>
    <row r="124" spans="1:45" ht="24">
      <c r="A124" s="2573">
        <v>13</v>
      </c>
      <c r="B124" s="2516">
        <v>2040204</v>
      </c>
      <c r="C124" s="2517">
        <v>0.02</v>
      </c>
      <c r="D124" s="2546" t="s">
        <v>419</v>
      </c>
      <c r="E124" s="4645">
        <v>2</v>
      </c>
      <c r="F124" s="4635">
        <v>1</v>
      </c>
      <c r="G124" s="400"/>
      <c r="H124" s="4387">
        <f t="shared" si="162"/>
        <v>3</v>
      </c>
      <c r="I124" s="4645">
        <v>0</v>
      </c>
      <c r="J124" s="4635"/>
      <c r="K124" s="400"/>
      <c r="L124" s="4387">
        <f t="shared" si="163"/>
        <v>0</v>
      </c>
      <c r="M124" s="4645">
        <v>0</v>
      </c>
      <c r="N124" s="400"/>
      <c r="O124" s="400"/>
      <c r="P124" s="4387">
        <f t="shared" si="164"/>
        <v>0</v>
      </c>
      <c r="Q124" s="400"/>
      <c r="R124" s="400"/>
      <c r="S124" s="400"/>
      <c r="T124" s="4387">
        <f t="shared" si="165"/>
        <v>0</v>
      </c>
      <c r="U124" s="400"/>
      <c r="V124" s="400"/>
      <c r="W124" s="400"/>
      <c r="X124" s="4387">
        <f t="shared" si="166"/>
        <v>0</v>
      </c>
      <c r="Y124" s="4422"/>
      <c r="Z124" s="4438">
        <f t="shared" si="130"/>
        <v>1.022583762392437</v>
      </c>
      <c r="AA124" s="4438">
        <f t="shared" si="144"/>
        <v>0.51129188119621849</v>
      </c>
      <c r="AB124" s="4438">
        <f t="shared" si="145"/>
        <v>0</v>
      </c>
      <c r="AC124" s="4438">
        <f t="shared" si="131"/>
        <v>1.5338756435886556</v>
      </c>
      <c r="AD124" s="4438">
        <f t="shared" si="132"/>
        <v>0</v>
      </c>
      <c r="AE124" s="4438">
        <f t="shared" si="146"/>
        <v>0</v>
      </c>
      <c r="AF124" s="4438">
        <f t="shared" si="147"/>
        <v>0</v>
      </c>
      <c r="AG124" s="4438">
        <f t="shared" si="133"/>
        <v>0</v>
      </c>
      <c r="AH124" s="4438">
        <f t="shared" si="134"/>
        <v>0</v>
      </c>
      <c r="AI124" s="4438">
        <f t="shared" si="148"/>
        <v>0</v>
      </c>
      <c r="AJ124" s="4438">
        <f t="shared" si="149"/>
        <v>0</v>
      </c>
      <c r="AK124" s="4438">
        <f t="shared" si="135"/>
        <v>0</v>
      </c>
      <c r="AL124" s="4438">
        <f t="shared" si="136"/>
        <v>0</v>
      </c>
      <c r="AM124" s="4438">
        <f t="shared" si="150"/>
        <v>0</v>
      </c>
      <c r="AN124" s="4438">
        <f t="shared" si="151"/>
        <v>0</v>
      </c>
      <c r="AO124" s="4438">
        <f t="shared" si="137"/>
        <v>0</v>
      </c>
      <c r="AP124" s="4438">
        <f t="shared" si="138"/>
        <v>0</v>
      </c>
      <c r="AQ124" s="4438">
        <f t="shared" si="152"/>
        <v>0</v>
      </c>
      <c r="AR124" s="4438">
        <f t="shared" si="153"/>
        <v>0</v>
      </c>
      <c r="AS124" s="4438">
        <f t="shared" si="139"/>
        <v>0</v>
      </c>
    </row>
    <row r="125" spans="1:45">
      <c r="A125" s="2573">
        <v>14</v>
      </c>
      <c r="B125" s="2516">
        <v>2040205</v>
      </c>
      <c r="C125" s="2517">
        <v>0.02</v>
      </c>
      <c r="D125" s="2547" t="s">
        <v>420</v>
      </c>
      <c r="E125" s="4647">
        <v>81</v>
      </c>
      <c r="F125" s="4633">
        <v>44</v>
      </c>
      <c r="G125" s="400"/>
      <c r="H125" s="4387">
        <f t="shared" si="162"/>
        <v>125</v>
      </c>
      <c r="I125" s="4647">
        <v>0</v>
      </c>
      <c r="J125" s="4635"/>
      <c r="K125" s="400"/>
      <c r="L125" s="4387">
        <f t="shared" si="163"/>
        <v>0</v>
      </c>
      <c r="M125" s="4647">
        <v>0</v>
      </c>
      <c r="N125" s="400"/>
      <c r="O125" s="400"/>
      <c r="P125" s="4387">
        <f t="shared" si="164"/>
        <v>0</v>
      </c>
      <c r="Q125" s="400"/>
      <c r="R125" s="400"/>
      <c r="S125" s="400"/>
      <c r="T125" s="4387">
        <f t="shared" si="165"/>
        <v>0</v>
      </c>
      <c r="U125" s="400"/>
      <c r="V125" s="400"/>
      <c r="W125" s="400"/>
      <c r="X125" s="4387">
        <f t="shared" si="166"/>
        <v>0</v>
      </c>
      <c r="Y125" s="4422"/>
      <c r="Z125" s="4438">
        <f t="shared" si="130"/>
        <v>41.414642376893696</v>
      </c>
      <c r="AA125" s="4438">
        <f t="shared" si="144"/>
        <v>22.496842772633613</v>
      </c>
      <c r="AB125" s="4438">
        <f t="shared" si="145"/>
        <v>0</v>
      </c>
      <c r="AC125" s="4438">
        <f t="shared" si="131"/>
        <v>63.911485149527309</v>
      </c>
      <c r="AD125" s="4438">
        <f t="shared" si="132"/>
        <v>0</v>
      </c>
      <c r="AE125" s="4438">
        <f t="shared" si="146"/>
        <v>0</v>
      </c>
      <c r="AF125" s="4438">
        <f t="shared" si="147"/>
        <v>0</v>
      </c>
      <c r="AG125" s="4438">
        <f t="shared" si="133"/>
        <v>0</v>
      </c>
      <c r="AH125" s="4438">
        <f t="shared" si="134"/>
        <v>0</v>
      </c>
      <c r="AI125" s="4438">
        <f t="shared" si="148"/>
        <v>0</v>
      </c>
      <c r="AJ125" s="4438">
        <f t="shared" si="149"/>
        <v>0</v>
      </c>
      <c r="AK125" s="4438">
        <f t="shared" si="135"/>
        <v>0</v>
      </c>
      <c r="AL125" s="4438">
        <f t="shared" si="136"/>
        <v>0</v>
      </c>
      <c r="AM125" s="4438">
        <f t="shared" si="150"/>
        <v>0</v>
      </c>
      <c r="AN125" s="4438">
        <f t="shared" si="151"/>
        <v>0</v>
      </c>
      <c r="AO125" s="4438">
        <f t="shared" si="137"/>
        <v>0</v>
      </c>
      <c r="AP125" s="4438">
        <f t="shared" si="138"/>
        <v>0</v>
      </c>
      <c r="AQ125" s="4438">
        <f t="shared" si="152"/>
        <v>0</v>
      </c>
      <c r="AR125" s="4438">
        <f t="shared" si="153"/>
        <v>0</v>
      </c>
      <c r="AS125" s="4438">
        <f t="shared" si="139"/>
        <v>0</v>
      </c>
    </row>
    <row r="126" spans="1:45">
      <c r="A126" s="2573">
        <v>15</v>
      </c>
      <c r="B126" s="2516">
        <v>2040206</v>
      </c>
      <c r="C126" s="2517">
        <v>0.02</v>
      </c>
      <c r="D126" s="2552" t="s">
        <v>421</v>
      </c>
      <c r="E126" s="4647"/>
      <c r="F126" s="4633"/>
      <c r="G126" s="400"/>
      <c r="H126" s="4387">
        <f t="shared" si="162"/>
        <v>0</v>
      </c>
      <c r="I126" s="4647">
        <v>2</v>
      </c>
      <c r="J126" s="4635">
        <v>1</v>
      </c>
      <c r="K126" s="400"/>
      <c r="L126" s="4387">
        <f t="shared" si="163"/>
        <v>3</v>
      </c>
      <c r="M126" s="4647">
        <v>0</v>
      </c>
      <c r="N126" s="400"/>
      <c r="O126" s="400"/>
      <c r="P126" s="4387">
        <f t="shared" si="164"/>
        <v>0</v>
      </c>
      <c r="Q126" s="400"/>
      <c r="R126" s="400"/>
      <c r="S126" s="400"/>
      <c r="T126" s="4387">
        <f t="shared" si="165"/>
        <v>0</v>
      </c>
      <c r="U126" s="400"/>
      <c r="V126" s="400"/>
      <c r="W126" s="400"/>
      <c r="X126" s="4387">
        <f t="shared" si="166"/>
        <v>0</v>
      </c>
      <c r="Y126" s="4422"/>
      <c r="Z126" s="4438">
        <f t="shared" si="130"/>
        <v>0</v>
      </c>
      <c r="AA126" s="4438">
        <f t="shared" si="144"/>
        <v>0</v>
      </c>
      <c r="AB126" s="4438">
        <f t="shared" si="145"/>
        <v>0</v>
      </c>
      <c r="AC126" s="4438">
        <f t="shared" si="131"/>
        <v>0</v>
      </c>
      <c r="AD126" s="4438">
        <f t="shared" si="132"/>
        <v>1.022583762392437</v>
      </c>
      <c r="AE126" s="4438">
        <f t="shared" si="146"/>
        <v>0.51129188119621849</v>
      </c>
      <c r="AF126" s="4438">
        <f t="shared" si="147"/>
        <v>0</v>
      </c>
      <c r="AG126" s="4438">
        <f t="shared" si="133"/>
        <v>1.5338756435886556</v>
      </c>
      <c r="AH126" s="4438">
        <f t="shared" si="134"/>
        <v>0</v>
      </c>
      <c r="AI126" s="4438">
        <f t="shared" si="148"/>
        <v>0</v>
      </c>
      <c r="AJ126" s="4438">
        <f t="shared" si="149"/>
        <v>0</v>
      </c>
      <c r="AK126" s="4438">
        <f t="shared" si="135"/>
        <v>0</v>
      </c>
      <c r="AL126" s="4438">
        <f t="shared" si="136"/>
        <v>0</v>
      </c>
      <c r="AM126" s="4438">
        <f t="shared" si="150"/>
        <v>0</v>
      </c>
      <c r="AN126" s="4438">
        <f t="shared" si="151"/>
        <v>0</v>
      </c>
      <c r="AO126" s="4438">
        <f t="shared" si="137"/>
        <v>0</v>
      </c>
      <c r="AP126" s="4438">
        <f t="shared" si="138"/>
        <v>0</v>
      </c>
      <c r="AQ126" s="4438">
        <f t="shared" si="152"/>
        <v>0</v>
      </c>
      <c r="AR126" s="4438">
        <f t="shared" si="153"/>
        <v>0</v>
      </c>
      <c r="AS126" s="4438">
        <f t="shared" si="139"/>
        <v>0</v>
      </c>
    </row>
    <row r="127" spans="1:45" ht="48">
      <c r="A127" s="2573">
        <v>16</v>
      </c>
      <c r="B127" s="2516">
        <v>2040207</v>
      </c>
      <c r="C127" s="2517">
        <v>0.04</v>
      </c>
      <c r="D127" s="2552" t="s">
        <v>422</v>
      </c>
      <c r="E127" s="4647">
        <v>12</v>
      </c>
      <c r="F127" s="4633">
        <v>2</v>
      </c>
      <c r="G127" s="400"/>
      <c r="H127" s="4387">
        <f t="shared" si="162"/>
        <v>14</v>
      </c>
      <c r="I127" s="4647">
        <v>0</v>
      </c>
      <c r="J127" s="4635"/>
      <c r="K127" s="400"/>
      <c r="L127" s="4387">
        <f t="shared" si="163"/>
        <v>0</v>
      </c>
      <c r="M127" s="4647">
        <v>23</v>
      </c>
      <c r="N127" s="400">
        <v>5</v>
      </c>
      <c r="O127" s="400"/>
      <c r="P127" s="4387">
        <f t="shared" si="164"/>
        <v>28</v>
      </c>
      <c r="Q127" s="400"/>
      <c r="R127" s="400"/>
      <c r="S127" s="400"/>
      <c r="T127" s="4387">
        <f t="shared" si="165"/>
        <v>0</v>
      </c>
      <c r="U127" s="400"/>
      <c r="V127" s="400"/>
      <c r="W127" s="400"/>
      <c r="X127" s="4387">
        <f t="shared" si="166"/>
        <v>0</v>
      </c>
      <c r="Y127" s="4422"/>
      <c r="Z127" s="4438">
        <f t="shared" si="130"/>
        <v>6.1355025743546223</v>
      </c>
      <c r="AA127" s="4438">
        <f t="shared" si="144"/>
        <v>1.022583762392437</v>
      </c>
      <c r="AB127" s="4438">
        <f t="shared" si="145"/>
        <v>0</v>
      </c>
      <c r="AC127" s="4438">
        <f t="shared" si="131"/>
        <v>7.1580863367470586</v>
      </c>
      <c r="AD127" s="4438">
        <f t="shared" si="132"/>
        <v>0</v>
      </c>
      <c r="AE127" s="4438">
        <f t="shared" si="146"/>
        <v>0</v>
      </c>
      <c r="AF127" s="4438">
        <f t="shared" si="147"/>
        <v>0</v>
      </c>
      <c r="AG127" s="4438">
        <f t="shared" si="133"/>
        <v>0</v>
      </c>
      <c r="AH127" s="4438">
        <f t="shared" si="134"/>
        <v>11.759713267513025</v>
      </c>
      <c r="AI127" s="4438">
        <f t="shared" si="148"/>
        <v>2.5564594059810926</v>
      </c>
      <c r="AJ127" s="4438">
        <f t="shared" si="149"/>
        <v>0</v>
      </c>
      <c r="AK127" s="4438">
        <f t="shared" si="135"/>
        <v>14.316172673494117</v>
      </c>
      <c r="AL127" s="4438">
        <f t="shared" si="136"/>
        <v>0</v>
      </c>
      <c r="AM127" s="4438">
        <f t="shared" si="150"/>
        <v>0</v>
      </c>
      <c r="AN127" s="4438">
        <f t="shared" si="151"/>
        <v>0</v>
      </c>
      <c r="AO127" s="4438">
        <f t="shared" si="137"/>
        <v>0</v>
      </c>
      <c r="AP127" s="4438">
        <f t="shared" si="138"/>
        <v>0</v>
      </c>
      <c r="AQ127" s="4438">
        <f t="shared" si="152"/>
        <v>0</v>
      </c>
      <c r="AR127" s="4438">
        <f t="shared" si="153"/>
        <v>0</v>
      </c>
      <c r="AS127" s="4438">
        <f t="shared" si="139"/>
        <v>0</v>
      </c>
    </row>
    <row r="128" spans="1:45">
      <c r="A128" s="2573">
        <v>17</v>
      </c>
      <c r="B128" s="2516">
        <v>2040208</v>
      </c>
      <c r="C128" s="2517">
        <v>0.04</v>
      </c>
      <c r="D128" s="2552" t="s">
        <v>423</v>
      </c>
      <c r="E128" s="4647">
        <v>11</v>
      </c>
      <c r="F128" s="4633">
        <v>0</v>
      </c>
      <c r="G128" s="400"/>
      <c r="H128" s="4387">
        <f t="shared" si="162"/>
        <v>11</v>
      </c>
      <c r="I128" s="4647">
        <v>0</v>
      </c>
      <c r="J128" s="4635"/>
      <c r="K128" s="400"/>
      <c r="L128" s="4387">
        <f t="shared" si="163"/>
        <v>0</v>
      </c>
      <c r="M128" s="4647">
        <v>0</v>
      </c>
      <c r="N128" s="400"/>
      <c r="O128" s="400"/>
      <c r="P128" s="4387">
        <f t="shared" si="164"/>
        <v>0</v>
      </c>
      <c r="Q128" s="400"/>
      <c r="R128" s="400"/>
      <c r="S128" s="400"/>
      <c r="T128" s="4387">
        <f t="shared" si="165"/>
        <v>0</v>
      </c>
      <c r="U128" s="400"/>
      <c r="V128" s="400"/>
      <c r="W128" s="400"/>
      <c r="X128" s="4387">
        <f t="shared" si="166"/>
        <v>0</v>
      </c>
      <c r="Y128" s="4422"/>
      <c r="Z128" s="4438">
        <f t="shared" si="130"/>
        <v>5.6242106931584033</v>
      </c>
      <c r="AA128" s="4438">
        <f t="shared" si="144"/>
        <v>0</v>
      </c>
      <c r="AB128" s="4438">
        <f t="shared" si="145"/>
        <v>0</v>
      </c>
      <c r="AC128" s="4438">
        <f t="shared" si="131"/>
        <v>5.6242106931584033</v>
      </c>
      <c r="AD128" s="4438">
        <f t="shared" si="132"/>
        <v>0</v>
      </c>
      <c r="AE128" s="4438">
        <f t="shared" si="146"/>
        <v>0</v>
      </c>
      <c r="AF128" s="4438">
        <f t="shared" si="147"/>
        <v>0</v>
      </c>
      <c r="AG128" s="4438">
        <f t="shared" si="133"/>
        <v>0</v>
      </c>
      <c r="AH128" s="4438">
        <f t="shared" si="134"/>
        <v>0</v>
      </c>
      <c r="AI128" s="4438">
        <f t="shared" si="148"/>
        <v>0</v>
      </c>
      <c r="AJ128" s="4438">
        <f t="shared" si="149"/>
        <v>0</v>
      </c>
      <c r="AK128" s="4438">
        <f t="shared" si="135"/>
        <v>0</v>
      </c>
      <c r="AL128" s="4438">
        <f t="shared" si="136"/>
        <v>0</v>
      </c>
      <c r="AM128" s="4438">
        <f t="shared" si="150"/>
        <v>0</v>
      </c>
      <c r="AN128" s="4438">
        <f t="shared" si="151"/>
        <v>0</v>
      </c>
      <c r="AO128" s="4438">
        <f t="shared" si="137"/>
        <v>0</v>
      </c>
      <c r="AP128" s="4438">
        <f t="shared" si="138"/>
        <v>0</v>
      </c>
      <c r="AQ128" s="4438">
        <f t="shared" si="152"/>
        <v>0</v>
      </c>
      <c r="AR128" s="4438">
        <f t="shared" si="153"/>
        <v>0</v>
      </c>
      <c r="AS128" s="4438">
        <f t="shared" si="139"/>
        <v>0</v>
      </c>
    </row>
    <row r="129" spans="1:45">
      <c r="A129" s="2573">
        <v>18</v>
      </c>
      <c r="B129" s="2574" t="s">
        <v>1051</v>
      </c>
      <c r="C129" s="2517">
        <v>0.04</v>
      </c>
      <c r="D129" s="2571" t="s">
        <v>434</v>
      </c>
      <c r="E129" s="4647">
        <v>3</v>
      </c>
      <c r="F129" s="4633">
        <v>1</v>
      </c>
      <c r="G129" s="400"/>
      <c r="H129" s="4387">
        <f t="shared" si="162"/>
        <v>4</v>
      </c>
      <c r="I129" s="4647">
        <v>0</v>
      </c>
      <c r="J129" s="4635"/>
      <c r="K129" s="400"/>
      <c r="L129" s="4387">
        <f t="shared" si="163"/>
        <v>0</v>
      </c>
      <c r="M129" s="4647">
        <v>0</v>
      </c>
      <c r="N129" s="400"/>
      <c r="O129" s="400"/>
      <c r="P129" s="4387">
        <f t="shared" si="164"/>
        <v>0</v>
      </c>
      <c r="Q129" s="400"/>
      <c r="R129" s="400"/>
      <c r="S129" s="400"/>
      <c r="T129" s="4387">
        <f t="shared" si="165"/>
        <v>0</v>
      </c>
      <c r="U129" s="400"/>
      <c r="V129" s="400"/>
      <c r="W129" s="400"/>
      <c r="X129" s="4387">
        <f t="shared" si="166"/>
        <v>0</v>
      </c>
      <c r="Y129" s="4422"/>
      <c r="Z129" s="4438">
        <f t="shared" si="130"/>
        <v>1.5338756435886556</v>
      </c>
      <c r="AA129" s="4438">
        <f t="shared" si="144"/>
        <v>0.51129188119621849</v>
      </c>
      <c r="AB129" s="4438">
        <f t="shared" si="145"/>
        <v>0</v>
      </c>
      <c r="AC129" s="4438">
        <f t="shared" si="131"/>
        <v>2.045167524784874</v>
      </c>
      <c r="AD129" s="4438">
        <f t="shared" si="132"/>
        <v>0</v>
      </c>
      <c r="AE129" s="4438">
        <f t="shared" si="146"/>
        <v>0</v>
      </c>
      <c r="AF129" s="4438">
        <f t="shared" si="147"/>
        <v>0</v>
      </c>
      <c r="AG129" s="4438">
        <f t="shared" si="133"/>
        <v>0</v>
      </c>
      <c r="AH129" s="4438">
        <f t="shared" si="134"/>
        <v>0</v>
      </c>
      <c r="AI129" s="4438">
        <f t="shared" si="148"/>
        <v>0</v>
      </c>
      <c r="AJ129" s="4438">
        <f t="shared" si="149"/>
        <v>0</v>
      </c>
      <c r="AK129" s="4438">
        <f t="shared" si="135"/>
        <v>0</v>
      </c>
      <c r="AL129" s="4438">
        <f t="shared" si="136"/>
        <v>0</v>
      </c>
      <c r="AM129" s="4438">
        <f t="shared" si="150"/>
        <v>0</v>
      </c>
      <c r="AN129" s="4438">
        <f t="shared" si="151"/>
        <v>0</v>
      </c>
      <c r="AO129" s="4438">
        <f t="shared" si="137"/>
        <v>0</v>
      </c>
      <c r="AP129" s="4438">
        <f t="shared" si="138"/>
        <v>0</v>
      </c>
      <c r="AQ129" s="4438">
        <f t="shared" si="152"/>
        <v>0</v>
      </c>
      <c r="AR129" s="4438">
        <f t="shared" si="153"/>
        <v>0</v>
      </c>
      <c r="AS129" s="4438">
        <f t="shared" si="139"/>
        <v>0</v>
      </c>
    </row>
    <row r="130" spans="1:45" ht="48.75" thickBot="1">
      <c r="A130" s="2573">
        <v>19</v>
      </c>
      <c r="B130" s="2516">
        <v>215</v>
      </c>
      <c r="C130" s="2522">
        <v>0.2</v>
      </c>
      <c r="D130" s="2552" t="s">
        <v>679</v>
      </c>
      <c r="E130" s="4647"/>
      <c r="F130" s="4633"/>
      <c r="G130" s="400"/>
      <c r="H130" s="4387">
        <f t="shared" si="162"/>
        <v>0</v>
      </c>
      <c r="I130" s="4647">
        <v>0</v>
      </c>
      <c r="J130" s="4635"/>
      <c r="K130" s="400"/>
      <c r="L130" s="4387">
        <f t="shared" si="163"/>
        <v>0</v>
      </c>
      <c r="M130" s="4647">
        <v>0</v>
      </c>
      <c r="N130" s="400"/>
      <c r="O130" s="400"/>
      <c r="P130" s="4387">
        <f t="shared" si="164"/>
        <v>0</v>
      </c>
      <c r="Q130" s="400"/>
      <c r="R130" s="400"/>
      <c r="S130" s="400"/>
      <c r="T130" s="4387">
        <f t="shared" si="165"/>
        <v>0</v>
      </c>
      <c r="U130" s="400"/>
      <c r="V130" s="400"/>
      <c r="W130" s="400"/>
      <c r="X130" s="4387">
        <f t="shared" si="166"/>
        <v>0</v>
      </c>
      <c r="Y130" s="4422"/>
      <c r="Z130" s="4438">
        <f t="shared" si="130"/>
        <v>0</v>
      </c>
      <c r="AA130" s="4438">
        <f t="shared" si="144"/>
        <v>0</v>
      </c>
      <c r="AB130" s="4438">
        <f t="shared" si="145"/>
        <v>0</v>
      </c>
      <c r="AC130" s="4438">
        <f t="shared" si="131"/>
        <v>0</v>
      </c>
      <c r="AD130" s="4438">
        <f t="shared" si="132"/>
        <v>0</v>
      </c>
      <c r="AE130" s="4438">
        <f t="shared" si="146"/>
        <v>0</v>
      </c>
      <c r="AF130" s="4438">
        <f t="shared" si="147"/>
        <v>0</v>
      </c>
      <c r="AG130" s="4438">
        <f t="shared" si="133"/>
        <v>0</v>
      </c>
      <c r="AH130" s="4438">
        <f t="shared" si="134"/>
        <v>0</v>
      </c>
      <c r="AI130" s="4438">
        <f t="shared" si="148"/>
        <v>0</v>
      </c>
      <c r="AJ130" s="4438">
        <f t="shared" si="149"/>
        <v>0</v>
      </c>
      <c r="AK130" s="4438">
        <f t="shared" si="135"/>
        <v>0</v>
      </c>
      <c r="AL130" s="4438">
        <f t="shared" si="136"/>
        <v>0</v>
      </c>
      <c r="AM130" s="4438">
        <f t="shared" si="150"/>
        <v>0</v>
      </c>
      <c r="AN130" s="4438">
        <f t="shared" si="151"/>
        <v>0</v>
      </c>
      <c r="AO130" s="4438">
        <f t="shared" si="137"/>
        <v>0</v>
      </c>
      <c r="AP130" s="4438">
        <f t="shared" si="138"/>
        <v>0</v>
      </c>
      <c r="AQ130" s="4438">
        <f t="shared" si="152"/>
        <v>0</v>
      </c>
      <c r="AR130" s="4438">
        <f t="shared" si="153"/>
        <v>0</v>
      </c>
      <c r="AS130" s="4438">
        <f t="shared" si="139"/>
        <v>0</v>
      </c>
    </row>
    <row r="131" spans="1:45" ht="13.5" thickBot="1">
      <c r="A131" s="3685" t="s">
        <v>219</v>
      </c>
      <c r="B131" s="5205" t="s">
        <v>222</v>
      </c>
      <c r="C131" s="5206"/>
      <c r="D131" s="5207"/>
      <c r="E131" s="1220">
        <f t="shared" ref="E131:H131" si="167">SUM(E132:E150)</f>
        <v>3851</v>
      </c>
      <c r="F131" s="1220">
        <f t="shared" si="167"/>
        <v>0</v>
      </c>
      <c r="G131" s="1220">
        <f t="shared" si="167"/>
        <v>0</v>
      </c>
      <c r="H131" s="1220">
        <f t="shared" si="167"/>
        <v>4952</v>
      </c>
      <c r="I131" s="1220">
        <f t="shared" ref="I131:X131" si="168">SUM(I132:I150)</f>
        <v>213</v>
      </c>
      <c r="J131" s="1220">
        <f t="shared" si="168"/>
        <v>0</v>
      </c>
      <c r="K131" s="1220">
        <f t="shared" si="168"/>
        <v>0</v>
      </c>
      <c r="L131" s="1220">
        <f t="shared" si="168"/>
        <v>288</v>
      </c>
      <c r="M131" s="1220">
        <f t="shared" si="168"/>
        <v>326</v>
      </c>
      <c r="N131" s="1220">
        <f t="shared" si="168"/>
        <v>0</v>
      </c>
      <c r="O131" s="1220">
        <f t="shared" si="168"/>
        <v>0</v>
      </c>
      <c r="P131" s="1220">
        <f t="shared" si="168"/>
        <v>485</v>
      </c>
      <c r="Q131" s="1220">
        <f t="shared" si="168"/>
        <v>0</v>
      </c>
      <c r="R131" s="1220">
        <f t="shared" si="168"/>
        <v>0</v>
      </c>
      <c r="S131" s="1220">
        <f t="shared" si="168"/>
        <v>0</v>
      </c>
      <c r="T131" s="1220">
        <f t="shared" si="168"/>
        <v>0</v>
      </c>
      <c r="U131" s="1220">
        <f t="shared" si="168"/>
        <v>0</v>
      </c>
      <c r="V131" s="1220">
        <f t="shared" si="168"/>
        <v>0</v>
      </c>
      <c r="W131" s="1220">
        <f t="shared" si="168"/>
        <v>0</v>
      </c>
      <c r="X131" s="1084">
        <f t="shared" si="168"/>
        <v>0</v>
      </c>
      <c r="Y131" s="4422"/>
      <c r="Z131" s="4438">
        <f t="shared" si="130"/>
        <v>1968.9850344866375</v>
      </c>
      <c r="AA131" s="4438">
        <f t="shared" si="144"/>
        <v>0</v>
      </c>
      <c r="AB131" s="4438">
        <f t="shared" si="145"/>
        <v>0</v>
      </c>
      <c r="AC131" s="4438">
        <f t="shared" si="131"/>
        <v>2531.9173956836739</v>
      </c>
      <c r="AD131" s="4438">
        <f t="shared" si="132"/>
        <v>108.90517069479453</v>
      </c>
      <c r="AE131" s="4438">
        <f t="shared" si="146"/>
        <v>0</v>
      </c>
      <c r="AF131" s="4438">
        <f t="shared" si="147"/>
        <v>0</v>
      </c>
      <c r="AG131" s="4438">
        <f t="shared" si="133"/>
        <v>147.25206178451091</v>
      </c>
      <c r="AH131" s="4438">
        <f t="shared" si="134"/>
        <v>166.68115326996724</v>
      </c>
      <c r="AI131" s="4438">
        <f t="shared" si="148"/>
        <v>0</v>
      </c>
      <c r="AJ131" s="4438">
        <f t="shared" si="149"/>
        <v>0</v>
      </c>
      <c r="AK131" s="4438">
        <f t="shared" si="135"/>
        <v>247.97656238016597</v>
      </c>
      <c r="AL131" s="4438">
        <f t="shared" si="136"/>
        <v>0</v>
      </c>
      <c r="AM131" s="4438">
        <f t="shared" si="150"/>
        <v>0</v>
      </c>
      <c r="AN131" s="4438">
        <f t="shared" si="151"/>
        <v>0</v>
      </c>
      <c r="AO131" s="4438">
        <f t="shared" si="137"/>
        <v>0</v>
      </c>
      <c r="AP131" s="4438">
        <f t="shared" si="138"/>
        <v>0</v>
      </c>
      <c r="AQ131" s="4438">
        <f t="shared" si="152"/>
        <v>0</v>
      </c>
      <c r="AR131" s="4438">
        <f t="shared" si="153"/>
        <v>0</v>
      </c>
      <c r="AS131" s="4438">
        <f t="shared" si="139"/>
        <v>0</v>
      </c>
    </row>
    <row r="132" spans="1:45">
      <c r="A132" s="2515">
        <v>1</v>
      </c>
      <c r="B132" s="2509">
        <v>20102</v>
      </c>
      <c r="C132" s="2533">
        <v>0</v>
      </c>
      <c r="D132" s="2563" t="s">
        <v>558</v>
      </c>
      <c r="E132" s="2639">
        <f t="shared" ref="E132:E150" si="169">E92-E112</f>
        <v>0</v>
      </c>
      <c r="F132" s="5197"/>
      <c r="G132" s="5198"/>
      <c r="H132" s="4387">
        <f t="shared" ref="H132:I147" si="170">H92-H112</f>
        <v>0</v>
      </c>
      <c r="I132" s="2639">
        <f t="shared" si="170"/>
        <v>0</v>
      </c>
      <c r="J132" s="5197"/>
      <c r="K132" s="5198"/>
      <c r="L132" s="4387">
        <f t="shared" ref="L132:M147" si="171">L92-L112</f>
        <v>0</v>
      </c>
      <c r="M132" s="2639">
        <f t="shared" si="171"/>
        <v>0</v>
      </c>
      <c r="N132" s="5197"/>
      <c r="O132" s="5198"/>
      <c r="P132" s="4387">
        <f t="shared" ref="P132:Q147" si="172">P92-P112</f>
        <v>0</v>
      </c>
      <c r="Q132" s="2639">
        <f t="shared" si="172"/>
        <v>0</v>
      </c>
      <c r="R132" s="5197"/>
      <c r="S132" s="5198"/>
      <c r="T132" s="4387">
        <f t="shared" ref="T132:U147" si="173">T92-T112</f>
        <v>0</v>
      </c>
      <c r="U132" s="2639">
        <f t="shared" si="173"/>
        <v>0</v>
      </c>
      <c r="V132" s="5197"/>
      <c r="W132" s="5198"/>
      <c r="X132" s="4387">
        <f t="shared" ref="X132:X150" si="174">X92-X112</f>
        <v>0</v>
      </c>
      <c r="Y132" s="4422"/>
      <c r="Z132" s="4438">
        <f t="shared" si="130"/>
        <v>0</v>
      </c>
      <c r="AA132" s="4446"/>
      <c r="AB132" s="4447"/>
      <c r="AC132" s="4438">
        <f t="shared" si="131"/>
        <v>0</v>
      </c>
      <c r="AD132" s="4438">
        <f t="shared" si="132"/>
        <v>0</v>
      </c>
      <c r="AE132" s="4446"/>
      <c r="AF132" s="4447"/>
      <c r="AG132" s="4438">
        <f t="shared" si="133"/>
        <v>0</v>
      </c>
      <c r="AH132" s="4438">
        <f t="shared" si="134"/>
        <v>0</v>
      </c>
      <c r="AI132" s="4446"/>
      <c r="AJ132" s="4447"/>
      <c r="AK132" s="4438">
        <f t="shared" si="135"/>
        <v>0</v>
      </c>
      <c r="AL132" s="4438">
        <f t="shared" si="136"/>
        <v>0</v>
      </c>
      <c r="AM132" s="4446"/>
      <c r="AN132" s="4447"/>
      <c r="AO132" s="4438">
        <f t="shared" si="137"/>
        <v>0</v>
      </c>
      <c r="AP132" s="4438">
        <f t="shared" si="138"/>
        <v>0</v>
      </c>
      <c r="AQ132" s="4446"/>
      <c r="AR132" s="4447"/>
      <c r="AS132" s="4438">
        <f t="shared" si="139"/>
        <v>0</v>
      </c>
    </row>
    <row r="133" spans="1:45">
      <c r="A133" s="2515">
        <v>2</v>
      </c>
      <c r="B133" s="2516">
        <v>20202</v>
      </c>
      <c r="C133" s="2517">
        <v>0.03</v>
      </c>
      <c r="D133" s="2571" t="s">
        <v>426</v>
      </c>
      <c r="E133" s="2640">
        <f t="shared" si="169"/>
        <v>4</v>
      </c>
      <c r="F133" s="5199"/>
      <c r="G133" s="5200"/>
      <c r="H133" s="4387">
        <f t="shared" si="170"/>
        <v>11</v>
      </c>
      <c r="I133" s="2640">
        <f t="shared" si="170"/>
        <v>1</v>
      </c>
      <c r="J133" s="5199"/>
      <c r="K133" s="5200"/>
      <c r="L133" s="4387">
        <f t="shared" si="171"/>
        <v>1</v>
      </c>
      <c r="M133" s="2640">
        <f t="shared" si="171"/>
        <v>0</v>
      </c>
      <c r="N133" s="5199"/>
      <c r="O133" s="5200"/>
      <c r="P133" s="4387">
        <f t="shared" si="172"/>
        <v>0</v>
      </c>
      <c r="Q133" s="2640">
        <f t="shared" si="172"/>
        <v>0</v>
      </c>
      <c r="R133" s="5199"/>
      <c r="S133" s="5200"/>
      <c r="T133" s="4387">
        <f t="shared" si="173"/>
        <v>0</v>
      </c>
      <c r="U133" s="2640">
        <f t="shared" si="173"/>
        <v>0</v>
      </c>
      <c r="V133" s="5199"/>
      <c r="W133" s="5200"/>
      <c r="X133" s="4387">
        <f t="shared" si="174"/>
        <v>0</v>
      </c>
      <c r="Y133" s="4422"/>
      <c r="Z133" s="4438">
        <f t="shared" si="130"/>
        <v>2.045167524784874</v>
      </c>
      <c r="AA133" s="4453"/>
      <c r="AB133" s="4454"/>
      <c r="AC133" s="4438">
        <f t="shared" si="131"/>
        <v>5.6242106931584033</v>
      </c>
      <c r="AD133" s="4438">
        <f t="shared" si="132"/>
        <v>0.51129188119621849</v>
      </c>
      <c r="AE133" s="4453"/>
      <c r="AF133" s="4454"/>
      <c r="AG133" s="4438">
        <f t="shared" si="133"/>
        <v>0.51129188119621849</v>
      </c>
      <c r="AH133" s="4438">
        <f t="shared" si="134"/>
        <v>0</v>
      </c>
      <c r="AI133" s="4453"/>
      <c r="AJ133" s="4454"/>
      <c r="AK133" s="4438">
        <f t="shared" si="135"/>
        <v>0</v>
      </c>
      <c r="AL133" s="4438">
        <f t="shared" si="136"/>
        <v>0</v>
      </c>
      <c r="AM133" s="4453"/>
      <c r="AN133" s="4454"/>
      <c r="AO133" s="4438">
        <f t="shared" si="137"/>
        <v>0</v>
      </c>
      <c r="AP133" s="4438">
        <f t="shared" si="138"/>
        <v>0</v>
      </c>
      <c r="AQ133" s="4453"/>
      <c r="AR133" s="4454"/>
      <c r="AS133" s="4438">
        <f t="shared" si="139"/>
        <v>0</v>
      </c>
    </row>
    <row r="134" spans="1:45" ht="24">
      <c r="A134" s="2515">
        <v>3</v>
      </c>
      <c r="B134" s="2516">
        <v>2030401</v>
      </c>
      <c r="C134" s="2522">
        <v>0.1</v>
      </c>
      <c r="D134" s="2552" t="s">
        <v>1031</v>
      </c>
      <c r="E134" s="2640">
        <f t="shared" si="169"/>
        <v>692</v>
      </c>
      <c r="F134" s="5199"/>
      <c r="G134" s="5200"/>
      <c r="H134" s="4387">
        <f t="shared" si="170"/>
        <v>837</v>
      </c>
      <c r="I134" s="2640">
        <f t="shared" si="170"/>
        <v>21</v>
      </c>
      <c r="J134" s="5199"/>
      <c r="K134" s="5200"/>
      <c r="L134" s="4387">
        <f t="shared" si="171"/>
        <v>18</v>
      </c>
      <c r="M134" s="2640">
        <f t="shared" si="171"/>
        <v>1</v>
      </c>
      <c r="N134" s="5199"/>
      <c r="O134" s="5200"/>
      <c r="P134" s="4387">
        <f t="shared" si="172"/>
        <v>1</v>
      </c>
      <c r="Q134" s="2640">
        <f t="shared" si="172"/>
        <v>0</v>
      </c>
      <c r="R134" s="5199"/>
      <c r="S134" s="5200"/>
      <c r="T134" s="4387">
        <f t="shared" si="173"/>
        <v>0</v>
      </c>
      <c r="U134" s="2640">
        <f t="shared" si="173"/>
        <v>0</v>
      </c>
      <c r="V134" s="5199"/>
      <c r="W134" s="5200"/>
      <c r="X134" s="4387">
        <f t="shared" si="174"/>
        <v>0</v>
      </c>
      <c r="Y134" s="4422"/>
      <c r="Z134" s="4438">
        <f t="shared" si="130"/>
        <v>353.81398178778318</v>
      </c>
      <c r="AA134" s="4453"/>
      <c r="AB134" s="4454"/>
      <c r="AC134" s="4438">
        <f t="shared" si="131"/>
        <v>427.95130456123491</v>
      </c>
      <c r="AD134" s="4438">
        <f t="shared" si="132"/>
        <v>10.737129505120588</v>
      </c>
      <c r="AE134" s="4453"/>
      <c r="AF134" s="4454"/>
      <c r="AG134" s="4438">
        <f t="shared" si="133"/>
        <v>9.2032538615319321</v>
      </c>
      <c r="AH134" s="4438">
        <f t="shared" si="134"/>
        <v>0.51129188119621849</v>
      </c>
      <c r="AI134" s="4453"/>
      <c r="AJ134" s="4454"/>
      <c r="AK134" s="4438">
        <f t="shared" si="135"/>
        <v>0.51129188119621849</v>
      </c>
      <c r="AL134" s="4438">
        <f t="shared" si="136"/>
        <v>0</v>
      </c>
      <c r="AM134" s="4453"/>
      <c r="AN134" s="4454"/>
      <c r="AO134" s="4438">
        <f t="shared" si="137"/>
        <v>0</v>
      </c>
      <c r="AP134" s="4438">
        <f t="shared" si="138"/>
        <v>0</v>
      </c>
      <c r="AQ134" s="4453"/>
      <c r="AR134" s="4454"/>
      <c r="AS134" s="4438">
        <f t="shared" si="139"/>
        <v>0</v>
      </c>
    </row>
    <row r="135" spans="1:45">
      <c r="A135" s="2515">
        <v>4</v>
      </c>
      <c r="B135" s="2516">
        <v>2030402</v>
      </c>
      <c r="C135" s="2522">
        <v>0.1</v>
      </c>
      <c r="D135" s="2552" t="s">
        <v>429</v>
      </c>
      <c r="E135" s="2640">
        <f t="shared" si="169"/>
        <v>167</v>
      </c>
      <c r="F135" s="5199"/>
      <c r="G135" s="5200"/>
      <c r="H135" s="4387">
        <f t="shared" si="170"/>
        <v>197</v>
      </c>
      <c r="I135" s="2640">
        <f t="shared" si="170"/>
        <v>3</v>
      </c>
      <c r="J135" s="5199"/>
      <c r="K135" s="5200"/>
      <c r="L135" s="4387">
        <f t="shared" si="171"/>
        <v>3</v>
      </c>
      <c r="M135" s="2640">
        <f t="shared" si="171"/>
        <v>12</v>
      </c>
      <c r="N135" s="5199"/>
      <c r="O135" s="5200"/>
      <c r="P135" s="4387">
        <f t="shared" si="172"/>
        <v>9</v>
      </c>
      <c r="Q135" s="2640">
        <f t="shared" si="172"/>
        <v>0</v>
      </c>
      <c r="R135" s="5199"/>
      <c r="S135" s="5200"/>
      <c r="T135" s="4387">
        <f t="shared" si="173"/>
        <v>0</v>
      </c>
      <c r="U135" s="2640">
        <f t="shared" si="173"/>
        <v>0</v>
      </c>
      <c r="V135" s="5199"/>
      <c r="W135" s="5200"/>
      <c r="X135" s="4387">
        <f t="shared" si="174"/>
        <v>0</v>
      </c>
      <c r="Y135" s="4422"/>
      <c r="Z135" s="4438">
        <f t="shared" si="130"/>
        <v>85.385744159768493</v>
      </c>
      <c r="AA135" s="4453"/>
      <c r="AB135" s="4454"/>
      <c r="AC135" s="4438">
        <f t="shared" si="131"/>
        <v>100.72450059565504</v>
      </c>
      <c r="AD135" s="4438">
        <f t="shared" si="132"/>
        <v>1.5338756435886556</v>
      </c>
      <c r="AE135" s="4453"/>
      <c r="AF135" s="4454"/>
      <c r="AG135" s="4438">
        <f t="shared" si="133"/>
        <v>1.5338756435886556</v>
      </c>
      <c r="AH135" s="4438">
        <f t="shared" si="134"/>
        <v>6.1355025743546223</v>
      </c>
      <c r="AI135" s="4453"/>
      <c r="AJ135" s="4454"/>
      <c r="AK135" s="4438">
        <f t="shared" si="135"/>
        <v>4.6016269307659661</v>
      </c>
      <c r="AL135" s="4438">
        <f t="shared" si="136"/>
        <v>0</v>
      </c>
      <c r="AM135" s="4453"/>
      <c r="AN135" s="4454"/>
      <c r="AO135" s="4438">
        <f t="shared" si="137"/>
        <v>0</v>
      </c>
      <c r="AP135" s="4438">
        <f t="shared" si="138"/>
        <v>0</v>
      </c>
      <c r="AQ135" s="4453"/>
      <c r="AR135" s="4454"/>
      <c r="AS135" s="4438">
        <f t="shared" si="139"/>
        <v>0</v>
      </c>
    </row>
    <row r="136" spans="1:45">
      <c r="A136" s="2515">
        <v>5</v>
      </c>
      <c r="B136" s="2516">
        <v>2030501</v>
      </c>
      <c r="C136" s="2522">
        <v>0.1</v>
      </c>
      <c r="D136" s="2552" t="s">
        <v>408</v>
      </c>
      <c r="E136" s="2640">
        <f t="shared" si="169"/>
        <v>240</v>
      </c>
      <c r="F136" s="5199"/>
      <c r="G136" s="5200"/>
      <c r="H136" s="4387">
        <f t="shared" si="170"/>
        <v>489</v>
      </c>
      <c r="I136" s="2640">
        <f t="shared" si="170"/>
        <v>145</v>
      </c>
      <c r="J136" s="5199"/>
      <c r="K136" s="5200"/>
      <c r="L136" s="4387">
        <f t="shared" si="171"/>
        <v>202</v>
      </c>
      <c r="M136" s="2640">
        <f t="shared" si="171"/>
        <v>244</v>
      </c>
      <c r="N136" s="5199"/>
      <c r="O136" s="5200"/>
      <c r="P136" s="4387">
        <f t="shared" si="172"/>
        <v>362</v>
      </c>
      <c r="Q136" s="2640">
        <f t="shared" si="172"/>
        <v>0</v>
      </c>
      <c r="R136" s="5199"/>
      <c r="S136" s="5200"/>
      <c r="T136" s="4387">
        <f t="shared" si="173"/>
        <v>0</v>
      </c>
      <c r="U136" s="2640">
        <f t="shared" si="173"/>
        <v>0</v>
      </c>
      <c r="V136" s="5199"/>
      <c r="W136" s="5200"/>
      <c r="X136" s="4387">
        <f t="shared" si="174"/>
        <v>0</v>
      </c>
      <c r="Y136" s="4422"/>
      <c r="Z136" s="4438">
        <f t="shared" si="130"/>
        <v>122.71005148709244</v>
      </c>
      <c r="AA136" s="4453"/>
      <c r="AB136" s="4454"/>
      <c r="AC136" s="4438">
        <f t="shared" si="131"/>
        <v>250.02172990495083</v>
      </c>
      <c r="AD136" s="4438">
        <f t="shared" si="132"/>
        <v>74.137322773451686</v>
      </c>
      <c r="AE136" s="4453"/>
      <c r="AF136" s="4454"/>
      <c r="AG136" s="4438">
        <f t="shared" si="133"/>
        <v>103.28096000163613</v>
      </c>
      <c r="AH136" s="4438">
        <f t="shared" si="134"/>
        <v>124.75521901187732</v>
      </c>
      <c r="AI136" s="4453"/>
      <c r="AJ136" s="4454"/>
      <c r="AK136" s="4438">
        <f t="shared" si="135"/>
        <v>185.08766099303111</v>
      </c>
      <c r="AL136" s="4438">
        <f t="shared" si="136"/>
        <v>0</v>
      </c>
      <c r="AM136" s="4453"/>
      <c r="AN136" s="4454"/>
      <c r="AO136" s="4438">
        <f t="shared" si="137"/>
        <v>0</v>
      </c>
      <c r="AP136" s="4438">
        <f t="shared" si="138"/>
        <v>0</v>
      </c>
      <c r="AQ136" s="4453"/>
      <c r="AR136" s="4454"/>
      <c r="AS136" s="4438">
        <f t="shared" si="139"/>
        <v>0</v>
      </c>
    </row>
    <row r="137" spans="1:45" ht="36">
      <c r="A137" s="2515">
        <v>6</v>
      </c>
      <c r="B137" s="2516">
        <v>2030502</v>
      </c>
      <c r="C137" s="2522">
        <v>0.1</v>
      </c>
      <c r="D137" s="2552" t="s">
        <v>695</v>
      </c>
      <c r="E137" s="2640">
        <f t="shared" si="169"/>
        <v>509</v>
      </c>
      <c r="F137" s="5199"/>
      <c r="G137" s="5200"/>
      <c r="H137" s="4387">
        <f t="shared" si="170"/>
        <v>572</v>
      </c>
      <c r="I137" s="2640">
        <f t="shared" si="170"/>
        <v>1</v>
      </c>
      <c r="J137" s="5199"/>
      <c r="K137" s="5200"/>
      <c r="L137" s="4387">
        <f t="shared" si="171"/>
        <v>1</v>
      </c>
      <c r="M137" s="2640">
        <f t="shared" si="171"/>
        <v>1</v>
      </c>
      <c r="N137" s="5199"/>
      <c r="O137" s="5200"/>
      <c r="P137" s="4387">
        <f t="shared" si="172"/>
        <v>1</v>
      </c>
      <c r="Q137" s="2640">
        <f t="shared" si="172"/>
        <v>0</v>
      </c>
      <c r="R137" s="5199"/>
      <c r="S137" s="5200"/>
      <c r="T137" s="4387">
        <f t="shared" si="173"/>
        <v>0</v>
      </c>
      <c r="U137" s="2640">
        <f t="shared" si="173"/>
        <v>0</v>
      </c>
      <c r="V137" s="5199"/>
      <c r="W137" s="5200"/>
      <c r="X137" s="4387">
        <f t="shared" si="174"/>
        <v>0</v>
      </c>
      <c r="Y137" s="4422"/>
      <c r="Z137" s="4438">
        <f t="shared" si="130"/>
        <v>260.24756752887521</v>
      </c>
      <c r="AA137" s="4453"/>
      <c r="AB137" s="4454"/>
      <c r="AC137" s="4438">
        <f t="shared" si="131"/>
        <v>292.45895604423697</v>
      </c>
      <c r="AD137" s="4438">
        <f t="shared" si="132"/>
        <v>0.51129188119621849</v>
      </c>
      <c r="AE137" s="4453"/>
      <c r="AF137" s="4454"/>
      <c r="AG137" s="4438">
        <f t="shared" si="133"/>
        <v>0.51129188119621849</v>
      </c>
      <c r="AH137" s="4438">
        <f t="shared" si="134"/>
        <v>0.51129188119621849</v>
      </c>
      <c r="AI137" s="4453"/>
      <c r="AJ137" s="4454"/>
      <c r="AK137" s="4438">
        <f t="shared" si="135"/>
        <v>0.51129188119621849</v>
      </c>
      <c r="AL137" s="4438">
        <f t="shared" si="136"/>
        <v>0</v>
      </c>
      <c r="AM137" s="4453"/>
      <c r="AN137" s="4454"/>
      <c r="AO137" s="4438">
        <f t="shared" si="137"/>
        <v>0</v>
      </c>
      <c r="AP137" s="4438">
        <f t="shared" si="138"/>
        <v>0</v>
      </c>
      <c r="AQ137" s="4453"/>
      <c r="AR137" s="4454"/>
      <c r="AS137" s="4438">
        <f t="shared" si="139"/>
        <v>0</v>
      </c>
    </row>
    <row r="138" spans="1:45">
      <c r="A138" s="2515">
        <v>7</v>
      </c>
      <c r="B138" s="2516">
        <v>2030503</v>
      </c>
      <c r="C138" s="2522">
        <v>0.1</v>
      </c>
      <c r="D138" s="2552" t="s">
        <v>713</v>
      </c>
      <c r="E138" s="2640">
        <f t="shared" si="169"/>
        <v>145</v>
      </c>
      <c r="F138" s="5199"/>
      <c r="G138" s="5200"/>
      <c r="H138" s="4387">
        <f t="shared" si="170"/>
        <v>126</v>
      </c>
      <c r="I138" s="2640">
        <f t="shared" si="170"/>
        <v>3</v>
      </c>
      <c r="J138" s="5199"/>
      <c r="K138" s="5200"/>
      <c r="L138" s="4387">
        <f t="shared" si="171"/>
        <v>2</v>
      </c>
      <c r="M138" s="2640">
        <f t="shared" si="171"/>
        <v>7</v>
      </c>
      <c r="N138" s="5199"/>
      <c r="O138" s="5200"/>
      <c r="P138" s="4387">
        <f t="shared" si="172"/>
        <v>6</v>
      </c>
      <c r="Q138" s="2640">
        <f t="shared" si="172"/>
        <v>0</v>
      </c>
      <c r="R138" s="5199"/>
      <c r="S138" s="5200"/>
      <c r="T138" s="4387">
        <f t="shared" si="173"/>
        <v>0</v>
      </c>
      <c r="U138" s="2640">
        <f t="shared" si="173"/>
        <v>0</v>
      </c>
      <c r="V138" s="5199"/>
      <c r="W138" s="5200"/>
      <c r="X138" s="4387">
        <f t="shared" si="174"/>
        <v>0</v>
      </c>
      <c r="Y138" s="4422"/>
      <c r="Z138" s="4438">
        <f t="shared" si="130"/>
        <v>74.137322773451686</v>
      </c>
      <c r="AA138" s="4453"/>
      <c r="AB138" s="4454"/>
      <c r="AC138" s="4438">
        <f t="shared" si="131"/>
        <v>64.422777030723537</v>
      </c>
      <c r="AD138" s="4438">
        <f t="shared" si="132"/>
        <v>1.5338756435886556</v>
      </c>
      <c r="AE138" s="4453"/>
      <c r="AF138" s="4454"/>
      <c r="AG138" s="4438">
        <f t="shared" si="133"/>
        <v>1.022583762392437</v>
      </c>
      <c r="AH138" s="4438">
        <f t="shared" si="134"/>
        <v>3.5790431683735293</v>
      </c>
      <c r="AI138" s="4453"/>
      <c r="AJ138" s="4454"/>
      <c r="AK138" s="4438">
        <f t="shared" si="135"/>
        <v>3.0677512871773112</v>
      </c>
      <c r="AL138" s="4438">
        <f t="shared" si="136"/>
        <v>0</v>
      </c>
      <c r="AM138" s="4453"/>
      <c r="AN138" s="4454"/>
      <c r="AO138" s="4438">
        <f t="shared" si="137"/>
        <v>0</v>
      </c>
      <c r="AP138" s="4438">
        <f t="shared" si="138"/>
        <v>0</v>
      </c>
      <c r="AQ138" s="4453"/>
      <c r="AR138" s="4454"/>
      <c r="AS138" s="4438">
        <f t="shared" si="139"/>
        <v>0</v>
      </c>
    </row>
    <row r="139" spans="1:45">
      <c r="A139" s="2515">
        <v>8</v>
      </c>
      <c r="B139" s="2516">
        <v>2040101</v>
      </c>
      <c r="C139" s="2572">
        <v>0.1</v>
      </c>
      <c r="D139" s="2546" t="s">
        <v>1016</v>
      </c>
      <c r="E139" s="2640">
        <f t="shared" si="169"/>
        <v>13</v>
      </c>
      <c r="F139" s="5199"/>
      <c r="G139" s="5200"/>
      <c r="H139" s="4387">
        <f t="shared" si="170"/>
        <v>11</v>
      </c>
      <c r="I139" s="2640">
        <f t="shared" si="170"/>
        <v>0</v>
      </c>
      <c r="J139" s="5199"/>
      <c r="K139" s="5200"/>
      <c r="L139" s="4387">
        <f t="shared" si="171"/>
        <v>0</v>
      </c>
      <c r="M139" s="2640">
        <f t="shared" si="171"/>
        <v>1</v>
      </c>
      <c r="N139" s="5199"/>
      <c r="O139" s="5200"/>
      <c r="P139" s="4387">
        <f t="shared" si="172"/>
        <v>1</v>
      </c>
      <c r="Q139" s="2640">
        <f t="shared" si="172"/>
        <v>0</v>
      </c>
      <c r="R139" s="5199"/>
      <c r="S139" s="5200"/>
      <c r="T139" s="4387">
        <f t="shared" si="173"/>
        <v>0</v>
      </c>
      <c r="U139" s="2640">
        <f t="shared" si="173"/>
        <v>0</v>
      </c>
      <c r="V139" s="5199"/>
      <c r="W139" s="5200"/>
      <c r="X139" s="4387">
        <f t="shared" si="174"/>
        <v>0</v>
      </c>
      <c r="Y139" s="4422"/>
      <c r="Z139" s="4438">
        <f t="shared" si="130"/>
        <v>6.6467944555508405</v>
      </c>
      <c r="AA139" s="4453"/>
      <c r="AB139" s="4454"/>
      <c r="AC139" s="4438">
        <f t="shared" si="131"/>
        <v>5.6242106931584033</v>
      </c>
      <c r="AD139" s="4438">
        <f t="shared" si="132"/>
        <v>0</v>
      </c>
      <c r="AE139" s="4453"/>
      <c r="AF139" s="4454"/>
      <c r="AG139" s="4438">
        <f t="shared" si="133"/>
        <v>0</v>
      </c>
      <c r="AH139" s="4438">
        <f t="shared" si="134"/>
        <v>0.51129188119621849</v>
      </c>
      <c r="AI139" s="4453"/>
      <c r="AJ139" s="4454"/>
      <c r="AK139" s="4438">
        <f t="shared" si="135"/>
        <v>0.51129188119621849</v>
      </c>
      <c r="AL139" s="4438">
        <f t="shared" si="136"/>
        <v>0</v>
      </c>
      <c r="AM139" s="4453"/>
      <c r="AN139" s="4454"/>
      <c r="AO139" s="4438">
        <f t="shared" si="137"/>
        <v>0</v>
      </c>
      <c r="AP139" s="4438">
        <f t="shared" si="138"/>
        <v>0</v>
      </c>
      <c r="AQ139" s="4453"/>
      <c r="AR139" s="4454"/>
      <c r="AS139" s="4438">
        <f t="shared" si="139"/>
        <v>0</v>
      </c>
    </row>
    <row r="140" spans="1:45">
      <c r="A140" s="2573">
        <v>9</v>
      </c>
      <c r="B140" s="2516">
        <v>2040102</v>
      </c>
      <c r="C140" s="2572">
        <v>0.04</v>
      </c>
      <c r="D140" s="2546" t="s">
        <v>432</v>
      </c>
      <c r="E140" s="2640">
        <f t="shared" si="169"/>
        <v>-2</v>
      </c>
      <c r="F140" s="5199"/>
      <c r="G140" s="5200"/>
      <c r="H140" s="4387">
        <f t="shared" si="170"/>
        <v>-3</v>
      </c>
      <c r="I140" s="2640">
        <f t="shared" si="170"/>
        <v>0</v>
      </c>
      <c r="J140" s="5199"/>
      <c r="K140" s="5200"/>
      <c r="L140" s="4387">
        <f t="shared" si="171"/>
        <v>0</v>
      </c>
      <c r="M140" s="2640">
        <f t="shared" si="171"/>
        <v>0</v>
      </c>
      <c r="N140" s="5199"/>
      <c r="O140" s="5200"/>
      <c r="P140" s="4387">
        <f t="shared" si="172"/>
        <v>0</v>
      </c>
      <c r="Q140" s="2640">
        <f t="shared" si="172"/>
        <v>0</v>
      </c>
      <c r="R140" s="5199"/>
      <c r="S140" s="5200"/>
      <c r="T140" s="4387">
        <f t="shared" si="173"/>
        <v>0</v>
      </c>
      <c r="U140" s="2640">
        <f t="shared" si="173"/>
        <v>0</v>
      </c>
      <c r="V140" s="5199"/>
      <c r="W140" s="5200"/>
      <c r="X140" s="4387">
        <f t="shared" si="174"/>
        <v>0</v>
      </c>
      <c r="Y140" s="4422"/>
      <c r="Z140" s="4438">
        <f t="shared" ref="Z140:Z203" si="175">IFERROR(E140/$D$1,0)</f>
        <v>-1.022583762392437</v>
      </c>
      <c r="AA140" s="4453"/>
      <c r="AB140" s="4454"/>
      <c r="AC140" s="4438">
        <f t="shared" ref="AC140:AC203" si="176">IFERROR(H140/$D$1,0)</f>
        <v>-1.5338756435886556</v>
      </c>
      <c r="AD140" s="4438">
        <f t="shared" ref="AD140:AD203" si="177">IFERROR(I140/$D$1,0)</f>
        <v>0</v>
      </c>
      <c r="AE140" s="4453"/>
      <c r="AF140" s="4454"/>
      <c r="AG140" s="4438">
        <f t="shared" ref="AG140:AG203" si="178">IFERROR(L140/$D$1,0)</f>
        <v>0</v>
      </c>
      <c r="AH140" s="4438">
        <f t="shared" ref="AH140:AH203" si="179">IFERROR(M140/$D$1,0)</f>
        <v>0</v>
      </c>
      <c r="AI140" s="4453"/>
      <c r="AJ140" s="4454"/>
      <c r="AK140" s="4438">
        <f t="shared" ref="AK140:AK203" si="180">IFERROR(P140/$D$1,0)</f>
        <v>0</v>
      </c>
      <c r="AL140" s="4438">
        <f t="shared" ref="AL140:AL203" si="181">IFERROR(Q140/$D$1,0)</f>
        <v>0</v>
      </c>
      <c r="AM140" s="4453"/>
      <c r="AN140" s="4454"/>
      <c r="AO140" s="4438">
        <f t="shared" ref="AO140:AO203" si="182">IFERROR(T140/$D$1,0)</f>
        <v>0</v>
      </c>
      <c r="AP140" s="4438">
        <f t="shared" ref="AP140:AP203" si="183">IFERROR(U140/$D$1,0)</f>
        <v>0</v>
      </c>
      <c r="AQ140" s="4453"/>
      <c r="AR140" s="4454"/>
      <c r="AS140" s="4438">
        <f t="shared" ref="AS140:AS203" si="184">IFERROR(X140/$D$1,0)</f>
        <v>0</v>
      </c>
    </row>
    <row r="141" spans="1:45">
      <c r="A141" s="2573">
        <v>10</v>
      </c>
      <c r="B141" s="2516">
        <v>2040201</v>
      </c>
      <c r="C141" s="2517">
        <v>0.02</v>
      </c>
      <c r="D141" s="2547" t="s">
        <v>738</v>
      </c>
      <c r="E141" s="2640">
        <f t="shared" si="169"/>
        <v>0</v>
      </c>
      <c r="F141" s="5199"/>
      <c r="G141" s="5200"/>
      <c r="H141" s="4387">
        <f t="shared" si="170"/>
        <v>0</v>
      </c>
      <c r="I141" s="2640">
        <f t="shared" si="170"/>
        <v>0</v>
      </c>
      <c r="J141" s="5199"/>
      <c r="K141" s="5200"/>
      <c r="L141" s="4387">
        <f t="shared" si="171"/>
        <v>0</v>
      </c>
      <c r="M141" s="2640">
        <f t="shared" si="171"/>
        <v>0</v>
      </c>
      <c r="N141" s="5199"/>
      <c r="O141" s="5200"/>
      <c r="P141" s="4387">
        <f t="shared" si="172"/>
        <v>0</v>
      </c>
      <c r="Q141" s="2640">
        <f t="shared" si="172"/>
        <v>0</v>
      </c>
      <c r="R141" s="5199"/>
      <c r="S141" s="5200"/>
      <c r="T141" s="4387">
        <f t="shared" si="173"/>
        <v>0</v>
      </c>
      <c r="U141" s="2640">
        <f t="shared" si="173"/>
        <v>0</v>
      </c>
      <c r="V141" s="5199"/>
      <c r="W141" s="5200"/>
      <c r="X141" s="4387">
        <f t="shared" si="174"/>
        <v>0</v>
      </c>
      <c r="Y141" s="4422"/>
      <c r="Z141" s="4438">
        <f t="shared" si="175"/>
        <v>0</v>
      </c>
      <c r="AA141" s="4453"/>
      <c r="AB141" s="4454"/>
      <c r="AC141" s="4438">
        <f t="shared" si="176"/>
        <v>0</v>
      </c>
      <c r="AD141" s="4438">
        <f t="shared" si="177"/>
        <v>0</v>
      </c>
      <c r="AE141" s="4453"/>
      <c r="AF141" s="4454"/>
      <c r="AG141" s="4438">
        <f t="shared" si="178"/>
        <v>0</v>
      </c>
      <c r="AH141" s="4438">
        <f t="shared" si="179"/>
        <v>0</v>
      </c>
      <c r="AI141" s="4453"/>
      <c r="AJ141" s="4454"/>
      <c r="AK141" s="4438">
        <f t="shared" si="180"/>
        <v>0</v>
      </c>
      <c r="AL141" s="4438">
        <f t="shared" si="181"/>
        <v>0</v>
      </c>
      <c r="AM141" s="4453"/>
      <c r="AN141" s="4454"/>
      <c r="AO141" s="4438">
        <f t="shared" si="182"/>
        <v>0</v>
      </c>
      <c r="AP141" s="4438">
        <f t="shared" si="183"/>
        <v>0</v>
      </c>
      <c r="AQ141" s="4453"/>
      <c r="AR141" s="4454"/>
      <c r="AS141" s="4438">
        <f t="shared" si="184"/>
        <v>0</v>
      </c>
    </row>
    <row r="142" spans="1:45">
      <c r="A142" s="2573">
        <v>11</v>
      </c>
      <c r="B142" s="2516">
        <v>2040202</v>
      </c>
      <c r="C142" s="2517">
        <v>0.02</v>
      </c>
      <c r="D142" s="2547" t="s">
        <v>739</v>
      </c>
      <c r="E142" s="2640">
        <f t="shared" si="169"/>
        <v>15</v>
      </c>
      <c r="F142" s="5199"/>
      <c r="G142" s="5200"/>
      <c r="H142" s="4387">
        <f t="shared" si="170"/>
        <v>54</v>
      </c>
      <c r="I142" s="2640">
        <f t="shared" si="170"/>
        <v>0</v>
      </c>
      <c r="J142" s="5199"/>
      <c r="K142" s="5200"/>
      <c r="L142" s="4387">
        <f t="shared" si="171"/>
        <v>0</v>
      </c>
      <c r="M142" s="2640">
        <f t="shared" si="171"/>
        <v>0</v>
      </c>
      <c r="N142" s="5199"/>
      <c r="O142" s="5200"/>
      <c r="P142" s="4387">
        <f t="shared" si="172"/>
        <v>0</v>
      </c>
      <c r="Q142" s="2640">
        <f t="shared" si="172"/>
        <v>0</v>
      </c>
      <c r="R142" s="5199"/>
      <c r="S142" s="5200"/>
      <c r="T142" s="4387">
        <f t="shared" si="173"/>
        <v>0</v>
      </c>
      <c r="U142" s="2640">
        <f t="shared" si="173"/>
        <v>0</v>
      </c>
      <c r="V142" s="5199"/>
      <c r="W142" s="5200"/>
      <c r="X142" s="4387">
        <f t="shared" si="174"/>
        <v>0</v>
      </c>
      <c r="Y142" s="4422"/>
      <c r="Z142" s="4438">
        <f t="shared" si="175"/>
        <v>7.6693782179432777</v>
      </c>
      <c r="AA142" s="4453"/>
      <c r="AB142" s="4454"/>
      <c r="AC142" s="4438">
        <f t="shared" si="176"/>
        <v>27.609761584595798</v>
      </c>
      <c r="AD142" s="4438">
        <f t="shared" si="177"/>
        <v>0</v>
      </c>
      <c r="AE142" s="4453"/>
      <c r="AF142" s="4454"/>
      <c r="AG142" s="4438">
        <f t="shared" si="178"/>
        <v>0</v>
      </c>
      <c r="AH142" s="4438">
        <f t="shared" si="179"/>
        <v>0</v>
      </c>
      <c r="AI142" s="4453"/>
      <c r="AJ142" s="4454"/>
      <c r="AK142" s="4438">
        <f t="shared" si="180"/>
        <v>0</v>
      </c>
      <c r="AL142" s="4438">
        <f t="shared" si="181"/>
        <v>0</v>
      </c>
      <c r="AM142" s="4453"/>
      <c r="AN142" s="4454"/>
      <c r="AO142" s="4438">
        <f t="shared" si="182"/>
        <v>0</v>
      </c>
      <c r="AP142" s="4438">
        <f t="shared" si="183"/>
        <v>0</v>
      </c>
      <c r="AQ142" s="4453"/>
      <c r="AR142" s="4454"/>
      <c r="AS142" s="4438">
        <f t="shared" si="184"/>
        <v>0</v>
      </c>
    </row>
    <row r="143" spans="1:45">
      <c r="A143" s="2573">
        <v>12</v>
      </c>
      <c r="B143" s="2516">
        <v>2040203</v>
      </c>
      <c r="C143" s="2517">
        <v>0.02</v>
      </c>
      <c r="D143" s="2547" t="s">
        <v>418</v>
      </c>
      <c r="E143" s="2640">
        <f t="shared" si="169"/>
        <v>20</v>
      </c>
      <c r="F143" s="5199"/>
      <c r="G143" s="5200"/>
      <c r="H143" s="4387">
        <f t="shared" si="170"/>
        <v>20</v>
      </c>
      <c r="I143" s="2640">
        <f t="shared" si="170"/>
        <v>0</v>
      </c>
      <c r="J143" s="5199"/>
      <c r="K143" s="5200"/>
      <c r="L143" s="4387">
        <f t="shared" si="171"/>
        <v>0</v>
      </c>
      <c r="M143" s="2640">
        <f t="shared" si="171"/>
        <v>0</v>
      </c>
      <c r="N143" s="5199"/>
      <c r="O143" s="5200"/>
      <c r="P143" s="4387">
        <f t="shared" si="172"/>
        <v>0</v>
      </c>
      <c r="Q143" s="2640">
        <f t="shared" si="172"/>
        <v>0</v>
      </c>
      <c r="R143" s="5199"/>
      <c r="S143" s="5200"/>
      <c r="T143" s="4387">
        <f t="shared" si="173"/>
        <v>0</v>
      </c>
      <c r="U143" s="2640">
        <f t="shared" si="173"/>
        <v>0</v>
      </c>
      <c r="V143" s="5199"/>
      <c r="W143" s="5200"/>
      <c r="X143" s="4387">
        <f t="shared" si="174"/>
        <v>0</v>
      </c>
      <c r="Y143" s="4422"/>
      <c r="Z143" s="4438">
        <f t="shared" si="175"/>
        <v>10.22583762392437</v>
      </c>
      <c r="AA143" s="4453"/>
      <c r="AB143" s="4454"/>
      <c r="AC143" s="4438">
        <f t="shared" si="176"/>
        <v>10.22583762392437</v>
      </c>
      <c r="AD143" s="4438">
        <f t="shared" si="177"/>
        <v>0</v>
      </c>
      <c r="AE143" s="4453"/>
      <c r="AF143" s="4454"/>
      <c r="AG143" s="4438">
        <f t="shared" si="178"/>
        <v>0</v>
      </c>
      <c r="AH143" s="4438">
        <f t="shared" si="179"/>
        <v>0</v>
      </c>
      <c r="AI143" s="4453"/>
      <c r="AJ143" s="4454"/>
      <c r="AK143" s="4438">
        <f t="shared" si="180"/>
        <v>0</v>
      </c>
      <c r="AL143" s="4438">
        <f t="shared" si="181"/>
        <v>0</v>
      </c>
      <c r="AM143" s="4453"/>
      <c r="AN143" s="4454"/>
      <c r="AO143" s="4438">
        <f t="shared" si="182"/>
        <v>0</v>
      </c>
      <c r="AP143" s="4438">
        <f t="shared" si="183"/>
        <v>0</v>
      </c>
      <c r="AQ143" s="4453"/>
      <c r="AR143" s="4454"/>
      <c r="AS143" s="4438">
        <f t="shared" si="184"/>
        <v>0</v>
      </c>
    </row>
    <row r="144" spans="1:45" ht="24">
      <c r="A144" s="2573">
        <v>13</v>
      </c>
      <c r="B144" s="2516">
        <v>2040204</v>
      </c>
      <c r="C144" s="2517">
        <v>0.02</v>
      </c>
      <c r="D144" s="2546" t="s">
        <v>419</v>
      </c>
      <c r="E144" s="2640">
        <f t="shared" si="169"/>
        <v>49</v>
      </c>
      <c r="F144" s="5199"/>
      <c r="G144" s="5200"/>
      <c r="H144" s="4387">
        <f t="shared" si="170"/>
        <v>95</v>
      </c>
      <c r="I144" s="2640">
        <f t="shared" si="170"/>
        <v>0</v>
      </c>
      <c r="J144" s="5199"/>
      <c r="K144" s="5200"/>
      <c r="L144" s="4387">
        <f t="shared" si="171"/>
        <v>0</v>
      </c>
      <c r="M144" s="2640">
        <f t="shared" si="171"/>
        <v>0</v>
      </c>
      <c r="N144" s="5199"/>
      <c r="O144" s="5200"/>
      <c r="P144" s="4387">
        <f t="shared" si="172"/>
        <v>0</v>
      </c>
      <c r="Q144" s="2640">
        <f t="shared" si="172"/>
        <v>0</v>
      </c>
      <c r="R144" s="5199"/>
      <c r="S144" s="5200"/>
      <c r="T144" s="4387">
        <f t="shared" si="173"/>
        <v>0</v>
      </c>
      <c r="U144" s="2640">
        <f t="shared" si="173"/>
        <v>0</v>
      </c>
      <c r="V144" s="5199"/>
      <c r="W144" s="5200"/>
      <c r="X144" s="4387">
        <f t="shared" si="174"/>
        <v>0</v>
      </c>
      <c r="Y144" s="4422"/>
      <c r="Z144" s="4438">
        <f t="shared" si="175"/>
        <v>25.053302178614707</v>
      </c>
      <c r="AA144" s="4453"/>
      <c r="AB144" s="4454"/>
      <c r="AC144" s="4438">
        <f t="shared" si="176"/>
        <v>48.572728713640757</v>
      </c>
      <c r="AD144" s="4438">
        <f t="shared" si="177"/>
        <v>0</v>
      </c>
      <c r="AE144" s="4453"/>
      <c r="AF144" s="4454"/>
      <c r="AG144" s="4438">
        <f t="shared" si="178"/>
        <v>0</v>
      </c>
      <c r="AH144" s="4438">
        <f t="shared" si="179"/>
        <v>0</v>
      </c>
      <c r="AI144" s="4453"/>
      <c r="AJ144" s="4454"/>
      <c r="AK144" s="4438">
        <f t="shared" si="180"/>
        <v>0</v>
      </c>
      <c r="AL144" s="4438">
        <f t="shared" si="181"/>
        <v>0</v>
      </c>
      <c r="AM144" s="4453"/>
      <c r="AN144" s="4454"/>
      <c r="AO144" s="4438">
        <f t="shared" si="182"/>
        <v>0</v>
      </c>
      <c r="AP144" s="4438">
        <f t="shared" si="183"/>
        <v>0</v>
      </c>
      <c r="AQ144" s="4453"/>
      <c r="AR144" s="4454"/>
      <c r="AS144" s="4438">
        <f t="shared" si="184"/>
        <v>0</v>
      </c>
    </row>
    <row r="145" spans="1:45">
      <c r="A145" s="2573">
        <v>14</v>
      </c>
      <c r="B145" s="2516">
        <v>2040205</v>
      </c>
      <c r="C145" s="2517">
        <v>0.02</v>
      </c>
      <c r="D145" s="2547" t="s">
        <v>420</v>
      </c>
      <c r="E145" s="2640">
        <f t="shared" si="169"/>
        <v>1936</v>
      </c>
      <c r="F145" s="5199"/>
      <c r="G145" s="5200"/>
      <c r="H145" s="4387">
        <f t="shared" si="170"/>
        <v>2475</v>
      </c>
      <c r="I145" s="2640">
        <f t="shared" si="170"/>
        <v>0</v>
      </c>
      <c r="J145" s="5199"/>
      <c r="K145" s="5200"/>
      <c r="L145" s="4387">
        <f t="shared" si="171"/>
        <v>0</v>
      </c>
      <c r="M145" s="2640">
        <f t="shared" si="171"/>
        <v>0</v>
      </c>
      <c r="N145" s="5199"/>
      <c r="O145" s="5200"/>
      <c r="P145" s="4387">
        <f t="shared" si="172"/>
        <v>0</v>
      </c>
      <c r="Q145" s="2640">
        <f t="shared" si="172"/>
        <v>0</v>
      </c>
      <c r="R145" s="5199"/>
      <c r="S145" s="5200"/>
      <c r="T145" s="4387">
        <f t="shared" si="173"/>
        <v>0</v>
      </c>
      <c r="U145" s="2640">
        <f t="shared" si="173"/>
        <v>0</v>
      </c>
      <c r="V145" s="5199"/>
      <c r="W145" s="5200"/>
      <c r="X145" s="4387">
        <f t="shared" si="174"/>
        <v>0</v>
      </c>
      <c r="Y145" s="4422"/>
      <c r="Z145" s="4438">
        <f t="shared" si="175"/>
        <v>989.86108199587898</v>
      </c>
      <c r="AA145" s="4453"/>
      <c r="AB145" s="4454"/>
      <c r="AC145" s="4438">
        <f t="shared" si="176"/>
        <v>1265.4474059606407</v>
      </c>
      <c r="AD145" s="4438">
        <f t="shared" si="177"/>
        <v>0</v>
      </c>
      <c r="AE145" s="4453"/>
      <c r="AF145" s="4454"/>
      <c r="AG145" s="4438">
        <f t="shared" si="178"/>
        <v>0</v>
      </c>
      <c r="AH145" s="4438">
        <f t="shared" si="179"/>
        <v>0</v>
      </c>
      <c r="AI145" s="4453"/>
      <c r="AJ145" s="4454"/>
      <c r="AK145" s="4438">
        <f t="shared" si="180"/>
        <v>0</v>
      </c>
      <c r="AL145" s="4438">
        <f t="shared" si="181"/>
        <v>0</v>
      </c>
      <c r="AM145" s="4453"/>
      <c r="AN145" s="4454"/>
      <c r="AO145" s="4438">
        <f t="shared" si="182"/>
        <v>0</v>
      </c>
      <c r="AP145" s="4438">
        <f t="shared" si="183"/>
        <v>0</v>
      </c>
      <c r="AQ145" s="4453"/>
      <c r="AR145" s="4454"/>
      <c r="AS145" s="4438">
        <f t="shared" si="184"/>
        <v>0</v>
      </c>
    </row>
    <row r="146" spans="1:45">
      <c r="A146" s="2573">
        <v>15</v>
      </c>
      <c r="B146" s="2516">
        <v>2040206</v>
      </c>
      <c r="C146" s="2517">
        <v>0.02</v>
      </c>
      <c r="D146" s="2552" t="s">
        <v>421</v>
      </c>
      <c r="E146" s="2640">
        <f t="shared" si="169"/>
        <v>0</v>
      </c>
      <c r="F146" s="5199"/>
      <c r="G146" s="5200"/>
      <c r="H146" s="4387">
        <f t="shared" si="170"/>
        <v>0</v>
      </c>
      <c r="I146" s="2640">
        <f t="shared" si="170"/>
        <v>39</v>
      </c>
      <c r="J146" s="5199"/>
      <c r="K146" s="5200"/>
      <c r="L146" s="4387">
        <f t="shared" si="171"/>
        <v>61</v>
      </c>
      <c r="M146" s="2640">
        <f t="shared" si="171"/>
        <v>1</v>
      </c>
      <c r="N146" s="5199"/>
      <c r="O146" s="5200"/>
      <c r="P146" s="4387">
        <f t="shared" si="172"/>
        <v>1</v>
      </c>
      <c r="Q146" s="2640">
        <f t="shared" si="172"/>
        <v>0</v>
      </c>
      <c r="R146" s="5199"/>
      <c r="S146" s="5200"/>
      <c r="T146" s="4387">
        <f t="shared" si="173"/>
        <v>0</v>
      </c>
      <c r="U146" s="2640">
        <f t="shared" si="173"/>
        <v>0</v>
      </c>
      <c r="V146" s="5199"/>
      <c r="W146" s="5200"/>
      <c r="X146" s="4387">
        <f t="shared" si="174"/>
        <v>0</v>
      </c>
      <c r="Y146" s="4422"/>
      <c r="Z146" s="4438">
        <f t="shared" si="175"/>
        <v>0</v>
      </c>
      <c r="AA146" s="4453"/>
      <c r="AB146" s="4454"/>
      <c r="AC146" s="4438">
        <f t="shared" si="176"/>
        <v>0</v>
      </c>
      <c r="AD146" s="4438">
        <f t="shared" si="177"/>
        <v>19.940383366652522</v>
      </c>
      <c r="AE146" s="4453"/>
      <c r="AF146" s="4454"/>
      <c r="AG146" s="4438">
        <f t="shared" si="178"/>
        <v>31.188804752969329</v>
      </c>
      <c r="AH146" s="4438">
        <f t="shared" si="179"/>
        <v>0.51129188119621849</v>
      </c>
      <c r="AI146" s="4453"/>
      <c r="AJ146" s="4454"/>
      <c r="AK146" s="4438">
        <f t="shared" si="180"/>
        <v>0.51129188119621849</v>
      </c>
      <c r="AL146" s="4438">
        <f t="shared" si="181"/>
        <v>0</v>
      </c>
      <c r="AM146" s="4453"/>
      <c r="AN146" s="4454"/>
      <c r="AO146" s="4438">
        <f t="shared" si="182"/>
        <v>0</v>
      </c>
      <c r="AP146" s="4438">
        <f t="shared" si="183"/>
        <v>0</v>
      </c>
      <c r="AQ146" s="4453"/>
      <c r="AR146" s="4454"/>
      <c r="AS146" s="4438">
        <f t="shared" si="184"/>
        <v>0</v>
      </c>
    </row>
    <row r="147" spans="1:45" ht="48">
      <c r="A147" s="2573">
        <v>16</v>
      </c>
      <c r="B147" s="2516">
        <v>2040207</v>
      </c>
      <c r="C147" s="2517">
        <v>0.04</v>
      </c>
      <c r="D147" s="2552" t="s">
        <v>422</v>
      </c>
      <c r="E147" s="2640">
        <f t="shared" si="169"/>
        <v>42</v>
      </c>
      <c r="F147" s="5199"/>
      <c r="G147" s="5200"/>
      <c r="H147" s="4387">
        <f t="shared" si="170"/>
        <v>48</v>
      </c>
      <c r="I147" s="2640">
        <f t="shared" si="170"/>
        <v>0</v>
      </c>
      <c r="J147" s="5199"/>
      <c r="K147" s="5200"/>
      <c r="L147" s="4387">
        <f t="shared" si="171"/>
        <v>0</v>
      </c>
      <c r="M147" s="2640">
        <f t="shared" si="171"/>
        <v>59</v>
      </c>
      <c r="N147" s="5199"/>
      <c r="O147" s="5200"/>
      <c r="P147" s="4387">
        <f t="shared" si="172"/>
        <v>92</v>
      </c>
      <c r="Q147" s="2640">
        <f t="shared" si="172"/>
        <v>0</v>
      </c>
      <c r="R147" s="5199"/>
      <c r="S147" s="5200"/>
      <c r="T147" s="4387">
        <f t="shared" si="173"/>
        <v>0</v>
      </c>
      <c r="U147" s="2640">
        <f t="shared" si="173"/>
        <v>0</v>
      </c>
      <c r="V147" s="5199"/>
      <c r="W147" s="5200"/>
      <c r="X147" s="4387">
        <f t="shared" si="174"/>
        <v>0</v>
      </c>
      <c r="Y147" s="4422"/>
      <c r="Z147" s="4438">
        <f t="shared" si="175"/>
        <v>21.474259010241177</v>
      </c>
      <c r="AA147" s="4453"/>
      <c r="AB147" s="4454"/>
      <c r="AC147" s="4438">
        <f t="shared" si="176"/>
        <v>24.542010297418489</v>
      </c>
      <c r="AD147" s="4438">
        <f t="shared" si="177"/>
        <v>0</v>
      </c>
      <c r="AE147" s="4453"/>
      <c r="AF147" s="4454"/>
      <c r="AG147" s="4438">
        <f t="shared" si="178"/>
        <v>0</v>
      </c>
      <c r="AH147" s="4438">
        <f t="shared" si="179"/>
        <v>30.166220990576893</v>
      </c>
      <c r="AI147" s="4453"/>
      <c r="AJ147" s="4454"/>
      <c r="AK147" s="4438">
        <f t="shared" si="180"/>
        <v>47.038853070052099</v>
      </c>
      <c r="AL147" s="4438">
        <f t="shared" si="181"/>
        <v>0</v>
      </c>
      <c r="AM147" s="4453"/>
      <c r="AN147" s="4454"/>
      <c r="AO147" s="4438">
        <f t="shared" si="182"/>
        <v>0</v>
      </c>
      <c r="AP147" s="4438">
        <f t="shared" si="183"/>
        <v>0</v>
      </c>
      <c r="AQ147" s="4453"/>
      <c r="AR147" s="4454"/>
      <c r="AS147" s="4438">
        <f t="shared" si="184"/>
        <v>0</v>
      </c>
    </row>
    <row r="148" spans="1:45">
      <c r="A148" s="2573">
        <v>17</v>
      </c>
      <c r="B148" s="2516">
        <v>2040208</v>
      </c>
      <c r="C148" s="2517">
        <v>0.04</v>
      </c>
      <c r="D148" s="2552" t="s">
        <v>423</v>
      </c>
      <c r="E148" s="2640">
        <f t="shared" si="169"/>
        <v>3</v>
      </c>
      <c r="F148" s="5199"/>
      <c r="G148" s="5200"/>
      <c r="H148" s="4387">
        <f t="shared" ref="H148:I150" si="185">H108-H128</f>
        <v>3</v>
      </c>
      <c r="I148" s="2640">
        <f t="shared" si="185"/>
        <v>0</v>
      </c>
      <c r="J148" s="5199"/>
      <c r="K148" s="5200"/>
      <c r="L148" s="4387">
        <f t="shared" ref="L148:M150" si="186">L108-L128</f>
        <v>0</v>
      </c>
      <c r="M148" s="2640">
        <f t="shared" si="186"/>
        <v>0</v>
      </c>
      <c r="N148" s="5199"/>
      <c r="O148" s="5200"/>
      <c r="P148" s="4387">
        <f t="shared" ref="P148:Q150" si="187">P108-P128</f>
        <v>0</v>
      </c>
      <c r="Q148" s="2640">
        <f t="shared" si="187"/>
        <v>0</v>
      </c>
      <c r="R148" s="5199"/>
      <c r="S148" s="5200"/>
      <c r="T148" s="4387">
        <f t="shared" ref="T148:U150" si="188">T108-T128</f>
        <v>0</v>
      </c>
      <c r="U148" s="2640">
        <f t="shared" si="188"/>
        <v>0</v>
      </c>
      <c r="V148" s="5199"/>
      <c r="W148" s="5200"/>
      <c r="X148" s="4387">
        <f t="shared" si="174"/>
        <v>0</v>
      </c>
      <c r="Y148" s="4422"/>
      <c r="Z148" s="4438">
        <f t="shared" si="175"/>
        <v>1.5338756435886556</v>
      </c>
      <c r="AA148" s="4453"/>
      <c r="AB148" s="4454"/>
      <c r="AC148" s="4438">
        <f t="shared" si="176"/>
        <v>1.5338756435886556</v>
      </c>
      <c r="AD148" s="4438">
        <f t="shared" si="177"/>
        <v>0</v>
      </c>
      <c r="AE148" s="4453"/>
      <c r="AF148" s="4454"/>
      <c r="AG148" s="4438">
        <f t="shared" si="178"/>
        <v>0</v>
      </c>
      <c r="AH148" s="4438">
        <f t="shared" si="179"/>
        <v>0</v>
      </c>
      <c r="AI148" s="4453"/>
      <c r="AJ148" s="4454"/>
      <c r="AK148" s="4438">
        <f t="shared" si="180"/>
        <v>0</v>
      </c>
      <c r="AL148" s="4438">
        <f t="shared" si="181"/>
        <v>0</v>
      </c>
      <c r="AM148" s="4453"/>
      <c r="AN148" s="4454"/>
      <c r="AO148" s="4438">
        <f t="shared" si="182"/>
        <v>0</v>
      </c>
      <c r="AP148" s="4438">
        <f t="shared" si="183"/>
        <v>0</v>
      </c>
      <c r="AQ148" s="4453"/>
      <c r="AR148" s="4454"/>
      <c r="AS148" s="4438">
        <f t="shared" si="184"/>
        <v>0</v>
      </c>
    </row>
    <row r="149" spans="1:45">
      <c r="A149" s="2573">
        <v>18</v>
      </c>
      <c r="B149" s="2574" t="s">
        <v>1051</v>
      </c>
      <c r="C149" s="2517">
        <v>0.04</v>
      </c>
      <c r="D149" s="2571" t="s">
        <v>434</v>
      </c>
      <c r="E149" s="2640">
        <f t="shared" si="169"/>
        <v>18</v>
      </c>
      <c r="F149" s="5199"/>
      <c r="G149" s="5200"/>
      <c r="H149" s="4387">
        <f t="shared" si="185"/>
        <v>17</v>
      </c>
      <c r="I149" s="2640">
        <f t="shared" si="185"/>
        <v>0</v>
      </c>
      <c r="J149" s="5199"/>
      <c r="K149" s="5200"/>
      <c r="L149" s="4387">
        <f t="shared" si="186"/>
        <v>0</v>
      </c>
      <c r="M149" s="2640">
        <f t="shared" si="186"/>
        <v>0</v>
      </c>
      <c r="N149" s="5199"/>
      <c r="O149" s="5200"/>
      <c r="P149" s="4387">
        <f t="shared" si="187"/>
        <v>12</v>
      </c>
      <c r="Q149" s="2640">
        <f t="shared" si="187"/>
        <v>0</v>
      </c>
      <c r="R149" s="5199"/>
      <c r="S149" s="5200"/>
      <c r="T149" s="4387">
        <f t="shared" si="188"/>
        <v>0</v>
      </c>
      <c r="U149" s="2640">
        <f t="shared" si="188"/>
        <v>0</v>
      </c>
      <c r="V149" s="5199"/>
      <c r="W149" s="5200"/>
      <c r="X149" s="4387">
        <f t="shared" si="174"/>
        <v>0</v>
      </c>
      <c r="Y149" s="4422"/>
      <c r="Z149" s="4438">
        <f t="shared" si="175"/>
        <v>9.2032538615319321</v>
      </c>
      <c r="AA149" s="4453"/>
      <c r="AB149" s="4454"/>
      <c r="AC149" s="4438">
        <f t="shared" si="176"/>
        <v>8.691961980335714</v>
      </c>
      <c r="AD149" s="4438">
        <f t="shared" si="177"/>
        <v>0</v>
      </c>
      <c r="AE149" s="4453"/>
      <c r="AF149" s="4454"/>
      <c r="AG149" s="4438">
        <f t="shared" si="178"/>
        <v>0</v>
      </c>
      <c r="AH149" s="4438">
        <f t="shared" si="179"/>
        <v>0</v>
      </c>
      <c r="AI149" s="4453"/>
      <c r="AJ149" s="4454"/>
      <c r="AK149" s="4438">
        <f t="shared" si="180"/>
        <v>6.1355025743546223</v>
      </c>
      <c r="AL149" s="4438">
        <f t="shared" si="181"/>
        <v>0</v>
      </c>
      <c r="AM149" s="4453"/>
      <c r="AN149" s="4454"/>
      <c r="AO149" s="4438">
        <f t="shared" si="182"/>
        <v>0</v>
      </c>
      <c r="AP149" s="4438">
        <f t="shared" si="183"/>
        <v>0</v>
      </c>
      <c r="AQ149" s="4453"/>
      <c r="AR149" s="4454"/>
      <c r="AS149" s="4438">
        <f t="shared" si="184"/>
        <v>0</v>
      </c>
    </row>
    <row r="150" spans="1:45" ht="48.75" thickBot="1">
      <c r="A150" s="2573">
        <v>19</v>
      </c>
      <c r="B150" s="2516">
        <v>215</v>
      </c>
      <c r="C150" s="2522">
        <v>0.2</v>
      </c>
      <c r="D150" s="2552" t="s">
        <v>679</v>
      </c>
      <c r="E150" s="2640">
        <f t="shared" si="169"/>
        <v>0</v>
      </c>
      <c r="F150" s="5201"/>
      <c r="G150" s="5202"/>
      <c r="H150" s="4387">
        <f t="shared" si="185"/>
        <v>0</v>
      </c>
      <c r="I150" s="2640">
        <f t="shared" si="185"/>
        <v>0</v>
      </c>
      <c r="J150" s="5201"/>
      <c r="K150" s="5202"/>
      <c r="L150" s="4387">
        <f t="shared" si="186"/>
        <v>0</v>
      </c>
      <c r="M150" s="2640">
        <f t="shared" si="186"/>
        <v>0</v>
      </c>
      <c r="N150" s="5201"/>
      <c r="O150" s="5202"/>
      <c r="P150" s="4387">
        <f t="shared" si="187"/>
        <v>0</v>
      </c>
      <c r="Q150" s="2640">
        <f t="shared" si="187"/>
        <v>0</v>
      </c>
      <c r="R150" s="5201"/>
      <c r="S150" s="5202"/>
      <c r="T150" s="4387">
        <f t="shared" si="188"/>
        <v>0</v>
      </c>
      <c r="U150" s="2640">
        <f t="shared" si="188"/>
        <v>0</v>
      </c>
      <c r="V150" s="5201"/>
      <c r="W150" s="5202"/>
      <c r="X150" s="4387">
        <f t="shared" si="174"/>
        <v>0</v>
      </c>
      <c r="Y150" s="4422"/>
      <c r="Z150" s="4438">
        <f t="shared" si="175"/>
        <v>0</v>
      </c>
      <c r="AA150" s="4448"/>
      <c r="AB150" s="4449"/>
      <c r="AC150" s="4438">
        <f t="shared" si="176"/>
        <v>0</v>
      </c>
      <c r="AD150" s="4438">
        <f t="shared" si="177"/>
        <v>0</v>
      </c>
      <c r="AE150" s="4448"/>
      <c r="AF150" s="4449"/>
      <c r="AG150" s="4438">
        <f t="shared" si="178"/>
        <v>0</v>
      </c>
      <c r="AH150" s="4438">
        <f t="shared" si="179"/>
        <v>0</v>
      </c>
      <c r="AI150" s="4448"/>
      <c r="AJ150" s="4449"/>
      <c r="AK150" s="4438">
        <f t="shared" si="180"/>
        <v>0</v>
      </c>
      <c r="AL150" s="4438">
        <f t="shared" si="181"/>
        <v>0</v>
      </c>
      <c r="AM150" s="4448"/>
      <c r="AN150" s="4449"/>
      <c r="AO150" s="4438">
        <f t="shared" si="182"/>
        <v>0</v>
      </c>
      <c r="AP150" s="4438">
        <f t="shared" si="183"/>
        <v>0</v>
      </c>
      <c r="AQ150" s="4448"/>
      <c r="AR150" s="4449"/>
      <c r="AS150" s="4438">
        <f t="shared" si="184"/>
        <v>0</v>
      </c>
    </row>
    <row r="151" spans="1:45" ht="13.5" thickBot="1">
      <c r="A151" s="5208" t="s">
        <v>1794</v>
      </c>
      <c r="B151" s="5209"/>
      <c r="C151" s="5209"/>
      <c r="D151" s="5209"/>
      <c r="E151" s="5210"/>
      <c r="F151" s="4063">
        <f>SUM(F92:F110,F12:F13,F15:F19,F21:F29,F32,F33:F35,F38:F39)</f>
        <v>0</v>
      </c>
      <c r="G151" s="5203"/>
      <c r="H151" s="5204"/>
      <c r="I151"/>
      <c r="J151" s="4063">
        <f>SUM(J92:J110,J12:J13,J15:J19,J21:J29,J32,J33:J35,J38:J39)</f>
        <v>0</v>
      </c>
      <c r="K151" s="5203"/>
      <c r="L151" s="5204"/>
      <c r="M151"/>
      <c r="N151" s="4063">
        <f>SUM(N92:N110,N12:N13,N15:N19,N21:N29,N32,N33:N35,N38:N39)</f>
        <v>0</v>
      </c>
      <c r="O151" s="5203"/>
      <c r="P151" s="5204"/>
      <c r="Q151"/>
      <c r="R151" s="4063">
        <f>SUM(R92:R110,R12:R13,R15:R19,R21:R29,R32,R33:R35,R38:R39)</f>
        <v>0</v>
      </c>
      <c r="S151" s="5203"/>
      <c r="T151" s="5204"/>
      <c r="U151"/>
      <c r="V151" s="4063">
        <f>SUM(V92:V110,V12:V13,V15:V19,V21:V29,V32,V33:V35,V38:V39)</f>
        <v>0</v>
      </c>
      <c r="W151" s="5203"/>
      <c r="X151" s="5204"/>
      <c r="Y151" s="4422"/>
      <c r="Z151" s="4506"/>
      <c r="AA151" s="4444">
        <f>IFERROR(F151/$D$1,0)</f>
        <v>0</v>
      </c>
      <c r="AB151" s="4506"/>
      <c r="AC151" s="4506"/>
      <c r="AD151" s="4506"/>
      <c r="AE151" s="4444">
        <f>IFERROR(J151/$D$1,0)</f>
        <v>0</v>
      </c>
      <c r="AF151" s="4506"/>
      <c r="AG151" s="4506"/>
      <c r="AH151" s="4506"/>
      <c r="AI151" s="4444">
        <f>IFERROR(N151/$D$1,0)</f>
        <v>0</v>
      </c>
      <c r="AJ151" s="4506"/>
      <c r="AK151" s="4506"/>
      <c r="AL151" s="4506"/>
      <c r="AM151" s="4444">
        <f>IFERROR(R151/$D$1,0)</f>
        <v>0</v>
      </c>
      <c r="AN151" s="4506"/>
      <c r="AO151" s="4506"/>
      <c r="AP151" s="4506"/>
      <c r="AQ151" s="4444">
        <f>IFERROR(V151/$D$1,0)</f>
        <v>0</v>
      </c>
      <c r="AR151" s="4506"/>
      <c r="AS151" s="4506"/>
    </row>
    <row r="152" spans="1:45" ht="13.5" customHeight="1" thickBot="1">
      <c r="A152" s="2568" t="s">
        <v>424</v>
      </c>
      <c r="B152" s="5189" t="s">
        <v>645</v>
      </c>
      <c r="C152" s="5190"/>
      <c r="D152" s="5190"/>
      <c r="E152" s="5190"/>
      <c r="F152" s="5190"/>
      <c r="G152" s="5190"/>
      <c r="H152" s="5190"/>
      <c r="I152" s="5190"/>
      <c r="J152" s="5190"/>
      <c r="K152" s="5190"/>
      <c r="L152" s="5190"/>
      <c r="M152" s="5190"/>
      <c r="N152" s="5190"/>
      <c r="O152" s="5190"/>
      <c r="P152" s="5190"/>
      <c r="Q152" s="5190"/>
      <c r="R152" s="5190"/>
      <c r="S152" s="5190"/>
      <c r="T152" s="5190"/>
      <c r="U152" s="5190"/>
      <c r="V152" s="5190"/>
      <c r="W152" s="5190"/>
      <c r="X152" s="5191"/>
      <c r="Y152" s="4422"/>
      <c r="Z152" s="4507"/>
      <c r="AA152" s="4507"/>
      <c r="AB152" s="4507"/>
      <c r="AC152" s="4507"/>
      <c r="AD152" s="4507"/>
      <c r="AE152" s="4507"/>
      <c r="AF152" s="4507"/>
      <c r="AG152" s="4507"/>
      <c r="AH152" s="4507"/>
      <c r="AI152" s="4507"/>
      <c r="AJ152" s="4507"/>
      <c r="AK152" s="4507"/>
      <c r="AL152" s="4507"/>
      <c r="AM152" s="4507"/>
      <c r="AN152" s="4507"/>
      <c r="AO152" s="4507"/>
      <c r="AP152" s="4507"/>
      <c r="AQ152" s="4507"/>
      <c r="AR152" s="4507"/>
      <c r="AS152" s="4507"/>
    </row>
    <row r="153" spans="1:45" ht="13.5" thickBot="1">
      <c r="A153" s="2501" t="s">
        <v>205</v>
      </c>
      <c r="B153" s="5192" t="s">
        <v>334</v>
      </c>
      <c r="C153" s="5193"/>
      <c r="D153" s="5194"/>
      <c r="E153" s="1220">
        <f t="shared" ref="E153:X153" si="189">SUM(E154:E174)</f>
        <v>91674</v>
      </c>
      <c r="F153" s="1220">
        <f t="shared" si="189"/>
        <v>5156</v>
      </c>
      <c r="G153" s="1220">
        <f t="shared" si="189"/>
        <v>0</v>
      </c>
      <c r="H153" s="1220">
        <f t="shared" si="189"/>
        <v>96830</v>
      </c>
      <c r="I153" s="1220">
        <f t="shared" si="189"/>
        <v>98840</v>
      </c>
      <c r="J153" s="1220">
        <f t="shared" si="189"/>
        <v>0</v>
      </c>
      <c r="K153" s="1220">
        <f t="shared" si="189"/>
        <v>0</v>
      </c>
      <c r="L153" s="1220">
        <f t="shared" si="189"/>
        <v>98840</v>
      </c>
      <c r="M153" s="1220">
        <f t="shared" si="189"/>
        <v>72316</v>
      </c>
      <c r="N153" s="1220">
        <f t="shared" si="189"/>
        <v>0</v>
      </c>
      <c r="O153" s="1220">
        <f t="shared" si="189"/>
        <v>0</v>
      </c>
      <c r="P153" s="1220">
        <f t="shared" si="189"/>
        <v>72316</v>
      </c>
      <c r="Q153" s="1220">
        <f t="shared" si="189"/>
        <v>0</v>
      </c>
      <c r="R153" s="1220">
        <f t="shared" si="189"/>
        <v>0</v>
      </c>
      <c r="S153" s="1220">
        <f t="shared" si="189"/>
        <v>0</v>
      </c>
      <c r="T153" s="1220">
        <f t="shared" si="189"/>
        <v>0</v>
      </c>
      <c r="U153" s="1220">
        <f t="shared" si="189"/>
        <v>0</v>
      </c>
      <c r="V153" s="1220">
        <f t="shared" si="189"/>
        <v>0</v>
      </c>
      <c r="W153" s="1220">
        <f t="shared" si="189"/>
        <v>0</v>
      </c>
      <c r="X153" s="1084">
        <f t="shared" si="189"/>
        <v>0</v>
      </c>
      <c r="Y153" s="4422"/>
      <c r="Z153" s="4438">
        <f t="shared" si="175"/>
        <v>46872.171916782136</v>
      </c>
      <c r="AA153" s="4438">
        <f t="shared" ref="AA153:AA197" si="190">IFERROR(F153/$D$1,0)</f>
        <v>2636.2209394477027</v>
      </c>
      <c r="AB153" s="4438">
        <f t="shared" ref="AB153:AB197" si="191">IFERROR(G153/$D$1,0)</f>
        <v>0</v>
      </c>
      <c r="AC153" s="4438">
        <f t="shared" si="176"/>
        <v>49508.392856229839</v>
      </c>
      <c r="AD153" s="4438">
        <f t="shared" si="177"/>
        <v>50536.089537434236</v>
      </c>
      <c r="AE153" s="4438">
        <f t="shared" ref="AE153:AE197" si="192">IFERROR(J153/$D$1,0)</f>
        <v>0</v>
      </c>
      <c r="AF153" s="4438">
        <f t="shared" ref="AF153:AF197" si="193">IFERROR(K153/$D$1,0)</f>
        <v>0</v>
      </c>
      <c r="AG153" s="4438">
        <f t="shared" si="178"/>
        <v>50536.089537434236</v>
      </c>
      <c r="AH153" s="4438">
        <f t="shared" si="179"/>
        <v>36974.58368058574</v>
      </c>
      <c r="AI153" s="4438">
        <f t="shared" ref="AI153:AI197" si="194">IFERROR(N153/$D$1,0)</f>
        <v>0</v>
      </c>
      <c r="AJ153" s="4438">
        <f t="shared" ref="AJ153:AJ197" si="195">IFERROR(O153/$D$1,0)</f>
        <v>0</v>
      </c>
      <c r="AK153" s="4438">
        <f t="shared" si="180"/>
        <v>36974.58368058574</v>
      </c>
      <c r="AL153" s="4438">
        <f t="shared" si="181"/>
        <v>0</v>
      </c>
      <c r="AM153" s="4438">
        <f t="shared" ref="AM153:AM197" si="196">IFERROR(R153/$D$1,0)</f>
        <v>0</v>
      </c>
      <c r="AN153" s="4438">
        <f t="shared" ref="AN153:AN197" si="197">IFERROR(S153/$D$1,0)</f>
        <v>0</v>
      </c>
      <c r="AO153" s="4438">
        <f t="shared" si="182"/>
        <v>0</v>
      </c>
      <c r="AP153" s="4438">
        <f t="shared" si="183"/>
        <v>0</v>
      </c>
      <c r="AQ153" s="4438">
        <f t="shared" ref="AQ153:AQ197" si="198">IFERROR(V153/$D$1,0)</f>
        <v>0</v>
      </c>
      <c r="AR153" s="4438">
        <f t="shared" ref="AR153:AR197" si="199">IFERROR(W153/$D$1,0)</f>
        <v>0</v>
      </c>
      <c r="AS153" s="4438">
        <f t="shared" si="184"/>
        <v>0</v>
      </c>
    </row>
    <row r="154" spans="1:45">
      <c r="A154" s="2515">
        <v>1</v>
      </c>
      <c r="B154" s="2576" t="s">
        <v>696</v>
      </c>
      <c r="C154" s="2533">
        <v>0</v>
      </c>
      <c r="D154" s="2563" t="s">
        <v>558</v>
      </c>
      <c r="E154" s="4645">
        <v>167</v>
      </c>
      <c r="F154" s="4636"/>
      <c r="G154" s="400"/>
      <c r="H154" s="4387">
        <f t="shared" ref="H154:H196" si="200">+E154+F154-G154</f>
        <v>167</v>
      </c>
      <c r="I154" s="4645">
        <v>7</v>
      </c>
      <c r="J154" s="400"/>
      <c r="K154" s="400"/>
      <c r="L154" s="4387">
        <f t="shared" ref="L154:L174" si="201">+I154+J154-K154</f>
        <v>7</v>
      </c>
      <c r="M154" s="4645">
        <v>0</v>
      </c>
      <c r="N154" s="400"/>
      <c r="O154" s="400"/>
      <c r="P154" s="4387">
        <f t="shared" ref="P154:P174" si="202">+M154+N154-O154</f>
        <v>0</v>
      </c>
      <c r="Q154" s="400"/>
      <c r="R154" s="400"/>
      <c r="S154" s="400"/>
      <c r="T154" s="4387">
        <f t="shared" ref="T154:T174" si="203">+Q154+R154-S154</f>
        <v>0</v>
      </c>
      <c r="U154" s="400"/>
      <c r="V154" s="400"/>
      <c r="W154" s="400"/>
      <c r="X154" s="4387">
        <f t="shared" ref="X154:X174" si="204">+U154+V154-W154</f>
        <v>0</v>
      </c>
      <c r="Y154" s="4422"/>
      <c r="Z154" s="4438">
        <f t="shared" si="175"/>
        <v>85.385744159768493</v>
      </c>
      <c r="AA154" s="4438">
        <f t="shared" si="190"/>
        <v>0</v>
      </c>
      <c r="AB154" s="4438">
        <f t="shared" si="191"/>
        <v>0</v>
      </c>
      <c r="AC154" s="4438">
        <f t="shared" si="176"/>
        <v>85.385744159768493</v>
      </c>
      <c r="AD154" s="4438">
        <f t="shared" si="177"/>
        <v>3.5790431683735293</v>
      </c>
      <c r="AE154" s="4438">
        <f t="shared" si="192"/>
        <v>0</v>
      </c>
      <c r="AF154" s="4438">
        <f t="shared" si="193"/>
        <v>0</v>
      </c>
      <c r="AG154" s="4438">
        <f t="shared" si="178"/>
        <v>3.5790431683735293</v>
      </c>
      <c r="AH154" s="4438">
        <f t="shared" si="179"/>
        <v>0</v>
      </c>
      <c r="AI154" s="4438">
        <f t="shared" si="194"/>
        <v>0</v>
      </c>
      <c r="AJ154" s="4438">
        <f t="shared" si="195"/>
        <v>0</v>
      </c>
      <c r="AK154" s="4438">
        <f t="shared" si="180"/>
        <v>0</v>
      </c>
      <c r="AL154" s="4438">
        <f t="shared" si="181"/>
        <v>0</v>
      </c>
      <c r="AM154" s="4438">
        <f t="shared" si="196"/>
        <v>0</v>
      </c>
      <c r="AN154" s="4438">
        <f t="shared" si="197"/>
        <v>0</v>
      </c>
      <c r="AO154" s="4438">
        <f t="shared" si="182"/>
        <v>0</v>
      </c>
      <c r="AP154" s="4438">
        <f t="shared" si="183"/>
        <v>0</v>
      </c>
      <c r="AQ154" s="4438">
        <f t="shared" si="198"/>
        <v>0</v>
      </c>
      <c r="AR154" s="4438">
        <f t="shared" si="199"/>
        <v>0</v>
      </c>
      <c r="AS154" s="4438">
        <f t="shared" si="184"/>
        <v>0</v>
      </c>
    </row>
    <row r="155" spans="1:45">
      <c r="A155" s="2515">
        <v>2</v>
      </c>
      <c r="B155" s="2516" t="s">
        <v>697</v>
      </c>
      <c r="C155" s="2517">
        <v>0.03</v>
      </c>
      <c r="D155" s="2571" t="s">
        <v>426</v>
      </c>
      <c r="E155" s="4645">
        <v>2999</v>
      </c>
      <c r="F155" s="4636"/>
      <c r="G155" s="400"/>
      <c r="H155" s="4387">
        <f t="shared" si="200"/>
        <v>2999</v>
      </c>
      <c r="I155" s="4645">
        <v>0</v>
      </c>
      <c r="J155" s="400"/>
      <c r="K155" s="400"/>
      <c r="L155" s="4387">
        <f t="shared" si="201"/>
        <v>0</v>
      </c>
      <c r="M155" s="4645">
        <v>11694</v>
      </c>
      <c r="N155" s="400"/>
      <c r="O155" s="400"/>
      <c r="P155" s="4387">
        <f t="shared" si="202"/>
        <v>11694</v>
      </c>
      <c r="Q155" s="400"/>
      <c r="R155" s="400"/>
      <c r="S155" s="400"/>
      <c r="T155" s="4387">
        <f t="shared" si="203"/>
        <v>0</v>
      </c>
      <c r="U155" s="400"/>
      <c r="V155" s="400"/>
      <c r="W155" s="400"/>
      <c r="X155" s="4387">
        <f t="shared" si="204"/>
        <v>0</v>
      </c>
      <c r="Y155" s="4422"/>
      <c r="Z155" s="4438">
        <f t="shared" si="175"/>
        <v>1533.3643517074593</v>
      </c>
      <c r="AA155" s="4438">
        <f t="shared" si="190"/>
        <v>0</v>
      </c>
      <c r="AB155" s="4438">
        <f t="shared" si="191"/>
        <v>0</v>
      </c>
      <c r="AC155" s="4438">
        <f t="shared" si="176"/>
        <v>1533.3643517074593</v>
      </c>
      <c r="AD155" s="4438">
        <f t="shared" si="177"/>
        <v>0</v>
      </c>
      <c r="AE155" s="4438">
        <f t="shared" si="192"/>
        <v>0</v>
      </c>
      <c r="AF155" s="4438">
        <f t="shared" si="193"/>
        <v>0</v>
      </c>
      <c r="AG155" s="4438">
        <f t="shared" si="178"/>
        <v>0</v>
      </c>
      <c r="AH155" s="4438">
        <f t="shared" si="179"/>
        <v>5979.0472587085787</v>
      </c>
      <c r="AI155" s="4438">
        <f t="shared" si="194"/>
        <v>0</v>
      </c>
      <c r="AJ155" s="4438">
        <f t="shared" si="195"/>
        <v>0</v>
      </c>
      <c r="AK155" s="4438">
        <f t="shared" si="180"/>
        <v>5979.0472587085787</v>
      </c>
      <c r="AL155" s="4438">
        <f t="shared" si="181"/>
        <v>0</v>
      </c>
      <c r="AM155" s="4438">
        <f t="shared" si="196"/>
        <v>0</v>
      </c>
      <c r="AN155" s="4438">
        <f t="shared" si="197"/>
        <v>0</v>
      </c>
      <c r="AO155" s="4438">
        <f t="shared" si="182"/>
        <v>0</v>
      </c>
      <c r="AP155" s="4438">
        <f t="shared" si="183"/>
        <v>0</v>
      </c>
      <c r="AQ155" s="4438">
        <f t="shared" si="198"/>
        <v>0</v>
      </c>
      <c r="AR155" s="4438">
        <f t="shared" si="199"/>
        <v>0</v>
      </c>
      <c r="AS155" s="4438">
        <f t="shared" si="184"/>
        <v>0</v>
      </c>
    </row>
    <row r="156" spans="1:45">
      <c r="A156" s="2515">
        <v>3</v>
      </c>
      <c r="B156" s="2516">
        <v>911301</v>
      </c>
      <c r="C156" s="2517">
        <v>0.1</v>
      </c>
      <c r="D156" s="2571" t="s">
        <v>427</v>
      </c>
      <c r="E156" s="4645">
        <v>3429</v>
      </c>
      <c r="F156" s="4636"/>
      <c r="G156" s="400"/>
      <c r="H156" s="4387">
        <f t="shared" si="200"/>
        <v>3429</v>
      </c>
      <c r="I156" s="4645">
        <v>0</v>
      </c>
      <c r="J156" s="400"/>
      <c r="K156" s="400"/>
      <c r="L156" s="4387">
        <f t="shared" si="201"/>
        <v>0</v>
      </c>
      <c r="M156" s="4645">
        <v>6</v>
      </c>
      <c r="N156" s="400"/>
      <c r="O156" s="400"/>
      <c r="P156" s="4387">
        <f t="shared" si="202"/>
        <v>6</v>
      </c>
      <c r="Q156" s="400"/>
      <c r="R156" s="400"/>
      <c r="S156" s="400"/>
      <c r="T156" s="4387">
        <f t="shared" si="203"/>
        <v>0</v>
      </c>
      <c r="U156" s="400"/>
      <c r="V156" s="400"/>
      <c r="W156" s="400"/>
      <c r="X156" s="4387">
        <f t="shared" si="204"/>
        <v>0</v>
      </c>
      <c r="Y156" s="4422"/>
      <c r="Z156" s="4438">
        <f t="shared" si="175"/>
        <v>1753.2198606218333</v>
      </c>
      <c r="AA156" s="4438">
        <f t="shared" si="190"/>
        <v>0</v>
      </c>
      <c r="AB156" s="4438">
        <f t="shared" si="191"/>
        <v>0</v>
      </c>
      <c r="AC156" s="4438">
        <f t="shared" si="176"/>
        <v>1753.2198606218333</v>
      </c>
      <c r="AD156" s="4438">
        <f t="shared" si="177"/>
        <v>0</v>
      </c>
      <c r="AE156" s="4438">
        <f t="shared" si="192"/>
        <v>0</v>
      </c>
      <c r="AF156" s="4438">
        <f t="shared" si="193"/>
        <v>0</v>
      </c>
      <c r="AG156" s="4438">
        <f t="shared" si="178"/>
        <v>0</v>
      </c>
      <c r="AH156" s="4438">
        <f t="shared" si="179"/>
        <v>3.0677512871773112</v>
      </c>
      <c r="AI156" s="4438">
        <f t="shared" si="194"/>
        <v>0</v>
      </c>
      <c r="AJ156" s="4438">
        <f t="shared" si="195"/>
        <v>0</v>
      </c>
      <c r="AK156" s="4438">
        <f t="shared" si="180"/>
        <v>3.0677512871773112</v>
      </c>
      <c r="AL156" s="4438">
        <f t="shared" si="181"/>
        <v>0</v>
      </c>
      <c r="AM156" s="4438">
        <f t="shared" si="196"/>
        <v>0</v>
      </c>
      <c r="AN156" s="4438">
        <f t="shared" si="197"/>
        <v>0</v>
      </c>
      <c r="AO156" s="4438">
        <f t="shared" si="182"/>
        <v>0</v>
      </c>
      <c r="AP156" s="4438">
        <f t="shared" si="183"/>
        <v>0</v>
      </c>
      <c r="AQ156" s="4438">
        <f t="shared" si="198"/>
        <v>0</v>
      </c>
      <c r="AR156" s="4438">
        <f t="shared" si="199"/>
        <v>0</v>
      </c>
      <c r="AS156" s="4438">
        <f t="shared" si="184"/>
        <v>0</v>
      </c>
    </row>
    <row r="157" spans="1:45">
      <c r="A157" s="2515">
        <v>4</v>
      </c>
      <c r="B157" s="2516">
        <v>911302</v>
      </c>
      <c r="C157" s="2517">
        <v>0.1</v>
      </c>
      <c r="D157" s="2571" t="s">
        <v>428</v>
      </c>
      <c r="E157" s="4645">
        <v>306</v>
      </c>
      <c r="F157" s="4636"/>
      <c r="G157" s="400"/>
      <c r="H157" s="4387">
        <f t="shared" si="200"/>
        <v>306</v>
      </c>
      <c r="I157" s="4645">
        <v>0</v>
      </c>
      <c r="J157" s="400"/>
      <c r="K157" s="400"/>
      <c r="L157" s="4387">
        <f t="shared" si="201"/>
        <v>0</v>
      </c>
      <c r="M157" s="4645">
        <v>0</v>
      </c>
      <c r="N157" s="400"/>
      <c r="O157" s="400"/>
      <c r="P157" s="4387">
        <f t="shared" si="202"/>
        <v>0</v>
      </c>
      <c r="Q157" s="400"/>
      <c r="R157" s="400"/>
      <c r="S157" s="400"/>
      <c r="T157" s="4387">
        <f t="shared" si="203"/>
        <v>0</v>
      </c>
      <c r="U157" s="400"/>
      <c r="V157" s="400"/>
      <c r="W157" s="400"/>
      <c r="X157" s="4387">
        <f t="shared" si="204"/>
        <v>0</v>
      </c>
      <c r="Y157" s="4422"/>
      <c r="Z157" s="4438">
        <f t="shared" si="175"/>
        <v>156.45531564604286</v>
      </c>
      <c r="AA157" s="4438">
        <f t="shared" si="190"/>
        <v>0</v>
      </c>
      <c r="AB157" s="4438">
        <f t="shared" si="191"/>
        <v>0</v>
      </c>
      <c r="AC157" s="4438">
        <f t="shared" si="176"/>
        <v>156.45531564604286</v>
      </c>
      <c r="AD157" s="4438">
        <f t="shared" si="177"/>
        <v>0</v>
      </c>
      <c r="AE157" s="4438">
        <f t="shared" si="192"/>
        <v>0</v>
      </c>
      <c r="AF157" s="4438">
        <f t="shared" si="193"/>
        <v>0</v>
      </c>
      <c r="AG157" s="4438">
        <f t="shared" si="178"/>
        <v>0</v>
      </c>
      <c r="AH157" s="4438">
        <f t="shared" si="179"/>
        <v>0</v>
      </c>
      <c r="AI157" s="4438">
        <f t="shared" si="194"/>
        <v>0</v>
      </c>
      <c r="AJ157" s="4438">
        <f t="shared" si="195"/>
        <v>0</v>
      </c>
      <c r="AK157" s="4438">
        <f t="shared" si="180"/>
        <v>0</v>
      </c>
      <c r="AL157" s="4438">
        <f t="shared" si="181"/>
        <v>0</v>
      </c>
      <c r="AM157" s="4438">
        <f t="shared" si="196"/>
        <v>0</v>
      </c>
      <c r="AN157" s="4438">
        <f t="shared" si="197"/>
        <v>0</v>
      </c>
      <c r="AO157" s="4438">
        <f t="shared" si="182"/>
        <v>0</v>
      </c>
      <c r="AP157" s="4438">
        <f t="shared" si="183"/>
        <v>0</v>
      </c>
      <c r="AQ157" s="4438">
        <f t="shared" si="198"/>
        <v>0</v>
      </c>
      <c r="AR157" s="4438">
        <f t="shared" si="199"/>
        <v>0</v>
      </c>
      <c r="AS157" s="4438">
        <f t="shared" si="184"/>
        <v>0</v>
      </c>
    </row>
    <row r="158" spans="1:45">
      <c r="A158" s="2515">
        <v>5</v>
      </c>
      <c r="B158" s="2516" t="s">
        <v>714</v>
      </c>
      <c r="C158" s="2517">
        <v>0.1</v>
      </c>
      <c r="D158" s="2552" t="s">
        <v>407</v>
      </c>
      <c r="E158" s="4645">
        <v>127</v>
      </c>
      <c r="F158" s="4636"/>
      <c r="G158" s="400"/>
      <c r="H158" s="4387">
        <f t="shared" si="200"/>
        <v>127</v>
      </c>
      <c r="I158" s="4645">
        <v>19</v>
      </c>
      <c r="J158" s="400"/>
      <c r="K158" s="400"/>
      <c r="L158" s="4387">
        <f t="shared" si="201"/>
        <v>19</v>
      </c>
      <c r="M158" s="4645">
        <v>0</v>
      </c>
      <c r="N158" s="400"/>
      <c r="O158" s="400"/>
      <c r="P158" s="4387">
        <f t="shared" si="202"/>
        <v>0</v>
      </c>
      <c r="Q158" s="400"/>
      <c r="R158" s="400"/>
      <c r="S158" s="400"/>
      <c r="T158" s="4387">
        <f t="shared" si="203"/>
        <v>0</v>
      </c>
      <c r="U158" s="400"/>
      <c r="V158" s="400"/>
      <c r="W158" s="400"/>
      <c r="X158" s="4387">
        <f t="shared" si="204"/>
        <v>0</v>
      </c>
      <c r="Y158" s="4422"/>
      <c r="Z158" s="4438">
        <f t="shared" si="175"/>
        <v>64.934068911919752</v>
      </c>
      <c r="AA158" s="4438">
        <f t="shared" si="190"/>
        <v>0</v>
      </c>
      <c r="AB158" s="4438">
        <f t="shared" si="191"/>
        <v>0</v>
      </c>
      <c r="AC158" s="4438">
        <f t="shared" si="176"/>
        <v>64.934068911919752</v>
      </c>
      <c r="AD158" s="4438">
        <f t="shared" si="177"/>
        <v>9.7145457427281521</v>
      </c>
      <c r="AE158" s="4438">
        <f t="shared" si="192"/>
        <v>0</v>
      </c>
      <c r="AF158" s="4438">
        <f t="shared" si="193"/>
        <v>0</v>
      </c>
      <c r="AG158" s="4438">
        <f t="shared" si="178"/>
        <v>9.7145457427281521</v>
      </c>
      <c r="AH158" s="4438">
        <f t="shared" si="179"/>
        <v>0</v>
      </c>
      <c r="AI158" s="4438">
        <f t="shared" si="194"/>
        <v>0</v>
      </c>
      <c r="AJ158" s="4438">
        <f t="shared" si="195"/>
        <v>0</v>
      </c>
      <c r="AK158" s="4438">
        <f t="shared" si="180"/>
        <v>0</v>
      </c>
      <c r="AL158" s="4438">
        <f t="shared" si="181"/>
        <v>0</v>
      </c>
      <c r="AM158" s="4438">
        <f t="shared" si="196"/>
        <v>0</v>
      </c>
      <c r="AN158" s="4438">
        <f t="shared" si="197"/>
        <v>0</v>
      </c>
      <c r="AO158" s="4438">
        <f t="shared" si="182"/>
        <v>0</v>
      </c>
      <c r="AP158" s="4438">
        <f t="shared" si="183"/>
        <v>0</v>
      </c>
      <c r="AQ158" s="4438">
        <f t="shared" si="198"/>
        <v>0</v>
      </c>
      <c r="AR158" s="4438">
        <f t="shared" si="199"/>
        <v>0</v>
      </c>
      <c r="AS158" s="4438">
        <f t="shared" si="184"/>
        <v>0</v>
      </c>
    </row>
    <row r="159" spans="1:45">
      <c r="A159" s="2515">
        <v>6</v>
      </c>
      <c r="B159" s="2516" t="s">
        <v>715</v>
      </c>
      <c r="C159" s="2517">
        <v>0.1</v>
      </c>
      <c r="D159" s="2552" t="s">
        <v>1001</v>
      </c>
      <c r="E159" s="4645">
        <v>204</v>
      </c>
      <c r="F159" s="4636"/>
      <c r="G159" s="400"/>
      <c r="H159" s="4387">
        <f t="shared" si="200"/>
        <v>204</v>
      </c>
      <c r="I159" s="4645">
        <v>0</v>
      </c>
      <c r="J159" s="400"/>
      <c r="K159" s="400"/>
      <c r="L159" s="4387">
        <f t="shared" si="201"/>
        <v>0</v>
      </c>
      <c r="M159" s="4645">
        <v>0</v>
      </c>
      <c r="N159" s="400"/>
      <c r="O159" s="400"/>
      <c r="P159" s="4387">
        <f t="shared" si="202"/>
        <v>0</v>
      </c>
      <c r="Q159" s="400"/>
      <c r="R159" s="400"/>
      <c r="S159" s="400"/>
      <c r="T159" s="4387">
        <f t="shared" si="203"/>
        <v>0</v>
      </c>
      <c r="U159" s="400"/>
      <c r="V159" s="400"/>
      <c r="W159" s="400"/>
      <c r="X159" s="4387">
        <f t="shared" si="204"/>
        <v>0</v>
      </c>
      <c r="Y159" s="4422"/>
      <c r="Z159" s="4438">
        <f t="shared" si="175"/>
        <v>104.30354376402857</v>
      </c>
      <c r="AA159" s="4438">
        <f t="shared" si="190"/>
        <v>0</v>
      </c>
      <c r="AB159" s="4438">
        <f t="shared" si="191"/>
        <v>0</v>
      </c>
      <c r="AC159" s="4438">
        <f t="shared" si="176"/>
        <v>104.30354376402857</v>
      </c>
      <c r="AD159" s="4438">
        <f t="shared" si="177"/>
        <v>0</v>
      </c>
      <c r="AE159" s="4438">
        <f t="shared" si="192"/>
        <v>0</v>
      </c>
      <c r="AF159" s="4438">
        <f t="shared" si="193"/>
        <v>0</v>
      </c>
      <c r="AG159" s="4438">
        <f t="shared" si="178"/>
        <v>0</v>
      </c>
      <c r="AH159" s="4438">
        <f t="shared" si="179"/>
        <v>0</v>
      </c>
      <c r="AI159" s="4438">
        <f t="shared" si="194"/>
        <v>0</v>
      </c>
      <c r="AJ159" s="4438">
        <f t="shared" si="195"/>
        <v>0</v>
      </c>
      <c r="AK159" s="4438">
        <f t="shared" si="180"/>
        <v>0</v>
      </c>
      <c r="AL159" s="4438">
        <f t="shared" si="181"/>
        <v>0</v>
      </c>
      <c r="AM159" s="4438">
        <f t="shared" si="196"/>
        <v>0</v>
      </c>
      <c r="AN159" s="4438">
        <f t="shared" si="197"/>
        <v>0</v>
      </c>
      <c r="AO159" s="4438">
        <f t="shared" si="182"/>
        <v>0</v>
      </c>
      <c r="AP159" s="4438">
        <f t="shared" si="183"/>
        <v>0</v>
      </c>
      <c r="AQ159" s="4438">
        <f t="shared" si="198"/>
        <v>0</v>
      </c>
      <c r="AR159" s="4438">
        <f t="shared" si="199"/>
        <v>0</v>
      </c>
      <c r="AS159" s="4438">
        <f t="shared" si="184"/>
        <v>0</v>
      </c>
    </row>
    <row r="160" spans="1:45" ht="36">
      <c r="A160" s="2515">
        <v>7</v>
      </c>
      <c r="B160" s="2516" t="s">
        <v>706</v>
      </c>
      <c r="C160" s="2517">
        <v>0.1</v>
      </c>
      <c r="D160" s="2552" t="s">
        <v>695</v>
      </c>
      <c r="E160" s="4645">
        <v>306</v>
      </c>
      <c r="F160" s="4636"/>
      <c r="G160" s="400"/>
      <c r="H160" s="4387">
        <f t="shared" si="200"/>
        <v>306</v>
      </c>
      <c r="I160" s="4645">
        <v>0</v>
      </c>
      <c r="J160" s="400"/>
      <c r="K160" s="400"/>
      <c r="L160" s="4387">
        <f t="shared" si="201"/>
        <v>0</v>
      </c>
      <c r="M160" s="4645">
        <v>0</v>
      </c>
      <c r="N160" s="400"/>
      <c r="O160" s="400"/>
      <c r="P160" s="4387">
        <f t="shared" si="202"/>
        <v>0</v>
      </c>
      <c r="Q160" s="400"/>
      <c r="R160" s="400"/>
      <c r="S160" s="400"/>
      <c r="T160" s="4387">
        <f t="shared" si="203"/>
        <v>0</v>
      </c>
      <c r="U160" s="400"/>
      <c r="V160" s="400"/>
      <c r="W160" s="400"/>
      <c r="X160" s="4387">
        <f t="shared" si="204"/>
        <v>0</v>
      </c>
      <c r="Y160" s="4422"/>
      <c r="Z160" s="4438">
        <f t="shared" si="175"/>
        <v>156.45531564604286</v>
      </c>
      <c r="AA160" s="4438">
        <f t="shared" si="190"/>
        <v>0</v>
      </c>
      <c r="AB160" s="4438">
        <f t="shared" si="191"/>
        <v>0</v>
      </c>
      <c r="AC160" s="4438">
        <f t="shared" si="176"/>
        <v>156.45531564604286</v>
      </c>
      <c r="AD160" s="4438">
        <f t="shared" si="177"/>
        <v>0</v>
      </c>
      <c r="AE160" s="4438">
        <f t="shared" si="192"/>
        <v>0</v>
      </c>
      <c r="AF160" s="4438">
        <f t="shared" si="193"/>
        <v>0</v>
      </c>
      <c r="AG160" s="4438">
        <f t="shared" si="178"/>
        <v>0</v>
      </c>
      <c r="AH160" s="4438">
        <f t="shared" si="179"/>
        <v>0</v>
      </c>
      <c r="AI160" s="4438">
        <f t="shared" si="194"/>
        <v>0</v>
      </c>
      <c r="AJ160" s="4438">
        <f t="shared" si="195"/>
        <v>0</v>
      </c>
      <c r="AK160" s="4438">
        <f t="shared" si="180"/>
        <v>0</v>
      </c>
      <c r="AL160" s="4438">
        <f t="shared" si="181"/>
        <v>0</v>
      </c>
      <c r="AM160" s="4438">
        <f t="shared" si="196"/>
        <v>0</v>
      </c>
      <c r="AN160" s="4438">
        <f t="shared" si="197"/>
        <v>0</v>
      </c>
      <c r="AO160" s="4438">
        <f t="shared" si="182"/>
        <v>0</v>
      </c>
      <c r="AP160" s="4438">
        <f t="shared" si="183"/>
        <v>0</v>
      </c>
      <c r="AQ160" s="4438">
        <f t="shared" si="198"/>
        <v>0</v>
      </c>
      <c r="AR160" s="4438">
        <f t="shared" si="199"/>
        <v>0</v>
      </c>
      <c r="AS160" s="4438">
        <f t="shared" si="184"/>
        <v>0</v>
      </c>
    </row>
    <row r="161" spans="1:45">
      <c r="A161" s="2515">
        <v>8</v>
      </c>
      <c r="B161" s="2516" t="s">
        <v>716</v>
      </c>
      <c r="C161" s="2517">
        <v>0.1</v>
      </c>
      <c r="D161" s="2552" t="s">
        <v>713</v>
      </c>
      <c r="E161" s="4645">
        <v>6599</v>
      </c>
      <c r="F161" s="4636"/>
      <c r="G161" s="400"/>
      <c r="H161" s="4387">
        <f t="shared" si="200"/>
        <v>6599</v>
      </c>
      <c r="I161" s="4645">
        <v>0</v>
      </c>
      <c r="J161" s="400"/>
      <c r="K161" s="400"/>
      <c r="L161" s="4387">
        <f t="shared" si="201"/>
        <v>0</v>
      </c>
      <c r="M161" s="4645">
        <v>0</v>
      </c>
      <c r="N161" s="400"/>
      <c r="O161" s="400"/>
      <c r="P161" s="4387">
        <f t="shared" si="202"/>
        <v>0</v>
      </c>
      <c r="Q161" s="400"/>
      <c r="R161" s="400"/>
      <c r="S161" s="400"/>
      <c r="T161" s="4387">
        <f t="shared" si="203"/>
        <v>0</v>
      </c>
      <c r="U161" s="400"/>
      <c r="V161" s="400"/>
      <c r="W161" s="400"/>
      <c r="X161" s="4387">
        <f t="shared" si="204"/>
        <v>0</v>
      </c>
      <c r="Y161" s="4422"/>
      <c r="Z161" s="4438">
        <f t="shared" si="175"/>
        <v>3374.0151240138457</v>
      </c>
      <c r="AA161" s="4438">
        <f t="shared" si="190"/>
        <v>0</v>
      </c>
      <c r="AB161" s="4438">
        <f t="shared" si="191"/>
        <v>0</v>
      </c>
      <c r="AC161" s="4438">
        <f t="shared" si="176"/>
        <v>3374.0151240138457</v>
      </c>
      <c r="AD161" s="4438">
        <f t="shared" si="177"/>
        <v>0</v>
      </c>
      <c r="AE161" s="4438">
        <f t="shared" si="192"/>
        <v>0</v>
      </c>
      <c r="AF161" s="4438">
        <f t="shared" si="193"/>
        <v>0</v>
      </c>
      <c r="AG161" s="4438">
        <f t="shared" si="178"/>
        <v>0</v>
      </c>
      <c r="AH161" s="4438">
        <f t="shared" si="179"/>
        <v>0</v>
      </c>
      <c r="AI161" s="4438">
        <f t="shared" si="194"/>
        <v>0</v>
      </c>
      <c r="AJ161" s="4438">
        <f t="shared" si="195"/>
        <v>0</v>
      </c>
      <c r="AK161" s="4438">
        <f t="shared" si="180"/>
        <v>0</v>
      </c>
      <c r="AL161" s="4438">
        <f t="shared" si="181"/>
        <v>0</v>
      </c>
      <c r="AM161" s="4438">
        <f t="shared" si="196"/>
        <v>0</v>
      </c>
      <c r="AN161" s="4438">
        <f t="shared" si="197"/>
        <v>0</v>
      </c>
      <c r="AO161" s="4438">
        <f t="shared" si="182"/>
        <v>0</v>
      </c>
      <c r="AP161" s="4438">
        <f t="shared" si="183"/>
        <v>0</v>
      </c>
      <c r="AQ161" s="4438">
        <f t="shared" si="198"/>
        <v>0</v>
      </c>
      <c r="AR161" s="4438">
        <f t="shared" si="199"/>
        <v>0</v>
      </c>
      <c r="AS161" s="4438">
        <f t="shared" si="184"/>
        <v>0</v>
      </c>
    </row>
    <row r="162" spans="1:45" ht="24">
      <c r="A162" s="2573">
        <v>9</v>
      </c>
      <c r="B162" s="2516">
        <v>911306</v>
      </c>
      <c r="C162" s="2517">
        <v>0.1</v>
      </c>
      <c r="D162" s="2552" t="s">
        <v>1032</v>
      </c>
      <c r="E162" s="4647">
        <v>199</v>
      </c>
      <c r="F162" s="4636"/>
      <c r="G162" s="400"/>
      <c r="H162" s="4387">
        <f t="shared" si="200"/>
        <v>199</v>
      </c>
      <c r="I162" s="4647">
        <v>309</v>
      </c>
      <c r="J162" s="400"/>
      <c r="K162" s="400"/>
      <c r="L162" s="4387">
        <f t="shared" si="201"/>
        <v>309</v>
      </c>
      <c r="M162" s="4647">
        <v>17597</v>
      </c>
      <c r="N162" s="400"/>
      <c r="O162" s="400"/>
      <c r="P162" s="4387">
        <f t="shared" si="202"/>
        <v>17597</v>
      </c>
      <c r="Q162" s="400"/>
      <c r="R162" s="400"/>
      <c r="S162" s="400"/>
      <c r="T162" s="4387">
        <f t="shared" si="203"/>
        <v>0</v>
      </c>
      <c r="U162" s="400"/>
      <c r="V162" s="400"/>
      <c r="W162" s="400"/>
      <c r="X162" s="4387">
        <f t="shared" si="204"/>
        <v>0</v>
      </c>
      <c r="Y162" s="4422"/>
      <c r="Z162" s="4438">
        <f t="shared" si="175"/>
        <v>101.74708435804749</v>
      </c>
      <c r="AA162" s="4438">
        <f t="shared" si="190"/>
        <v>0</v>
      </c>
      <c r="AB162" s="4438">
        <f t="shared" si="191"/>
        <v>0</v>
      </c>
      <c r="AC162" s="4438">
        <f t="shared" si="176"/>
        <v>101.74708435804749</v>
      </c>
      <c r="AD162" s="4438">
        <f t="shared" si="177"/>
        <v>157.98919128963152</v>
      </c>
      <c r="AE162" s="4438">
        <f t="shared" si="192"/>
        <v>0</v>
      </c>
      <c r="AF162" s="4438">
        <f t="shared" si="193"/>
        <v>0</v>
      </c>
      <c r="AG162" s="4438">
        <f t="shared" si="178"/>
        <v>157.98919128963152</v>
      </c>
      <c r="AH162" s="4438">
        <f t="shared" si="179"/>
        <v>8997.2032334098567</v>
      </c>
      <c r="AI162" s="4438">
        <f t="shared" si="194"/>
        <v>0</v>
      </c>
      <c r="AJ162" s="4438">
        <f t="shared" si="195"/>
        <v>0</v>
      </c>
      <c r="AK162" s="4438">
        <f t="shared" si="180"/>
        <v>8997.2032334098567</v>
      </c>
      <c r="AL162" s="4438">
        <f t="shared" si="181"/>
        <v>0</v>
      </c>
      <c r="AM162" s="4438">
        <f t="shared" si="196"/>
        <v>0</v>
      </c>
      <c r="AN162" s="4438">
        <f t="shared" si="197"/>
        <v>0</v>
      </c>
      <c r="AO162" s="4438">
        <f t="shared" si="182"/>
        <v>0</v>
      </c>
      <c r="AP162" s="4438">
        <f t="shared" si="183"/>
        <v>0</v>
      </c>
      <c r="AQ162" s="4438">
        <f t="shared" si="198"/>
        <v>0</v>
      </c>
      <c r="AR162" s="4438">
        <f t="shared" si="199"/>
        <v>0</v>
      </c>
      <c r="AS162" s="4438">
        <f t="shared" si="184"/>
        <v>0</v>
      </c>
    </row>
    <row r="163" spans="1:45">
      <c r="A163" s="2573">
        <v>10</v>
      </c>
      <c r="B163" s="2516">
        <v>91140101</v>
      </c>
      <c r="C163" s="2572">
        <v>0.1</v>
      </c>
      <c r="D163" s="2546" t="s">
        <v>1016</v>
      </c>
      <c r="E163" s="4645">
        <v>245</v>
      </c>
      <c r="F163" s="4636"/>
      <c r="G163" s="400"/>
      <c r="H163" s="4387">
        <f t="shared" si="200"/>
        <v>245</v>
      </c>
      <c r="I163" s="4645">
        <v>0</v>
      </c>
      <c r="J163" s="400"/>
      <c r="K163" s="400"/>
      <c r="L163" s="4387">
        <f t="shared" si="201"/>
        <v>0</v>
      </c>
      <c r="M163" s="4645">
        <v>0</v>
      </c>
      <c r="N163" s="400"/>
      <c r="O163" s="400"/>
      <c r="P163" s="4387">
        <f t="shared" si="202"/>
        <v>0</v>
      </c>
      <c r="Q163" s="400"/>
      <c r="R163" s="400"/>
      <c r="S163" s="400"/>
      <c r="T163" s="4387">
        <f t="shared" si="203"/>
        <v>0</v>
      </c>
      <c r="U163" s="400"/>
      <c r="V163" s="400"/>
      <c r="W163" s="400"/>
      <c r="X163" s="4387">
        <f t="shared" si="204"/>
        <v>0</v>
      </c>
      <c r="Y163" s="4422"/>
      <c r="Z163" s="4438">
        <f t="shared" si="175"/>
        <v>125.26651089307353</v>
      </c>
      <c r="AA163" s="4438">
        <f t="shared" si="190"/>
        <v>0</v>
      </c>
      <c r="AB163" s="4438">
        <f t="shared" si="191"/>
        <v>0</v>
      </c>
      <c r="AC163" s="4438">
        <f t="shared" si="176"/>
        <v>125.26651089307353</v>
      </c>
      <c r="AD163" s="4438">
        <f t="shared" si="177"/>
        <v>0</v>
      </c>
      <c r="AE163" s="4438">
        <f t="shared" si="192"/>
        <v>0</v>
      </c>
      <c r="AF163" s="4438">
        <f t="shared" si="193"/>
        <v>0</v>
      </c>
      <c r="AG163" s="4438">
        <f t="shared" si="178"/>
        <v>0</v>
      </c>
      <c r="AH163" s="4438">
        <f t="shared" si="179"/>
        <v>0</v>
      </c>
      <c r="AI163" s="4438">
        <f t="shared" si="194"/>
        <v>0</v>
      </c>
      <c r="AJ163" s="4438">
        <f t="shared" si="195"/>
        <v>0</v>
      </c>
      <c r="AK163" s="4438">
        <f t="shared" si="180"/>
        <v>0</v>
      </c>
      <c r="AL163" s="4438">
        <f t="shared" si="181"/>
        <v>0</v>
      </c>
      <c r="AM163" s="4438">
        <f t="shared" si="196"/>
        <v>0</v>
      </c>
      <c r="AN163" s="4438">
        <f t="shared" si="197"/>
        <v>0</v>
      </c>
      <c r="AO163" s="4438">
        <f t="shared" si="182"/>
        <v>0</v>
      </c>
      <c r="AP163" s="4438">
        <f t="shared" si="183"/>
        <v>0</v>
      </c>
      <c r="AQ163" s="4438">
        <f t="shared" si="198"/>
        <v>0</v>
      </c>
      <c r="AR163" s="4438">
        <f t="shared" si="199"/>
        <v>0</v>
      </c>
      <c r="AS163" s="4438">
        <f t="shared" si="184"/>
        <v>0</v>
      </c>
    </row>
    <row r="164" spans="1:45">
      <c r="A164" s="2573">
        <v>11</v>
      </c>
      <c r="B164" s="2516">
        <v>91140102</v>
      </c>
      <c r="C164" s="2572">
        <v>0.04</v>
      </c>
      <c r="D164" s="2546" t="s">
        <v>432</v>
      </c>
      <c r="E164" s="4645">
        <v>0</v>
      </c>
      <c r="F164" s="4636"/>
      <c r="G164" s="400"/>
      <c r="H164" s="4387">
        <f t="shared" si="200"/>
        <v>0</v>
      </c>
      <c r="I164" s="4645">
        <v>0</v>
      </c>
      <c r="J164" s="400"/>
      <c r="K164" s="400"/>
      <c r="L164" s="4387">
        <f t="shared" si="201"/>
        <v>0</v>
      </c>
      <c r="M164" s="4645">
        <v>0</v>
      </c>
      <c r="N164" s="400"/>
      <c r="O164" s="400"/>
      <c r="P164" s="4387">
        <f t="shared" si="202"/>
        <v>0</v>
      </c>
      <c r="Q164" s="400"/>
      <c r="R164" s="400"/>
      <c r="S164" s="400"/>
      <c r="T164" s="4387">
        <f t="shared" si="203"/>
        <v>0</v>
      </c>
      <c r="U164" s="400"/>
      <c r="V164" s="400"/>
      <c r="W164" s="400"/>
      <c r="X164" s="4387">
        <f t="shared" si="204"/>
        <v>0</v>
      </c>
      <c r="Y164" s="4422"/>
      <c r="Z164" s="4438">
        <f t="shared" si="175"/>
        <v>0</v>
      </c>
      <c r="AA164" s="4438">
        <f t="shared" si="190"/>
        <v>0</v>
      </c>
      <c r="AB164" s="4438">
        <f t="shared" si="191"/>
        <v>0</v>
      </c>
      <c r="AC164" s="4438">
        <f t="shared" si="176"/>
        <v>0</v>
      </c>
      <c r="AD164" s="4438">
        <f t="shared" si="177"/>
        <v>0</v>
      </c>
      <c r="AE164" s="4438">
        <f t="shared" si="192"/>
        <v>0</v>
      </c>
      <c r="AF164" s="4438">
        <f t="shared" si="193"/>
        <v>0</v>
      </c>
      <c r="AG164" s="4438">
        <f t="shared" si="178"/>
        <v>0</v>
      </c>
      <c r="AH164" s="4438">
        <f t="shared" si="179"/>
        <v>0</v>
      </c>
      <c r="AI164" s="4438">
        <f t="shared" si="194"/>
        <v>0</v>
      </c>
      <c r="AJ164" s="4438">
        <f t="shared" si="195"/>
        <v>0</v>
      </c>
      <c r="AK164" s="4438">
        <f t="shared" si="180"/>
        <v>0</v>
      </c>
      <c r="AL164" s="4438">
        <f t="shared" si="181"/>
        <v>0</v>
      </c>
      <c r="AM164" s="4438">
        <f t="shared" si="196"/>
        <v>0</v>
      </c>
      <c r="AN164" s="4438">
        <f t="shared" si="197"/>
        <v>0</v>
      </c>
      <c r="AO164" s="4438">
        <f t="shared" si="182"/>
        <v>0</v>
      </c>
      <c r="AP164" s="4438">
        <f t="shared" si="183"/>
        <v>0</v>
      </c>
      <c r="AQ164" s="4438">
        <f t="shared" si="198"/>
        <v>0</v>
      </c>
      <c r="AR164" s="4438">
        <f t="shared" si="199"/>
        <v>0</v>
      </c>
      <c r="AS164" s="4438">
        <f t="shared" si="184"/>
        <v>0</v>
      </c>
    </row>
    <row r="165" spans="1:45">
      <c r="A165" s="2573">
        <v>12</v>
      </c>
      <c r="B165" s="2516" t="s">
        <v>698</v>
      </c>
      <c r="C165" s="2517">
        <v>0.02</v>
      </c>
      <c r="D165" s="2547" t="s">
        <v>738</v>
      </c>
      <c r="E165" s="4647">
        <v>0</v>
      </c>
      <c r="F165" s="4636"/>
      <c r="G165" s="400"/>
      <c r="H165" s="4387">
        <f t="shared" si="200"/>
        <v>0</v>
      </c>
      <c r="I165" s="4647">
        <v>73</v>
      </c>
      <c r="J165" s="400"/>
      <c r="K165" s="400"/>
      <c r="L165" s="4387">
        <f t="shared" si="201"/>
        <v>73</v>
      </c>
      <c r="M165" s="4647">
        <v>0</v>
      </c>
      <c r="N165" s="400"/>
      <c r="O165" s="400"/>
      <c r="P165" s="4387">
        <f t="shared" si="202"/>
        <v>0</v>
      </c>
      <c r="Q165" s="400"/>
      <c r="R165" s="400"/>
      <c r="S165" s="400"/>
      <c r="T165" s="4387">
        <f t="shared" si="203"/>
        <v>0</v>
      </c>
      <c r="U165" s="400"/>
      <c r="V165" s="400"/>
      <c r="W165" s="400"/>
      <c r="X165" s="4387">
        <f t="shared" si="204"/>
        <v>0</v>
      </c>
      <c r="Y165" s="4422"/>
      <c r="Z165" s="4438">
        <f t="shared" si="175"/>
        <v>0</v>
      </c>
      <c r="AA165" s="4438">
        <f t="shared" si="190"/>
        <v>0</v>
      </c>
      <c r="AB165" s="4438">
        <f t="shared" si="191"/>
        <v>0</v>
      </c>
      <c r="AC165" s="4438">
        <f t="shared" si="176"/>
        <v>0</v>
      </c>
      <c r="AD165" s="4438">
        <f t="shared" si="177"/>
        <v>37.32430732732395</v>
      </c>
      <c r="AE165" s="4438">
        <f t="shared" si="192"/>
        <v>0</v>
      </c>
      <c r="AF165" s="4438">
        <f t="shared" si="193"/>
        <v>0</v>
      </c>
      <c r="AG165" s="4438">
        <f t="shared" si="178"/>
        <v>37.32430732732395</v>
      </c>
      <c r="AH165" s="4438">
        <f t="shared" si="179"/>
        <v>0</v>
      </c>
      <c r="AI165" s="4438">
        <f t="shared" si="194"/>
        <v>0</v>
      </c>
      <c r="AJ165" s="4438">
        <f t="shared" si="195"/>
        <v>0</v>
      </c>
      <c r="AK165" s="4438">
        <f t="shared" si="180"/>
        <v>0</v>
      </c>
      <c r="AL165" s="4438">
        <f t="shared" si="181"/>
        <v>0</v>
      </c>
      <c r="AM165" s="4438">
        <f t="shared" si="196"/>
        <v>0</v>
      </c>
      <c r="AN165" s="4438">
        <f t="shared" si="197"/>
        <v>0</v>
      </c>
      <c r="AO165" s="4438">
        <f t="shared" si="182"/>
        <v>0</v>
      </c>
      <c r="AP165" s="4438">
        <f t="shared" si="183"/>
        <v>0</v>
      </c>
      <c r="AQ165" s="4438">
        <f t="shared" si="198"/>
        <v>0</v>
      </c>
      <c r="AR165" s="4438">
        <f t="shared" si="199"/>
        <v>0</v>
      </c>
      <c r="AS165" s="4438">
        <f t="shared" si="184"/>
        <v>0</v>
      </c>
    </row>
    <row r="166" spans="1:45">
      <c r="A166" s="2573">
        <v>13</v>
      </c>
      <c r="B166" s="2516" t="s">
        <v>699</v>
      </c>
      <c r="C166" s="2517">
        <v>0.02</v>
      </c>
      <c r="D166" s="2547" t="s">
        <v>739</v>
      </c>
      <c r="E166" s="4647">
        <v>1617</v>
      </c>
      <c r="F166" s="4636"/>
      <c r="G166" s="400"/>
      <c r="H166" s="4387">
        <f t="shared" si="200"/>
        <v>1617</v>
      </c>
      <c r="I166" s="4647">
        <v>0</v>
      </c>
      <c r="J166" s="400"/>
      <c r="K166" s="400"/>
      <c r="L166" s="4387">
        <f t="shared" si="201"/>
        <v>0</v>
      </c>
      <c r="M166" s="4647">
        <v>0</v>
      </c>
      <c r="N166" s="400"/>
      <c r="O166" s="400"/>
      <c r="P166" s="4387">
        <f t="shared" si="202"/>
        <v>0</v>
      </c>
      <c r="Q166" s="400"/>
      <c r="R166" s="400"/>
      <c r="S166" s="400"/>
      <c r="T166" s="4387">
        <f t="shared" si="203"/>
        <v>0</v>
      </c>
      <c r="U166" s="400"/>
      <c r="V166" s="400"/>
      <c r="W166" s="400"/>
      <c r="X166" s="4387">
        <f t="shared" si="204"/>
        <v>0</v>
      </c>
      <c r="Y166" s="4422"/>
      <c r="Z166" s="4438">
        <f t="shared" si="175"/>
        <v>826.75897189428531</v>
      </c>
      <c r="AA166" s="4438">
        <f t="shared" si="190"/>
        <v>0</v>
      </c>
      <c r="AB166" s="4438">
        <f t="shared" si="191"/>
        <v>0</v>
      </c>
      <c r="AC166" s="4438">
        <f t="shared" si="176"/>
        <v>826.75897189428531</v>
      </c>
      <c r="AD166" s="4438">
        <f t="shared" si="177"/>
        <v>0</v>
      </c>
      <c r="AE166" s="4438">
        <f t="shared" si="192"/>
        <v>0</v>
      </c>
      <c r="AF166" s="4438">
        <f t="shared" si="193"/>
        <v>0</v>
      </c>
      <c r="AG166" s="4438">
        <f t="shared" si="178"/>
        <v>0</v>
      </c>
      <c r="AH166" s="4438">
        <f t="shared" si="179"/>
        <v>0</v>
      </c>
      <c r="AI166" s="4438">
        <f t="shared" si="194"/>
        <v>0</v>
      </c>
      <c r="AJ166" s="4438">
        <f t="shared" si="195"/>
        <v>0</v>
      </c>
      <c r="AK166" s="4438">
        <f t="shared" si="180"/>
        <v>0</v>
      </c>
      <c r="AL166" s="4438">
        <f t="shared" si="181"/>
        <v>0</v>
      </c>
      <c r="AM166" s="4438">
        <f t="shared" si="196"/>
        <v>0</v>
      </c>
      <c r="AN166" s="4438">
        <f t="shared" si="197"/>
        <v>0</v>
      </c>
      <c r="AO166" s="4438">
        <f t="shared" si="182"/>
        <v>0</v>
      </c>
      <c r="AP166" s="4438">
        <f t="shared" si="183"/>
        <v>0</v>
      </c>
      <c r="AQ166" s="4438">
        <f t="shared" si="198"/>
        <v>0</v>
      </c>
      <c r="AR166" s="4438">
        <f t="shared" si="199"/>
        <v>0</v>
      </c>
      <c r="AS166" s="4438">
        <f t="shared" si="184"/>
        <v>0</v>
      </c>
    </row>
    <row r="167" spans="1:45">
      <c r="A167" s="2573">
        <v>14</v>
      </c>
      <c r="B167" s="2516" t="s">
        <v>700</v>
      </c>
      <c r="C167" s="2517">
        <v>0.02</v>
      </c>
      <c r="D167" s="2547" t="s">
        <v>418</v>
      </c>
      <c r="E167" s="4647">
        <v>57</v>
      </c>
      <c r="F167" s="4636"/>
      <c r="G167" s="400"/>
      <c r="H167" s="4387">
        <f t="shared" si="200"/>
        <v>57</v>
      </c>
      <c r="I167" s="4647">
        <v>0</v>
      </c>
      <c r="J167" s="400"/>
      <c r="K167" s="400"/>
      <c r="L167" s="4387">
        <f t="shared" si="201"/>
        <v>0</v>
      </c>
      <c r="M167" s="4647">
        <v>0</v>
      </c>
      <c r="N167" s="400"/>
      <c r="O167" s="400"/>
      <c r="P167" s="4387">
        <f t="shared" si="202"/>
        <v>0</v>
      </c>
      <c r="Q167" s="400"/>
      <c r="R167" s="400"/>
      <c r="S167" s="400"/>
      <c r="T167" s="4387">
        <f t="shared" si="203"/>
        <v>0</v>
      </c>
      <c r="U167" s="400"/>
      <c r="V167" s="400"/>
      <c r="W167" s="400"/>
      <c r="X167" s="4387">
        <f t="shared" si="204"/>
        <v>0</v>
      </c>
      <c r="Y167" s="4422"/>
      <c r="Z167" s="4438">
        <f t="shared" si="175"/>
        <v>29.143637228184453</v>
      </c>
      <c r="AA167" s="4438">
        <f t="shared" si="190"/>
        <v>0</v>
      </c>
      <c r="AB167" s="4438">
        <f t="shared" si="191"/>
        <v>0</v>
      </c>
      <c r="AC167" s="4438">
        <f t="shared" si="176"/>
        <v>29.143637228184453</v>
      </c>
      <c r="AD167" s="4438">
        <f t="shared" si="177"/>
        <v>0</v>
      </c>
      <c r="AE167" s="4438">
        <f t="shared" si="192"/>
        <v>0</v>
      </c>
      <c r="AF167" s="4438">
        <f t="shared" si="193"/>
        <v>0</v>
      </c>
      <c r="AG167" s="4438">
        <f t="shared" si="178"/>
        <v>0</v>
      </c>
      <c r="AH167" s="4438">
        <f t="shared" si="179"/>
        <v>0</v>
      </c>
      <c r="AI167" s="4438">
        <f t="shared" si="194"/>
        <v>0</v>
      </c>
      <c r="AJ167" s="4438">
        <f t="shared" si="195"/>
        <v>0</v>
      </c>
      <c r="AK167" s="4438">
        <f t="shared" si="180"/>
        <v>0</v>
      </c>
      <c r="AL167" s="4438">
        <f t="shared" si="181"/>
        <v>0</v>
      </c>
      <c r="AM167" s="4438">
        <f t="shared" si="196"/>
        <v>0</v>
      </c>
      <c r="AN167" s="4438">
        <f t="shared" si="197"/>
        <v>0</v>
      </c>
      <c r="AO167" s="4438">
        <f t="shared" si="182"/>
        <v>0</v>
      </c>
      <c r="AP167" s="4438">
        <f t="shared" si="183"/>
        <v>0</v>
      </c>
      <c r="AQ167" s="4438">
        <f t="shared" si="198"/>
        <v>0</v>
      </c>
      <c r="AR167" s="4438">
        <f t="shared" si="199"/>
        <v>0</v>
      </c>
      <c r="AS167" s="4438">
        <f t="shared" si="184"/>
        <v>0</v>
      </c>
    </row>
    <row r="168" spans="1:45" ht="24">
      <c r="A168" s="2573">
        <v>15</v>
      </c>
      <c r="B168" s="2516" t="s">
        <v>701</v>
      </c>
      <c r="C168" s="2517">
        <v>0.02</v>
      </c>
      <c r="D168" s="2546" t="s">
        <v>419</v>
      </c>
      <c r="E168" s="4647">
        <v>1138</v>
      </c>
      <c r="F168" s="4636"/>
      <c r="G168" s="400"/>
      <c r="H168" s="4387">
        <f t="shared" si="200"/>
        <v>1138</v>
      </c>
      <c r="I168" s="4647">
        <v>0</v>
      </c>
      <c r="J168" s="400"/>
      <c r="K168" s="400"/>
      <c r="L168" s="4387">
        <f t="shared" si="201"/>
        <v>0</v>
      </c>
      <c r="M168" s="4647">
        <v>0</v>
      </c>
      <c r="N168" s="400"/>
      <c r="O168" s="400"/>
      <c r="P168" s="4387">
        <f t="shared" si="202"/>
        <v>0</v>
      </c>
      <c r="Q168" s="400"/>
      <c r="R168" s="400"/>
      <c r="S168" s="400"/>
      <c r="T168" s="4387">
        <f t="shared" si="203"/>
        <v>0</v>
      </c>
      <c r="U168" s="400"/>
      <c r="V168" s="400"/>
      <c r="W168" s="400"/>
      <c r="X168" s="4387">
        <f t="shared" si="204"/>
        <v>0</v>
      </c>
      <c r="Y168" s="4422"/>
      <c r="Z168" s="4438">
        <f t="shared" si="175"/>
        <v>581.85016080129662</v>
      </c>
      <c r="AA168" s="4438">
        <f t="shared" si="190"/>
        <v>0</v>
      </c>
      <c r="AB168" s="4438">
        <f t="shared" si="191"/>
        <v>0</v>
      </c>
      <c r="AC168" s="4438">
        <f t="shared" si="176"/>
        <v>581.85016080129662</v>
      </c>
      <c r="AD168" s="4438">
        <f t="shared" si="177"/>
        <v>0</v>
      </c>
      <c r="AE168" s="4438">
        <f t="shared" si="192"/>
        <v>0</v>
      </c>
      <c r="AF168" s="4438">
        <f t="shared" si="193"/>
        <v>0</v>
      </c>
      <c r="AG168" s="4438">
        <f t="shared" si="178"/>
        <v>0</v>
      </c>
      <c r="AH168" s="4438">
        <f t="shared" si="179"/>
        <v>0</v>
      </c>
      <c r="AI168" s="4438">
        <f t="shared" si="194"/>
        <v>0</v>
      </c>
      <c r="AJ168" s="4438">
        <f t="shared" si="195"/>
        <v>0</v>
      </c>
      <c r="AK168" s="4438">
        <f t="shared" si="180"/>
        <v>0</v>
      </c>
      <c r="AL168" s="4438">
        <f t="shared" si="181"/>
        <v>0</v>
      </c>
      <c r="AM168" s="4438">
        <f t="shared" si="196"/>
        <v>0</v>
      </c>
      <c r="AN168" s="4438">
        <f t="shared" si="197"/>
        <v>0</v>
      </c>
      <c r="AO168" s="4438">
        <f t="shared" si="182"/>
        <v>0</v>
      </c>
      <c r="AP168" s="4438">
        <f t="shared" si="183"/>
        <v>0</v>
      </c>
      <c r="AQ168" s="4438">
        <f t="shared" si="198"/>
        <v>0</v>
      </c>
      <c r="AR168" s="4438">
        <f t="shared" si="199"/>
        <v>0</v>
      </c>
      <c r="AS168" s="4438">
        <f t="shared" si="184"/>
        <v>0</v>
      </c>
    </row>
    <row r="169" spans="1:45">
      <c r="A169" s="2573">
        <v>16</v>
      </c>
      <c r="B169" s="2516" t="s">
        <v>702</v>
      </c>
      <c r="C169" s="2517">
        <v>0.02</v>
      </c>
      <c r="D169" s="2547" t="s">
        <v>420</v>
      </c>
      <c r="E169" s="4647">
        <v>73398</v>
      </c>
      <c r="F169" s="4636">
        <v>5156</v>
      </c>
      <c r="G169" s="400"/>
      <c r="H169" s="4387">
        <f t="shared" si="200"/>
        <v>78554</v>
      </c>
      <c r="I169" s="4647">
        <v>1</v>
      </c>
      <c r="J169" s="400"/>
      <c r="K169" s="400"/>
      <c r="L169" s="4387">
        <f t="shared" si="201"/>
        <v>1</v>
      </c>
      <c r="M169" s="4647">
        <v>0</v>
      </c>
      <c r="N169" s="400"/>
      <c r="O169" s="400"/>
      <c r="P169" s="4387">
        <f t="shared" si="202"/>
        <v>0</v>
      </c>
      <c r="Q169" s="400"/>
      <c r="R169" s="400"/>
      <c r="S169" s="400"/>
      <c r="T169" s="4387">
        <f t="shared" si="203"/>
        <v>0</v>
      </c>
      <c r="U169" s="400"/>
      <c r="V169" s="400"/>
      <c r="W169" s="400"/>
      <c r="X169" s="4387">
        <f t="shared" si="204"/>
        <v>0</v>
      </c>
      <c r="Y169" s="4422"/>
      <c r="Z169" s="4438">
        <f t="shared" si="175"/>
        <v>37527.801496040047</v>
      </c>
      <c r="AA169" s="4438">
        <f t="shared" si="190"/>
        <v>2636.2209394477027</v>
      </c>
      <c r="AB169" s="4438">
        <f t="shared" si="191"/>
        <v>0</v>
      </c>
      <c r="AC169" s="4438">
        <f t="shared" si="176"/>
        <v>40164.02243548775</v>
      </c>
      <c r="AD169" s="4438">
        <f t="shared" si="177"/>
        <v>0.51129188119621849</v>
      </c>
      <c r="AE169" s="4438">
        <f t="shared" si="192"/>
        <v>0</v>
      </c>
      <c r="AF169" s="4438">
        <f t="shared" si="193"/>
        <v>0</v>
      </c>
      <c r="AG169" s="4438">
        <f t="shared" si="178"/>
        <v>0.51129188119621849</v>
      </c>
      <c r="AH169" s="4438">
        <f t="shared" si="179"/>
        <v>0</v>
      </c>
      <c r="AI169" s="4438">
        <f t="shared" si="194"/>
        <v>0</v>
      </c>
      <c r="AJ169" s="4438">
        <f t="shared" si="195"/>
        <v>0</v>
      </c>
      <c r="AK169" s="4438">
        <f t="shared" si="180"/>
        <v>0</v>
      </c>
      <c r="AL169" s="4438">
        <f t="shared" si="181"/>
        <v>0</v>
      </c>
      <c r="AM169" s="4438">
        <f t="shared" si="196"/>
        <v>0</v>
      </c>
      <c r="AN169" s="4438">
        <f t="shared" si="197"/>
        <v>0</v>
      </c>
      <c r="AO169" s="4438">
        <f t="shared" si="182"/>
        <v>0</v>
      </c>
      <c r="AP169" s="4438">
        <f t="shared" si="183"/>
        <v>0</v>
      </c>
      <c r="AQ169" s="4438">
        <f t="shared" si="198"/>
        <v>0</v>
      </c>
      <c r="AR169" s="4438">
        <f t="shared" si="199"/>
        <v>0</v>
      </c>
      <c r="AS169" s="4438">
        <f t="shared" si="184"/>
        <v>0</v>
      </c>
    </row>
    <row r="170" spans="1:45">
      <c r="A170" s="2573">
        <v>17</v>
      </c>
      <c r="B170" s="2516" t="s">
        <v>703</v>
      </c>
      <c r="C170" s="2517">
        <v>0.02</v>
      </c>
      <c r="D170" s="2552" t="s">
        <v>421</v>
      </c>
      <c r="E170" s="173">
        <v>0</v>
      </c>
      <c r="F170" s="4636"/>
      <c r="G170" s="400"/>
      <c r="H170" s="4387">
        <f t="shared" si="200"/>
        <v>0</v>
      </c>
      <c r="I170" s="173">
        <v>98140</v>
      </c>
      <c r="J170" s="400"/>
      <c r="K170" s="400"/>
      <c r="L170" s="4387">
        <f t="shared" si="201"/>
        <v>98140</v>
      </c>
      <c r="M170" s="173">
        <v>42291</v>
      </c>
      <c r="N170" s="400"/>
      <c r="O170" s="400"/>
      <c r="P170" s="4387">
        <f t="shared" si="202"/>
        <v>42291</v>
      </c>
      <c r="Q170" s="400"/>
      <c r="R170" s="400"/>
      <c r="S170" s="400"/>
      <c r="T170" s="4387">
        <f t="shared" si="203"/>
        <v>0</v>
      </c>
      <c r="U170" s="400"/>
      <c r="V170" s="400"/>
      <c r="W170" s="400"/>
      <c r="X170" s="4387">
        <f t="shared" si="204"/>
        <v>0</v>
      </c>
      <c r="Y170" s="4422"/>
      <c r="Z170" s="4438">
        <f t="shared" si="175"/>
        <v>0</v>
      </c>
      <c r="AA170" s="4438">
        <f t="shared" si="190"/>
        <v>0</v>
      </c>
      <c r="AB170" s="4438">
        <f t="shared" si="191"/>
        <v>0</v>
      </c>
      <c r="AC170" s="4438">
        <f t="shared" si="176"/>
        <v>0</v>
      </c>
      <c r="AD170" s="4438">
        <f t="shared" si="177"/>
        <v>50178.185220596883</v>
      </c>
      <c r="AE170" s="4438">
        <f t="shared" si="192"/>
        <v>0</v>
      </c>
      <c r="AF170" s="4438">
        <f t="shared" si="193"/>
        <v>0</v>
      </c>
      <c r="AG170" s="4438">
        <f t="shared" si="178"/>
        <v>50178.185220596883</v>
      </c>
      <c r="AH170" s="4438">
        <f t="shared" si="179"/>
        <v>21623.044947669277</v>
      </c>
      <c r="AI170" s="4438">
        <f t="shared" si="194"/>
        <v>0</v>
      </c>
      <c r="AJ170" s="4438">
        <f t="shared" si="195"/>
        <v>0</v>
      </c>
      <c r="AK170" s="4438">
        <f t="shared" si="180"/>
        <v>21623.044947669277</v>
      </c>
      <c r="AL170" s="4438">
        <f t="shared" si="181"/>
        <v>0</v>
      </c>
      <c r="AM170" s="4438">
        <f t="shared" si="196"/>
        <v>0</v>
      </c>
      <c r="AN170" s="4438">
        <f t="shared" si="197"/>
        <v>0</v>
      </c>
      <c r="AO170" s="4438">
        <f t="shared" si="182"/>
        <v>0</v>
      </c>
      <c r="AP170" s="4438">
        <f t="shared" si="183"/>
        <v>0</v>
      </c>
      <c r="AQ170" s="4438">
        <f t="shared" si="198"/>
        <v>0</v>
      </c>
      <c r="AR170" s="4438">
        <f t="shared" si="199"/>
        <v>0</v>
      </c>
      <c r="AS170" s="4438">
        <f t="shared" si="184"/>
        <v>0</v>
      </c>
    </row>
    <row r="171" spans="1:45" ht="48">
      <c r="A171" s="2573">
        <v>18</v>
      </c>
      <c r="B171" s="2516" t="s">
        <v>704</v>
      </c>
      <c r="C171" s="2517">
        <v>0.04</v>
      </c>
      <c r="D171" s="2552" t="s">
        <v>422</v>
      </c>
      <c r="E171" s="4647">
        <v>482</v>
      </c>
      <c r="F171" s="4636"/>
      <c r="G171" s="400"/>
      <c r="H171" s="4387">
        <f t="shared" si="200"/>
        <v>482</v>
      </c>
      <c r="I171" s="4647">
        <v>0</v>
      </c>
      <c r="J171" s="400"/>
      <c r="K171" s="400"/>
      <c r="L171" s="4387">
        <f t="shared" si="201"/>
        <v>0</v>
      </c>
      <c r="M171" s="4647">
        <v>0</v>
      </c>
      <c r="N171" s="400"/>
      <c r="O171" s="400"/>
      <c r="P171" s="4387">
        <f t="shared" si="202"/>
        <v>0</v>
      </c>
      <c r="Q171" s="400"/>
      <c r="R171" s="400"/>
      <c r="S171" s="400"/>
      <c r="T171" s="4387">
        <f t="shared" si="203"/>
        <v>0</v>
      </c>
      <c r="U171" s="400"/>
      <c r="V171" s="400"/>
      <c r="W171" s="400"/>
      <c r="X171" s="4387">
        <f t="shared" si="204"/>
        <v>0</v>
      </c>
      <c r="Y171" s="4422"/>
      <c r="Z171" s="4438">
        <f t="shared" si="175"/>
        <v>246.44268673657731</v>
      </c>
      <c r="AA171" s="4438">
        <f t="shared" si="190"/>
        <v>0</v>
      </c>
      <c r="AB171" s="4438">
        <f t="shared" si="191"/>
        <v>0</v>
      </c>
      <c r="AC171" s="4438">
        <f t="shared" si="176"/>
        <v>246.44268673657731</v>
      </c>
      <c r="AD171" s="4438">
        <f t="shared" si="177"/>
        <v>0</v>
      </c>
      <c r="AE171" s="4438">
        <f t="shared" si="192"/>
        <v>0</v>
      </c>
      <c r="AF171" s="4438">
        <f t="shared" si="193"/>
        <v>0</v>
      </c>
      <c r="AG171" s="4438">
        <f t="shared" si="178"/>
        <v>0</v>
      </c>
      <c r="AH171" s="4438">
        <f t="shared" si="179"/>
        <v>0</v>
      </c>
      <c r="AI171" s="4438">
        <f t="shared" si="194"/>
        <v>0</v>
      </c>
      <c r="AJ171" s="4438">
        <f t="shared" si="195"/>
        <v>0</v>
      </c>
      <c r="AK171" s="4438">
        <f t="shared" si="180"/>
        <v>0</v>
      </c>
      <c r="AL171" s="4438">
        <f t="shared" si="181"/>
        <v>0</v>
      </c>
      <c r="AM171" s="4438">
        <f t="shared" si="196"/>
        <v>0</v>
      </c>
      <c r="AN171" s="4438">
        <f t="shared" si="197"/>
        <v>0</v>
      </c>
      <c r="AO171" s="4438">
        <f t="shared" si="182"/>
        <v>0</v>
      </c>
      <c r="AP171" s="4438">
        <f t="shared" si="183"/>
        <v>0</v>
      </c>
      <c r="AQ171" s="4438">
        <f t="shared" si="198"/>
        <v>0</v>
      </c>
      <c r="AR171" s="4438">
        <f t="shared" si="199"/>
        <v>0</v>
      </c>
      <c r="AS171" s="4438">
        <f t="shared" si="184"/>
        <v>0</v>
      </c>
    </row>
    <row r="172" spans="1:45">
      <c r="A172" s="2573">
        <v>19</v>
      </c>
      <c r="B172" s="2516" t="s">
        <v>705</v>
      </c>
      <c r="C172" s="2517">
        <v>0.04</v>
      </c>
      <c r="D172" s="2552" t="s">
        <v>423</v>
      </c>
      <c r="E172" s="4647">
        <v>165</v>
      </c>
      <c r="F172" s="4636"/>
      <c r="G172" s="400"/>
      <c r="H172" s="4387">
        <f t="shared" si="200"/>
        <v>165</v>
      </c>
      <c r="I172" s="4647">
        <v>291</v>
      </c>
      <c r="J172" s="400"/>
      <c r="K172" s="400"/>
      <c r="L172" s="4387">
        <f t="shared" si="201"/>
        <v>291</v>
      </c>
      <c r="M172" s="4647">
        <v>0</v>
      </c>
      <c r="N172" s="400"/>
      <c r="O172" s="400"/>
      <c r="P172" s="4387">
        <f t="shared" si="202"/>
        <v>0</v>
      </c>
      <c r="Q172" s="400"/>
      <c r="R172" s="400"/>
      <c r="S172" s="400"/>
      <c r="T172" s="4387">
        <f t="shared" si="203"/>
        <v>0</v>
      </c>
      <c r="U172" s="400"/>
      <c r="V172" s="400"/>
      <c r="W172" s="400"/>
      <c r="X172" s="4387">
        <f t="shared" si="204"/>
        <v>0</v>
      </c>
      <c r="Y172" s="4422"/>
      <c r="Z172" s="4438">
        <f t="shared" si="175"/>
        <v>84.363160397376049</v>
      </c>
      <c r="AA172" s="4438">
        <f t="shared" si="190"/>
        <v>0</v>
      </c>
      <c r="AB172" s="4438">
        <f t="shared" si="191"/>
        <v>0</v>
      </c>
      <c r="AC172" s="4438">
        <f t="shared" si="176"/>
        <v>84.363160397376049</v>
      </c>
      <c r="AD172" s="4438">
        <f t="shared" si="177"/>
        <v>148.78593742809957</v>
      </c>
      <c r="AE172" s="4438">
        <f t="shared" si="192"/>
        <v>0</v>
      </c>
      <c r="AF172" s="4438">
        <f t="shared" si="193"/>
        <v>0</v>
      </c>
      <c r="AG172" s="4438">
        <f t="shared" si="178"/>
        <v>148.78593742809957</v>
      </c>
      <c r="AH172" s="4438">
        <f t="shared" si="179"/>
        <v>0</v>
      </c>
      <c r="AI172" s="4438">
        <f t="shared" si="194"/>
        <v>0</v>
      </c>
      <c r="AJ172" s="4438">
        <f t="shared" si="195"/>
        <v>0</v>
      </c>
      <c r="AK172" s="4438">
        <f t="shared" si="180"/>
        <v>0</v>
      </c>
      <c r="AL172" s="4438">
        <f t="shared" si="181"/>
        <v>0</v>
      </c>
      <c r="AM172" s="4438">
        <f t="shared" si="196"/>
        <v>0</v>
      </c>
      <c r="AN172" s="4438">
        <f t="shared" si="197"/>
        <v>0</v>
      </c>
      <c r="AO172" s="4438">
        <f t="shared" si="182"/>
        <v>0</v>
      </c>
      <c r="AP172" s="4438">
        <f t="shared" si="183"/>
        <v>0</v>
      </c>
      <c r="AQ172" s="4438">
        <f t="shared" si="198"/>
        <v>0</v>
      </c>
      <c r="AR172" s="4438">
        <f t="shared" si="199"/>
        <v>0</v>
      </c>
      <c r="AS172" s="4438">
        <f t="shared" si="184"/>
        <v>0</v>
      </c>
    </row>
    <row r="173" spans="1:45">
      <c r="A173" s="2573">
        <v>20</v>
      </c>
      <c r="B173" s="2516" t="s">
        <v>717</v>
      </c>
      <c r="C173" s="2517">
        <v>0.04</v>
      </c>
      <c r="D173" s="2571" t="s">
        <v>434</v>
      </c>
      <c r="E173" s="4647">
        <v>236</v>
      </c>
      <c r="F173" s="4636"/>
      <c r="G173" s="400"/>
      <c r="H173" s="4387">
        <f t="shared" si="200"/>
        <v>236</v>
      </c>
      <c r="I173" s="4647">
        <v>0</v>
      </c>
      <c r="J173" s="400"/>
      <c r="K173" s="400"/>
      <c r="L173" s="4387">
        <f t="shared" si="201"/>
        <v>0</v>
      </c>
      <c r="M173" s="4647">
        <v>708</v>
      </c>
      <c r="N173" s="400"/>
      <c r="O173" s="400"/>
      <c r="P173" s="4387">
        <f t="shared" si="202"/>
        <v>708</v>
      </c>
      <c r="Q173" s="400"/>
      <c r="R173" s="400"/>
      <c r="S173" s="400"/>
      <c r="T173" s="4387">
        <f t="shared" si="203"/>
        <v>0</v>
      </c>
      <c r="U173" s="400"/>
      <c r="V173" s="400"/>
      <c r="W173" s="400"/>
      <c r="X173" s="4387">
        <f t="shared" si="204"/>
        <v>0</v>
      </c>
      <c r="Y173" s="4422"/>
      <c r="Z173" s="4438">
        <f t="shared" si="175"/>
        <v>120.66488396230757</v>
      </c>
      <c r="AA173" s="4438">
        <f t="shared" si="190"/>
        <v>0</v>
      </c>
      <c r="AB173" s="4438">
        <f t="shared" si="191"/>
        <v>0</v>
      </c>
      <c r="AC173" s="4438">
        <f t="shared" si="176"/>
        <v>120.66488396230757</v>
      </c>
      <c r="AD173" s="4438">
        <f t="shared" si="177"/>
        <v>0</v>
      </c>
      <c r="AE173" s="4438">
        <f t="shared" si="192"/>
        <v>0</v>
      </c>
      <c r="AF173" s="4438">
        <f t="shared" si="193"/>
        <v>0</v>
      </c>
      <c r="AG173" s="4438">
        <f t="shared" si="178"/>
        <v>0</v>
      </c>
      <c r="AH173" s="4438">
        <f t="shared" si="179"/>
        <v>361.99465188692267</v>
      </c>
      <c r="AI173" s="4438">
        <f t="shared" si="194"/>
        <v>0</v>
      </c>
      <c r="AJ173" s="4438">
        <f t="shared" si="195"/>
        <v>0</v>
      </c>
      <c r="AK173" s="4438">
        <f t="shared" si="180"/>
        <v>361.99465188692267</v>
      </c>
      <c r="AL173" s="4438">
        <f t="shared" si="181"/>
        <v>0</v>
      </c>
      <c r="AM173" s="4438">
        <f t="shared" si="196"/>
        <v>0</v>
      </c>
      <c r="AN173" s="4438">
        <f t="shared" si="197"/>
        <v>0</v>
      </c>
      <c r="AO173" s="4438">
        <f t="shared" si="182"/>
        <v>0</v>
      </c>
      <c r="AP173" s="4438">
        <f t="shared" si="183"/>
        <v>0</v>
      </c>
      <c r="AQ173" s="4438">
        <f t="shared" si="198"/>
        <v>0</v>
      </c>
      <c r="AR173" s="4438">
        <f t="shared" si="199"/>
        <v>0</v>
      </c>
      <c r="AS173" s="4438">
        <f t="shared" si="184"/>
        <v>0</v>
      </c>
    </row>
    <row r="174" spans="1:45" ht="48.75" thickBot="1">
      <c r="A174" s="2573">
        <v>21</v>
      </c>
      <c r="B174" s="2516" t="s">
        <v>707</v>
      </c>
      <c r="C174" s="2522">
        <v>0.2</v>
      </c>
      <c r="D174" s="2552" t="s">
        <v>679</v>
      </c>
      <c r="E174" s="4649"/>
      <c r="F174" s="4636"/>
      <c r="G174" s="400"/>
      <c r="H174" s="4387">
        <f t="shared" si="200"/>
        <v>0</v>
      </c>
      <c r="I174" s="4649">
        <v>0</v>
      </c>
      <c r="J174" s="400"/>
      <c r="K174" s="400"/>
      <c r="L174" s="4387">
        <f t="shared" si="201"/>
        <v>0</v>
      </c>
      <c r="M174" s="4649">
        <v>20</v>
      </c>
      <c r="N174" s="400"/>
      <c r="O174" s="400"/>
      <c r="P174" s="4387">
        <f t="shared" si="202"/>
        <v>20</v>
      </c>
      <c r="Q174" s="400"/>
      <c r="R174" s="400"/>
      <c r="S174" s="400"/>
      <c r="T174" s="4387">
        <f t="shared" si="203"/>
        <v>0</v>
      </c>
      <c r="U174" s="400"/>
      <c r="V174" s="400"/>
      <c r="W174" s="400"/>
      <c r="X174" s="4387">
        <f t="shared" si="204"/>
        <v>0</v>
      </c>
      <c r="Y174" s="4422"/>
      <c r="Z174" s="4438">
        <f t="shared" si="175"/>
        <v>0</v>
      </c>
      <c r="AA174" s="4438">
        <f t="shared" si="190"/>
        <v>0</v>
      </c>
      <c r="AB174" s="4438">
        <f t="shared" si="191"/>
        <v>0</v>
      </c>
      <c r="AC174" s="4438">
        <f t="shared" si="176"/>
        <v>0</v>
      </c>
      <c r="AD174" s="4438">
        <f t="shared" si="177"/>
        <v>0</v>
      </c>
      <c r="AE174" s="4438">
        <f t="shared" si="192"/>
        <v>0</v>
      </c>
      <c r="AF174" s="4438">
        <f t="shared" si="193"/>
        <v>0</v>
      </c>
      <c r="AG174" s="4438">
        <f t="shared" si="178"/>
        <v>0</v>
      </c>
      <c r="AH174" s="4438">
        <f t="shared" si="179"/>
        <v>10.22583762392437</v>
      </c>
      <c r="AI174" s="4438">
        <f t="shared" si="194"/>
        <v>0</v>
      </c>
      <c r="AJ174" s="4438">
        <f t="shared" si="195"/>
        <v>0</v>
      </c>
      <c r="AK174" s="4438">
        <f t="shared" si="180"/>
        <v>10.22583762392437</v>
      </c>
      <c r="AL174" s="4438">
        <f t="shared" si="181"/>
        <v>0</v>
      </c>
      <c r="AM174" s="4438">
        <f t="shared" si="196"/>
        <v>0</v>
      </c>
      <c r="AN174" s="4438">
        <f t="shared" si="197"/>
        <v>0</v>
      </c>
      <c r="AO174" s="4438">
        <f t="shared" si="182"/>
        <v>0</v>
      </c>
      <c r="AP174" s="4438">
        <f t="shared" si="183"/>
        <v>0</v>
      </c>
      <c r="AQ174" s="4438">
        <f t="shared" si="198"/>
        <v>0</v>
      </c>
      <c r="AR174" s="4438">
        <f t="shared" si="199"/>
        <v>0</v>
      </c>
      <c r="AS174" s="4438">
        <f t="shared" si="184"/>
        <v>0</v>
      </c>
    </row>
    <row r="175" spans="1:45" ht="13.5" thickBot="1">
      <c r="A175" s="3685" t="s">
        <v>206</v>
      </c>
      <c r="B175" s="5192" t="s">
        <v>220</v>
      </c>
      <c r="C175" s="5193"/>
      <c r="D175" s="5194"/>
      <c r="E175" s="1220">
        <f t="shared" ref="E175:H175" si="205">SUM(E176:E196)</f>
        <v>24216</v>
      </c>
      <c r="F175" s="1220">
        <f t="shared" si="205"/>
        <v>2232</v>
      </c>
      <c r="G175" s="1220">
        <f t="shared" si="205"/>
        <v>0</v>
      </c>
      <c r="H175" s="1220">
        <f t="shared" si="205"/>
        <v>26448</v>
      </c>
      <c r="I175" s="1220">
        <f t="shared" ref="I175:X175" si="206">SUM(I176:I196)</f>
        <v>13907</v>
      </c>
      <c r="J175" s="1220">
        <f t="shared" si="206"/>
        <v>1940</v>
      </c>
      <c r="K175" s="1220">
        <f t="shared" si="206"/>
        <v>0</v>
      </c>
      <c r="L175" s="1220">
        <f t="shared" si="206"/>
        <v>15847</v>
      </c>
      <c r="M175" s="1220">
        <f t="shared" si="206"/>
        <v>22889</v>
      </c>
      <c r="N175" s="1220">
        <f t="shared" si="206"/>
        <v>3835</v>
      </c>
      <c r="O175" s="1220">
        <f t="shared" si="206"/>
        <v>0</v>
      </c>
      <c r="P175" s="1220">
        <f t="shared" si="206"/>
        <v>26724</v>
      </c>
      <c r="Q175" s="1220">
        <f t="shared" si="206"/>
        <v>0</v>
      </c>
      <c r="R175" s="1220">
        <f t="shared" si="206"/>
        <v>0</v>
      </c>
      <c r="S175" s="1220">
        <f t="shared" si="206"/>
        <v>0</v>
      </c>
      <c r="T175" s="1220">
        <f t="shared" si="206"/>
        <v>0</v>
      </c>
      <c r="U175" s="1220">
        <f t="shared" si="206"/>
        <v>0</v>
      </c>
      <c r="V175" s="1220">
        <f t="shared" si="206"/>
        <v>0</v>
      </c>
      <c r="W175" s="1220">
        <f t="shared" si="206"/>
        <v>0</v>
      </c>
      <c r="X175" s="1084">
        <f t="shared" si="206"/>
        <v>0</v>
      </c>
      <c r="Y175" s="4422"/>
      <c r="Z175" s="4438">
        <f t="shared" si="175"/>
        <v>12381.444195047627</v>
      </c>
      <c r="AA175" s="4438">
        <f t="shared" si="190"/>
        <v>1141.2034788299597</v>
      </c>
      <c r="AB175" s="4438">
        <f t="shared" si="191"/>
        <v>0</v>
      </c>
      <c r="AC175" s="4438">
        <f t="shared" si="176"/>
        <v>13522.647673877587</v>
      </c>
      <c r="AD175" s="4438">
        <f t="shared" si="177"/>
        <v>7110.5361917958107</v>
      </c>
      <c r="AE175" s="4438">
        <f t="shared" si="192"/>
        <v>991.90624952066389</v>
      </c>
      <c r="AF175" s="4438">
        <f t="shared" si="193"/>
        <v>0</v>
      </c>
      <c r="AG175" s="4438">
        <f t="shared" si="178"/>
        <v>8102.4424413164743</v>
      </c>
      <c r="AH175" s="4438">
        <f t="shared" si="179"/>
        <v>11702.959868700245</v>
      </c>
      <c r="AI175" s="4438">
        <f t="shared" si="194"/>
        <v>1960.804364387498</v>
      </c>
      <c r="AJ175" s="4438">
        <f t="shared" si="195"/>
        <v>0</v>
      </c>
      <c r="AK175" s="4438">
        <f t="shared" si="180"/>
        <v>13663.764233087742</v>
      </c>
      <c r="AL175" s="4438">
        <f t="shared" si="181"/>
        <v>0</v>
      </c>
      <c r="AM175" s="4438">
        <f t="shared" si="196"/>
        <v>0</v>
      </c>
      <c r="AN175" s="4438">
        <f t="shared" si="197"/>
        <v>0</v>
      </c>
      <c r="AO175" s="4438">
        <f t="shared" si="182"/>
        <v>0</v>
      </c>
      <c r="AP175" s="4438">
        <f t="shared" si="183"/>
        <v>0</v>
      </c>
      <c r="AQ175" s="4438">
        <f t="shared" si="198"/>
        <v>0</v>
      </c>
      <c r="AR175" s="4438">
        <f t="shared" si="199"/>
        <v>0</v>
      </c>
      <c r="AS175" s="4438">
        <f t="shared" si="184"/>
        <v>0</v>
      </c>
    </row>
    <row r="176" spans="1:45">
      <c r="A176" s="2515">
        <v>1</v>
      </c>
      <c r="B176" s="2576" t="s">
        <v>696</v>
      </c>
      <c r="C176" s="2533">
        <v>0</v>
      </c>
      <c r="D176" s="2563" t="s">
        <v>558</v>
      </c>
      <c r="E176" s="4645"/>
      <c r="F176" s="4635"/>
      <c r="G176" s="400"/>
      <c r="H176" s="4387">
        <f t="shared" si="200"/>
        <v>0</v>
      </c>
      <c r="I176" s="4645">
        <v>0</v>
      </c>
      <c r="J176" s="4635"/>
      <c r="K176" s="400"/>
      <c r="L176" s="4387">
        <f t="shared" ref="L176:L196" si="207">+I176+J176-K176</f>
        <v>0</v>
      </c>
      <c r="M176" s="4645">
        <v>0</v>
      </c>
      <c r="N176" s="400"/>
      <c r="O176" s="400"/>
      <c r="P176" s="4387">
        <f t="shared" ref="P176:P196" si="208">+M176+N176-O176</f>
        <v>0</v>
      </c>
      <c r="Q176" s="400"/>
      <c r="R176" s="400"/>
      <c r="S176" s="400"/>
      <c r="T176" s="4387">
        <f t="shared" ref="T176:T196" si="209">+Q176+R176-S176</f>
        <v>0</v>
      </c>
      <c r="U176" s="400"/>
      <c r="V176" s="400"/>
      <c r="W176" s="400"/>
      <c r="X176" s="4387">
        <f t="shared" ref="X176:X196" si="210">+U176+V176-W176</f>
        <v>0</v>
      </c>
      <c r="Y176" s="4422"/>
      <c r="Z176" s="4438">
        <f t="shared" si="175"/>
        <v>0</v>
      </c>
      <c r="AA176" s="4438">
        <f t="shared" si="190"/>
        <v>0</v>
      </c>
      <c r="AB176" s="4438">
        <f t="shared" si="191"/>
        <v>0</v>
      </c>
      <c r="AC176" s="4438">
        <f t="shared" si="176"/>
        <v>0</v>
      </c>
      <c r="AD176" s="4438">
        <f t="shared" si="177"/>
        <v>0</v>
      </c>
      <c r="AE176" s="4438">
        <f t="shared" si="192"/>
        <v>0</v>
      </c>
      <c r="AF176" s="4438">
        <f t="shared" si="193"/>
        <v>0</v>
      </c>
      <c r="AG176" s="4438">
        <f t="shared" si="178"/>
        <v>0</v>
      </c>
      <c r="AH176" s="4438">
        <f t="shared" si="179"/>
        <v>0</v>
      </c>
      <c r="AI176" s="4438">
        <f t="shared" si="194"/>
        <v>0</v>
      </c>
      <c r="AJ176" s="4438">
        <f t="shared" si="195"/>
        <v>0</v>
      </c>
      <c r="AK176" s="4438">
        <f t="shared" si="180"/>
        <v>0</v>
      </c>
      <c r="AL176" s="4438">
        <f t="shared" si="181"/>
        <v>0</v>
      </c>
      <c r="AM176" s="4438">
        <f t="shared" si="196"/>
        <v>0</v>
      </c>
      <c r="AN176" s="4438">
        <f t="shared" si="197"/>
        <v>0</v>
      </c>
      <c r="AO176" s="4438">
        <f t="shared" si="182"/>
        <v>0</v>
      </c>
      <c r="AP176" s="4438">
        <f t="shared" si="183"/>
        <v>0</v>
      </c>
      <c r="AQ176" s="4438">
        <f t="shared" si="198"/>
        <v>0</v>
      </c>
      <c r="AR176" s="4438">
        <f t="shared" si="199"/>
        <v>0</v>
      </c>
      <c r="AS176" s="4438">
        <f t="shared" si="184"/>
        <v>0</v>
      </c>
    </row>
    <row r="177" spans="1:45">
      <c r="A177" s="2515">
        <v>2</v>
      </c>
      <c r="B177" s="2516" t="s">
        <v>697</v>
      </c>
      <c r="C177" s="2517">
        <v>0.03</v>
      </c>
      <c r="D177" s="2571" t="s">
        <v>426</v>
      </c>
      <c r="E177" s="4645">
        <v>1557</v>
      </c>
      <c r="F177" s="4635">
        <v>65</v>
      </c>
      <c r="G177" s="400"/>
      <c r="H177" s="4387">
        <f t="shared" si="200"/>
        <v>1622</v>
      </c>
      <c r="I177" s="4645">
        <v>0</v>
      </c>
      <c r="J177" s="4635"/>
      <c r="K177" s="400"/>
      <c r="L177" s="4387">
        <f t="shared" si="207"/>
        <v>0</v>
      </c>
      <c r="M177" s="4645">
        <v>1895</v>
      </c>
      <c r="N177" s="400">
        <v>351</v>
      </c>
      <c r="O177" s="400"/>
      <c r="P177" s="4387">
        <f t="shared" si="208"/>
        <v>2246</v>
      </c>
      <c r="Q177" s="400"/>
      <c r="R177" s="400"/>
      <c r="S177" s="400"/>
      <c r="T177" s="4387">
        <f t="shared" si="209"/>
        <v>0</v>
      </c>
      <c r="U177" s="400"/>
      <c r="V177" s="400"/>
      <c r="W177" s="400"/>
      <c r="X177" s="4387">
        <f t="shared" si="210"/>
        <v>0</v>
      </c>
      <c r="Y177" s="4422"/>
      <c r="Z177" s="4438">
        <f t="shared" si="175"/>
        <v>796.08145902251215</v>
      </c>
      <c r="AA177" s="4438">
        <f t="shared" si="190"/>
        <v>33.233972277754205</v>
      </c>
      <c r="AB177" s="4438">
        <f t="shared" si="191"/>
        <v>0</v>
      </c>
      <c r="AC177" s="4438">
        <f t="shared" si="176"/>
        <v>829.31543130026637</v>
      </c>
      <c r="AD177" s="4438">
        <f t="shared" si="177"/>
        <v>0</v>
      </c>
      <c r="AE177" s="4438">
        <f t="shared" si="192"/>
        <v>0</v>
      </c>
      <c r="AF177" s="4438">
        <f t="shared" si="193"/>
        <v>0</v>
      </c>
      <c r="AG177" s="4438">
        <f t="shared" si="178"/>
        <v>0</v>
      </c>
      <c r="AH177" s="4438">
        <f t="shared" si="179"/>
        <v>968.89811486683402</v>
      </c>
      <c r="AI177" s="4438">
        <f t="shared" si="194"/>
        <v>179.4634502998727</v>
      </c>
      <c r="AJ177" s="4438">
        <f t="shared" si="195"/>
        <v>0</v>
      </c>
      <c r="AK177" s="4438">
        <f t="shared" si="180"/>
        <v>1148.3615651667067</v>
      </c>
      <c r="AL177" s="4438">
        <f t="shared" si="181"/>
        <v>0</v>
      </c>
      <c r="AM177" s="4438">
        <f t="shared" si="196"/>
        <v>0</v>
      </c>
      <c r="AN177" s="4438">
        <f t="shared" si="197"/>
        <v>0</v>
      </c>
      <c r="AO177" s="4438">
        <f t="shared" si="182"/>
        <v>0</v>
      </c>
      <c r="AP177" s="4438">
        <f t="shared" si="183"/>
        <v>0</v>
      </c>
      <c r="AQ177" s="4438">
        <f t="shared" si="198"/>
        <v>0</v>
      </c>
      <c r="AR177" s="4438">
        <f t="shared" si="199"/>
        <v>0</v>
      </c>
      <c r="AS177" s="4438">
        <f t="shared" si="184"/>
        <v>0</v>
      </c>
    </row>
    <row r="178" spans="1:45">
      <c r="A178" s="2515">
        <v>3</v>
      </c>
      <c r="B178" s="2516">
        <v>911301</v>
      </c>
      <c r="C178" s="2517">
        <v>0.1</v>
      </c>
      <c r="D178" s="2571" t="s">
        <v>427</v>
      </c>
      <c r="E178" s="4645">
        <v>3266</v>
      </c>
      <c r="F178" s="4635">
        <v>55</v>
      </c>
      <c r="G178" s="400"/>
      <c r="H178" s="4387">
        <f t="shared" si="200"/>
        <v>3321</v>
      </c>
      <c r="I178" s="4645">
        <v>0</v>
      </c>
      <c r="J178" s="4635"/>
      <c r="K178" s="400"/>
      <c r="L178" s="4387">
        <f t="shared" si="207"/>
        <v>0</v>
      </c>
      <c r="M178" s="4645">
        <v>6</v>
      </c>
      <c r="N178" s="400"/>
      <c r="O178" s="400"/>
      <c r="P178" s="4387">
        <f t="shared" si="208"/>
        <v>6</v>
      </c>
      <c r="Q178" s="400"/>
      <c r="R178" s="400"/>
      <c r="S178" s="400"/>
      <c r="T178" s="4387">
        <f t="shared" si="209"/>
        <v>0</v>
      </c>
      <c r="U178" s="400"/>
      <c r="V178" s="400"/>
      <c r="W178" s="400"/>
      <c r="X178" s="4387">
        <f t="shared" si="210"/>
        <v>0</v>
      </c>
      <c r="Y178" s="4422"/>
      <c r="Z178" s="4438">
        <f t="shared" si="175"/>
        <v>1669.8792839868497</v>
      </c>
      <c r="AA178" s="4438">
        <f t="shared" si="190"/>
        <v>28.121053465792016</v>
      </c>
      <c r="AB178" s="4438">
        <f t="shared" si="191"/>
        <v>0</v>
      </c>
      <c r="AC178" s="4438">
        <f t="shared" si="176"/>
        <v>1698.0003374526416</v>
      </c>
      <c r="AD178" s="4438">
        <f t="shared" si="177"/>
        <v>0</v>
      </c>
      <c r="AE178" s="4438">
        <f t="shared" si="192"/>
        <v>0</v>
      </c>
      <c r="AF178" s="4438">
        <f t="shared" si="193"/>
        <v>0</v>
      </c>
      <c r="AG178" s="4438">
        <f t="shared" si="178"/>
        <v>0</v>
      </c>
      <c r="AH178" s="4438">
        <f t="shared" si="179"/>
        <v>3.0677512871773112</v>
      </c>
      <c r="AI178" s="4438">
        <f t="shared" si="194"/>
        <v>0</v>
      </c>
      <c r="AJ178" s="4438">
        <f t="shared" si="195"/>
        <v>0</v>
      </c>
      <c r="AK178" s="4438">
        <f t="shared" si="180"/>
        <v>3.0677512871773112</v>
      </c>
      <c r="AL178" s="4438">
        <f t="shared" si="181"/>
        <v>0</v>
      </c>
      <c r="AM178" s="4438">
        <f t="shared" si="196"/>
        <v>0</v>
      </c>
      <c r="AN178" s="4438">
        <f t="shared" si="197"/>
        <v>0</v>
      </c>
      <c r="AO178" s="4438">
        <f t="shared" si="182"/>
        <v>0</v>
      </c>
      <c r="AP178" s="4438">
        <f t="shared" si="183"/>
        <v>0</v>
      </c>
      <c r="AQ178" s="4438">
        <f t="shared" si="198"/>
        <v>0</v>
      </c>
      <c r="AR178" s="4438">
        <f t="shared" si="199"/>
        <v>0</v>
      </c>
      <c r="AS178" s="4438">
        <f t="shared" si="184"/>
        <v>0</v>
      </c>
    </row>
    <row r="179" spans="1:45">
      <c r="A179" s="2515">
        <v>4</v>
      </c>
      <c r="B179" s="2516">
        <v>911302</v>
      </c>
      <c r="C179" s="2517">
        <v>0.1</v>
      </c>
      <c r="D179" s="2571" t="s">
        <v>428</v>
      </c>
      <c r="E179" s="4645">
        <v>286</v>
      </c>
      <c r="F179" s="4635">
        <v>10</v>
      </c>
      <c r="G179" s="400"/>
      <c r="H179" s="4387">
        <f t="shared" si="200"/>
        <v>296</v>
      </c>
      <c r="I179" s="4645">
        <v>0</v>
      </c>
      <c r="J179" s="4635"/>
      <c r="K179" s="400"/>
      <c r="L179" s="4387">
        <f t="shared" si="207"/>
        <v>0</v>
      </c>
      <c r="M179" s="4645">
        <v>0</v>
      </c>
      <c r="N179" s="400"/>
      <c r="O179" s="400"/>
      <c r="P179" s="4387">
        <f t="shared" si="208"/>
        <v>0</v>
      </c>
      <c r="Q179" s="400"/>
      <c r="R179" s="400"/>
      <c r="S179" s="400"/>
      <c r="T179" s="4387">
        <f t="shared" si="209"/>
        <v>0</v>
      </c>
      <c r="U179" s="400"/>
      <c r="V179" s="400"/>
      <c r="W179" s="400"/>
      <c r="X179" s="4387">
        <f t="shared" si="210"/>
        <v>0</v>
      </c>
      <c r="Y179" s="4422"/>
      <c r="Z179" s="4438">
        <f t="shared" si="175"/>
        <v>146.22947802211849</v>
      </c>
      <c r="AA179" s="4438">
        <f t="shared" si="190"/>
        <v>5.1129188119621851</v>
      </c>
      <c r="AB179" s="4438">
        <f t="shared" si="191"/>
        <v>0</v>
      </c>
      <c r="AC179" s="4438">
        <f t="shared" si="176"/>
        <v>151.34239683408069</v>
      </c>
      <c r="AD179" s="4438">
        <f t="shared" si="177"/>
        <v>0</v>
      </c>
      <c r="AE179" s="4438">
        <f t="shared" si="192"/>
        <v>0</v>
      </c>
      <c r="AF179" s="4438">
        <f t="shared" si="193"/>
        <v>0</v>
      </c>
      <c r="AG179" s="4438">
        <f t="shared" si="178"/>
        <v>0</v>
      </c>
      <c r="AH179" s="4438">
        <f t="shared" si="179"/>
        <v>0</v>
      </c>
      <c r="AI179" s="4438">
        <f t="shared" si="194"/>
        <v>0</v>
      </c>
      <c r="AJ179" s="4438">
        <f t="shared" si="195"/>
        <v>0</v>
      </c>
      <c r="AK179" s="4438">
        <f t="shared" si="180"/>
        <v>0</v>
      </c>
      <c r="AL179" s="4438">
        <f t="shared" si="181"/>
        <v>0</v>
      </c>
      <c r="AM179" s="4438">
        <f t="shared" si="196"/>
        <v>0</v>
      </c>
      <c r="AN179" s="4438">
        <f t="shared" si="197"/>
        <v>0</v>
      </c>
      <c r="AO179" s="4438">
        <f t="shared" si="182"/>
        <v>0</v>
      </c>
      <c r="AP179" s="4438">
        <f t="shared" si="183"/>
        <v>0</v>
      </c>
      <c r="AQ179" s="4438">
        <f t="shared" si="198"/>
        <v>0</v>
      </c>
      <c r="AR179" s="4438">
        <f t="shared" si="199"/>
        <v>0</v>
      </c>
      <c r="AS179" s="4438">
        <f t="shared" si="184"/>
        <v>0</v>
      </c>
    </row>
    <row r="180" spans="1:45">
      <c r="A180" s="2515">
        <v>5</v>
      </c>
      <c r="B180" s="2516" t="s">
        <v>714</v>
      </c>
      <c r="C180" s="2517">
        <v>0.1</v>
      </c>
      <c r="D180" s="2552" t="s">
        <v>407</v>
      </c>
      <c r="E180" s="4645">
        <v>118</v>
      </c>
      <c r="F180" s="4635">
        <v>3</v>
      </c>
      <c r="G180" s="400"/>
      <c r="H180" s="4387">
        <f t="shared" si="200"/>
        <v>121</v>
      </c>
      <c r="I180" s="4645">
        <v>18</v>
      </c>
      <c r="J180" s="4635">
        <v>1</v>
      </c>
      <c r="K180" s="400"/>
      <c r="L180" s="4387">
        <f t="shared" si="207"/>
        <v>19</v>
      </c>
      <c r="M180" s="4645">
        <v>0</v>
      </c>
      <c r="N180" s="400"/>
      <c r="O180" s="400"/>
      <c r="P180" s="4387">
        <f t="shared" si="208"/>
        <v>0</v>
      </c>
      <c r="Q180" s="400"/>
      <c r="R180" s="400"/>
      <c r="S180" s="400"/>
      <c r="T180" s="4387">
        <f t="shared" si="209"/>
        <v>0</v>
      </c>
      <c r="U180" s="400"/>
      <c r="V180" s="400"/>
      <c r="W180" s="400"/>
      <c r="X180" s="4387">
        <f t="shared" si="210"/>
        <v>0</v>
      </c>
      <c r="Y180" s="4422"/>
      <c r="Z180" s="4438">
        <f t="shared" si="175"/>
        <v>60.332441981153785</v>
      </c>
      <c r="AA180" s="4438">
        <f t="shared" si="190"/>
        <v>1.5338756435886556</v>
      </c>
      <c r="AB180" s="4438">
        <f t="shared" si="191"/>
        <v>0</v>
      </c>
      <c r="AC180" s="4438">
        <f t="shared" si="176"/>
        <v>61.866317624742436</v>
      </c>
      <c r="AD180" s="4438">
        <f t="shared" si="177"/>
        <v>9.2032538615319321</v>
      </c>
      <c r="AE180" s="4438">
        <f t="shared" si="192"/>
        <v>0.51129188119621849</v>
      </c>
      <c r="AF180" s="4438">
        <f t="shared" si="193"/>
        <v>0</v>
      </c>
      <c r="AG180" s="4438">
        <f t="shared" si="178"/>
        <v>9.7145457427281521</v>
      </c>
      <c r="AH180" s="4438">
        <f t="shared" si="179"/>
        <v>0</v>
      </c>
      <c r="AI180" s="4438">
        <f t="shared" si="194"/>
        <v>0</v>
      </c>
      <c r="AJ180" s="4438">
        <f t="shared" si="195"/>
        <v>0</v>
      </c>
      <c r="AK180" s="4438">
        <f t="shared" si="180"/>
        <v>0</v>
      </c>
      <c r="AL180" s="4438">
        <f t="shared" si="181"/>
        <v>0</v>
      </c>
      <c r="AM180" s="4438">
        <f t="shared" si="196"/>
        <v>0</v>
      </c>
      <c r="AN180" s="4438">
        <f t="shared" si="197"/>
        <v>0</v>
      </c>
      <c r="AO180" s="4438">
        <f t="shared" si="182"/>
        <v>0</v>
      </c>
      <c r="AP180" s="4438">
        <f t="shared" si="183"/>
        <v>0</v>
      </c>
      <c r="AQ180" s="4438">
        <f t="shared" si="198"/>
        <v>0</v>
      </c>
      <c r="AR180" s="4438">
        <f t="shared" si="199"/>
        <v>0</v>
      </c>
      <c r="AS180" s="4438">
        <f t="shared" si="184"/>
        <v>0</v>
      </c>
    </row>
    <row r="181" spans="1:45">
      <c r="A181" s="2515">
        <v>6</v>
      </c>
      <c r="B181" s="2516" t="s">
        <v>715</v>
      </c>
      <c r="C181" s="2517">
        <v>0.1</v>
      </c>
      <c r="D181" s="2552" t="s">
        <v>1001</v>
      </c>
      <c r="E181" s="4645">
        <v>196</v>
      </c>
      <c r="F181" s="4635">
        <v>2</v>
      </c>
      <c r="G181" s="400"/>
      <c r="H181" s="4387">
        <f t="shared" si="200"/>
        <v>198</v>
      </c>
      <c r="I181" s="4645">
        <v>0</v>
      </c>
      <c r="J181" s="4635"/>
      <c r="K181" s="400"/>
      <c r="L181" s="4387">
        <f t="shared" si="207"/>
        <v>0</v>
      </c>
      <c r="M181" s="4645">
        <v>0</v>
      </c>
      <c r="N181" s="400"/>
      <c r="O181" s="400"/>
      <c r="P181" s="4387">
        <f t="shared" si="208"/>
        <v>0</v>
      </c>
      <c r="Q181" s="400"/>
      <c r="R181" s="400"/>
      <c r="S181" s="400"/>
      <c r="T181" s="4387">
        <f t="shared" si="209"/>
        <v>0</v>
      </c>
      <c r="U181" s="400"/>
      <c r="V181" s="400"/>
      <c r="W181" s="400"/>
      <c r="X181" s="4387">
        <f t="shared" si="210"/>
        <v>0</v>
      </c>
      <c r="Y181" s="4422"/>
      <c r="Z181" s="4438">
        <f t="shared" si="175"/>
        <v>100.21320871445883</v>
      </c>
      <c r="AA181" s="4438">
        <f t="shared" si="190"/>
        <v>1.022583762392437</v>
      </c>
      <c r="AB181" s="4438">
        <f t="shared" si="191"/>
        <v>0</v>
      </c>
      <c r="AC181" s="4438">
        <f t="shared" si="176"/>
        <v>101.23579247685126</v>
      </c>
      <c r="AD181" s="4438">
        <f t="shared" si="177"/>
        <v>0</v>
      </c>
      <c r="AE181" s="4438">
        <f t="shared" si="192"/>
        <v>0</v>
      </c>
      <c r="AF181" s="4438">
        <f t="shared" si="193"/>
        <v>0</v>
      </c>
      <c r="AG181" s="4438">
        <f t="shared" si="178"/>
        <v>0</v>
      </c>
      <c r="AH181" s="4438">
        <f t="shared" si="179"/>
        <v>0</v>
      </c>
      <c r="AI181" s="4438">
        <f t="shared" si="194"/>
        <v>0</v>
      </c>
      <c r="AJ181" s="4438">
        <f t="shared" si="195"/>
        <v>0</v>
      </c>
      <c r="AK181" s="4438">
        <f t="shared" si="180"/>
        <v>0</v>
      </c>
      <c r="AL181" s="4438">
        <f t="shared" si="181"/>
        <v>0</v>
      </c>
      <c r="AM181" s="4438">
        <f t="shared" si="196"/>
        <v>0</v>
      </c>
      <c r="AN181" s="4438">
        <f t="shared" si="197"/>
        <v>0</v>
      </c>
      <c r="AO181" s="4438">
        <f t="shared" si="182"/>
        <v>0</v>
      </c>
      <c r="AP181" s="4438">
        <f t="shared" si="183"/>
        <v>0</v>
      </c>
      <c r="AQ181" s="4438">
        <f t="shared" si="198"/>
        <v>0</v>
      </c>
      <c r="AR181" s="4438">
        <f t="shared" si="199"/>
        <v>0</v>
      </c>
      <c r="AS181" s="4438">
        <f t="shared" si="184"/>
        <v>0</v>
      </c>
    </row>
    <row r="182" spans="1:45" ht="36">
      <c r="A182" s="2515">
        <v>7</v>
      </c>
      <c r="B182" s="2516" t="s">
        <v>706</v>
      </c>
      <c r="C182" s="2517">
        <v>0.1</v>
      </c>
      <c r="D182" s="2552" t="s">
        <v>695</v>
      </c>
      <c r="E182" s="4645">
        <v>304</v>
      </c>
      <c r="F182" s="4635">
        <v>1</v>
      </c>
      <c r="G182" s="400"/>
      <c r="H182" s="4387">
        <f t="shared" si="200"/>
        <v>305</v>
      </c>
      <c r="I182" s="4645">
        <v>0</v>
      </c>
      <c r="J182" s="4635"/>
      <c r="K182" s="400"/>
      <c r="L182" s="4387">
        <f t="shared" si="207"/>
        <v>0</v>
      </c>
      <c r="M182" s="4645">
        <v>0</v>
      </c>
      <c r="N182" s="400"/>
      <c r="O182" s="400"/>
      <c r="P182" s="4387">
        <f t="shared" si="208"/>
        <v>0</v>
      </c>
      <c r="Q182" s="400"/>
      <c r="R182" s="400"/>
      <c r="S182" s="400"/>
      <c r="T182" s="4387">
        <f t="shared" si="209"/>
        <v>0</v>
      </c>
      <c r="U182" s="400"/>
      <c r="V182" s="400"/>
      <c r="W182" s="400"/>
      <c r="X182" s="4387">
        <f t="shared" si="210"/>
        <v>0</v>
      </c>
      <c r="Y182" s="4422"/>
      <c r="Z182" s="4438">
        <f t="shared" si="175"/>
        <v>155.43273188365043</v>
      </c>
      <c r="AA182" s="4438">
        <f t="shared" si="190"/>
        <v>0.51129188119621849</v>
      </c>
      <c r="AB182" s="4438">
        <f t="shared" si="191"/>
        <v>0</v>
      </c>
      <c r="AC182" s="4438">
        <f t="shared" si="176"/>
        <v>155.94402376484663</v>
      </c>
      <c r="AD182" s="4438">
        <f t="shared" si="177"/>
        <v>0</v>
      </c>
      <c r="AE182" s="4438">
        <f t="shared" si="192"/>
        <v>0</v>
      </c>
      <c r="AF182" s="4438">
        <f t="shared" si="193"/>
        <v>0</v>
      </c>
      <c r="AG182" s="4438">
        <f t="shared" si="178"/>
        <v>0</v>
      </c>
      <c r="AH182" s="4438">
        <f t="shared" si="179"/>
        <v>0</v>
      </c>
      <c r="AI182" s="4438">
        <f t="shared" si="194"/>
        <v>0</v>
      </c>
      <c r="AJ182" s="4438">
        <f t="shared" si="195"/>
        <v>0</v>
      </c>
      <c r="AK182" s="4438">
        <f t="shared" si="180"/>
        <v>0</v>
      </c>
      <c r="AL182" s="4438">
        <f t="shared" si="181"/>
        <v>0</v>
      </c>
      <c r="AM182" s="4438">
        <f t="shared" si="196"/>
        <v>0</v>
      </c>
      <c r="AN182" s="4438">
        <f t="shared" si="197"/>
        <v>0</v>
      </c>
      <c r="AO182" s="4438">
        <f t="shared" si="182"/>
        <v>0</v>
      </c>
      <c r="AP182" s="4438">
        <f t="shared" si="183"/>
        <v>0</v>
      </c>
      <c r="AQ182" s="4438">
        <f t="shared" si="198"/>
        <v>0</v>
      </c>
      <c r="AR182" s="4438">
        <f t="shared" si="199"/>
        <v>0</v>
      </c>
      <c r="AS182" s="4438">
        <f t="shared" si="184"/>
        <v>0</v>
      </c>
    </row>
    <row r="183" spans="1:45">
      <c r="A183" s="2515">
        <v>8</v>
      </c>
      <c r="B183" s="2516" t="s">
        <v>716</v>
      </c>
      <c r="C183" s="2517">
        <v>0.1</v>
      </c>
      <c r="D183" s="2552" t="s">
        <v>713</v>
      </c>
      <c r="E183" s="4645">
        <v>3454</v>
      </c>
      <c r="F183" s="4635">
        <v>629</v>
      </c>
      <c r="G183" s="400"/>
      <c r="H183" s="4387">
        <f t="shared" si="200"/>
        <v>4083</v>
      </c>
      <c r="I183" s="4645">
        <v>0</v>
      </c>
      <c r="J183" s="4635"/>
      <c r="K183" s="400"/>
      <c r="L183" s="4387">
        <f t="shared" si="207"/>
        <v>0</v>
      </c>
      <c r="M183" s="4645">
        <v>0</v>
      </c>
      <c r="N183" s="400"/>
      <c r="O183" s="400"/>
      <c r="P183" s="4387">
        <f t="shared" si="208"/>
        <v>0</v>
      </c>
      <c r="Q183" s="400"/>
      <c r="R183" s="400"/>
      <c r="S183" s="400"/>
      <c r="T183" s="4387">
        <f t="shared" si="209"/>
        <v>0</v>
      </c>
      <c r="U183" s="400"/>
      <c r="V183" s="400"/>
      <c r="W183" s="400"/>
      <c r="X183" s="4387">
        <f t="shared" si="210"/>
        <v>0</v>
      </c>
      <c r="Y183" s="4422"/>
      <c r="Z183" s="4438">
        <f t="shared" si="175"/>
        <v>1766.0021576517388</v>
      </c>
      <c r="AA183" s="4438">
        <f t="shared" si="190"/>
        <v>321.60259327242142</v>
      </c>
      <c r="AB183" s="4438">
        <f t="shared" si="191"/>
        <v>0</v>
      </c>
      <c r="AC183" s="4438">
        <f t="shared" si="176"/>
        <v>2087.6047509241603</v>
      </c>
      <c r="AD183" s="4438">
        <f t="shared" si="177"/>
        <v>0</v>
      </c>
      <c r="AE183" s="4438">
        <f t="shared" si="192"/>
        <v>0</v>
      </c>
      <c r="AF183" s="4438">
        <f t="shared" si="193"/>
        <v>0</v>
      </c>
      <c r="AG183" s="4438">
        <f t="shared" si="178"/>
        <v>0</v>
      </c>
      <c r="AH183" s="4438">
        <f t="shared" si="179"/>
        <v>0</v>
      </c>
      <c r="AI183" s="4438">
        <f t="shared" si="194"/>
        <v>0</v>
      </c>
      <c r="AJ183" s="4438">
        <f t="shared" si="195"/>
        <v>0</v>
      </c>
      <c r="AK183" s="4438">
        <f t="shared" si="180"/>
        <v>0</v>
      </c>
      <c r="AL183" s="4438">
        <f t="shared" si="181"/>
        <v>0</v>
      </c>
      <c r="AM183" s="4438">
        <f t="shared" si="196"/>
        <v>0</v>
      </c>
      <c r="AN183" s="4438">
        <f t="shared" si="197"/>
        <v>0</v>
      </c>
      <c r="AO183" s="4438">
        <f t="shared" si="182"/>
        <v>0</v>
      </c>
      <c r="AP183" s="4438">
        <f t="shared" si="183"/>
        <v>0</v>
      </c>
      <c r="AQ183" s="4438">
        <f t="shared" si="198"/>
        <v>0</v>
      </c>
      <c r="AR183" s="4438">
        <f t="shared" si="199"/>
        <v>0</v>
      </c>
      <c r="AS183" s="4438">
        <f t="shared" si="184"/>
        <v>0</v>
      </c>
    </row>
    <row r="184" spans="1:45" ht="24">
      <c r="A184" s="2573">
        <v>9</v>
      </c>
      <c r="B184" s="2516">
        <v>911306</v>
      </c>
      <c r="C184" s="2517">
        <v>0.1</v>
      </c>
      <c r="D184" s="2552" t="s">
        <v>1032</v>
      </c>
      <c r="E184" s="4647">
        <v>158</v>
      </c>
      <c r="F184" s="4633">
        <v>8</v>
      </c>
      <c r="G184" s="400"/>
      <c r="H184" s="4387">
        <f t="shared" si="200"/>
        <v>166</v>
      </c>
      <c r="I184" s="4647">
        <v>85</v>
      </c>
      <c r="J184" s="4635">
        <v>31</v>
      </c>
      <c r="K184" s="400"/>
      <c r="L184" s="4387">
        <f t="shared" si="207"/>
        <v>116</v>
      </c>
      <c r="M184" s="4647">
        <v>11208</v>
      </c>
      <c r="N184" s="400">
        <v>1760</v>
      </c>
      <c r="O184" s="400"/>
      <c r="P184" s="4387">
        <f t="shared" si="208"/>
        <v>12968</v>
      </c>
      <c r="Q184" s="400"/>
      <c r="R184" s="400"/>
      <c r="S184" s="400"/>
      <c r="T184" s="4387">
        <f t="shared" si="209"/>
        <v>0</v>
      </c>
      <c r="U184" s="400"/>
      <c r="V184" s="400"/>
      <c r="W184" s="400"/>
      <c r="X184" s="4387">
        <f t="shared" si="210"/>
        <v>0</v>
      </c>
      <c r="Y184" s="4422"/>
      <c r="Z184" s="4438">
        <f t="shared" si="175"/>
        <v>80.784117229002518</v>
      </c>
      <c r="AA184" s="4438">
        <f t="shared" si="190"/>
        <v>4.0903350495697479</v>
      </c>
      <c r="AB184" s="4438">
        <f t="shared" si="191"/>
        <v>0</v>
      </c>
      <c r="AC184" s="4438">
        <f t="shared" si="176"/>
        <v>84.874452278572264</v>
      </c>
      <c r="AD184" s="4438">
        <f t="shared" si="177"/>
        <v>43.459809901678575</v>
      </c>
      <c r="AE184" s="4438">
        <f t="shared" si="192"/>
        <v>15.850048317082774</v>
      </c>
      <c r="AF184" s="4438">
        <f t="shared" si="193"/>
        <v>0</v>
      </c>
      <c r="AG184" s="4438">
        <f t="shared" si="178"/>
        <v>59.309858218761349</v>
      </c>
      <c r="AH184" s="4438">
        <f t="shared" si="179"/>
        <v>5730.5594044472173</v>
      </c>
      <c r="AI184" s="4438">
        <f t="shared" si="194"/>
        <v>899.87371090534452</v>
      </c>
      <c r="AJ184" s="4438">
        <f t="shared" si="195"/>
        <v>0</v>
      </c>
      <c r="AK184" s="4438">
        <f t="shared" si="180"/>
        <v>6630.4331153525618</v>
      </c>
      <c r="AL184" s="4438">
        <f t="shared" si="181"/>
        <v>0</v>
      </c>
      <c r="AM184" s="4438">
        <f t="shared" si="196"/>
        <v>0</v>
      </c>
      <c r="AN184" s="4438">
        <f t="shared" si="197"/>
        <v>0</v>
      </c>
      <c r="AO184" s="4438">
        <f t="shared" si="182"/>
        <v>0</v>
      </c>
      <c r="AP184" s="4438">
        <f t="shared" si="183"/>
        <v>0</v>
      </c>
      <c r="AQ184" s="4438">
        <f t="shared" si="198"/>
        <v>0</v>
      </c>
      <c r="AR184" s="4438">
        <f t="shared" si="199"/>
        <v>0</v>
      </c>
      <c r="AS184" s="4438">
        <f t="shared" si="184"/>
        <v>0</v>
      </c>
    </row>
    <row r="185" spans="1:45">
      <c r="A185" s="2573">
        <v>10</v>
      </c>
      <c r="B185" s="2516">
        <v>91140101</v>
      </c>
      <c r="C185" s="2572">
        <v>0.1</v>
      </c>
      <c r="D185" s="2546" t="s">
        <v>1016</v>
      </c>
      <c r="E185" s="4645">
        <v>91</v>
      </c>
      <c r="F185" s="4635">
        <v>9</v>
      </c>
      <c r="G185" s="400"/>
      <c r="H185" s="4387">
        <f t="shared" si="200"/>
        <v>100</v>
      </c>
      <c r="I185" s="4645">
        <v>0</v>
      </c>
      <c r="J185" s="4635"/>
      <c r="K185" s="400"/>
      <c r="L185" s="4387">
        <f t="shared" si="207"/>
        <v>0</v>
      </c>
      <c r="M185" s="4645">
        <v>0</v>
      </c>
      <c r="N185" s="400"/>
      <c r="O185" s="400"/>
      <c r="P185" s="4387">
        <f t="shared" si="208"/>
        <v>0</v>
      </c>
      <c r="Q185" s="400"/>
      <c r="R185" s="400"/>
      <c r="S185" s="400"/>
      <c r="T185" s="4387">
        <f t="shared" si="209"/>
        <v>0</v>
      </c>
      <c r="U185" s="400"/>
      <c r="V185" s="400"/>
      <c r="W185" s="400"/>
      <c r="X185" s="4387">
        <f t="shared" si="210"/>
        <v>0</v>
      </c>
      <c r="Y185" s="4422"/>
      <c r="Z185" s="4438">
        <f t="shared" si="175"/>
        <v>46.527561188855884</v>
      </c>
      <c r="AA185" s="4438">
        <f t="shared" si="190"/>
        <v>4.6016269307659661</v>
      </c>
      <c r="AB185" s="4438">
        <f t="shared" si="191"/>
        <v>0</v>
      </c>
      <c r="AC185" s="4438">
        <f t="shared" si="176"/>
        <v>51.129188119621851</v>
      </c>
      <c r="AD185" s="4438">
        <f t="shared" si="177"/>
        <v>0</v>
      </c>
      <c r="AE185" s="4438">
        <f t="shared" si="192"/>
        <v>0</v>
      </c>
      <c r="AF185" s="4438">
        <f t="shared" si="193"/>
        <v>0</v>
      </c>
      <c r="AG185" s="4438">
        <f t="shared" si="178"/>
        <v>0</v>
      </c>
      <c r="AH185" s="4438">
        <f t="shared" si="179"/>
        <v>0</v>
      </c>
      <c r="AI185" s="4438">
        <f t="shared" si="194"/>
        <v>0</v>
      </c>
      <c r="AJ185" s="4438">
        <f t="shared" si="195"/>
        <v>0</v>
      </c>
      <c r="AK185" s="4438">
        <f t="shared" si="180"/>
        <v>0</v>
      </c>
      <c r="AL185" s="4438">
        <f t="shared" si="181"/>
        <v>0</v>
      </c>
      <c r="AM185" s="4438">
        <f t="shared" si="196"/>
        <v>0</v>
      </c>
      <c r="AN185" s="4438">
        <f t="shared" si="197"/>
        <v>0</v>
      </c>
      <c r="AO185" s="4438">
        <f t="shared" si="182"/>
        <v>0</v>
      </c>
      <c r="AP185" s="4438">
        <f t="shared" si="183"/>
        <v>0</v>
      </c>
      <c r="AQ185" s="4438">
        <f t="shared" si="198"/>
        <v>0</v>
      </c>
      <c r="AR185" s="4438">
        <f t="shared" si="199"/>
        <v>0</v>
      </c>
      <c r="AS185" s="4438">
        <f t="shared" si="184"/>
        <v>0</v>
      </c>
    </row>
    <row r="186" spans="1:45">
      <c r="A186" s="2573">
        <v>11</v>
      </c>
      <c r="B186" s="2516">
        <v>91140102</v>
      </c>
      <c r="C186" s="2572">
        <v>0.04</v>
      </c>
      <c r="D186" s="2546" t="s">
        <v>432</v>
      </c>
      <c r="E186" s="4645"/>
      <c r="F186" s="4635"/>
      <c r="G186" s="400"/>
      <c r="H186" s="4387">
        <f t="shared" si="200"/>
        <v>0</v>
      </c>
      <c r="I186" s="4645">
        <v>0</v>
      </c>
      <c r="J186" s="4635"/>
      <c r="K186" s="400"/>
      <c r="L186" s="4387">
        <f t="shared" si="207"/>
        <v>0</v>
      </c>
      <c r="M186" s="4645">
        <v>0</v>
      </c>
      <c r="N186" s="400"/>
      <c r="O186" s="400"/>
      <c r="P186" s="4387">
        <f t="shared" si="208"/>
        <v>0</v>
      </c>
      <c r="Q186" s="400"/>
      <c r="R186" s="400"/>
      <c r="S186" s="400"/>
      <c r="T186" s="4387">
        <f t="shared" si="209"/>
        <v>0</v>
      </c>
      <c r="U186" s="400"/>
      <c r="V186" s="400"/>
      <c r="W186" s="400"/>
      <c r="X186" s="4387">
        <f t="shared" si="210"/>
        <v>0</v>
      </c>
      <c r="Y186" s="4422"/>
      <c r="Z186" s="4438">
        <f t="shared" si="175"/>
        <v>0</v>
      </c>
      <c r="AA186" s="4438">
        <f t="shared" si="190"/>
        <v>0</v>
      </c>
      <c r="AB186" s="4438">
        <f t="shared" si="191"/>
        <v>0</v>
      </c>
      <c r="AC186" s="4438">
        <f t="shared" si="176"/>
        <v>0</v>
      </c>
      <c r="AD186" s="4438">
        <f t="shared" si="177"/>
        <v>0</v>
      </c>
      <c r="AE186" s="4438">
        <f t="shared" si="192"/>
        <v>0</v>
      </c>
      <c r="AF186" s="4438">
        <f t="shared" si="193"/>
        <v>0</v>
      </c>
      <c r="AG186" s="4438">
        <f t="shared" si="178"/>
        <v>0</v>
      </c>
      <c r="AH186" s="4438">
        <f t="shared" si="179"/>
        <v>0</v>
      </c>
      <c r="AI186" s="4438">
        <f t="shared" si="194"/>
        <v>0</v>
      </c>
      <c r="AJ186" s="4438">
        <f t="shared" si="195"/>
        <v>0</v>
      </c>
      <c r="AK186" s="4438">
        <f t="shared" si="180"/>
        <v>0</v>
      </c>
      <c r="AL186" s="4438">
        <f t="shared" si="181"/>
        <v>0</v>
      </c>
      <c r="AM186" s="4438">
        <f t="shared" si="196"/>
        <v>0</v>
      </c>
      <c r="AN186" s="4438">
        <f t="shared" si="197"/>
        <v>0</v>
      </c>
      <c r="AO186" s="4438">
        <f t="shared" si="182"/>
        <v>0</v>
      </c>
      <c r="AP186" s="4438">
        <f t="shared" si="183"/>
        <v>0</v>
      </c>
      <c r="AQ186" s="4438">
        <f t="shared" si="198"/>
        <v>0</v>
      </c>
      <c r="AR186" s="4438">
        <f t="shared" si="199"/>
        <v>0</v>
      </c>
      <c r="AS186" s="4438">
        <f t="shared" si="184"/>
        <v>0</v>
      </c>
    </row>
    <row r="187" spans="1:45">
      <c r="A187" s="2573">
        <v>12</v>
      </c>
      <c r="B187" s="2516" t="s">
        <v>698</v>
      </c>
      <c r="C187" s="2517">
        <v>0.02</v>
      </c>
      <c r="D187" s="2547" t="s">
        <v>738</v>
      </c>
      <c r="E187" s="4647"/>
      <c r="F187" s="4633"/>
      <c r="G187" s="400"/>
      <c r="H187" s="4387">
        <f t="shared" si="200"/>
        <v>0</v>
      </c>
      <c r="I187" s="4647">
        <v>9</v>
      </c>
      <c r="J187" s="4635">
        <v>1</v>
      </c>
      <c r="K187" s="400"/>
      <c r="L187" s="4387">
        <f t="shared" si="207"/>
        <v>10</v>
      </c>
      <c r="M187" s="4647">
        <v>0</v>
      </c>
      <c r="N187" s="400"/>
      <c r="O187" s="400"/>
      <c r="P187" s="4387">
        <f t="shared" si="208"/>
        <v>0</v>
      </c>
      <c r="Q187" s="400"/>
      <c r="R187" s="400"/>
      <c r="S187" s="400"/>
      <c r="T187" s="4387">
        <f t="shared" si="209"/>
        <v>0</v>
      </c>
      <c r="U187" s="400"/>
      <c r="V187" s="400"/>
      <c r="W187" s="400"/>
      <c r="X187" s="4387">
        <f t="shared" si="210"/>
        <v>0</v>
      </c>
      <c r="Y187" s="4422"/>
      <c r="Z187" s="4438">
        <f t="shared" si="175"/>
        <v>0</v>
      </c>
      <c r="AA187" s="4438">
        <f t="shared" si="190"/>
        <v>0</v>
      </c>
      <c r="AB187" s="4438">
        <f t="shared" si="191"/>
        <v>0</v>
      </c>
      <c r="AC187" s="4438">
        <f t="shared" si="176"/>
        <v>0</v>
      </c>
      <c r="AD187" s="4438">
        <f t="shared" si="177"/>
        <v>4.6016269307659661</v>
      </c>
      <c r="AE187" s="4438">
        <f t="shared" si="192"/>
        <v>0.51129188119621849</v>
      </c>
      <c r="AF187" s="4438">
        <f t="shared" si="193"/>
        <v>0</v>
      </c>
      <c r="AG187" s="4438">
        <f t="shared" si="178"/>
        <v>5.1129188119621851</v>
      </c>
      <c r="AH187" s="4438">
        <f t="shared" si="179"/>
        <v>0</v>
      </c>
      <c r="AI187" s="4438">
        <f t="shared" si="194"/>
        <v>0</v>
      </c>
      <c r="AJ187" s="4438">
        <f t="shared" si="195"/>
        <v>0</v>
      </c>
      <c r="AK187" s="4438">
        <f t="shared" si="180"/>
        <v>0</v>
      </c>
      <c r="AL187" s="4438">
        <f t="shared" si="181"/>
        <v>0</v>
      </c>
      <c r="AM187" s="4438">
        <f t="shared" si="196"/>
        <v>0</v>
      </c>
      <c r="AN187" s="4438">
        <f t="shared" si="197"/>
        <v>0</v>
      </c>
      <c r="AO187" s="4438">
        <f t="shared" si="182"/>
        <v>0</v>
      </c>
      <c r="AP187" s="4438">
        <f t="shared" si="183"/>
        <v>0</v>
      </c>
      <c r="AQ187" s="4438">
        <f t="shared" si="198"/>
        <v>0</v>
      </c>
      <c r="AR187" s="4438">
        <f t="shared" si="199"/>
        <v>0</v>
      </c>
      <c r="AS187" s="4438">
        <f t="shared" si="184"/>
        <v>0</v>
      </c>
    </row>
    <row r="188" spans="1:45">
      <c r="A188" s="2573">
        <v>13</v>
      </c>
      <c r="B188" s="2516" t="s">
        <v>699</v>
      </c>
      <c r="C188" s="2517">
        <v>0.02</v>
      </c>
      <c r="D188" s="2547" t="s">
        <v>739</v>
      </c>
      <c r="E188" s="4647">
        <v>771</v>
      </c>
      <c r="F188" s="4633">
        <v>23</v>
      </c>
      <c r="G188" s="400"/>
      <c r="H188" s="4387">
        <f t="shared" si="200"/>
        <v>794</v>
      </c>
      <c r="I188" s="4647">
        <v>0</v>
      </c>
      <c r="J188" s="4635"/>
      <c r="K188" s="400"/>
      <c r="L188" s="4387">
        <f t="shared" si="207"/>
        <v>0</v>
      </c>
      <c r="M188" s="4647">
        <v>0</v>
      </c>
      <c r="N188" s="400"/>
      <c r="O188" s="400"/>
      <c r="P188" s="4387">
        <f t="shared" si="208"/>
        <v>0</v>
      </c>
      <c r="Q188" s="400"/>
      <c r="R188" s="400"/>
      <c r="S188" s="400"/>
      <c r="T188" s="4387">
        <f t="shared" si="209"/>
        <v>0</v>
      </c>
      <c r="U188" s="400"/>
      <c r="V188" s="400"/>
      <c r="W188" s="400"/>
      <c r="X188" s="4387">
        <f t="shared" si="210"/>
        <v>0</v>
      </c>
      <c r="Y188" s="4422"/>
      <c r="Z188" s="4438">
        <f t="shared" si="175"/>
        <v>394.20604040228449</v>
      </c>
      <c r="AA188" s="4438">
        <f t="shared" si="190"/>
        <v>11.759713267513025</v>
      </c>
      <c r="AB188" s="4438">
        <f t="shared" si="191"/>
        <v>0</v>
      </c>
      <c r="AC188" s="4438">
        <f t="shared" si="176"/>
        <v>405.96575366979749</v>
      </c>
      <c r="AD188" s="4438">
        <f t="shared" si="177"/>
        <v>0</v>
      </c>
      <c r="AE188" s="4438">
        <f t="shared" si="192"/>
        <v>0</v>
      </c>
      <c r="AF188" s="4438">
        <f t="shared" si="193"/>
        <v>0</v>
      </c>
      <c r="AG188" s="4438">
        <f t="shared" si="178"/>
        <v>0</v>
      </c>
      <c r="AH188" s="4438">
        <f t="shared" si="179"/>
        <v>0</v>
      </c>
      <c r="AI188" s="4438">
        <f t="shared" si="194"/>
        <v>0</v>
      </c>
      <c r="AJ188" s="4438">
        <f t="shared" si="195"/>
        <v>0</v>
      </c>
      <c r="AK188" s="4438">
        <f t="shared" si="180"/>
        <v>0</v>
      </c>
      <c r="AL188" s="4438">
        <f t="shared" si="181"/>
        <v>0</v>
      </c>
      <c r="AM188" s="4438">
        <f t="shared" si="196"/>
        <v>0</v>
      </c>
      <c r="AN188" s="4438">
        <f t="shared" si="197"/>
        <v>0</v>
      </c>
      <c r="AO188" s="4438">
        <f t="shared" si="182"/>
        <v>0</v>
      </c>
      <c r="AP188" s="4438">
        <f t="shared" si="183"/>
        <v>0</v>
      </c>
      <c r="AQ188" s="4438">
        <f t="shared" si="198"/>
        <v>0</v>
      </c>
      <c r="AR188" s="4438">
        <f t="shared" si="199"/>
        <v>0</v>
      </c>
      <c r="AS188" s="4438">
        <f t="shared" si="184"/>
        <v>0</v>
      </c>
    </row>
    <row r="189" spans="1:45">
      <c r="A189" s="2573">
        <v>14</v>
      </c>
      <c r="B189" s="2516" t="s">
        <v>700</v>
      </c>
      <c r="C189" s="2517">
        <v>0.02</v>
      </c>
      <c r="D189" s="2547" t="s">
        <v>418</v>
      </c>
      <c r="E189" s="4647">
        <v>42</v>
      </c>
      <c r="F189" s="4633">
        <v>1</v>
      </c>
      <c r="G189" s="400"/>
      <c r="H189" s="4387">
        <f t="shared" si="200"/>
        <v>43</v>
      </c>
      <c r="I189" s="4647">
        <v>0</v>
      </c>
      <c r="J189" s="4635"/>
      <c r="K189" s="400"/>
      <c r="L189" s="4387">
        <f t="shared" si="207"/>
        <v>0</v>
      </c>
      <c r="M189" s="4647">
        <v>0</v>
      </c>
      <c r="N189" s="400"/>
      <c r="O189" s="400"/>
      <c r="P189" s="4387">
        <f t="shared" si="208"/>
        <v>0</v>
      </c>
      <c r="Q189" s="400"/>
      <c r="R189" s="400"/>
      <c r="S189" s="400"/>
      <c r="T189" s="4387">
        <f t="shared" si="209"/>
        <v>0</v>
      </c>
      <c r="U189" s="400"/>
      <c r="V189" s="400"/>
      <c r="W189" s="400"/>
      <c r="X189" s="4387">
        <f t="shared" si="210"/>
        <v>0</v>
      </c>
      <c r="Y189" s="4422"/>
      <c r="Z189" s="4438">
        <f t="shared" si="175"/>
        <v>21.474259010241177</v>
      </c>
      <c r="AA189" s="4438">
        <f t="shared" si="190"/>
        <v>0.51129188119621849</v>
      </c>
      <c r="AB189" s="4438">
        <f t="shared" si="191"/>
        <v>0</v>
      </c>
      <c r="AC189" s="4438">
        <f t="shared" si="176"/>
        <v>21.985550891437395</v>
      </c>
      <c r="AD189" s="4438">
        <f t="shared" si="177"/>
        <v>0</v>
      </c>
      <c r="AE189" s="4438">
        <f t="shared" si="192"/>
        <v>0</v>
      </c>
      <c r="AF189" s="4438">
        <f t="shared" si="193"/>
        <v>0</v>
      </c>
      <c r="AG189" s="4438">
        <f t="shared" si="178"/>
        <v>0</v>
      </c>
      <c r="AH189" s="4438">
        <f t="shared" si="179"/>
        <v>0</v>
      </c>
      <c r="AI189" s="4438">
        <f t="shared" si="194"/>
        <v>0</v>
      </c>
      <c r="AJ189" s="4438">
        <f t="shared" si="195"/>
        <v>0</v>
      </c>
      <c r="AK189" s="4438">
        <f t="shared" si="180"/>
        <v>0</v>
      </c>
      <c r="AL189" s="4438">
        <f t="shared" si="181"/>
        <v>0</v>
      </c>
      <c r="AM189" s="4438">
        <f t="shared" si="196"/>
        <v>0</v>
      </c>
      <c r="AN189" s="4438">
        <f t="shared" si="197"/>
        <v>0</v>
      </c>
      <c r="AO189" s="4438">
        <f t="shared" si="182"/>
        <v>0</v>
      </c>
      <c r="AP189" s="4438">
        <f t="shared" si="183"/>
        <v>0</v>
      </c>
      <c r="AQ189" s="4438">
        <f t="shared" si="198"/>
        <v>0</v>
      </c>
      <c r="AR189" s="4438">
        <f t="shared" si="199"/>
        <v>0</v>
      </c>
      <c r="AS189" s="4438">
        <f t="shared" si="184"/>
        <v>0</v>
      </c>
    </row>
    <row r="190" spans="1:45" ht="24">
      <c r="A190" s="2573">
        <v>15</v>
      </c>
      <c r="B190" s="2516" t="s">
        <v>701</v>
      </c>
      <c r="C190" s="2517">
        <v>0.02</v>
      </c>
      <c r="D190" s="2546" t="s">
        <v>419</v>
      </c>
      <c r="E190" s="4647">
        <v>421</v>
      </c>
      <c r="F190" s="4633">
        <v>23</v>
      </c>
      <c r="G190" s="400"/>
      <c r="H190" s="4387">
        <f t="shared" si="200"/>
        <v>444</v>
      </c>
      <c r="I190" s="4647">
        <v>0</v>
      </c>
      <c r="J190" s="4635"/>
      <c r="K190" s="400"/>
      <c r="L190" s="4387">
        <f t="shared" si="207"/>
        <v>0</v>
      </c>
      <c r="M190" s="4647">
        <v>0</v>
      </c>
      <c r="N190" s="400"/>
      <c r="O190" s="400"/>
      <c r="P190" s="4387">
        <f t="shared" si="208"/>
        <v>0</v>
      </c>
      <c r="Q190" s="400"/>
      <c r="R190" s="400"/>
      <c r="S190" s="400"/>
      <c r="T190" s="4387">
        <f t="shared" si="209"/>
        <v>0</v>
      </c>
      <c r="U190" s="400"/>
      <c r="V190" s="400"/>
      <c r="W190" s="400"/>
      <c r="X190" s="4387">
        <f t="shared" si="210"/>
        <v>0</v>
      </c>
      <c r="Y190" s="4422"/>
      <c r="Z190" s="4438">
        <f t="shared" si="175"/>
        <v>215.25388198360798</v>
      </c>
      <c r="AA190" s="4438">
        <f t="shared" si="190"/>
        <v>11.759713267513025</v>
      </c>
      <c r="AB190" s="4438">
        <f t="shared" si="191"/>
        <v>0</v>
      </c>
      <c r="AC190" s="4438">
        <f t="shared" si="176"/>
        <v>227.01359525112102</v>
      </c>
      <c r="AD190" s="4438">
        <f t="shared" si="177"/>
        <v>0</v>
      </c>
      <c r="AE190" s="4438">
        <f t="shared" si="192"/>
        <v>0</v>
      </c>
      <c r="AF190" s="4438">
        <f t="shared" si="193"/>
        <v>0</v>
      </c>
      <c r="AG190" s="4438">
        <f t="shared" si="178"/>
        <v>0</v>
      </c>
      <c r="AH190" s="4438">
        <f t="shared" si="179"/>
        <v>0</v>
      </c>
      <c r="AI190" s="4438">
        <f t="shared" si="194"/>
        <v>0</v>
      </c>
      <c r="AJ190" s="4438">
        <f t="shared" si="195"/>
        <v>0</v>
      </c>
      <c r="AK190" s="4438">
        <f t="shared" si="180"/>
        <v>0</v>
      </c>
      <c r="AL190" s="4438">
        <f t="shared" si="181"/>
        <v>0</v>
      </c>
      <c r="AM190" s="4438">
        <f t="shared" si="196"/>
        <v>0</v>
      </c>
      <c r="AN190" s="4438">
        <f t="shared" si="197"/>
        <v>0</v>
      </c>
      <c r="AO190" s="4438">
        <f t="shared" si="182"/>
        <v>0</v>
      </c>
      <c r="AP190" s="4438">
        <f t="shared" si="183"/>
        <v>0</v>
      </c>
      <c r="AQ190" s="4438">
        <f t="shared" si="198"/>
        <v>0</v>
      </c>
      <c r="AR190" s="4438">
        <f t="shared" si="199"/>
        <v>0</v>
      </c>
      <c r="AS190" s="4438">
        <f t="shared" si="184"/>
        <v>0</v>
      </c>
    </row>
    <row r="191" spans="1:45">
      <c r="A191" s="2573">
        <v>16</v>
      </c>
      <c r="B191" s="2516" t="s">
        <v>702</v>
      </c>
      <c r="C191" s="2517">
        <v>0.02</v>
      </c>
      <c r="D191" s="2547" t="s">
        <v>420</v>
      </c>
      <c r="E191" s="4647">
        <v>13212</v>
      </c>
      <c r="F191" s="4633">
        <v>1372</v>
      </c>
      <c r="G191" s="400"/>
      <c r="H191" s="4387">
        <f t="shared" si="200"/>
        <v>14584</v>
      </c>
      <c r="I191" s="4647">
        <v>0</v>
      </c>
      <c r="J191" s="4635"/>
      <c r="K191" s="400"/>
      <c r="L191" s="4387">
        <f t="shared" si="207"/>
        <v>0</v>
      </c>
      <c r="M191" s="4647">
        <v>0</v>
      </c>
      <c r="N191" s="400"/>
      <c r="O191" s="400"/>
      <c r="P191" s="4387">
        <f t="shared" si="208"/>
        <v>0</v>
      </c>
      <c r="Q191" s="400"/>
      <c r="R191" s="400"/>
      <c r="S191" s="400"/>
      <c r="T191" s="4387">
        <f t="shared" si="209"/>
        <v>0</v>
      </c>
      <c r="U191" s="400"/>
      <c r="V191" s="400"/>
      <c r="W191" s="400"/>
      <c r="X191" s="4387">
        <f t="shared" si="210"/>
        <v>0</v>
      </c>
      <c r="Y191" s="4422"/>
      <c r="Z191" s="4438">
        <f t="shared" si="175"/>
        <v>6755.1883343644386</v>
      </c>
      <c r="AA191" s="4438">
        <f t="shared" si="190"/>
        <v>701.49246100121172</v>
      </c>
      <c r="AB191" s="4438">
        <f t="shared" si="191"/>
        <v>0</v>
      </c>
      <c r="AC191" s="4438">
        <f t="shared" si="176"/>
        <v>7456.6807953656507</v>
      </c>
      <c r="AD191" s="4438">
        <f t="shared" si="177"/>
        <v>0</v>
      </c>
      <c r="AE191" s="4438">
        <f t="shared" si="192"/>
        <v>0</v>
      </c>
      <c r="AF191" s="4438">
        <f t="shared" si="193"/>
        <v>0</v>
      </c>
      <c r="AG191" s="4438">
        <f t="shared" si="178"/>
        <v>0</v>
      </c>
      <c r="AH191" s="4438">
        <f t="shared" si="179"/>
        <v>0</v>
      </c>
      <c r="AI191" s="4438">
        <f t="shared" si="194"/>
        <v>0</v>
      </c>
      <c r="AJ191" s="4438">
        <f t="shared" si="195"/>
        <v>0</v>
      </c>
      <c r="AK191" s="4438">
        <f t="shared" si="180"/>
        <v>0</v>
      </c>
      <c r="AL191" s="4438">
        <f t="shared" si="181"/>
        <v>0</v>
      </c>
      <c r="AM191" s="4438">
        <f t="shared" si="196"/>
        <v>0</v>
      </c>
      <c r="AN191" s="4438">
        <f t="shared" si="197"/>
        <v>0</v>
      </c>
      <c r="AO191" s="4438">
        <f t="shared" si="182"/>
        <v>0</v>
      </c>
      <c r="AP191" s="4438">
        <f t="shared" si="183"/>
        <v>0</v>
      </c>
      <c r="AQ191" s="4438">
        <f t="shared" si="198"/>
        <v>0</v>
      </c>
      <c r="AR191" s="4438">
        <f t="shared" si="199"/>
        <v>0</v>
      </c>
      <c r="AS191" s="4438">
        <f t="shared" si="184"/>
        <v>0</v>
      </c>
    </row>
    <row r="192" spans="1:45">
      <c r="A192" s="2573">
        <v>17</v>
      </c>
      <c r="B192" s="2516" t="s">
        <v>703</v>
      </c>
      <c r="C192" s="2517">
        <v>0.02</v>
      </c>
      <c r="D192" s="2552" t="s">
        <v>421</v>
      </c>
      <c r="E192" s="4647"/>
      <c r="F192" s="4633"/>
      <c r="G192" s="400"/>
      <c r="H192" s="4387">
        <f t="shared" si="200"/>
        <v>0</v>
      </c>
      <c r="I192" s="4647">
        <v>13708</v>
      </c>
      <c r="J192" s="4635">
        <v>1895</v>
      </c>
      <c r="K192" s="400"/>
      <c r="L192" s="4387">
        <f t="shared" si="207"/>
        <v>15603</v>
      </c>
      <c r="M192" s="4647">
        <v>9627</v>
      </c>
      <c r="N192" s="400">
        <v>1692</v>
      </c>
      <c r="O192" s="400"/>
      <c r="P192" s="4387">
        <f t="shared" si="208"/>
        <v>11319</v>
      </c>
      <c r="Q192" s="400"/>
      <c r="R192" s="400"/>
      <c r="S192" s="400"/>
      <c r="T192" s="4387">
        <f t="shared" si="209"/>
        <v>0</v>
      </c>
      <c r="U192" s="400"/>
      <c r="V192" s="400"/>
      <c r="W192" s="400"/>
      <c r="X192" s="4387">
        <f t="shared" si="210"/>
        <v>0</v>
      </c>
      <c r="Y192" s="4422"/>
      <c r="Z192" s="4438">
        <f t="shared" si="175"/>
        <v>0</v>
      </c>
      <c r="AA192" s="4438">
        <f t="shared" si="190"/>
        <v>0</v>
      </c>
      <c r="AB192" s="4438">
        <f t="shared" si="191"/>
        <v>0</v>
      </c>
      <c r="AC192" s="4438">
        <f t="shared" si="176"/>
        <v>0</v>
      </c>
      <c r="AD192" s="4438">
        <f t="shared" si="177"/>
        <v>7008.7891074377631</v>
      </c>
      <c r="AE192" s="4438">
        <f t="shared" si="192"/>
        <v>968.89811486683402</v>
      </c>
      <c r="AF192" s="4438">
        <f t="shared" si="193"/>
        <v>0</v>
      </c>
      <c r="AG192" s="4438">
        <f t="shared" si="178"/>
        <v>7977.6872223045975</v>
      </c>
      <c r="AH192" s="4438">
        <f t="shared" si="179"/>
        <v>4922.2069402759953</v>
      </c>
      <c r="AI192" s="4438">
        <f t="shared" si="194"/>
        <v>865.10586298400165</v>
      </c>
      <c r="AJ192" s="4438">
        <f t="shared" si="195"/>
        <v>0</v>
      </c>
      <c r="AK192" s="4438">
        <f t="shared" si="180"/>
        <v>5787.3128032599971</v>
      </c>
      <c r="AL192" s="4438">
        <f t="shared" si="181"/>
        <v>0</v>
      </c>
      <c r="AM192" s="4438">
        <f t="shared" si="196"/>
        <v>0</v>
      </c>
      <c r="AN192" s="4438">
        <f t="shared" si="197"/>
        <v>0</v>
      </c>
      <c r="AO192" s="4438">
        <f t="shared" si="182"/>
        <v>0</v>
      </c>
      <c r="AP192" s="4438">
        <f t="shared" si="183"/>
        <v>0</v>
      </c>
      <c r="AQ192" s="4438">
        <f t="shared" si="198"/>
        <v>0</v>
      </c>
      <c r="AR192" s="4438">
        <f t="shared" si="199"/>
        <v>0</v>
      </c>
      <c r="AS192" s="4438">
        <f t="shared" si="184"/>
        <v>0</v>
      </c>
    </row>
    <row r="193" spans="1:45" ht="48">
      <c r="A193" s="2573">
        <v>18</v>
      </c>
      <c r="B193" s="2516" t="s">
        <v>704</v>
      </c>
      <c r="C193" s="2517">
        <v>0.04</v>
      </c>
      <c r="D193" s="2552" t="s">
        <v>422</v>
      </c>
      <c r="E193" s="4650">
        <v>170</v>
      </c>
      <c r="F193" s="4637">
        <v>18</v>
      </c>
      <c r="G193" s="400"/>
      <c r="H193" s="4387">
        <f t="shared" si="200"/>
        <v>188</v>
      </c>
      <c r="I193" s="4650">
        <v>0</v>
      </c>
      <c r="J193" s="4635"/>
      <c r="K193" s="400"/>
      <c r="L193" s="4387">
        <f t="shared" si="207"/>
        <v>0</v>
      </c>
      <c r="M193" s="4650">
        <v>0</v>
      </c>
      <c r="N193" s="400"/>
      <c r="O193" s="400"/>
      <c r="P193" s="4387">
        <f t="shared" si="208"/>
        <v>0</v>
      </c>
      <c r="Q193" s="400"/>
      <c r="R193" s="400"/>
      <c r="S193" s="400"/>
      <c r="T193" s="4387">
        <f t="shared" si="209"/>
        <v>0</v>
      </c>
      <c r="U193" s="400"/>
      <c r="V193" s="400"/>
      <c r="W193" s="400"/>
      <c r="X193" s="4387">
        <f t="shared" si="210"/>
        <v>0</v>
      </c>
      <c r="Y193" s="4422"/>
      <c r="Z193" s="4438">
        <f t="shared" si="175"/>
        <v>86.919619803357151</v>
      </c>
      <c r="AA193" s="4438">
        <f t="shared" si="190"/>
        <v>9.2032538615319321</v>
      </c>
      <c r="AB193" s="4438">
        <f t="shared" si="191"/>
        <v>0</v>
      </c>
      <c r="AC193" s="4438">
        <f t="shared" si="176"/>
        <v>96.12287366488907</v>
      </c>
      <c r="AD193" s="4438">
        <f t="shared" si="177"/>
        <v>0</v>
      </c>
      <c r="AE193" s="4438">
        <f t="shared" si="192"/>
        <v>0</v>
      </c>
      <c r="AF193" s="4438">
        <f t="shared" si="193"/>
        <v>0</v>
      </c>
      <c r="AG193" s="4438">
        <f t="shared" si="178"/>
        <v>0</v>
      </c>
      <c r="AH193" s="4438">
        <f t="shared" si="179"/>
        <v>0</v>
      </c>
      <c r="AI193" s="4438">
        <f t="shared" si="194"/>
        <v>0</v>
      </c>
      <c r="AJ193" s="4438">
        <f t="shared" si="195"/>
        <v>0</v>
      </c>
      <c r="AK193" s="4438">
        <f t="shared" si="180"/>
        <v>0</v>
      </c>
      <c r="AL193" s="4438">
        <f t="shared" si="181"/>
        <v>0</v>
      </c>
      <c r="AM193" s="4438">
        <f t="shared" si="196"/>
        <v>0</v>
      </c>
      <c r="AN193" s="4438">
        <f t="shared" si="197"/>
        <v>0</v>
      </c>
      <c r="AO193" s="4438">
        <f t="shared" si="182"/>
        <v>0</v>
      </c>
      <c r="AP193" s="4438">
        <f t="shared" si="183"/>
        <v>0</v>
      </c>
      <c r="AQ193" s="4438">
        <f t="shared" si="198"/>
        <v>0</v>
      </c>
      <c r="AR193" s="4438">
        <f t="shared" si="199"/>
        <v>0</v>
      </c>
      <c r="AS193" s="4438">
        <f t="shared" si="184"/>
        <v>0</v>
      </c>
    </row>
    <row r="194" spans="1:45">
      <c r="A194" s="2573">
        <v>19</v>
      </c>
      <c r="B194" s="2516" t="s">
        <v>705</v>
      </c>
      <c r="C194" s="2517">
        <v>0.04</v>
      </c>
      <c r="D194" s="2552" t="s">
        <v>423</v>
      </c>
      <c r="E194" s="4647">
        <v>50</v>
      </c>
      <c r="F194" s="4633">
        <v>6</v>
      </c>
      <c r="G194" s="400"/>
      <c r="H194" s="4387">
        <f t="shared" si="200"/>
        <v>56</v>
      </c>
      <c r="I194" s="4647">
        <v>87</v>
      </c>
      <c r="J194" s="4635">
        <v>12</v>
      </c>
      <c r="K194" s="400"/>
      <c r="L194" s="4387">
        <f t="shared" si="207"/>
        <v>99</v>
      </c>
      <c r="M194" s="4647">
        <v>0</v>
      </c>
      <c r="N194" s="400"/>
      <c r="O194" s="400"/>
      <c r="P194" s="4387">
        <f t="shared" si="208"/>
        <v>0</v>
      </c>
      <c r="Q194" s="400"/>
      <c r="R194" s="400"/>
      <c r="S194" s="400"/>
      <c r="T194" s="4387">
        <f t="shared" si="209"/>
        <v>0</v>
      </c>
      <c r="U194" s="400"/>
      <c r="V194" s="400"/>
      <c r="W194" s="400"/>
      <c r="X194" s="4387">
        <f t="shared" si="210"/>
        <v>0</v>
      </c>
      <c r="Y194" s="4422"/>
      <c r="Z194" s="4438">
        <f t="shared" si="175"/>
        <v>25.564594059810926</v>
      </c>
      <c r="AA194" s="4438">
        <f t="shared" si="190"/>
        <v>3.0677512871773112</v>
      </c>
      <c r="AB194" s="4438">
        <f t="shared" si="191"/>
        <v>0</v>
      </c>
      <c r="AC194" s="4438">
        <f t="shared" si="176"/>
        <v>28.632345346988235</v>
      </c>
      <c r="AD194" s="4438">
        <f t="shared" si="177"/>
        <v>44.482393664071012</v>
      </c>
      <c r="AE194" s="4438">
        <f t="shared" si="192"/>
        <v>6.1355025743546223</v>
      </c>
      <c r="AF194" s="4438">
        <f t="shared" si="193"/>
        <v>0</v>
      </c>
      <c r="AG194" s="4438">
        <f t="shared" si="178"/>
        <v>50.617896238425629</v>
      </c>
      <c r="AH194" s="4438">
        <f t="shared" si="179"/>
        <v>0</v>
      </c>
      <c r="AI194" s="4438">
        <f t="shared" si="194"/>
        <v>0</v>
      </c>
      <c r="AJ194" s="4438">
        <f t="shared" si="195"/>
        <v>0</v>
      </c>
      <c r="AK194" s="4438">
        <f t="shared" si="180"/>
        <v>0</v>
      </c>
      <c r="AL194" s="4438">
        <f t="shared" si="181"/>
        <v>0</v>
      </c>
      <c r="AM194" s="4438">
        <f t="shared" si="196"/>
        <v>0</v>
      </c>
      <c r="AN194" s="4438">
        <f t="shared" si="197"/>
        <v>0</v>
      </c>
      <c r="AO194" s="4438">
        <f t="shared" si="182"/>
        <v>0</v>
      </c>
      <c r="AP194" s="4438">
        <f t="shared" si="183"/>
        <v>0</v>
      </c>
      <c r="AQ194" s="4438">
        <f t="shared" si="198"/>
        <v>0</v>
      </c>
      <c r="AR194" s="4438">
        <f t="shared" si="199"/>
        <v>0</v>
      </c>
      <c r="AS194" s="4438">
        <f t="shared" si="184"/>
        <v>0</v>
      </c>
    </row>
    <row r="195" spans="1:45">
      <c r="A195" s="2573">
        <v>20</v>
      </c>
      <c r="B195" s="2516" t="s">
        <v>717</v>
      </c>
      <c r="C195" s="2517">
        <v>0.04</v>
      </c>
      <c r="D195" s="2571" t="s">
        <v>434</v>
      </c>
      <c r="E195" s="4647">
        <v>120</v>
      </c>
      <c r="F195" s="4633">
        <v>7</v>
      </c>
      <c r="G195" s="400"/>
      <c r="H195" s="4387">
        <f t="shared" si="200"/>
        <v>127</v>
      </c>
      <c r="I195" s="4647">
        <v>0</v>
      </c>
      <c r="J195" s="4635"/>
      <c r="K195" s="400"/>
      <c r="L195" s="4387">
        <f t="shared" si="207"/>
        <v>0</v>
      </c>
      <c r="M195" s="4647">
        <v>142</v>
      </c>
      <c r="N195" s="400">
        <v>28</v>
      </c>
      <c r="O195" s="400"/>
      <c r="P195" s="4387">
        <f t="shared" si="208"/>
        <v>170</v>
      </c>
      <c r="Q195" s="400"/>
      <c r="R195" s="400"/>
      <c r="S195" s="400"/>
      <c r="T195" s="4387">
        <f t="shared" si="209"/>
        <v>0</v>
      </c>
      <c r="U195" s="400"/>
      <c r="V195" s="400"/>
      <c r="W195" s="400"/>
      <c r="X195" s="4387">
        <f t="shared" si="210"/>
        <v>0</v>
      </c>
      <c r="Y195" s="4422"/>
      <c r="Z195" s="4438">
        <f t="shared" si="175"/>
        <v>61.355025743546221</v>
      </c>
      <c r="AA195" s="4438">
        <f t="shared" si="190"/>
        <v>3.5790431683735293</v>
      </c>
      <c r="AB195" s="4438">
        <f t="shared" si="191"/>
        <v>0</v>
      </c>
      <c r="AC195" s="4438">
        <f t="shared" si="176"/>
        <v>64.934068911919752</v>
      </c>
      <c r="AD195" s="4438">
        <f t="shared" si="177"/>
        <v>0</v>
      </c>
      <c r="AE195" s="4438">
        <f t="shared" si="192"/>
        <v>0</v>
      </c>
      <c r="AF195" s="4438">
        <f t="shared" si="193"/>
        <v>0</v>
      </c>
      <c r="AG195" s="4438">
        <f t="shared" si="178"/>
        <v>0</v>
      </c>
      <c r="AH195" s="4438">
        <f t="shared" si="179"/>
        <v>72.603447129863028</v>
      </c>
      <c r="AI195" s="4438">
        <f t="shared" si="194"/>
        <v>14.316172673494117</v>
      </c>
      <c r="AJ195" s="4438">
        <f t="shared" si="195"/>
        <v>0</v>
      </c>
      <c r="AK195" s="4438">
        <f t="shared" si="180"/>
        <v>86.919619803357151</v>
      </c>
      <c r="AL195" s="4438">
        <f t="shared" si="181"/>
        <v>0</v>
      </c>
      <c r="AM195" s="4438">
        <f t="shared" si="196"/>
        <v>0</v>
      </c>
      <c r="AN195" s="4438">
        <f t="shared" si="197"/>
        <v>0</v>
      </c>
      <c r="AO195" s="4438">
        <f t="shared" si="182"/>
        <v>0</v>
      </c>
      <c r="AP195" s="4438">
        <f t="shared" si="183"/>
        <v>0</v>
      </c>
      <c r="AQ195" s="4438">
        <f t="shared" si="198"/>
        <v>0</v>
      </c>
      <c r="AR195" s="4438">
        <f t="shared" si="199"/>
        <v>0</v>
      </c>
      <c r="AS195" s="4438">
        <f t="shared" si="184"/>
        <v>0</v>
      </c>
    </row>
    <row r="196" spans="1:45" ht="48.75" thickBot="1">
      <c r="A196" s="2573">
        <v>21</v>
      </c>
      <c r="B196" s="2516" t="s">
        <v>707</v>
      </c>
      <c r="C196" s="2522">
        <v>0.2</v>
      </c>
      <c r="D196" s="2552" t="s">
        <v>679</v>
      </c>
      <c r="E196" s="4649">
        <v>0</v>
      </c>
      <c r="F196" s="4638"/>
      <c r="G196" s="400"/>
      <c r="H196" s="4387">
        <f t="shared" si="200"/>
        <v>0</v>
      </c>
      <c r="I196" s="4649">
        <v>0</v>
      </c>
      <c r="J196" s="4635"/>
      <c r="K196" s="400"/>
      <c r="L196" s="4387">
        <f t="shared" si="207"/>
        <v>0</v>
      </c>
      <c r="M196" s="4649">
        <v>11</v>
      </c>
      <c r="N196" s="400">
        <v>4</v>
      </c>
      <c r="O196" s="400"/>
      <c r="P196" s="4387">
        <f t="shared" si="208"/>
        <v>15</v>
      </c>
      <c r="Q196" s="400"/>
      <c r="R196" s="400"/>
      <c r="S196" s="400"/>
      <c r="T196" s="4387">
        <f t="shared" si="209"/>
        <v>0</v>
      </c>
      <c r="U196" s="400"/>
      <c r="V196" s="400"/>
      <c r="W196" s="400"/>
      <c r="X196" s="4387">
        <f t="shared" si="210"/>
        <v>0</v>
      </c>
      <c r="Y196" s="4422"/>
      <c r="Z196" s="4438">
        <f t="shared" si="175"/>
        <v>0</v>
      </c>
      <c r="AA196" s="4438">
        <f t="shared" si="190"/>
        <v>0</v>
      </c>
      <c r="AB196" s="4438">
        <f t="shared" si="191"/>
        <v>0</v>
      </c>
      <c r="AC196" s="4438">
        <f t="shared" si="176"/>
        <v>0</v>
      </c>
      <c r="AD196" s="4438">
        <f t="shared" si="177"/>
        <v>0</v>
      </c>
      <c r="AE196" s="4438">
        <f t="shared" si="192"/>
        <v>0</v>
      </c>
      <c r="AF196" s="4438">
        <f t="shared" si="193"/>
        <v>0</v>
      </c>
      <c r="AG196" s="4438">
        <f t="shared" si="178"/>
        <v>0</v>
      </c>
      <c r="AH196" s="4438">
        <f t="shared" si="179"/>
        <v>5.6242106931584033</v>
      </c>
      <c r="AI196" s="4438">
        <f t="shared" si="194"/>
        <v>2.045167524784874</v>
      </c>
      <c r="AJ196" s="4438">
        <f t="shared" si="195"/>
        <v>0</v>
      </c>
      <c r="AK196" s="4438">
        <f t="shared" si="180"/>
        <v>7.6693782179432777</v>
      </c>
      <c r="AL196" s="4438">
        <f t="shared" si="181"/>
        <v>0</v>
      </c>
      <c r="AM196" s="4438">
        <f t="shared" si="196"/>
        <v>0</v>
      </c>
      <c r="AN196" s="4438">
        <f t="shared" si="197"/>
        <v>0</v>
      </c>
      <c r="AO196" s="4438">
        <f t="shared" si="182"/>
        <v>0</v>
      </c>
      <c r="AP196" s="4438">
        <f t="shared" si="183"/>
        <v>0</v>
      </c>
      <c r="AQ196" s="4438">
        <f t="shared" si="198"/>
        <v>0</v>
      </c>
      <c r="AR196" s="4438">
        <f t="shared" si="199"/>
        <v>0</v>
      </c>
      <c r="AS196" s="4438">
        <f t="shared" si="184"/>
        <v>0</v>
      </c>
    </row>
    <row r="197" spans="1:45" ht="13.5" thickBot="1">
      <c r="A197" s="3685" t="s">
        <v>219</v>
      </c>
      <c r="B197" s="5192" t="s">
        <v>222</v>
      </c>
      <c r="C197" s="5193"/>
      <c r="D197" s="5194"/>
      <c r="E197" s="1220">
        <f t="shared" ref="E197:H197" si="211">SUM(E198:E218)</f>
        <v>67458</v>
      </c>
      <c r="F197" s="1220"/>
      <c r="G197" s="1220"/>
      <c r="H197" s="1220">
        <f t="shared" si="211"/>
        <v>70382</v>
      </c>
      <c r="I197" s="1220">
        <f t="shared" ref="I197" si="212">SUM(I198:I218)</f>
        <v>84933</v>
      </c>
      <c r="J197" s="1220"/>
      <c r="K197" s="1220"/>
      <c r="L197" s="1220">
        <f t="shared" ref="L197:M197" si="213">SUM(L198:L218)</f>
        <v>82993</v>
      </c>
      <c r="M197" s="1220">
        <f t="shared" si="213"/>
        <v>49427</v>
      </c>
      <c r="N197" s="1220"/>
      <c r="O197" s="1220"/>
      <c r="P197" s="1220">
        <f t="shared" ref="P197:Q197" si="214">SUM(P198:P218)</f>
        <v>45592</v>
      </c>
      <c r="Q197" s="1220">
        <f t="shared" si="214"/>
        <v>0</v>
      </c>
      <c r="R197" s="1220"/>
      <c r="S197" s="1220"/>
      <c r="T197" s="1220">
        <f t="shared" ref="T197:U197" si="215">SUM(T198:T218)</f>
        <v>0</v>
      </c>
      <c r="U197" s="1220">
        <f t="shared" si="215"/>
        <v>0</v>
      </c>
      <c r="V197" s="1220"/>
      <c r="W197" s="1220"/>
      <c r="X197" s="1084">
        <f t="shared" ref="X197" si="216">SUM(X198:X218)</f>
        <v>0</v>
      </c>
      <c r="Y197" s="4422"/>
      <c r="Z197" s="4438">
        <f t="shared" si="175"/>
        <v>34490.727721734511</v>
      </c>
      <c r="AA197" s="4438">
        <f t="shared" si="190"/>
        <v>0</v>
      </c>
      <c r="AB197" s="4438">
        <f t="shared" si="191"/>
        <v>0</v>
      </c>
      <c r="AC197" s="4438">
        <f t="shared" si="176"/>
        <v>35985.74518235225</v>
      </c>
      <c r="AD197" s="4438">
        <f t="shared" si="177"/>
        <v>43425.553345638429</v>
      </c>
      <c r="AE197" s="4438">
        <f t="shared" si="192"/>
        <v>0</v>
      </c>
      <c r="AF197" s="4438">
        <f t="shared" si="193"/>
        <v>0</v>
      </c>
      <c r="AG197" s="4438">
        <f t="shared" si="178"/>
        <v>42433.647096117762</v>
      </c>
      <c r="AH197" s="4438">
        <f t="shared" si="179"/>
        <v>25271.623811885493</v>
      </c>
      <c r="AI197" s="4438">
        <f t="shared" si="194"/>
        <v>0</v>
      </c>
      <c r="AJ197" s="4438">
        <f t="shared" si="195"/>
        <v>0</v>
      </c>
      <c r="AK197" s="4438">
        <f t="shared" si="180"/>
        <v>23310.819447497994</v>
      </c>
      <c r="AL197" s="4438">
        <f t="shared" si="181"/>
        <v>0</v>
      </c>
      <c r="AM197" s="4438">
        <f t="shared" si="196"/>
        <v>0</v>
      </c>
      <c r="AN197" s="4438">
        <f t="shared" si="197"/>
        <v>0</v>
      </c>
      <c r="AO197" s="4438">
        <f t="shared" si="182"/>
        <v>0</v>
      </c>
      <c r="AP197" s="4438">
        <f t="shared" si="183"/>
        <v>0</v>
      </c>
      <c r="AQ197" s="4438">
        <f t="shared" si="198"/>
        <v>0</v>
      </c>
      <c r="AR197" s="4438">
        <f t="shared" si="199"/>
        <v>0</v>
      </c>
      <c r="AS197" s="4438">
        <f t="shared" si="184"/>
        <v>0</v>
      </c>
    </row>
    <row r="198" spans="1:45">
      <c r="A198" s="2515">
        <v>1</v>
      </c>
      <c r="B198" s="2576" t="s">
        <v>696</v>
      </c>
      <c r="C198" s="2533">
        <v>0</v>
      </c>
      <c r="D198" s="2563" t="s">
        <v>558</v>
      </c>
      <c r="E198" s="1223">
        <f t="shared" ref="E198:E218" si="217">E154-E176</f>
        <v>167</v>
      </c>
      <c r="F198" s="5197"/>
      <c r="G198" s="5198"/>
      <c r="H198" s="1223">
        <f t="shared" ref="H198:I213" si="218">H154-H176</f>
        <v>167</v>
      </c>
      <c r="I198" s="1223">
        <f t="shared" si="218"/>
        <v>7</v>
      </c>
      <c r="J198" s="5197"/>
      <c r="K198" s="5198"/>
      <c r="L198" s="1223">
        <f t="shared" ref="L198:M213" si="219">L154-L176</f>
        <v>7</v>
      </c>
      <c r="M198" s="1223">
        <f t="shared" si="219"/>
        <v>0</v>
      </c>
      <c r="N198" s="5197"/>
      <c r="O198" s="5198"/>
      <c r="P198" s="1223">
        <f t="shared" ref="P198:Q213" si="220">P154-P176</f>
        <v>0</v>
      </c>
      <c r="Q198" s="1223">
        <f t="shared" si="220"/>
        <v>0</v>
      </c>
      <c r="R198" s="5197"/>
      <c r="S198" s="5198"/>
      <c r="T198" s="1223">
        <f t="shared" ref="T198:U213" si="221">T154-T176</f>
        <v>0</v>
      </c>
      <c r="U198" s="1223">
        <f t="shared" si="221"/>
        <v>0</v>
      </c>
      <c r="V198" s="5197"/>
      <c r="W198" s="5198"/>
      <c r="X198" s="2641">
        <f t="shared" ref="X198:X218" si="222">X154-X176</f>
        <v>0</v>
      </c>
      <c r="Y198" s="4422"/>
      <c r="Z198" s="4438">
        <f t="shared" si="175"/>
        <v>85.385744159768493</v>
      </c>
      <c r="AA198" s="4446"/>
      <c r="AB198" s="4447"/>
      <c r="AC198" s="4438">
        <f t="shared" si="176"/>
        <v>85.385744159768493</v>
      </c>
      <c r="AD198" s="4438">
        <f t="shared" si="177"/>
        <v>3.5790431683735293</v>
      </c>
      <c r="AE198" s="4446"/>
      <c r="AF198" s="4447"/>
      <c r="AG198" s="4438">
        <f t="shared" si="178"/>
        <v>3.5790431683735293</v>
      </c>
      <c r="AH198" s="4438">
        <f t="shared" si="179"/>
        <v>0</v>
      </c>
      <c r="AI198" s="4446"/>
      <c r="AJ198" s="4447"/>
      <c r="AK198" s="4438">
        <f t="shared" si="180"/>
        <v>0</v>
      </c>
      <c r="AL198" s="4438">
        <f t="shared" si="181"/>
        <v>0</v>
      </c>
      <c r="AM198" s="4446"/>
      <c r="AN198" s="4447"/>
      <c r="AO198" s="4438">
        <f t="shared" si="182"/>
        <v>0</v>
      </c>
      <c r="AP198" s="4438">
        <f t="shared" si="183"/>
        <v>0</v>
      </c>
      <c r="AQ198" s="4446"/>
      <c r="AR198" s="4447"/>
      <c r="AS198" s="4438">
        <f t="shared" si="184"/>
        <v>0</v>
      </c>
    </row>
    <row r="199" spans="1:45">
      <c r="A199" s="2515">
        <v>2</v>
      </c>
      <c r="B199" s="2516" t="s">
        <v>697</v>
      </c>
      <c r="C199" s="2517">
        <v>0.03</v>
      </c>
      <c r="D199" s="2571" t="s">
        <v>426</v>
      </c>
      <c r="E199" s="1223">
        <f t="shared" si="217"/>
        <v>1442</v>
      </c>
      <c r="F199" s="5199"/>
      <c r="G199" s="5200"/>
      <c r="H199" s="1223">
        <f t="shared" si="218"/>
        <v>1377</v>
      </c>
      <c r="I199" s="1223">
        <f t="shared" si="218"/>
        <v>0</v>
      </c>
      <c r="J199" s="5199"/>
      <c r="K199" s="5200"/>
      <c r="L199" s="1223">
        <f t="shared" si="219"/>
        <v>0</v>
      </c>
      <c r="M199" s="1223">
        <f t="shared" si="219"/>
        <v>9799</v>
      </c>
      <c r="N199" s="5199"/>
      <c r="O199" s="5200"/>
      <c r="P199" s="1223">
        <f t="shared" si="220"/>
        <v>9448</v>
      </c>
      <c r="Q199" s="1223">
        <f t="shared" si="220"/>
        <v>0</v>
      </c>
      <c r="R199" s="5199"/>
      <c r="S199" s="5200"/>
      <c r="T199" s="1223">
        <f t="shared" si="221"/>
        <v>0</v>
      </c>
      <c r="U199" s="1223">
        <f t="shared" si="221"/>
        <v>0</v>
      </c>
      <c r="V199" s="5199"/>
      <c r="W199" s="5200"/>
      <c r="X199" s="2641">
        <f t="shared" si="222"/>
        <v>0</v>
      </c>
      <c r="Y199" s="4422"/>
      <c r="Z199" s="4438">
        <f t="shared" si="175"/>
        <v>737.28289268494711</v>
      </c>
      <c r="AA199" s="4453"/>
      <c r="AB199" s="4454"/>
      <c r="AC199" s="4438">
        <f t="shared" si="176"/>
        <v>704.0489204071929</v>
      </c>
      <c r="AD199" s="4438">
        <f t="shared" si="177"/>
        <v>0</v>
      </c>
      <c r="AE199" s="4453"/>
      <c r="AF199" s="4454"/>
      <c r="AG199" s="4438">
        <f t="shared" si="178"/>
        <v>0</v>
      </c>
      <c r="AH199" s="4438">
        <f t="shared" si="179"/>
        <v>5010.1491438417452</v>
      </c>
      <c r="AI199" s="4453"/>
      <c r="AJ199" s="4454"/>
      <c r="AK199" s="4438">
        <f t="shared" si="180"/>
        <v>4830.6856935418728</v>
      </c>
      <c r="AL199" s="4438">
        <f t="shared" si="181"/>
        <v>0</v>
      </c>
      <c r="AM199" s="4453"/>
      <c r="AN199" s="4454"/>
      <c r="AO199" s="4438">
        <f t="shared" si="182"/>
        <v>0</v>
      </c>
      <c r="AP199" s="4438">
        <f t="shared" si="183"/>
        <v>0</v>
      </c>
      <c r="AQ199" s="4453"/>
      <c r="AR199" s="4454"/>
      <c r="AS199" s="4438">
        <f t="shared" si="184"/>
        <v>0</v>
      </c>
    </row>
    <row r="200" spans="1:45">
      <c r="A200" s="2515">
        <v>3</v>
      </c>
      <c r="B200" s="2516">
        <v>911301</v>
      </c>
      <c r="C200" s="2517">
        <v>0.1</v>
      </c>
      <c r="D200" s="2571" t="s">
        <v>427</v>
      </c>
      <c r="E200" s="1223">
        <f t="shared" si="217"/>
        <v>163</v>
      </c>
      <c r="F200" s="5199"/>
      <c r="G200" s="5200"/>
      <c r="H200" s="1223">
        <f t="shared" si="218"/>
        <v>108</v>
      </c>
      <c r="I200" s="1223">
        <f t="shared" si="218"/>
        <v>0</v>
      </c>
      <c r="J200" s="5199"/>
      <c r="K200" s="5200"/>
      <c r="L200" s="1223">
        <f t="shared" si="219"/>
        <v>0</v>
      </c>
      <c r="M200" s="1223">
        <f t="shared" si="219"/>
        <v>0</v>
      </c>
      <c r="N200" s="5199"/>
      <c r="O200" s="5200"/>
      <c r="P200" s="1223">
        <f t="shared" si="220"/>
        <v>0</v>
      </c>
      <c r="Q200" s="1223">
        <f t="shared" si="220"/>
        <v>0</v>
      </c>
      <c r="R200" s="5199"/>
      <c r="S200" s="5200"/>
      <c r="T200" s="1223">
        <f t="shared" si="221"/>
        <v>0</v>
      </c>
      <c r="U200" s="1223">
        <f t="shared" si="221"/>
        <v>0</v>
      </c>
      <c r="V200" s="5199"/>
      <c r="W200" s="5200"/>
      <c r="X200" s="2641">
        <f t="shared" si="222"/>
        <v>0</v>
      </c>
      <c r="Y200" s="4422"/>
      <c r="Z200" s="4438">
        <f t="shared" si="175"/>
        <v>83.34057663498362</v>
      </c>
      <c r="AA200" s="4453"/>
      <c r="AB200" s="4454"/>
      <c r="AC200" s="4438">
        <f t="shared" si="176"/>
        <v>55.219523169191596</v>
      </c>
      <c r="AD200" s="4438">
        <f t="shared" si="177"/>
        <v>0</v>
      </c>
      <c r="AE200" s="4453"/>
      <c r="AF200" s="4454"/>
      <c r="AG200" s="4438">
        <f t="shared" si="178"/>
        <v>0</v>
      </c>
      <c r="AH200" s="4438">
        <f t="shared" si="179"/>
        <v>0</v>
      </c>
      <c r="AI200" s="4453"/>
      <c r="AJ200" s="4454"/>
      <c r="AK200" s="4438">
        <f t="shared" si="180"/>
        <v>0</v>
      </c>
      <c r="AL200" s="4438">
        <f t="shared" si="181"/>
        <v>0</v>
      </c>
      <c r="AM200" s="4453"/>
      <c r="AN200" s="4454"/>
      <c r="AO200" s="4438">
        <f t="shared" si="182"/>
        <v>0</v>
      </c>
      <c r="AP200" s="4438">
        <f t="shared" si="183"/>
        <v>0</v>
      </c>
      <c r="AQ200" s="4453"/>
      <c r="AR200" s="4454"/>
      <c r="AS200" s="4438">
        <f t="shared" si="184"/>
        <v>0</v>
      </c>
    </row>
    <row r="201" spans="1:45">
      <c r="A201" s="2515">
        <v>4</v>
      </c>
      <c r="B201" s="2516">
        <v>911302</v>
      </c>
      <c r="C201" s="2517">
        <v>0.1</v>
      </c>
      <c r="D201" s="2571" t="s">
        <v>428</v>
      </c>
      <c r="E201" s="1223">
        <f t="shared" si="217"/>
        <v>20</v>
      </c>
      <c r="F201" s="5199"/>
      <c r="G201" s="5200"/>
      <c r="H201" s="1223">
        <f t="shared" si="218"/>
        <v>10</v>
      </c>
      <c r="I201" s="1223">
        <f t="shared" si="218"/>
        <v>0</v>
      </c>
      <c r="J201" s="5199"/>
      <c r="K201" s="5200"/>
      <c r="L201" s="1223">
        <f t="shared" si="219"/>
        <v>0</v>
      </c>
      <c r="M201" s="1223">
        <f t="shared" si="219"/>
        <v>0</v>
      </c>
      <c r="N201" s="5199"/>
      <c r="O201" s="5200"/>
      <c r="P201" s="1223">
        <f t="shared" si="220"/>
        <v>0</v>
      </c>
      <c r="Q201" s="1223">
        <f t="shared" si="220"/>
        <v>0</v>
      </c>
      <c r="R201" s="5199"/>
      <c r="S201" s="5200"/>
      <c r="T201" s="1223">
        <f t="shared" si="221"/>
        <v>0</v>
      </c>
      <c r="U201" s="1223">
        <f t="shared" si="221"/>
        <v>0</v>
      </c>
      <c r="V201" s="5199"/>
      <c r="W201" s="5200"/>
      <c r="X201" s="2641">
        <f t="shared" si="222"/>
        <v>0</v>
      </c>
      <c r="Y201" s="4422"/>
      <c r="Z201" s="4438">
        <f t="shared" si="175"/>
        <v>10.22583762392437</v>
      </c>
      <c r="AA201" s="4453"/>
      <c r="AB201" s="4454"/>
      <c r="AC201" s="4438">
        <f t="shared" si="176"/>
        <v>5.1129188119621851</v>
      </c>
      <c r="AD201" s="4438">
        <f t="shared" si="177"/>
        <v>0</v>
      </c>
      <c r="AE201" s="4453"/>
      <c r="AF201" s="4454"/>
      <c r="AG201" s="4438">
        <f t="shared" si="178"/>
        <v>0</v>
      </c>
      <c r="AH201" s="4438">
        <f t="shared" si="179"/>
        <v>0</v>
      </c>
      <c r="AI201" s="4453"/>
      <c r="AJ201" s="4454"/>
      <c r="AK201" s="4438">
        <f t="shared" si="180"/>
        <v>0</v>
      </c>
      <c r="AL201" s="4438">
        <f t="shared" si="181"/>
        <v>0</v>
      </c>
      <c r="AM201" s="4453"/>
      <c r="AN201" s="4454"/>
      <c r="AO201" s="4438">
        <f t="shared" si="182"/>
        <v>0</v>
      </c>
      <c r="AP201" s="4438">
        <f t="shared" si="183"/>
        <v>0</v>
      </c>
      <c r="AQ201" s="4453"/>
      <c r="AR201" s="4454"/>
      <c r="AS201" s="4438">
        <f t="shared" si="184"/>
        <v>0</v>
      </c>
    </row>
    <row r="202" spans="1:45">
      <c r="A202" s="2515">
        <v>5</v>
      </c>
      <c r="B202" s="2516" t="s">
        <v>714</v>
      </c>
      <c r="C202" s="2517">
        <v>0.1</v>
      </c>
      <c r="D202" s="2552" t="s">
        <v>407</v>
      </c>
      <c r="E202" s="1223">
        <f t="shared" si="217"/>
        <v>9</v>
      </c>
      <c r="F202" s="5199"/>
      <c r="G202" s="5200"/>
      <c r="H202" s="1223">
        <f t="shared" si="218"/>
        <v>6</v>
      </c>
      <c r="I202" s="1223">
        <f t="shared" si="218"/>
        <v>1</v>
      </c>
      <c r="J202" s="5199"/>
      <c r="K202" s="5200"/>
      <c r="L202" s="1223">
        <f t="shared" si="219"/>
        <v>0</v>
      </c>
      <c r="M202" s="1223">
        <f t="shared" si="219"/>
        <v>0</v>
      </c>
      <c r="N202" s="5199"/>
      <c r="O202" s="5200"/>
      <c r="P202" s="1223">
        <f t="shared" si="220"/>
        <v>0</v>
      </c>
      <c r="Q202" s="1223">
        <f t="shared" si="220"/>
        <v>0</v>
      </c>
      <c r="R202" s="5199"/>
      <c r="S202" s="5200"/>
      <c r="T202" s="1223">
        <f t="shared" si="221"/>
        <v>0</v>
      </c>
      <c r="U202" s="1223">
        <f t="shared" si="221"/>
        <v>0</v>
      </c>
      <c r="V202" s="5199"/>
      <c r="W202" s="5200"/>
      <c r="X202" s="2641">
        <f t="shared" si="222"/>
        <v>0</v>
      </c>
      <c r="Y202" s="4422"/>
      <c r="Z202" s="4438">
        <f t="shared" si="175"/>
        <v>4.6016269307659661</v>
      </c>
      <c r="AA202" s="4453"/>
      <c r="AB202" s="4454"/>
      <c r="AC202" s="4438">
        <f t="shared" si="176"/>
        <v>3.0677512871773112</v>
      </c>
      <c r="AD202" s="4438">
        <f t="shared" si="177"/>
        <v>0.51129188119621849</v>
      </c>
      <c r="AE202" s="4453"/>
      <c r="AF202" s="4454"/>
      <c r="AG202" s="4438">
        <f t="shared" si="178"/>
        <v>0</v>
      </c>
      <c r="AH202" s="4438">
        <f t="shared" si="179"/>
        <v>0</v>
      </c>
      <c r="AI202" s="4453"/>
      <c r="AJ202" s="4454"/>
      <c r="AK202" s="4438">
        <f t="shared" si="180"/>
        <v>0</v>
      </c>
      <c r="AL202" s="4438">
        <f t="shared" si="181"/>
        <v>0</v>
      </c>
      <c r="AM202" s="4453"/>
      <c r="AN202" s="4454"/>
      <c r="AO202" s="4438">
        <f t="shared" si="182"/>
        <v>0</v>
      </c>
      <c r="AP202" s="4438">
        <f t="shared" si="183"/>
        <v>0</v>
      </c>
      <c r="AQ202" s="4453"/>
      <c r="AR202" s="4454"/>
      <c r="AS202" s="4438">
        <f t="shared" si="184"/>
        <v>0</v>
      </c>
    </row>
    <row r="203" spans="1:45">
      <c r="A203" s="2515">
        <v>6</v>
      </c>
      <c r="B203" s="2516" t="s">
        <v>715</v>
      </c>
      <c r="C203" s="2517">
        <v>0.1</v>
      </c>
      <c r="D203" s="2552" t="s">
        <v>1001</v>
      </c>
      <c r="E203" s="1223">
        <f t="shared" si="217"/>
        <v>8</v>
      </c>
      <c r="F203" s="5199"/>
      <c r="G203" s="5200"/>
      <c r="H203" s="1223">
        <f t="shared" si="218"/>
        <v>6</v>
      </c>
      <c r="I203" s="1223">
        <f t="shared" si="218"/>
        <v>0</v>
      </c>
      <c r="J203" s="5199"/>
      <c r="K203" s="5200"/>
      <c r="L203" s="1223">
        <f t="shared" si="219"/>
        <v>0</v>
      </c>
      <c r="M203" s="1223">
        <f t="shared" si="219"/>
        <v>0</v>
      </c>
      <c r="N203" s="5199"/>
      <c r="O203" s="5200"/>
      <c r="P203" s="1223">
        <f t="shared" si="220"/>
        <v>0</v>
      </c>
      <c r="Q203" s="1223">
        <f t="shared" si="220"/>
        <v>0</v>
      </c>
      <c r="R203" s="5199"/>
      <c r="S203" s="5200"/>
      <c r="T203" s="1223">
        <f t="shared" si="221"/>
        <v>0</v>
      </c>
      <c r="U203" s="1223">
        <f t="shared" si="221"/>
        <v>0</v>
      </c>
      <c r="V203" s="5199"/>
      <c r="W203" s="5200"/>
      <c r="X203" s="2641">
        <f t="shared" si="222"/>
        <v>0</v>
      </c>
      <c r="Y203" s="4422"/>
      <c r="Z203" s="4438">
        <f t="shared" si="175"/>
        <v>4.0903350495697479</v>
      </c>
      <c r="AA203" s="4453"/>
      <c r="AB203" s="4454"/>
      <c r="AC203" s="4438">
        <f t="shared" si="176"/>
        <v>3.0677512871773112</v>
      </c>
      <c r="AD203" s="4438">
        <f t="shared" si="177"/>
        <v>0</v>
      </c>
      <c r="AE203" s="4453"/>
      <c r="AF203" s="4454"/>
      <c r="AG203" s="4438">
        <f t="shared" si="178"/>
        <v>0</v>
      </c>
      <c r="AH203" s="4438">
        <f t="shared" si="179"/>
        <v>0</v>
      </c>
      <c r="AI203" s="4453"/>
      <c r="AJ203" s="4454"/>
      <c r="AK203" s="4438">
        <f t="shared" si="180"/>
        <v>0</v>
      </c>
      <c r="AL203" s="4438">
        <f t="shared" si="181"/>
        <v>0</v>
      </c>
      <c r="AM203" s="4453"/>
      <c r="AN203" s="4454"/>
      <c r="AO203" s="4438">
        <f t="shared" si="182"/>
        <v>0</v>
      </c>
      <c r="AP203" s="4438">
        <f t="shared" si="183"/>
        <v>0</v>
      </c>
      <c r="AQ203" s="4453"/>
      <c r="AR203" s="4454"/>
      <c r="AS203" s="4438">
        <f t="shared" si="184"/>
        <v>0</v>
      </c>
    </row>
    <row r="204" spans="1:45" ht="36">
      <c r="A204" s="2515">
        <v>7</v>
      </c>
      <c r="B204" s="2516" t="s">
        <v>706</v>
      </c>
      <c r="C204" s="2517">
        <v>0.1</v>
      </c>
      <c r="D204" s="2552" t="s">
        <v>695</v>
      </c>
      <c r="E204" s="1223">
        <f t="shared" si="217"/>
        <v>2</v>
      </c>
      <c r="F204" s="5199"/>
      <c r="G204" s="5200"/>
      <c r="H204" s="1223">
        <f t="shared" si="218"/>
        <v>1</v>
      </c>
      <c r="I204" s="1223">
        <f t="shared" si="218"/>
        <v>0</v>
      </c>
      <c r="J204" s="5199"/>
      <c r="K204" s="5200"/>
      <c r="L204" s="1223">
        <f t="shared" si="219"/>
        <v>0</v>
      </c>
      <c r="M204" s="1223">
        <f t="shared" si="219"/>
        <v>0</v>
      </c>
      <c r="N204" s="5199"/>
      <c r="O204" s="5200"/>
      <c r="P204" s="1223">
        <f t="shared" si="220"/>
        <v>0</v>
      </c>
      <c r="Q204" s="1223">
        <f t="shared" si="220"/>
        <v>0</v>
      </c>
      <c r="R204" s="5199"/>
      <c r="S204" s="5200"/>
      <c r="T204" s="1223">
        <f t="shared" si="221"/>
        <v>0</v>
      </c>
      <c r="U204" s="1223">
        <f t="shared" si="221"/>
        <v>0</v>
      </c>
      <c r="V204" s="5199"/>
      <c r="W204" s="5200"/>
      <c r="X204" s="2641">
        <f t="shared" si="222"/>
        <v>0</v>
      </c>
      <c r="Y204" s="4422"/>
      <c r="Z204" s="4438">
        <f t="shared" ref="Z204:Z221" si="223">IFERROR(E204/$D$1,0)</f>
        <v>1.022583762392437</v>
      </c>
      <c r="AA204" s="4453"/>
      <c r="AB204" s="4454"/>
      <c r="AC204" s="4438">
        <f t="shared" ref="AC204:AC221" si="224">IFERROR(H204/$D$1,0)</f>
        <v>0.51129188119621849</v>
      </c>
      <c r="AD204" s="4438">
        <f t="shared" ref="AD204:AD221" si="225">IFERROR(I204/$D$1,0)</f>
        <v>0</v>
      </c>
      <c r="AE204" s="4453"/>
      <c r="AF204" s="4454"/>
      <c r="AG204" s="4438">
        <f t="shared" ref="AG204:AG221" si="226">IFERROR(L204/$D$1,0)</f>
        <v>0</v>
      </c>
      <c r="AH204" s="4438">
        <f t="shared" ref="AH204:AH221" si="227">IFERROR(M204/$D$1,0)</f>
        <v>0</v>
      </c>
      <c r="AI204" s="4453"/>
      <c r="AJ204" s="4454"/>
      <c r="AK204" s="4438">
        <f t="shared" ref="AK204:AK221" si="228">IFERROR(P204/$D$1,0)</f>
        <v>0</v>
      </c>
      <c r="AL204" s="4438">
        <f t="shared" ref="AL204:AL221" si="229">IFERROR(Q204/$D$1,0)</f>
        <v>0</v>
      </c>
      <c r="AM204" s="4453"/>
      <c r="AN204" s="4454"/>
      <c r="AO204" s="4438">
        <f t="shared" ref="AO204:AO221" si="230">IFERROR(T204/$D$1,0)</f>
        <v>0</v>
      </c>
      <c r="AP204" s="4438">
        <f t="shared" ref="AP204:AP221" si="231">IFERROR(U204/$D$1,0)</f>
        <v>0</v>
      </c>
      <c r="AQ204" s="4453"/>
      <c r="AR204" s="4454"/>
      <c r="AS204" s="4438">
        <f t="shared" ref="AS204:AS221" si="232">IFERROR(X204/$D$1,0)</f>
        <v>0</v>
      </c>
    </row>
    <row r="205" spans="1:45">
      <c r="A205" s="2515">
        <v>8</v>
      </c>
      <c r="B205" s="2516" t="s">
        <v>716</v>
      </c>
      <c r="C205" s="2517">
        <v>0.1</v>
      </c>
      <c r="D205" s="2552" t="s">
        <v>713</v>
      </c>
      <c r="E205" s="1223">
        <f t="shared" si="217"/>
        <v>3145</v>
      </c>
      <c r="F205" s="5199"/>
      <c r="G205" s="5200"/>
      <c r="H205" s="1223">
        <f t="shared" si="218"/>
        <v>2516</v>
      </c>
      <c r="I205" s="1223">
        <f t="shared" si="218"/>
        <v>0</v>
      </c>
      <c r="J205" s="5199"/>
      <c r="K205" s="5200"/>
      <c r="L205" s="1223">
        <f t="shared" si="219"/>
        <v>0</v>
      </c>
      <c r="M205" s="1223">
        <f t="shared" si="219"/>
        <v>0</v>
      </c>
      <c r="N205" s="5199"/>
      <c r="O205" s="5200"/>
      <c r="P205" s="1223">
        <f t="shared" si="220"/>
        <v>0</v>
      </c>
      <c r="Q205" s="1223">
        <f t="shared" si="220"/>
        <v>0</v>
      </c>
      <c r="R205" s="5199"/>
      <c r="S205" s="5200"/>
      <c r="T205" s="1223">
        <f t="shared" si="221"/>
        <v>0</v>
      </c>
      <c r="U205" s="1223">
        <f t="shared" si="221"/>
        <v>0</v>
      </c>
      <c r="V205" s="5199"/>
      <c r="W205" s="5200"/>
      <c r="X205" s="2641">
        <f t="shared" si="222"/>
        <v>0</v>
      </c>
      <c r="Y205" s="4422"/>
      <c r="Z205" s="4438">
        <f t="shared" si="223"/>
        <v>1608.0129663621071</v>
      </c>
      <c r="AA205" s="4453"/>
      <c r="AB205" s="4454"/>
      <c r="AC205" s="4438">
        <f t="shared" si="224"/>
        <v>1286.4103730896857</v>
      </c>
      <c r="AD205" s="4438">
        <f t="shared" si="225"/>
        <v>0</v>
      </c>
      <c r="AE205" s="4453"/>
      <c r="AF205" s="4454"/>
      <c r="AG205" s="4438">
        <f t="shared" si="226"/>
        <v>0</v>
      </c>
      <c r="AH205" s="4438">
        <f t="shared" si="227"/>
        <v>0</v>
      </c>
      <c r="AI205" s="4453"/>
      <c r="AJ205" s="4454"/>
      <c r="AK205" s="4438">
        <f t="shared" si="228"/>
        <v>0</v>
      </c>
      <c r="AL205" s="4438">
        <f t="shared" si="229"/>
        <v>0</v>
      </c>
      <c r="AM205" s="4453"/>
      <c r="AN205" s="4454"/>
      <c r="AO205" s="4438">
        <f t="shared" si="230"/>
        <v>0</v>
      </c>
      <c r="AP205" s="4438">
        <f t="shared" si="231"/>
        <v>0</v>
      </c>
      <c r="AQ205" s="4453"/>
      <c r="AR205" s="4454"/>
      <c r="AS205" s="4438">
        <f t="shared" si="232"/>
        <v>0</v>
      </c>
    </row>
    <row r="206" spans="1:45" ht="24">
      <c r="A206" s="2573">
        <v>9</v>
      </c>
      <c r="B206" s="2516">
        <v>911306</v>
      </c>
      <c r="C206" s="2517">
        <v>0.1</v>
      </c>
      <c r="D206" s="2552" t="s">
        <v>1032</v>
      </c>
      <c r="E206" s="1223">
        <f t="shared" si="217"/>
        <v>41</v>
      </c>
      <c r="F206" s="5199"/>
      <c r="G206" s="5200"/>
      <c r="H206" s="1223">
        <f t="shared" si="218"/>
        <v>33</v>
      </c>
      <c r="I206" s="1223">
        <f t="shared" si="218"/>
        <v>224</v>
      </c>
      <c r="J206" s="5199"/>
      <c r="K206" s="5200"/>
      <c r="L206" s="1223">
        <f t="shared" si="219"/>
        <v>193</v>
      </c>
      <c r="M206" s="1223">
        <f t="shared" si="219"/>
        <v>6389</v>
      </c>
      <c r="N206" s="5199"/>
      <c r="O206" s="5200"/>
      <c r="P206" s="1223">
        <f t="shared" si="220"/>
        <v>4629</v>
      </c>
      <c r="Q206" s="1223">
        <f t="shared" si="220"/>
        <v>0</v>
      </c>
      <c r="R206" s="5199"/>
      <c r="S206" s="5200"/>
      <c r="T206" s="1223">
        <f t="shared" si="221"/>
        <v>0</v>
      </c>
      <c r="U206" s="1223">
        <f t="shared" si="221"/>
        <v>0</v>
      </c>
      <c r="V206" s="5199"/>
      <c r="W206" s="5200"/>
      <c r="X206" s="2641">
        <f t="shared" si="222"/>
        <v>0</v>
      </c>
      <c r="Y206" s="4422"/>
      <c r="Z206" s="4438">
        <f t="shared" si="223"/>
        <v>20.962967129044959</v>
      </c>
      <c r="AA206" s="4453"/>
      <c r="AB206" s="4454"/>
      <c r="AC206" s="4438">
        <f t="shared" si="224"/>
        <v>16.87263207947521</v>
      </c>
      <c r="AD206" s="4438">
        <f t="shared" si="225"/>
        <v>114.52938138795294</v>
      </c>
      <c r="AE206" s="4453"/>
      <c r="AF206" s="4454"/>
      <c r="AG206" s="4438">
        <f t="shared" si="226"/>
        <v>98.679333070870172</v>
      </c>
      <c r="AH206" s="4438">
        <f t="shared" si="227"/>
        <v>3266.6438289626399</v>
      </c>
      <c r="AI206" s="4453"/>
      <c r="AJ206" s="4454"/>
      <c r="AK206" s="4438">
        <f t="shared" si="228"/>
        <v>2366.7701180572953</v>
      </c>
      <c r="AL206" s="4438">
        <f t="shared" si="229"/>
        <v>0</v>
      </c>
      <c r="AM206" s="4453"/>
      <c r="AN206" s="4454"/>
      <c r="AO206" s="4438">
        <f t="shared" si="230"/>
        <v>0</v>
      </c>
      <c r="AP206" s="4438">
        <f t="shared" si="231"/>
        <v>0</v>
      </c>
      <c r="AQ206" s="4453"/>
      <c r="AR206" s="4454"/>
      <c r="AS206" s="4438">
        <f t="shared" si="232"/>
        <v>0</v>
      </c>
    </row>
    <row r="207" spans="1:45">
      <c r="A207" s="2573">
        <v>10</v>
      </c>
      <c r="B207" s="2516">
        <v>91140101</v>
      </c>
      <c r="C207" s="2572">
        <v>0.1</v>
      </c>
      <c r="D207" s="2546" t="s">
        <v>1016</v>
      </c>
      <c r="E207" s="1223">
        <f t="shared" si="217"/>
        <v>154</v>
      </c>
      <c r="F207" s="5199"/>
      <c r="G207" s="5200"/>
      <c r="H207" s="1223">
        <f t="shared" si="218"/>
        <v>145</v>
      </c>
      <c r="I207" s="1223">
        <f t="shared" si="218"/>
        <v>0</v>
      </c>
      <c r="J207" s="5199"/>
      <c r="K207" s="5200"/>
      <c r="L207" s="1223">
        <f t="shared" si="219"/>
        <v>0</v>
      </c>
      <c r="M207" s="1223">
        <f t="shared" si="219"/>
        <v>0</v>
      </c>
      <c r="N207" s="5199"/>
      <c r="O207" s="5200"/>
      <c r="P207" s="1223">
        <f t="shared" si="220"/>
        <v>0</v>
      </c>
      <c r="Q207" s="1223">
        <f t="shared" si="220"/>
        <v>0</v>
      </c>
      <c r="R207" s="5199"/>
      <c r="S207" s="5200"/>
      <c r="T207" s="1223">
        <f t="shared" si="221"/>
        <v>0</v>
      </c>
      <c r="U207" s="1223">
        <f t="shared" si="221"/>
        <v>0</v>
      </c>
      <c r="V207" s="5199"/>
      <c r="W207" s="5200"/>
      <c r="X207" s="2641">
        <f t="shared" si="222"/>
        <v>0</v>
      </c>
      <c r="Y207" s="4422"/>
      <c r="Z207" s="4438">
        <f t="shared" si="223"/>
        <v>78.738949704217646</v>
      </c>
      <c r="AA207" s="4453"/>
      <c r="AB207" s="4454"/>
      <c r="AC207" s="4438">
        <f t="shared" si="224"/>
        <v>74.137322773451686</v>
      </c>
      <c r="AD207" s="4438">
        <f t="shared" si="225"/>
        <v>0</v>
      </c>
      <c r="AE207" s="4453"/>
      <c r="AF207" s="4454"/>
      <c r="AG207" s="4438">
        <f t="shared" si="226"/>
        <v>0</v>
      </c>
      <c r="AH207" s="4438">
        <f t="shared" si="227"/>
        <v>0</v>
      </c>
      <c r="AI207" s="4453"/>
      <c r="AJ207" s="4454"/>
      <c r="AK207" s="4438">
        <f t="shared" si="228"/>
        <v>0</v>
      </c>
      <c r="AL207" s="4438">
        <f t="shared" si="229"/>
        <v>0</v>
      </c>
      <c r="AM207" s="4453"/>
      <c r="AN207" s="4454"/>
      <c r="AO207" s="4438">
        <f t="shared" si="230"/>
        <v>0</v>
      </c>
      <c r="AP207" s="4438">
        <f t="shared" si="231"/>
        <v>0</v>
      </c>
      <c r="AQ207" s="4453"/>
      <c r="AR207" s="4454"/>
      <c r="AS207" s="4438">
        <f t="shared" si="232"/>
        <v>0</v>
      </c>
    </row>
    <row r="208" spans="1:45">
      <c r="A208" s="2573">
        <v>11</v>
      </c>
      <c r="B208" s="2516">
        <v>91140102</v>
      </c>
      <c r="C208" s="2572">
        <v>0.04</v>
      </c>
      <c r="D208" s="2546" t="s">
        <v>432</v>
      </c>
      <c r="E208" s="1223">
        <f t="shared" si="217"/>
        <v>0</v>
      </c>
      <c r="F208" s="5199"/>
      <c r="G208" s="5200"/>
      <c r="H208" s="1223">
        <f t="shared" si="218"/>
        <v>0</v>
      </c>
      <c r="I208" s="1223">
        <f t="shared" si="218"/>
        <v>0</v>
      </c>
      <c r="J208" s="5199"/>
      <c r="K208" s="5200"/>
      <c r="L208" s="1223">
        <f t="shared" si="219"/>
        <v>0</v>
      </c>
      <c r="M208" s="1223">
        <f t="shared" si="219"/>
        <v>0</v>
      </c>
      <c r="N208" s="5199"/>
      <c r="O208" s="5200"/>
      <c r="P208" s="1223">
        <f t="shared" si="220"/>
        <v>0</v>
      </c>
      <c r="Q208" s="1223">
        <f t="shared" si="220"/>
        <v>0</v>
      </c>
      <c r="R208" s="5199"/>
      <c r="S208" s="5200"/>
      <c r="T208" s="1223">
        <f t="shared" si="221"/>
        <v>0</v>
      </c>
      <c r="U208" s="1223">
        <f t="shared" si="221"/>
        <v>0</v>
      </c>
      <c r="V208" s="5199"/>
      <c r="W208" s="5200"/>
      <c r="X208" s="2641">
        <f t="shared" si="222"/>
        <v>0</v>
      </c>
      <c r="Y208" s="4422"/>
      <c r="Z208" s="4438">
        <f t="shared" si="223"/>
        <v>0</v>
      </c>
      <c r="AA208" s="4453"/>
      <c r="AB208" s="4454"/>
      <c r="AC208" s="4438">
        <f t="shared" si="224"/>
        <v>0</v>
      </c>
      <c r="AD208" s="4438">
        <f t="shared" si="225"/>
        <v>0</v>
      </c>
      <c r="AE208" s="4453"/>
      <c r="AF208" s="4454"/>
      <c r="AG208" s="4438">
        <f t="shared" si="226"/>
        <v>0</v>
      </c>
      <c r="AH208" s="4438">
        <f t="shared" si="227"/>
        <v>0</v>
      </c>
      <c r="AI208" s="4453"/>
      <c r="AJ208" s="4454"/>
      <c r="AK208" s="4438">
        <f t="shared" si="228"/>
        <v>0</v>
      </c>
      <c r="AL208" s="4438">
        <f t="shared" si="229"/>
        <v>0</v>
      </c>
      <c r="AM208" s="4453"/>
      <c r="AN208" s="4454"/>
      <c r="AO208" s="4438">
        <f t="shared" si="230"/>
        <v>0</v>
      </c>
      <c r="AP208" s="4438">
        <f t="shared" si="231"/>
        <v>0</v>
      </c>
      <c r="AQ208" s="4453"/>
      <c r="AR208" s="4454"/>
      <c r="AS208" s="4438">
        <f t="shared" si="232"/>
        <v>0</v>
      </c>
    </row>
    <row r="209" spans="1:45">
      <c r="A209" s="2573">
        <v>12</v>
      </c>
      <c r="B209" s="2516" t="s">
        <v>698</v>
      </c>
      <c r="C209" s="2517">
        <v>0.02</v>
      </c>
      <c r="D209" s="2547" t="s">
        <v>738</v>
      </c>
      <c r="E209" s="1223">
        <f t="shared" si="217"/>
        <v>0</v>
      </c>
      <c r="F209" s="5199"/>
      <c r="G209" s="5200"/>
      <c r="H209" s="1223">
        <f t="shared" si="218"/>
        <v>0</v>
      </c>
      <c r="I209" s="1223">
        <f t="shared" si="218"/>
        <v>64</v>
      </c>
      <c r="J209" s="5199"/>
      <c r="K209" s="5200"/>
      <c r="L209" s="1223">
        <f t="shared" si="219"/>
        <v>63</v>
      </c>
      <c r="M209" s="1223">
        <f t="shared" si="219"/>
        <v>0</v>
      </c>
      <c r="N209" s="5199"/>
      <c r="O209" s="5200"/>
      <c r="P209" s="1223">
        <f t="shared" si="220"/>
        <v>0</v>
      </c>
      <c r="Q209" s="1223">
        <f t="shared" si="220"/>
        <v>0</v>
      </c>
      <c r="R209" s="5199"/>
      <c r="S209" s="5200"/>
      <c r="T209" s="1223">
        <f t="shared" si="221"/>
        <v>0</v>
      </c>
      <c r="U209" s="1223">
        <f t="shared" si="221"/>
        <v>0</v>
      </c>
      <c r="V209" s="5199"/>
      <c r="W209" s="5200"/>
      <c r="X209" s="2641">
        <f t="shared" si="222"/>
        <v>0</v>
      </c>
      <c r="Y209" s="4422"/>
      <c r="Z209" s="4438">
        <f t="shared" si="223"/>
        <v>0</v>
      </c>
      <c r="AA209" s="4453"/>
      <c r="AB209" s="4454"/>
      <c r="AC209" s="4438">
        <f t="shared" si="224"/>
        <v>0</v>
      </c>
      <c r="AD209" s="4438">
        <f t="shared" si="225"/>
        <v>32.722680396557983</v>
      </c>
      <c r="AE209" s="4453"/>
      <c r="AF209" s="4454"/>
      <c r="AG209" s="4438">
        <f t="shared" si="226"/>
        <v>32.211388515361769</v>
      </c>
      <c r="AH209" s="4438">
        <f t="shared" si="227"/>
        <v>0</v>
      </c>
      <c r="AI209" s="4453"/>
      <c r="AJ209" s="4454"/>
      <c r="AK209" s="4438">
        <f t="shared" si="228"/>
        <v>0</v>
      </c>
      <c r="AL209" s="4438">
        <f t="shared" si="229"/>
        <v>0</v>
      </c>
      <c r="AM209" s="4453"/>
      <c r="AN209" s="4454"/>
      <c r="AO209" s="4438">
        <f t="shared" si="230"/>
        <v>0</v>
      </c>
      <c r="AP209" s="4438">
        <f t="shared" si="231"/>
        <v>0</v>
      </c>
      <c r="AQ209" s="4453"/>
      <c r="AR209" s="4454"/>
      <c r="AS209" s="4438">
        <f t="shared" si="232"/>
        <v>0</v>
      </c>
    </row>
    <row r="210" spans="1:45">
      <c r="A210" s="2573">
        <v>13</v>
      </c>
      <c r="B210" s="2516" t="s">
        <v>699</v>
      </c>
      <c r="C210" s="2517">
        <v>0.02</v>
      </c>
      <c r="D210" s="2547" t="s">
        <v>739</v>
      </c>
      <c r="E210" s="1223">
        <f t="shared" si="217"/>
        <v>846</v>
      </c>
      <c r="F210" s="5199"/>
      <c r="G210" s="5200"/>
      <c r="H210" s="1223">
        <f t="shared" si="218"/>
        <v>823</v>
      </c>
      <c r="I210" s="1223">
        <f t="shared" si="218"/>
        <v>0</v>
      </c>
      <c r="J210" s="5199"/>
      <c r="K210" s="5200"/>
      <c r="L210" s="1223">
        <f t="shared" si="219"/>
        <v>0</v>
      </c>
      <c r="M210" s="1223">
        <f t="shared" si="219"/>
        <v>0</v>
      </c>
      <c r="N210" s="5199"/>
      <c r="O210" s="5200"/>
      <c r="P210" s="1223">
        <f t="shared" si="220"/>
        <v>0</v>
      </c>
      <c r="Q210" s="1223">
        <f t="shared" si="220"/>
        <v>0</v>
      </c>
      <c r="R210" s="5199"/>
      <c r="S210" s="5200"/>
      <c r="T210" s="1223">
        <f t="shared" si="221"/>
        <v>0</v>
      </c>
      <c r="U210" s="1223">
        <f t="shared" si="221"/>
        <v>0</v>
      </c>
      <c r="V210" s="5199"/>
      <c r="W210" s="5200"/>
      <c r="X210" s="2641">
        <f t="shared" si="222"/>
        <v>0</v>
      </c>
      <c r="Y210" s="4422"/>
      <c r="Z210" s="4438">
        <f t="shared" si="223"/>
        <v>432.55293149200082</v>
      </c>
      <c r="AA210" s="4453"/>
      <c r="AB210" s="4454"/>
      <c r="AC210" s="4438">
        <f t="shared" si="224"/>
        <v>420.79321822448782</v>
      </c>
      <c r="AD210" s="4438">
        <f t="shared" si="225"/>
        <v>0</v>
      </c>
      <c r="AE210" s="4453"/>
      <c r="AF210" s="4454"/>
      <c r="AG210" s="4438">
        <f t="shared" si="226"/>
        <v>0</v>
      </c>
      <c r="AH210" s="4438">
        <f t="shared" si="227"/>
        <v>0</v>
      </c>
      <c r="AI210" s="4453"/>
      <c r="AJ210" s="4454"/>
      <c r="AK210" s="4438">
        <f t="shared" si="228"/>
        <v>0</v>
      </c>
      <c r="AL210" s="4438">
        <f t="shared" si="229"/>
        <v>0</v>
      </c>
      <c r="AM210" s="4453"/>
      <c r="AN210" s="4454"/>
      <c r="AO210" s="4438">
        <f t="shared" si="230"/>
        <v>0</v>
      </c>
      <c r="AP210" s="4438">
        <f t="shared" si="231"/>
        <v>0</v>
      </c>
      <c r="AQ210" s="4453"/>
      <c r="AR210" s="4454"/>
      <c r="AS210" s="4438">
        <f t="shared" si="232"/>
        <v>0</v>
      </c>
    </row>
    <row r="211" spans="1:45">
      <c r="A211" s="2573">
        <v>14</v>
      </c>
      <c r="B211" s="2516" t="s">
        <v>700</v>
      </c>
      <c r="C211" s="2517">
        <v>0.02</v>
      </c>
      <c r="D211" s="2547" t="s">
        <v>418</v>
      </c>
      <c r="E211" s="1223">
        <f t="shared" si="217"/>
        <v>15</v>
      </c>
      <c r="F211" s="5199"/>
      <c r="G211" s="5200"/>
      <c r="H211" s="1223">
        <f t="shared" si="218"/>
        <v>14</v>
      </c>
      <c r="I211" s="1223">
        <f t="shared" si="218"/>
        <v>0</v>
      </c>
      <c r="J211" s="5199"/>
      <c r="K211" s="5200"/>
      <c r="L211" s="1223">
        <f t="shared" si="219"/>
        <v>0</v>
      </c>
      <c r="M211" s="1223">
        <f t="shared" si="219"/>
        <v>0</v>
      </c>
      <c r="N211" s="5199"/>
      <c r="O211" s="5200"/>
      <c r="P211" s="1223">
        <f t="shared" si="220"/>
        <v>0</v>
      </c>
      <c r="Q211" s="1223">
        <f t="shared" si="220"/>
        <v>0</v>
      </c>
      <c r="R211" s="5199"/>
      <c r="S211" s="5200"/>
      <c r="T211" s="1223">
        <f t="shared" si="221"/>
        <v>0</v>
      </c>
      <c r="U211" s="1223">
        <f t="shared" si="221"/>
        <v>0</v>
      </c>
      <c r="V211" s="5199"/>
      <c r="W211" s="5200"/>
      <c r="X211" s="2641">
        <f t="shared" si="222"/>
        <v>0</v>
      </c>
      <c r="Y211" s="4422"/>
      <c r="Z211" s="4438">
        <f t="shared" si="223"/>
        <v>7.6693782179432777</v>
      </c>
      <c r="AA211" s="4453"/>
      <c r="AB211" s="4454"/>
      <c r="AC211" s="4438">
        <f t="shared" si="224"/>
        <v>7.1580863367470586</v>
      </c>
      <c r="AD211" s="4438">
        <f t="shared" si="225"/>
        <v>0</v>
      </c>
      <c r="AE211" s="4453"/>
      <c r="AF211" s="4454"/>
      <c r="AG211" s="4438">
        <f t="shared" si="226"/>
        <v>0</v>
      </c>
      <c r="AH211" s="4438">
        <f t="shared" si="227"/>
        <v>0</v>
      </c>
      <c r="AI211" s="4453"/>
      <c r="AJ211" s="4454"/>
      <c r="AK211" s="4438">
        <f t="shared" si="228"/>
        <v>0</v>
      </c>
      <c r="AL211" s="4438">
        <f t="shared" si="229"/>
        <v>0</v>
      </c>
      <c r="AM211" s="4453"/>
      <c r="AN211" s="4454"/>
      <c r="AO211" s="4438">
        <f t="shared" si="230"/>
        <v>0</v>
      </c>
      <c r="AP211" s="4438">
        <f t="shared" si="231"/>
        <v>0</v>
      </c>
      <c r="AQ211" s="4453"/>
      <c r="AR211" s="4454"/>
      <c r="AS211" s="4438">
        <f t="shared" si="232"/>
        <v>0</v>
      </c>
    </row>
    <row r="212" spans="1:45" ht="24">
      <c r="A212" s="2573">
        <v>15</v>
      </c>
      <c r="B212" s="2516" t="s">
        <v>701</v>
      </c>
      <c r="C212" s="2517">
        <v>0.02</v>
      </c>
      <c r="D212" s="2546" t="s">
        <v>419</v>
      </c>
      <c r="E212" s="1223">
        <f t="shared" si="217"/>
        <v>717</v>
      </c>
      <c r="F212" s="5199"/>
      <c r="G212" s="5200"/>
      <c r="H212" s="1223">
        <f t="shared" si="218"/>
        <v>694</v>
      </c>
      <c r="I212" s="1223">
        <f t="shared" si="218"/>
        <v>0</v>
      </c>
      <c r="J212" s="5199"/>
      <c r="K212" s="5200"/>
      <c r="L212" s="1223">
        <f t="shared" si="219"/>
        <v>0</v>
      </c>
      <c r="M212" s="1223">
        <f t="shared" si="219"/>
        <v>0</v>
      </c>
      <c r="N212" s="5199"/>
      <c r="O212" s="5200"/>
      <c r="P212" s="1223">
        <f t="shared" si="220"/>
        <v>0</v>
      </c>
      <c r="Q212" s="1223">
        <f t="shared" si="220"/>
        <v>0</v>
      </c>
      <c r="R212" s="5199"/>
      <c r="S212" s="5200"/>
      <c r="T212" s="1223">
        <f t="shared" si="221"/>
        <v>0</v>
      </c>
      <c r="U212" s="1223">
        <f t="shared" si="221"/>
        <v>0</v>
      </c>
      <c r="V212" s="5199"/>
      <c r="W212" s="5200"/>
      <c r="X212" s="2641">
        <f t="shared" si="222"/>
        <v>0</v>
      </c>
      <c r="Y212" s="4422"/>
      <c r="Z212" s="4438">
        <f t="shared" si="223"/>
        <v>366.59627881768864</v>
      </c>
      <c r="AA212" s="4453"/>
      <c r="AB212" s="4454"/>
      <c r="AC212" s="4438">
        <f t="shared" si="224"/>
        <v>354.83656555017564</v>
      </c>
      <c r="AD212" s="4438">
        <f t="shared" si="225"/>
        <v>0</v>
      </c>
      <c r="AE212" s="4453"/>
      <c r="AF212" s="4454"/>
      <c r="AG212" s="4438">
        <f t="shared" si="226"/>
        <v>0</v>
      </c>
      <c r="AH212" s="4438">
        <f t="shared" si="227"/>
        <v>0</v>
      </c>
      <c r="AI212" s="4453"/>
      <c r="AJ212" s="4454"/>
      <c r="AK212" s="4438">
        <f t="shared" si="228"/>
        <v>0</v>
      </c>
      <c r="AL212" s="4438">
        <f t="shared" si="229"/>
        <v>0</v>
      </c>
      <c r="AM212" s="4453"/>
      <c r="AN212" s="4454"/>
      <c r="AO212" s="4438">
        <f t="shared" si="230"/>
        <v>0</v>
      </c>
      <c r="AP212" s="4438">
        <f t="shared" si="231"/>
        <v>0</v>
      </c>
      <c r="AQ212" s="4453"/>
      <c r="AR212" s="4454"/>
      <c r="AS212" s="4438">
        <f t="shared" si="232"/>
        <v>0</v>
      </c>
    </row>
    <row r="213" spans="1:45">
      <c r="A213" s="2573">
        <v>16</v>
      </c>
      <c r="B213" s="2516" t="s">
        <v>702</v>
      </c>
      <c r="C213" s="2517">
        <v>0.02</v>
      </c>
      <c r="D213" s="2547" t="s">
        <v>420</v>
      </c>
      <c r="E213" s="1223">
        <f t="shared" si="217"/>
        <v>60186</v>
      </c>
      <c r="F213" s="5199"/>
      <c r="G213" s="5200"/>
      <c r="H213" s="1223">
        <f t="shared" si="218"/>
        <v>63970</v>
      </c>
      <c r="I213" s="1223">
        <f t="shared" si="218"/>
        <v>1</v>
      </c>
      <c r="J213" s="5199"/>
      <c r="K213" s="5200"/>
      <c r="L213" s="1223">
        <f t="shared" si="219"/>
        <v>1</v>
      </c>
      <c r="M213" s="1223">
        <f t="shared" si="219"/>
        <v>0</v>
      </c>
      <c r="N213" s="5199"/>
      <c r="O213" s="5200"/>
      <c r="P213" s="1223">
        <f t="shared" si="220"/>
        <v>0</v>
      </c>
      <c r="Q213" s="1223">
        <f t="shared" si="220"/>
        <v>0</v>
      </c>
      <c r="R213" s="5199"/>
      <c r="S213" s="5200"/>
      <c r="T213" s="1223">
        <f t="shared" si="221"/>
        <v>0</v>
      </c>
      <c r="U213" s="1223">
        <f t="shared" si="221"/>
        <v>0</v>
      </c>
      <c r="V213" s="5199"/>
      <c r="W213" s="5200"/>
      <c r="X213" s="2641">
        <f t="shared" si="222"/>
        <v>0</v>
      </c>
      <c r="Y213" s="4422"/>
      <c r="Z213" s="4438">
        <f t="shared" si="223"/>
        <v>30772.613161675607</v>
      </c>
      <c r="AA213" s="4453"/>
      <c r="AB213" s="4454"/>
      <c r="AC213" s="4438">
        <f t="shared" si="224"/>
        <v>32707.341640122097</v>
      </c>
      <c r="AD213" s="4438">
        <f t="shared" si="225"/>
        <v>0.51129188119621849</v>
      </c>
      <c r="AE213" s="4453"/>
      <c r="AF213" s="4454"/>
      <c r="AG213" s="4438">
        <f t="shared" si="226"/>
        <v>0.51129188119621849</v>
      </c>
      <c r="AH213" s="4438">
        <f t="shared" si="227"/>
        <v>0</v>
      </c>
      <c r="AI213" s="4453"/>
      <c r="AJ213" s="4454"/>
      <c r="AK213" s="4438">
        <f t="shared" si="228"/>
        <v>0</v>
      </c>
      <c r="AL213" s="4438">
        <f t="shared" si="229"/>
        <v>0</v>
      </c>
      <c r="AM213" s="4453"/>
      <c r="AN213" s="4454"/>
      <c r="AO213" s="4438">
        <f t="shared" si="230"/>
        <v>0</v>
      </c>
      <c r="AP213" s="4438">
        <f t="shared" si="231"/>
        <v>0</v>
      </c>
      <c r="AQ213" s="4453"/>
      <c r="AR213" s="4454"/>
      <c r="AS213" s="4438">
        <f t="shared" si="232"/>
        <v>0</v>
      </c>
    </row>
    <row r="214" spans="1:45">
      <c r="A214" s="2573">
        <v>17</v>
      </c>
      <c r="B214" s="2516" t="s">
        <v>703</v>
      </c>
      <c r="C214" s="2517">
        <v>0.02</v>
      </c>
      <c r="D214" s="2552" t="s">
        <v>421</v>
      </c>
      <c r="E214" s="1223">
        <f t="shared" si="217"/>
        <v>0</v>
      </c>
      <c r="F214" s="5199"/>
      <c r="G214" s="5200"/>
      <c r="H214" s="1223">
        <f t="shared" ref="H214:I218" si="233">H170-H192</f>
        <v>0</v>
      </c>
      <c r="I214" s="1223">
        <f t="shared" si="233"/>
        <v>84432</v>
      </c>
      <c r="J214" s="5199"/>
      <c r="K214" s="5200"/>
      <c r="L214" s="1223">
        <f t="shared" ref="L214:M218" si="234">L170-L192</f>
        <v>82537</v>
      </c>
      <c r="M214" s="1223">
        <f t="shared" si="234"/>
        <v>32664</v>
      </c>
      <c r="N214" s="5199"/>
      <c r="O214" s="5200"/>
      <c r="P214" s="1223">
        <f t="shared" ref="P214:Q218" si="235">P170-P192</f>
        <v>30972</v>
      </c>
      <c r="Q214" s="1223">
        <f t="shared" si="235"/>
        <v>0</v>
      </c>
      <c r="R214" s="5199"/>
      <c r="S214" s="5200"/>
      <c r="T214" s="1223">
        <f t="shared" ref="T214:U218" si="236">T170-T192</f>
        <v>0</v>
      </c>
      <c r="U214" s="1223">
        <f t="shared" si="236"/>
        <v>0</v>
      </c>
      <c r="V214" s="5199"/>
      <c r="W214" s="5200"/>
      <c r="X214" s="2641">
        <f t="shared" si="222"/>
        <v>0</v>
      </c>
      <c r="Y214" s="4422"/>
      <c r="Z214" s="4438">
        <f t="shared" si="223"/>
        <v>0</v>
      </c>
      <c r="AA214" s="4453"/>
      <c r="AB214" s="4454"/>
      <c r="AC214" s="4438">
        <f t="shared" si="224"/>
        <v>0</v>
      </c>
      <c r="AD214" s="4438">
        <f t="shared" si="225"/>
        <v>43169.39611315912</v>
      </c>
      <c r="AE214" s="4453"/>
      <c r="AF214" s="4454"/>
      <c r="AG214" s="4438">
        <f t="shared" si="226"/>
        <v>42200.497998292289</v>
      </c>
      <c r="AH214" s="4438">
        <f t="shared" si="227"/>
        <v>16700.838007393282</v>
      </c>
      <c r="AI214" s="4453"/>
      <c r="AJ214" s="4454"/>
      <c r="AK214" s="4438">
        <f t="shared" si="228"/>
        <v>15835.732144409279</v>
      </c>
      <c r="AL214" s="4438">
        <f t="shared" si="229"/>
        <v>0</v>
      </c>
      <c r="AM214" s="4453"/>
      <c r="AN214" s="4454"/>
      <c r="AO214" s="4438">
        <f t="shared" si="230"/>
        <v>0</v>
      </c>
      <c r="AP214" s="4438">
        <f t="shared" si="231"/>
        <v>0</v>
      </c>
      <c r="AQ214" s="4453"/>
      <c r="AR214" s="4454"/>
      <c r="AS214" s="4438">
        <f t="shared" si="232"/>
        <v>0</v>
      </c>
    </row>
    <row r="215" spans="1:45" ht="48">
      <c r="A215" s="2573">
        <v>18</v>
      </c>
      <c r="B215" s="2516" t="s">
        <v>704</v>
      </c>
      <c r="C215" s="2517">
        <v>0.04</v>
      </c>
      <c r="D215" s="2552" t="s">
        <v>422</v>
      </c>
      <c r="E215" s="1223">
        <f t="shared" si="217"/>
        <v>312</v>
      </c>
      <c r="F215" s="5199"/>
      <c r="G215" s="5200"/>
      <c r="H215" s="1223">
        <f t="shared" si="233"/>
        <v>294</v>
      </c>
      <c r="I215" s="1223">
        <f t="shared" si="233"/>
        <v>0</v>
      </c>
      <c r="J215" s="5199"/>
      <c r="K215" s="5200"/>
      <c r="L215" s="1223">
        <f t="shared" si="234"/>
        <v>0</v>
      </c>
      <c r="M215" s="1223">
        <f t="shared" si="234"/>
        <v>0</v>
      </c>
      <c r="N215" s="5199"/>
      <c r="O215" s="5200"/>
      <c r="P215" s="1223">
        <f t="shared" si="235"/>
        <v>0</v>
      </c>
      <c r="Q215" s="1223">
        <f t="shared" si="235"/>
        <v>0</v>
      </c>
      <c r="R215" s="5199"/>
      <c r="S215" s="5200"/>
      <c r="T215" s="1223">
        <f t="shared" si="236"/>
        <v>0</v>
      </c>
      <c r="U215" s="1223">
        <f t="shared" si="236"/>
        <v>0</v>
      </c>
      <c r="V215" s="5199"/>
      <c r="W215" s="5200"/>
      <c r="X215" s="2641">
        <f t="shared" si="222"/>
        <v>0</v>
      </c>
      <c r="Y215" s="4422"/>
      <c r="Z215" s="4438">
        <f t="shared" si="223"/>
        <v>159.52306693322018</v>
      </c>
      <c r="AA215" s="4453"/>
      <c r="AB215" s="4454"/>
      <c r="AC215" s="4438">
        <f t="shared" si="224"/>
        <v>150.31981307168823</v>
      </c>
      <c r="AD215" s="4438">
        <f t="shared" si="225"/>
        <v>0</v>
      </c>
      <c r="AE215" s="4453"/>
      <c r="AF215" s="4454"/>
      <c r="AG215" s="4438">
        <f t="shared" si="226"/>
        <v>0</v>
      </c>
      <c r="AH215" s="4438">
        <f t="shared" si="227"/>
        <v>0</v>
      </c>
      <c r="AI215" s="4453"/>
      <c r="AJ215" s="4454"/>
      <c r="AK215" s="4438">
        <f t="shared" si="228"/>
        <v>0</v>
      </c>
      <c r="AL215" s="4438">
        <f t="shared" si="229"/>
        <v>0</v>
      </c>
      <c r="AM215" s="4453"/>
      <c r="AN215" s="4454"/>
      <c r="AO215" s="4438">
        <f t="shared" si="230"/>
        <v>0</v>
      </c>
      <c r="AP215" s="4438">
        <f t="shared" si="231"/>
        <v>0</v>
      </c>
      <c r="AQ215" s="4453"/>
      <c r="AR215" s="4454"/>
      <c r="AS215" s="4438">
        <f t="shared" si="232"/>
        <v>0</v>
      </c>
    </row>
    <row r="216" spans="1:45">
      <c r="A216" s="2573">
        <v>19</v>
      </c>
      <c r="B216" s="2516" t="s">
        <v>705</v>
      </c>
      <c r="C216" s="2517">
        <v>0.04</v>
      </c>
      <c r="D216" s="2552" t="s">
        <v>423</v>
      </c>
      <c r="E216" s="1223">
        <f t="shared" si="217"/>
        <v>115</v>
      </c>
      <c r="F216" s="5199"/>
      <c r="G216" s="5200"/>
      <c r="H216" s="1223">
        <f t="shared" si="233"/>
        <v>109</v>
      </c>
      <c r="I216" s="1223">
        <f t="shared" si="233"/>
        <v>204</v>
      </c>
      <c r="J216" s="5199"/>
      <c r="K216" s="5200"/>
      <c r="L216" s="1223">
        <f t="shared" si="234"/>
        <v>192</v>
      </c>
      <c r="M216" s="1223">
        <f t="shared" si="234"/>
        <v>0</v>
      </c>
      <c r="N216" s="5199"/>
      <c r="O216" s="5200"/>
      <c r="P216" s="1223">
        <f t="shared" si="235"/>
        <v>0</v>
      </c>
      <c r="Q216" s="1223">
        <f t="shared" si="235"/>
        <v>0</v>
      </c>
      <c r="R216" s="5199"/>
      <c r="S216" s="5200"/>
      <c r="T216" s="1223">
        <f t="shared" si="236"/>
        <v>0</v>
      </c>
      <c r="U216" s="1223">
        <f t="shared" si="236"/>
        <v>0</v>
      </c>
      <c r="V216" s="5199"/>
      <c r="W216" s="5200"/>
      <c r="X216" s="2641">
        <f t="shared" si="222"/>
        <v>0</v>
      </c>
      <c r="Y216" s="4422"/>
      <c r="Z216" s="4438">
        <f t="shared" si="223"/>
        <v>58.798566337565127</v>
      </c>
      <c r="AA216" s="4453"/>
      <c r="AB216" s="4454"/>
      <c r="AC216" s="4438">
        <f t="shared" si="224"/>
        <v>55.730815050387818</v>
      </c>
      <c r="AD216" s="4438">
        <f t="shared" si="225"/>
        <v>104.30354376402857</v>
      </c>
      <c r="AE216" s="4453"/>
      <c r="AF216" s="4454"/>
      <c r="AG216" s="4438">
        <f t="shared" si="226"/>
        <v>98.168041189673957</v>
      </c>
      <c r="AH216" s="4438">
        <f t="shared" si="227"/>
        <v>0</v>
      </c>
      <c r="AI216" s="4453"/>
      <c r="AJ216" s="4454"/>
      <c r="AK216" s="4438">
        <f t="shared" si="228"/>
        <v>0</v>
      </c>
      <c r="AL216" s="4438">
        <f t="shared" si="229"/>
        <v>0</v>
      </c>
      <c r="AM216" s="4453"/>
      <c r="AN216" s="4454"/>
      <c r="AO216" s="4438">
        <f t="shared" si="230"/>
        <v>0</v>
      </c>
      <c r="AP216" s="4438">
        <f t="shared" si="231"/>
        <v>0</v>
      </c>
      <c r="AQ216" s="4453"/>
      <c r="AR216" s="4454"/>
      <c r="AS216" s="4438">
        <f t="shared" si="232"/>
        <v>0</v>
      </c>
    </row>
    <row r="217" spans="1:45">
      <c r="A217" s="2573">
        <v>20</v>
      </c>
      <c r="B217" s="2516" t="s">
        <v>717</v>
      </c>
      <c r="C217" s="2517">
        <v>0.04</v>
      </c>
      <c r="D217" s="2571" t="s">
        <v>434</v>
      </c>
      <c r="E217" s="1223">
        <f t="shared" si="217"/>
        <v>116</v>
      </c>
      <c r="F217" s="5199"/>
      <c r="G217" s="5200"/>
      <c r="H217" s="1223">
        <f t="shared" si="233"/>
        <v>109</v>
      </c>
      <c r="I217" s="1223">
        <f t="shared" si="233"/>
        <v>0</v>
      </c>
      <c r="J217" s="5199"/>
      <c r="K217" s="5200"/>
      <c r="L217" s="1223">
        <f t="shared" si="234"/>
        <v>0</v>
      </c>
      <c r="M217" s="1223">
        <f t="shared" si="234"/>
        <v>566</v>
      </c>
      <c r="N217" s="5199"/>
      <c r="O217" s="5200"/>
      <c r="P217" s="1223">
        <f t="shared" si="235"/>
        <v>538</v>
      </c>
      <c r="Q217" s="1223">
        <f t="shared" si="235"/>
        <v>0</v>
      </c>
      <c r="R217" s="5199"/>
      <c r="S217" s="5200"/>
      <c r="T217" s="1223">
        <f t="shared" si="236"/>
        <v>0</v>
      </c>
      <c r="U217" s="1223">
        <f t="shared" si="236"/>
        <v>0</v>
      </c>
      <c r="V217" s="5199"/>
      <c r="W217" s="5200"/>
      <c r="X217" s="2641">
        <f t="shared" si="222"/>
        <v>0</v>
      </c>
      <c r="Y217" s="4422"/>
      <c r="Z217" s="4438">
        <f t="shared" si="223"/>
        <v>59.309858218761349</v>
      </c>
      <c r="AA217" s="4453"/>
      <c r="AB217" s="4454"/>
      <c r="AC217" s="4438">
        <f t="shared" si="224"/>
        <v>55.730815050387818</v>
      </c>
      <c r="AD217" s="4438">
        <f t="shared" si="225"/>
        <v>0</v>
      </c>
      <c r="AE217" s="4453"/>
      <c r="AF217" s="4454"/>
      <c r="AG217" s="4438">
        <f t="shared" si="226"/>
        <v>0</v>
      </c>
      <c r="AH217" s="4438">
        <f t="shared" si="227"/>
        <v>289.39120475705965</v>
      </c>
      <c r="AI217" s="4453"/>
      <c r="AJ217" s="4454"/>
      <c r="AK217" s="4438">
        <f t="shared" si="228"/>
        <v>275.07503208356553</v>
      </c>
      <c r="AL217" s="4438">
        <f t="shared" si="229"/>
        <v>0</v>
      </c>
      <c r="AM217" s="4453"/>
      <c r="AN217" s="4454"/>
      <c r="AO217" s="4438">
        <f t="shared" si="230"/>
        <v>0</v>
      </c>
      <c r="AP217" s="4438">
        <f t="shared" si="231"/>
        <v>0</v>
      </c>
      <c r="AQ217" s="4453"/>
      <c r="AR217" s="4454"/>
      <c r="AS217" s="4438">
        <f t="shared" si="232"/>
        <v>0</v>
      </c>
    </row>
    <row r="218" spans="1:45" ht="48.75" thickBot="1">
      <c r="A218" s="2573">
        <v>21</v>
      </c>
      <c r="B218" s="2516" t="s">
        <v>707</v>
      </c>
      <c r="C218" s="2522">
        <v>0.2</v>
      </c>
      <c r="D218" s="2552" t="s">
        <v>679</v>
      </c>
      <c r="E218" s="1223">
        <f t="shared" si="217"/>
        <v>0</v>
      </c>
      <c r="F218" s="5201"/>
      <c r="G218" s="5202"/>
      <c r="H218" s="1223">
        <f t="shared" si="233"/>
        <v>0</v>
      </c>
      <c r="I218" s="1223">
        <f t="shared" si="233"/>
        <v>0</v>
      </c>
      <c r="J218" s="5201"/>
      <c r="K218" s="5202"/>
      <c r="L218" s="1223">
        <f t="shared" si="234"/>
        <v>0</v>
      </c>
      <c r="M218" s="1223">
        <f t="shared" si="234"/>
        <v>9</v>
      </c>
      <c r="N218" s="5201"/>
      <c r="O218" s="5202"/>
      <c r="P218" s="1223">
        <f t="shared" si="235"/>
        <v>5</v>
      </c>
      <c r="Q218" s="1223">
        <f t="shared" si="235"/>
        <v>0</v>
      </c>
      <c r="R218" s="5201"/>
      <c r="S218" s="5202"/>
      <c r="T218" s="1223">
        <f t="shared" si="236"/>
        <v>0</v>
      </c>
      <c r="U218" s="1223">
        <f t="shared" si="236"/>
        <v>0</v>
      </c>
      <c r="V218" s="5201"/>
      <c r="W218" s="5202"/>
      <c r="X218" s="2641">
        <f t="shared" si="222"/>
        <v>0</v>
      </c>
      <c r="Y218" s="4422"/>
      <c r="Z218" s="4438">
        <f t="shared" si="223"/>
        <v>0</v>
      </c>
      <c r="AA218" s="4448"/>
      <c r="AB218" s="4449"/>
      <c r="AC218" s="4438">
        <f t="shared" si="224"/>
        <v>0</v>
      </c>
      <c r="AD218" s="4438">
        <f t="shared" si="225"/>
        <v>0</v>
      </c>
      <c r="AE218" s="4448"/>
      <c r="AF218" s="4449"/>
      <c r="AG218" s="4438">
        <f t="shared" si="226"/>
        <v>0</v>
      </c>
      <c r="AH218" s="4438">
        <f t="shared" si="227"/>
        <v>4.6016269307659661</v>
      </c>
      <c r="AI218" s="4448"/>
      <c r="AJ218" s="4449"/>
      <c r="AK218" s="4438">
        <f t="shared" si="228"/>
        <v>2.5564594059810926</v>
      </c>
      <c r="AL218" s="4438">
        <f t="shared" si="229"/>
        <v>0</v>
      </c>
      <c r="AM218" s="4448"/>
      <c r="AN218" s="4449"/>
      <c r="AO218" s="4438">
        <f t="shared" si="230"/>
        <v>0</v>
      </c>
      <c r="AP218" s="4438">
        <f t="shared" si="231"/>
        <v>0</v>
      </c>
      <c r="AQ218" s="4448"/>
      <c r="AR218" s="4449"/>
      <c r="AS218" s="4438">
        <f t="shared" si="232"/>
        <v>0</v>
      </c>
    </row>
    <row r="219" spans="1:45" ht="13.5" thickBot="1">
      <c r="A219" s="5212" t="s">
        <v>559</v>
      </c>
      <c r="B219" s="5213"/>
      <c r="C219" s="5213"/>
      <c r="D219" s="5214"/>
      <c r="E219" s="2642">
        <f t="shared" ref="E219:X219" si="237">E11+E91+E153</f>
        <v>106164</v>
      </c>
      <c r="F219" s="2642">
        <f t="shared" si="237"/>
        <v>8030</v>
      </c>
      <c r="G219" s="2642">
        <f t="shared" si="237"/>
        <v>0</v>
      </c>
      <c r="H219" s="2642">
        <f t="shared" si="237"/>
        <v>114194</v>
      </c>
      <c r="I219" s="2642">
        <f t="shared" si="237"/>
        <v>100993</v>
      </c>
      <c r="J219" s="2642">
        <f t="shared" si="237"/>
        <v>250</v>
      </c>
      <c r="K219" s="2642">
        <f t="shared" si="237"/>
        <v>0</v>
      </c>
      <c r="L219" s="2642">
        <f t="shared" si="237"/>
        <v>101243</v>
      </c>
      <c r="M219" s="2642">
        <f t="shared" si="237"/>
        <v>74145</v>
      </c>
      <c r="N219" s="2642">
        <f t="shared" si="237"/>
        <v>446</v>
      </c>
      <c r="O219" s="2642">
        <f t="shared" si="237"/>
        <v>0</v>
      </c>
      <c r="P219" s="2642">
        <f t="shared" si="237"/>
        <v>74591</v>
      </c>
      <c r="Q219" s="2642">
        <f t="shared" si="237"/>
        <v>0</v>
      </c>
      <c r="R219" s="2642">
        <f t="shared" si="237"/>
        <v>0</v>
      </c>
      <c r="S219" s="2642">
        <f t="shared" si="237"/>
        <v>0</v>
      </c>
      <c r="T219" s="2642">
        <f t="shared" si="237"/>
        <v>0</v>
      </c>
      <c r="U219" s="2642">
        <f t="shared" si="237"/>
        <v>0</v>
      </c>
      <c r="V219" s="2642">
        <f t="shared" si="237"/>
        <v>0</v>
      </c>
      <c r="W219" s="2642">
        <f t="shared" si="237"/>
        <v>0</v>
      </c>
      <c r="X219" s="2642">
        <f t="shared" si="237"/>
        <v>0</v>
      </c>
      <c r="Y219" s="4422"/>
      <c r="Z219" s="4438">
        <f t="shared" si="223"/>
        <v>54280.791275315343</v>
      </c>
      <c r="AA219" s="4438">
        <f t="shared" ref="AA219:AA221" si="238">IFERROR(F219/$D$1,0)</f>
        <v>4105.6738060056341</v>
      </c>
      <c r="AB219" s="4438">
        <f t="shared" ref="AB219:AB221" si="239">IFERROR(G219/$D$1,0)</f>
        <v>0</v>
      </c>
      <c r="AC219" s="4438">
        <f t="shared" si="224"/>
        <v>58386.465081320974</v>
      </c>
      <c r="AD219" s="4438">
        <f t="shared" si="225"/>
        <v>51636.900957649697</v>
      </c>
      <c r="AE219" s="4438">
        <f t="shared" ref="AE219:AE221" si="240">IFERROR(J219/$D$1,0)</f>
        <v>127.82297029905462</v>
      </c>
      <c r="AF219" s="4438">
        <f t="shared" ref="AF219:AF221" si="241">IFERROR(K219/$D$1,0)</f>
        <v>0</v>
      </c>
      <c r="AG219" s="4438">
        <f t="shared" si="226"/>
        <v>51764.723927948748</v>
      </c>
      <c r="AH219" s="4438">
        <f t="shared" si="227"/>
        <v>37909.736531293624</v>
      </c>
      <c r="AI219" s="4438">
        <f t="shared" ref="AI219:AI221" si="242">IFERROR(N219/$D$1,0)</f>
        <v>228.03617901351345</v>
      </c>
      <c r="AJ219" s="4438">
        <f t="shared" ref="AJ219:AJ221" si="243">IFERROR(O219/$D$1,0)</f>
        <v>0</v>
      </c>
      <c r="AK219" s="4438">
        <f t="shared" si="228"/>
        <v>38137.772710307137</v>
      </c>
      <c r="AL219" s="4438">
        <f t="shared" si="229"/>
        <v>0</v>
      </c>
      <c r="AM219" s="4438">
        <f t="shared" ref="AM219:AM221" si="244">IFERROR(R219/$D$1,0)</f>
        <v>0</v>
      </c>
      <c r="AN219" s="4438">
        <f t="shared" ref="AN219:AN221" si="245">IFERROR(S219/$D$1,0)</f>
        <v>0</v>
      </c>
      <c r="AO219" s="4438">
        <f t="shared" si="230"/>
        <v>0</v>
      </c>
      <c r="AP219" s="4438">
        <f t="shared" si="231"/>
        <v>0</v>
      </c>
      <c r="AQ219" s="4438">
        <f t="shared" ref="AQ219:AQ221" si="246">IFERROR(V219/$D$1,0)</f>
        <v>0</v>
      </c>
      <c r="AR219" s="4438">
        <f t="shared" ref="AR219:AR221" si="247">IFERROR(W219/$D$1,0)</f>
        <v>0</v>
      </c>
      <c r="AS219" s="4438">
        <f t="shared" si="232"/>
        <v>0</v>
      </c>
    </row>
    <row r="220" spans="1:45" ht="13.5" thickBot="1">
      <c r="A220" s="5212" t="s">
        <v>561</v>
      </c>
      <c r="B220" s="5213"/>
      <c r="C220" s="5213"/>
      <c r="D220" s="5214"/>
      <c r="E220" s="2642">
        <f t="shared" ref="E220:X220" si="248">E40+E111+E175</f>
        <v>30818</v>
      </c>
      <c r="F220" s="2642">
        <f t="shared" si="248"/>
        <v>2879</v>
      </c>
      <c r="G220" s="2642">
        <f t="shared" si="248"/>
        <v>0</v>
      </c>
      <c r="H220" s="2642">
        <f t="shared" si="248"/>
        <v>33697</v>
      </c>
      <c r="I220" s="2642">
        <f t="shared" si="248"/>
        <v>15615</v>
      </c>
      <c r="J220" s="2642">
        <f t="shared" si="248"/>
        <v>1998</v>
      </c>
      <c r="K220" s="2642">
        <f t="shared" si="248"/>
        <v>0</v>
      </c>
      <c r="L220" s="2642">
        <f t="shared" si="248"/>
        <v>17613</v>
      </c>
      <c r="M220" s="2642">
        <f t="shared" si="248"/>
        <v>23990</v>
      </c>
      <c r="N220" s="2642">
        <f t="shared" si="248"/>
        <v>3933</v>
      </c>
      <c r="O220" s="2642">
        <f t="shared" si="248"/>
        <v>0</v>
      </c>
      <c r="P220" s="2642">
        <f t="shared" si="248"/>
        <v>27923</v>
      </c>
      <c r="Q220" s="2642">
        <f t="shared" si="248"/>
        <v>0</v>
      </c>
      <c r="R220" s="2642">
        <f t="shared" si="248"/>
        <v>0</v>
      </c>
      <c r="S220" s="2642">
        <f t="shared" si="248"/>
        <v>0</v>
      </c>
      <c r="T220" s="2642">
        <f t="shared" si="248"/>
        <v>0</v>
      </c>
      <c r="U220" s="2642">
        <f t="shared" si="248"/>
        <v>0</v>
      </c>
      <c r="V220" s="2642">
        <f t="shared" si="248"/>
        <v>0</v>
      </c>
      <c r="W220" s="2642">
        <f t="shared" si="248"/>
        <v>0</v>
      </c>
      <c r="X220" s="2642">
        <f t="shared" si="248"/>
        <v>0</v>
      </c>
      <c r="Y220" s="4422"/>
      <c r="Z220" s="4438">
        <f t="shared" si="223"/>
        <v>15756.993194705061</v>
      </c>
      <c r="AA220" s="4438">
        <f t="shared" si="238"/>
        <v>1472.0093259639129</v>
      </c>
      <c r="AB220" s="4438">
        <f t="shared" si="239"/>
        <v>0</v>
      </c>
      <c r="AC220" s="4438">
        <f t="shared" si="224"/>
        <v>17229.002520668975</v>
      </c>
      <c r="AD220" s="4438">
        <f t="shared" si="225"/>
        <v>7983.8227248789517</v>
      </c>
      <c r="AE220" s="4438">
        <f t="shared" si="240"/>
        <v>1021.5611786300445</v>
      </c>
      <c r="AF220" s="4438">
        <f t="shared" si="241"/>
        <v>0</v>
      </c>
      <c r="AG220" s="4438">
        <f t="shared" si="226"/>
        <v>9005.3839035089968</v>
      </c>
      <c r="AH220" s="4438">
        <f t="shared" si="227"/>
        <v>12265.892229897281</v>
      </c>
      <c r="AI220" s="4438">
        <f t="shared" si="242"/>
        <v>2010.9109687447274</v>
      </c>
      <c r="AJ220" s="4438">
        <f t="shared" si="243"/>
        <v>0</v>
      </c>
      <c r="AK220" s="4438">
        <f t="shared" si="228"/>
        <v>14276.803198642008</v>
      </c>
      <c r="AL220" s="4438">
        <f t="shared" si="229"/>
        <v>0</v>
      </c>
      <c r="AM220" s="4438">
        <f t="shared" si="244"/>
        <v>0</v>
      </c>
      <c r="AN220" s="4438">
        <f t="shared" si="245"/>
        <v>0</v>
      </c>
      <c r="AO220" s="4438">
        <f t="shared" si="230"/>
        <v>0</v>
      </c>
      <c r="AP220" s="4438">
        <f t="shared" si="231"/>
        <v>0</v>
      </c>
      <c r="AQ220" s="4438">
        <f t="shared" si="246"/>
        <v>0</v>
      </c>
      <c r="AR220" s="4438">
        <f t="shared" si="247"/>
        <v>0</v>
      </c>
      <c r="AS220" s="4438">
        <f t="shared" si="232"/>
        <v>0</v>
      </c>
    </row>
    <row r="221" spans="1:45" ht="13.5" thickBot="1">
      <c r="A221" s="5212" t="s">
        <v>562</v>
      </c>
      <c r="B221" s="5213"/>
      <c r="C221" s="5213"/>
      <c r="D221" s="5214"/>
      <c r="E221" s="2642">
        <f>E65+E131+E197</f>
        <v>75346</v>
      </c>
      <c r="F221" s="2642"/>
      <c r="G221" s="2642"/>
      <c r="H221" s="2642">
        <f>H65+H131+H197</f>
        <v>80497</v>
      </c>
      <c r="I221" s="2642">
        <f>I65+I131+I197</f>
        <v>85378</v>
      </c>
      <c r="J221" s="2642"/>
      <c r="K221" s="2642"/>
      <c r="L221" s="2642">
        <f>L65+L131+L197</f>
        <v>83630</v>
      </c>
      <c r="M221" s="2642">
        <f>M65+M131+M197</f>
        <v>50155</v>
      </c>
      <c r="N221" s="2642"/>
      <c r="O221" s="2642"/>
      <c r="P221" s="2642">
        <f>P65+P131+P197</f>
        <v>46668</v>
      </c>
      <c r="Q221" s="2642">
        <f>Q65+Q131+Q197</f>
        <v>0</v>
      </c>
      <c r="R221" s="2642"/>
      <c r="S221" s="2642"/>
      <c r="T221" s="2642">
        <f>T65+T131+T197</f>
        <v>0</v>
      </c>
      <c r="U221" s="2642">
        <f>U65+U131+U197</f>
        <v>0</v>
      </c>
      <c r="V221" s="2642"/>
      <c r="W221" s="2642"/>
      <c r="X221" s="2642">
        <f>X65+X131+X197</f>
        <v>0</v>
      </c>
      <c r="Y221" s="4422"/>
      <c r="Z221" s="4438">
        <f t="shared" si="223"/>
        <v>38523.798080610279</v>
      </c>
      <c r="AA221" s="4438">
        <f t="shared" si="238"/>
        <v>0</v>
      </c>
      <c r="AB221" s="4438">
        <f t="shared" si="239"/>
        <v>0</v>
      </c>
      <c r="AC221" s="4438">
        <f t="shared" si="224"/>
        <v>41157.462560651999</v>
      </c>
      <c r="AD221" s="4438">
        <f t="shared" si="225"/>
        <v>43653.078232770742</v>
      </c>
      <c r="AE221" s="4438">
        <f t="shared" si="240"/>
        <v>0</v>
      </c>
      <c r="AF221" s="4438">
        <f t="shared" si="241"/>
        <v>0</v>
      </c>
      <c r="AG221" s="4438">
        <f t="shared" si="226"/>
        <v>42759.340024439756</v>
      </c>
      <c r="AH221" s="4438">
        <f t="shared" si="227"/>
        <v>25643.844301396337</v>
      </c>
      <c r="AI221" s="4438">
        <f t="shared" si="242"/>
        <v>0</v>
      </c>
      <c r="AJ221" s="4438">
        <f t="shared" si="243"/>
        <v>0</v>
      </c>
      <c r="AK221" s="4438">
        <f t="shared" si="228"/>
        <v>23860.969511665124</v>
      </c>
      <c r="AL221" s="4438">
        <f t="shared" si="229"/>
        <v>0</v>
      </c>
      <c r="AM221" s="4438">
        <f t="shared" si="244"/>
        <v>0</v>
      </c>
      <c r="AN221" s="4438">
        <f t="shared" si="245"/>
        <v>0</v>
      </c>
      <c r="AO221" s="4438">
        <f t="shared" si="230"/>
        <v>0</v>
      </c>
      <c r="AP221" s="4438">
        <f t="shared" si="231"/>
        <v>0</v>
      </c>
      <c r="AQ221" s="4438">
        <f t="shared" si="246"/>
        <v>0</v>
      </c>
      <c r="AR221" s="4438">
        <f t="shared" si="247"/>
        <v>0</v>
      </c>
      <c r="AS221" s="4438">
        <f t="shared" si="232"/>
        <v>0</v>
      </c>
    </row>
    <row r="222" spans="1:45" ht="13.5" thickBot="1">
      <c r="A222" s="174"/>
      <c r="B222" s="31"/>
      <c r="C222" s="31"/>
      <c r="D222" s="2581"/>
      <c r="E222" s="346"/>
      <c r="F222" s="346"/>
      <c r="G222" s="346"/>
      <c r="H222" s="346"/>
      <c r="I222" s="346"/>
      <c r="J222" s="346"/>
      <c r="K222" s="346"/>
      <c r="L222" s="346"/>
      <c r="M222" s="346"/>
      <c r="N222" s="346"/>
      <c r="O222" s="346"/>
      <c r="P222" s="346"/>
      <c r="Q222" s="346"/>
      <c r="R222" s="346"/>
      <c r="S222" s="346"/>
      <c r="T222" s="346"/>
      <c r="U222" s="346"/>
      <c r="V222" s="346"/>
      <c r="W222" s="346"/>
      <c r="X222" s="346"/>
      <c r="Y222" s="4422"/>
    </row>
    <row r="223" spans="1:45" ht="24.75" thickBot="1">
      <c r="D223" s="260" t="s">
        <v>1039</v>
      </c>
      <c r="E223" s="261">
        <f>E219-E220-E221</f>
        <v>0</v>
      </c>
      <c r="F223" s="261"/>
      <c r="G223" s="261"/>
      <c r="H223" s="261">
        <f>H219-H220-H221</f>
        <v>0</v>
      </c>
      <c r="I223" s="261">
        <f>I219-I220-I221</f>
        <v>0</v>
      </c>
      <c r="J223" s="261"/>
      <c r="K223" s="261"/>
      <c r="L223" s="261">
        <f>L219-L220-L221</f>
        <v>0</v>
      </c>
      <c r="M223" s="261">
        <f>M219-M220-M221</f>
        <v>0</v>
      </c>
      <c r="N223" s="261"/>
      <c r="O223" s="261"/>
      <c r="P223" s="261">
        <f>P219-P220-P221</f>
        <v>0</v>
      </c>
      <c r="Q223" s="261">
        <f>Q219-Q220-Q221</f>
        <v>0</v>
      </c>
      <c r="R223" s="261"/>
      <c r="S223" s="261"/>
      <c r="T223" s="261">
        <f>T219-T220-T221</f>
        <v>0</v>
      </c>
      <c r="U223" s="261">
        <f>U219-U220-U221</f>
        <v>0</v>
      </c>
      <c r="V223" s="261"/>
      <c r="W223" s="261"/>
      <c r="X223" s="261">
        <f>X219-X220-X221</f>
        <v>0</v>
      </c>
      <c r="Y223" s="4422"/>
      <c r="Z223" s="4444">
        <f t="shared" ref="Z223" si="249">IFERROR(E223/$D$1,0)</f>
        <v>0</v>
      </c>
      <c r="AA223" s="4444"/>
      <c r="AB223" s="4444"/>
      <c r="AC223" s="4444">
        <f t="shared" ref="AC223" si="250">IFERROR(H223/$D$1,0)</f>
        <v>0</v>
      </c>
      <c r="AD223" s="4444">
        <f t="shared" ref="AD223" si="251">IFERROR(I223/$D$1,0)</f>
        <v>0</v>
      </c>
      <c r="AE223" s="4444"/>
      <c r="AF223" s="4444"/>
      <c r="AG223" s="4444">
        <f t="shared" ref="AG223" si="252">IFERROR(L223/$D$1,0)</f>
        <v>0</v>
      </c>
      <c r="AH223" s="4444">
        <f t="shared" ref="AH223" si="253">IFERROR(M223/$D$1,0)</f>
        <v>0</v>
      </c>
      <c r="AI223" s="4444"/>
      <c r="AJ223" s="4444"/>
      <c r="AK223" s="4444">
        <f t="shared" ref="AK223" si="254">IFERROR(P223/$D$1,0)</f>
        <v>0</v>
      </c>
      <c r="AL223" s="4444">
        <f t="shared" ref="AL223" si="255">IFERROR(Q223/$D$1,0)</f>
        <v>0</v>
      </c>
      <c r="AM223" s="4444"/>
      <c r="AN223" s="4444"/>
      <c r="AO223" s="4444">
        <f t="shared" ref="AO223" si="256">IFERROR(T223/$D$1,0)</f>
        <v>0</v>
      </c>
      <c r="AP223" s="4444">
        <f t="shared" ref="AP223" si="257">IFERROR(U223/$D$1,0)</f>
        <v>0</v>
      </c>
      <c r="AQ223" s="4444"/>
      <c r="AR223" s="4444"/>
      <c r="AS223" s="4444">
        <f t="shared" ref="AS223" si="258">IFERROR(X223/$D$1,0)</f>
        <v>0</v>
      </c>
    </row>
    <row r="224" spans="1:45">
      <c r="D224" s="1404"/>
      <c r="E224" s="1405"/>
      <c r="F224" s="1405"/>
      <c r="G224" s="1405"/>
      <c r="H224" s="1405"/>
      <c r="I224" s="1405"/>
      <c r="J224" s="1405"/>
      <c r="K224" s="1405"/>
      <c r="L224" s="1405"/>
      <c r="M224" s="1405"/>
      <c r="N224" s="1405"/>
      <c r="O224" s="1405"/>
      <c r="P224" s="1405"/>
      <c r="Q224" s="1405"/>
      <c r="R224" s="1405"/>
      <c r="S224" s="1405"/>
      <c r="T224" s="1405"/>
      <c r="U224" s="1405"/>
      <c r="V224" s="1405"/>
      <c r="W224" s="1405"/>
      <c r="X224" s="1405"/>
    </row>
    <row r="225" spans="1:24">
      <c r="B225" s="2585" t="str">
        <f>'Приложение '!$B$82</f>
        <v>Дата: 29.06.2026</v>
      </c>
      <c r="D225" s="1404"/>
      <c r="E225" s="1405"/>
      <c r="F225" s="1405"/>
      <c r="G225" s="1405"/>
      <c r="H225" s="1405"/>
      <c r="I225" s="1405"/>
      <c r="J225" s="1405"/>
      <c r="K225" s="1405"/>
      <c r="L225" s="1405"/>
      <c r="M225" s="1405"/>
      <c r="N225" s="1405"/>
      <c r="O225" s="1405"/>
      <c r="P225" s="1405"/>
      <c r="Q225" s="1405"/>
      <c r="R225" s="1405"/>
      <c r="S225" s="1405"/>
      <c r="T225" s="1405"/>
      <c r="U225" s="1405"/>
      <c r="V225" s="1405"/>
      <c r="W225" s="1405"/>
      <c r="X225" s="1405"/>
    </row>
    <row r="226" spans="1:24">
      <c r="D226" s="1404"/>
      <c r="E226" s="1405"/>
      <c r="F226" s="1405"/>
      <c r="G226" s="1405"/>
      <c r="H226" s="1405"/>
      <c r="I226" s="1405"/>
      <c r="J226" s="1405"/>
      <c r="K226" s="1405"/>
      <c r="L226" s="1405"/>
      <c r="M226" s="1405"/>
      <c r="N226" s="1405"/>
      <c r="O226" s="1405"/>
      <c r="P226" s="1405"/>
      <c r="Q226" s="1405"/>
      <c r="R226" s="1405"/>
      <c r="S226" s="1405"/>
      <c r="T226" s="1405"/>
      <c r="U226" s="1405"/>
      <c r="V226" s="1405"/>
      <c r="W226" s="1405"/>
      <c r="X226" s="1405"/>
    </row>
    <row r="227" spans="1:24">
      <c r="D227" s="1404"/>
      <c r="E227" s="1405"/>
      <c r="F227" s="1405"/>
      <c r="G227" s="1405"/>
      <c r="H227" s="1405"/>
      <c r="I227" s="1405"/>
      <c r="J227" s="1405"/>
      <c r="K227" s="1405"/>
      <c r="L227" s="1405"/>
      <c r="M227" s="1405"/>
      <c r="N227" s="1405"/>
      <c r="O227" s="1405"/>
      <c r="P227" s="1405"/>
      <c r="Q227" s="1405"/>
      <c r="R227" s="1405"/>
      <c r="S227" s="1405"/>
      <c r="T227" s="1405"/>
      <c r="U227" s="1405"/>
      <c r="V227" s="1405"/>
      <c r="W227" s="1405"/>
      <c r="X227" s="1405"/>
    </row>
    <row r="228" spans="1:24">
      <c r="A228" s="3835" t="s">
        <v>187</v>
      </c>
      <c r="B228" s="345"/>
      <c r="C228" s="345"/>
      <c r="D228" s="345"/>
      <c r="E228" s="345"/>
      <c r="F228" s="345"/>
      <c r="G228" s="345"/>
      <c r="H228" s="346"/>
      <c r="I228" s="345"/>
      <c r="J228" s="345"/>
      <c r="K228" s="345"/>
      <c r="L228" s="345"/>
      <c r="M228" s="345"/>
      <c r="N228" s="345"/>
      <c r="O228" s="346"/>
      <c r="P228" s="345"/>
      <c r="Q228" s="345"/>
      <c r="R228" s="345"/>
      <c r="S228" s="345"/>
      <c r="T228" s="345"/>
      <c r="U228" s="345"/>
      <c r="V228" s="2592"/>
      <c r="W228" s="2592"/>
      <c r="X228" s="2592"/>
    </row>
    <row r="229" spans="1:24">
      <c r="A229" s="4160" t="s">
        <v>188</v>
      </c>
      <c r="B229" s="4161"/>
      <c r="C229" s="4161"/>
      <c r="D229" s="4161"/>
      <c r="E229" s="4161"/>
      <c r="F229" s="4161"/>
      <c r="G229" s="4162"/>
      <c r="H229" s="1149"/>
      <c r="I229" s="4162"/>
      <c r="J229" s="4161"/>
      <c r="K229" s="4161"/>
      <c r="L229" s="4161"/>
      <c r="M229" s="4161"/>
      <c r="N229" s="4161"/>
      <c r="O229" s="1149"/>
      <c r="P229" s="4161"/>
      <c r="Q229" s="4161"/>
      <c r="R229" s="4161"/>
      <c r="S229" s="4161"/>
      <c r="T229" s="4161"/>
      <c r="U229" s="4161"/>
      <c r="V229"/>
      <c r="W229"/>
      <c r="X229"/>
    </row>
    <row r="230" spans="1:24" ht="12.75" customHeight="1">
      <c r="A230" s="5211" t="str">
        <f>"2. В Група 1 Собствени дълготрайни активи за отчетната "&amp;$E$8&amp;" се попълват ДА, които са собственост на ВиК оператора през отчетната година и няма да бъдат извадени от капитала му при реализиране разпоредбите на ЗВ."</f>
        <v>2. В Група 1 Собствени дълготрайни активи за отчетната 2024 г. се попълват ДА, които са собственост на ВиК оператора през отчетната година и няма да бъдат извадени от капитала му при реализиране разпоредбите на ЗВ.</v>
      </c>
      <c r="B230" s="5211"/>
      <c r="C230" s="5211"/>
      <c r="D230" s="5211"/>
      <c r="E230" s="5211"/>
      <c r="F230" s="5211"/>
      <c r="G230" s="5211"/>
      <c r="H230" s="5211"/>
      <c r="I230" s="5211"/>
      <c r="J230" s="5211"/>
      <c r="K230" s="5211"/>
      <c r="L230" s="5211"/>
      <c r="M230" s="5211"/>
      <c r="N230" s="5211"/>
      <c r="O230" s="5211"/>
      <c r="P230" s="5211"/>
      <c r="Q230" s="5211"/>
      <c r="R230" s="5211"/>
      <c r="S230" s="5211"/>
      <c r="T230" s="5211"/>
      <c r="U230" s="5211"/>
      <c r="V230"/>
      <c r="W230"/>
      <c r="X230"/>
    </row>
    <row r="231" spans="1:24" ht="12.75" customHeight="1">
      <c r="A231" s="5211" t="str">
        <f>"3. В Група 2 Публични Дълготрайни Активи, изградени със собствени средства за отчетната "&amp;$E$8&amp;" се попълват публични ДА, изградени след сключване на договор по реда на Закона за водите или Закона за концесиите, респективно след реализиране на дейностите по изваждане на публични ДА от баланса на ВиК оператора."</f>
        <v>3. В Група 2 Публични Дълготрайни Активи, изградени със собствени средства за отчетната 2024 г. се попълват публични ДА, изградени след сключване на договор по реда на Закона за водите или Закона за концесиите, респективно след реализиране на дейностите по изваждане на публични ДА от баланса на ВиК оператора.</v>
      </c>
      <c r="B231" s="5211"/>
      <c r="C231" s="5211"/>
      <c r="D231" s="5211"/>
      <c r="E231" s="5211"/>
      <c r="F231" s="5211"/>
      <c r="G231" s="5211"/>
      <c r="H231" s="5211"/>
      <c r="I231" s="5211"/>
      <c r="J231" s="5211"/>
      <c r="K231" s="5211"/>
      <c r="L231" s="5211"/>
      <c r="M231" s="5211"/>
      <c r="N231" s="5211"/>
      <c r="O231" s="5211"/>
      <c r="P231" s="5211"/>
      <c r="Q231" s="5211"/>
      <c r="R231" s="5211"/>
      <c r="S231" s="5211"/>
      <c r="T231" s="5211"/>
      <c r="U231" s="5211"/>
      <c r="V231"/>
      <c r="W231"/>
      <c r="X231"/>
    </row>
    <row r="232" spans="1:24" ht="12.75" customHeight="1">
      <c r="A232" s="5211" t="str">
        <f>"4. В Група 3 Публични Дълготрайни Активи, предоставени на ВиК оператора за експлоатация и поддръжка за отчетната "&amp;$E$8&amp;" се попълват всички ДА  които са  предоставени на ВиК оператора за стопанисване, експлоатация и поддръжка с договор по реда на Закона за водите или Закона за концесиите."</f>
        <v>4. В Група 3 Публични Дълготрайни Активи, предоставени на ВиК оператора за експлоатация и поддръжка за отчетната 2024 г. се попълват всички ДА  които са  предоставени на ВиК оператора за стопанисване, експлоатация и поддръжка с договор по реда на Закона за водите или Закона за концесиите.</v>
      </c>
      <c r="B232" s="5211"/>
      <c r="C232" s="5211"/>
      <c r="D232" s="5211"/>
      <c r="E232" s="5211"/>
      <c r="F232" s="5211"/>
      <c r="G232" s="5211"/>
      <c r="H232" s="5211"/>
      <c r="I232" s="5211"/>
      <c r="J232" s="5211"/>
      <c r="K232" s="5211"/>
      <c r="L232" s="5211"/>
      <c r="M232" s="5211"/>
      <c r="N232" s="5211"/>
      <c r="O232" s="5211"/>
      <c r="P232" s="5211"/>
      <c r="Q232" s="5211"/>
      <c r="R232" s="5211"/>
      <c r="S232" s="5211"/>
      <c r="T232" s="5211"/>
      <c r="U232" s="5211"/>
      <c r="V232"/>
      <c r="W232"/>
      <c r="X232"/>
    </row>
    <row r="233" spans="1:24" ht="12.75" customHeight="1">
      <c r="A233" s="5211" t="s">
        <v>1850</v>
      </c>
      <c r="B233" s="5211"/>
      <c r="C233" s="5211"/>
      <c r="D233" s="5211"/>
      <c r="E233" s="5211"/>
      <c r="F233" s="5211"/>
      <c r="G233" s="5211"/>
      <c r="H233" s="5211"/>
      <c r="I233" s="5211"/>
      <c r="J233" s="5211"/>
      <c r="K233" s="5211"/>
      <c r="L233" s="5211"/>
      <c r="M233" s="5211"/>
      <c r="N233" s="5211"/>
      <c r="O233" s="5211"/>
      <c r="P233" s="5211"/>
      <c r="Q233" s="5211"/>
      <c r="R233" s="5211"/>
      <c r="S233" s="5211"/>
      <c r="T233" s="5211"/>
      <c r="U233" s="5211"/>
      <c r="V233" s="3834"/>
      <c r="W233" s="3834"/>
      <c r="X233" s="3834"/>
    </row>
    <row r="234" spans="1:24">
      <c r="B234" s="3686"/>
      <c r="C234" s="3686"/>
      <c r="D234" s="3686"/>
      <c r="E234" s="3686"/>
      <c r="F234" s="3686"/>
      <c r="G234" s="3686"/>
      <c r="H234" s="3686"/>
      <c r="I234" s="3686"/>
      <c r="J234" s="3686"/>
      <c r="K234" s="3686"/>
      <c r="L234" s="3686"/>
      <c r="M234" s="3686"/>
      <c r="N234" s="3686"/>
      <c r="O234" s="3686"/>
      <c r="P234" s="3686"/>
      <c r="Q234" s="3686"/>
      <c r="R234" s="3686"/>
      <c r="S234" s="3686"/>
      <c r="T234" s="3686"/>
      <c r="U234" s="3686"/>
      <c r="V234" s="3686"/>
      <c r="W234" s="3686"/>
      <c r="X234" s="3686"/>
    </row>
    <row r="235" spans="1:24">
      <c r="B235" s="3686"/>
      <c r="C235" s="3686"/>
      <c r="D235" s="3686"/>
      <c r="E235" s="3686"/>
      <c r="F235" s="3686"/>
      <c r="G235" s="3686"/>
      <c r="H235" s="3686"/>
      <c r="I235" s="3686"/>
      <c r="J235" s="3686"/>
      <c r="K235" s="3686"/>
      <c r="L235" s="3686"/>
      <c r="M235" s="3686"/>
      <c r="N235" s="3686"/>
      <c r="O235" s="3686"/>
      <c r="P235" s="3686"/>
      <c r="Q235" s="3686"/>
      <c r="R235" s="3686"/>
      <c r="S235" s="3686"/>
      <c r="T235" s="3686"/>
      <c r="U235" s="3686"/>
      <c r="V235" s="3686"/>
      <c r="W235" s="3686"/>
      <c r="X235" s="3686"/>
    </row>
    <row r="236" spans="1:24">
      <c r="B236" s="3686"/>
      <c r="C236" s="3686"/>
      <c r="D236" s="3686"/>
      <c r="E236" s="3686"/>
      <c r="F236" s="3686"/>
      <c r="G236" s="3686"/>
      <c r="H236" s="3686"/>
      <c r="I236" s="3686"/>
      <c r="J236" s="3686"/>
      <c r="K236" s="3686"/>
      <c r="L236" s="3686"/>
      <c r="M236" s="3686"/>
      <c r="N236" s="3686"/>
      <c r="O236" s="3686"/>
      <c r="P236" s="3686"/>
      <c r="Q236" s="3686"/>
      <c r="R236" s="3686"/>
      <c r="S236" s="3686"/>
      <c r="T236" s="3686"/>
      <c r="U236" s="3686"/>
      <c r="V236" s="3686"/>
      <c r="W236" s="3686"/>
      <c r="X236" s="3686"/>
    </row>
    <row r="237" spans="1:24">
      <c r="B237" s="3686"/>
      <c r="C237" s="3686"/>
      <c r="D237" s="3686"/>
      <c r="E237" s="3686"/>
      <c r="F237" s="3686"/>
      <c r="G237" s="3686"/>
      <c r="H237" s="3686"/>
      <c r="I237" s="3686"/>
      <c r="J237" s="3686"/>
      <c r="W237" s="3686"/>
      <c r="X237" s="3686"/>
    </row>
    <row r="238" spans="1:24">
      <c r="B238" s="3686"/>
      <c r="C238" s="3686"/>
      <c r="D238" s="3686"/>
      <c r="E238" s="3686"/>
      <c r="F238" s="3686"/>
      <c r="G238" s="3686"/>
      <c r="H238" s="3686"/>
      <c r="I238" s="3686"/>
      <c r="J238" s="3686"/>
      <c r="W238" s="3686"/>
      <c r="X238" s="3686"/>
    </row>
    <row r="239" spans="1:24">
      <c r="M239" s="177"/>
      <c r="N239" s="177"/>
      <c r="O239" s="2588"/>
      <c r="P239" s="2590"/>
      <c r="Q239" s="2593"/>
      <c r="R239" s="2591"/>
      <c r="S239" s="2584"/>
      <c r="T239" s="2483"/>
      <c r="U239" s="2483"/>
      <c r="V239" s="177"/>
      <c r="W239" s="678"/>
      <c r="X239" s="177"/>
    </row>
    <row r="240" spans="1:24">
      <c r="M240" s="177"/>
      <c r="N240" s="177"/>
      <c r="O240" s="1685"/>
      <c r="P240" s="2594"/>
      <c r="Q240" s="2595"/>
      <c r="R240" s="2588"/>
      <c r="S240" s="2584"/>
      <c r="T240" s="2483"/>
      <c r="U240" s="2483"/>
      <c r="V240" s="2589"/>
      <c r="W240" s="1293"/>
      <c r="X240" s="177"/>
    </row>
    <row r="241" spans="13:24">
      <c r="M241" s="177"/>
      <c r="N241" s="177"/>
      <c r="O241" s="2588"/>
      <c r="P241" s="2597"/>
      <c r="Q241" s="2587"/>
      <c r="R241" s="682"/>
      <c r="S241" s="2596"/>
      <c r="T241" s="177"/>
      <c r="U241" s="177"/>
      <c r="V241" s="177"/>
      <c r="W241" s="2592"/>
      <c r="X241" s="177"/>
    </row>
  </sheetData>
  <sheetProtection algorithmName="SHA-512" hashValue="7vRJRJt1JBC6gWaqFusDDNGxKCSDbKDSvEP5d4CIDhs8EpbCb/K9euEnoo7BaIZxPZHBwtvc2ePof7mziUTtQA==" saltValue="IOWiFJV0Qbbj6K0LJwxUnw==" spinCount="100000" sheet="1" objects="1" scenarios="1"/>
  <mergeCells count="78">
    <mergeCell ref="AP7:AS7"/>
    <mergeCell ref="A1:C1"/>
    <mergeCell ref="Z7:AC7"/>
    <mergeCell ref="AD7:AG7"/>
    <mergeCell ref="AH7:AK7"/>
    <mergeCell ref="A233:U233"/>
    <mergeCell ref="A219:D219"/>
    <mergeCell ref="A220:D220"/>
    <mergeCell ref="A221:D221"/>
    <mergeCell ref="A230:U230"/>
    <mergeCell ref="A231:U231"/>
    <mergeCell ref="A232:U232"/>
    <mergeCell ref="B152:X152"/>
    <mergeCell ref="B153:D153"/>
    <mergeCell ref="B175:D175"/>
    <mergeCell ref="B197:D197"/>
    <mergeCell ref="F198:G218"/>
    <mergeCell ref="J198:K218"/>
    <mergeCell ref="N198:O218"/>
    <mergeCell ref="R198:S218"/>
    <mergeCell ref="V198:W218"/>
    <mergeCell ref="W151:X151"/>
    <mergeCell ref="B90:X90"/>
    <mergeCell ref="B91:D91"/>
    <mergeCell ref="B111:D111"/>
    <mergeCell ref="B131:D131"/>
    <mergeCell ref="F132:G150"/>
    <mergeCell ref="J132:K150"/>
    <mergeCell ref="N132:O150"/>
    <mergeCell ref="R132:S150"/>
    <mergeCell ref="V132:W150"/>
    <mergeCell ref="A151:E151"/>
    <mergeCell ref="G151:H151"/>
    <mergeCell ref="K151:L151"/>
    <mergeCell ref="O151:P151"/>
    <mergeCell ref="S151:T151"/>
    <mergeCell ref="B65:D65"/>
    <mergeCell ref="F66:G89"/>
    <mergeCell ref="J66:K89"/>
    <mergeCell ref="N66:O89"/>
    <mergeCell ref="R66:S89"/>
    <mergeCell ref="V66:W89"/>
    <mergeCell ref="P37:P38"/>
    <mergeCell ref="Q37:Q38"/>
    <mergeCell ref="T37:T38"/>
    <mergeCell ref="U37:U38"/>
    <mergeCell ref="X37:X38"/>
    <mergeCell ref="B40:D40"/>
    <mergeCell ref="P31:P32"/>
    <mergeCell ref="Q31:Q32"/>
    <mergeCell ref="T31:T32"/>
    <mergeCell ref="U31:U32"/>
    <mergeCell ref="X31:X32"/>
    <mergeCell ref="E37:E38"/>
    <mergeCell ref="H37:H38"/>
    <mergeCell ref="I37:I38"/>
    <mergeCell ref="L37:L38"/>
    <mergeCell ref="M37:M38"/>
    <mergeCell ref="E31:E32"/>
    <mergeCell ref="H31:H32"/>
    <mergeCell ref="I31:I32"/>
    <mergeCell ref="L31:L32"/>
    <mergeCell ref="M31:M32"/>
    <mergeCell ref="A2:X2"/>
    <mergeCell ref="A3:X3"/>
    <mergeCell ref="A4:X4"/>
    <mergeCell ref="A5:X5"/>
    <mergeCell ref="A7:A9"/>
    <mergeCell ref="B7:B9"/>
    <mergeCell ref="C7:C9"/>
    <mergeCell ref="D7:D9"/>
    <mergeCell ref="E7:H7"/>
    <mergeCell ref="I7:L7"/>
    <mergeCell ref="M7:P7"/>
    <mergeCell ref="Q7:T7"/>
    <mergeCell ref="U7:X7"/>
    <mergeCell ref="B10:X10"/>
    <mergeCell ref="B11:D11"/>
  </mergeCells>
  <pageMargins left="0" right="0" top="0.55118110236220474" bottom="0.15748031496062992" header="0.31496062992125984" footer="0"/>
  <pageSetup paperSize="9" scale="65" orientation="landscape" r:id="rId1"/>
  <rowBreaks count="1" manualBreakCount="1">
    <brk id="39" max="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DJ501"/>
  <sheetViews>
    <sheetView showGridLines="0" zoomScaleNormal="100" zoomScaleSheetLayoutView="100" workbookViewId="0">
      <pane xSplit="2" ySplit="10" topLeftCell="BT74" activePane="bottomRight" state="frozen"/>
      <selection pane="topRight" activeCell="C1" sqref="C1"/>
      <selection pane="bottomLeft" activeCell="A11" sqref="A11"/>
      <selection pane="bottomRight" activeCell="BX76" sqref="BX76:CC76"/>
    </sheetView>
  </sheetViews>
  <sheetFormatPr defaultColWidth="9.140625" defaultRowHeight="15"/>
  <cols>
    <col min="1" max="1" width="5.85546875" style="44" customWidth="1"/>
    <col min="2" max="2" width="40" style="44" customWidth="1"/>
    <col min="3" max="3" width="6.85546875" style="45" customWidth="1"/>
    <col min="4" max="4" width="8.42578125" style="45" bestFit="1" customWidth="1"/>
    <col min="5" max="8" width="7" style="45" customWidth="1"/>
    <col min="9" max="9" width="8.140625" style="822" customWidth="1"/>
    <col min="10" max="10" width="8.5703125" style="45" customWidth="1"/>
    <col min="11" max="16" width="7" style="45" customWidth="1"/>
    <col min="17" max="17" width="8.42578125" style="822" customWidth="1"/>
    <col min="18" max="18" width="9.140625" style="45" customWidth="1"/>
    <col min="19" max="24" width="7" style="45" customWidth="1"/>
    <col min="25" max="25" width="8" style="822" customWidth="1"/>
    <col min="26" max="26" width="9.140625" style="45" customWidth="1"/>
    <col min="27" max="32" width="6.85546875" style="45" customWidth="1"/>
    <col min="33" max="33" width="8.42578125" style="822" customWidth="1"/>
    <col min="34" max="34" width="9.140625" style="45" customWidth="1"/>
    <col min="35" max="40" width="7" style="45" customWidth="1"/>
    <col min="41" max="41" width="7.5703125" style="822" customWidth="1"/>
    <col min="42" max="42" width="9.140625" style="45" customWidth="1"/>
    <col min="43" max="60" width="7" style="45" customWidth="1"/>
    <col min="61" max="61" width="2.42578125" style="659" customWidth="1"/>
    <col min="62" max="16384" width="9.140625" style="659"/>
  </cols>
  <sheetData>
    <row r="1" spans="1:114" ht="16.5" thickBot="1">
      <c r="A1" s="5121" t="str">
        <f>+'1. Обща информация'!B40</f>
        <v>Фиксиран курс на лева към 1 евро</v>
      </c>
      <c r="B1" s="5122"/>
      <c r="C1" s="5123"/>
      <c r="D1" s="5237">
        <f>+'1. Обща информация'!$C$40</f>
        <v>1.95583</v>
      </c>
      <c r="E1" s="5238"/>
      <c r="Y1" s="2814" t="s">
        <v>189</v>
      </c>
      <c r="AU1" s="3009"/>
      <c r="AV1" s="3010"/>
    </row>
    <row r="2" spans="1:114" ht="18.75">
      <c r="A2" s="5155" t="s">
        <v>1376</v>
      </c>
      <c r="B2" s="5155"/>
      <c r="C2" s="5155"/>
      <c r="D2" s="5155"/>
      <c r="E2" s="5155"/>
      <c r="F2" s="5155"/>
      <c r="G2" s="5155"/>
      <c r="H2" s="5155"/>
      <c r="I2" s="5155"/>
      <c r="J2" s="5155"/>
      <c r="K2" s="5155"/>
      <c r="L2" s="5155"/>
      <c r="M2" s="5155"/>
      <c r="N2" s="5155"/>
      <c r="O2" s="5155"/>
      <c r="P2" s="5155"/>
      <c r="Q2" s="5155"/>
      <c r="R2" s="5155"/>
      <c r="S2" s="5155"/>
      <c r="T2" s="5155"/>
      <c r="U2" s="5155"/>
      <c r="V2" s="5155"/>
      <c r="W2" s="5155"/>
      <c r="X2" s="5155"/>
      <c r="Y2" s="5155"/>
      <c r="Z2" s="5155"/>
      <c r="AA2" s="660"/>
      <c r="AB2" s="660"/>
      <c r="AC2" s="660"/>
      <c r="AD2" s="660"/>
      <c r="AE2" s="660"/>
      <c r="AF2" s="660"/>
      <c r="AG2" s="838"/>
      <c r="AH2" s="660"/>
      <c r="AI2" s="660"/>
      <c r="AJ2" s="660"/>
      <c r="AK2" s="660"/>
      <c r="AL2" s="660"/>
      <c r="AM2" s="660"/>
      <c r="AN2" s="660"/>
      <c r="AO2" s="838"/>
      <c r="AP2" s="660"/>
      <c r="AQ2" s="660"/>
      <c r="AR2" s="660"/>
      <c r="AS2" s="660"/>
      <c r="AT2" s="660"/>
      <c r="AU2" s="660"/>
      <c r="AV2" s="660"/>
      <c r="AW2" s="660"/>
      <c r="AX2" s="660"/>
      <c r="AY2" s="660"/>
      <c r="AZ2" s="660"/>
      <c r="BA2" s="660"/>
      <c r="BB2" s="660"/>
      <c r="BC2" s="660"/>
      <c r="BD2" s="660"/>
      <c r="BE2" s="660"/>
      <c r="BF2" s="660"/>
      <c r="BG2" s="660"/>
      <c r="BH2" s="660"/>
    </row>
    <row r="3" spans="1:114" ht="18.75">
      <c r="A3" s="5155" t="s">
        <v>1377</v>
      </c>
      <c r="B3" s="5155"/>
      <c r="C3" s="5155"/>
      <c r="D3" s="5155"/>
      <c r="E3" s="5155"/>
      <c r="F3" s="5155"/>
      <c r="G3" s="5155"/>
      <c r="H3" s="5155"/>
      <c r="I3" s="5155"/>
      <c r="J3" s="5155"/>
      <c r="K3" s="5155"/>
      <c r="L3" s="5155"/>
      <c r="M3" s="5155"/>
      <c r="N3" s="5155"/>
      <c r="O3" s="5155"/>
      <c r="P3" s="5155"/>
      <c r="Q3" s="5155"/>
      <c r="R3" s="5155"/>
      <c r="S3" s="5155"/>
      <c r="T3" s="5155"/>
      <c r="U3" s="5155"/>
      <c r="V3" s="5155"/>
      <c r="W3" s="5155"/>
      <c r="X3" s="5155"/>
      <c r="Y3" s="5155"/>
      <c r="Z3" s="5155"/>
      <c r="AA3" s="3011"/>
      <c r="AB3" s="3011"/>
      <c r="AC3" s="3011"/>
      <c r="AD3" s="3011"/>
      <c r="AE3" s="3011"/>
      <c r="AF3" s="3011"/>
      <c r="AG3" s="3012"/>
      <c r="AH3" s="3011"/>
      <c r="AI3" s="3011"/>
      <c r="AJ3" s="3011"/>
      <c r="AK3" s="3011"/>
      <c r="AL3" s="3011"/>
      <c r="AM3" s="3011"/>
      <c r="AN3" s="3011"/>
      <c r="AO3" s="3012"/>
      <c r="AP3" s="3011"/>
      <c r="AQ3" s="3011"/>
      <c r="AR3" s="3011"/>
      <c r="AS3" s="3011"/>
      <c r="AT3" s="3011"/>
      <c r="AU3" s="3011"/>
      <c r="AV3" s="3011"/>
      <c r="AW3" s="3011"/>
      <c r="AX3" s="3011"/>
      <c r="AY3" s="3011"/>
      <c r="AZ3" s="3011"/>
      <c r="BA3" s="3011"/>
      <c r="BB3" s="3011"/>
      <c r="BC3" s="3011"/>
      <c r="BD3" s="3011"/>
      <c r="BE3" s="3011"/>
      <c r="BF3" s="3011"/>
      <c r="BG3" s="3011"/>
      <c r="BH3" s="3011"/>
    </row>
    <row r="4" spans="1:114" ht="15.75">
      <c r="A4" s="5175" t="str">
        <f>'1. Обща информация'!A4:D4</f>
        <v>на ВОДОСНАБДЯВАНЕ И КАНАЛИЗАЦИЯ ЕООД, гр. ХАСКОВО</v>
      </c>
      <c r="B4" s="5175"/>
      <c r="C4" s="5175"/>
      <c r="D4" s="5175"/>
      <c r="E4" s="5175"/>
      <c r="F4" s="5175"/>
      <c r="G4" s="5175"/>
      <c r="H4" s="5175"/>
      <c r="I4" s="5175"/>
      <c r="J4" s="5175"/>
      <c r="K4" s="5175"/>
      <c r="L4" s="5175"/>
      <c r="M4" s="5175"/>
      <c r="N4" s="5175"/>
      <c r="O4" s="5175"/>
      <c r="P4" s="5175"/>
      <c r="Q4" s="5175"/>
      <c r="R4" s="5175"/>
      <c r="S4" s="5175"/>
      <c r="T4" s="5175"/>
      <c r="U4" s="5175"/>
      <c r="V4" s="5175"/>
      <c r="W4" s="5175"/>
      <c r="X4" s="5175"/>
      <c r="Y4" s="5175"/>
      <c r="Z4" s="5175"/>
      <c r="AA4" s="3011"/>
      <c r="AB4" s="3011"/>
      <c r="AC4" s="3011"/>
      <c r="AD4" s="3011"/>
      <c r="AE4" s="3011"/>
      <c r="AF4" s="3011"/>
      <c r="AG4" s="3012"/>
      <c r="AH4" s="3011"/>
      <c r="AI4" s="3013"/>
      <c r="AJ4" s="3013"/>
      <c r="AK4" s="3013"/>
      <c r="AL4" s="3013"/>
      <c r="AM4" s="3013"/>
      <c r="AN4" s="3013"/>
      <c r="AO4" s="3012"/>
      <c r="AP4" s="3011"/>
      <c r="AQ4" s="3011"/>
      <c r="AR4" s="3011"/>
      <c r="AS4" s="3011"/>
      <c r="AT4" s="3011"/>
      <c r="AU4" s="3011"/>
      <c r="AV4" s="3011"/>
      <c r="AW4" s="3013"/>
      <c r="AX4" s="3013"/>
      <c r="AY4" s="3013"/>
      <c r="AZ4" s="3013"/>
      <c r="BA4" s="3013"/>
      <c r="BB4" s="3013"/>
      <c r="BC4" s="3013"/>
      <c r="BD4" s="3013"/>
      <c r="BE4" s="3013"/>
      <c r="BF4" s="3013"/>
      <c r="BG4" s="3013"/>
      <c r="BH4" s="3013"/>
    </row>
    <row r="5" spans="1:114" ht="15.75">
      <c r="A5" s="5175" t="str">
        <f>'1. Обща информация'!A5:D5</f>
        <v>ЕИК по БУЛСТАТ: 126004284</v>
      </c>
      <c r="B5" s="5175"/>
      <c r="C5" s="5175"/>
      <c r="D5" s="5175"/>
      <c r="E5" s="5175"/>
      <c r="F5" s="5175"/>
      <c r="G5" s="5175"/>
      <c r="H5" s="5175"/>
      <c r="I5" s="5175"/>
      <c r="J5" s="5175"/>
      <c r="K5" s="5175"/>
      <c r="L5" s="5175"/>
      <c r="M5" s="5175"/>
      <c r="N5" s="5175"/>
      <c r="O5" s="5175"/>
      <c r="P5" s="5175"/>
      <c r="Q5" s="5175"/>
      <c r="R5" s="5175"/>
      <c r="S5" s="5175"/>
      <c r="T5" s="5175"/>
      <c r="U5" s="5175"/>
      <c r="V5" s="5175"/>
      <c r="W5" s="5175"/>
      <c r="X5" s="5175"/>
      <c r="Y5" s="5175"/>
      <c r="Z5" s="5175"/>
      <c r="AA5" s="642"/>
      <c r="AB5" s="642"/>
      <c r="AC5" s="642"/>
      <c r="AD5" s="642"/>
      <c r="AE5" s="642"/>
      <c r="AF5" s="642"/>
      <c r="AG5" s="3014"/>
      <c r="AH5" s="642"/>
      <c r="AI5" s="3015"/>
      <c r="AJ5" s="3015"/>
      <c r="AK5" s="3015"/>
      <c r="AL5" s="3015"/>
      <c r="AM5" s="3015"/>
      <c r="AN5" s="3015"/>
      <c r="AO5" s="3014"/>
      <c r="AP5" s="642"/>
      <c r="AQ5" s="642"/>
      <c r="AR5" s="642"/>
      <c r="AS5" s="642"/>
      <c r="AT5" s="642"/>
      <c r="AU5" s="642"/>
      <c r="AV5" s="642"/>
      <c r="AW5" s="3015"/>
      <c r="AX5" s="3015"/>
      <c r="AY5" s="3015"/>
      <c r="AZ5" s="3015"/>
      <c r="BA5" s="3015"/>
      <c r="BB5" s="3015"/>
      <c r="BC5" s="3015"/>
      <c r="BD5" s="3015"/>
      <c r="BE5" s="3015"/>
      <c r="BF5" s="3015"/>
      <c r="BG5" s="3015"/>
      <c r="BH5" s="3015"/>
    </row>
    <row r="6" spans="1:114">
      <c r="A6" s="663"/>
      <c r="B6" s="663"/>
      <c r="C6" s="663"/>
      <c r="D6" s="663"/>
      <c r="E6" s="663"/>
      <c r="F6" s="663"/>
      <c r="G6" s="663"/>
      <c r="H6" s="663"/>
      <c r="I6" s="827"/>
      <c r="J6" s="677"/>
      <c r="K6" s="663"/>
      <c r="L6" s="677"/>
      <c r="M6" s="677"/>
      <c r="N6" s="677"/>
      <c r="O6" s="677"/>
      <c r="P6" s="677"/>
      <c r="Q6" s="827"/>
      <c r="R6" s="677"/>
      <c r="S6" s="677"/>
      <c r="T6" s="677"/>
      <c r="U6" s="677"/>
      <c r="V6" s="677"/>
      <c r="W6" s="677"/>
      <c r="X6" s="677"/>
      <c r="Y6" s="827"/>
      <c r="Z6" s="677"/>
      <c r="AA6" s="677"/>
      <c r="AB6" s="677"/>
      <c r="AC6" s="677"/>
      <c r="AD6" s="677"/>
      <c r="AE6" s="677"/>
      <c r="AF6" s="677"/>
      <c r="AG6" s="827"/>
      <c r="AH6" s="677"/>
      <c r="AI6" s="3016"/>
      <c r="AJ6" s="3016"/>
      <c r="AK6" s="3016"/>
      <c r="AL6" s="3016"/>
      <c r="AM6" s="3016"/>
      <c r="AN6" s="3016"/>
      <c r="AO6" s="827"/>
      <c r="AP6" s="677"/>
      <c r="AQ6" s="677"/>
      <c r="AR6" s="677"/>
      <c r="AS6" s="677"/>
      <c r="AT6" s="677"/>
      <c r="AU6" s="677"/>
      <c r="AV6" s="677"/>
      <c r="AW6" s="3016"/>
      <c r="AX6" s="3016"/>
      <c r="AY6" s="3016"/>
      <c r="AZ6" s="3016"/>
      <c r="BA6" s="3016"/>
      <c r="BB6" s="3016"/>
      <c r="BC6" s="3016"/>
      <c r="BD6" s="3016"/>
      <c r="BE6" s="3016"/>
      <c r="BF6" s="3016"/>
      <c r="BG6" s="3016"/>
      <c r="BH6" s="3016"/>
    </row>
    <row r="7" spans="1:114" ht="15.75" thickBot="1">
      <c r="A7" s="175"/>
      <c r="B7" s="175"/>
      <c r="C7" s="664"/>
      <c r="D7" s="665"/>
      <c r="E7" s="665"/>
      <c r="F7" s="666"/>
      <c r="G7" s="663"/>
      <c r="H7" s="663"/>
      <c r="K7" s="663"/>
      <c r="L7" s="665"/>
      <c r="M7" s="665"/>
      <c r="N7" s="665"/>
      <c r="O7" s="665"/>
      <c r="X7" s="665"/>
      <c r="Y7" s="3017"/>
      <c r="AF7" s="665"/>
      <c r="AI7" s="3018"/>
      <c r="AJ7" s="3018"/>
      <c r="AK7" s="3018"/>
      <c r="AL7" s="3018"/>
      <c r="AM7" s="3018"/>
      <c r="AN7" s="667"/>
      <c r="AQ7" s="665"/>
      <c r="AR7" s="665"/>
      <c r="AS7" s="665"/>
      <c r="AT7" s="665"/>
      <c r="AU7" s="668"/>
      <c r="AW7" s="3018"/>
      <c r="AX7" s="3018"/>
      <c r="AY7" s="3018"/>
      <c r="AZ7" s="3018"/>
      <c r="BA7" s="3018"/>
      <c r="BB7" s="667"/>
      <c r="BC7" s="3018"/>
      <c r="BD7" s="3018"/>
      <c r="BE7" s="3018"/>
      <c r="BF7" s="3018"/>
      <c r="BG7" s="3018"/>
      <c r="BH7" s="3017" t="s">
        <v>190</v>
      </c>
      <c r="DJ7" s="650" t="s">
        <v>1892</v>
      </c>
    </row>
    <row r="8" spans="1:114" ht="15.75" customHeight="1" thickBot="1">
      <c r="A8" s="5226" t="s">
        <v>1</v>
      </c>
      <c r="B8" s="5225" t="s">
        <v>223</v>
      </c>
      <c r="C8" s="5229" t="s">
        <v>224</v>
      </c>
      <c r="D8" s="5230"/>
      <c r="E8" s="5230"/>
      <c r="F8" s="5230"/>
      <c r="G8" s="5230"/>
      <c r="H8" s="5230"/>
      <c r="I8" s="5230"/>
      <c r="J8" s="5230"/>
      <c r="K8" s="5230"/>
      <c r="L8" s="5230"/>
      <c r="M8" s="5230"/>
      <c r="N8" s="5230"/>
      <c r="O8" s="5230"/>
      <c r="P8" s="5230"/>
      <c r="Q8" s="5230"/>
      <c r="R8" s="5230"/>
      <c r="S8" s="5230"/>
      <c r="T8" s="5230"/>
      <c r="U8" s="5230"/>
      <c r="V8" s="5230"/>
      <c r="W8" s="5230"/>
      <c r="X8" s="5230"/>
      <c r="Y8" s="5230"/>
      <c r="Z8" s="5230"/>
      <c r="AA8" s="5230"/>
      <c r="AB8" s="5230"/>
      <c r="AC8" s="5230"/>
      <c r="AD8" s="5230"/>
      <c r="AE8" s="5230"/>
      <c r="AF8" s="5230"/>
      <c r="AG8" s="5230"/>
      <c r="AH8" s="5230"/>
      <c r="AI8" s="5230"/>
      <c r="AJ8" s="5230"/>
      <c r="AK8" s="5230"/>
      <c r="AL8" s="5230"/>
      <c r="AM8" s="5230"/>
      <c r="AN8" s="5230"/>
      <c r="AO8" s="5230"/>
      <c r="AP8" s="5231"/>
      <c r="AQ8" s="5152" t="s">
        <v>225</v>
      </c>
      <c r="AR8" s="5153"/>
      <c r="AS8" s="5153"/>
      <c r="AT8" s="5153"/>
      <c r="AU8" s="5153"/>
      <c r="AV8" s="5154"/>
      <c r="AW8" s="5152" t="s">
        <v>1251</v>
      </c>
      <c r="AX8" s="5153"/>
      <c r="AY8" s="5153"/>
      <c r="AZ8" s="5153"/>
      <c r="BA8" s="5153"/>
      <c r="BB8" s="5154"/>
      <c r="BC8" s="5152" t="s">
        <v>1252</v>
      </c>
      <c r="BD8" s="5153"/>
      <c r="BE8" s="5153"/>
      <c r="BF8" s="5153"/>
      <c r="BG8" s="5153"/>
      <c r="BH8" s="5154"/>
      <c r="BI8" s="4422"/>
      <c r="BJ8" s="5241" t="s">
        <v>224</v>
      </c>
      <c r="BK8" s="5241"/>
      <c r="BL8" s="5241"/>
      <c r="BM8" s="5241"/>
      <c r="BN8" s="5241"/>
      <c r="BO8" s="5241"/>
      <c r="BP8" s="5241"/>
      <c r="BQ8" s="5241"/>
      <c r="BR8" s="5241"/>
      <c r="BS8" s="5241"/>
      <c r="BT8" s="5241"/>
      <c r="BU8" s="5241"/>
      <c r="BV8" s="5241"/>
      <c r="BW8" s="5241"/>
      <c r="BX8" s="5241"/>
      <c r="BY8" s="5241"/>
      <c r="BZ8" s="5241"/>
      <c r="CA8" s="5241"/>
      <c r="CB8" s="5241"/>
      <c r="CC8" s="5241"/>
      <c r="CD8" s="5241"/>
      <c r="CE8" s="5241"/>
      <c r="CF8" s="5241"/>
      <c r="CG8" s="5241"/>
      <c r="CH8" s="5241"/>
      <c r="CI8" s="5241"/>
      <c r="CJ8" s="5241"/>
      <c r="CK8" s="5241"/>
      <c r="CL8" s="5241"/>
      <c r="CM8" s="5241"/>
      <c r="CN8" s="5241"/>
      <c r="CO8" s="5241"/>
      <c r="CP8" s="5241"/>
      <c r="CQ8" s="5241"/>
      <c r="CR8" s="5241"/>
      <c r="CS8" s="5241" t="s">
        <v>225</v>
      </c>
      <c r="CT8" s="5241"/>
      <c r="CU8" s="5241"/>
      <c r="CV8" s="5241"/>
      <c r="CW8" s="5241"/>
      <c r="CX8" s="5241"/>
      <c r="CY8" s="5241" t="s">
        <v>1251</v>
      </c>
      <c r="CZ8" s="5241"/>
      <c r="DA8" s="5241"/>
      <c r="DB8" s="5241"/>
      <c r="DC8" s="5241"/>
      <c r="DD8" s="5241"/>
      <c r="DE8" s="5241" t="s">
        <v>1252</v>
      </c>
      <c r="DF8" s="5241"/>
      <c r="DG8" s="5241"/>
      <c r="DH8" s="5241"/>
      <c r="DI8" s="5241"/>
      <c r="DJ8" s="5241"/>
    </row>
    <row r="9" spans="1:114" ht="15.75" customHeight="1" thickBot="1">
      <c r="A9" s="5235"/>
      <c r="B9" s="5239"/>
      <c r="C9" s="5232" t="s">
        <v>207</v>
      </c>
      <c r="D9" s="5233"/>
      <c r="E9" s="5233"/>
      <c r="F9" s="5233"/>
      <c r="G9" s="5233"/>
      <c r="H9" s="5233"/>
      <c r="I9" s="5233"/>
      <c r="J9" s="5234"/>
      <c r="K9" s="5229" t="s">
        <v>208</v>
      </c>
      <c r="L9" s="5230"/>
      <c r="M9" s="5230"/>
      <c r="N9" s="5230"/>
      <c r="O9" s="5230"/>
      <c r="P9" s="5230"/>
      <c r="Q9" s="5230"/>
      <c r="R9" s="5231"/>
      <c r="S9" s="5229" t="s">
        <v>209</v>
      </c>
      <c r="T9" s="5230"/>
      <c r="U9" s="5230"/>
      <c r="V9" s="5230"/>
      <c r="W9" s="5230"/>
      <c r="X9" s="5230"/>
      <c r="Y9" s="5230"/>
      <c r="Z9" s="5231"/>
      <c r="AA9" s="5229" t="s">
        <v>1216</v>
      </c>
      <c r="AB9" s="5230"/>
      <c r="AC9" s="5230"/>
      <c r="AD9" s="5230"/>
      <c r="AE9" s="5230"/>
      <c r="AF9" s="5230"/>
      <c r="AG9" s="5230"/>
      <c r="AH9" s="5231"/>
      <c r="AI9" s="5229" t="s">
        <v>1217</v>
      </c>
      <c r="AJ9" s="5230"/>
      <c r="AK9" s="5230"/>
      <c r="AL9" s="5230"/>
      <c r="AM9" s="5230"/>
      <c r="AN9" s="5230"/>
      <c r="AO9" s="5230"/>
      <c r="AP9" s="5231"/>
      <c r="AQ9" s="5156"/>
      <c r="AR9" s="5215"/>
      <c r="AS9" s="5215"/>
      <c r="AT9" s="5215"/>
      <c r="AU9" s="5215"/>
      <c r="AV9" s="5216"/>
      <c r="AW9" s="5156"/>
      <c r="AX9" s="5215"/>
      <c r="AY9" s="5215"/>
      <c r="AZ9" s="5215"/>
      <c r="BA9" s="5215"/>
      <c r="BB9" s="5216"/>
      <c r="BC9" s="5156"/>
      <c r="BD9" s="5215"/>
      <c r="BE9" s="5215"/>
      <c r="BF9" s="5215"/>
      <c r="BG9" s="5215"/>
      <c r="BH9" s="5216"/>
      <c r="BI9" s="4422"/>
      <c r="BJ9" s="5242" t="s">
        <v>207</v>
      </c>
      <c r="BK9" s="5242"/>
      <c r="BL9" s="5242"/>
      <c r="BM9" s="5242"/>
      <c r="BN9" s="5242"/>
      <c r="BO9" s="5242"/>
      <c r="BP9" s="5242"/>
      <c r="BQ9" s="5241" t="s">
        <v>208</v>
      </c>
      <c r="BR9" s="5241"/>
      <c r="BS9" s="5241"/>
      <c r="BT9" s="5241"/>
      <c r="BU9" s="5241"/>
      <c r="BV9" s="5241"/>
      <c r="BW9" s="5241"/>
      <c r="BX9" s="5241" t="s">
        <v>209</v>
      </c>
      <c r="BY9" s="5241"/>
      <c r="BZ9" s="5241"/>
      <c r="CA9" s="5241"/>
      <c r="CB9" s="5241"/>
      <c r="CC9" s="5241"/>
      <c r="CD9" s="5241"/>
      <c r="CE9" s="5241" t="s">
        <v>1216</v>
      </c>
      <c r="CF9" s="5241"/>
      <c r="CG9" s="5241"/>
      <c r="CH9" s="5241"/>
      <c r="CI9" s="5241"/>
      <c r="CJ9" s="5241"/>
      <c r="CK9" s="5241"/>
      <c r="CL9" s="5241" t="s">
        <v>1217</v>
      </c>
      <c r="CM9" s="5241"/>
      <c r="CN9" s="5241"/>
      <c r="CO9" s="5241"/>
      <c r="CP9" s="5241"/>
      <c r="CQ9" s="5241"/>
      <c r="CR9" s="5241"/>
      <c r="CS9" s="5241"/>
      <c r="CT9" s="5241"/>
      <c r="CU9" s="5241"/>
      <c r="CV9" s="5241"/>
      <c r="CW9" s="5241"/>
      <c r="CX9" s="5241"/>
      <c r="CY9" s="5241"/>
      <c r="CZ9" s="5241"/>
      <c r="DA9" s="5241"/>
      <c r="DB9" s="5241"/>
      <c r="DC9" s="5241"/>
      <c r="DD9" s="5241"/>
      <c r="DE9" s="5241"/>
      <c r="DF9" s="5241"/>
      <c r="DG9" s="5241"/>
      <c r="DH9" s="5241"/>
      <c r="DI9" s="5241"/>
      <c r="DJ9" s="5241"/>
    </row>
    <row r="10" spans="1:114" ht="60.75" thickBot="1">
      <c r="A10" s="5236"/>
      <c r="B10" s="5240"/>
      <c r="C10" s="669" t="str">
        <f>'Приложение '!C12</f>
        <v>2024 г.</v>
      </c>
      <c r="D10" s="670" t="str">
        <f>'Приложение '!C14</f>
        <v>2027 г.</v>
      </c>
      <c r="E10" s="671" t="str">
        <f>'Приложение '!C15</f>
        <v>2028 г.</v>
      </c>
      <c r="F10" s="671" t="str">
        <f>'Приложение '!C16</f>
        <v>2029 г.</v>
      </c>
      <c r="G10" s="671" t="str">
        <f>'Приложение '!C17</f>
        <v>2030 г.</v>
      </c>
      <c r="H10" s="691" t="str">
        <f>'Приложение '!C18</f>
        <v>2031 г.</v>
      </c>
      <c r="I10" s="4202" t="str">
        <f>CONCATENATE("разлика ",$D$10," спрямо ",$C$10)</f>
        <v>разлика 2027 г. спрямо 2024 г.</v>
      </c>
      <c r="J10" s="4203" t="str">
        <f>CONCATENATE("изменение в % ",$D$10," спрямо ",$C$10)</f>
        <v>изменение в % 2027 г. спрямо 2024 г.</v>
      </c>
      <c r="K10" s="669" t="str">
        <f t="shared" ref="K10:P10" si="0">C10</f>
        <v>2024 г.</v>
      </c>
      <c r="L10" s="670" t="str">
        <f t="shared" si="0"/>
        <v>2027 г.</v>
      </c>
      <c r="M10" s="670" t="str">
        <f t="shared" si="0"/>
        <v>2028 г.</v>
      </c>
      <c r="N10" s="670" t="str">
        <f t="shared" si="0"/>
        <v>2029 г.</v>
      </c>
      <c r="O10" s="670" t="str">
        <f t="shared" si="0"/>
        <v>2030 г.</v>
      </c>
      <c r="P10" s="692" t="str">
        <f t="shared" si="0"/>
        <v>2031 г.</v>
      </c>
      <c r="Q10" s="4202" t="str">
        <f>+I10</f>
        <v>разлика 2027 г. спрямо 2024 г.</v>
      </c>
      <c r="R10" s="4203" t="str">
        <f>+J10</f>
        <v>изменение в % 2027 г. спрямо 2024 г.</v>
      </c>
      <c r="S10" s="669" t="str">
        <f t="shared" ref="S10:X10" si="1">K10</f>
        <v>2024 г.</v>
      </c>
      <c r="T10" s="3755" t="str">
        <f t="shared" si="1"/>
        <v>2027 г.</v>
      </c>
      <c r="U10" s="3755" t="str">
        <f t="shared" si="1"/>
        <v>2028 г.</v>
      </c>
      <c r="V10" s="3755" t="str">
        <f t="shared" si="1"/>
        <v>2029 г.</v>
      </c>
      <c r="W10" s="3755" t="str">
        <f t="shared" si="1"/>
        <v>2030 г.</v>
      </c>
      <c r="X10" s="693" t="str">
        <f t="shared" si="1"/>
        <v>2031 г.</v>
      </c>
      <c r="Y10" s="4202" t="str">
        <f>+Q10</f>
        <v>разлика 2027 г. спрямо 2024 г.</v>
      </c>
      <c r="Z10" s="4203" t="str">
        <f>+R10</f>
        <v>изменение в % 2027 г. спрямо 2024 г.</v>
      </c>
      <c r="AA10" s="669" t="str">
        <f t="shared" ref="AA10:AF10" si="2">S10</f>
        <v>2024 г.</v>
      </c>
      <c r="AB10" s="3755" t="str">
        <f t="shared" si="2"/>
        <v>2027 г.</v>
      </c>
      <c r="AC10" s="3755" t="str">
        <f t="shared" si="2"/>
        <v>2028 г.</v>
      </c>
      <c r="AD10" s="3755" t="str">
        <f t="shared" si="2"/>
        <v>2029 г.</v>
      </c>
      <c r="AE10" s="3755" t="str">
        <f t="shared" si="2"/>
        <v>2030 г.</v>
      </c>
      <c r="AF10" s="693" t="str">
        <f t="shared" si="2"/>
        <v>2031 г.</v>
      </c>
      <c r="AG10" s="4202" t="str">
        <f>+Y10</f>
        <v>разлика 2027 г. спрямо 2024 г.</v>
      </c>
      <c r="AH10" s="4203" t="str">
        <f>+Z10</f>
        <v>изменение в % 2027 г. спрямо 2024 г.</v>
      </c>
      <c r="AI10" s="669" t="str">
        <f t="shared" ref="AI10:AN10" si="3">AA10</f>
        <v>2024 г.</v>
      </c>
      <c r="AJ10" s="3755" t="str">
        <f t="shared" si="3"/>
        <v>2027 г.</v>
      </c>
      <c r="AK10" s="3755" t="str">
        <f t="shared" si="3"/>
        <v>2028 г.</v>
      </c>
      <c r="AL10" s="3755" t="str">
        <f t="shared" si="3"/>
        <v>2029 г.</v>
      </c>
      <c r="AM10" s="3755" t="str">
        <f t="shared" si="3"/>
        <v>2030 г.</v>
      </c>
      <c r="AN10" s="672" t="str">
        <f t="shared" si="3"/>
        <v>2031 г.</v>
      </c>
      <c r="AO10" s="4202" t="str">
        <f>+AG10</f>
        <v>разлика 2027 г. спрямо 2024 г.</v>
      </c>
      <c r="AP10" s="4203" t="str">
        <f>+AH10</f>
        <v>изменение в % 2027 г. спрямо 2024 г.</v>
      </c>
      <c r="AQ10" s="669" t="str">
        <f t="shared" ref="AQ10:AV10" si="4">S10</f>
        <v>2024 г.</v>
      </c>
      <c r="AR10" s="3755" t="str">
        <f t="shared" si="4"/>
        <v>2027 г.</v>
      </c>
      <c r="AS10" s="3755" t="str">
        <f t="shared" si="4"/>
        <v>2028 г.</v>
      </c>
      <c r="AT10" s="3755" t="str">
        <f t="shared" si="4"/>
        <v>2029 г.</v>
      </c>
      <c r="AU10" s="3755" t="str">
        <f t="shared" si="4"/>
        <v>2030 г.</v>
      </c>
      <c r="AV10" s="672" t="str">
        <f t="shared" si="4"/>
        <v>2031 г.</v>
      </c>
      <c r="AW10" s="669" t="str">
        <f>+AQ10</f>
        <v>2024 г.</v>
      </c>
      <c r="AX10" s="3755" t="str">
        <f t="shared" ref="AX10:BH10" si="5">+AR10</f>
        <v>2027 г.</v>
      </c>
      <c r="AY10" s="3755" t="str">
        <f t="shared" si="5"/>
        <v>2028 г.</v>
      </c>
      <c r="AZ10" s="3755" t="str">
        <f t="shared" si="5"/>
        <v>2029 г.</v>
      </c>
      <c r="BA10" s="3755" t="str">
        <f t="shared" si="5"/>
        <v>2030 г.</v>
      </c>
      <c r="BB10" s="672" t="str">
        <f t="shared" si="5"/>
        <v>2031 г.</v>
      </c>
      <c r="BC10" s="669" t="str">
        <f t="shared" si="5"/>
        <v>2024 г.</v>
      </c>
      <c r="BD10" s="3755" t="str">
        <f t="shared" si="5"/>
        <v>2027 г.</v>
      </c>
      <c r="BE10" s="3755" t="str">
        <f t="shared" si="5"/>
        <v>2028 г.</v>
      </c>
      <c r="BF10" s="3755" t="str">
        <f t="shared" si="5"/>
        <v>2029 г.</v>
      </c>
      <c r="BG10" s="3755" t="str">
        <f t="shared" si="5"/>
        <v>2030 г.</v>
      </c>
      <c r="BH10" s="672" t="str">
        <f t="shared" si="5"/>
        <v>2031 г.</v>
      </c>
      <c r="BI10" s="4422"/>
      <c r="BJ10" s="4456" t="str">
        <f>+C10</f>
        <v>2024 г.</v>
      </c>
      <c r="BK10" s="4456" t="str">
        <f t="shared" ref="BK10:BO10" si="6">+D10</f>
        <v>2027 г.</v>
      </c>
      <c r="BL10" s="4456" t="str">
        <f t="shared" si="6"/>
        <v>2028 г.</v>
      </c>
      <c r="BM10" s="4456" t="str">
        <f t="shared" si="6"/>
        <v>2029 г.</v>
      </c>
      <c r="BN10" s="4456" t="str">
        <f t="shared" si="6"/>
        <v>2030 г.</v>
      </c>
      <c r="BO10" s="4456" t="str">
        <f t="shared" si="6"/>
        <v>2031 г.</v>
      </c>
      <c r="BP10" s="4457" t="str">
        <f>CONCATENATE("разлика ",$D$10," спрямо ",$C$10)</f>
        <v>разлика 2027 г. спрямо 2024 г.</v>
      </c>
      <c r="BQ10" s="4456" t="str">
        <f t="shared" ref="BQ10:BV10" si="7">BJ10</f>
        <v>2024 г.</v>
      </c>
      <c r="BR10" s="4456" t="str">
        <f t="shared" si="7"/>
        <v>2027 г.</v>
      </c>
      <c r="BS10" s="4456" t="str">
        <f t="shared" si="7"/>
        <v>2028 г.</v>
      </c>
      <c r="BT10" s="4456" t="str">
        <f t="shared" si="7"/>
        <v>2029 г.</v>
      </c>
      <c r="BU10" s="4456" t="str">
        <f t="shared" si="7"/>
        <v>2030 г.</v>
      </c>
      <c r="BV10" s="4456" t="str">
        <f t="shared" si="7"/>
        <v>2031 г.</v>
      </c>
      <c r="BW10" s="4457" t="str">
        <f>+BP10</f>
        <v>разлика 2027 г. спрямо 2024 г.</v>
      </c>
      <c r="BX10" s="4456" t="str">
        <f t="shared" ref="BX10:CC10" si="8">BQ10</f>
        <v>2024 г.</v>
      </c>
      <c r="BY10" s="4456" t="str">
        <f t="shared" si="8"/>
        <v>2027 г.</v>
      </c>
      <c r="BZ10" s="4456" t="str">
        <f t="shared" si="8"/>
        <v>2028 г.</v>
      </c>
      <c r="CA10" s="4456" t="str">
        <f t="shared" si="8"/>
        <v>2029 г.</v>
      </c>
      <c r="CB10" s="4456" t="str">
        <f t="shared" si="8"/>
        <v>2030 г.</v>
      </c>
      <c r="CC10" s="4456" t="str">
        <f t="shared" si="8"/>
        <v>2031 г.</v>
      </c>
      <c r="CD10" s="4457" t="str">
        <f>+BW10</f>
        <v>разлика 2027 г. спрямо 2024 г.</v>
      </c>
      <c r="CE10" s="4456" t="str">
        <f t="shared" ref="CE10:CJ10" si="9">BX10</f>
        <v>2024 г.</v>
      </c>
      <c r="CF10" s="4456" t="str">
        <f t="shared" si="9"/>
        <v>2027 г.</v>
      </c>
      <c r="CG10" s="4456" t="str">
        <f t="shared" si="9"/>
        <v>2028 г.</v>
      </c>
      <c r="CH10" s="4456" t="str">
        <f t="shared" si="9"/>
        <v>2029 г.</v>
      </c>
      <c r="CI10" s="4456" t="str">
        <f t="shared" si="9"/>
        <v>2030 г.</v>
      </c>
      <c r="CJ10" s="4456" t="str">
        <f t="shared" si="9"/>
        <v>2031 г.</v>
      </c>
      <c r="CK10" s="4457" t="str">
        <f>+CD10</f>
        <v>разлика 2027 г. спрямо 2024 г.</v>
      </c>
      <c r="CL10" s="4456" t="str">
        <f t="shared" ref="CL10:CQ10" si="10">CE10</f>
        <v>2024 г.</v>
      </c>
      <c r="CM10" s="4456" t="str">
        <f t="shared" si="10"/>
        <v>2027 г.</v>
      </c>
      <c r="CN10" s="4456" t="str">
        <f t="shared" si="10"/>
        <v>2028 г.</v>
      </c>
      <c r="CO10" s="4456" t="str">
        <f t="shared" si="10"/>
        <v>2029 г.</v>
      </c>
      <c r="CP10" s="4456" t="str">
        <f t="shared" si="10"/>
        <v>2030 г.</v>
      </c>
      <c r="CQ10" s="4456" t="str">
        <f t="shared" si="10"/>
        <v>2031 г.</v>
      </c>
      <c r="CR10" s="4457" t="str">
        <f>+CK10</f>
        <v>разлика 2027 г. спрямо 2024 г.</v>
      </c>
      <c r="CS10" s="4456" t="str">
        <f t="shared" ref="CS10:CX10" si="11">BX10</f>
        <v>2024 г.</v>
      </c>
      <c r="CT10" s="4456" t="str">
        <f t="shared" si="11"/>
        <v>2027 г.</v>
      </c>
      <c r="CU10" s="4456" t="str">
        <f t="shared" si="11"/>
        <v>2028 г.</v>
      </c>
      <c r="CV10" s="4456" t="str">
        <f t="shared" si="11"/>
        <v>2029 г.</v>
      </c>
      <c r="CW10" s="4456" t="str">
        <f t="shared" si="11"/>
        <v>2030 г.</v>
      </c>
      <c r="CX10" s="4456" t="str">
        <f t="shared" si="11"/>
        <v>2031 г.</v>
      </c>
      <c r="CY10" s="4456" t="str">
        <f>+CS10</f>
        <v>2024 г.</v>
      </c>
      <c r="CZ10" s="4456" t="str">
        <f t="shared" ref="CZ10" si="12">+CT10</f>
        <v>2027 г.</v>
      </c>
      <c r="DA10" s="4456" t="str">
        <f t="shared" ref="DA10" si="13">+CU10</f>
        <v>2028 г.</v>
      </c>
      <c r="DB10" s="4456" t="str">
        <f t="shared" ref="DB10" si="14">+CV10</f>
        <v>2029 г.</v>
      </c>
      <c r="DC10" s="4456" t="str">
        <f t="shared" ref="DC10" si="15">+CW10</f>
        <v>2030 г.</v>
      </c>
      <c r="DD10" s="4456" t="str">
        <f t="shared" ref="DD10" si="16">+CX10</f>
        <v>2031 г.</v>
      </c>
      <c r="DE10" s="4456" t="str">
        <f t="shared" ref="DE10" si="17">+CY10</f>
        <v>2024 г.</v>
      </c>
      <c r="DF10" s="4456" t="str">
        <f t="shared" ref="DF10" si="18">+CZ10</f>
        <v>2027 г.</v>
      </c>
      <c r="DG10" s="4456" t="str">
        <f t="shared" ref="DG10" si="19">+DA10</f>
        <v>2028 г.</v>
      </c>
      <c r="DH10" s="4456" t="str">
        <f t="shared" ref="DH10" si="20">+DB10</f>
        <v>2029 г.</v>
      </c>
      <c r="DI10" s="4456" t="str">
        <f t="shared" ref="DI10" si="21">+DC10</f>
        <v>2030 г.</v>
      </c>
      <c r="DJ10" s="4456" t="str">
        <f t="shared" ref="DJ10" si="22">+DD10</f>
        <v>2031 г.</v>
      </c>
    </row>
    <row r="11" spans="1:114" ht="13.5" thickBot="1">
      <c r="A11" s="109" t="s">
        <v>141</v>
      </c>
      <c r="B11" s="869" t="s">
        <v>226</v>
      </c>
      <c r="C11" s="1084">
        <f>SUM(C12:C28)-C12-C18-C25</f>
        <v>9326.6180571463156</v>
      </c>
      <c r="D11" s="880">
        <f t="shared" ref="D11:AV11" si="23">SUM(D12:D28)-D12-D18-D25</f>
        <v>10951.330331791998</v>
      </c>
      <c r="E11" s="1121">
        <f t="shared" si="23"/>
        <v>11004.188287817002</v>
      </c>
      <c r="F11" s="1121">
        <f t="shared" si="23"/>
        <v>11028.810519775501</v>
      </c>
      <c r="G11" s="1121">
        <f t="shared" si="23"/>
        <v>11241.114986514633</v>
      </c>
      <c r="H11" s="1124">
        <f t="shared" si="23"/>
        <v>11150.027435232185</v>
      </c>
      <c r="I11" s="1220">
        <f>D11-C11</f>
        <v>1624.7122746456826</v>
      </c>
      <c r="J11" s="801">
        <f>IFERROR((D11-C11)/C11,0)</f>
        <v>0.17420165216273464</v>
      </c>
      <c r="K11" s="1084">
        <f t="shared" si="23"/>
        <v>127.40172983080001</v>
      </c>
      <c r="L11" s="880">
        <f t="shared" si="23"/>
        <v>150.14156773359997</v>
      </c>
      <c r="M11" s="1121">
        <f t="shared" si="23"/>
        <v>151.45124358359999</v>
      </c>
      <c r="N11" s="1121">
        <f t="shared" si="23"/>
        <v>152.37905936910008</v>
      </c>
      <c r="O11" s="1121">
        <f t="shared" si="23"/>
        <v>197.22041389078998</v>
      </c>
      <c r="P11" s="1124">
        <f t="shared" si="23"/>
        <v>196.60829696267839</v>
      </c>
      <c r="Q11" s="1220">
        <f>L11-K11</f>
        <v>22.739837902799962</v>
      </c>
      <c r="R11" s="853">
        <f>IFERROR((L11-K11)/K11,0)</f>
        <v>0.17848923976935274</v>
      </c>
      <c r="S11" s="1084">
        <f t="shared" si="23"/>
        <v>709.40380443079994</v>
      </c>
      <c r="T11" s="880">
        <f t="shared" si="23"/>
        <v>820.05378428080007</v>
      </c>
      <c r="U11" s="1121">
        <f t="shared" si="23"/>
        <v>824.42270028080009</v>
      </c>
      <c r="V11" s="1121">
        <f t="shared" si="23"/>
        <v>828.53615736079996</v>
      </c>
      <c r="W11" s="1121">
        <f t="shared" si="23"/>
        <v>942.89043443840046</v>
      </c>
      <c r="X11" s="1124">
        <f t="shared" si="23"/>
        <v>945.78921185746424</v>
      </c>
      <c r="Y11" s="1220">
        <f>T11-S11</f>
        <v>110.64997985000014</v>
      </c>
      <c r="Z11" s="853">
        <f>IFERROR((T11-S11)/S11,0)</f>
        <v>0.15597601698623775</v>
      </c>
      <c r="AA11" s="1084">
        <f t="shared" ref="AA11:AN11" si="24">SUM(AA12:AA28)-AA12-AA18-AA25</f>
        <v>0</v>
      </c>
      <c r="AB11" s="880">
        <f t="shared" si="24"/>
        <v>0</v>
      </c>
      <c r="AC11" s="1121">
        <f t="shared" si="24"/>
        <v>0</v>
      </c>
      <c r="AD11" s="1121">
        <f t="shared" si="24"/>
        <v>0</v>
      </c>
      <c r="AE11" s="1121">
        <f t="shared" si="24"/>
        <v>0</v>
      </c>
      <c r="AF11" s="1124">
        <f t="shared" si="24"/>
        <v>0</v>
      </c>
      <c r="AG11" s="1220">
        <f>AB11-AA11</f>
        <v>0</v>
      </c>
      <c r="AH11" s="853">
        <f>IFERROR((AB11-AA11)/AA11,0)</f>
        <v>0</v>
      </c>
      <c r="AI11" s="1084">
        <f t="shared" si="24"/>
        <v>0</v>
      </c>
      <c r="AJ11" s="880">
        <f t="shared" si="24"/>
        <v>0</v>
      </c>
      <c r="AK11" s="1121">
        <f t="shared" si="24"/>
        <v>0</v>
      </c>
      <c r="AL11" s="1121">
        <f t="shared" si="24"/>
        <v>0</v>
      </c>
      <c r="AM11" s="1121">
        <f t="shared" si="24"/>
        <v>0</v>
      </c>
      <c r="AN11" s="2633">
        <f t="shared" si="24"/>
        <v>0</v>
      </c>
      <c r="AO11" s="1220">
        <f>AJ11-AI11</f>
        <v>0</v>
      </c>
      <c r="AP11" s="853">
        <f>IFERROR((AJ11-AI11)/AI11,0)</f>
        <v>0</v>
      </c>
      <c r="AQ11" s="1084">
        <f t="shared" si="23"/>
        <v>0</v>
      </c>
      <c r="AR11" s="880">
        <f t="shared" si="23"/>
        <v>0</v>
      </c>
      <c r="AS11" s="1121">
        <f t="shared" si="23"/>
        <v>0</v>
      </c>
      <c r="AT11" s="1121">
        <f t="shared" si="23"/>
        <v>0</v>
      </c>
      <c r="AU11" s="1121">
        <f t="shared" si="23"/>
        <v>0</v>
      </c>
      <c r="AV11" s="2633">
        <f t="shared" si="23"/>
        <v>0</v>
      </c>
      <c r="AW11" s="1084">
        <f t="shared" ref="AW11:BB11" si="25">SUM(AW12:AW28)-AW12-AW18-AW25</f>
        <v>10163.423591407915</v>
      </c>
      <c r="AX11" s="880">
        <f t="shared" si="25"/>
        <v>11921.5256838064</v>
      </c>
      <c r="AY11" s="1121">
        <f t="shared" si="25"/>
        <v>11980.062231681401</v>
      </c>
      <c r="AZ11" s="1121">
        <f t="shared" si="25"/>
        <v>12009.725736505401</v>
      </c>
      <c r="BA11" s="1121">
        <f t="shared" si="25"/>
        <v>12381.225834843819</v>
      </c>
      <c r="BB11" s="2633">
        <f t="shared" si="25"/>
        <v>12292.424944052325</v>
      </c>
      <c r="BC11" s="1084">
        <f t="shared" ref="BC11:BH11" si="26">SUM(BC12:BC28)-BC12-BC18-BC25</f>
        <v>9326.6180571463156</v>
      </c>
      <c r="BD11" s="880">
        <f t="shared" si="26"/>
        <v>10951.330331791998</v>
      </c>
      <c r="BE11" s="1121">
        <f t="shared" si="26"/>
        <v>11004.188287817002</v>
      </c>
      <c r="BF11" s="1121">
        <f t="shared" si="26"/>
        <v>11028.810519775501</v>
      </c>
      <c r="BG11" s="1121">
        <f t="shared" si="26"/>
        <v>11241.114986514633</v>
      </c>
      <c r="BH11" s="2633">
        <f t="shared" si="26"/>
        <v>11150.027435232185</v>
      </c>
      <c r="BI11" s="4422"/>
      <c r="BJ11" s="4438">
        <f>IFERROR(C11/$D$1,0)</f>
        <v>4768.6240916369597</v>
      </c>
      <c r="BK11" s="4438">
        <f t="shared" ref="BK11:BP11" si="27">IFERROR(D11/$D$1,0)</f>
        <v>5599.3262869431383</v>
      </c>
      <c r="BL11" s="4438">
        <f t="shared" si="27"/>
        <v>5626.3521307153496</v>
      </c>
      <c r="BM11" s="4438">
        <f t="shared" si="27"/>
        <v>5638.9412780126604</v>
      </c>
      <c r="BN11" s="4438">
        <f t="shared" si="27"/>
        <v>5747.4908281980706</v>
      </c>
      <c r="BO11" s="4438">
        <f t="shared" si="27"/>
        <v>5700.9185027493113</v>
      </c>
      <c r="BP11" s="4438">
        <f t="shared" si="27"/>
        <v>830.70219530617828</v>
      </c>
      <c r="BQ11" s="4438">
        <f t="shared" ref="BQ11:BW11" si="28">IFERROR(K11/$D$1,0)</f>
        <v>65.139470112842119</v>
      </c>
      <c r="BR11" s="4438">
        <f t="shared" si="28"/>
        <v>76.76616461226179</v>
      </c>
      <c r="BS11" s="4438">
        <f t="shared" si="28"/>
        <v>77.43579124136555</v>
      </c>
      <c r="BT11" s="4438">
        <f t="shared" si="28"/>
        <v>77.910175919737441</v>
      </c>
      <c r="BU11" s="4438">
        <f t="shared" si="28"/>
        <v>100.83719642851884</v>
      </c>
      <c r="BV11" s="4438">
        <f t="shared" si="28"/>
        <v>100.52422601283261</v>
      </c>
      <c r="BW11" s="4438">
        <f t="shared" si="28"/>
        <v>11.626694499419665</v>
      </c>
      <c r="BX11" s="4438">
        <f t="shared" ref="BX11:CD11" si="29">IFERROR(S11/$D$1,0)</f>
        <v>362.71240569517801</v>
      </c>
      <c r="BY11" s="4438">
        <f t="shared" si="29"/>
        <v>419.28684204700824</v>
      </c>
      <c r="BZ11" s="4438">
        <f t="shared" si="29"/>
        <v>421.52063332743649</v>
      </c>
      <c r="CA11" s="4438">
        <f t="shared" si="29"/>
        <v>423.62381053608954</v>
      </c>
      <c r="CB11" s="4438">
        <f t="shared" si="29"/>
        <v>482.09222398592948</v>
      </c>
      <c r="CC11" s="4438">
        <f t="shared" si="29"/>
        <v>483.57434534569171</v>
      </c>
      <c r="CD11" s="4438">
        <f t="shared" si="29"/>
        <v>56.574436351830244</v>
      </c>
      <c r="CE11" s="4438">
        <f t="shared" ref="CE11:CK11" si="30">IFERROR(AA11/$D$1,0)</f>
        <v>0</v>
      </c>
      <c r="CF11" s="4438">
        <f t="shared" si="30"/>
        <v>0</v>
      </c>
      <c r="CG11" s="4438">
        <f t="shared" si="30"/>
        <v>0</v>
      </c>
      <c r="CH11" s="4438">
        <f t="shared" si="30"/>
        <v>0</v>
      </c>
      <c r="CI11" s="4438">
        <f t="shared" si="30"/>
        <v>0</v>
      </c>
      <c r="CJ11" s="4438">
        <f t="shared" si="30"/>
        <v>0</v>
      </c>
      <c r="CK11" s="4438">
        <f t="shared" si="30"/>
        <v>0</v>
      </c>
      <c r="CL11" s="4438">
        <f t="shared" ref="CL11:CR11" si="31">IFERROR(AI11/$D$1,0)</f>
        <v>0</v>
      </c>
      <c r="CM11" s="4438">
        <f t="shared" si="31"/>
        <v>0</v>
      </c>
      <c r="CN11" s="4438">
        <f t="shared" si="31"/>
        <v>0</v>
      </c>
      <c r="CO11" s="4438">
        <f t="shared" si="31"/>
        <v>0</v>
      </c>
      <c r="CP11" s="4438">
        <f t="shared" si="31"/>
        <v>0</v>
      </c>
      <c r="CQ11" s="4438">
        <f t="shared" si="31"/>
        <v>0</v>
      </c>
      <c r="CR11" s="4438">
        <f t="shared" si="31"/>
        <v>0</v>
      </c>
      <c r="CS11" s="4438">
        <f t="shared" ref="CS11:DJ11" si="32">IFERROR(AQ11/$D$1,0)</f>
        <v>0</v>
      </c>
      <c r="CT11" s="4438">
        <f t="shared" si="32"/>
        <v>0</v>
      </c>
      <c r="CU11" s="4438">
        <f t="shared" si="32"/>
        <v>0</v>
      </c>
      <c r="CV11" s="4438">
        <f t="shared" si="32"/>
        <v>0</v>
      </c>
      <c r="CW11" s="4438">
        <f t="shared" si="32"/>
        <v>0</v>
      </c>
      <c r="CX11" s="4438">
        <f t="shared" si="32"/>
        <v>0</v>
      </c>
      <c r="CY11" s="4438">
        <f t="shared" si="32"/>
        <v>5196.4759674449797</v>
      </c>
      <c r="CZ11" s="4438">
        <f t="shared" si="32"/>
        <v>6095.3792936024092</v>
      </c>
      <c r="DA11" s="4438">
        <f t="shared" si="32"/>
        <v>6125.3085552841512</v>
      </c>
      <c r="DB11" s="4438">
        <f t="shared" si="32"/>
        <v>6140.4752644684868</v>
      </c>
      <c r="DC11" s="4438">
        <f t="shared" si="32"/>
        <v>6330.4202486125168</v>
      </c>
      <c r="DD11" s="4438">
        <f t="shared" si="32"/>
        <v>6285.0170741078346</v>
      </c>
      <c r="DE11" s="4438">
        <f t="shared" si="32"/>
        <v>4768.6240916369597</v>
      </c>
      <c r="DF11" s="4438">
        <f t="shared" si="32"/>
        <v>5599.3262869431383</v>
      </c>
      <c r="DG11" s="4438">
        <f t="shared" si="32"/>
        <v>5626.3521307153496</v>
      </c>
      <c r="DH11" s="4438">
        <f t="shared" si="32"/>
        <v>5638.9412780126604</v>
      </c>
      <c r="DI11" s="4438">
        <f t="shared" si="32"/>
        <v>5747.4908281980706</v>
      </c>
      <c r="DJ11" s="4438">
        <f t="shared" si="32"/>
        <v>5700.9185027493113</v>
      </c>
    </row>
    <row r="12" spans="1:114" ht="12.75">
      <c r="A12" s="108" t="s">
        <v>90</v>
      </c>
      <c r="B12" s="870" t="s">
        <v>227</v>
      </c>
      <c r="C12" s="1160">
        <f>SUM(C13:C16)</f>
        <v>253</v>
      </c>
      <c r="D12" s="1104">
        <f t="shared" ref="D12:AV12" si="33">SUM(D13:D16)</f>
        <v>270.71000000000004</v>
      </c>
      <c r="E12" s="1105">
        <f t="shared" si="33"/>
        <v>278.8313</v>
      </c>
      <c r="F12" s="1105">
        <f t="shared" si="33"/>
        <v>287.19623900000005</v>
      </c>
      <c r="G12" s="1105">
        <f t="shared" si="33"/>
        <v>293.26106192999998</v>
      </c>
      <c r="H12" s="1118">
        <f t="shared" si="33"/>
        <v>302.05889378789999</v>
      </c>
      <c r="I12" s="1221">
        <f t="shared" ref="I12:I48" si="34">D12-C12</f>
        <v>17.710000000000036</v>
      </c>
      <c r="J12" s="802">
        <f t="shared" ref="J12:J48" si="35">IFERROR((D12-C12)/C12,0)</f>
        <v>7.0000000000000145E-2</v>
      </c>
      <c r="K12" s="1160">
        <f t="shared" si="33"/>
        <v>0</v>
      </c>
      <c r="L12" s="1104">
        <f t="shared" si="33"/>
        <v>0</v>
      </c>
      <c r="M12" s="1105">
        <f t="shared" si="33"/>
        <v>0</v>
      </c>
      <c r="N12" s="1105">
        <f t="shared" si="33"/>
        <v>0</v>
      </c>
      <c r="O12" s="1105">
        <f t="shared" si="33"/>
        <v>0</v>
      </c>
      <c r="P12" s="1118">
        <f t="shared" si="33"/>
        <v>0</v>
      </c>
      <c r="Q12" s="1221">
        <f t="shared" ref="Q12:Q30" si="36">L12-K12</f>
        <v>0</v>
      </c>
      <c r="R12" s="854">
        <f t="shared" ref="R12:R30" si="37">IFERROR((L12-K12)/K12,0)</f>
        <v>0</v>
      </c>
      <c r="S12" s="1160">
        <f t="shared" si="33"/>
        <v>90</v>
      </c>
      <c r="T12" s="1104">
        <f t="shared" si="33"/>
        <v>96.300000000000011</v>
      </c>
      <c r="U12" s="1105">
        <f t="shared" si="33"/>
        <v>99.189000000000007</v>
      </c>
      <c r="V12" s="1105">
        <f t="shared" si="33"/>
        <v>102.16467</v>
      </c>
      <c r="W12" s="1105">
        <f t="shared" si="33"/>
        <v>105.2296101</v>
      </c>
      <c r="X12" s="1118">
        <f t="shared" si="33"/>
        <v>108.38649840300002</v>
      </c>
      <c r="Y12" s="1221">
        <f t="shared" ref="Y12:Y30" si="38">T12-S12</f>
        <v>6.3000000000000114</v>
      </c>
      <c r="Z12" s="854">
        <f t="shared" ref="Z12:Z30" si="39">IFERROR((T12-S12)/S12,0)</f>
        <v>7.0000000000000132E-2</v>
      </c>
      <c r="AA12" s="1160">
        <f t="shared" si="33"/>
        <v>0</v>
      </c>
      <c r="AB12" s="1104">
        <f t="shared" si="33"/>
        <v>0</v>
      </c>
      <c r="AC12" s="1105">
        <f t="shared" si="33"/>
        <v>0</v>
      </c>
      <c r="AD12" s="1105">
        <f t="shared" si="33"/>
        <v>0</v>
      </c>
      <c r="AE12" s="1105">
        <f t="shared" si="33"/>
        <v>0</v>
      </c>
      <c r="AF12" s="1118">
        <f t="shared" si="33"/>
        <v>0</v>
      </c>
      <c r="AG12" s="1221">
        <f t="shared" ref="AG12:AG48" si="40">AB12-AA12</f>
        <v>0</v>
      </c>
      <c r="AH12" s="802">
        <f t="shared" ref="AH12:AH48" si="41">IFERROR((AB12-AA12)/AA12,0)</f>
        <v>0</v>
      </c>
      <c r="AI12" s="1160">
        <f t="shared" si="33"/>
        <v>0</v>
      </c>
      <c r="AJ12" s="1104">
        <f t="shared" si="33"/>
        <v>0</v>
      </c>
      <c r="AK12" s="1105">
        <f t="shared" si="33"/>
        <v>0</v>
      </c>
      <c r="AL12" s="1105">
        <f t="shared" si="33"/>
        <v>0</v>
      </c>
      <c r="AM12" s="1105">
        <f t="shared" si="33"/>
        <v>0</v>
      </c>
      <c r="AN12" s="1118">
        <f t="shared" si="33"/>
        <v>0</v>
      </c>
      <c r="AO12" s="1221">
        <f t="shared" ref="AO12:AO48" si="42">AJ12-AI12</f>
        <v>0</v>
      </c>
      <c r="AP12" s="802">
        <f t="shared" ref="AP12:AP48" si="43">IFERROR((AJ12-AI12)/AI12,0)</f>
        <v>0</v>
      </c>
      <c r="AQ12" s="1160">
        <f t="shared" si="33"/>
        <v>0</v>
      </c>
      <c r="AR12" s="1104">
        <f t="shared" si="33"/>
        <v>0</v>
      </c>
      <c r="AS12" s="1105">
        <f t="shared" si="33"/>
        <v>0</v>
      </c>
      <c r="AT12" s="1105">
        <f t="shared" si="33"/>
        <v>0</v>
      </c>
      <c r="AU12" s="1105">
        <f t="shared" si="33"/>
        <v>0</v>
      </c>
      <c r="AV12" s="3058">
        <f t="shared" si="33"/>
        <v>0</v>
      </c>
      <c r="AW12" s="1160">
        <f t="shared" ref="AW12:BB12" si="44">SUM(AW13:AW16)</f>
        <v>343</v>
      </c>
      <c r="AX12" s="1104">
        <f t="shared" si="44"/>
        <v>367.01000000000005</v>
      </c>
      <c r="AY12" s="1105">
        <f t="shared" si="44"/>
        <v>378.02029999999996</v>
      </c>
      <c r="AZ12" s="1105">
        <f t="shared" si="44"/>
        <v>389.36090900000005</v>
      </c>
      <c r="BA12" s="1105">
        <f t="shared" si="44"/>
        <v>398.49067202999998</v>
      </c>
      <c r="BB12" s="1118">
        <f t="shared" si="44"/>
        <v>410.44539219089995</v>
      </c>
      <c r="BC12" s="1160">
        <f t="shared" ref="BC12:BH12" si="45">SUM(BC13:BC16)</f>
        <v>253</v>
      </c>
      <c r="BD12" s="1104">
        <f t="shared" si="45"/>
        <v>270.71000000000004</v>
      </c>
      <c r="BE12" s="1105">
        <f t="shared" si="45"/>
        <v>278.8313</v>
      </c>
      <c r="BF12" s="1105">
        <f t="shared" si="45"/>
        <v>287.19623900000005</v>
      </c>
      <c r="BG12" s="1105">
        <f t="shared" si="45"/>
        <v>293.26106192999998</v>
      </c>
      <c r="BH12" s="3058">
        <f t="shared" si="45"/>
        <v>302.05889378789999</v>
      </c>
      <c r="BI12" s="4422"/>
      <c r="BJ12" s="4438">
        <f t="shared" ref="BJ12:BJ75" si="46">IFERROR(C12/$D$1,0)</f>
        <v>129.35684594264328</v>
      </c>
      <c r="BK12" s="4438">
        <f t="shared" ref="BK12:BK75" si="47">IFERROR(D12/$D$1,0)</f>
        <v>138.41182515862832</v>
      </c>
      <c r="BL12" s="4438">
        <f t="shared" ref="BL12:BL75" si="48">IFERROR(E12/$D$1,0)</f>
        <v>142.56417991338716</v>
      </c>
      <c r="BM12" s="4438">
        <f t="shared" ref="BM12:BM75" si="49">IFERROR(F12/$D$1,0)</f>
        <v>146.84110531078881</v>
      </c>
      <c r="BN12" s="4438">
        <f t="shared" ref="BN12:BN75" si="50">IFERROR(G12/$D$1,0)</f>
        <v>149.94200003579041</v>
      </c>
      <c r="BO12" s="4438">
        <f t="shared" ref="BO12:BO75" si="51">IFERROR(H12/$D$1,0)</f>
        <v>154.44026003686415</v>
      </c>
      <c r="BP12" s="4438">
        <f t="shared" ref="BP12:BP75" si="52">IFERROR(I12/$D$1,0)</f>
        <v>9.054979215985048</v>
      </c>
      <c r="BQ12" s="4438">
        <f t="shared" ref="BQ12:BQ75" si="53">IFERROR(K12/$D$1,0)</f>
        <v>0</v>
      </c>
      <c r="BR12" s="4438">
        <f t="shared" ref="BR12:BR75" si="54">IFERROR(L12/$D$1,0)</f>
        <v>0</v>
      </c>
      <c r="BS12" s="4438">
        <f t="shared" ref="BS12:BS75" si="55">IFERROR(M12/$D$1,0)</f>
        <v>0</v>
      </c>
      <c r="BT12" s="4438">
        <f t="shared" ref="BT12:BT75" si="56">IFERROR(N12/$D$1,0)</f>
        <v>0</v>
      </c>
      <c r="BU12" s="4438">
        <f t="shared" ref="BU12:BU75" si="57">IFERROR(O12/$D$1,0)</f>
        <v>0</v>
      </c>
      <c r="BV12" s="4438">
        <f t="shared" ref="BV12:BV75" si="58">IFERROR(P12/$D$1,0)</f>
        <v>0</v>
      </c>
      <c r="BW12" s="4438">
        <f t="shared" ref="BW12:BW75" si="59">IFERROR(Q12/$D$1,0)</f>
        <v>0</v>
      </c>
      <c r="BX12" s="4438">
        <f t="shared" ref="BX12:BX75" si="60">IFERROR(S12/$D$1,0)</f>
        <v>46.016269307659663</v>
      </c>
      <c r="BY12" s="4438">
        <f t="shared" ref="BY12:BY75" si="61">IFERROR(T12/$D$1,0)</f>
        <v>49.237408159195844</v>
      </c>
      <c r="BZ12" s="4438">
        <f t="shared" ref="BZ12:BZ75" si="62">IFERROR(U12/$D$1,0)</f>
        <v>50.714530403971722</v>
      </c>
      <c r="CA12" s="4438">
        <f t="shared" ref="CA12:CA75" si="63">IFERROR(V12/$D$1,0)</f>
        <v>52.235966316090867</v>
      </c>
      <c r="CB12" s="4438">
        <f t="shared" ref="CB12:CB75" si="64">IFERROR(W12/$D$1,0)</f>
        <v>53.803045305573598</v>
      </c>
      <c r="CC12" s="4438">
        <f t="shared" ref="CC12:CC75" si="65">IFERROR(X12/$D$1,0)</f>
        <v>55.417136664740809</v>
      </c>
      <c r="CD12" s="4438">
        <f t="shared" ref="CD12:CD75" si="66">IFERROR(Y12/$D$1,0)</f>
        <v>3.2211388515361823</v>
      </c>
      <c r="CE12" s="4438">
        <f t="shared" ref="CE12:CE75" si="67">IFERROR(AA12/$D$1,0)</f>
        <v>0</v>
      </c>
      <c r="CF12" s="4438">
        <f t="shared" ref="CF12:CF75" si="68">IFERROR(AB12/$D$1,0)</f>
        <v>0</v>
      </c>
      <c r="CG12" s="4438">
        <f t="shared" ref="CG12:CG75" si="69">IFERROR(AC12/$D$1,0)</f>
        <v>0</v>
      </c>
      <c r="CH12" s="4438">
        <f t="shared" ref="CH12:CH75" si="70">IFERROR(AD12/$D$1,0)</f>
        <v>0</v>
      </c>
      <c r="CI12" s="4438">
        <f t="shared" ref="CI12:CI75" si="71">IFERROR(AE12/$D$1,0)</f>
        <v>0</v>
      </c>
      <c r="CJ12" s="4438">
        <f t="shared" ref="CJ12:CJ75" si="72">IFERROR(AF12/$D$1,0)</f>
        <v>0</v>
      </c>
      <c r="CK12" s="4438">
        <f t="shared" ref="CK12:CK75" si="73">IFERROR(AG12/$D$1,0)</f>
        <v>0</v>
      </c>
      <c r="CL12" s="4438">
        <f t="shared" ref="CL12:CL75" si="74">IFERROR(AI12/$D$1,0)</f>
        <v>0</v>
      </c>
      <c r="CM12" s="4438">
        <f t="shared" ref="CM12:CM75" si="75">IFERROR(AJ12/$D$1,0)</f>
        <v>0</v>
      </c>
      <c r="CN12" s="4438">
        <f t="shared" ref="CN12:CN75" si="76">IFERROR(AK12/$D$1,0)</f>
        <v>0</v>
      </c>
      <c r="CO12" s="4438">
        <f t="shared" ref="CO12:CO75" si="77">IFERROR(AL12/$D$1,0)</f>
        <v>0</v>
      </c>
      <c r="CP12" s="4438">
        <f t="shared" ref="CP12:CP75" si="78">IFERROR(AM12/$D$1,0)</f>
        <v>0</v>
      </c>
      <c r="CQ12" s="4438">
        <f t="shared" ref="CQ12:CQ75" si="79">IFERROR(AN12/$D$1,0)</f>
        <v>0</v>
      </c>
      <c r="CR12" s="4438">
        <f t="shared" ref="CR12:CR75" si="80">IFERROR(AO12/$D$1,0)</f>
        <v>0</v>
      </c>
      <c r="CS12" s="4438">
        <f t="shared" ref="CS12:CS75" si="81">IFERROR(AQ12/$D$1,0)</f>
        <v>0</v>
      </c>
      <c r="CT12" s="4438">
        <f t="shared" ref="CT12:CT75" si="82">IFERROR(AR12/$D$1,0)</f>
        <v>0</v>
      </c>
      <c r="CU12" s="4438">
        <f t="shared" ref="CU12:CU75" si="83">IFERROR(AS12/$D$1,0)</f>
        <v>0</v>
      </c>
      <c r="CV12" s="4438">
        <f t="shared" ref="CV12:CV75" si="84">IFERROR(AT12/$D$1,0)</f>
        <v>0</v>
      </c>
      <c r="CW12" s="4438">
        <f t="shared" ref="CW12:CW75" si="85">IFERROR(AU12/$D$1,0)</f>
        <v>0</v>
      </c>
      <c r="CX12" s="4438">
        <f t="shared" ref="CX12:CX75" si="86">IFERROR(AV12/$D$1,0)</f>
        <v>0</v>
      </c>
      <c r="CY12" s="4438">
        <f t="shared" ref="CY12:CY75" si="87">IFERROR(AW12/$D$1,0)</f>
        <v>175.37311525030293</v>
      </c>
      <c r="CZ12" s="4438">
        <f t="shared" ref="CZ12:CZ75" si="88">IFERROR(AX12/$D$1,0)</f>
        <v>187.64923331782418</v>
      </c>
      <c r="DA12" s="4438">
        <f t="shared" ref="DA12:DA75" si="89">IFERROR(AY12/$D$1,0)</f>
        <v>193.27871031735884</v>
      </c>
      <c r="DB12" s="4438">
        <f t="shared" ref="DB12:DB75" si="90">IFERROR(AZ12/$D$1,0)</f>
        <v>199.07707162687967</v>
      </c>
      <c r="DC12" s="4438">
        <f t="shared" ref="DC12:DC75" si="91">IFERROR(BA12/$D$1,0)</f>
        <v>203.74504534136403</v>
      </c>
      <c r="DD12" s="4438">
        <f t="shared" ref="DD12:DD75" si="92">IFERROR(BB12/$D$1,0)</f>
        <v>209.85739670160493</v>
      </c>
      <c r="DE12" s="4438">
        <f t="shared" ref="DE12:DE75" si="93">IFERROR(BC12/$D$1,0)</f>
        <v>129.35684594264328</v>
      </c>
      <c r="DF12" s="4438">
        <f t="shared" ref="DF12:DF75" si="94">IFERROR(BD12/$D$1,0)</f>
        <v>138.41182515862832</v>
      </c>
      <c r="DG12" s="4438">
        <f t="shared" ref="DG12:DG75" si="95">IFERROR(BE12/$D$1,0)</f>
        <v>142.56417991338716</v>
      </c>
      <c r="DH12" s="4438">
        <f t="shared" ref="DH12:DH75" si="96">IFERROR(BF12/$D$1,0)</f>
        <v>146.84110531078881</v>
      </c>
      <c r="DI12" s="4438">
        <f t="shared" ref="DI12:DI75" si="97">IFERROR(BG12/$D$1,0)</f>
        <v>149.94200003579041</v>
      </c>
      <c r="DJ12" s="4438">
        <f t="shared" ref="DJ12:DJ75" si="98">IFERROR(BH12/$D$1,0)</f>
        <v>154.44026003686415</v>
      </c>
    </row>
    <row r="13" spans="1:114" s="673" customFormat="1" ht="12.75">
      <c r="A13" s="818" t="s">
        <v>335</v>
      </c>
      <c r="B13" s="3850" t="s">
        <v>228</v>
      </c>
      <c r="C13" s="4600">
        <v>216</v>
      </c>
      <c r="D13" s="404">
        <f>C13*1.07</f>
        <v>231.12</v>
      </c>
      <c r="E13" s="402">
        <f>D13*1.03</f>
        <v>238.05360000000002</v>
      </c>
      <c r="F13" s="402">
        <f t="shared" ref="F13:H13" si="99">E13*1.03</f>
        <v>245.19520800000004</v>
      </c>
      <c r="G13" s="402">
        <v>250</v>
      </c>
      <c r="H13" s="264">
        <f t="shared" si="99"/>
        <v>257.5</v>
      </c>
      <c r="I13" s="1222">
        <f t="shared" si="34"/>
        <v>15.120000000000005</v>
      </c>
      <c r="J13" s="1170">
        <f t="shared" si="35"/>
        <v>7.0000000000000021E-2</v>
      </c>
      <c r="K13" s="400"/>
      <c r="L13" s="404">
        <f>K13*1.07</f>
        <v>0</v>
      </c>
      <c r="M13" s="402">
        <f>L13*1.03</f>
        <v>0</v>
      </c>
      <c r="N13" s="402">
        <f t="shared" ref="N13:P13" si="100">M13*1.03</f>
        <v>0</v>
      </c>
      <c r="O13" s="402">
        <f t="shared" si="100"/>
        <v>0</v>
      </c>
      <c r="P13" s="264">
        <f t="shared" si="100"/>
        <v>0</v>
      </c>
      <c r="Q13" s="1222">
        <f t="shared" si="36"/>
        <v>0</v>
      </c>
      <c r="R13" s="1166">
        <f t="shared" si="37"/>
        <v>0</v>
      </c>
      <c r="S13" s="4600">
        <v>20</v>
      </c>
      <c r="T13" s="404">
        <f>S13*1.07</f>
        <v>21.400000000000002</v>
      </c>
      <c r="U13" s="402">
        <f>T13*1.03</f>
        <v>22.042000000000002</v>
      </c>
      <c r="V13" s="402">
        <f t="shared" ref="V13:X13" si="101">U13*1.03</f>
        <v>22.703260000000004</v>
      </c>
      <c r="W13" s="402">
        <f t="shared" si="101"/>
        <v>23.384357800000004</v>
      </c>
      <c r="X13" s="402">
        <f t="shared" si="101"/>
        <v>24.085888534000006</v>
      </c>
      <c r="Y13" s="1222">
        <f t="shared" si="38"/>
        <v>1.4000000000000021</v>
      </c>
      <c r="Z13" s="1166">
        <f t="shared" si="39"/>
        <v>7.0000000000000104E-2</v>
      </c>
      <c r="AA13" s="400"/>
      <c r="AB13" s="404"/>
      <c r="AC13" s="402"/>
      <c r="AD13" s="402"/>
      <c r="AE13" s="402"/>
      <c r="AF13" s="264"/>
      <c r="AG13" s="1222">
        <f t="shared" si="40"/>
        <v>0</v>
      </c>
      <c r="AH13" s="1170">
        <f t="shared" si="41"/>
        <v>0</v>
      </c>
      <c r="AI13" s="400"/>
      <c r="AJ13" s="404"/>
      <c r="AK13" s="402"/>
      <c r="AL13" s="402"/>
      <c r="AM13" s="402"/>
      <c r="AN13" s="264"/>
      <c r="AO13" s="1222">
        <f t="shared" si="42"/>
        <v>0</v>
      </c>
      <c r="AP13" s="1170">
        <f t="shared" si="43"/>
        <v>0</v>
      </c>
      <c r="AQ13" s="400"/>
      <c r="AR13" s="404"/>
      <c r="AS13" s="402"/>
      <c r="AT13" s="402"/>
      <c r="AU13" s="402"/>
      <c r="AV13" s="403"/>
      <c r="AW13" s="3059">
        <f>C13+K13+S13+AA13+AI13</f>
        <v>236</v>
      </c>
      <c r="AX13" s="3060">
        <f t="shared" ref="AX13:BB13" si="102">D13+L13+T13+AB13+AJ13</f>
        <v>252.52</v>
      </c>
      <c r="AY13" s="3061">
        <f t="shared" si="102"/>
        <v>260.09559999999999</v>
      </c>
      <c r="AZ13" s="3061">
        <f t="shared" si="102"/>
        <v>267.89846800000004</v>
      </c>
      <c r="BA13" s="3061">
        <f t="shared" si="102"/>
        <v>273.38435779999998</v>
      </c>
      <c r="BB13" s="3062">
        <f t="shared" si="102"/>
        <v>281.58588853399999</v>
      </c>
      <c r="BC13" s="3059">
        <f>C13+AA13+AI13</f>
        <v>216</v>
      </c>
      <c r="BD13" s="3060">
        <f t="shared" ref="BD13:BG13" si="103">D13+AB13+AJ13</f>
        <v>231.12</v>
      </c>
      <c r="BE13" s="3061">
        <f t="shared" si="103"/>
        <v>238.05360000000002</v>
      </c>
      <c r="BF13" s="3061">
        <f t="shared" si="103"/>
        <v>245.19520800000004</v>
      </c>
      <c r="BG13" s="3061">
        <f t="shared" si="103"/>
        <v>250</v>
      </c>
      <c r="BH13" s="3063">
        <f>H13+AF13+AN13</f>
        <v>257.5</v>
      </c>
      <c r="BI13" s="4422"/>
      <c r="BJ13" s="4438">
        <f t="shared" si="46"/>
        <v>110.43904633838319</v>
      </c>
      <c r="BK13" s="4438">
        <f t="shared" si="47"/>
        <v>118.16977958207002</v>
      </c>
      <c r="BL13" s="4438">
        <f t="shared" si="48"/>
        <v>121.71487296953212</v>
      </c>
      <c r="BM13" s="4438">
        <f t="shared" si="49"/>
        <v>125.3663191586181</v>
      </c>
      <c r="BN13" s="4438">
        <f t="shared" si="50"/>
        <v>127.82297029905462</v>
      </c>
      <c r="BO13" s="4438">
        <f t="shared" si="51"/>
        <v>131.65765940802626</v>
      </c>
      <c r="BP13" s="4438">
        <f t="shared" si="52"/>
        <v>7.7307332436868261</v>
      </c>
      <c r="BQ13" s="4438">
        <f t="shared" si="53"/>
        <v>0</v>
      </c>
      <c r="BR13" s="4438">
        <f t="shared" si="54"/>
        <v>0</v>
      </c>
      <c r="BS13" s="4438">
        <f t="shared" si="55"/>
        <v>0</v>
      </c>
      <c r="BT13" s="4438">
        <f t="shared" si="56"/>
        <v>0</v>
      </c>
      <c r="BU13" s="4438">
        <f t="shared" si="57"/>
        <v>0</v>
      </c>
      <c r="BV13" s="4438">
        <f t="shared" si="58"/>
        <v>0</v>
      </c>
      <c r="BW13" s="4438">
        <f t="shared" si="59"/>
        <v>0</v>
      </c>
      <c r="BX13" s="4438">
        <f t="shared" si="60"/>
        <v>10.22583762392437</v>
      </c>
      <c r="BY13" s="4438">
        <f t="shared" si="61"/>
        <v>10.941646257599077</v>
      </c>
      <c r="BZ13" s="4438">
        <f t="shared" si="62"/>
        <v>11.269895645327049</v>
      </c>
      <c r="CA13" s="4438">
        <f t="shared" si="63"/>
        <v>11.607992514686861</v>
      </c>
      <c r="CB13" s="4438">
        <f t="shared" si="64"/>
        <v>11.956232290127467</v>
      </c>
      <c r="CC13" s="4438">
        <f t="shared" si="65"/>
        <v>12.314919258831292</v>
      </c>
      <c r="CD13" s="4438">
        <f t="shared" si="66"/>
        <v>0.71580863367470704</v>
      </c>
      <c r="CE13" s="4438">
        <f t="shared" si="67"/>
        <v>0</v>
      </c>
      <c r="CF13" s="4438">
        <f t="shared" si="68"/>
        <v>0</v>
      </c>
      <c r="CG13" s="4438">
        <f t="shared" si="69"/>
        <v>0</v>
      </c>
      <c r="CH13" s="4438">
        <f t="shared" si="70"/>
        <v>0</v>
      </c>
      <c r="CI13" s="4438">
        <f t="shared" si="71"/>
        <v>0</v>
      </c>
      <c r="CJ13" s="4438">
        <f t="shared" si="72"/>
        <v>0</v>
      </c>
      <c r="CK13" s="4438">
        <f t="shared" si="73"/>
        <v>0</v>
      </c>
      <c r="CL13" s="4438">
        <f t="shared" si="74"/>
        <v>0</v>
      </c>
      <c r="CM13" s="4438">
        <f t="shared" si="75"/>
        <v>0</v>
      </c>
      <c r="CN13" s="4438">
        <f t="shared" si="76"/>
        <v>0</v>
      </c>
      <c r="CO13" s="4438">
        <f t="shared" si="77"/>
        <v>0</v>
      </c>
      <c r="CP13" s="4438">
        <f t="shared" si="78"/>
        <v>0</v>
      </c>
      <c r="CQ13" s="4438">
        <f t="shared" si="79"/>
        <v>0</v>
      </c>
      <c r="CR13" s="4438">
        <f t="shared" si="80"/>
        <v>0</v>
      </c>
      <c r="CS13" s="4438">
        <f t="shared" si="81"/>
        <v>0</v>
      </c>
      <c r="CT13" s="4438">
        <f t="shared" si="82"/>
        <v>0</v>
      </c>
      <c r="CU13" s="4438">
        <f t="shared" si="83"/>
        <v>0</v>
      </c>
      <c r="CV13" s="4438">
        <f t="shared" si="84"/>
        <v>0</v>
      </c>
      <c r="CW13" s="4438">
        <f t="shared" si="85"/>
        <v>0</v>
      </c>
      <c r="CX13" s="4438">
        <f t="shared" si="86"/>
        <v>0</v>
      </c>
      <c r="CY13" s="4438">
        <f t="shared" si="87"/>
        <v>120.66488396230757</v>
      </c>
      <c r="CZ13" s="4438">
        <f t="shared" si="88"/>
        <v>129.1114258396691</v>
      </c>
      <c r="DA13" s="4438">
        <f t="shared" si="89"/>
        <v>132.98476861485915</v>
      </c>
      <c r="DB13" s="4438">
        <f t="shared" si="90"/>
        <v>136.97431167330495</v>
      </c>
      <c r="DC13" s="4438">
        <f t="shared" si="91"/>
        <v>139.77920258918206</v>
      </c>
      <c r="DD13" s="4438">
        <f t="shared" si="92"/>
        <v>143.97257866685754</v>
      </c>
      <c r="DE13" s="4438">
        <f t="shared" si="93"/>
        <v>110.43904633838319</v>
      </c>
      <c r="DF13" s="4438">
        <f t="shared" si="94"/>
        <v>118.16977958207002</v>
      </c>
      <c r="DG13" s="4438">
        <f t="shared" si="95"/>
        <v>121.71487296953212</v>
      </c>
      <c r="DH13" s="4438">
        <f t="shared" si="96"/>
        <v>125.3663191586181</v>
      </c>
      <c r="DI13" s="4438">
        <f t="shared" si="97"/>
        <v>127.82297029905462</v>
      </c>
      <c r="DJ13" s="4438">
        <f t="shared" si="98"/>
        <v>131.65765940802626</v>
      </c>
    </row>
    <row r="14" spans="1:114" s="673" customFormat="1" ht="12.75">
      <c r="A14" s="818" t="s">
        <v>336</v>
      </c>
      <c r="B14" s="3850" t="s">
        <v>229</v>
      </c>
      <c r="C14" s="4600">
        <v>0</v>
      </c>
      <c r="D14" s="404">
        <f t="shared" ref="D14:D16" si="104">C14*1.07</f>
        <v>0</v>
      </c>
      <c r="E14" s="402">
        <f t="shared" ref="E14:H14" si="105">D14*1.03</f>
        <v>0</v>
      </c>
      <c r="F14" s="402">
        <f t="shared" si="105"/>
        <v>0</v>
      </c>
      <c r="G14" s="402">
        <f t="shared" si="105"/>
        <v>0</v>
      </c>
      <c r="H14" s="264">
        <f t="shared" si="105"/>
        <v>0</v>
      </c>
      <c r="I14" s="1222">
        <f t="shared" si="34"/>
        <v>0</v>
      </c>
      <c r="J14" s="1170">
        <f t="shared" si="35"/>
        <v>0</v>
      </c>
      <c r="K14" s="400"/>
      <c r="L14" s="404">
        <f t="shared" ref="L14:L16" si="106">K14*1.07</f>
        <v>0</v>
      </c>
      <c r="M14" s="402">
        <f t="shared" ref="M14:P14" si="107">L14*1.03</f>
        <v>0</v>
      </c>
      <c r="N14" s="402">
        <f t="shared" si="107"/>
        <v>0</v>
      </c>
      <c r="O14" s="402">
        <f t="shared" si="107"/>
        <v>0</v>
      </c>
      <c r="P14" s="264">
        <f t="shared" si="107"/>
        <v>0</v>
      </c>
      <c r="Q14" s="1222">
        <f t="shared" si="36"/>
        <v>0</v>
      </c>
      <c r="R14" s="1166">
        <f t="shared" si="37"/>
        <v>0</v>
      </c>
      <c r="S14" s="4600">
        <v>0</v>
      </c>
      <c r="T14" s="404">
        <f t="shared" ref="T14:T16" si="108">S14*1.07</f>
        <v>0</v>
      </c>
      <c r="U14" s="402">
        <f t="shared" ref="U14:X14" si="109">T14*1.03</f>
        <v>0</v>
      </c>
      <c r="V14" s="402">
        <f t="shared" si="109"/>
        <v>0</v>
      </c>
      <c r="W14" s="402">
        <f t="shared" si="109"/>
        <v>0</v>
      </c>
      <c r="X14" s="402">
        <f t="shared" si="109"/>
        <v>0</v>
      </c>
      <c r="Y14" s="1222">
        <f t="shared" si="38"/>
        <v>0</v>
      </c>
      <c r="Z14" s="1166">
        <f t="shared" si="39"/>
        <v>0</v>
      </c>
      <c r="AA14" s="400"/>
      <c r="AB14" s="404"/>
      <c r="AC14" s="402"/>
      <c r="AD14" s="402"/>
      <c r="AE14" s="402"/>
      <c r="AF14" s="264"/>
      <c r="AG14" s="1222">
        <f t="shared" si="40"/>
        <v>0</v>
      </c>
      <c r="AH14" s="1170">
        <f t="shared" si="41"/>
        <v>0</v>
      </c>
      <c r="AI14" s="400"/>
      <c r="AJ14" s="404"/>
      <c r="AK14" s="402"/>
      <c r="AL14" s="402"/>
      <c r="AM14" s="402"/>
      <c r="AN14" s="264"/>
      <c r="AO14" s="1222">
        <f t="shared" si="42"/>
        <v>0</v>
      </c>
      <c r="AP14" s="1170">
        <f t="shared" si="43"/>
        <v>0</v>
      </c>
      <c r="AQ14" s="400"/>
      <c r="AR14" s="404"/>
      <c r="AS14" s="402"/>
      <c r="AT14" s="402"/>
      <c r="AU14" s="402"/>
      <c r="AV14" s="403"/>
      <c r="AW14" s="3059">
        <f t="shared" ref="AW14:AW17" si="110">C14+K14+S14+AA14+AI14</f>
        <v>0</v>
      </c>
      <c r="AX14" s="3060">
        <f t="shared" ref="AX14:AX17" si="111">D14+L14+T14+AB14+AJ14</f>
        <v>0</v>
      </c>
      <c r="AY14" s="3061">
        <f t="shared" ref="AY14:AY17" si="112">E14+M14+U14+AC14+AK14</f>
        <v>0</v>
      </c>
      <c r="AZ14" s="3061">
        <f t="shared" ref="AZ14:AZ17" si="113">F14+N14+V14+AD14+AL14</f>
        <v>0</v>
      </c>
      <c r="BA14" s="3061">
        <f t="shared" ref="BA14:BA17" si="114">G14+O14+W14+AE14+AM14</f>
        <v>0</v>
      </c>
      <c r="BB14" s="3062">
        <f t="shared" ref="BB14:BB17" si="115">H14+P14+X14+AF14+AN14</f>
        <v>0</v>
      </c>
      <c r="BC14" s="3059">
        <f t="shared" ref="BC14:BC17" si="116">C14+AA14+AI14</f>
        <v>0</v>
      </c>
      <c r="BD14" s="3060">
        <f t="shared" ref="BD14:BD17" si="117">D14+AB14+AJ14</f>
        <v>0</v>
      </c>
      <c r="BE14" s="3061">
        <f t="shared" ref="BE14:BE17" si="118">E14+AC14+AK14</f>
        <v>0</v>
      </c>
      <c r="BF14" s="3061">
        <f t="shared" ref="BF14:BF17" si="119">F14+AD14+AL14</f>
        <v>0</v>
      </c>
      <c r="BG14" s="3061">
        <f t="shared" ref="BG14:BG17" si="120">G14+AE14+AM14</f>
        <v>0</v>
      </c>
      <c r="BH14" s="3063">
        <f t="shared" ref="BH14:BH17" si="121">H14+AF14+AN14</f>
        <v>0</v>
      </c>
      <c r="BI14" s="4422"/>
      <c r="BJ14" s="4438">
        <f t="shared" si="46"/>
        <v>0</v>
      </c>
      <c r="BK14" s="4438">
        <f t="shared" si="47"/>
        <v>0</v>
      </c>
      <c r="BL14" s="4438">
        <f t="shared" si="48"/>
        <v>0</v>
      </c>
      <c r="BM14" s="4438">
        <f t="shared" si="49"/>
        <v>0</v>
      </c>
      <c r="BN14" s="4438">
        <f t="shared" si="50"/>
        <v>0</v>
      </c>
      <c r="BO14" s="4438">
        <f t="shared" si="51"/>
        <v>0</v>
      </c>
      <c r="BP14" s="4438">
        <f t="shared" si="52"/>
        <v>0</v>
      </c>
      <c r="BQ14" s="4438">
        <f t="shared" si="53"/>
        <v>0</v>
      </c>
      <c r="BR14" s="4438">
        <f t="shared" si="54"/>
        <v>0</v>
      </c>
      <c r="BS14" s="4438">
        <f t="shared" si="55"/>
        <v>0</v>
      </c>
      <c r="BT14" s="4438">
        <f t="shared" si="56"/>
        <v>0</v>
      </c>
      <c r="BU14" s="4438">
        <f t="shared" si="57"/>
        <v>0</v>
      </c>
      <c r="BV14" s="4438">
        <f t="shared" si="58"/>
        <v>0</v>
      </c>
      <c r="BW14" s="4438">
        <f t="shared" si="59"/>
        <v>0</v>
      </c>
      <c r="BX14" s="4438">
        <f t="shared" si="60"/>
        <v>0</v>
      </c>
      <c r="BY14" s="4438">
        <f t="shared" si="61"/>
        <v>0</v>
      </c>
      <c r="BZ14" s="4438">
        <f t="shared" si="62"/>
        <v>0</v>
      </c>
      <c r="CA14" s="4438">
        <f t="shared" si="63"/>
        <v>0</v>
      </c>
      <c r="CB14" s="4438">
        <f t="shared" si="64"/>
        <v>0</v>
      </c>
      <c r="CC14" s="4438">
        <f t="shared" si="65"/>
        <v>0</v>
      </c>
      <c r="CD14" s="4438">
        <f t="shared" si="66"/>
        <v>0</v>
      </c>
      <c r="CE14" s="4438">
        <f t="shared" si="67"/>
        <v>0</v>
      </c>
      <c r="CF14" s="4438">
        <f t="shared" si="68"/>
        <v>0</v>
      </c>
      <c r="CG14" s="4438">
        <f t="shared" si="69"/>
        <v>0</v>
      </c>
      <c r="CH14" s="4438">
        <f t="shared" si="70"/>
        <v>0</v>
      </c>
      <c r="CI14" s="4438">
        <f t="shared" si="71"/>
        <v>0</v>
      </c>
      <c r="CJ14" s="4438">
        <f t="shared" si="72"/>
        <v>0</v>
      </c>
      <c r="CK14" s="4438">
        <f t="shared" si="73"/>
        <v>0</v>
      </c>
      <c r="CL14" s="4438">
        <f t="shared" si="74"/>
        <v>0</v>
      </c>
      <c r="CM14" s="4438">
        <f t="shared" si="75"/>
        <v>0</v>
      </c>
      <c r="CN14" s="4438">
        <f t="shared" si="76"/>
        <v>0</v>
      </c>
      <c r="CO14" s="4438">
        <f t="shared" si="77"/>
        <v>0</v>
      </c>
      <c r="CP14" s="4438">
        <f t="shared" si="78"/>
        <v>0</v>
      </c>
      <c r="CQ14" s="4438">
        <f t="shared" si="79"/>
        <v>0</v>
      </c>
      <c r="CR14" s="4438">
        <f t="shared" si="80"/>
        <v>0</v>
      </c>
      <c r="CS14" s="4438">
        <f t="shared" si="81"/>
        <v>0</v>
      </c>
      <c r="CT14" s="4438">
        <f t="shared" si="82"/>
        <v>0</v>
      </c>
      <c r="CU14" s="4438">
        <f t="shared" si="83"/>
        <v>0</v>
      </c>
      <c r="CV14" s="4438">
        <f t="shared" si="84"/>
        <v>0</v>
      </c>
      <c r="CW14" s="4438">
        <f t="shared" si="85"/>
        <v>0</v>
      </c>
      <c r="CX14" s="4438">
        <f t="shared" si="86"/>
        <v>0</v>
      </c>
      <c r="CY14" s="4438">
        <f t="shared" si="87"/>
        <v>0</v>
      </c>
      <c r="CZ14" s="4438">
        <f t="shared" si="88"/>
        <v>0</v>
      </c>
      <c r="DA14" s="4438">
        <f t="shared" si="89"/>
        <v>0</v>
      </c>
      <c r="DB14" s="4438">
        <f t="shared" si="90"/>
        <v>0</v>
      </c>
      <c r="DC14" s="4438">
        <f t="shared" si="91"/>
        <v>0</v>
      </c>
      <c r="DD14" s="4438">
        <f t="shared" si="92"/>
        <v>0</v>
      </c>
      <c r="DE14" s="4438">
        <f t="shared" si="93"/>
        <v>0</v>
      </c>
      <c r="DF14" s="4438">
        <f t="shared" si="94"/>
        <v>0</v>
      </c>
      <c r="DG14" s="4438">
        <f t="shared" si="95"/>
        <v>0</v>
      </c>
      <c r="DH14" s="4438">
        <f t="shared" si="96"/>
        <v>0</v>
      </c>
      <c r="DI14" s="4438">
        <f t="shared" si="97"/>
        <v>0</v>
      </c>
      <c r="DJ14" s="4438">
        <f t="shared" si="98"/>
        <v>0</v>
      </c>
    </row>
    <row r="15" spans="1:114" s="673" customFormat="1" ht="12.75">
      <c r="A15" s="818" t="s">
        <v>337</v>
      </c>
      <c r="B15" s="3851" t="s">
        <v>230</v>
      </c>
      <c r="C15" s="4600">
        <v>0</v>
      </c>
      <c r="D15" s="404">
        <f t="shared" si="104"/>
        <v>0</v>
      </c>
      <c r="E15" s="402">
        <f t="shared" ref="E15:H15" si="122">D15*1.03</f>
        <v>0</v>
      </c>
      <c r="F15" s="402">
        <f t="shared" si="122"/>
        <v>0</v>
      </c>
      <c r="G15" s="402">
        <f t="shared" si="122"/>
        <v>0</v>
      </c>
      <c r="H15" s="264">
        <f t="shared" si="122"/>
        <v>0</v>
      </c>
      <c r="I15" s="1222">
        <f t="shared" si="34"/>
        <v>0</v>
      </c>
      <c r="J15" s="1170">
        <f t="shared" si="35"/>
        <v>0</v>
      </c>
      <c r="K15" s="400"/>
      <c r="L15" s="404">
        <f t="shared" si="106"/>
        <v>0</v>
      </c>
      <c r="M15" s="402">
        <f t="shared" ref="M15:P15" si="123">L15*1.03</f>
        <v>0</v>
      </c>
      <c r="N15" s="402">
        <f t="shared" si="123"/>
        <v>0</v>
      </c>
      <c r="O15" s="402">
        <f t="shared" si="123"/>
        <v>0</v>
      </c>
      <c r="P15" s="264">
        <f t="shared" si="123"/>
        <v>0</v>
      </c>
      <c r="Q15" s="1222">
        <f t="shared" si="36"/>
        <v>0</v>
      </c>
      <c r="R15" s="1166">
        <f t="shared" si="37"/>
        <v>0</v>
      </c>
      <c r="S15" s="4600">
        <v>60</v>
      </c>
      <c r="T15" s="404">
        <f t="shared" si="108"/>
        <v>64.2</v>
      </c>
      <c r="U15" s="402">
        <f t="shared" ref="U15:X15" si="124">T15*1.03</f>
        <v>66.126000000000005</v>
      </c>
      <c r="V15" s="402">
        <f t="shared" si="124"/>
        <v>68.109780000000001</v>
      </c>
      <c r="W15" s="402">
        <f t="shared" si="124"/>
        <v>70.153073399999997</v>
      </c>
      <c r="X15" s="402">
        <f t="shared" si="124"/>
        <v>72.257665602000003</v>
      </c>
      <c r="Y15" s="1222">
        <f t="shared" si="38"/>
        <v>4.2000000000000028</v>
      </c>
      <c r="Z15" s="1166">
        <f t="shared" si="39"/>
        <v>7.0000000000000048E-2</v>
      </c>
      <c r="AA15" s="400"/>
      <c r="AB15" s="404"/>
      <c r="AC15" s="402"/>
      <c r="AD15" s="402"/>
      <c r="AE15" s="402"/>
      <c r="AF15" s="264"/>
      <c r="AG15" s="1222">
        <f t="shared" si="40"/>
        <v>0</v>
      </c>
      <c r="AH15" s="1170">
        <f t="shared" si="41"/>
        <v>0</v>
      </c>
      <c r="AI15" s="400"/>
      <c r="AJ15" s="404"/>
      <c r="AK15" s="402"/>
      <c r="AL15" s="402"/>
      <c r="AM15" s="402"/>
      <c r="AN15" s="264"/>
      <c r="AO15" s="1222">
        <f t="shared" si="42"/>
        <v>0</v>
      </c>
      <c r="AP15" s="1170">
        <f t="shared" si="43"/>
        <v>0</v>
      </c>
      <c r="AQ15" s="400"/>
      <c r="AR15" s="404"/>
      <c r="AS15" s="402"/>
      <c r="AT15" s="402"/>
      <c r="AU15" s="402"/>
      <c r="AV15" s="403"/>
      <c r="AW15" s="3059">
        <f t="shared" si="110"/>
        <v>60</v>
      </c>
      <c r="AX15" s="3060">
        <f t="shared" si="111"/>
        <v>64.2</v>
      </c>
      <c r="AY15" s="3061">
        <f t="shared" si="112"/>
        <v>66.126000000000005</v>
      </c>
      <c r="AZ15" s="3061">
        <f t="shared" si="113"/>
        <v>68.109780000000001</v>
      </c>
      <c r="BA15" s="3061">
        <f t="shared" si="114"/>
        <v>70.153073399999997</v>
      </c>
      <c r="BB15" s="3062">
        <f t="shared" si="115"/>
        <v>72.257665602000003</v>
      </c>
      <c r="BC15" s="3059">
        <f t="shared" si="116"/>
        <v>0</v>
      </c>
      <c r="BD15" s="3060">
        <f t="shared" si="117"/>
        <v>0</v>
      </c>
      <c r="BE15" s="3061">
        <f t="shared" si="118"/>
        <v>0</v>
      </c>
      <c r="BF15" s="3061">
        <f t="shared" si="119"/>
        <v>0</v>
      </c>
      <c r="BG15" s="3061">
        <f t="shared" si="120"/>
        <v>0</v>
      </c>
      <c r="BH15" s="3063">
        <f t="shared" si="121"/>
        <v>0</v>
      </c>
      <c r="BI15" s="4422"/>
      <c r="BJ15" s="4438">
        <f t="shared" si="46"/>
        <v>0</v>
      </c>
      <c r="BK15" s="4438">
        <f t="shared" si="47"/>
        <v>0</v>
      </c>
      <c r="BL15" s="4438">
        <f t="shared" si="48"/>
        <v>0</v>
      </c>
      <c r="BM15" s="4438">
        <f t="shared" si="49"/>
        <v>0</v>
      </c>
      <c r="BN15" s="4438">
        <f t="shared" si="50"/>
        <v>0</v>
      </c>
      <c r="BO15" s="4438">
        <f t="shared" si="51"/>
        <v>0</v>
      </c>
      <c r="BP15" s="4438">
        <f t="shared" si="52"/>
        <v>0</v>
      </c>
      <c r="BQ15" s="4438">
        <f t="shared" si="53"/>
        <v>0</v>
      </c>
      <c r="BR15" s="4438">
        <f t="shared" si="54"/>
        <v>0</v>
      </c>
      <c r="BS15" s="4438">
        <f t="shared" si="55"/>
        <v>0</v>
      </c>
      <c r="BT15" s="4438">
        <f t="shared" si="56"/>
        <v>0</v>
      </c>
      <c r="BU15" s="4438">
        <f t="shared" si="57"/>
        <v>0</v>
      </c>
      <c r="BV15" s="4438">
        <f t="shared" si="58"/>
        <v>0</v>
      </c>
      <c r="BW15" s="4438">
        <f t="shared" si="59"/>
        <v>0</v>
      </c>
      <c r="BX15" s="4438">
        <f t="shared" si="60"/>
        <v>30.677512871773111</v>
      </c>
      <c r="BY15" s="4438">
        <f t="shared" si="61"/>
        <v>32.824938772797232</v>
      </c>
      <c r="BZ15" s="4438">
        <f t="shared" si="62"/>
        <v>33.809686935981148</v>
      </c>
      <c r="CA15" s="4438">
        <f t="shared" si="63"/>
        <v>34.823977544060575</v>
      </c>
      <c r="CB15" s="4438">
        <f t="shared" si="64"/>
        <v>35.868696870382394</v>
      </c>
      <c r="CC15" s="4438">
        <f t="shared" si="65"/>
        <v>36.944757776493873</v>
      </c>
      <c r="CD15" s="4438">
        <f t="shared" si="66"/>
        <v>2.147425901024119</v>
      </c>
      <c r="CE15" s="4438">
        <f t="shared" si="67"/>
        <v>0</v>
      </c>
      <c r="CF15" s="4438">
        <f t="shared" si="68"/>
        <v>0</v>
      </c>
      <c r="CG15" s="4438">
        <f t="shared" si="69"/>
        <v>0</v>
      </c>
      <c r="CH15" s="4438">
        <f t="shared" si="70"/>
        <v>0</v>
      </c>
      <c r="CI15" s="4438">
        <f t="shared" si="71"/>
        <v>0</v>
      </c>
      <c r="CJ15" s="4438">
        <f t="shared" si="72"/>
        <v>0</v>
      </c>
      <c r="CK15" s="4438">
        <f t="shared" si="73"/>
        <v>0</v>
      </c>
      <c r="CL15" s="4438">
        <f t="shared" si="74"/>
        <v>0</v>
      </c>
      <c r="CM15" s="4438">
        <f t="shared" si="75"/>
        <v>0</v>
      </c>
      <c r="CN15" s="4438">
        <f t="shared" si="76"/>
        <v>0</v>
      </c>
      <c r="CO15" s="4438">
        <f t="shared" si="77"/>
        <v>0</v>
      </c>
      <c r="CP15" s="4438">
        <f t="shared" si="78"/>
        <v>0</v>
      </c>
      <c r="CQ15" s="4438">
        <f t="shared" si="79"/>
        <v>0</v>
      </c>
      <c r="CR15" s="4438">
        <f t="shared" si="80"/>
        <v>0</v>
      </c>
      <c r="CS15" s="4438">
        <f t="shared" si="81"/>
        <v>0</v>
      </c>
      <c r="CT15" s="4438">
        <f t="shared" si="82"/>
        <v>0</v>
      </c>
      <c r="CU15" s="4438">
        <f t="shared" si="83"/>
        <v>0</v>
      </c>
      <c r="CV15" s="4438">
        <f t="shared" si="84"/>
        <v>0</v>
      </c>
      <c r="CW15" s="4438">
        <f t="shared" si="85"/>
        <v>0</v>
      </c>
      <c r="CX15" s="4438">
        <f t="shared" si="86"/>
        <v>0</v>
      </c>
      <c r="CY15" s="4438">
        <f t="shared" si="87"/>
        <v>30.677512871773111</v>
      </c>
      <c r="CZ15" s="4438">
        <f t="shared" si="88"/>
        <v>32.824938772797232</v>
      </c>
      <c r="DA15" s="4438">
        <f t="shared" si="89"/>
        <v>33.809686935981148</v>
      </c>
      <c r="DB15" s="4438">
        <f t="shared" si="90"/>
        <v>34.823977544060575</v>
      </c>
      <c r="DC15" s="4438">
        <f t="shared" si="91"/>
        <v>35.868696870382394</v>
      </c>
      <c r="DD15" s="4438">
        <f t="shared" si="92"/>
        <v>36.944757776493873</v>
      </c>
      <c r="DE15" s="4438">
        <f t="shared" si="93"/>
        <v>0</v>
      </c>
      <c r="DF15" s="4438">
        <f t="shared" si="94"/>
        <v>0</v>
      </c>
      <c r="DG15" s="4438">
        <f t="shared" si="95"/>
        <v>0</v>
      </c>
      <c r="DH15" s="4438">
        <f t="shared" si="96"/>
        <v>0</v>
      </c>
      <c r="DI15" s="4438">
        <f t="shared" si="97"/>
        <v>0</v>
      </c>
      <c r="DJ15" s="4438">
        <f t="shared" si="98"/>
        <v>0</v>
      </c>
    </row>
    <row r="16" spans="1:114" s="673" customFormat="1" ht="12.75">
      <c r="A16" s="818" t="s">
        <v>338</v>
      </c>
      <c r="B16" s="3851" t="s">
        <v>231</v>
      </c>
      <c r="C16" s="4600">
        <v>37</v>
      </c>
      <c r="D16" s="404">
        <f t="shared" si="104"/>
        <v>39.590000000000003</v>
      </c>
      <c r="E16" s="402">
        <f t="shared" ref="E16:H16" si="125">D16*1.03</f>
        <v>40.777700000000003</v>
      </c>
      <c r="F16" s="402">
        <f t="shared" si="125"/>
        <v>42.001031000000005</v>
      </c>
      <c r="G16" s="402">
        <f t="shared" si="125"/>
        <v>43.261061930000004</v>
      </c>
      <c r="H16" s="264">
        <f t="shared" si="125"/>
        <v>44.558893787900004</v>
      </c>
      <c r="I16" s="1222">
        <f t="shared" si="34"/>
        <v>2.5900000000000034</v>
      </c>
      <c r="J16" s="1170">
        <f t="shared" si="35"/>
        <v>7.000000000000009E-2</v>
      </c>
      <c r="K16" s="400"/>
      <c r="L16" s="404">
        <f t="shared" si="106"/>
        <v>0</v>
      </c>
      <c r="M16" s="402">
        <f t="shared" ref="M16:P16" si="126">L16*1.03</f>
        <v>0</v>
      </c>
      <c r="N16" s="402">
        <f t="shared" si="126"/>
        <v>0</v>
      </c>
      <c r="O16" s="402">
        <f t="shared" si="126"/>
        <v>0</v>
      </c>
      <c r="P16" s="264">
        <f t="shared" si="126"/>
        <v>0</v>
      </c>
      <c r="Q16" s="1222">
        <f t="shared" si="36"/>
        <v>0</v>
      </c>
      <c r="R16" s="1166">
        <f t="shared" si="37"/>
        <v>0</v>
      </c>
      <c r="S16" s="4600">
        <v>10</v>
      </c>
      <c r="T16" s="404">
        <f t="shared" si="108"/>
        <v>10.700000000000001</v>
      </c>
      <c r="U16" s="402">
        <f t="shared" ref="U16:X16" si="127">T16*1.03</f>
        <v>11.021000000000001</v>
      </c>
      <c r="V16" s="402">
        <f t="shared" si="127"/>
        <v>11.351630000000002</v>
      </c>
      <c r="W16" s="402">
        <f t="shared" si="127"/>
        <v>11.692178900000002</v>
      </c>
      <c r="X16" s="402">
        <f t="shared" si="127"/>
        <v>12.042944267000003</v>
      </c>
      <c r="Y16" s="1222">
        <f t="shared" si="38"/>
        <v>0.70000000000000107</v>
      </c>
      <c r="Z16" s="1166">
        <f t="shared" si="39"/>
        <v>7.0000000000000104E-2</v>
      </c>
      <c r="AA16" s="400"/>
      <c r="AB16" s="404"/>
      <c r="AC16" s="402"/>
      <c r="AD16" s="402"/>
      <c r="AE16" s="402"/>
      <c r="AF16" s="264"/>
      <c r="AG16" s="1222">
        <f t="shared" si="40"/>
        <v>0</v>
      </c>
      <c r="AH16" s="1170">
        <f t="shared" si="41"/>
        <v>0</v>
      </c>
      <c r="AI16" s="400"/>
      <c r="AJ16" s="404"/>
      <c r="AK16" s="402"/>
      <c r="AL16" s="402"/>
      <c r="AM16" s="402"/>
      <c r="AN16" s="264"/>
      <c r="AO16" s="1222">
        <f t="shared" si="42"/>
        <v>0</v>
      </c>
      <c r="AP16" s="1170">
        <f t="shared" si="43"/>
        <v>0</v>
      </c>
      <c r="AQ16" s="400"/>
      <c r="AR16" s="404"/>
      <c r="AS16" s="402"/>
      <c r="AT16" s="402"/>
      <c r="AU16" s="402"/>
      <c r="AV16" s="403"/>
      <c r="AW16" s="3059">
        <f t="shared" si="110"/>
        <v>47</v>
      </c>
      <c r="AX16" s="3060">
        <f t="shared" si="111"/>
        <v>50.290000000000006</v>
      </c>
      <c r="AY16" s="3061">
        <f t="shared" si="112"/>
        <v>51.798700000000004</v>
      </c>
      <c r="AZ16" s="3061">
        <f t="shared" si="113"/>
        <v>53.352661000000005</v>
      </c>
      <c r="BA16" s="3061">
        <f t="shared" si="114"/>
        <v>54.953240830000006</v>
      </c>
      <c r="BB16" s="3062">
        <f t="shared" si="115"/>
        <v>56.601838054900007</v>
      </c>
      <c r="BC16" s="3059">
        <f t="shared" si="116"/>
        <v>37</v>
      </c>
      <c r="BD16" s="3060">
        <f t="shared" si="117"/>
        <v>39.590000000000003</v>
      </c>
      <c r="BE16" s="3061">
        <f t="shared" si="118"/>
        <v>40.777700000000003</v>
      </c>
      <c r="BF16" s="3061">
        <f t="shared" si="119"/>
        <v>42.001031000000005</v>
      </c>
      <c r="BG16" s="3061">
        <f t="shared" si="120"/>
        <v>43.261061930000004</v>
      </c>
      <c r="BH16" s="3063">
        <f t="shared" si="121"/>
        <v>44.558893787900004</v>
      </c>
      <c r="BI16" s="4422"/>
      <c r="BJ16" s="4438">
        <f t="shared" si="46"/>
        <v>18.917799604260086</v>
      </c>
      <c r="BK16" s="4438">
        <f t="shared" si="47"/>
        <v>20.242045576558294</v>
      </c>
      <c r="BL16" s="4438">
        <f t="shared" si="48"/>
        <v>20.849306943855041</v>
      </c>
      <c r="BM16" s="4438">
        <f t="shared" si="49"/>
        <v>21.474786152170694</v>
      </c>
      <c r="BN16" s="4438">
        <f t="shared" si="50"/>
        <v>22.119029736735811</v>
      </c>
      <c r="BO16" s="4438">
        <f t="shared" si="51"/>
        <v>22.782600628837887</v>
      </c>
      <c r="BP16" s="4438">
        <f t="shared" si="52"/>
        <v>1.3242459722982076</v>
      </c>
      <c r="BQ16" s="4438">
        <f t="shared" si="53"/>
        <v>0</v>
      </c>
      <c r="BR16" s="4438">
        <f t="shared" si="54"/>
        <v>0</v>
      </c>
      <c r="BS16" s="4438">
        <f t="shared" si="55"/>
        <v>0</v>
      </c>
      <c r="BT16" s="4438">
        <f t="shared" si="56"/>
        <v>0</v>
      </c>
      <c r="BU16" s="4438">
        <f t="shared" si="57"/>
        <v>0</v>
      </c>
      <c r="BV16" s="4438">
        <f t="shared" si="58"/>
        <v>0</v>
      </c>
      <c r="BW16" s="4438">
        <f t="shared" si="59"/>
        <v>0</v>
      </c>
      <c r="BX16" s="4438">
        <f t="shared" si="60"/>
        <v>5.1129188119621851</v>
      </c>
      <c r="BY16" s="4438">
        <f t="shared" si="61"/>
        <v>5.4708231287995384</v>
      </c>
      <c r="BZ16" s="4438">
        <f t="shared" si="62"/>
        <v>5.6349478226635243</v>
      </c>
      <c r="CA16" s="4438">
        <f t="shared" si="63"/>
        <v>5.8039962573434307</v>
      </c>
      <c r="CB16" s="4438">
        <f t="shared" si="64"/>
        <v>5.9781161450637335</v>
      </c>
      <c r="CC16" s="4438">
        <f t="shared" si="65"/>
        <v>6.1574596294156461</v>
      </c>
      <c r="CD16" s="4438">
        <f t="shared" si="66"/>
        <v>0.35790431683735352</v>
      </c>
      <c r="CE16" s="4438">
        <f t="shared" si="67"/>
        <v>0</v>
      </c>
      <c r="CF16" s="4438">
        <f t="shared" si="68"/>
        <v>0</v>
      </c>
      <c r="CG16" s="4438">
        <f t="shared" si="69"/>
        <v>0</v>
      </c>
      <c r="CH16" s="4438">
        <f t="shared" si="70"/>
        <v>0</v>
      </c>
      <c r="CI16" s="4438">
        <f t="shared" si="71"/>
        <v>0</v>
      </c>
      <c r="CJ16" s="4438">
        <f t="shared" si="72"/>
        <v>0</v>
      </c>
      <c r="CK16" s="4438">
        <f t="shared" si="73"/>
        <v>0</v>
      </c>
      <c r="CL16" s="4438">
        <f t="shared" si="74"/>
        <v>0</v>
      </c>
      <c r="CM16" s="4438">
        <f t="shared" si="75"/>
        <v>0</v>
      </c>
      <c r="CN16" s="4438">
        <f t="shared" si="76"/>
        <v>0</v>
      </c>
      <c r="CO16" s="4438">
        <f t="shared" si="77"/>
        <v>0</v>
      </c>
      <c r="CP16" s="4438">
        <f t="shared" si="78"/>
        <v>0</v>
      </c>
      <c r="CQ16" s="4438">
        <f t="shared" si="79"/>
        <v>0</v>
      </c>
      <c r="CR16" s="4438">
        <f t="shared" si="80"/>
        <v>0</v>
      </c>
      <c r="CS16" s="4438">
        <f t="shared" si="81"/>
        <v>0</v>
      </c>
      <c r="CT16" s="4438">
        <f t="shared" si="82"/>
        <v>0</v>
      </c>
      <c r="CU16" s="4438">
        <f t="shared" si="83"/>
        <v>0</v>
      </c>
      <c r="CV16" s="4438">
        <f t="shared" si="84"/>
        <v>0</v>
      </c>
      <c r="CW16" s="4438">
        <f t="shared" si="85"/>
        <v>0</v>
      </c>
      <c r="CX16" s="4438">
        <f t="shared" si="86"/>
        <v>0</v>
      </c>
      <c r="CY16" s="4438">
        <f t="shared" si="87"/>
        <v>24.030718416222268</v>
      </c>
      <c r="CZ16" s="4438">
        <f t="shared" si="88"/>
        <v>25.712868705357831</v>
      </c>
      <c r="DA16" s="4438">
        <f t="shared" si="89"/>
        <v>26.484254766518564</v>
      </c>
      <c r="DB16" s="4438">
        <f t="shared" si="90"/>
        <v>27.278782409514122</v>
      </c>
      <c r="DC16" s="4438">
        <f t="shared" si="91"/>
        <v>28.097145881799545</v>
      </c>
      <c r="DD16" s="4438">
        <f t="shared" si="92"/>
        <v>28.940060258253535</v>
      </c>
      <c r="DE16" s="4438">
        <f t="shared" si="93"/>
        <v>18.917799604260086</v>
      </c>
      <c r="DF16" s="4438">
        <f t="shared" si="94"/>
        <v>20.242045576558294</v>
      </c>
      <c r="DG16" s="4438">
        <f t="shared" si="95"/>
        <v>20.849306943855041</v>
      </c>
      <c r="DH16" s="4438">
        <f t="shared" si="96"/>
        <v>21.474786152170694</v>
      </c>
      <c r="DI16" s="4438">
        <f t="shared" si="97"/>
        <v>22.119029736735811</v>
      </c>
      <c r="DJ16" s="4438">
        <f t="shared" si="98"/>
        <v>22.782600628837887</v>
      </c>
    </row>
    <row r="17" spans="1:114" s="674" customFormat="1" ht="12.75">
      <c r="A17" s="108" t="s">
        <v>91</v>
      </c>
      <c r="B17" s="871" t="s">
        <v>232</v>
      </c>
      <c r="C17" s="1470">
        <f>'6. Ел.Енергия'!I18</f>
        <v>7549.595327146315</v>
      </c>
      <c r="D17" s="1117">
        <f>'6. Ел.Енергия'!J18</f>
        <v>8772.5307827919987</v>
      </c>
      <c r="E17" s="1107">
        <f>'6. Ел.Енергия'!K18</f>
        <v>8728.6681613670007</v>
      </c>
      <c r="F17" s="1107">
        <f>'6. Ел.Енергия'!L18</f>
        <v>8685.0247895320008</v>
      </c>
      <c r="G17" s="1107">
        <f>'6. Ел.Енергия'!M18</f>
        <v>8914.3471314660001</v>
      </c>
      <c r="H17" s="1117">
        <f>'6. Ел.Енергия'!N18</f>
        <v>8869.7752298189989</v>
      </c>
      <c r="I17" s="1223">
        <f t="shared" si="34"/>
        <v>1222.9354556456838</v>
      </c>
      <c r="J17" s="803">
        <f t="shared" si="35"/>
        <v>0.16198688838967787</v>
      </c>
      <c r="K17" s="2641">
        <f>'6. Ел.Енергия'!I34</f>
        <v>103.20363983080001</v>
      </c>
      <c r="L17" s="1117">
        <f>'6. Ел.Енергия'!J34</f>
        <v>120.52405073360002</v>
      </c>
      <c r="M17" s="1107">
        <f>'6. Ел.Енергия'!K34</f>
        <v>120.52405073360002</v>
      </c>
      <c r="N17" s="1107">
        <f>'6. Ел.Енергия'!L34</f>
        <v>120.52405073360002</v>
      </c>
      <c r="O17" s="1107">
        <f>'6. Ел.Енергия'!M34</f>
        <v>165.548440228</v>
      </c>
      <c r="P17" s="1117">
        <f>'6. Ел.Енергия'!N34</f>
        <v>165.548440228</v>
      </c>
      <c r="Q17" s="1223">
        <f t="shared" si="36"/>
        <v>17.320410902800006</v>
      </c>
      <c r="R17" s="855">
        <f t="shared" si="37"/>
        <v>0.16782751975798935</v>
      </c>
      <c r="S17" s="2641">
        <f>'6. Ел.Енергия'!I49</f>
        <v>588.53740443079994</v>
      </c>
      <c r="T17" s="1117">
        <f>'6. Ел.Енергия'!J49</f>
        <v>687.30746428079999</v>
      </c>
      <c r="U17" s="1107">
        <f>'6. Ел.Енергия'!K49</f>
        <v>687.30746428079999</v>
      </c>
      <c r="V17" s="1107">
        <f>'6. Ел.Енергия'!L49</f>
        <v>687.30746428079999</v>
      </c>
      <c r="W17" s="1107">
        <f>'6. Ел.Енергия'!M49</f>
        <v>798.46995132000006</v>
      </c>
      <c r="X17" s="1117">
        <f>'6. Ел.Енергия'!N49</f>
        <v>798.46995132000006</v>
      </c>
      <c r="Y17" s="1225">
        <f t="shared" si="38"/>
        <v>98.770059850000052</v>
      </c>
      <c r="Z17" s="855">
        <f t="shared" si="39"/>
        <v>0.16782290999078447</v>
      </c>
      <c r="AA17" s="2641">
        <f>'6. Ел.Енергия'!I65</f>
        <v>0</v>
      </c>
      <c r="AB17" s="1117">
        <f>'6. Ел.Енергия'!J65</f>
        <v>0</v>
      </c>
      <c r="AC17" s="1107">
        <f>'6. Ел.Енергия'!K65</f>
        <v>0</v>
      </c>
      <c r="AD17" s="1107">
        <f>'6. Ел.Енергия'!L65</f>
        <v>0</v>
      </c>
      <c r="AE17" s="1107">
        <f>'6. Ел.Енергия'!M65</f>
        <v>0</v>
      </c>
      <c r="AF17" s="1117">
        <f>'6. Ел.Енергия'!N65</f>
        <v>0</v>
      </c>
      <c r="AG17" s="1223">
        <f t="shared" si="40"/>
        <v>0</v>
      </c>
      <c r="AH17" s="803">
        <f t="shared" si="41"/>
        <v>0</v>
      </c>
      <c r="AI17" s="1086">
        <f>'6. Ел.Енергия'!I81</f>
        <v>0</v>
      </c>
      <c r="AJ17" s="1115">
        <f>'6. Ел.Енергия'!J81</f>
        <v>0</v>
      </c>
      <c r="AK17" s="1110">
        <f>'6. Ел.Енергия'!K81</f>
        <v>0</v>
      </c>
      <c r="AL17" s="1110">
        <f>'6. Ел.Енергия'!L81</f>
        <v>0</v>
      </c>
      <c r="AM17" s="1110">
        <f>'6. Ел.Енергия'!M81</f>
        <v>0</v>
      </c>
      <c r="AN17" s="1115">
        <f>'6. Ел.Енергия'!N81</f>
        <v>0</v>
      </c>
      <c r="AO17" s="1223">
        <f t="shared" si="42"/>
        <v>0</v>
      </c>
      <c r="AP17" s="803">
        <f t="shared" si="43"/>
        <v>0</v>
      </c>
      <c r="AQ17" s="2641">
        <f>'6. Ел.Енергия'!I95</f>
        <v>0</v>
      </c>
      <c r="AR17" s="1117">
        <f>'6. Ел.Енергия'!J95</f>
        <v>0</v>
      </c>
      <c r="AS17" s="1107">
        <f>'6. Ел.Енергия'!K95</f>
        <v>0</v>
      </c>
      <c r="AT17" s="1107">
        <f>'6. Ел.Енергия'!L95</f>
        <v>0</v>
      </c>
      <c r="AU17" s="1107">
        <f>'6. Ел.Енергия'!M95</f>
        <v>0</v>
      </c>
      <c r="AV17" s="3064">
        <f>'6. Ел.Енергия'!N95</f>
        <v>0</v>
      </c>
      <c r="AW17" s="1086">
        <f t="shared" si="110"/>
        <v>8241.3363714079151</v>
      </c>
      <c r="AX17" s="1115">
        <f t="shared" si="111"/>
        <v>9580.3622978063995</v>
      </c>
      <c r="AY17" s="1110">
        <f t="shared" si="112"/>
        <v>9536.4996763814015</v>
      </c>
      <c r="AZ17" s="1110">
        <f t="shared" si="113"/>
        <v>9492.8563045464016</v>
      </c>
      <c r="BA17" s="1110">
        <f t="shared" si="114"/>
        <v>9878.3655230139993</v>
      </c>
      <c r="BB17" s="1115">
        <f t="shared" si="115"/>
        <v>9833.7936213669982</v>
      </c>
      <c r="BC17" s="3059">
        <f t="shared" si="116"/>
        <v>7549.595327146315</v>
      </c>
      <c r="BD17" s="3060">
        <f t="shared" si="117"/>
        <v>8772.5307827919987</v>
      </c>
      <c r="BE17" s="3061">
        <f t="shared" si="118"/>
        <v>8728.6681613670007</v>
      </c>
      <c r="BF17" s="3061">
        <f t="shared" si="119"/>
        <v>8685.0247895320008</v>
      </c>
      <c r="BG17" s="3061">
        <f t="shared" si="120"/>
        <v>8914.3471314660001</v>
      </c>
      <c r="BH17" s="3063">
        <f t="shared" si="121"/>
        <v>8869.7752298189989</v>
      </c>
      <c r="BI17" s="4422"/>
      <c r="BJ17" s="4438">
        <f t="shared" si="46"/>
        <v>3860.0467970868199</v>
      </c>
      <c r="BK17" s="4438">
        <f t="shared" si="47"/>
        <v>4485.3237667854564</v>
      </c>
      <c r="BL17" s="4438">
        <f t="shared" si="48"/>
        <v>4462.8971645628717</v>
      </c>
      <c r="BM17" s="4438">
        <f t="shared" si="49"/>
        <v>4440.5826628756085</v>
      </c>
      <c r="BN17" s="4438">
        <f t="shared" si="50"/>
        <v>4557.833314483365</v>
      </c>
      <c r="BO17" s="4438">
        <f t="shared" si="51"/>
        <v>4535.044063041777</v>
      </c>
      <c r="BP17" s="4438">
        <f t="shared" si="52"/>
        <v>625.27696969863632</v>
      </c>
      <c r="BQ17" s="4438">
        <f t="shared" si="53"/>
        <v>52.767183155386725</v>
      </c>
      <c r="BR17" s="4438">
        <f t="shared" si="54"/>
        <v>61.622968628970831</v>
      </c>
      <c r="BS17" s="4438">
        <f t="shared" si="55"/>
        <v>61.622968628970831</v>
      </c>
      <c r="BT17" s="4438">
        <f t="shared" si="56"/>
        <v>61.622968628970831</v>
      </c>
      <c r="BU17" s="4438">
        <f t="shared" si="57"/>
        <v>84.643573433273858</v>
      </c>
      <c r="BV17" s="4438">
        <f t="shared" si="58"/>
        <v>84.643573433273858</v>
      </c>
      <c r="BW17" s="4438">
        <f t="shared" si="59"/>
        <v>8.8557854735841079</v>
      </c>
      <c r="BX17" s="4438">
        <f t="shared" si="60"/>
        <v>300.91439666576338</v>
      </c>
      <c r="BY17" s="4438">
        <f t="shared" si="61"/>
        <v>351.41472637233295</v>
      </c>
      <c r="BZ17" s="4438">
        <f t="shared" si="62"/>
        <v>351.41472637233295</v>
      </c>
      <c r="CA17" s="4438">
        <f t="shared" si="63"/>
        <v>351.41472637233295</v>
      </c>
      <c r="CB17" s="4438">
        <f t="shared" si="64"/>
        <v>408.25120348905585</v>
      </c>
      <c r="CC17" s="4438">
        <f t="shared" si="65"/>
        <v>408.25120348905585</v>
      </c>
      <c r="CD17" s="4438">
        <f t="shared" si="66"/>
        <v>50.500329706569616</v>
      </c>
      <c r="CE17" s="4438">
        <f t="shared" si="67"/>
        <v>0</v>
      </c>
      <c r="CF17" s="4438">
        <f t="shared" si="68"/>
        <v>0</v>
      </c>
      <c r="CG17" s="4438">
        <f t="shared" si="69"/>
        <v>0</v>
      </c>
      <c r="CH17" s="4438">
        <f t="shared" si="70"/>
        <v>0</v>
      </c>
      <c r="CI17" s="4438">
        <f t="shared" si="71"/>
        <v>0</v>
      </c>
      <c r="CJ17" s="4438">
        <f t="shared" si="72"/>
        <v>0</v>
      </c>
      <c r="CK17" s="4438">
        <f t="shared" si="73"/>
        <v>0</v>
      </c>
      <c r="CL17" s="4438">
        <f t="shared" si="74"/>
        <v>0</v>
      </c>
      <c r="CM17" s="4438">
        <f t="shared" si="75"/>
        <v>0</v>
      </c>
      <c r="CN17" s="4438">
        <f t="shared" si="76"/>
        <v>0</v>
      </c>
      <c r="CO17" s="4438">
        <f t="shared" si="77"/>
        <v>0</v>
      </c>
      <c r="CP17" s="4438">
        <f t="shared" si="78"/>
        <v>0</v>
      </c>
      <c r="CQ17" s="4438">
        <f t="shared" si="79"/>
        <v>0</v>
      </c>
      <c r="CR17" s="4438">
        <f t="shared" si="80"/>
        <v>0</v>
      </c>
      <c r="CS17" s="4438">
        <f t="shared" si="81"/>
        <v>0</v>
      </c>
      <c r="CT17" s="4438">
        <f t="shared" si="82"/>
        <v>0</v>
      </c>
      <c r="CU17" s="4438">
        <f t="shared" si="83"/>
        <v>0</v>
      </c>
      <c r="CV17" s="4438">
        <f t="shared" si="84"/>
        <v>0</v>
      </c>
      <c r="CW17" s="4438">
        <f t="shared" si="85"/>
        <v>0</v>
      </c>
      <c r="CX17" s="4438">
        <f t="shared" si="86"/>
        <v>0</v>
      </c>
      <c r="CY17" s="4438">
        <f t="shared" si="87"/>
        <v>4213.7283769079704</v>
      </c>
      <c r="CZ17" s="4438">
        <f t="shared" si="88"/>
        <v>4898.3614617867606</v>
      </c>
      <c r="DA17" s="4438">
        <f t="shared" si="89"/>
        <v>4875.9348595641759</v>
      </c>
      <c r="DB17" s="4438">
        <f t="shared" si="90"/>
        <v>4853.6203578769127</v>
      </c>
      <c r="DC17" s="4438">
        <f t="shared" si="91"/>
        <v>5050.7280914056946</v>
      </c>
      <c r="DD17" s="4438">
        <f t="shared" si="92"/>
        <v>5027.9388399641066</v>
      </c>
      <c r="DE17" s="4438">
        <f t="shared" si="93"/>
        <v>3860.0467970868199</v>
      </c>
      <c r="DF17" s="4438">
        <f t="shared" si="94"/>
        <v>4485.3237667854564</v>
      </c>
      <c r="DG17" s="4438">
        <f t="shared" si="95"/>
        <v>4462.8971645628717</v>
      </c>
      <c r="DH17" s="4438">
        <f t="shared" si="96"/>
        <v>4440.5826628756085</v>
      </c>
      <c r="DI17" s="4438">
        <f t="shared" si="97"/>
        <v>4557.833314483365</v>
      </c>
      <c r="DJ17" s="4438">
        <f t="shared" si="98"/>
        <v>4535.044063041777</v>
      </c>
    </row>
    <row r="18" spans="1:114" s="675" customFormat="1" ht="12.75">
      <c r="A18" s="3887" t="s">
        <v>93</v>
      </c>
      <c r="B18" s="4602" t="s">
        <v>233</v>
      </c>
      <c r="C18" s="2641">
        <f t="shared" ref="C18:X18" si="128">SUM(C19:C21)</f>
        <v>456</v>
      </c>
      <c r="D18" s="1106">
        <f t="shared" si="128"/>
        <v>532.31000000000006</v>
      </c>
      <c r="E18" s="1107">
        <f t="shared" si="128"/>
        <v>553.29729999999995</v>
      </c>
      <c r="F18" s="1107">
        <f t="shared" si="128"/>
        <v>569.89621899999997</v>
      </c>
      <c r="G18" s="3892">
        <f t="shared" si="128"/>
        <v>573.42568806999998</v>
      </c>
      <c r="H18" s="3892">
        <f t="shared" si="128"/>
        <v>572.01396190210005</v>
      </c>
      <c r="I18" s="1223">
        <f t="shared" si="34"/>
        <v>76.310000000000059</v>
      </c>
      <c r="J18" s="803">
        <f t="shared" si="35"/>
        <v>0.1673464912280703</v>
      </c>
      <c r="K18" s="2641">
        <f t="shared" si="128"/>
        <v>8</v>
      </c>
      <c r="L18" s="1106">
        <f t="shared" si="128"/>
        <v>9.02</v>
      </c>
      <c r="M18" s="1107">
        <f t="shared" si="128"/>
        <v>9.3426000000000009</v>
      </c>
      <c r="N18" s="1107">
        <f t="shared" si="128"/>
        <v>9.622878</v>
      </c>
      <c r="O18" s="3892">
        <f t="shared" si="128"/>
        <v>9.7709693400000006</v>
      </c>
      <c r="P18" s="3892">
        <f t="shared" si="128"/>
        <v>9.8712020802000016</v>
      </c>
      <c r="Q18" s="1223">
        <f t="shared" si="36"/>
        <v>1.0199999999999996</v>
      </c>
      <c r="R18" s="855">
        <f t="shared" si="37"/>
        <v>0.12749999999999995</v>
      </c>
      <c r="S18" s="2641">
        <f t="shared" si="128"/>
        <v>11</v>
      </c>
      <c r="T18" s="1106">
        <f t="shared" si="128"/>
        <v>11.770000000000001</v>
      </c>
      <c r="U18" s="1107">
        <f t="shared" si="128"/>
        <v>12.123100000000001</v>
      </c>
      <c r="V18" s="1107">
        <f t="shared" si="128"/>
        <v>12.486793</v>
      </c>
      <c r="W18" s="3892">
        <f t="shared" si="128"/>
        <v>12.861396790000001</v>
      </c>
      <c r="X18" s="3892">
        <f t="shared" si="128"/>
        <v>13.247238693700002</v>
      </c>
      <c r="Y18" s="1223">
        <f t="shared" si="38"/>
        <v>0.77000000000000135</v>
      </c>
      <c r="Z18" s="855">
        <f t="shared" si="39"/>
        <v>7.0000000000000118E-2</v>
      </c>
      <c r="AA18" s="2641">
        <f>SUM(AA19:AA21)</f>
        <v>0</v>
      </c>
      <c r="AB18" s="1106">
        <f t="shared" ref="AB18:AV18" si="129">SUM(AB19:AB21)</f>
        <v>0</v>
      </c>
      <c r="AC18" s="1107">
        <f t="shared" si="129"/>
        <v>0</v>
      </c>
      <c r="AD18" s="1107">
        <f t="shared" si="129"/>
        <v>0</v>
      </c>
      <c r="AE18" s="3892">
        <f t="shared" si="129"/>
        <v>0</v>
      </c>
      <c r="AF18" s="3892">
        <f t="shared" si="129"/>
        <v>0</v>
      </c>
      <c r="AG18" s="1223">
        <f t="shared" si="40"/>
        <v>0</v>
      </c>
      <c r="AH18" s="803">
        <f t="shared" si="41"/>
        <v>0</v>
      </c>
      <c r="AI18" s="2641">
        <f t="shared" si="129"/>
        <v>0</v>
      </c>
      <c r="AJ18" s="1106">
        <f t="shared" si="129"/>
        <v>0</v>
      </c>
      <c r="AK18" s="1107">
        <f t="shared" si="129"/>
        <v>0</v>
      </c>
      <c r="AL18" s="1107">
        <f t="shared" si="129"/>
        <v>0</v>
      </c>
      <c r="AM18" s="3892">
        <f t="shared" si="129"/>
        <v>0</v>
      </c>
      <c r="AN18" s="3892">
        <f t="shared" si="129"/>
        <v>0</v>
      </c>
      <c r="AO18" s="1223">
        <f t="shared" si="42"/>
        <v>0</v>
      </c>
      <c r="AP18" s="803">
        <f t="shared" si="43"/>
        <v>0</v>
      </c>
      <c r="AQ18" s="2641">
        <f t="shared" si="129"/>
        <v>0</v>
      </c>
      <c r="AR18" s="1106">
        <f t="shared" si="129"/>
        <v>0</v>
      </c>
      <c r="AS18" s="1107">
        <f t="shared" si="129"/>
        <v>0</v>
      </c>
      <c r="AT18" s="1107">
        <f t="shared" si="129"/>
        <v>0</v>
      </c>
      <c r="AU18" s="3892">
        <f t="shared" si="129"/>
        <v>0</v>
      </c>
      <c r="AV18" s="3893">
        <f t="shared" si="129"/>
        <v>0</v>
      </c>
      <c r="AW18" s="2641">
        <f t="shared" ref="AW18:BB18" si="130">SUM(AW19:AW21)</f>
        <v>475</v>
      </c>
      <c r="AX18" s="1106">
        <f t="shared" si="130"/>
        <v>553.1</v>
      </c>
      <c r="AY18" s="1107">
        <f t="shared" si="130"/>
        <v>574.76300000000003</v>
      </c>
      <c r="AZ18" s="1107">
        <f t="shared" si="130"/>
        <v>592.00588999999991</v>
      </c>
      <c r="BA18" s="3892">
        <f t="shared" si="130"/>
        <v>596.05805420000002</v>
      </c>
      <c r="BB18" s="3892">
        <f t="shared" si="130"/>
        <v>595.13240267600008</v>
      </c>
      <c r="BC18" s="2641">
        <f t="shared" ref="BC18:BH18" si="131">SUM(BC19:BC21)</f>
        <v>456</v>
      </c>
      <c r="BD18" s="1106">
        <f t="shared" si="131"/>
        <v>532.31000000000006</v>
      </c>
      <c r="BE18" s="1107">
        <f t="shared" si="131"/>
        <v>553.29729999999995</v>
      </c>
      <c r="BF18" s="1107">
        <f t="shared" si="131"/>
        <v>569.89621899999997</v>
      </c>
      <c r="BG18" s="3892">
        <f t="shared" si="131"/>
        <v>573.42568806999998</v>
      </c>
      <c r="BH18" s="3893">
        <f t="shared" si="131"/>
        <v>572.01396190210005</v>
      </c>
      <c r="BI18" s="4359"/>
      <c r="BJ18" s="4603">
        <f t="shared" si="46"/>
        <v>233.14909782547562</v>
      </c>
      <c r="BK18" s="4603">
        <f t="shared" si="47"/>
        <v>272.1657812795591</v>
      </c>
      <c r="BL18" s="4603">
        <f t="shared" si="48"/>
        <v>282.89641737778845</v>
      </c>
      <c r="BM18" s="4603">
        <f t="shared" si="49"/>
        <v>291.38330989912208</v>
      </c>
      <c r="BN18" s="4603">
        <f t="shared" si="50"/>
        <v>293.18789877954629</v>
      </c>
      <c r="BO18" s="4603">
        <f t="shared" si="51"/>
        <v>292.46609465142677</v>
      </c>
      <c r="BP18" s="4603">
        <f t="shared" si="52"/>
        <v>39.016683454083463</v>
      </c>
      <c r="BQ18" s="4603">
        <f t="shared" si="53"/>
        <v>4.0903350495697479</v>
      </c>
      <c r="BR18" s="4603">
        <f t="shared" si="54"/>
        <v>4.6118527683898902</v>
      </c>
      <c r="BS18" s="4603">
        <f t="shared" si="55"/>
        <v>4.7767955292637918</v>
      </c>
      <c r="BT18" s="4603">
        <f t="shared" si="56"/>
        <v>4.9200993951417047</v>
      </c>
      <c r="BU18" s="4603">
        <f t="shared" si="57"/>
        <v>4.9958172949591741</v>
      </c>
      <c r="BV18" s="4603">
        <f t="shared" si="58"/>
        <v>5.0470654812534841</v>
      </c>
      <c r="BW18" s="4603">
        <f t="shared" si="59"/>
        <v>0.52151771882014264</v>
      </c>
      <c r="BX18" s="4603">
        <f t="shared" si="60"/>
        <v>5.6242106931584033</v>
      </c>
      <c r="BY18" s="4603">
        <f t="shared" si="61"/>
        <v>6.0179054416794928</v>
      </c>
      <c r="BZ18" s="4603">
        <f t="shared" si="62"/>
        <v>6.1984426049298769</v>
      </c>
      <c r="CA18" s="4603">
        <f t="shared" si="63"/>
        <v>6.3843958830777732</v>
      </c>
      <c r="CB18" s="4603">
        <f t="shared" si="64"/>
        <v>6.5759277595701064</v>
      </c>
      <c r="CC18" s="4603">
        <f t="shared" si="65"/>
        <v>6.7732055923572103</v>
      </c>
      <c r="CD18" s="4603">
        <f t="shared" si="66"/>
        <v>0.39369474852108893</v>
      </c>
      <c r="CE18" s="4603">
        <f t="shared" si="67"/>
        <v>0</v>
      </c>
      <c r="CF18" s="4603">
        <f t="shared" si="68"/>
        <v>0</v>
      </c>
      <c r="CG18" s="4603">
        <f t="shared" si="69"/>
        <v>0</v>
      </c>
      <c r="CH18" s="4603">
        <f t="shared" si="70"/>
        <v>0</v>
      </c>
      <c r="CI18" s="4603">
        <f t="shared" si="71"/>
        <v>0</v>
      </c>
      <c r="CJ18" s="4603">
        <f t="shared" si="72"/>
        <v>0</v>
      </c>
      <c r="CK18" s="4603">
        <f t="shared" si="73"/>
        <v>0</v>
      </c>
      <c r="CL18" s="4603">
        <f t="shared" si="74"/>
        <v>0</v>
      </c>
      <c r="CM18" s="4603">
        <f t="shared" si="75"/>
        <v>0</v>
      </c>
      <c r="CN18" s="4603">
        <f t="shared" si="76"/>
        <v>0</v>
      </c>
      <c r="CO18" s="4603">
        <f t="shared" si="77"/>
        <v>0</v>
      </c>
      <c r="CP18" s="4603">
        <f t="shared" si="78"/>
        <v>0</v>
      </c>
      <c r="CQ18" s="4603">
        <f t="shared" si="79"/>
        <v>0</v>
      </c>
      <c r="CR18" s="4603">
        <f t="shared" si="80"/>
        <v>0</v>
      </c>
      <c r="CS18" s="4603">
        <f t="shared" si="81"/>
        <v>0</v>
      </c>
      <c r="CT18" s="4603">
        <f t="shared" si="82"/>
        <v>0</v>
      </c>
      <c r="CU18" s="4603">
        <f t="shared" si="83"/>
        <v>0</v>
      </c>
      <c r="CV18" s="4603">
        <f t="shared" si="84"/>
        <v>0</v>
      </c>
      <c r="CW18" s="4603">
        <f t="shared" si="85"/>
        <v>0</v>
      </c>
      <c r="CX18" s="4603">
        <f t="shared" si="86"/>
        <v>0</v>
      </c>
      <c r="CY18" s="4603">
        <f t="shared" si="87"/>
        <v>242.8636435682038</v>
      </c>
      <c r="CZ18" s="4603">
        <f t="shared" si="88"/>
        <v>282.79553948962848</v>
      </c>
      <c r="DA18" s="4603">
        <f t="shared" si="89"/>
        <v>293.87165551198217</v>
      </c>
      <c r="DB18" s="4603">
        <f t="shared" si="90"/>
        <v>302.68780517734155</v>
      </c>
      <c r="DC18" s="4603">
        <f t="shared" si="91"/>
        <v>304.75964383407558</v>
      </c>
      <c r="DD18" s="4603">
        <f t="shared" si="92"/>
        <v>304.28636572503751</v>
      </c>
      <c r="DE18" s="4603">
        <f t="shared" si="93"/>
        <v>233.14909782547562</v>
      </c>
      <c r="DF18" s="4603">
        <f t="shared" si="94"/>
        <v>272.1657812795591</v>
      </c>
      <c r="DG18" s="4603">
        <f t="shared" si="95"/>
        <v>282.89641737778845</v>
      </c>
      <c r="DH18" s="4603">
        <f t="shared" si="96"/>
        <v>291.38330989912208</v>
      </c>
      <c r="DI18" s="4603">
        <f t="shared" si="97"/>
        <v>293.18789877954629</v>
      </c>
      <c r="DJ18" s="4603">
        <f t="shared" si="98"/>
        <v>292.46609465142677</v>
      </c>
    </row>
    <row r="19" spans="1:114" s="673" customFormat="1" ht="12.75">
      <c r="A19" s="817" t="s">
        <v>234</v>
      </c>
      <c r="B19" s="3852" t="s">
        <v>235</v>
      </c>
      <c r="C19" s="3032"/>
      <c r="D19" s="3033">
        <f t="shared" ref="D19:D23" si="132">C19*1.07</f>
        <v>0</v>
      </c>
      <c r="E19" s="3033">
        <f t="shared" ref="E19:H23" si="133">D19*1.03</f>
        <v>0</v>
      </c>
      <c r="F19" s="3033">
        <f t="shared" si="133"/>
        <v>0</v>
      </c>
      <c r="G19" s="3033">
        <f t="shared" si="133"/>
        <v>0</v>
      </c>
      <c r="H19" s="3034">
        <f t="shared" si="133"/>
        <v>0</v>
      </c>
      <c r="I19" s="1224">
        <f t="shared" si="34"/>
        <v>0</v>
      </c>
      <c r="J19" s="1183">
        <f t="shared" si="35"/>
        <v>0</v>
      </c>
      <c r="K19" s="3032"/>
      <c r="L19" s="3033">
        <f t="shared" ref="L19:L20" si="134">K19*1.07</f>
        <v>0</v>
      </c>
      <c r="M19" s="3033">
        <f t="shared" ref="M19:P20" si="135">L19*1.03</f>
        <v>0</v>
      </c>
      <c r="N19" s="3033">
        <f t="shared" si="135"/>
        <v>0</v>
      </c>
      <c r="O19" s="3033">
        <f t="shared" si="135"/>
        <v>0</v>
      </c>
      <c r="P19" s="3034">
        <f t="shared" si="135"/>
        <v>0</v>
      </c>
      <c r="Q19" s="1224">
        <f t="shared" si="36"/>
        <v>0</v>
      </c>
      <c r="R19" s="1179">
        <f t="shared" si="37"/>
        <v>0</v>
      </c>
      <c r="S19" s="4601">
        <v>0</v>
      </c>
      <c r="T19" s="3033">
        <f>S19*1.07</f>
        <v>0</v>
      </c>
      <c r="U19" s="3033">
        <f>T19*1.03</f>
        <v>0</v>
      </c>
      <c r="V19" s="3033">
        <f t="shared" ref="V19:X23" si="136">U19*1.03</f>
        <v>0</v>
      </c>
      <c r="W19" s="3033">
        <f t="shared" si="136"/>
        <v>0</v>
      </c>
      <c r="X19" s="3034">
        <f t="shared" si="136"/>
        <v>0</v>
      </c>
      <c r="Y19" s="1224">
        <f t="shared" si="38"/>
        <v>0</v>
      </c>
      <c r="Z19" s="1179">
        <f t="shared" si="39"/>
        <v>0</v>
      </c>
      <c r="AA19" s="3032"/>
      <c r="AB19" s="3033"/>
      <c r="AC19" s="3033"/>
      <c r="AD19" s="3033"/>
      <c r="AE19" s="3033"/>
      <c r="AF19" s="3034"/>
      <c r="AG19" s="1224">
        <f t="shared" si="40"/>
        <v>0</v>
      </c>
      <c r="AH19" s="1183">
        <f t="shared" si="41"/>
        <v>0</v>
      </c>
      <c r="AI19" s="3032"/>
      <c r="AJ19" s="3033"/>
      <c r="AK19" s="3033"/>
      <c r="AL19" s="3033"/>
      <c r="AM19" s="3033"/>
      <c r="AN19" s="3034"/>
      <c r="AO19" s="1224">
        <f t="shared" si="42"/>
        <v>0</v>
      </c>
      <c r="AP19" s="1183">
        <f t="shared" si="43"/>
        <v>0</v>
      </c>
      <c r="AQ19" s="3032"/>
      <c r="AR19" s="3033"/>
      <c r="AS19" s="3033"/>
      <c r="AT19" s="3033"/>
      <c r="AU19" s="3033"/>
      <c r="AV19" s="3052"/>
      <c r="AW19" s="1086">
        <f t="shared" ref="AW19:AW24" si="137">C19+K19+S19+AA19+AI19</f>
        <v>0</v>
      </c>
      <c r="AX19" s="3042">
        <f t="shared" ref="AX19:AX24" si="138">D19+L19+T19+AB19+AJ19</f>
        <v>0</v>
      </c>
      <c r="AY19" s="3042">
        <f t="shared" ref="AY19:AY24" si="139">E19+M19+U19+AC19+AK19</f>
        <v>0</v>
      </c>
      <c r="AZ19" s="3042">
        <f t="shared" ref="AZ19:AZ24" si="140">F19+N19+V19+AD19+AL19</f>
        <v>0</v>
      </c>
      <c r="BA19" s="3042">
        <f t="shared" ref="BA19:BA24" si="141">G19+O19+W19+AE19+AM19</f>
        <v>0</v>
      </c>
      <c r="BB19" s="3043">
        <f t="shared" ref="BB19:BB24" si="142">H19+P19+X19+AF19+AN19</f>
        <v>0</v>
      </c>
      <c r="BC19" s="3059">
        <f t="shared" ref="BC19:BC24" si="143">C19+AA19+AI19</f>
        <v>0</v>
      </c>
      <c r="BD19" s="3060">
        <f t="shared" ref="BD19:BD24" si="144">D19+AB19+AJ19</f>
        <v>0</v>
      </c>
      <c r="BE19" s="3061">
        <f t="shared" ref="BE19:BE24" si="145">E19+AC19+AK19</f>
        <v>0</v>
      </c>
      <c r="BF19" s="3061">
        <f t="shared" ref="BF19:BF24" si="146">F19+AD19+AL19</f>
        <v>0</v>
      </c>
      <c r="BG19" s="3061">
        <f t="shared" ref="BG19:BG24" si="147">G19+AE19+AM19</f>
        <v>0</v>
      </c>
      <c r="BH19" s="3063">
        <f t="shared" ref="BH19:BH24" si="148">H19+AF19+AN19</f>
        <v>0</v>
      </c>
      <c r="BI19" s="4422"/>
      <c r="BJ19" s="4438">
        <f t="shared" si="46"/>
        <v>0</v>
      </c>
      <c r="BK19" s="4438">
        <f t="shared" si="47"/>
        <v>0</v>
      </c>
      <c r="BL19" s="4438">
        <f t="shared" si="48"/>
        <v>0</v>
      </c>
      <c r="BM19" s="4438">
        <f t="shared" si="49"/>
        <v>0</v>
      </c>
      <c r="BN19" s="4438">
        <f t="shared" si="50"/>
        <v>0</v>
      </c>
      <c r="BO19" s="4438">
        <f t="shared" si="51"/>
        <v>0</v>
      </c>
      <c r="BP19" s="4438">
        <f t="shared" si="52"/>
        <v>0</v>
      </c>
      <c r="BQ19" s="4438">
        <f t="shared" si="53"/>
        <v>0</v>
      </c>
      <c r="BR19" s="4438">
        <f t="shared" si="54"/>
        <v>0</v>
      </c>
      <c r="BS19" s="4438">
        <f t="shared" si="55"/>
        <v>0</v>
      </c>
      <c r="BT19" s="4438">
        <f t="shared" si="56"/>
        <v>0</v>
      </c>
      <c r="BU19" s="4438">
        <f t="shared" si="57"/>
        <v>0</v>
      </c>
      <c r="BV19" s="4438">
        <f t="shared" si="58"/>
        <v>0</v>
      </c>
      <c r="BW19" s="4438">
        <f t="shared" si="59"/>
        <v>0</v>
      </c>
      <c r="BX19" s="4438">
        <f t="shared" si="60"/>
        <v>0</v>
      </c>
      <c r="BY19" s="4438">
        <f t="shared" si="61"/>
        <v>0</v>
      </c>
      <c r="BZ19" s="4438">
        <f t="shared" si="62"/>
        <v>0</v>
      </c>
      <c r="CA19" s="4438">
        <f t="shared" si="63"/>
        <v>0</v>
      </c>
      <c r="CB19" s="4438">
        <f t="shared" si="64"/>
        <v>0</v>
      </c>
      <c r="CC19" s="4438">
        <f t="shared" si="65"/>
        <v>0</v>
      </c>
      <c r="CD19" s="4438">
        <f t="shared" si="66"/>
        <v>0</v>
      </c>
      <c r="CE19" s="4438">
        <f t="shared" si="67"/>
        <v>0</v>
      </c>
      <c r="CF19" s="4438">
        <f t="shared" si="68"/>
        <v>0</v>
      </c>
      <c r="CG19" s="4438">
        <f t="shared" si="69"/>
        <v>0</v>
      </c>
      <c r="CH19" s="4438">
        <f t="shared" si="70"/>
        <v>0</v>
      </c>
      <c r="CI19" s="4438">
        <f t="shared" si="71"/>
        <v>0</v>
      </c>
      <c r="CJ19" s="4438">
        <f t="shared" si="72"/>
        <v>0</v>
      </c>
      <c r="CK19" s="4438">
        <f t="shared" si="73"/>
        <v>0</v>
      </c>
      <c r="CL19" s="4438">
        <f t="shared" si="74"/>
        <v>0</v>
      </c>
      <c r="CM19" s="4438">
        <f t="shared" si="75"/>
        <v>0</v>
      </c>
      <c r="CN19" s="4438">
        <f t="shared" si="76"/>
        <v>0</v>
      </c>
      <c r="CO19" s="4438">
        <f t="shared" si="77"/>
        <v>0</v>
      </c>
      <c r="CP19" s="4438">
        <f t="shared" si="78"/>
        <v>0</v>
      </c>
      <c r="CQ19" s="4438">
        <f t="shared" si="79"/>
        <v>0</v>
      </c>
      <c r="CR19" s="4438">
        <f t="shared" si="80"/>
        <v>0</v>
      </c>
      <c r="CS19" s="4438">
        <f t="shared" si="81"/>
        <v>0</v>
      </c>
      <c r="CT19" s="4438">
        <f t="shared" si="82"/>
        <v>0</v>
      </c>
      <c r="CU19" s="4438">
        <f t="shared" si="83"/>
        <v>0</v>
      </c>
      <c r="CV19" s="4438">
        <f t="shared" si="84"/>
        <v>0</v>
      </c>
      <c r="CW19" s="4438">
        <f t="shared" si="85"/>
        <v>0</v>
      </c>
      <c r="CX19" s="4438">
        <f t="shared" si="86"/>
        <v>0</v>
      </c>
      <c r="CY19" s="4438">
        <f t="shared" si="87"/>
        <v>0</v>
      </c>
      <c r="CZ19" s="4438">
        <f t="shared" si="88"/>
        <v>0</v>
      </c>
      <c r="DA19" s="4438">
        <f t="shared" si="89"/>
        <v>0</v>
      </c>
      <c r="DB19" s="4438">
        <f t="shared" si="90"/>
        <v>0</v>
      </c>
      <c r="DC19" s="4438">
        <f t="shared" si="91"/>
        <v>0</v>
      </c>
      <c r="DD19" s="4438">
        <f t="shared" si="92"/>
        <v>0</v>
      </c>
      <c r="DE19" s="4438">
        <f t="shared" si="93"/>
        <v>0</v>
      </c>
      <c r="DF19" s="4438">
        <f t="shared" si="94"/>
        <v>0</v>
      </c>
      <c r="DG19" s="4438">
        <f t="shared" si="95"/>
        <v>0</v>
      </c>
      <c r="DH19" s="4438">
        <f t="shared" si="96"/>
        <v>0</v>
      </c>
      <c r="DI19" s="4438">
        <f t="shared" si="97"/>
        <v>0</v>
      </c>
      <c r="DJ19" s="4438">
        <f t="shared" si="98"/>
        <v>0</v>
      </c>
    </row>
    <row r="20" spans="1:114" s="673" customFormat="1" ht="12.75">
      <c r="A20" s="817" t="s">
        <v>436</v>
      </c>
      <c r="B20" s="3852" t="s">
        <v>1220</v>
      </c>
      <c r="C20" s="4601">
        <v>263</v>
      </c>
      <c r="D20" s="3033">
        <f t="shared" si="132"/>
        <v>281.41000000000003</v>
      </c>
      <c r="E20" s="3033">
        <f t="shared" si="133"/>
        <v>289.85230000000001</v>
      </c>
      <c r="F20" s="3033">
        <f t="shared" si="133"/>
        <v>298.54786900000005</v>
      </c>
      <c r="G20" s="3033">
        <f t="shared" si="133"/>
        <v>307.50430507000004</v>
      </c>
      <c r="H20" s="3034">
        <f t="shared" si="133"/>
        <v>316.72943422210005</v>
      </c>
      <c r="I20" s="1224">
        <f t="shared" si="34"/>
        <v>18.410000000000025</v>
      </c>
      <c r="J20" s="1183">
        <f t="shared" si="35"/>
        <v>7.000000000000009E-2</v>
      </c>
      <c r="K20" s="4601">
        <v>6</v>
      </c>
      <c r="L20" s="3033">
        <f t="shared" si="134"/>
        <v>6.42</v>
      </c>
      <c r="M20" s="3033">
        <f t="shared" si="135"/>
        <v>6.6126000000000005</v>
      </c>
      <c r="N20" s="3033">
        <f t="shared" si="135"/>
        <v>6.8109780000000004</v>
      </c>
      <c r="O20" s="3033">
        <f t="shared" si="135"/>
        <v>7.0153073400000006</v>
      </c>
      <c r="P20" s="3034">
        <f t="shared" si="135"/>
        <v>7.2257665602000012</v>
      </c>
      <c r="Q20" s="1224">
        <f t="shared" si="36"/>
        <v>0.41999999999999993</v>
      </c>
      <c r="R20" s="1179">
        <f t="shared" si="37"/>
        <v>6.9999999999999993E-2</v>
      </c>
      <c r="S20" s="4601">
        <v>11</v>
      </c>
      <c r="T20" s="3033">
        <f>S20*1.07</f>
        <v>11.770000000000001</v>
      </c>
      <c r="U20" s="3033">
        <f>T20*1.03</f>
        <v>12.123100000000001</v>
      </c>
      <c r="V20" s="3033">
        <f t="shared" si="136"/>
        <v>12.486793</v>
      </c>
      <c r="W20" s="3033">
        <f t="shared" si="136"/>
        <v>12.861396790000001</v>
      </c>
      <c r="X20" s="3034">
        <f t="shared" si="136"/>
        <v>13.247238693700002</v>
      </c>
      <c r="Y20" s="1224">
        <f t="shared" si="38"/>
        <v>0.77000000000000135</v>
      </c>
      <c r="Z20" s="1179">
        <f t="shared" si="39"/>
        <v>7.0000000000000118E-2</v>
      </c>
      <c r="AA20" s="3032"/>
      <c r="AB20" s="3033"/>
      <c r="AC20" s="3033"/>
      <c r="AD20" s="3033"/>
      <c r="AE20" s="3033"/>
      <c r="AF20" s="3034"/>
      <c r="AG20" s="1224">
        <f t="shared" si="40"/>
        <v>0</v>
      </c>
      <c r="AH20" s="1183">
        <f t="shared" si="41"/>
        <v>0</v>
      </c>
      <c r="AI20" s="3032"/>
      <c r="AJ20" s="3033"/>
      <c r="AK20" s="3033"/>
      <c r="AL20" s="3033"/>
      <c r="AM20" s="3033"/>
      <c r="AN20" s="3034"/>
      <c r="AO20" s="1224">
        <f t="shared" si="42"/>
        <v>0</v>
      </c>
      <c r="AP20" s="1183">
        <f t="shared" si="43"/>
        <v>0</v>
      </c>
      <c r="AQ20" s="3032"/>
      <c r="AR20" s="3033"/>
      <c r="AS20" s="3033"/>
      <c r="AT20" s="3033"/>
      <c r="AU20" s="3033"/>
      <c r="AV20" s="3052"/>
      <c r="AW20" s="1086">
        <f t="shared" si="137"/>
        <v>280</v>
      </c>
      <c r="AX20" s="3042">
        <f t="shared" si="138"/>
        <v>299.60000000000002</v>
      </c>
      <c r="AY20" s="3042">
        <f t="shared" si="139"/>
        <v>308.58800000000002</v>
      </c>
      <c r="AZ20" s="3042">
        <f t="shared" si="140"/>
        <v>317.84564</v>
      </c>
      <c r="BA20" s="3042">
        <f t="shared" si="141"/>
        <v>327.38100920000005</v>
      </c>
      <c r="BB20" s="3043">
        <f t="shared" si="142"/>
        <v>337.20243947600005</v>
      </c>
      <c r="BC20" s="3059">
        <f t="shared" si="143"/>
        <v>263</v>
      </c>
      <c r="BD20" s="3060">
        <f t="shared" si="144"/>
        <v>281.41000000000003</v>
      </c>
      <c r="BE20" s="3061">
        <f t="shared" si="145"/>
        <v>289.85230000000001</v>
      </c>
      <c r="BF20" s="3061">
        <f t="shared" si="146"/>
        <v>298.54786900000005</v>
      </c>
      <c r="BG20" s="3061">
        <f t="shared" si="147"/>
        <v>307.50430507000004</v>
      </c>
      <c r="BH20" s="3063">
        <f t="shared" si="148"/>
        <v>316.72943422210005</v>
      </c>
      <c r="BI20" s="4422"/>
      <c r="BJ20" s="4438">
        <f t="shared" si="46"/>
        <v>134.46976475460548</v>
      </c>
      <c r="BK20" s="4438">
        <f t="shared" si="47"/>
        <v>143.88264828742786</v>
      </c>
      <c r="BL20" s="4438">
        <f t="shared" si="48"/>
        <v>148.19912773605068</v>
      </c>
      <c r="BM20" s="4438">
        <f t="shared" si="49"/>
        <v>152.64510156813222</v>
      </c>
      <c r="BN20" s="4438">
        <f t="shared" si="50"/>
        <v>157.2244546151762</v>
      </c>
      <c r="BO20" s="4438">
        <f t="shared" si="51"/>
        <v>161.94118825363148</v>
      </c>
      <c r="BP20" s="4438">
        <f t="shared" si="52"/>
        <v>9.412883532822395</v>
      </c>
      <c r="BQ20" s="4438">
        <f t="shared" si="53"/>
        <v>3.0677512871773112</v>
      </c>
      <c r="BR20" s="4438">
        <f t="shared" si="54"/>
        <v>3.2824938772797227</v>
      </c>
      <c r="BS20" s="4438">
        <f t="shared" si="55"/>
        <v>3.3809686935981147</v>
      </c>
      <c r="BT20" s="4438">
        <f t="shared" si="56"/>
        <v>3.4823977544060583</v>
      </c>
      <c r="BU20" s="4438">
        <f t="shared" si="57"/>
        <v>3.5868696870382397</v>
      </c>
      <c r="BV20" s="4438">
        <f t="shared" si="58"/>
        <v>3.6944757776493873</v>
      </c>
      <c r="BW20" s="4438">
        <f t="shared" si="59"/>
        <v>0.21474259010241173</v>
      </c>
      <c r="BX20" s="4438">
        <f t="shared" si="60"/>
        <v>5.6242106931584033</v>
      </c>
      <c r="BY20" s="4438">
        <f t="shared" si="61"/>
        <v>6.0179054416794928</v>
      </c>
      <c r="BZ20" s="4438">
        <f t="shared" si="62"/>
        <v>6.1984426049298769</v>
      </c>
      <c r="CA20" s="4438">
        <f t="shared" si="63"/>
        <v>6.3843958830777732</v>
      </c>
      <c r="CB20" s="4438">
        <f t="shared" si="64"/>
        <v>6.5759277595701064</v>
      </c>
      <c r="CC20" s="4438">
        <f t="shared" si="65"/>
        <v>6.7732055923572103</v>
      </c>
      <c r="CD20" s="4438">
        <f t="shared" si="66"/>
        <v>0.39369474852108893</v>
      </c>
      <c r="CE20" s="4438">
        <f t="shared" si="67"/>
        <v>0</v>
      </c>
      <c r="CF20" s="4438">
        <f t="shared" si="68"/>
        <v>0</v>
      </c>
      <c r="CG20" s="4438">
        <f t="shared" si="69"/>
        <v>0</v>
      </c>
      <c r="CH20" s="4438">
        <f t="shared" si="70"/>
        <v>0</v>
      </c>
      <c r="CI20" s="4438">
        <f t="shared" si="71"/>
        <v>0</v>
      </c>
      <c r="CJ20" s="4438">
        <f t="shared" si="72"/>
        <v>0</v>
      </c>
      <c r="CK20" s="4438">
        <f t="shared" si="73"/>
        <v>0</v>
      </c>
      <c r="CL20" s="4438">
        <f t="shared" si="74"/>
        <v>0</v>
      </c>
      <c r="CM20" s="4438">
        <f t="shared" si="75"/>
        <v>0</v>
      </c>
      <c r="CN20" s="4438">
        <f t="shared" si="76"/>
        <v>0</v>
      </c>
      <c r="CO20" s="4438">
        <f t="shared" si="77"/>
        <v>0</v>
      </c>
      <c r="CP20" s="4438">
        <f t="shared" si="78"/>
        <v>0</v>
      </c>
      <c r="CQ20" s="4438">
        <f t="shared" si="79"/>
        <v>0</v>
      </c>
      <c r="CR20" s="4438">
        <f t="shared" si="80"/>
        <v>0</v>
      </c>
      <c r="CS20" s="4438">
        <f t="shared" si="81"/>
        <v>0</v>
      </c>
      <c r="CT20" s="4438">
        <f t="shared" si="82"/>
        <v>0</v>
      </c>
      <c r="CU20" s="4438">
        <f t="shared" si="83"/>
        <v>0</v>
      </c>
      <c r="CV20" s="4438">
        <f t="shared" si="84"/>
        <v>0</v>
      </c>
      <c r="CW20" s="4438">
        <f t="shared" si="85"/>
        <v>0</v>
      </c>
      <c r="CX20" s="4438">
        <f t="shared" si="86"/>
        <v>0</v>
      </c>
      <c r="CY20" s="4438">
        <f t="shared" si="87"/>
        <v>143.16172673494117</v>
      </c>
      <c r="CZ20" s="4438">
        <f t="shared" si="88"/>
        <v>153.18304760638708</v>
      </c>
      <c r="DA20" s="4438">
        <f t="shared" si="89"/>
        <v>157.77853903457867</v>
      </c>
      <c r="DB20" s="4438">
        <f t="shared" si="90"/>
        <v>162.51189520561604</v>
      </c>
      <c r="DC20" s="4438">
        <f t="shared" si="91"/>
        <v>167.38725206178455</v>
      </c>
      <c r="DD20" s="4438">
        <f t="shared" si="92"/>
        <v>172.40886962363808</v>
      </c>
      <c r="DE20" s="4438">
        <f t="shared" si="93"/>
        <v>134.46976475460548</v>
      </c>
      <c r="DF20" s="4438">
        <f t="shared" si="94"/>
        <v>143.88264828742786</v>
      </c>
      <c r="DG20" s="4438">
        <f t="shared" si="95"/>
        <v>148.19912773605068</v>
      </c>
      <c r="DH20" s="4438">
        <f t="shared" si="96"/>
        <v>152.64510156813222</v>
      </c>
      <c r="DI20" s="4438">
        <f t="shared" si="97"/>
        <v>157.2244546151762</v>
      </c>
      <c r="DJ20" s="4438">
        <f t="shared" si="98"/>
        <v>161.94118825363148</v>
      </c>
    </row>
    <row r="21" spans="1:114" s="673" customFormat="1" ht="12.75">
      <c r="A21" s="817" t="s">
        <v>1221</v>
      </c>
      <c r="B21" s="3019" t="s">
        <v>1218</v>
      </c>
      <c r="C21" s="3035">
        <f>'8. Ремонтна програма'!J27</f>
        <v>193</v>
      </c>
      <c r="D21" s="3634">
        <f>'8. Ремонтна програма'!K27</f>
        <v>250.9</v>
      </c>
      <c r="E21" s="3036">
        <f>'8. Ремонтна програма'!L27</f>
        <v>263.44499999999999</v>
      </c>
      <c r="F21" s="3036">
        <f>'8. Ремонтна програма'!M27</f>
        <v>271.34834999999998</v>
      </c>
      <c r="G21" s="3036">
        <f>'8. Ремонтна програма'!N27</f>
        <v>265.92138299999999</v>
      </c>
      <c r="H21" s="3036">
        <f>'8. Ремонтна програма'!O27</f>
        <v>255.28452768</v>
      </c>
      <c r="I21" s="3043">
        <f t="shared" si="34"/>
        <v>57.900000000000006</v>
      </c>
      <c r="J21" s="1183">
        <f t="shared" si="35"/>
        <v>0.30000000000000004</v>
      </c>
      <c r="K21" s="3035">
        <f>'8. Ремонтна програма'!J56</f>
        <v>2</v>
      </c>
      <c r="L21" s="1228">
        <f>'8. Ремонтна програма'!K56</f>
        <v>2.6</v>
      </c>
      <c r="M21" s="3036">
        <f>'8. Ремонтна програма'!L56</f>
        <v>2.7300000000000004</v>
      </c>
      <c r="N21" s="3036">
        <f>'8. Ремонтна програма'!M56</f>
        <v>2.8119000000000005</v>
      </c>
      <c r="O21" s="3036">
        <f>'8. Ремонтна програма'!N56</f>
        <v>2.7556620000000005</v>
      </c>
      <c r="P21" s="3635">
        <f>'8. Ремонтна програма'!O56</f>
        <v>2.6454355200000004</v>
      </c>
      <c r="Q21" s="1224">
        <f t="shared" si="36"/>
        <v>0.60000000000000009</v>
      </c>
      <c r="R21" s="1179">
        <f t="shared" si="37"/>
        <v>0.30000000000000004</v>
      </c>
      <c r="S21" s="3035">
        <f>'8. Ремонтна програма'!J82</f>
        <v>0</v>
      </c>
      <c r="T21" s="1228">
        <f>'8. Ремонтна програма'!K82</f>
        <v>0</v>
      </c>
      <c r="U21" s="3036">
        <f>'8. Ремонтна програма'!L82</f>
        <v>0</v>
      </c>
      <c r="V21" s="3036">
        <f>'8. Ремонтна програма'!M82</f>
        <v>0</v>
      </c>
      <c r="W21" s="3036">
        <f>'8. Ремонтна програма'!N82</f>
        <v>0</v>
      </c>
      <c r="X21" s="3635">
        <f>'8. Ремонтна програма'!O82</f>
        <v>0</v>
      </c>
      <c r="Y21" s="1228">
        <f t="shared" si="38"/>
        <v>0</v>
      </c>
      <c r="Z21" s="1179">
        <f t="shared" si="39"/>
        <v>0</v>
      </c>
      <c r="AA21" s="3035">
        <f>'8. Ремонтна програма'!J113</f>
        <v>0</v>
      </c>
      <c r="AB21" s="1228">
        <f>'8. Ремонтна програма'!K113</f>
        <v>0</v>
      </c>
      <c r="AC21" s="3036">
        <f>'8. Ремонтна програма'!L113</f>
        <v>0</v>
      </c>
      <c r="AD21" s="3036">
        <f>'8. Ремонтна програма'!M113</f>
        <v>0</v>
      </c>
      <c r="AE21" s="3036">
        <f>'8. Ремонтна програма'!N113</f>
        <v>0</v>
      </c>
      <c r="AF21" s="3635">
        <f>'8. Ремонтна програма'!O113</f>
        <v>0</v>
      </c>
      <c r="AG21" s="1228">
        <f t="shared" si="40"/>
        <v>0</v>
      </c>
      <c r="AH21" s="1183">
        <f t="shared" si="41"/>
        <v>0</v>
      </c>
      <c r="AI21" s="3035">
        <f>'8. Ремонтна програма'!J144</f>
        <v>0</v>
      </c>
      <c r="AJ21" s="1228">
        <f>'8. Ремонтна програма'!K144</f>
        <v>0</v>
      </c>
      <c r="AK21" s="3036">
        <f>'8. Ремонтна програма'!L144</f>
        <v>0</v>
      </c>
      <c r="AL21" s="3036">
        <f>'8. Ремонтна програма'!M144</f>
        <v>0</v>
      </c>
      <c r="AM21" s="3036">
        <f>'8. Ремонтна програма'!N144</f>
        <v>0</v>
      </c>
      <c r="AN21" s="3635">
        <f>'8. Ремонтна програма'!O144</f>
        <v>0</v>
      </c>
      <c r="AO21" s="1228">
        <f t="shared" si="42"/>
        <v>0</v>
      </c>
      <c r="AP21" s="1183">
        <f t="shared" si="43"/>
        <v>0</v>
      </c>
      <c r="AQ21" s="3032"/>
      <c r="AR21" s="3033"/>
      <c r="AS21" s="3033"/>
      <c r="AT21" s="3033"/>
      <c r="AU21" s="3033"/>
      <c r="AV21" s="3052"/>
      <c r="AW21" s="3065">
        <f t="shared" si="137"/>
        <v>195</v>
      </c>
      <c r="AX21" s="3043">
        <f t="shared" si="138"/>
        <v>253.5</v>
      </c>
      <c r="AY21" s="3066">
        <f t="shared" si="139"/>
        <v>266.17500000000001</v>
      </c>
      <c r="AZ21" s="3066">
        <f t="shared" si="140"/>
        <v>274.16024999999996</v>
      </c>
      <c r="BA21" s="3066">
        <f t="shared" si="141"/>
        <v>268.67704499999996</v>
      </c>
      <c r="BB21" s="3043">
        <f t="shared" si="142"/>
        <v>257.92996319999997</v>
      </c>
      <c r="BC21" s="3059">
        <f t="shared" si="143"/>
        <v>193</v>
      </c>
      <c r="BD21" s="3060">
        <f t="shared" si="144"/>
        <v>250.9</v>
      </c>
      <c r="BE21" s="3061">
        <f t="shared" si="145"/>
        <v>263.44499999999999</v>
      </c>
      <c r="BF21" s="3061">
        <f t="shared" si="146"/>
        <v>271.34834999999998</v>
      </c>
      <c r="BG21" s="3061">
        <f t="shared" si="147"/>
        <v>265.92138299999999</v>
      </c>
      <c r="BH21" s="3063">
        <f t="shared" si="148"/>
        <v>255.28452768</v>
      </c>
      <c r="BI21" s="4422"/>
      <c r="BJ21" s="4438">
        <f t="shared" si="46"/>
        <v>98.679333070870172</v>
      </c>
      <c r="BK21" s="4438">
        <f t="shared" si="47"/>
        <v>128.28313299213121</v>
      </c>
      <c r="BL21" s="4438">
        <f t="shared" si="48"/>
        <v>134.69728964173777</v>
      </c>
      <c r="BM21" s="4438">
        <f t="shared" si="49"/>
        <v>138.73820833098992</v>
      </c>
      <c r="BN21" s="4438">
        <f t="shared" si="50"/>
        <v>135.96344416437012</v>
      </c>
      <c r="BO21" s="4438">
        <f t="shared" si="51"/>
        <v>130.52490639779532</v>
      </c>
      <c r="BP21" s="4438">
        <f t="shared" si="52"/>
        <v>29.603799921261054</v>
      </c>
      <c r="BQ21" s="4438">
        <f t="shared" si="53"/>
        <v>1.022583762392437</v>
      </c>
      <c r="BR21" s="4438">
        <f t="shared" si="54"/>
        <v>1.3293588911101681</v>
      </c>
      <c r="BS21" s="4438">
        <f t="shared" si="55"/>
        <v>1.3958268356656767</v>
      </c>
      <c r="BT21" s="4438">
        <f t="shared" si="56"/>
        <v>1.4377016407356471</v>
      </c>
      <c r="BU21" s="4438">
        <f t="shared" si="57"/>
        <v>1.4089476079209342</v>
      </c>
      <c r="BV21" s="4438">
        <f t="shared" si="58"/>
        <v>1.3525897036040966</v>
      </c>
      <c r="BW21" s="4438">
        <f t="shared" si="59"/>
        <v>0.30677512871773116</v>
      </c>
      <c r="BX21" s="4438">
        <f t="shared" si="60"/>
        <v>0</v>
      </c>
      <c r="BY21" s="4438">
        <f t="shared" si="61"/>
        <v>0</v>
      </c>
      <c r="BZ21" s="4438">
        <f t="shared" si="62"/>
        <v>0</v>
      </c>
      <c r="CA21" s="4438">
        <f t="shared" si="63"/>
        <v>0</v>
      </c>
      <c r="CB21" s="4438">
        <f t="shared" si="64"/>
        <v>0</v>
      </c>
      <c r="CC21" s="4438">
        <f t="shared" si="65"/>
        <v>0</v>
      </c>
      <c r="CD21" s="4438">
        <f t="shared" si="66"/>
        <v>0</v>
      </c>
      <c r="CE21" s="4438">
        <f t="shared" si="67"/>
        <v>0</v>
      </c>
      <c r="CF21" s="4438">
        <f t="shared" si="68"/>
        <v>0</v>
      </c>
      <c r="CG21" s="4438">
        <f t="shared" si="69"/>
        <v>0</v>
      </c>
      <c r="CH21" s="4438">
        <f t="shared" si="70"/>
        <v>0</v>
      </c>
      <c r="CI21" s="4438">
        <f t="shared" si="71"/>
        <v>0</v>
      </c>
      <c r="CJ21" s="4438">
        <f t="shared" si="72"/>
        <v>0</v>
      </c>
      <c r="CK21" s="4438">
        <f t="shared" si="73"/>
        <v>0</v>
      </c>
      <c r="CL21" s="4438">
        <f t="shared" si="74"/>
        <v>0</v>
      </c>
      <c r="CM21" s="4438">
        <f t="shared" si="75"/>
        <v>0</v>
      </c>
      <c r="CN21" s="4438">
        <f t="shared" si="76"/>
        <v>0</v>
      </c>
      <c r="CO21" s="4438">
        <f t="shared" si="77"/>
        <v>0</v>
      </c>
      <c r="CP21" s="4438">
        <f t="shared" si="78"/>
        <v>0</v>
      </c>
      <c r="CQ21" s="4438">
        <f t="shared" si="79"/>
        <v>0</v>
      </c>
      <c r="CR21" s="4438">
        <f t="shared" si="80"/>
        <v>0</v>
      </c>
      <c r="CS21" s="4438">
        <f t="shared" si="81"/>
        <v>0</v>
      </c>
      <c r="CT21" s="4438">
        <f t="shared" si="82"/>
        <v>0</v>
      </c>
      <c r="CU21" s="4438">
        <f t="shared" si="83"/>
        <v>0</v>
      </c>
      <c r="CV21" s="4438">
        <f t="shared" si="84"/>
        <v>0</v>
      </c>
      <c r="CW21" s="4438">
        <f t="shared" si="85"/>
        <v>0</v>
      </c>
      <c r="CX21" s="4438">
        <f t="shared" si="86"/>
        <v>0</v>
      </c>
      <c r="CY21" s="4438">
        <f t="shared" si="87"/>
        <v>99.701916833262601</v>
      </c>
      <c r="CZ21" s="4438">
        <f t="shared" si="88"/>
        <v>129.61249188324138</v>
      </c>
      <c r="DA21" s="4438">
        <f t="shared" si="89"/>
        <v>136.09311647740347</v>
      </c>
      <c r="DB21" s="4438">
        <f t="shared" si="90"/>
        <v>140.17590997172553</v>
      </c>
      <c r="DC21" s="4438">
        <f t="shared" si="91"/>
        <v>137.37239177229102</v>
      </c>
      <c r="DD21" s="4438">
        <f t="shared" si="92"/>
        <v>131.8774961013994</v>
      </c>
      <c r="DE21" s="4438">
        <f t="shared" si="93"/>
        <v>98.679333070870172</v>
      </c>
      <c r="DF21" s="4438">
        <f t="shared" si="94"/>
        <v>128.28313299213121</v>
      </c>
      <c r="DG21" s="4438">
        <f t="shared" si="95"/>
        <v>134.69728964173777</v>
      </c>
      <c r="DH21" s="4438">
        <f t="shared" si="96"/>
        <v>138.73820833098992</v>
      </c>
      <c r="DI21" s="4438">
        <f t="shared" si="97"/>
        <v>135.96344416437012</v>
      </c>
      <c r="DJ21" s="4438">
        <f t="shared" si="98"/>
        <v>130.52490639779532</v>
      </c>
    </row>
    <row r="22" spans="1:114" ht="12.75">
      <c r="A22" s="816" t="s">
        <v>145</v>
      </c>
      <c r="B22" s="871" t="s">
        <v>236</v>
      </c>
      <c r="C22" s="4601">
        <v>7</v>
      </c>
      <c r="D22" s="3033">
        <f t="shared" si="132"/>
        <v>7.49</v>
      </c>
      <c r="E22" s="3033">
        <f t="shared" si="133"/>
        <v>7.7147000000000006</v>
      </c>
      <c r="F22" s="3033">
        <f t="shared" si="133"/>
        <v>7.9461410000000008</v>
      </c>
      <c r="G22" s="3033">
        <f t="shared" si="133"/>
        <v>8.1845252300000002</v>
      </c>
      <c r="H22" s="3034">
        <f t="shared" si="133"/>
        <v>8.4300609869000009</v>
      </c>
      <c r="I22" s="1224">
        <f t="shared" si="34"/>
        <v>0.49000000000000021</v>
      </c>
      <c r="J22" s="804">
        <f t="shared" si="35"/>
        <v>7.0000000000000034E-2</v>
      </c>
      <c r="K22" s="3032"/>
      <c r="L22" s="3033">
        <f t="shared" ref="L22:L23" si="149">K22*1.07</f>
        <v>0</v>
      </c>
      <c r="M22" s="3033">
        <f t="shared" ref="M22:P22" si="150">L22*1.03</f>
        <v>0</v>
      </c>
      <c r="N22" s="3033">
        <f t="shared" si="150"/>
        <v>0</v>
      </c>
      <c r="O22" s="3033">
        <f t="shared" si="150"/>
        <v>0</v>
      </c>
      <c r="P22" s="3034">
        <f t="shared" si="150"/>
        <v>0</v>
      </c>
      <c r="Q22" s="1224">
        <f t="shared" si="36"/>
        <v>0</v>
      </c>
      <c r="R22" s="1095">
        <f t="shared" si="37"/>
        <v>0</v>
      </c>
      <c r="S22" s="4601">
        <v>0</v>
      </c>
      <c r="T22" s="3033">
        <f>S22*1.07</f>
        <v>0</v>
      </c>
      <c r="U22" s="3033">
        <f>T22*1.03</f>
        <v>0</v>
      </c>
      <c r="V22" s="3033">
        <f t="shared" si="136"/>
        <v>0</v>
      </c>
      <c r="W22" s="3033">
        <f t="shared" si="136"/>
        <v>0</v>
      </c>
      <c r="X22" s="3034">
        <f t="shared" si="136"/>
        <v>0</v>
      </c>
      <c r="Y22" s="1224">
        <f t="shared" si="38"/>
        <v>0</v>
      </c>
      <c r="Z22" s="1095">
        <f t="shared" si="39"/>
        <v>0</v>
      </c>
      <c r="AA22" s="3032"/>
      <c r="AB22" s="3033"/>
      <c r="AC22" s="3033"/>
      <c r="AD22" s="3033"/>
      <c r="AE22" s="3033"/>
      <c r="AF22" s="3034"/>
      <c r="AG22" s="1224">
        <f t="shared" si="40"/>
        <v>0</v>
      </c>
      <c r="AH22" s="804">
        <f t="shared" si="41"/>
        <v>0</v>
      </c>
      <c r="AI22" s="3032"/>
      <c r="AJ22" s="3033"/>
      <c r="AK22" s="3033"/>
      <c r="AL22" s="3033"/>
      <c r="AM22" s="3033"/>
      <c r="AN22" s="3034"/>
      <c r="AO22" s="1224">
        <f t="shared" si="42"/>
        <v>0</v>
      </c>
      <c r="AP22" s="804">
        <f t="shared" si="43"/>
        <v>0</v>
      </c>
      <c r="AQ22" s="3032"/>
      <c r="AR22" s="3033"/>
      <c r="AS22" s="3033"/>
      <c r="AT22" s="3033"/>
      <c r="AU22" s="3033"/>
      <c r="AV22" s="3052"/>
      <c r="AW22" s="1086">
        <f t="shared" si="137"/>
        <v>7</v>
      </c>
      <c r="AX22" s="3042">
        <f t="shared" si="138"/>
        <v>7.49</v>
      </c>
      <c r="AY22" s="3042">
        <f t="shared" si="139"/>
        <v>7.7147000000000006</v>
      </c>
      <c r="AZ22" s="3042">
        <f t="shared" si="140"/>
        <v>7.9461410000000008</v>
      </c>
      <c r="BA22" s="3042">
        <f t="shared" si="141"/>
        <v>8.1845252300000002</v>
      </c>
      <c r="BB22" s="3043">
        <f t="shared" si="142"/>
        <v>8.4300609869000009</v>
      </c>
      <c r="BC22" s="3059">
        <f t="shared" si="143"/>
        <v>7</v>
      </c>
      <c r="BD22" s="3060">
        <f t="shared" si="144"/>
        <v>7.49</v>
      </c>
      <c r="BE22" s="3061">
        <f t="shared" si="145"/>
        <v>7.7147000000000006</v>
      </c>
      <c r="BF22" s="3061">
        <f t="shared" si="146"/>
        <v>7.9461410000000008</v>
      </c>
      <c r="BG22" s="3061">
        <f t="shared" si="147"/>
        <v>8.1845252300000002</v>
      </c>
      <c r="BH22" s="3063">
        <f t="shared" si="148"/>
        <v>8.4300609869000009</v>
      </c>
      <c r="BI22" s="4422"/>
      <c r="BJ22" s="4438">
        <f t="shared" si="46"/>
        <v>3.5790431683735293</v>
      </c>
      <c r="BK22" s="4438">
        <f t="shared" si="47"/>
        <v>3.8295761901596768</v>
      </c>
      <c r="BL22" s="4438">
        <f t="shared" si="48"/>
        <v>3.9444634758644672</v>
      </c>
      <c r="BM22" s="4438">
        <f t="shared" si="49"/>
        <v>4.0627973801404016</v>
      </c>
      <c r="BN22" s="4438">
        <f t="shared" si="50"/>
        <v>4.1846813015446127</v>
      </c>
      <c r="BO22" s="4438">
        <f t="shared" si="51"/>
        <v>4.3102217405909515</v>
      </c>
      <c r="BP22" s="4438">
        <f t="shared" si="52"/>
        <v>0.25053302178614717</v>
      </c>
      <c r="BQ22" s="4438">
        <f t="shared" si="53"/>
        <v>0</v>
      </c>
      <c r="BR22" s="4438">
        <f t="shared" si="54"/>
        <v>0</v>
      </c>
      <c r="BS22" s="4438">
        <f t="shared" si="55"/>
        <v>0</v>
      </c>
      <c r="BT22" s="4438">
        <f t="shared" si="56"/>
        <v>0</v>
      </c>
      <c r="BU22" s="4438">
        <f t="shared" si="57"/>
        <v>0</v>
      </c>
      <c r="BV22" s="4438">
        <f t="shared" si="58"/>
        <v>0</v>
      </c>
      <c r="BW22" s="4438">
        <f t="shared" si="59"/>
        <v>0</v>
      </c>
      <c r="BX22" s="4438">
        <f t="shared" si="60"/>
        <v>0</v>
      </c>
      <c r="BY22" s="4438">
        <f t="shared" si="61"/>
        <v>0</v>
      </c>
      <c r="BZ22" s="4438">
        <f t="shared" si="62"/>
        <v>0</v>
      </c>
      <c r="CA22" s="4438">
        <f t="shared" si="63"/>
        <v>0</v>
      </c>
      <c r="CB22" s="4438">
        <f t="shared" si="64"/>
        <v>0</v>
      </c>
      <c r="CC22" s="4438">
        <f t="shared" si="65"/>
        <v>0</v>
      </c>
      <c r="CD22" s="4438">
        <f t="shared" si="66"/>
        <v>0</v>
      </c>
      <c r="CE22" s="4438">
        <f t="shared" si="67"/>
        <v>0</v>
      </c>
      <c r="CF22" s="4438">
        <f t="shared" si="68"/>
        <v>0</v>
      </c>
      <c r="CG22" s="4438">
        <f t="shared" si="69"/>
        <v>0</v>
      </c>
      <c r="CH22" s="4438">
        <f t="shared" si="70"/>
        <v>0</v>
      </c>
      <c r="CI22" s="4438">
        <f t="shared" si="71"/>
        <v>0</v>
      </c>
      <c r="CJ22" s="4438">
        <f t="shared" si="72"/>
        <v>0</v>
      </c>
      <c r="CK22" s="4438">
        <f t="shared" si="73"/>
        <v>0</v>
      </c>
      <c r="CL22" s="4438">
        <f t="shared" si="74"/>
        <v>0</v>
      </c>
      <c r="CM22" s="4438">
        <f t="shared" si="75"/>
        <v>0</v>
      </c>
      <c r="CN22" s="4438">
        <f t="shared" si="76"/>
        <v>0</v>
      </c>
      <c r="CO22" s="4438">
        <f t="shared" si="77"/>
        <v>0</v>
      </c>
      <c r="CP22" s="4438">
        <f t="shared" si="78"/>
        <v>0</v>
      </c>
      <c r="CQ22" s="4438">
        <f t="shared" si="79"/>
        <v>0</v>
      </c>
      <c r="CR22" s="4438">
        <f t="shared" si="80"/>
        <v>0</v>
      </c>
      <c r="CS22" s="4438">
        <f t="shared" si="81"/>
        <v>0</v>
      </c>
      <c r="CT22" s="4438">
        <f t="shared" si="82"/>
        <v>0</v>
      </c>
      <c r="CU22" s="4438">
        <f t="shared" si="83"/>
        <v>0</v>
      </c>
      <c r="CV22" s="4438">
        <f t="shared" si="84"/>
        <v>0</v>
      </c>
      <c r="CW22" s="4438">
        <f t="shared" si="85"/>
        <v>0</v>
      </c>
      <c r="CX22" s="4438">
        <f t="shared" si="86"/>
        <v>0</v>
      </c>
      <c r="CY22" s="4438">
        <f t="shared" si="87"/>
        <v>3.5790431683735293</v>
      </c>
      <c r="CZ22" s="4438">
        <f t="shared" si="88"/>
        <v>3.8295761901596768</v>
      </c>
      <c r="DA22" s="4438">
        <f t="shared" si="89"/>
        <v>3.9444634758644672</v>
      </c>
      <c r="DB22" s="4438">
        <f t="shared" si="90"/>
        <v>4.0627973801404016</v>
      </c>
      <c r="DC22" s="4438">
        <f t="shared" si="91"/>
        <v>4.1846813015446127</v>
      </c>
      <c r="DD22" s="4438">
        <f t="shared" si="92"/>
        <v>4.3102217405909515</v>
      </c>
      <c r="DE22" s="4438">
        <f t="shared" si="93"/>
        <v>3.5790431683735293</v>
      </c>
      <c r="DF22" s="4438">
        <f t="shared" si="94"/>
        <v>3.8295761901596768</v>
      </c>
      <c r="DG22" s="4438">
        <f t="shared" si="95"/>
        <v>3.9444634758644672</v>
      </c>
      <c r="DH22" s="4438">
        <f t="shared" si="96"/>
        <v>4.0627973801404016</v>
      </c>
      <c r="DI22" s="4438">
        <f t="shared" si="97"/>
        <v>4.1846813015446127</v>
      </c>
      <c r="DJ22" s="4438">
        <f t="shared" si="98"/>
        <v>4.3102217405909515</v>
      </c>
    </row>
    <row r="23" spans="1:114" ht="12.75">
      <c r="A23" s="816" t="s">
        <v>147</v>
      </c>
      <c r="B23" s="871" t="s">
        <v>237</v>
      </c>
      <c r="C23" s="4601">
        <v>33</v>
      </c>
      <c r="D23" s="3033">
        <f t="shared" si="132"/>
        <v>35.31</v>
      </c>
      <c r="E23" s="3033">
        <f t="shared" si="133"/>
        <v>36.369300000000003</v>
      </c>
      <c r="F23" s="3033">
        <f t="shared" si="133"/>
        <v>37.460379000000003</v>
      </c>
      <c r="G23" s="3033">
        <f t="shared" si="133"/>
        <v>38.584190370000002</v>
      </c>
      <c r="H23" s="3034">
        <f t="shared" si="133"/>
        <v>39.741716081100002</v>
      </c>
      <c r="I23" s="1224">
        <f t="shared" si="34"/>
        <v>2.3100000000000023</v>
      </c>
      <c r="J23" s="804">
        <f t="shared" si="35"/>
        <v>7.0000000000000062E-2</v>
      </c>
      <c r="K23" s="4619">
        <v>1</v>
      </c>
      <c r="L23" s="3033">
        <f t="shared" si="149"/>
        <v>1.07</v>
      </c>
      <c r="M23" s="3033">
        <f t="shared" ref="M23:P23" si="151">L23*1.03</f>
        <v>1.1021000000000001</v>
      </c>
      <c r="N23" s="3033">
        <f t="shared" si="151"/>
        <v>1.1351630000000001</v>
      </c>
      <c r="O23" s="3033">
        <f t="shared" si="151"/>
        <v>1.1692178900000001</v>
      </c>
      <c r="P23" s="3034">
        <f t="shared" si="151"/>
        <v>1.2042944267000002</v>
      </c>
      <c r="Q23" s="1224">
        <f t="shared" si="36"/>
        <v>7.0000000000000062E-2</v>
      </c>
      <c r="R23" s="1095">
        <f t="shared" si="37"/>
        <v>7.0000000000000062E-2</v>
      </c>
      <c r="S23" s="4601">
        <v>2</v>
      </c>
      <c r="T23" s="3033">
        <f>S23*1.07</f>
        <v>2.14</v>
      </c>
      <c r="U23" s="3033">
        <f>T23*1.03</f>
        <v>2.2042000000000002</v>
      </c>
      <c r="V23" s="3033">
        <f t="shared" si="136"/>
        <v>2.2703260000000003</v>
      </c>
      <c r="W23" s="3033">
        <f t="shared" si="136"/>
        <v>2.3384357800000002</v>
      </c>
      <c r="X23" s="3034">
        <f t="shared" si="136"/>
        <v>2.4085888534000004</v>
      </c>
      <c r="Y23" s="1224">
        <f t="shared" si="38"/>
        <v>0.14000000000000012</v>
      </c>
      <c r="Z23" s="1095">
        <f t="shared" si="39"/>
        <v>7.0000000000000062E-2</v>
      </c>
      <c r="AA23" s="3032"/>
      <c r="AB23" s="3033"/>
      <c r="AC23" s="3033"/>
      <c r="AD23" s="3033"/>
      <c r="AE23" s="3033"/>
      <c r="AF23" s="3034"/>
      <c r="AG23" s="1224">
        <f t="shared" si="40"/>
        <v>0</v>
      </c>
      <c r="AH23" s="804">
        <f t="shared" si="41"/>
        <v>0</v>
      </c>
      <c r="AI23" s="3032"/>
      <c r="AJ23" s="3033"/>
      <c r="AK23" s="3033"/>
      <c r="AL23" s="3033"/>
      <c r="AM23" s="3033"/>
      <c r="AN23" s="3034"/>
      <c r="AO23" s="1224">
        <f t="shared" si="42"/>
        <v>0</v>
      </c>
      <c r="AP23" s="804">
        <f t="shared" si="43"/>
        <v>0</v>
      </c>
      <c r="AQ23" s="3032"/>
      <c r="AR23" s="3033"/>
      <c r="AS23" s="3033"/>
      <c r="AT23" s="3033"/>
      <c r="AU23" s="3033"/>
      <c r="AV23" s="3052"/>
      <c r="AW23" s="1086">
        <f t="shared" si="137"/>
        <v>36</v>
      </c>
      <c r="AX23" s="3042">
        <f t="shared" si="138"/>
        <v>38.520000000000003</v>
      </c>
      <c r="AY23" s="3042">
        <f t="shared" si="139"/>
        <v>39.675600000000003</v>
      </c>
      <c r="AZ23" s="3042">
        <f t="shared" si="140"/>
        <v>40.865867999999999</v>
      </c>
      <c r="BA23" s="3042">
        <f t="shared" si="141"/>
        <v>42.091844039999998</v>
      </c>
      <c r="BB23" s="3043">
        <f t="shared" si="142"/>
        <v>43.354599361200002</v>
      </c>
      <c r="BC23" s="3059">
        <f t="shared" si="143"/>
        <v>33</v>
      </c>
      <c r="BD23" s="3060">
        <f t="shared" si="144"/>
        <v>35.31</v>
      </c>
      <c r="BE23" s="3061">
        <f t="shared" si="145"/>
        <v>36.369300000000003</v>
      </c>
      <c r="BF23" s="3061">
        <f t="shared" si="146"/>
        <v>37.460379000000003</v>
      </c>
      <c r="BG23" s="3061">
        <f t="shared" si="147"/>
        <v>38.584190370000002</v>
      </c>
      <c r="BH23" s="3063">
        <f t="shared" si="148"/>
        <v>39.741716081100002</v>
      </c>
      <c r="BI23" s="4422"/>
      <c r="BJ23" s="4438">
        <f t="shared" si="46"/>
        <v>16.87263207947521</v>
      </c>
      <c r="BK23" s="4438">
        <f t="shared" si="47"/>
        <v>18.053716325038476</v>
      </c>
      <c r="BL23" s="4438">
        <f t="shared" si="48"/>
        <v>18.595327814789631</v>
      </c>
      <c r="BM23" s="4438">
        <f t="shared" si="49"/>
        <v>19.15318764923332</v>
      </c>
      <c r="BN23" s="4438">
        <f t="shared" si="50"/>
        <v>19.727783278710319</v>
      </c>
      <c r="BO23" s="4438">
        <f t="shared" si="51"/>
        <v>20.319616777071627</v>
      </c>
      <c r="BP23" s="4438">
        <f t="shared" si="52"/>
        <v>1.181084245563266</v>
      </c>
      <c r="BQ23" s="4438">
        <f t="shared" si="53"/>
        <v>0.51129188119621849</v>
      </c>
      <c r="BR23" s="4438">
        <f t="shared" si="54"/>
        <v>0.54708231287995379</v>
      </c>
      <c r="BS23" s="4438">
        <f t="shared" si="55"/>
        <v>0.56349478226635241</v>
      </c>
      <c r="BT23" s="4438">
        <f t="shared" si="56"/>
        <v>0.58039962573434301</v>
      </c>
      <c r="BU23" s="4438">
        <f t="shared" si="57"/>
        <v>0.59781161450637332</v>
      </c>
      <c r="BV23" s="4438">
        <f t="shared" si="58"/>
        <v>0.61574596294156458</v>
      </c>
      <c r="BW23" s="4438">
        <f t="shared" si="59"/>
        <v>3.579043168373533E-2</v>
      </c>
      <c r="BX23" s="4438">
        <f t="shared" si="60"/>
        <v>1.022583762392437</v>
      </c>
      <c r="BY23" s="4438">
        <f t="shared" si="61"/>
        <v>1.0941646257599076</v>
      </c>
      <c r="BZ23" s="4438">
        <f t="shared" si="62"/>
        <v>1.1269895645327048</v>
      </c>
      <c r="CA23" s="4438">
        <f t="shared" si="63"/>
        <v>1.160799251468686</v>
      </c>
      <c r="CB23" s="4438">
        <f t="shared" si="64"/>
        <v>1.1956232290127466</v>
      </c>
      <c r="CC23" s="4438">
        <f t="shared" si="65"/>
        <v>1.2314919258831292</v>
      </c>
      <c r="CD23" s="4438">
        <f t="shared" si="66"/>
        <v>7.158086336747066E-2</v>
      </c>
      <c r="CE23" s="4438">
        <f t="shared" si="67"/>
        <v>0</v>
      </c>
      <c r="CF23" s="4438">
        <f t="shared" si="68"/>
        <v>0</v>
      </c>
      <c r="CG23" s="4438">
        <f t="shared" si="69"/>
        <v>0</v>
      </c>
      <c r="CH23" s="4438">
        <f t="shared" si="70"/>
        <v>0</v>
      </c>
      <c r="CI23" s="4438">
        <f t="shared" si="71"/>
        <v>0</v>
      </c>
      <c r="CJ23" s="4438">
        <f t="shared" si="72"/>
        <v>0</v>
      </c>
      <c r="CK23" s="4438">
        <f t="shared" si="73"/>
        <v>0</v>
      </c>
      <c r="CL23" s="4438">
        <f t="shared" si="74"/>
        <v>0</v>
      </c>
      <c r="CM23" s="4438">
        <f t="shared" si="75"/>
        <v>0</v>
      </c>
      <c r="CN23" s="4438">
        <f t="shared" si="76"/>
        <v>0</v>
      </c>
      <c r="CO23" s="4438">
        <f t="shared" si="77"/>
        <v>0</v>
      </c>
      <c r="CP23" s="4438">
        <f t="shared" si="78"/>
        <v>0</v>
      </c>
      <c r="CQ23" s="4438">
        <f t="shared" si="79"/>
        <v>0</v>
      </c>
      <c r="CR23" s="4438">
        <f t="shared" si="80"/>
        <v>0</v>
      </c>
      <c r="CS23" s="4438">
        <f t="shared" si="81"/>
        <v>0</v>
      </c>
      <c r="CT23" s="4438">
        <f t="shared" si="82"/>
        <v>0</v>
      </c>
      <c r="CU23" s="4438">
        <f t="shared" si="83"/>
        <v>0</v>
      </c>
      <c r="CV23" s="4438">
        <f t="shared" si="84"/>
        <v>0</v>
      </c>
      <c r="CW23" s="4438">
        <f t="shared" si="85"/>
        <v>0</v>
      </c>
      <c r="CX23" s="4438">
        <f t="shared" si="86"/>
        <v>0</v>
      </c>
      <c r="CY23" s="4438">
        <f t="shared" si="87"/>
        <v>18.406507723063864</v>
      </c>
      <c r="CZ23" s="4438">
        <f t="shared" si="88"/>
        <v>19.694963263678339</v>
      </c>
      <c r="DA23" s="4438">
        <f t="shared" si="89"/>
        <v>20.285812161588687</v>
      </c>
      <c r="DB23" s="4438">
        <f t="shared" si="90"/>
        <v>20.894386526436346</v>
      </c>
      <c r="DC23" s="4438">
        <f t="shared" si="91"/>
        <v>21.521218122229438</v>
      </c>
      <c r="DD23" s="4438">
        <f t="shared" si="92"/>
        <v>22.16685466589632</v>
      </c>
      <c r="DE23" s="4438">
        <f t="shared" si="93"/>
        <v>16.87263207947521</v>
      </c>
      <c r="DF23" s="4438">
        <f t="shared" si="94"/>
        <v>18.053716325038476</v>
      </c>
      <c r="DG23" s="4438">
        <f t="shared" si="95"/>
        <v>18.595327814789631</v>
      </c>
      <c r="DH23" s="4438">
        <f t="shared" si="96"/>
        <v>19.15318764923332</v>
      </c>
      <c r="DI23" s="4438">
        <f t="shared" si="97"/>
        <v>19.727783278710319</v>
      </c>
      <c r="DJ23" s="4438">
        <f t="shared" si="98"/>
        <v>20.319616777071627</v>
      </c>
    </row>
    <row r="24" spans="1:114" s="675" customFormat="1" ht="12.75">
      <c r="A24" s="816" t="s">
        <v>149</v>
      </c>
      <c r="B24" s="871" t="s">
        <v>642</v>
      </c>
      <c r="C24" s="2641">
        <f>'8. Ремонтна програма'!J29</f>
        <v>1013.02273</v>
      </c>
      <c r="D24" s="1223">
        <f>'8. Ремонтна програма'!K29</f>
        <v>1316.9295490000002</v>
      </c>
      <c r="E24" s="1107">
        <f>'8. Ремонтна програма'!L29</f>
        <v>1382.7760264500002</v>
      </c>
      <c r="F24" s="1107">
        <f>'8. Ремонтна програма'!M29</f>
        <v>1424.2593072435002</v>
      </c>
      <c r="G24" s="1107">
        <f>'8. Ремонтна програма'!N29</f>
        <v>1395.7741210986301</v>
      </c>
      <c r="H24" s="3064">
        <f>'8. Ремонтна програма'!O29</f>
        <v>1339.9431562546849</v>
      </c>
      <c r="I24" s="1223">
        <f t="shared" si="34"/>
        <v>303.90681900000016</v>
      </c>
      <c r="J24" s="803">
        <f t="shared" si="35"/>
        <v>0.30000000000000016</v>
      </c>
      <c r="K24" s="2641">
        <f>'8. Ремонтна програма'!J58</f>
        <v>14.198090000000001</v>
      </c>
      <c r="L24" s="1223">
        <f>'8. Ремонтна програма'!K58</f>
        <v>18.457517000000003</v>
      </c>
      <c r="M24" s="1107">
        <f>'8. Ремонтна програма'!L58</f>
        <v>19.380392850000003</v>
      </c>
      <c r="N24" s="1107">
        <f>'8. Ремонтна програма'!M58</f>
        <v>19.961804635500005</v>
      </c>
      <c r="O24" s="1107">
        <f>'8. Ремонтна програма'!N58</f>
        <v>19.562568542790004</v>
      </c>
      <c r="P24" s="3064">
        <f>'8. Ремонтна програма'!O58</f>
        <v>18.780065801078404</v>
      </c>
      <c r="Q24" s="1223">
        <f t="shared" si="36"/>
        <v>4.2594270000000023</v>
      </c>
      <c r="R24" s="855">
        <f t="shared" si="37"/>
        <v>0.30000000000000016</v>
      </c>
      <c r="S24" s="2641">
        <f>'8. Ремонтна програма'!J84</f>
        <v>14.866400000000001</v>
      </c>
      <c r="T24" s="1223">
        <f>'8. Ремонтна програма'!K84</f>
        <v>19.326320000000003</v>
      </c>
      <c r="U24" s="1107">
        <f>'8. Ремонтна програма'!L84</f>
        <v>20.292636000000005</v>
      </c>
      <c r="V24" s="1107">
        <f>'8. Ремонтна програма'!M84</f>
        <v>20.901415080000007</v>
      </c>
      <c r="W24" s="1107">
        <f>'8. Ремонтна програма'!N84</f>
        <v>20.483386778400007</v>
      </c>
      <c r="X24" s="3064">
        <f>'8. Ремонтна програма'!O84</f>
        <v>19.664051307264007</v>
      </c>
      <c r="Y24" s="1223">
        <f t="shared" si="38"/>
        <v>4.4599200000000021</v>
      </c>
      <c r="Z24" s="855">
        <f t="shared" si="39"/>
        <v>0.30000000000000016</v>
      </c>
      <c r="AA24" s="2641">
        <f>'8. Ремонтна програма'!J115</f>
        <v>0</v>
      </c>
      <c r="AB24" s="1223">
        <f>'8. Ремонтна програма'!K115</f>
        <v>0</v>
      </c>
      <c r="AC24" s="1107">
        <f>'8. Ремонтна програма'!L115</f>
        <v>0</v>
      </c>
      <c r="AD24" s="1107">
        <f>'8. Ремонтна програма'!M115</f>
        <v>0</v>
      </c>
      <c r="AE24" s="1107">
        <f>'8. Ремонтна програма'!N115</f>
        <v>0</v>
      </c>
      <c r="AF24" s="3064">
        <f>'8. Ремонтна програма'!O115</f>
        <v>0</v>
      </c>
      <c r="AG24" s="1223">
        <f t="shared" si="40"/>
        <v>0</v>
      </c>
      <c r="AH24" s="803">
        <f t="shared" si="41"/>
        <v>0</v>
      </c>
      <c r="AI24" s="1086">
        <f>'8. Ремонтна програма'!J146</f>
        <v>0</v>
      </c>
      <c r="AJ24" s="1225">
        <f>'8. Ремонтна програма'!K146</f>
        <v>0</v>
      </c>
      <c r="AK24" s="1110">
        <f>'8. Ремонтна програма'!L146</f>
        <v>0</v>
      </c>
      <c r="AL24" s="1110">
        <f>'8. Ремонтна програма'!M146</f>
        <v>0</v>
      </c>
      <c r="AM24" s="1110">
        <f>'8. Ремонтна програма'!N146</f>
        <v>0</v>
      </c>
      <c r="AN24" s="3055">
        <f>'8. Ремонтна програма'!O146</f>
        <v>0</v>
      </c>
      <c r="AO24" s="1223">
        <f t="shared" si="42"/>
        <v>0</v>
      </c>
      <c r="AP24" s="803">
        <f t="shared" si="43"/>
        <v>0</v>
      </c>
      <c r="AQ24" s="3032"/>
      <c r="AR24" s="3033"/>
      <c r="AS24" s="3033"/>
      <c r="AT24" s="3033"/>
      <c r="AU24" s="3033"/>
      <c r="AV24" s="3052"/>
      <c r="AW24" s="1086">
        <f t="shared" si="137"/>
        <v>1042.0872200000001</v>
      </c>
      <c r="AX24" s="882">
        <f t="shared" si="138"/>
        <v>1354.7133860000001</v>
      </c>
      <c r="AY24" s="882">
        <f t="shared" si="139"/>
        <v>1422.4490553000001</v>
      </c>
      <c r="AZ24" s="882">
        <f t="shared" si="140"/>
        <v>1465.1225269590002</v>
      </c>
      <c r="BA24" s="882">
        <f t="shared" si="141"/>
        <v>1435.82007641982</v>
      </c>
      <c r="BB24" s="1115">
        <f t="shared" si="142"/>
        <v>1378.3872733630274</v>
      </c>
      <c r="BC24" s="3059">
        <f t="shared" si="143"/>
        <v>1013.02273</v>
      </c>
      <c r="BD24" s="3060">
        <f t="shared" si="144"/>
        <v>1316.9295490000002</v>
      </c>
      <c r="BE24" s="3061">
        <f t="shared" si="145"/>
        <v>1382.7760264500002</v>
      </c>
      <c r="BF24" s="3061">
        <f t="shared" si="146"/>
        <v>1424.2593072435002</v>
      </c>
      <c r="BG24" s="3061">
        <f t="shared" si="147"/>
        <v>1395.7741210986301</v>
      </c>
      <c r="BH24" s="3063">
        <f t="shared" si="148"/>
        <v>1339.9431562546849</v>
      </c>
      <c r="BI24" s="4422"/>
      <c r="BJ24" s="4438">
        <f t="shared" si="46"/>
        <v>517.9502973162289</v>
      </c>
      <c r="BK24" s="4438">
        <f t="shared" si="47"/>
        <v>673.33538651109768</v>
      </c>
      <c r="BL24" s="4438">
        <f t="shared" si="48"/>
        <v>707.00215583665261</v>
      </c>
      <c r="BM24" s="4438">
        <f t="shared" si="49"/>
        <v>728.21222051175221</v>
      </c>
      <c r="BN24" s="4438">
        <f t="shared" si="50"/>
        <v>713.64797610151709</v>
      </c>
      <c r="BO24" s="4438">
        <f t="shared" si="51"/>
        <v>685.10205705745636</v>
      </c>
      <c r="BP24" s="4438">
        <f t="shared" si="52"/>
        <v>155.38508919486875</v>
      </c>
      <c r="BQ24" s="4438">
        <f t="shared" si="53"/>
        <v>7.2593681454932177</v>
      </c>
      <c r="BR24" s="4438">
        <f t="shared" si="54"/>
        <v>9.437178589141185</v>
      </c>
      <c r="BS24" s="4438">
        <f t="shared" si="55"/>
        <v>9.9090375185982449</v>
      </c>
      <c r="BT24" s="4438">
        <f t="shared" si="56"/>
        <v>10.206308644156193</v>
      </c>
      <c r="BU24" s="4438">
        <f t="shared" si="57"/>
        <v>10.002182471273068</v>
      </c>
      <c r="BV24" s="4438">
        <f t="shared" si="58"/>
        <v>9.6020951724221462</v>
      </c>
      <c r="BW24" s="4438">
        <f t="shared" si="59"/>
        <v>2.1778104436479664</v>
      </c>
      <c r="BX24" s="4438">
        <f t="shared" si="60"/>
        <v>7.601069622615463</v>
      </c>
      <c r="BY24" s="4438">
        <f t="shared" si="61"/>
        <v>9.8813905094001022</v>
      </c>
      <c r="BZ24" s="4438">
        <f t="shared" si="62"/>
        <v>10.375460034870109</v>
      </c>
      <c r="CA24" s="4438">
        <f t="shared" si="63"/>
        <v>10.686723835916213</v>
      </c>
      <c r="CB24" s="4438">
        <f t="shared" si="64"/>
        <v>10.472989359197889</v>
      </c>
      <c r="CC24" s="4438">
        <f t="shared" si="65"/>
        <v>10.054069784829974</v>
      </c>
      <c r="CD24" s="4438">
        <f t="shared" si="66"/>
        <v>2.2803208867846401</v>
      </c>
      <c r="CE24" s="4438">
        <f t="shared" si="67"/>
        <v>0</v>
      </c>
      <c r="CF24" s="4438">
        <f t="shared" si="68"/>
        <v>0</v>
      </c>
      <c r="CG24" s="4438">
        <f t="shared" si="69"/>
        <v>0</v>
      </c>
      <c r="CH24" s="4438">
        <f t="shared" si="70"/>
        <v>0</v>
      </c>
      <c r="CI24" s="4438">
        <f t="shared" si="71"/>
        <v>0</v>
      </c>
      <c r="CJ24" s="4438">
        <f t="shared" si="72"/>
        <v>0</v>
      </c>
      <c r="CK24" s="4438">
        <f t="shared" si="73"/>
        <v>0</v>
      </c>
      <c r="CL24" s="4438">
        <f t="shared" si="74"/>
        <v>0</v>
      </c>
      <c r="CM24" s="4438">
        <f t="shared" si="75"/>
        <v>0</v>
      </c>
      <c r="CN24" s="4438">
        <f t="shared" si="76"/>
        <v>0</v>
      </c>
      <c r="CO24" s="4438">
        <f t="shared" si="77"/>
        <v>0</v>
      </c>
      <c r="CP24" s="4438">
        <f t="shared" si="78"/>
        <v>0</v>
      </c>
      <c r="CQ24" s="4438">
        <f t="shared" si="79"/>
        <v>0</v>
      </c>
      <c r="CR24" s="4438">
        <f t="shared" si="80"/>
        <v>0</v>
      </c>
      <c r="CS24" s="4438">
        <f t="shared" si="81"/>
        <v>0</v>
      </c>
      <c r="CT24" s="4438">
        <f t="shared" si="82"/>
        <v>0</v>
      </c>
      <c r="CU24" s="4438">
        <f t="shared" si="83"/>
        <v>0</v>
      </c>
      <c r="CV24" s="4438">
        <f t="shared" si="84"/>
        <v>0</v>
      </c>
      <c r="CW24" s="4438">
        <f t="shared" si="85"/>
        <v>0</v>
      </c>
      <c r="CX24" s="4438">
        <f t="shared" si="86"/>
        <v>0</v>
      </c>
      <c r="CY24" s="4438">
        <f t="shared" si="87"/>
        <v>532.81073508433769</v>
      </c>
      <c r="CZ24" s="4438">
        <f t="shared" si="88"/>
        <v>692.65395560963896</v>
      </c>
      <c r="DA24" s="4438">
        <f t="shared" si="89"/>
        <v>727.28665339012082</v>
      </c>
      <c r="DB24" s="4438">
        <f t="shared" si="90"/>
        <v>749.10525299182461</v>
      </c>
      <c r="DC24" s="4438">
        <f t="shared" si="91"/>
        <v>734.123147931988</v>
      </c>
      <c r="DD24" s="4438">
        <f t="shared" si="92"/>
        <v>704.75822201470851</v>
      </c>
      <c r="DE24" s="4438">
        <f t="shared" si="93"/>
        <v>517.9502973162289</v>
      </c>
      <c r="DF24" s="4438">
        <f t="shared" si="94"/>
        <v>673.33538651109768</v>
      </c>
      <c r="DG24" s="4438">
        <f t="shared" si="95"/>
        <v>707.00215583665261</v>
      </c>
      <c r="DH24" s="4438">
        <f t="shared" si="96"/>
        <v>728.21222051175221</v>
      </c>
      <c r="DI24" s="4438">
        <f t="shared" si="97"/>
        <v>713.64797610151709</v>
      </c>
      <c r="DJ24" s="4438">
        <f t="shared" si="98"/>
        <v>685.10205705745636</v>
      </c>
    </row>
    <row r="25" spans="1:114" s="675" customFormat="1" ht="12.75">
      <c r="A25" s="3887" t="s">
        <v>151</v>
      </c>
      <c r="B25" s="4602" t="s">
        <v>437</v>
      </c>
      <c r="C25" s="2641">
        <f>SUM(C26:C28)</f>
        <v>15</v>
      </c>
      <c r="D25" s="1106">
        <f t="shared" ref="D25:BB25" si="152">SUM(D26:D28)</f>
        <v>16.05</v>
      </c>
      <c r="E25" s="1107">
        <f t="shared" si="152"/>
        <v>16.531500000000001</v>
      </c>
      <c r="F25" s="1107">
        <f t="shared" si="152"/>
        <v>17.027445</v>
      </c>
      <c r="G25" s="1107">
        <f t="shared" si="152"/>
        <v>17.538268349999999</v>
      </c>
      <c r="H25" s="3892">
        <f t="shared" si="152"/>
        <v>18.064416400500001</v>
      </c>
      <c r="I25" s="1223">
        <f t="shared" si="34"/>
        <v>1.0500000000000007</v>
      </c>
      <c r="J25" s="803">
        <f t="shared" si="35"/>
        <v>7.0000000000000048E-2</v>
      </c>
      <c r="K25" s="2641">
        <f t="shared" si="152"/>
        <v>1</v>
      </c>
      <c r="L25" s="1106">
        <f t="shared" si="152"/>
        <v>1.07</v>
      </c>
      <c r="M25" s="1107">
        <f t="shared" si="152"/>
        <v>1.1021000000000001</v>
      </c>
      <c r="N25" s="1107">
        <f t="shared" si="152"/>
        <v>1.1351630000000001</v>
      </c>
      <c r="O25" s="1107">
        <f t="shared" si="152"/>
        <v>1.1692178900000001</v>
      </c>
      <c r="P25" s="3892">
        <f t="shared" si="152"/>
        <v>1.2042944267000002</v>
      </c>
      <c r="Q25" s="1223">
        <f t="shared" si="36"/>
        <v>7.0000000000000062E-2</v>
      </c>
      <c r="R25" s="855">
        <f t="shared" si="37"/>
        <v>7.0000000000000062E-2</v>
      </c>
      <c r="S25" s="2641">
        <f t="shared" si="152"/>
        <v>3</v>
      </c>
      <c r="T25" s="1106">
        <f t="shared" si="152"/>
        <v>3.21</v>
      </c>
      <c r="U25" s="1107">
        <f t="shared" si="152"/>
        <v>3.3063000000000002</v>
      </c>
      <c r="V25" s="1107">
        <f t="shared" si="152"/>
        <v>3.4054890000000002</v>
      </c>
      <c r="W25" s="1107">
        <f t="shared" si="152"/>
        <v>3.5076536700000003</v>
      </c>
      <c r="X25" s="3892">
        <f t="shared" si="152"/>
        <v>3.6128832801000006</v>
      </c>
      <c r="Y25" s="1223">
        <f t="shared" si="38"/>
        <v>0.20999999999999996</v>
      </c>
      <c r="Z25" s="855">
        <f t="shared" si="39"/>
        <v>6.9999999999999993E-2</v>
      </c>
      <c r="AA25" s="2641">
        <f>SUM(AA26:AA28)</f>
        <v>0</v>
      </c>
      <c r="AB25" s="1106">
        <f t="shared" ref="AB25:AN25" si="153">SUM(AB26:AB28)</f>
        <v>0</v>
      </c>
      <c r="AC25" s="1107">
        <f t="shared" si="153"/>
        <v>0</v>
      </c>
      <c r="AD25" s="1107">
        <f t="shared" si="153"/>
        <v>0</v>
      </c>
      <c r="AE25" s="1107">
        <f t="shared" si="153"/>
        <v>0</v>
      </c>
      <c r="AF25" s="3892">
        <f t="shared" si="153"/>
        <v>0</v>
      </c>
      <c r="AG25" s="1223">
        <f t="shared" si="40"/>
        <v>0</v>
      </c>
      <c r="AH25" s="803">
        <f t="shared" si="41"/>
        <v>0</v>
      </c>
      <c r="AI25" s="2641">
        <f t="shared" si="153"/>
        <v>0</v>
      </c>
      <c r="AJ25" s="1106">
        <f t="shared" si="153"/>
        <v>0</v>
      </c>
      <c r="AK25" s="1107">
        <f t="shared" si="153"/>
        <v>0</v>
      </c>
      <c r="AL25" s="1107">
        <f t="shared" si="153"/>
        <v>0</v>
      </c>
      <c r="AM25" s="1107">
        <f t="shared" si="153"/>
        <v>0</v>
      </c>
      <c r="AN25" s="3892">
        <f t="shared" si="153"/>
        <v>0</v>
      </c>
      <c r="AO25" s="1223">
        <f t="shared" si="42"/>
        <v>0</v>
      </c>
      <c r="AP25" s="803">
        <f t="shared" si="43"/>
        <v>0</v>
      </c>
      <c r="AQ25" s="2641">
        <f>SUM(AQ26:AQ28)</f>
        <v>0</v>
      </c>
      <c r="AR25" s="1106">
        <f t="shared" si="152"/>
        <v>0</v>
      </c>
      <c r="AS25" s="1107">
        <f t="shared" si="152"/>
        <v>0</v>
      </c>
      <c r="AT25" s="1107">
        <f t="shared" si="152"/>
        <v>0</v>
      </c>
      <c r="AU25" s="1107">
        <f t="shared" si="152"/>
        <v>0</v>
      </c>
      <c r="AV25" s="3893">
        <f t="shared" si="152"/>
        <v>0</v>
      </c>
      <c r="AW25" s="2641">
        <f t="shared" si="152"/>
        <v>19</v>
      </c>
      <c r="AX25" s="1106">
        <f t="shared" si="152"/>
        <v>20.330000000000002</v>
      </c>
      <c r="AY25" s="1107">
        <f t="shared" si="152"/>
        <v>20.939900000000002</v>
      </c>
      <c r="AZ25" s="1107">
        <f t="shared" si="152"/>
        <v>21.568096999999998</v>
      </c>
      <c r="BA25" s="1107">
        <f t="shared" si="152"/>
        <v>22.215139909999998</v>
      </c>
      <c r="BB25" s="3892">
        <f t="shared" si="152"/>
        <v>22.8815941073</v>
      </c>
      <c r="BC25" s="2641">
        <f t="shared" ref="BC25:BH25" si="154">SUM(BC26:BC28)</f>
        <v>15</v>
      </c>
      <c r="BD25" s="1106">
        <f t="shared" si="154"/>
        <v>16.05</v>
      </c>
      <c r="BE25" s="1107">
        <f t="shared" si="154"/>
        <v>16.531500000000001</v>
      </c>
      <c r="BF25" s="1107">
        <f t="shared" si="154"/>
        <v>17.027445</v>
      </c>
      <c r="BG25" s="1107">
        <f t="shared" si="154"/>
        <v>17.538268349999999</v>
      </c>
      <c r="BH25" s="3893">
        <f t="shared" si="154"/>
        <v>18.064416400500001</v>
      </c>
      <c r="BI25" s="4359"/>
      <c r="BJ25" s="4603">
        <f t="shared" si="46"/>
        <v>7.6693782179432777</v>
      </c>
      <c r="BK25" s="4603">
        <f t="shared" si="47"/>
        <v>8.206234693199308</v>
      </c>
      <c r="BL25" s="4603">
        <f t="shared" si="48"/>
        <v>8.452421733995287</v>
      </c>
      <c r="BM25" s="4603">
        <f t="shared" si="49"/>
        <v>8.7059943860151439</v>
      </c>
      <c r="BN25" s="4603">
        <f t="shared" si="50"/>
        <v>8.9671742175955984</v>
      </c>
      <c r="BO25" s="4603">
        <f t="shared" si="51"/>
        <v>9.2361894441234682</v>
      </c>
      <c r="BP25" s="4603">
        <f t="shared" si="52"/>
        <v>0.53685647525602975</v>
      </c>
      <c r="BQ25" s="4603">
        <f t="shared" si="53"/>
        <v>0.51129188119621849</v>
      </c>
      <c r="BR25" s="4603">
        <f t="shared" si="54"/>
        <v>0.54708231287995379</v>
      </c>
      <c r="BS25" s="4603">
        <f t="shared" si="55"/>
        <v>0.56349478226635241</v>
      </c>
      <c r="BT25" s="4603">
        <f t="shared" si="56"/>
        <v>0.58039962573434301</v>
      </c>
      <c r="BU25" s="4603">
        <f t="shared" si="57"/>
        <v>0.59781161450637332</v>
      </c>
      <c r="BV25" s="4603">
        <f t="shared" si="58"/>
        <v>0.61574596294156458</v>
      </c>
      <c r="BW25" s="4603">
        <f t="shared" si="59"/>
        <v>3.579043168373533E-2</v>
      </c>
      <c r="BX25" s="4603">
        <f t="shared" si="60"/>
        <v>1.5338756435886556</v>
      </c>
      <c r="BY25" s="4603">
        <f t="shared" si="61"/>
        <v>1.6412469386398614</v>
      </c>
      <c r="BZ25" s="4603">
        <f t="shared" si="62"/>
        <v>1.6904843467990573</v>
      </c>
      <c r="CA25" s="4603">
        <f t="shared" si="63"/>
        <v>1.7411988772030291</v>
      </c>
      <c r="CB25" s="4603">
        <f t="shared" si="64"/>
        <v>1.7934348435191199</v>
      </c>
      <c r="CC25" s="4603">
        <f t="shared" si="65"/>
        <v>1.8472378888246936</v>
      </c>
      <c r="CD25" s="4603">
        <f t="shared" si="66"/>
        <v>0.10737129505120586</v>
      </c>
      <c r="CE25" s="4603">
        <f t="shared" si="67"/>
        <v>0</v>
      </c>
      <c r="CF25" s="4603">
        <f t="shared" si="68"/>
        <v>0</v>
      </c>
      <c r="CG25" s="4603">
        <f t="shared" si="69"/>
        <v>0</v>
      </c>
      <c r="CH25" s="4603">
        <f t="shared" si="70"/>
        <v>0</v>
      </c>
      <c r="CI25" s="4603">
        <f t="shared" si="71"/>
        <v>0</v>
      </c>
      <c r="CJ25" s="4603">
        <f t="shared" si="72"/>
        <v>0</v>
      </c>
      <c r="CK25" s="4603">
        <f t="shared" si="73"/>
        <v>0</v>
      </c>
      <c r="CL25" s="4603">
        <f t="shared" si="74"/>
        <v>0</v>
      </c>
      <c r="CM25" s="4603">
        <f t="shared" si="75"/>
        <v>0</v>
      </c>
      <c r="CN25" s="4603">
        <f t="shared" si="76"/>
        <v>0</v>
      </c>
      <c r="CO25" s="4603">
        <f t="shared" si="77"/>
        <v>0</v>
      </c>
      <c r="CP25" s="4603">
        <f t="shared" si="78"/>
        <v>0</v>
      </c>
      <c r="CQ25" s="4603">
        <f t="shared" si="79"/>
        <v>0</v>
      </c>
      <c r="CR25" s="4603">
        <f t="shared" si="80"/>
        <v>0</v>
      </c>
      <c r="CS25" s="4603">
        <f t="shared" si="81"/>
        <v>0</v>
      </c>
      <c r="CT25" s="4603">
        <f t="shared" si="82"/>
        <v>0</v>
      </c>
      <c r="CU25" s="4603">
        <f t="shared" si="83"/>
        <v>0</v>
      </c>
      <c r="CV25" s="4603">
        <f t="shared" si="84"/>
        <v>0</v>
      </c>
      <c r="CW25" s="4603">
        <f t="shared" si="85"/>
        <v>0</v>
      </c>
      <c r="CX25" s="4603">
        <f t="shared" si="86"/>
        <v>0</v>
      </c>
      <c r="CY25" s="4603">
        <f t="shared" si="87"/>
        <v>9.7145457427281521</v>
      </c>
      <c r="CZ25" s="4603">
        <f t="shared" si="88"/>
        <v>10.394563944719122</v>
      </c>
      <c r="DA25" s="4603">
        <f t="shared" si="89"/>
        <v>10.706400863060697</v>
      </c>
      <c r="DB25" s="4603">
        <f t="shared" si="90"/>
        <v>11.027592888952515</v>
      </c>
      <c r="DC25" s="4603">
        <f t="shared" si="91"/>
        <v>11.35842067562109</v>
      </c>
      <c r="DD25" s="4603">
        <f t="shared" si="92"/>
        <v>11.699173295889725</v>
      </c>
      <c r="DE25" s="4603">
        <f t="shared" si="93"/>
        <v>7.6693782179432777</v>
      </c>
      <c r="DF25" s="4603">
        <f t="shared" si="94"/>
        <v>8.206234693199308</v>
      </c>
      <c r="DG25" s="4603">
        <f t="shared" si="95"/>
        <v>8.452421733995287</v>
      </c>
      <c r="DH25" s="4603">
        <f t="shared" si="96"/>
        <v>8.7059943860151439</v>
      </c>
      <c r="DI25" s="4603">
        <f t="shared" si="97"/>
        <v>8.9671742175955984</v>
      </c>
      <c r="DJ25" s="4603">
        <f t="shared" si="98"/>
        <v>9.2361894441234682</v>
      </c>
    </row>
    <row r="26" spans="1:114" ht="12.75">
      <c r="A26" s="817" t="s">
        <v>438</v>
      </c>
      <c r="B26" s="403"/>
      <c r="C26" s="4601">
        <v>15</v>
      </c>
      <c r="D26" s="3033">
        <f t="shared" ref="D26:D47" si="155">C26*1.07</f>
        <v>16.05</v>
      </c>
      <c r="E26" s="3033">
        <f t="shared" ref="E26:H26" si="156">D26*1.03</f>
        <v>16.531500000000001</v>
      </c>
      <c r="F26" s="3033">
        <f t="shared" si="156"/>
        <v>17.027445</v>
      </c>
      <c r="G26" s="3033">
        <f t="shared" si="156"/>
        <v>17.538268349999999</v>
      </c>
      <c r="H26" s="3034">
        <f t="shared" si="156"/>
        <v>18.064416400500001</v>
      </c>
      <c r="I26" s="1224">
        <f t="shared" si="34"/>
        <v>1.0500000000000007</v>
      </c>
      <c r="J26" s="804">
        <f t="shared" si="35"/>
        <v>7.0000000000000048E-2</v>
      </c>
      <c r="K26" s="4601">
        <v>1</v>
      </c>
      <c r="L26" s="3033">
        <f t="shared" ref="L26:L28" si="157">K26*1.07</f>
        <v>1.07</v>
      </c>
      <c r="M26" s="3033">
        <f t="shared" ref="M26:P26" si="158">L26*1.03</f>
        <v>1.1021000000000001</v>
      </c>
      <c r="N26" s="3033">
        <f t="shared" si="158"/>
        <v>1.1351630000000001</v>
      </c>
      <c r="O26" s="3033">
        <f t="shared" si="158"/>
        <v>1.1692178900000001</v>
      </c>
      <c r="P26" s="3034">
        <f t="shared" si="158"/>
        <v>1.2042944267000002</v>
      </c>
      <c r="Q26" s="1224">
        <f t="shared" si="36"/>
        <v>7.0000000000000062E-2</v>
      </c>
      <c r="R26" s="1095">
        <f t="shared" si="37"/>
        <v>7.0000000000000062E-2</v>
      </c>
      <c r="S26" s="4601">
        <v>3</v>
      </c>
      <c r="T26" s="3033">
        <f>S26*1.07</f>
        <v>3.21</v>
      </c>
      <c r="U26" s="3033">
        <f>T26*1.03</f>
        <v>3.3063000000000002</v>
      </c>
      <c r="V26" s="3033">
        <f t="shared" ref="V26:X26" si="159">U26*1.03</f>
        <v>3.4054890000000002</v>
      </c>
      <c r="W26" s="3033">
        <f t="shared" si="159"/>
        <v>3.5076536700000003</v>
      </c>
      <c r="X26" s="3034">
        <f t="shared" si="159"/>
        <v>3.6128832801000006</v>
      </c>
      <c r="Y26" s="1224">
        <f t="shared" si="38"/>
        <v>0.20999999999999996</v>
      </c>
      <c r="Z26" s="1095">
        <f t="shared" si="39"/>
        <v>6.9999999999999993E-2</v>
      </c>
      <c r="AA26" s="3032"/>
      <c r="AB26" s="3033"/>
      <c r="AC26" s="3033"/>
      <c r="AD26" s="3033"/>
      <c r="AE26" s="3033"/>
      <c r="AF26" s="3034"/>
      <c r="AG26" s="1224">
        <f t="shared" si="40"/>
        <v>0</v>
      </c>
      <c r="AH26" s="804">
        <f t="shared" si="41"/>
        <v>0</v>
      </c>
      <c r="AI26" s="3032"/>
      <c r="AJ26" s="3033"/>
      <c r="AK26" s="3033"/>
      <c r="AL26" s="3033"/>
      <c r="AM26" s="3033"/>
      <c r="AN26" s="3034"/>
      <c r="AO26" s="1224">
        <f t="shared" si="42"/>
        <v>0</v>
      </c>
      <c r="AP26" s="804">
        <f t="shared" si="43"/>
        <v>0</v>
      </c>
      <c r="AQ26" s="3032"/>
      <c r="AR26" s="3033"/>
      <c r="AS26" s="3033"/>
      <c r="AT26" s="3033"/>
      <c r="AU26" s="3033"/>
      <c r="AV26" s="3052"/>
      <c r="AW26" s="1086">
        <f t="shared" ref="AW26:AW28" si="160">C26+K26+S26+AA26+AI26</f>
        <v>19</v>
      </c>
      <c r="AX26" s="3042">
        <f t="shared" ref="AX26:AX28" si="161">D26+L26+T26+AB26+AJ26</f>
        <v>20.330000000000002</v>
      </c>
      <c r="AY26" s="3042">
        <f t="shared" ref="AY26:AY28" si="162">E26+M26+U26+AC26+AK26</f>
        <v>20.939900000000002</v>
      </c>
      <c r="AZ26" s="3042">
        <f t="shared" ref="AZ26:AZ28" si="163">F26+N26+V26+AD26+AL26</f>
        <v>21.568096999999998</v>
      </c>
      <c r="BA26" s="3042">
        <f t="shared" ref="BA26:BA28" si="164">G26+O26+W26+AE26+AM26</f>
        <v>22.215139909999998</v>
      </c>
      <c r="BB26" s="3043">
        <f t="shared" ref="BB26:BB28" si="165">H26+P26+X26+AF26+AN26</f>
        <v>22.8815941073</v>
      </c>
      <c r="BC26" s="3059">
        <f t="shared" ref="BC26:BC28" si="166">C26+AA26+AI26</f>
        <v>15</v>
      </c>
      <c r="BD26" s="3060">
        <f t="shared" ref="BD26:BD28" si="167">D26+AB26+AJ26</f>
        <v>16.05</v>
      </c>
      <c r="BE26" s="3061">
        <f t="shared" ref="BE26:BE28" si="168">E26+AC26+AK26</f>
        <v>16.531500000000001</v>
      </c>
      <c r="BF26" s="3061">
        <f t="shared" ref="BF26:BF28" si="169">F26+AD26+AL26</f>
        <v>17.027445</v>
      </c>
      <c r="BG26" s="3061">
        <f t="shared" ref="BG26:BG28" si="170">G26+AE26+AM26</f>
        <v>17.538268349999999</v>
      </c>
      <c r="BH26" s="3063">
        <f t="shared" ref="BH26:BH28" si="171">H26+AF26+AN26</f>
        <v>18.064416400500001</v>
      </c>
      <c r="BI26" s="4422"/>
      <c r="BJ26" s="4438">
        <f t="shared" si="46"/>
        <v>7.6693782179432777</v>
      </c>
      <c r="BK26" s="4438">
        <f t="shared" si="47"/>
        <v>8.206234693199308</v>
      </c>
      <c r="BL26" s="4438">
        <f t="shared" si="48"/>
        <v>8.452421733995287</v>
      </c>
      <c r="BM26" s="4438">
        <f t="shared" si="49"/>
        <v>8.7059943860151439</v>
      </c>
      <c r="BN26" s="4438">
        <f t="shared" si="50"/>
        <v>8.9671742175955984</v>
      </c>
      <c r="BO26" s="4438">
        <f t="shared" si="51"/>
        <v>9.2361894441234682</v>
      </c>
      <c r="BP26" s="4438">
        <f t="shared" si="52"/>
        <v>0.53685647525602975</v>
      </c>
      <c r="BQ26" s="4438">
        <f t="shared" si="53"/>
        <v>0.51129188119621849</v>
      </c>
      <c r="BR26" s="4438">
        <f t="shared" si="54"/>
        <v>0.54708231287995379</v>
      </c>
      <c r="BS26" s="4438">
        <f t="shared" si="55"/>
        <v>0.56349478226635241</v>
      </c>
      <c r="BT26" s="4438">
        <f t="shared" si="56"/>
        <v>0.58039962573434301</v>
      </c>
      <c r="BU26" s="4438">
        <f t="shared" si="57"/>
        <v>0.59781161450637332</v>
      </c>
      <c r="BV26" s="4438">
        <f t="shared" si="58"/>
        <v>0.61574596294156458</v>
      </c>
      <c r="BW26" s="4438">
        <f t="shared" si="59"/>
        <v>3.579043168373533E-2</v>
      </c>
      <c r="BX26" s="4438">
        <f t="shared" si="60"/>
        <v>1.5338756435886556</v>
      </c>
      <c r="BY26" s="4438">
        <f t="shared" si="61"/>
        <v>1.6412469386398614</v>
      </c>
      <c r="BZ26" s="4438">
        <f t="shared" si="62"/>
        <v>1.6904843467990573</v>
      </c>
      <c r="CA26" s="4438">
        <f t="shared" si="63"/>
        <v>1.7411988772030291</v>
      </c>
      <c r="CB26" s="4438">
        <f t="shared" si="64"/>
        <v>1.7934348435191199</v>
      </c>
      <c r="CC26" s="4438">
        <f t="shared" si="65"/>
        <v>1.8472378888246936</v>
      </c>
      <c r="CD26" s="4438">
        <f t="shared" si="66"/>
        <v>0.10737129505120586</v>
      </c>
      <c r="CE26" s="4438">
        <f t="shared" si="67"/>
        <v>0</v>
      </c>
      <c r="CF26" s="4438">
        <f t="shared" si="68"/>
        <v>0</v>
      </c>
      <c r="CG26" s="4438">
        <f t="shared" si="69"/>
        <v>0</v>
      </c>
      <c r="CH26" s="4438">
        <f t="shared" si="70"/>
        <v>0</v>
      </c>
      <c r="CI26" s="4438">
        <f t="shared" si="71"/>
        <v>0</v>
      </c>
      <c r="CJ26" s="4438">
        <f t="shared" si="72"/>
        <v>0</v>
      </c>
      <c r="CK26" s="4438">
        <f t="shared" si="73"/>
        <v>0</v>
      </c>
      <c r="CL26" s="4438">
        <f t="shared" si="74"/>
        <v>0</v>
      </c>
      <c r="CM26" s="4438">
        <f t="shared" si="75"/>
        <v>0</v>
      </c>
      <c r="CN26" s="4438">
        <f t="shared" si="76"/>
        <v>0</v>
      </c>
      <c r="CO26" s="4438">
        <f t="shared" si="77"/>
        <v>0</v>
      </c>
      <c r="CP26" s="4438">
        <f t="shared" si="78"/>
        <v>0</v>
      </c>
      <c r="CQ26" s="4438">
        <f t="shared" si="79"/>
        <v>0</v>
      </c>
      <c r="CR26" s="4438">
        <f t="shared" si="80"/>
        <v>0</v>
      </c>
      <c r="CS26" s="4438">
        <f t="shared" si="81"/>
        <v>0</v>
      </c>
      <c r="CT26" s="4438">
        <f t="shared" si="82"/>
        <v>0</v>
      </c>
      <c r="CU26" s="4438">
        <f t="shared" si="83"/>
        <v>0</v>
      </c>
      <c r="CV26" s="4438">
        <f t="shared" si="84"/>
        <v>0</v>
      </c>
      <c r="CW26" s="4438">
        <f t="shared" si="85"/>
        <v>0</v>
      </c>
      <c r="CX26" s="4438">
        <f t="shared" si="86"/>
        <v>0</v>
      </c>
      <c r="CY26" s="4438">
        <f t="shared" si="87"/>
        <v>9.7145457427281521</v>
      </c>
      <c r="CZ26" s="4438">
        <f t="shared" si="88"/>
        <v>10.394563944719122</v>
      </c>
      <c r="DA26" s="4438">
        <f t="shared" si="89"/>
        <v>10.706400863060697</v>
      </c>
      <c r="DB26" s="4438">
        <f t="shared" si="90"/>
        <v>11.027592888952515</v>
      </c>
      <c r="DC26" s="4438">
        <f t="shared" si="91"/>
        <v>11.35842067562109</v>
      </c>
      <c r="DD26" s="4438">
        <f t="shared" si="92"/>
        <v>11.699173295889725</v>
      </c>
      <c r="DE26" s="4438">
        <f t="shared" si="93"/>
        <v>7.6693782179432777</v>
      </c>
      <c r="DF26" s="4438">
        <f t="shared" si="94"/>
        <v>8.206234693199308</v>
      </c>
      <c r="DG26" s="4438">
        <f t="shared" si="95"/>
        <v>8.452421733995287</v>
      </c>
      <c r="DH26" s="4438">
        <f t="shared" si="96"/>
        <v>8.7059943860151439</v>
      </c>
      <c r="DI26" s="4438">
        <f t="shared" si="97"/>
        <v>8.9671742175955984</v>
      </c>
      <c r="DJ26" s="4438">
        <f t="shared" si="98"/>
        <v>9.2361894441234682</v>
      </c>
    </row>
    <row r="27" spans="1:114" ht="12.75">
      <c r="A27" s="819" t="s">
        <v>439</v>
      </c>
      <c r="B27" s="403"/>
      <c r="C27" s="3032"/>
      <c r="D27" s="3033">
        <f t="shared" si="155"/>
        <v>0</v>
      </c>
      <c r="E27" s="3033">
        <f t="shared" ref="E27:H27" si="172">D27*1.03</f>
        <v>0</v>
      </c>
      <c r="F27" s="3033">
        <f t="shared" si="172"/>
        <v>0</v>
      </c>
      <c r="G27" s="3033">
        <f t="shared" si="172"/>
        <v>0</v>
      </c>
      <c r="H27" s="3034">
        <f t="shared" si="172"/>
        <v>0</v>
      </c>
      <c r="I27" s="1224">
        <f t="shared" si="34"/>
        <v>0</v>
      </c>
      <c r="J27" s="804">
        <f t="shared" si="35"/>
        <v>0</v>
      </c>
      <c r="K27" s="3032">
        <v>0</v>
      </c>
      <c r="L27" s="3033">
        <f t="shared" si="157"/>
        <v>0</v>
      </c>
      <c r="M27" s="3033">
        <f t="shared" ref="M27:P27" si="173">L27*1.03</f>
        <v>0</v>
      </c>
      <c r="N27" s="3033">
        <f t="shared" si="173"/>
        <v>0</v>
      </c>
      <c r="O27" s="3033">
        <f t="shared" si="173"/>
        <v>0</v>
      </c>
      <c r="P27" s="3034">
        <f t="shared" si="173"/>
        <v>0</v>
      </c>
      <c r="Q27" s="1224">
        <f t="shared" si="36"/>
        <v>0</v>
      </c>
      <c r="R27" s="1095">
        <f t="shared" si="37"/>
        <v>0</v>
      </c>
      <c r="S27" s="3032"/>
      <c r="T27" s="3033"/>
      <c r="U27" s="3033"/>
      <c r="V27" s="3033"/>
      <c r="W27" s="3033"/>
      <c r="X27" s="3034"/>
      <c r="Y27" s="1224">
        <f t="shared" si="38"/>
        <v>0</v>
      </c>
      <c r="Z27" s="1095">
        <f t="shared" si="39"/>
        <v>0</v>
      </c>
      <c r="AA27" s="3032"/>
      <c r="AB27" s="3033"/>
      <c r="AC27" s="3033"/>
      <c r="AD27" s="3033"/>
      <c r="AE27" s="3033"/>
      <c r="AF27" s="3034"/>
      <c r="AG27" s="1224">
        <f t="shared" si="40"/>
        <v>0</v>
      </c>
      <c r="AH27" s="804">
        <f t="shared" si="41"/>
        <v>0</v>
      </c>
      <c r="AI27" s="3032"/>
      <c r="AJ27" s="3033"/>
      <c r="AK27" s="3033"/>
      <c r="AL27" s="3033"/>
      <c r="AM27" s="3033"/>
      <c r="AN27" s="3034"/>
      <c r="AO27" s="1224">
        <f t="shared" si="42"/>
        <v>0</v>
      </c>
      <c r="AP27" s="804">
        <f t="shared" si="43"/>
        <v>0</v>
      </c>
      <c r="AQ27" s="3032"/>
      <c r="AR27" s="3033"/>
      <c r="AS27" s="3033"/>
      <c r="AT27" s="3033"/>
      <c r="AU27" s="3033"/>
      <c r="AV27" s="3052"/>
      <c r="AW27" s="1086">
        <f t="shared" si="160"/>
        <v>0</v>
      </c>
      <c r="AX27" s="3042">
        <f t="shared" si="161"/>
        <v>0</v>
      </c>
      <c r="AY27" s="3042">
        <f t="shared" si="162"/>
        <v>0</v>
      </c>
      <c r="AZ27" s="3042">
        <f t="shared" si="163"/>
        <v>0</v>
      </c>
      <c r="BA27" s="3042">
        <f t="shared" si="164"/>
        <v>0</v>
      </c>
      <c r="BB27" s="3043">
        <f t="shared" si="165"/>
        <v>0</v>
      </c>
      <c r="BC27" s="3059">
        <f t="shared" si="166"/>
        <v>0</v>
      </c>
      <c r="BD27" s="3060">
        <f t="shared" si="167"/>
        <v>0</v>
      </c>
      <c r="BE27" s="3061">
        <f t="shared" si="168"/>
        <v>0</v>
      </c>
      <c r="BF27" s="3061">
        <f t="shared" si="169"/>
        <v>0</v>
      </c>
      <c r="BG27" s="3061">
        <f t="shared" si="170"/>
        <v>0</v>
      </c>
      <c r="BH27" s="3063">
        <f t="shared" si="171"/>
        <v>0</v>
      </c>
      <c r="BI27" s="4422"/>
      <c r="BJ27" s="4438">
        <f t="shared" si="46"/>
        <v>0</v>
      </c>
      <c r="BK27" s="4438">
        <f t="shared" si="47"/>
        <v>0</v>
      </c>
      <c r="BL27" s="4438">
        <f t="shared" si="48"/>
        <v>0</v>
      </c>
      <c r="BM27" s="4438">
        <f t="shared" si="49"/>
        <v>0</v>
      </c>
      <c r="BN27" s="4438">
        <f t="shared" si="50"/>
        <v>0</v>
      </c>
      <c r="BO27" s="4438">
        <f t="shared" si="51"/>
        <v>0</v>
      </c>
      <c r="BP27" s="4438">
        <f t="shared" si="52"/>
        <v>0</v>
      </c>
      <c r="BQ27" s="4438">
        <f t="shared" si="53"/>
        <v>0</v>
      </c>
      <c r="BR27" s="4438">
        <f t="shared" si="54"/>
        <v>0</v>
      </c>
      <c r="BS27" s="4438">
        <f t="shared" si="55"/>
        <v>0</v>
      </c>
      <c r="BT27" s="4438">
        <f t="shared" si="56"/>
        <v>0</v>
      </c>
      <c r="BU27" s="4438">
        <f t="shared" si="57"/>
        <v>0</v>
      </c>
      <c r="BV27" s="4438">
        <f t="shared" si="58"/>
        <v>0</v>
      </c>
      <c r="BW27" s="4438">
        <f t="shared" si="59"/>
        <v>0</v>
      </c>
      <c r="BX27" s="4438">
        <f t="shared" si="60"/>
        <v>0</v>
      </c>
      <c r="BY27" s="4438">
        <f t="shared" si="61"/>
        <v>0</v>
      </c>
      <c r="BZ27" s="4438">
        <f t="shared" si="62"/>
        <v>0</v>
      </c>
      <c r="CA27" s="4438">
        <f t="shared" si="63"/>
        <v>0</v>
      </c>
      <c r="CB27" s="4438">
        <f t="shared" si="64"/>
        <v>0</v>
      </c>
      <c r="CC27" s="4438">
        <f t="shared" si="65"/>
        <v>0</v>
      </c>
      <c r="CD27" s="4438">
        <f t="shared" si="66"/>
        <v>0</v>
      </c>
      <c r="CE27" s="4438">
        <f t="shared" si="67"/>
        <v>0</v>
      </c>
      <c r="CF27" s="4438">
        <f t="shared" si="68"/>
        <v>0</v>
      </c>
      <c r="CG27" s="4438">
        <f t="shared" si="69"/>
        <v>0</v>
      </c>
      <c r="CH27" s="4438">
        <f t="shared" si="70"/>
        <v>0</v>
      </c>
      <c r="CI27" s="4438">
        <f t="shared" si="71"/>
        <v>0</v>
      </c>
      <c r="CJ27" s="4438">
        <f t="shared" si="72"/>
        <v>0</v>
      </c>
      <c r="CK27" s="4438">
        <f t="shared" si="73"/>
        <v>0</v>
      </c>
      <c r="CL27" s="4438">
        <f t="shared" si="74"/>
        <v>0</v>
      </c>
      <c r="CM27" s="4438">
        <f t="shared" si="75"/>
        <v>0</v>
      </c>
      <c r="CN27" s="4438">
        <f t="shared" si="76"/>
        <v>0</v>
      </c>
      <c r="CO27" s="4438">
        <f t="shared" si="77"/>
        <v>0</v>
      </c>
      <c r="CP27" s="4438">
        <f t="shared" si="78"/>
        <v>0</v>
      </c>
      <c r="CQ27" s="4438">
        <f t="shared" si="79"/>
        <v>0</v>
      </c>
      <c r="CR27" s="4438">
        <f t="shared" si="80"/>
        <v>0</v>
      </c>
      <c r="CS27" s="4438">
        <f t="shared" si="81"/>
        <v>0</v>
      </c>
      <c r="CT27" s="4438">
        <f t="shared" si="82"/>
        <v>0</v>
      </c>
      <c r="CU27" s="4438">
        <f t="shared" si="83"/>
        <v>0</v>
      </c>
      <c r="CV27" s="4438">
        <f t="shared" si="84"/>
        <v>0</v>
      </c>
      <c r="CW27" s="4438">
        <f t="shared" si="85"/>
        <v>0</v>
      </c>
      <c r="CX27" s="4438">
        <f t="shared" si="86"/>
        <v>0</v>
      </c>
      <c r="CY27" s="4438">
        <f t="shared" si="87"/>
        <v>0</v>
      </c>
      <c r="CZ27" s="4438">
        <f t="shared" si="88"/>
        <v>0</v>
      </c>
      <c r="DA27" s="4438">
        <f t="shared" si="89"/>
        <v>0</v>
      </c>
      <c r="DB27" s="4438">
        <f t="shared" si="90"/>
        <v>0</v>
      </c>
      <c r="DC27" s="4438">
        <f t="shared" si="91"/>
        <v>0</v>
      </c>
      <c r="DD27" s="4438">
        <f t="shared" si="92"/>
        <v>0</v>
      </c>
      <c r="DE27" s="4438">
        <f t="shared" si="93"/>
        <v>0</v>
      </c>
      <c r="DF27" s="4438">
        <f t="shared" si="94"/>
        <v>0</v>
      </c>
      <c r="DG27" s="4438">
        <f t="shared" si="95"/>
        <v>0</v>
      </c>
      <c r="DH27" s="4438">
        <f t="shared" si="96"/>
        <v>0</v>
      </c>
      <c r="DI27" s="4438">
        <f t="shared" si="97"/>
        <v>0</v>
      </c>
      <c r="DJ27" s="4438">
        <f t="shared" si="98"/>
        <v>0</v>
      </c>
    </row>
    <row r="28" spans="1:114" ht="13.5" thickBot="1">
      <c r="A28" s="819" t="s">
        <v>440</v>
      </c>
      <c r="B28" s="403"/>
      <c r="C28" s="3074"/>
      <c r="D28" s="3033">
        <f t="shared" si="155"/>
        <v>0</v>
      </c>
      <c r="E28" s="3033">
        <f t="shared" ref="E28:H28" si="174">D28*1.03</f>
        <v>0</v>
      </c>
      <c r="F28" s="3033">
        <f t="shared" si="174"/>
        <v>0</v>
      </c>
      <c r="G28" s="3033">
        <f t="shared" si="174"/>
        <v>0</v>
      </c>
      <c r="H28" s="3034">
        <f t="shared" si="174"/>
        <v>0</v>
      </c>
      <c r="I28" s="1224">
        <f t="shared" si="34"/>
        <v>0</v>
      </c>
      <c r="J28" s="1156">
        <f t="shared" si="35"/>
        <v>0</v>
      </c>
      <c r="K28" s="3032">
        <v>0</v>
      </c>
      <c r="L28" s="3033">
        <f t="shared" si="157"/>
        <v>0</v>
      </c>
      <c r="M28" s="3033">
        <f t="shared" ref="M28:P28" si="175">L28*1.03</f>
        <v>0</v>
      </c>
      <c r="N28" s="3033">
        <f t="shared" si="175"/>
        <v>0</v>
      </c>
      <c r="O28" s="3033">
        <f t="shared" si="175"/>
        <v>0</v>
      </c>
      <c r="P28" s="3034">
        <f t="shared" si="175"/>
        <v>0</v>
      </c>
      <c r="Q28" s="1224">
        <f t="shared" si="36"/>
        <v>0</v>
      </c>
      <c r="R28" s="1097">
        <f t="shared" si="37"/>
        <v>0</v>
      </c>
      <c r="S28" s="3032"/>
      <c r="T28" s="3033"/>
      <c r="U28" s="3033"/>
      <c r="V28" s="3033"/>
      <c r="W28" s="3033"/>
      <c r="X28" s="3034"/>
      <c r="Y28" s="1224">
        <f t="shared" si="38"/>
        <v>0</v>
      </c>
      <c r="Z28" s="1097">
        <f t="shared" si="39"/>
        <v>0</v>
      </c>
      <c r="AA28" s="3032"/>
      <c r="AB28" s="3033"/>
      <c r="AC28" s="3033"/>
      <c r="AD28" s="3033"/>
      <c r="AE28" s="3033"/>
      <c r="AF28" s="3034"/>
      <c r="AG28" s="1224">
        <f t="shared" si="40"/>
        <v>0</v>
      </c>
      <c r="AH28" s="1156">
        <f t="shared" si="41"/>
        <v>0</v>
      </c>
      <c r="AI28" s="3032"/>
      <c r="AJ28" s="3033"/>
      <c r="AK28" s="3033"/>
      <c r="AL28" s="3033"/>
      <c r="AM28" s="3033"/>
      <c r="AN28" s="3034"/>
      <c r="AO28" s="1224">
        <f t="shared" si="42"/>
        <v>0</v>
      </c>
      <c r="AP28" s="1156">
        <f t="shared" si="43"/>
        <v>0</v>
      </c>
      <c r="AQ28" s="3032"/>
      <c r="AR28" s="3033"/>
      <c r="AS28" s="3033"/>
      <c r="AT28" s="3033"/>
      <c r="AU28" s="3033"/>
      <c r="AV28" s="3052"/>
      <c r="AW28" s="1086">
        <f t="shared" si="160"/>
        <v>0</v>
      </c>
      <c r="AX28" s="3042">
        <f t="shared" si="161"/>
        <v>0</v>
      </c>
      <c r="AY28" s="3042">
        <f t="shared" si="162"/>
        <v>0</v>
      </c>
      <c r="AZ28" s="3042">
        <f t="shared" si="163"/>
        <v>0</v>
      </c>
      <c r="BA28" s="3042">
        <f t="shared" si="164"/>
        <v>0</v>
      </c>
      <c r="BB28" s="3043">
        <f t="shared" si="165"/>
        <v>0</v>
      </c>
      <c r="BC28" s="3059">
        <f t="shared" si="166"/>
        <v>0</v>
      </c>
      <c r="BD28" s="3060">
        <f t="shared" si="167"/>
        <v>0</v>
      </c>
      <c r="BE28" s="3061">
        <f t="shared" si="168"/>
        <v>0</v>
      </c>
      <c r="BF28" s="3061">
        <f t="shared" si="169"/>
        <v>0</v>
      </c>
      <c r="BG28" s="3061">
        <f t="shared" si="170"/>
        <v>0</v>
      </c>
      <c r="BH28" s="3063">
        <f t="shared" si="171"/>
        <v>0</v>
      </c>
      <c r="BI28" s="4422"/>
      <c r="BJ28" s="4438">
        <f t="shared" si="46"/>
        <v>0</v>
      </c>
      <c r="BK28" s="4438">
        <f t="shared" si="47"/>
        <v>0</v>
      </c>
      <c r="BL28" s="4438">
        <f t="shared" si="48"/>
        <v>0</v>
      </c>
      <c r="BM28" s="4438">
        <f t="shared" si="49"/>
        <v>0</v>
      </c>
      <c r="BN28" s="4438">
        <f t="shared" si="50"/>
        <v>0</v>
      </c>
      <c r="BO28" s="4438">
        <f t="shared" si="51"/>
        <v>0</v>
      </c>
      <c r="BP28" s="4438">
        <f t="shared" si="52"/>
        <v>0</v>
      </c>
      <c r="BQ28" s="4438">
        <f t="shared" si="53"/>
        <v>0</v>
      </c>
      <c r="BR28" s="4438">
        <f t="shared" si="54"/>
        <v>0</v>
      </c>
      <c r="BS28" s="4438">
        <f t="shared" si="55"/>
        <v>0</v>
      </c>
      <c r="BT28" s="4438">
        <f t="shared" si="56"/>
        <v>0</v>
      </c>
      <c r="BU28" s="4438">
        <f t="shared" si="57"/>
        <v>0</v>
      </c>
      <c r="BV28" s="4438">
        <f t="shared" si="58"/>
        <v>0</v>
      </c>
      <c r="BW28" s="4438">
        <f t="shared" si="59"/>
        <v>0</v>
      </c>
      <c r="BX28" s="4438">
        <f t="shared" si="60"/>
        <v>0</v>
      </c>
      <c r="BY28" s="4438">
        <f t="shared" si="61"/>
        <v>0</v>
      </c>
      <c r="BZ28" s="4438">
        <f t="shared" si="62"/>
        <v>0</v>
      </c>
      <c r="CA28" s="4438">
        <f t="shared" si="63"/>
        <v>0</v>
      </c>
      <c r="CB28" s="4438">
        <f t="shared" si="64"/>
        <v>0</v>
      </c>
      <c r="CC28" s="4438">
        <f t="shared" si="65"/>
        <v>0</v>
      </c>
      <c r="CD28" s="4438">
        <f t="shared" si="66"/>
        <v>0</v>
      </c>
      <c r="CE28" s="4438">
        <f t="shared" si="67"/>
        <v>0</v>
      </c>
      <c r="CF28" s="4438">
        <f t="shared" si="68"/>
        <v>0</v>
      </c>
      <c r="CG28" s="4438">
        <f t="shared" si="69"/>
        <v>0</v>
      </c>
      <c r="CH28" s="4438">
        <f t="shared" si="70"/>
        <v>0</v>
      </c>
      <c r="CI28" s="4438">
        <f t="shared" si="71"/>
        <v>0</v>
      </c>
      <c r="CJ28" s="4438">
        <f t="shared" si="72"/>
        <v>0</v>
      </c>
      <c r="CK28" s="4438">
        <f t="shared" si="73"/>
        <v>0</v>
      </c>
      <c r="CL28" s="4438">
        <f t="shared" si="74"/>
        <v>0</v>
      </c>
      <c r="CM28" s="4438">
        <f t="shared" si="75"/>
        <v>0</v>
      </c>
      <c r="CN28" s="4438">
        <f t="shared" si="76"/>
        <v>0</v>
      </c>
      <c r="CO28" s="4438">
        <f t="shared" si="77"/>
        <v>0</v>
      </c>
      <c r="CP28" s="4438">
        <f t="shared" si="78"/>
        <v>0</v>
      </c>
      <c r="CQ28" s="4438">
        <f t="shared" si="79"/>
        <v>0</v>
      </c>
      <c r="CR28" s="4438">
        <f t="shared" si="80"/>
        <v>0</v>
      </c>
      <c r="CS28" s="4438">
        <f t="shared" si="81"/>
        <v>0</v>
      </c>
      <c r="CT28" s="4438">
        <f t="shared" si="82"/>
        <v>0</v>
      </c>
      <c r="CU28" s="4438">
        <f t="shared" si="83"/>
        <v>0</v>
      </c>
      <c r="CV28" s="4438">
        <f t="shared" si="84"/>
        <v>0</v>
      </c>
      <c r="CW28" s="4438">
        <f t="shared" si="85"/>
        <v>0</v>
      </c>
      <c r="CX28" s="4438">
        <f t="shared" si="86"/>
        <v>0</v>
      </c>
      <c r="CY28" s="4438">
        <f t="shared" si="87"/>
        <v>0</v>
      </c>
      <c r="CZ28" s="4438">
        <f t="shared" si="88"/>
        <v>0</v>
      </c>
      <c r="DA28" s="4438">
        <f t="shared" si="89"/>
        <v>0</v>
      </c>
      <c r="DB28" s="4438">
        <f t="shared" si="90"/>
        <v>0</v>
      </c>
      <c r="DC28" s="4438">
        <f t="shared" si="91"/>
        <v>0</v>
      </c>
      <c r="DD28" s="4438">
        <f t="shared" si="92"/>
        <v>0</v>
      </c>
      <c r="DE28" s="4438">
        <f t="shared" si="93"/>
        <v>0</v>
      </c>
      <c r="DF28" s="4438">
        <f t="shared" si="94"/>
        <v>0</v>
      </c>
      <c r="DG28" s="4438">
        <f t="shared" si="95"/>
        <v>0</v>
      </c>
      <c r="DH28" s="4438">
        <f t="shared" si="96"/>
        <v>0</v>
      </c>
      <c r="DI28" s="4438">
        <f t="shared" si="97"/>
        <v>0</v>
      </c>
      <c r="DJ28" s="4438">
        <f t="shared" si="98"/>
        <v>0</v>
      </c>
    </row>
    <row r="29" spans="1:114" ht="13.5" thickBot="1">
      <c r="A29" s="109" t="s">
        <v>95</v>
      </c>
      <c r="B29" s="872" t="s">
        <v>239</v>
      </c>
      <c r="C29" s="1084">
        <f>SUM(C30:C54)-C38-C51</f>
        <v>1783.3258900000001</v>
      </c>
      <c r="D29" s="880">
        <f t="shared" ref="D29:X29" si="176">SUM(D30:D54)-D38-D51</f>
        <v>2066.473657</v>
      </c>
      <c r="E29" s="1121">
        <f t="shared" si="176"/>
        <v>2146.3643398500003</v>
      </c>
      <c r="F29" s="1121">
        <f t="shared" si="176"/>
        <v>2210.7552700455003</v>
      </c>
      <c r="G29" s="1121">
        <f t="shared" si="176"/>
        <v>2227.16821503459</v>
      </c>
      <c r="H29" s="1124">
        <f t="shared" si="176"/>
        <v>2227.5954890315065</v>
      </c>
      <c r="I29" s="1220">
        <f t="shared" si="34"/>
        <v>283.14776699999993</v>
      </c>
      <c r="J29" s="801">
        <f t="shared" si="35"/>
        <v>0.15877511148565218</v>
      </c>
      <c r="K29" s="1084">
        <f t="shared" si="176"/>
        <v>443.47147000000001</v>
      </c>
      <c r="L29" s="880">
        <f t="shared" si="176"/>
        <v>565.47291100000007</v>
      </c>
      <c r="M29" s="1121">
        <f t="shared" si="176"/>
        <v>592.71935655000004</v>
      </c>
      <c r="N29" s="1121">
        <f t="shared" si="176"/>
        <v>610.50093724649992</v>
      </c>
      <c r="O29" s="1121">
        <f t="shared" si="176"/>
        <v>601.01530970157</v>
      </c>
      <c r="P29" s="1124">
        <f t="shared" si="176"/>
        <v>580.90326942390732</v>
      </c>
      <c r="Q29" s="1220">
        <f t="shared" si="36"/>
        <v>122.00144100000006</v>
      </c>
      <c r="R29" s="853">
        <f t="shared" si="37"/>
        <v>0.27510550114982607</v>
      </c>
      <c r="S29" s="1084">
        <f t="shared" si="176"/>
        <v>281.67176000000001</v>
      </c>
      <c r="T29" s="880">
        <f t="shared" si="176"/>
        <v>431.22528799999998</v>
      </c>
      <c r="U29" s="1121">
        <f t="shared" si="176"/>
        <v>449.8547524</v>
      </c>
      <c r="V29" s="1121">
        <f t="shared" si="176"/>
        <v>467.76039497200003</v>
      </c>
      <c r="W29" s="1121">
        <f t="shared" si="176"/>
        <v>410.83717862256003</v>
      </c>
      <c r="X29" s="1124">
        <f t="shared" si="176"/>
        <v>368.55604729275763</v>
      </c>
      <c r="Y29" s="1220">
        <f t="shared" si="38"/>
        <v>149.55352799999997</v>
      </c>
      <c r="Z29" s="853">
        <f t="shared" si="39"/>
        <v>0.53094966992786197</v>
      </c>
      <c r="AA29" s="1084">
        <f t="shared" ref="AA29:AN29" si="177">SUM(AA30:AA54)-AA38-AA51</f>
        <v>0</v>
      </c>
      <c r="AB29" s="880">
        <f t="shared" si="177"/>
        <v>0</v>
      </c>
      <c r="AC29" s="1121">
        <f t="shared" si="177"/>
        <v>0</v>
      </c>
      <c r="AD29" s="1121">
        <f t="shared" si="177"/>
        <v>0</v>
      </c>
      <c r="AE29" s="1121">
        <f t="shared" si="177"/>
        <v>0</v>
      </c>
      <c r="AF29" s="1124">
        <f t="shared" si="177"/>
        <v>0</v>
      </c>
      <c r="AG29" s="1220">
        <f t="shared" si="40"/>
        <v>0</v>
      </c>
      <c r="AH29" s="801">
        <f t="shared" si="41"/>
        <v>0</v>
      </c>
      <c r="AI29" s="1084">
        <f t="shared" si="177"/>
        <v>0</v>
      </c>
      <c r="AJ29" s="880">
        <f t="shared" si="177"/>
        <v>0</v>
      </c>
      <c r="AK29" s="1121">
        <f t="shared" si="177"/>
        <v>0</v>
      </c>
      <c r="AL29" s="1121">
        <f t="shared" si="177"/>
        <v>0</v>
      </c>
      <c r="AM29" s="1121">
        <f t="shared" si="177"/>
        <v>0</v>
      </c>
      <c r="AN29" s="2633">
        <f t="shared" si="177"/>
        <v>0</v>
      </c>
      <c r="AO29" s="1220">
        <f t="shared" si="42"/>
        <v>0</v>
      </c>
      <c r="AP29" s="801">
        <f t="shared" si="43"/>
        <v>0</v>
      </c>
      <c r="AQ29" s="1084">
        <f t="shared" ref="AQ29" si="178">SUM(AQ30:AQ54)-AQ38-AQ51</f>
        <v>0</v>
      </c>
      <c r="AR29" s="880">
        <f t="shared" ref="AR29" si="179">SUM(AR30:AR54)-AR38-AR51</f>
        <v>0</v>
      </c>
      <c r="AS29" s="1121">
        <f t="shared" ref="AS29" si="180">SUM(AS30:AS54)-AS38-AS51</f>
        <v>0</v>
      </c>
      <c r="AT29" s="1121">
        <f t="shared" ref="AT29" si="181">SUM(AT30:AT54)-AT38-AT51</f>
        <v>0</v>
      </c>
      <c r="AU29" s="1121">
        <f t="shared" ref="AU29" si="182">SUM(AU30:AU54)-AU38-AU51</f>
        <v>0</v>
      </c>
      <c r="AV29" s="2633">
        <f t="shared" ref="AV29" si="183">SUM(AV30:AV54)-AV38-AV51</f>
        <v>0</v>
      </c>
      <c r="AW29" s="1084">
        <f t="shared" ref="AW29:BB29" si="184">SUM(AW30:AW54)-AW38-AW51</f>
        <v>2508.4691200000002</v>
      </c>
      <c r="AX29" s="880">
        <f t="shared" si="184"/>
        <v>3063.1718560000004</v>
      </c>
      <c r="AY29" s="1121">
        <f t="shared" si="184"/>
        <v>3188.9384487999996</v>
      </c>
      <c r="AZ29" s="1121">
        <f t="shared" si="184"/>
        <v>3289.0166022640005</v>
      </c>
      <c r="BA29" s="1121">
        <f t="shared" si="184"/>
        <v>3239.0207033587203</v>
      </c>
      <c r="BB29" s="2633">
        <f t="shared" si="184"/>
        <v>3177.054805748171</v>
      </c>
      <c r="BC29" s="1084">
        <f t="shared" ref="BC29:BH29" si="185">SUM(BC30:BC54)-BC38-BC51</f>
        <v>1783.3258900000001</v>
      </c>
      <c r="BD29" s="880">
        <f t="shared" si="185"/>
        <v>2066.473657</v>
      </c>
      <c r="BE29" s="1121">
        <f t="shared" si="185"/>
        <v>2146.3643398500003</v>
      </c>
      <c r="BF29" s="1121">
        <f t="shared" si="185"/>
        <v>2210.7552700455003</v>
      </c>
      <c r="BG29" s="1121">
        <f t="shared" si="185"/>
        <v>2227.16821503459</v>
      </c>
      <c r="BH29" s="2633">
        <f t="shared" si="185"/>
        <v>2227.5954890315065</v>
      </c>
      <c r="BI29" s="4422"/>
      <c r="BJ29" s="4438">
        <f t="shared" si="46"/>
        <v>911.80004908402066</v>
      </c>
      <c r="BK29" s="4438">
        <f t="shared" si="47"/>
        <v>1056.5712035299591</v>
      </c>
      <c r="BL29" s="4438">
        <f t="shared" si="48"/>
        <v>1097.4186610543863</v>
      </c>
      <c r="BM29" s="4438">
        <f t="shared" si="49"/>
        <v>1130.3412208860179</v>
      </c>
      <c r="BN29" s="4438">
        <f t="shared" si="50"/>
        <v>1138.7330264054597</v>
      </c>
      <c r="BO29" s="4438">
        <f t="shared" si="51"/>
        <v>1138.9514881311293</v>
      </c>
      <c r="BP29" s="4438">
        <f t="shared" si="52"/>
        <v>144.77115444593852</v>
      </c>
      <c r="BQ29" s="4438">
        <f t="shared" si="53"/>
        <v>226.74336215315239</v>
      </c>
      <c r="BR29" s="4438">
        <f t="shared" si="54"/>
        <v>289.12170843069185</v>
      </c>
      <c r="BS29" s="4438">
        <f t="shared" si="55"/>
        <v>303.05259483186171</v>
      </c>
      <c r="BT29" s="4438">
        <f t="shared" si="56"/>
        <v>312.1441726768175</v>
      </c>
      <c r="BU29" s="4438">
        <f t="shared" si="57"/>
        <v>307.29424832504361</v>
      </c>
      <c r="BV29" s="4438">
        <f t="shared" si="58"/>
        <v>297.01112541678333</v>
      </c>
      <c r="BW29" s="4438">
        <f t="shared" si="59"/>
        <v>62.378346277539492</v>
      </c>
      <c r="BX29" s="4438">
        <f t="shared" si="60"/>
        <v>144.01648405024977</v>
      </c>
      <c r="BY29" s="4438">
        <f t="shared" si="61"/>
        <v>220.48198872090109</v>
      </c>
      <c r="BZ29" s="4438">
        <f t="shared" si="62"/>
        <v>230.00708261965508</v>
      </c>
      <c r="CA29" s="4438">
        <f t="shared" si="63"/>
        <v>239.16209229432008</v>
      </c>
      <c r="CB29" s="4438">
        <f t="shared" si="64"/>
        <v>210.05771392327557</v>
      </c>
      <c r="CC29" s="4438">
        <f t="shared" si="65"/>
        <v>188.43971474655652</v>
      </c>
      <c r="CD29" s="4438">
        <f t="shared" si="66"/>
        <v>76.465504670651328</v>
      </c>
      <c r="CE29" s="4438">
        <f t="shared" si="67"/>
        <v>0</v>
      </c>
      <c r="CF29" s="4438">
        <f t="shared" si="68"/>
        <v>0</v>
      </c>
      <c r="CG29" s="4438">
        <f t="shared" si="69"/>
        <v>0</v>
      </c>
      <c r="CH29" s="4438">
        <f t="shared" si="70"/>
        <v>0</v>
      </c>
      <c r="CI29" s="4438">
        <f t="shared" si="71"/>
        <v>0</v>
      </c>
      <c r="CJ29" s="4438">
        <f t="shared" si="72"/>
        <v>0</v>
      </c>
      <c r="CK29" s="4438">
        <f t="shared" si="73"/>
        <v>0</v>
      </c>
      <c r="CL29" s="4438">
        <f t="shared" si="74"/>
        <v>0</v>
      </c>
      <c r="CM29" s="4438">
        <f t="shared" si="75"/>
        <v>0</v>
      </c>
      <c r="CN29" s="4438">
        <f t="shared" si="76"/>
        <v>0</v>
      </c>
      <c r="CO29" s="4438">
        <f t="shared" si="77"/>
        <v>0</v>
      </c>
      <c r="CP29" s="4438">
        <f t="shared" si="78"/>
        <v>0</v>
      </c>
      <c r="CQ29" s="4438">
        <f t="shared" si="79"/>
        <v>0</v>
      </c>
      <c r="CR29" s="4438">
        <f t="shared" si="80"/>
        <v>0</v>
      </c>
      <c r="CS29" s="4438">
        <f t="shared" si="81"/>
        <v>0</v>
      </c>
      <c r="CT29" s="4438">
        <f t="shared" si="82"/>
        <v>0</v>
      </c>
      <c r="CU29" s="4438">
        <f t="shared" si="83"/>
        <v>0</v>
      </c>
      <c r="CV29" s="4438">
        <f t="shared" si="84"/>
        <v>0</v>
      </c>
      <c r="CW29" s="4438">
        <f t="shared" si="85"/>
        <v>0</v>
      </c>
      <c r="CX29" s="4438">
        <f t="shared" si="86"/>
        <v>0</v>
      </c>
      <c r="CY29" s="4438">
        <f t="shared" si="87"/>
        <v>1282.5598952874229</v>
      </c>
      <c r="CZ29" s="4438">
        <f t="shared" si="88"/>
        <v>1566.1749006815523</v>
      </c>
      <c r="DA29" s="4438">
        <f t="shared" si="89"/>
        <v>1630.4783385059027</v>
      </c>
      <c r="DB29" s="4438">
        <f t="shared" si="90"/>
        <v>1681.6474858571555</v>
      </c>
      <c r="DC29" s="4438">
        <f t="shared" si="91"/>
        <v>1656.084988653779</v>
      </c>
      <c r="DD29" s="4438">
        <f t="shared" si="92"/>
        <v>1624.4023282944688</v>
      </c>
      <c r="DE29" s="4438">
        <f t="shared" si="93"/>
        <v>911.80004908402066</v>
      </c>
      <c r="DF29" s="4438">
        <f t="shared" si="94"/>
        <v>1056.5712035299591</v>
      </c>
      <c r="DG29" s="4438">
        <f t="shared" si="95"/>
        <v>1097.4186610543863</v>
      </c>
      <c r="DH29" s="4438">
        <f t="shared" si="96"/>
        <v>1130.3412208860179</v>
      </c>
      <c r="DI29" s="4438">
        <f t="shared" si="97"/>
        <v>1138.7330264054597</v>
      </c>
      <c r="DJ29" s="4438">
        <f t="shared" si="98"/>
        <v>1138.9514881311293</v>
      </c>
    </row>
    <row r="30" spans="1:114" ht="12.75">
      <c r="A30" s="108" t="s">
        <v>96</v>
      </c>
      <c r="B30" s="873" t="s">
        <v>240</v>
      </c>
      <c r="C30" s="4604">
        <v>82</v>
      </c>
      <c r="D30" s="3038">
        <f t="shared" si="155"/>
        <v>87.740000000000009</v>
      </c>
      <c r="E30" s="3038">
        <f t="shared" ref="E30:H30" si="186">D30*1.03</f>
        <v>90.372200000000007</v>
      </c>
      <c r="F30" s="3038">
        <f t="shared" si="186"/>
        <v>93.083366000000012</v>
      </c>
      <c r="G30" s="3038">
        <f t="shared" si="186"/>
        <v>95.875866980000012</v>
      </c>
      <c r="H30" s="3039">
        <f t="shared" si="186"/>
        <v>98.752142989400014</v>
      </c>
      <c r="I30" s="1224">
        <f t="shared" si="34"/>
        <v>5.7400000000000091</v>
      </c>
      <c r="J30" s="1218">
        <f t="shared" si="35"/>
        <v>7.0000000000000118E-2</v>
      </c>
      <c r="K30" s="4601">
        <v>3</v>
      </c>
      <c r="L30" s="3033">
        <f t="shared" ref="L30" si="187">K30*1.07</f>
        <v>3.21</v>
      </c>
      <c r="M30" s="3033">
        <f t="shared" ref="M30:P30" si="188">L30*1.03</f>
        <v>3.3063000000000002</v>
      </c>
      <c r="N30" s="3033">
        <f t="shared" si="188"/>
        <v>3.4054890000000002</v>
      </c>
      <c r="O30" s="3033">
        <f t="shared" si="188"/>
        <v>3.5076536700000003</v>
      </c>
      <c r="P30" s="3034">
        <f t="shared" si="188"/>
        <v>3.6128832801000006</v>
      </c>
      <c r="Q30" s="1224">
        <f t="shared" si="36"/>
        <v>0.20999999999999996</v>
      </c>
      <c r="R30" s="1099">
        <f t="shared" si="37"/>
        <v>6.9999999999999993E-2</v>
      </c>
      <c r="S30" s="4601">
        <v>2</v>
      </c>
      <c r="T30" s="3033">
        <f>S30*1.07</f>
        <v>2.14</v>
      </c>
      <c r="U30" s="3033">
        <f>T30*1.03</f>
        <v>2.2042000000000002</v>
      </c>
      <c r="V30" s="3033">
        <f t="shared" ref="V30:X30" si="189">U30*1.03</f>
        <v>2.2703260000000003</v>
      </c>
      <c r="W30" s="3033">
        <f t="shared" si="189"/>
        <v>2.3384357800000002</v>
      </c>
      <c r="X30" s="3034">
        <f t="shared" si="189"/>
        <v>2.4085888534000004</v>
      </c>
      <c r="Y30" s="1224">
        <f t="shared" si="38"/>
        <v>0.14000000000000012</v>
      </c>
      <c r="Z30" s="1099">
        <f t="shared" si="39"/>
        <v>7.0000000000000062E-2</v>
      </c>
      <c r="AA30" s="3032"/>
      <c r="AB30" s="3033"/>
      <c r="AC30" s="3033"/>
      <c r="AD30" s="3033"/>
      <c r="AE30" s="3033"/>
      <c r="AF30" s="3034"/>
      <c r="AG30" s="1224">
        <f t="shared" si="40"/>
        <v>0</v>
      </c>
      <c r="AH30" s="1218">
        <f t="shared" si="41"/>
        <v>0</v>
      </c>
      <c r="AI30" s="3032"/>
      <c r="AJ30" s="3033"/>
      <c r="AK30" s="3033"/>
      <c r="AL30" s="3033"/>
      <c r="AM30" s="3033"/>
      <c r="AN30" s="3052"/>
      <c r="AO30" s="1224">
        <f t="shared" si="42"/>
        <v>0</v>
      </c>
      <c r="AP30" s="1218">
        <f t="shared" si="43"/>
        <v>0</v>
      </c>
      <c r="AQ30" s="3037"/>
      <c r="AR30" s="3038"/>
      <c r="AS30" s="3038"/>
      <c r="AT30" s="3038"/>
      <c r="AU30" s="3038"/>
      <c r="AV30" s="3067"/>
      <c r="AW30" s="1086">
        <f t="shared" ref="AW30:AW37" si="190">C30+K30+S30+AA30+AI30</f>
        <v>87</v>
      </c>
      <c r="AX30" s="3042">
        <f t="shared" ref="AX30:AX37" si="191">D30+L30+T30+AB30+AJ30</f>
        <v>93.09</v>
      </c>
      <c r="AY30" s="3042">
        <f t="shared" ref="AY30:AY37" si="192">E30+M30+U30+AC30+AK30</f>
        <v>95.882700000000014</v>
      </c>
      <c r="AZ30" s="3042">
        <f t="shared" ref="AZ30:AZ37" si="193">F30+N30+V30+AD30+AL30</f>
        <v>98.759181000000012</v>
      </c>
      <c r="BA30" s="3042">
        <f t="shared" ref="BA30:BA37" si="194">G30+O30+W30+AE30+AM30</f>
        <v>101.72195643000001</v>
      </c>
      <c r="BB30" s="3043">
        <f t="shared" ref="BB30:BB37" si="195">H30+P30+X30+AF30+AN30</f>
        <v>104.77361512290003</v>
      </c>
      <c r="BC30" s="3059">
        <f t="shared" ref="BC30:BC37" si="196">C30+AA30+AI30</f>
        <v>82</v>
      </c>
      <c r="BD30" s="3060">
        <f t="shared" ref="BD30:BD37" si="197">D30+AB30+AJ30</f>
        <v>87.740000000000009</v>
      </c>
      <c r="BE30" s="3061">
        <f t="shared" ref="BE30:BE37" si="198">E30+AC30+AK30</f>
        <v>90.372200000000007</v>
      </c>
      <c r="BF30" s="3061">
        <f t="shared" ref="BF30:BF37" si="199">F30+AD30+AL30</f>
        <v>93.083366000000012</v>
      </c>
      <c r="BG30" s="3061">
        <f t="shared" ref="BG30:BG37" si="200">G30+AE30+AM30</f>
        <v>95.875866980000012</v>
      </c>
      <c r="BH30" s="3063">
        <f t="shared" ref="BH30:BH37" si="201">H30+AF30+AN30</f>
        <v>98.752142989400014</v>
      </c>
      <c r="BI30" s="4422"/>
      <c r="BJ30" s="4438">
        <f t="shared" si="46"/>
        <v>41.925934258089917</v>
      </c>
      <c r="BK30" s="4438">
        <f t="shared" si="47"/>
        <v>44.860749656156216</v>
      </c>
      <c r="BL30" s="4438">
        <f t="shared" si="48"/>
        <v>46.206572145840902</v>
      </c>
      <c r="BM30" s="4438">
        <f t="shared" si="49"/>
        <v>47.592769310216127</v>
      </c>
      <c r="BN30" s="4438">
        <f t="shared" si="50"/>
        <v>49.020552389522614</v>
      </c>
      <c r="BO30" s="4438">
        <f t="shared" si="51"/>
        <v>50.491168961208295</v>
      </c>
      <c r="BP30" s="4438">
        <f t="shared" si="52"/>
        <v>2.934815398066299</v>
      </c>
      <c r="BQ30" s="4438">
        <f t="shared" si="53"/>
        <v>1.5338756435886556</v>
      </c>
      <c r="BR30" s="4438">
        <f t="shared" si="54"/>
        <v>1.6412469386398614</v>
      </c>
      <c r="BS30" s="4438">
        <f t="shared" si="55"/>
        <v>1.6904843467990573</v>
      </c>
      <c r="BT30" s="4438">
        <f t="shared" si="56"/>
        <v>1.7411988772030291</v>
      </c>
      <c r="BU30" s="4438">
        <f t="shared" si="57"/>
        <v>1.7934348435191199</v>
      </c>
      <c r="BV30" s="4438">
        <f t="shared" si="58"/>
        <v>1.8472378888246936</v>
      </c>
      <c r="BW30" s="4438">
        <f t="shared" si="59"/>
        <v>0.10737129505120586</v>
      </c>
      <c r="BX30" s="4438">
        <f t="shared" si="60"/>
        <v>1.022583762392437</v>
      </c>
      <c r="BY30" s="4438">
        <f t="shared" si="61"/>
        <v>1.0941646257599076</v>
      </c>
      <c r="BZ30" s="4438">
        <f t="shared" si="62"/>
        <v>1.1269895645327048</v>
      </c>
      <c r="CA30" s="4438">
        <f t="shared" si="63"/>
        <v>1.160799251468686</v>
      </c>
      <c r="CB30" s="4438">
        <f t="shared" si="64"/>
        <v>1.1956232290127466</v>
      </c>
      <c r="CC30" s="4438">
        <f t="shared" si="65"/>
        <v>1.2314919258831292</v>
      </c>
      <c r="CD30" s="4438">
        <f t="shared" si="66"/>
        <v>7.158086336747066E-2</v>
      </c>
      <c r="CE30" s="4438">
        <f t="shared" si="67"/>
        <v>0</v>
      </c>
      <c r="CF30" s="4438">
        <f t="shared" si="68"/>
        <v>0</v>
      </c>
      <c r="CG30" s="4438">
        <f t="shared" si="69"/>
        <v>0</v>
      </c>
      <c r="CH30" s="4438">
        <f t="shared" si="70"/>
        <v>0</v>
      </c>
      <c r="CI30" s="4438">
        <f t="shared" si="71"/>
        <v>0</v>
      </c>
      <c r="CJ30" s="4438">
        <f t="shared" si="72"/>
        <v>0</v>
      </c>
      <c r="CK30" s="4438">
        <f t="shared" si="73"/>
        <v>0</v>
      </c>
      <c r="CL30" s="4438">
        <f t="shared" si="74"/>
        <v>0</v>
      </c>
      <c r="CM30" s="4438">
        <f t="shared" si="75"/>
        <v>0</v>
      </c>
      <c r="CN30" s="4438">
        <f t="shared" si="76"/>
        <v>0</v>
      </c>
      <c r="CO30" s="4438">
        <f t="shared" si="77"/>
        <v>0</v>
      </c>
      <c r="CP30" s="4438">
        <f t="shared" si="78"/>
        <v>0</v>
      </c>
      <c r="CQ30" s="4438">
        <f t="shared" si="79"/>
        <v>0</v>
      </c>
      <c r="CR30" s="4438">
        <f t="shared" si="80"/>
        <v>0</v>
      </c>
      <c r="CS30" s="4438">
        <f t="shared" si="81"/>
        <v>0</v>
      </c>
      <c r="CT30" s="4438">
        <f t="shared" si="82"/>
        <v>0</v>
      </c>
      <c r="CU30" s="4438">
        <f t="shared" si="83"/>
        <v>0</v>
      </c>
      <c r="CV30" s="4438">
        <f t="shared" si="84"/>
        <v>0</v>
      </c>
      <c r="CW30" s="4438">
        <f t="shared" si="85"/>
        <v>0</v>
      </c>
      <c r="CX30" s="4438">
        <f t="shared" si="86"/>
        <v>0</v>
      </c>
      <c r="CY30" s="4438">
        <f t="shared" si="87"/>
        <v>44.482393664071012</v>
      </c>
      <c r="CZ30" s="4438">
        <f t="shared" si="88"/>
        <v>47.596161220555985</v>
      </c>
      <c r="DA30" s="4438">
        <f t="shared" si="89"/>
        <v>49.024046057172669</v>
      </c>
      <c r="DB30" s="4438">
        <f t="shared" si="90"/>
        <v>50.494767438887848</v>
      </c>
      <c r="DC30" s="4438">
        <f t="shared" si="91"/>
        <v>52.009610462054475</v>
      </c>
      <c r="DD30" s="4438">
        <f t="shared" si="92"/>
        <v>53.569898775916123</v>
      </c>
      <c r="DE30" s="4438">
        <f t="shared" si="93"/>
        <v>41.925934258089917</v>
      </c>
      <c r="DF30" s="4438">
        <f t="shared" si="94"/>
        <v>44.860749656156216</v>
      </c>
      <c r="DG30" s="4438">
        <f t="shared" si="95"/>
        <v>46.206572145840902</v>
      </c>
      <c r="DH30" s="4438">
        <f t="shared" si="96"/>
        <v>47.592769310216127</v>
      </c>
      <c r="DI30" s="4438">
        <f t="shared" si="97"/>
        <v>49.020552389522614</v>
      </c>
      <c r="DJ30" s="4438">
        <f t="shared" si="98"/>
        <v>50.491168961208295</v>
      </c>
    </row>
    <row r="31" spans="1:114" ht="24">
      <c r="A31" s="816" t="s">
        <v>97</v>
      </c>
      <c r="B31" s="871" t="s">
        <v>241</v>
      </c>
      <c r="C31" s="4601">
        <v>0</v>
      </c>
      <c r="D31" s="3033">
        <f t="shared" si="155"/>
        <v>0</v>
      </c>
      <c r="E31" s="3033">
        <f t="shared" ref="E31:H31" si="202">D31*1.03</f>
        <v>0</v>
      </c>
      <c r="F31" s="3033">
        <f t="shared" si="202"/>
        <v>0</v>
      </c>
      <c r="G31" s="3033">
        <f t="shared" si="202"/>
        <v>0</v>
      </c>
      <c r="H31" s="3034">
        <f t="shared" si="202"/>
        <v>0</v>
      </c>
      <c r="I31" s="1224">
        <f t="shared" si="34"/>
        <v>0</v>
      </c>
      <c r="J31" s="804">
        <f t="shared" si="35"/>
        <v>0</v>
      </c>
      <c r="K31" s="3040"/>
      <c r="L31" s="3041"/>
      <c r="M31" s="1969"/>
      <c r="N31" s="1969"/>
      <c r="O31" s="1969"/>
      <c r="P31" s="3050"/>
      <c r="Q31" s="2032"/>
      <c r="R31" s="3020"/>
      <c r="S31" s="3040"/>
      <c r="T31" s="3041"/>
      <c r="U31" s="1969"/>
      <c r="V31" s="1969"/>
      <c r="W31" s="1969"/>
      <c r="X31" s="3050"/>
      <c r="Y31" s="2032"/>
      <c r="Z31" s="3020"/>
      <c r="AA31" s="3032"/>
      <c r="AB31" s="3033"/>
      <c r="AC31" s="3033"/>
      <c r="AD31" s="3033"/>
      <c r="AE31" s="3033"/>
      <c r="AF31" s="3034"/>
      <c r="AG31" s="1224">
        <f t="shared" si="40"/>
        <v>0</v>
      </c>
      <c r="AH31" s="804">
        <f t="shared" si="41"/>
        <v>0</v>
      </c>
      <c r="AI31" s="3032"/>
      <c r="AJ31" s="3033"/>
      <c r="AK31" s="3033"/>
      <c r="AL31" s="3033"/>
      <c r="AM31" s="3033"/>
      <c r="AN31" s="3052"/>
      <c r="AO31" s="1224">
        <f t="shared" si="42"/>
        <v>0</v>
      </c>
      <c r="AP31" s="804">
        <f t="shared" si="43"/>
        <v>0</v>
      </c>
      <c r="AQ31" s="3040"/>
      <c r="AR31" s="3041"/>
      <c r="AS31" s="1969"/>
      <c r="AT31" s="1969"/>
      <c r="AU31" s="1969"/>
      <c r="AV31" s="2033"/>
      <c r="AW31" s="1086">
        <f t="shared" si="190"/>
        <v>0</v>
      </c>
      <c r="AX31" s="3042">
        <f t="shared" si="191"/>
        <v>0</v>
      </c>
      <c r="AY31" s="3042">
        <f t="shared" si="192"/>
        <v>0</v>
      </c>
      <c r="AZ31" s="3042">
        <f t="shared" si="193"/>
        <v>0</v>
      </c>
      <c r="BA31" s="3042">
        <f t="shared" si="194"/>
        <v>0</v>
      </c>
      <c r="BB31" s="3043">
        <f t="shared" si="195"/>
        <v>0</v>
      </c>
      <c r="BC31" s="3059">
        <f t="shared" si="196"/>
        <v>0</v>
      </c>
      <c r="BD31" s="3060">
        <f t="shared" si="197"/>
        <v>0</v>
      </c>
      <c r="BE31" s="3061">
        <f t="shared" si="198"/>
        <v>0</v>
      </c>
      <c r="BF31" s="3061">
        <f t="shared" si="199"/>
        <v>0</v>
      </c>
      <c r="BG31" s="3061">
        <f t="shared" si="200"/>
        <v>0</v>
      </c>
      <c r="BH31" s="3063">
        <f t="shared" si="201"/>
        <v>0</v>
      </c>
      <c r="BI31" s="4422"/>
      <c r="BJ31" s="4438">
        <f t="shared" si="46"/>
        <v>0</v>
      </c>
      <c r="BK31" s="4438">
        <f t="shared" si="47"/>
        <v>0</v>
      </c>
      <c r="BL31" s="4438">
        <f t="shared" si="48"/>
        <v>0</v>
      </c>
      <c r="BM31" s="4438">
        <f t="shared" si="49"/>
        <v>0</v>
      </c>
      <c r="BN31" s="4438">
        <f t="shared" si="50"/>
        <v>0</v>
      </c>
      <c r="BO31" s="4438">
        <f t="shared" si="51"/>
        <v>0</v>
      </c>
      <c r="BP31" s="4438">
        <f t="shared" si="52"/>
        <v>0</v>
      </c>
      <c r="BQ31" s="4438">
        <f t="shared" si="53"/>
        <v>0</v>
      </c>
      <c r="BR31" s="4438">
        <f t="shared" si="54"/>
        <v>0</v>
      </c>
      <c r="BS31" s="4438">
        <f t="shared" si="55"/>
        <v>0</v>
      </c>
      <c r="BT31" s="4438">
        <f t="shared" si="56"/>
        <v>0</v>
      </c>
      <c r="BU31" s="4438">
        <f t="shared" si="57"/>
        <v>0</v>
      </c>
      <c r="BV31" s="4438">
        <f t="shared" si="58"/>
        <v>0</v>
      </c>
      <c r="BW31" s="4438">
        <f t="shared" si="59"/>
        <v>0</v>
      </c>
      <c r="BX31" s="4438">
        <f t="shared" si="60"/>
        <v>0</v>
      </c>
      <c r="BY31" s="4438">
        <f t="shared" si="61"/>
        <v>0</v>
      </c>
      <c r="BZ31" s="4438">
        <f t="shared" si="62"/>
        <v>0</v>
      </c>
      <c r="CA31" s="4438">
        <f t="shared" si="63"/>
        <v>0</v>
      </c>
      <c r="CB31" s="4438">
        <f t="shared" si="64"/>
        <v>0</v>
      </c>
      <c r="CC31" s="4438">
        <f t="shared" si="65"/>
        <v>0</v>
      </c>
      <c r="CD31" s="4438">
        <f t="shared" si="66"/>
        <v>0</v>
      </c>
      <c r="CE31" s="4438">
        <f t="shared" si="67"/>
        <v>0</v>
      </c>
      <c r="CF31" s="4438">
        <f t="shared" si="68"/>
        <v>0</v>
      </c>
      <c r="CG31" s="4438">
        <f t="shared" si="69"/>
        <v>0</v>
      </c>
      <c r="CH31" s="4438">
        <f t="shared" si="70"/>
        <v>0</v>
      </c>
      <c r="CI31" s="4438">
        <f t="shared" si="71"/>
        <v>0</v>
      </c>
      <c r="CJ31" s="4438">
        <f t="shared" si="72"/>
        <v>0</v>
      </c>
      <c r="CK31" s="4438">
        <f t="shared" si="73"/>
        <v>0</v>
      </c>
      <c r="CL31" s="4438">
        <f t="shared" si="74"/>
        <v>0</v>
      </c>
      <c r="CM31" s="4438">
        <f t="shared" si="75"/>
        <v>0</v>
      </c>
      <c r="CN31" s="4438">
        <f t="shared" si="76"/>
        <v>0</v>
      </c>
      <c r="CO31" s="4438">
        <f t="shared" si="77"/>
        <v>0</v>
      </c>
      <c r="CP31" s="4438">
        <f t="shared" si="78"/>
        <v>0</v>
      </c>
      <c r="CQ31" s="4438">
        <f t="shared" si="79"/>
        <v>0</v>
      </c>
      <c r="CR31" s="4438">
        <f t="shared" si="80"/>
        <v>0</v>
      </c>
      <c r="CS31" s="4438">
        <f t="shared" si="81"/>
        <v>0</v>
      </c>
      <c r="CT31" s="4438">
        <f t="shared" si="82"/>
        <v>0</v>
      </c>
      <c r="CU31" s="4438">
        <f t="shared" si="83"/>
        <v>0</v>
      </c>
      <c r="CV31" s="4438">
        <f t="shared" si="84"/>
        <v>0</v>
      </c>
      <c r="CW31" s="4438">
        <f t="shared" si="85"/>
        <v>0</v>
      </c>
      <c r="CX31" s="4438">
        <f t="shared" si="86"/>
        <v>0</v>
      </c>
      <c r="CY31" s="4438">
        <f t="shared" si="87"/>
        <v>0</v>
      </c>
      <c r="CZ31" s="4438">
        <f t="shared" si="88"/>
        <v>0</v>
      </c>
      <c r="DA31" s="4438">
        <f t="shared" si="89"/>
        <v>0</v>
      </c>
      <c r="DB31" s="4438">
        <f t="shared" si="90"/>
        <v>0</v>
      </c>
      <c r="DC31" s="4438">
        <f t="shared" si="91"/>
        <v>0</v>
      </c>
      <c r="DD31" s="4438">
        <f t="shared" si="92"/>
        <v>0</v>
      </c>
      <c r="DE31" s="4438">
        <f t="shared" si="93"/>
        <v>0</v>
      </c>
      <c r="DF31" s="4438">
        <f t="shared" si="94"/>
        <v>0</v>
      </c>
      <c r="DG31" s="4438">
        <f t="shared" si="95"/>
        <v>0</v>
      </c>
      <c r="DH31" s="4438">
        <f t="shared" si="96"/>
        <v>0</v>
      </c>
      <c r="DI31" s="4438">
        <f t="shared" si="97"/>
        <v>0</v>
      </c>
      <c r="DJ31" s="4438">
        <f t="shared" si="98"/>
        <v>0</v>
      </c>
    </row>
    <row r="32" spans="1:114" ht="12.75">
      <c r="A32" s="816" t="s">
        <v>169</v>
      </c>
      <c r="B32" s="3853" t="s">
        <v>1219</v>
      </c>
      <c r="C32" s="4601">
        <v>74</v>
      </c>
      <c r="D32" s="3033">
        <f t="shared" si="155"/>
        <v>79.180000000000007</v>
      </c>
      <c r="E32" s="3033">
        <f t="shared" ref="E32:H32" si="203">D32*1.03</f>
        <v>81.555400000000006</v>
      </c>
      <c r="F32" s="3033">
        <f t="shared" si="203"/>
        <v>84.002062000000009</v>
      </c>
      <c r="G32" s="3033">
        <v>85</v>
      </c>
      <c r="H32" s="3034">
        <f t="shared" si="203"/>
        <v>87.55</v>
      </c>
      <c r="I32" s="1224">
        <f t="shared" si="34"/>
        <v>5.1800000000000068</v>
      </c>
      <c r="J32" s="804">
        <f t="shared" si="35"/>
        <v>7.000000000000009E-2</v>
      </c>
      <c r="K32" s="4601">
        <v>3</v>
      </c>
      <c r="L32" s="3033">
        <f t="shared" ref="L32:L37" si="204">K32*1.07</f>
        <v>3.21</v>
      </c>
      <c r="M32" s="3033">
        <f t="shared" ref="M32:P32" si="205">L32*1.03</f>
        <v>3.3063000000000002</v>
      </c>
      <c r="N32" s="3033">
        <f t="shared" si="205"/>
        <v>3.4054890000000002</v>
      </c>
      <c r="O32" s="3033">
        <f t="shared" si="205"/>
        <v>3.5076536700000003</v>
      </c>
      <c r="P32" s="3034">
        <f t="shared" si="205"/>
        <v>3.6128832801000006</v>
      </c>
      <c r="Q32" s="1224">
        <f t="shared" ref="Q32:Q48" si="206">L32-K32</f>
        <v>0.20999999999999996</v>
      </c>
      <c r="R32" s="1095">
        <f t="shared" ref="R32:R48" si="207">IFERROR((L32-K32)/K32,0)</f>
        <v>6.9999999999999993E-2</v>
      </c>
      <c r="S32" s="4601">
        <v>9</v>
      </c>
      <c r="T32" s="3033">
        <f>S32*1.07</f>
        <v>9.6300000000000008</v>
      </c>
      <c r="U32" s="3033">
        <f>T32*1.03</f>
        <v>9.9189000000000007</v>
      </c>
      <c r="V32" s="3033">
        <f t="shared" ref="V32:X32" si="208">U32*1.03</f>
        <v>10.216467000000002</v>
      </c>
      <c r="W32" s="3033">
        <f t="shared" si="208"/>
        <v>10.522961010000001</v>
      </c>
      <c r="X32" s="3034">
        <f t="shared" si="208"/>
        <v>10.838649840300002</v>
      </c>
      <c r="Y32" s="1224">
        <f t="shared" ref="Y32:Y72" si="209">T32-S32</f>
        <v>0.63000000000000078</v>
      </c>
      <c r="Z32" s="1095">
        <f t="shared" ref="Z32:Z72" si="210">IFERROR((T32-S32)/S32,0)</f>
        <v>7.000000000000009E-2</v>
      </c>
      <c r="AA32" s="3032"/>
      <c r="AB32" s="3033"/>
      <c r="AC32" s="3033"/>
      <c r="AD32" s="3033"/>
      <c r="AE32" s="3033"/>
      <c r="AF32" s="3034"/>
      <c r="AG32" s="1224">
        <f t="shared" si="40"/>
        <v>0</v>
      </c>
      <c r="AH32" s="804">
        <f t="shared" si="41"/>
        <v>0</v>
      </c>
      <c r="AI32" s="3032"/>
      <c r="AJ32" s="3033"/>
      <c r="AK32" s="3033"/>
      <c r="AL32" s="3033"/>
      <c r="AM32" s="3033"/>
      <c r="AN32" s="3052"/>
      <c r="AO32" s="1224">
        <f t="shared" si="42"/>
        <v>0</v>
      </c>
      <c r="AP32" s="804">
        <f t="shared" si="43"/>
        <v>0</v>
      </c>
      <c r="AQ32" s="3032"/>
      <c r="AR32" s="3033"/>
      <c r="AS32" s="3033"/>
      <c r="AT32" s="3033"/>
      <c r="AU32" s="3033"/>
      <c r="AV32" s="3052"/>
      <c r="AW32" s="1086">
        <f t="shared" si="190"/>
        <v>86</v>
      </c>
      <c r="AX32" s="3042">
        <f t="shared" si="191"/>
        <v>92.02</v>
      </c>
      <c r="AY32" s="3042">
        <f t="shared" si="192"/>
        <v>94.780600000000021</v>
      </c>
      <c r="AZ32" s="3042">
        <f t="shared" si="193"/>
        <v>97.624018000000007</v>
      </c>
      <c r="BA32" s="3042">
        <f t="shared" si="194"/>
        <v>99.030614679999999</v>
      </c>
      <c r="BB32" s="3043">
        <f t="shared" si="195"/>
        <v>102.00153312040001</v>
      </c>
      <c r="BC32" s="3059">
        <f t="shared" si="196"/>
        <v>74</v>
      </c>
      <c r="BD32" s="3060">
        <f t="shared" si="197"/>
        <v>79.180000000000007</v>
      </c>
      <c r="BE32" s="3061">
        <f t="shared" si="198"/>
        <v>81.555400000000006</v>
      </c>
      <c r="BF32" s="3061">
        <f t="shared" si="199"/>
        <v>84.002062000000009</v>
      </c>
      <c r="BG32" s="3061">
        <f t="shared" si="200"/>
        <v>85</v>
      </c>
      <c r="BH32" s="3063">
        <f t="shared" si="201"/>
        <v>87.55</v>
      </c>
      <c r="BI32" s="4422"/>
      <c r="BJ32" s="4438">
        <f t="shared" si="46"/>
        <v>37.835599208520172</v>
      </c>
      <c r="BK32" s="4438">
        <f t="shared" si="47"/>
        <v>40.484091153116587</v>
      </c>
      <c r="BL32" s="4438">
        <f t="shared" si="48"/>
        <v>41.698613887710081</v>
      </c>
      <c r="BM32" s="4438">
        <f t="shared" si="49"/>
        <v>42.949572304341388</v>
      </c>
      <c r="BN32" s="4438">
        <f t="shared" si="50"/>
        <v>43.459809901678575</v>
      </c>
      <c r="BO32" s="4438">
        <f t="shared" si="51"/>
        <v>44.763604198728927</v>
      </c>
      <c r="BP32" s="4438">
        <f t="shared" si="52"/>
        <v>2.6484919445964152</v>
      </c>
      <c r="BQ32" s="4438">
        <f t="shared" si="53"/>
        <v>1.5338756435886556</v>
      </c>
      <c r="BR32" s="4438">
        <f t="shared" si="54"/>
        <v>1.6412469386398614</v>
      </c>
      <c r="BS32" s="4438">
        <f t="shared" si="55"/>
        <v>1.6904843467990573</v>
      </c>
      <c r="BT32" s="4438">
        <f t="shared" si="56"/>
        <v>1.7411988772030291</v>
      </c>
      <c r="BU32" s="4438">
        <f t="shared" si="57"/>
        <v>1.7934348435191199</v>
      </c>
      <c r="BV32" s="4438">
        <f t="shared" si="58"/>
        <v>1.8472378888246936</v>
      </c>
      <c r="BW32" s="4438">
        <f t="shared" si="59"/>
        <v>0.10737129505120586</v>
      </c>
      <c r="BX32" s="4438">
        <f t="shared" si="60"/>
        <v>4.6016269307659661</v>
      </c>
      <c r="BY32" s="4438">
        <f t="shared" si="61"/>
        <v>4.9237408159195848</v>
      </c>
      <c r="BZ32" s="4438">
        <f t="shared" si="62"/>
        <v>5.0714530403971718</v>
      </c>
      <c r="CA32" s="4438">
        <f t="shared" si="63"/>
        <v>5.2235966316090874</v>
      </c>
      <c r="CB32" s="4438">
        <f t="shared" si="64"/>
        <v>5.3803045305573605</v>
      </c>
      <c r="CC32" s="4438">
        <f t="shared" si="65"/>
        <v>5.5417136664740809</v>
      </c>
      <c r="CD32" s="4438">
        <f t="shared" si="66"/>
        <v>0.32211388515361805</v>
      </c>
      <c r="CE32" s="4438">
        <f t="shared" si="67"/>
        <v>0</v>
      </c>
      <c r="CF32" s="4438">
        <f t="shared" si="68"/>
        <v>0</v>
      </c>
      <c r="CG32" s="4438">
        <f t="shared" si="69"/>
        <v>0</v>
      </c>
      <c r="CH32" s="4438">
        <f t="shared" si="70"/>
        <v>0</v>
      </c>
      <c r="CI32" s="4438">
        <f t="shared" si="71"/>
        <v>0</v>
      </c>
      <c r="CJ32" s="4438">
        <f t="shared" si="72"/>
        <v>0</v>
      </c>
      <c r="CK32" s="4438">
        <f t="shared" si="73"/>
        <v>0</v>
      </c>
      <c r="CL32" s="4438">
        <f t="shared" si="74"/>
        <v>0</v>
      </c>
      <c r="CM32" s="4438">
        <f t="shared" si="75"/>
        <v>0</v>
      </c>
      <c r="CN32" s="4438">
        <f t="shared" si="76"/>
        <v>0</v>
      </c>
      <c r="CO32" s="4438">
        <f t="shared" si="77"/>
        <v>0</v>
      </c>
      <c r="CP32" s="4438">
        <f t="shared" si="78"/>
        <v>0</v>
      </c>
      <c r="CQ32" s="4438">
        <f t="shared" si="79"/>
        <v>0</v>
      </c>
      <c r="CR32" s="4438">
        <f t="shared" si="80"/>
        <v>0</v>
      </c>
      <c r="CS32" s="4438">
        <f t="shared" si="81"/>
        <v>0</v>
      </c>
      <c r="CT32" s="4438">
        <f t="shared" si="82"/>
        <v>0</v>
      </c>
      <c r="CU32" s="4438">
        <f t="shared" si="83"/>
        <v>0</v>
      </c>
      <c r="CV32" s="4438">
        <f t="shared" si="84"/>
        <v>0</v>
      </c>
      <c r="CW32" s="4438">
        <f t="shared" si="85"/>
        <v>0</v>
      </c>
      <c r="CX32" s="4438">
        <f t="shared" si="86"/>
        <v>0</v>
      </c>
      <c r="CY32" s="4438">
        <f t="shared" si="87"/>
        <v>43.97110178287479</v>
      </c>
      <c r="CZ32" s="4438">
        <f t="shared" si="88"/>
        <v>47.049078907676027</v>
      </c>
      <c r="DA32" s="4438">
        <f t="shared" si="89"/>
        <v>48.460551274906315</v>
      </c>
      <c r="DB32" s="4438">
        <f t="shared" si="90"/>
        <v>49.914367813153497</v>
      </c>
      <c r="DC32" s="4438">
        <f t="shared" si="91"/>
        <v>50.633549275755051</v>
      </c>
      <c r="DD32" s="4438">
        <f t="shared" si="92"/>
        <v>52.152555754027709</v>
      </c>
      <c r="DE32" s="4438">
        <f t="shared" si="93"/>
        <v>37.835599208520172</v>
      </c>
      <c r="DF32" s="4438">
        <f t="shared" si="94"/>
        <v>40.484091153116587</v>
      </c>
      <c r="DG32" s="4438">
        <f t="shared" si="95"/>
        <v>41.698613887710081</v>
      </c>
      <c r="DH32" s="4438">
        <f t="shared" si="96"/>
        <v>42.949572304341388</v>
      </c>
      <c r="DI32" s="4438">
        <f t="shared" si="97"/>
        <v>43.459809901678575</v>
      </c>
      <c r="DJ32" s="4438">
        <f t="shared" si="98"/>
        <v>44.763604198728927</v>
      </c>
    </row>
    <row r="33" spans="1:114" ht="12.75">
      <c r="A33" s="108" t="s">
        <v>242</v>
      </c>
      <c r="B33" s="871" t="s">
        <v>243</v>
      </c>
      <c r="C33" s="4601">
        <v>12</v>
      </c>
      <c r="D33" s="3033">
        <f t="shared" si="155"/>
        <v>12.84</v>
      </c>
      <c r="E33" s="3033">
        <f t="shared" ref="E33:H33" si="211">D33*1.03</f>
        <v>13.225200000000001</v>
      </c>
      <c r="F33" s="3033">
        <f t="shared" si="211"/>
        <v>13.621956000000001</v>
      </c>
      <c r="G33" s="3033">
        <f t="shared" si="211"/>
        <v>14.030614680000001</v>
      </c>
      <c r="H33" s="3034">
        <f t="shared" si="211"/>
        <v>14.451533120400002</v>
      </c>
      <c r="I33" s="1224">
        <f t="shared" si="34"/>
        <v>0.83999999999999986</v>
      </c>
      <c r="J33" s="804">
        <f t="shared" si="35"/>
        <v>6.9999999999999993E-2</v>
      </c>
      <c r="K33" s="4601">
        <v>0</v>
      </c>
      <c r="L33" s="3033">
        <f t="shared" si="204"/>
        <v>0</v>
      </c>
      <c r="M33" s="3033">
        <f t="shared" ref="M33:P33" si="212">L33*1.03</f>
        <v>0</v>
      </c>
      <c r="N33" s="3033">
        <f t="shared" si="212"/>
        <v>0</v>
      </c>
      <c r="O33" s="3033">
        <f t="shared" si="212"/>
        <v>0</v>
      </c>
      <c r="P33" s="3034">
        <f t="shared" si="212"/>
        <v>0</v>
      </c>
      <c r="Q33" s="1224">
        <f t="shared" si="206"/>
        <v>0</v>
      </c>
      <c r="R33" s="1095">
        <f t="shared" si="207"/>
        <v>0</v>
      </c>
      <c r="S33" s="4601">
        <v>0</v>
      </c>
      <c r="T33" s="3033">
        <f t="shared" ref="T33:T47" si="213">S33*1.07</f>
        <v>0</v>
      </c>
      <c r="U33" s="3033">
        <f t="shared" ref="U33:X33" si="214">T33*1.03</f>
        <v>0</v>
      </c>
      <c r="V33" s="3033">
        <f t="shared" si="214"/>
        <v>0</v>
      </c>
      <c r="W33" s="3033">
        <f t="shared" si="214"/>
        <v>0</v>
      </c>
      <c r="X33" s="3034">
        <f t="shared" si="214"/>
        <v>0</v>
      </c>
      <c r="Y33" s="1224">
        <f t="shared" si="209"/>
        <v>0</v>
      </c>
      <c r="Z33" s="1095">
        <f t="shared" si="210"/>
        <v>0</v>
      </c>
      <c r="AA33" s="3032"/>
      <c r="AB33" s="3033"/>
      <c r="AC33" s="3033"/>
      <c r="AD33" s="3033"/>
      <c r="AE33" s="3033"/>
      <c r="AF33" s="3034"/>
      <c r="AG33" s="1224">
        <f t="shared" si="40"/>
        <v>0</v>
      </c>
      <c r="AH33" s="804">
        <f t="shared" si="41"/>
        <v>0</v>
      </c>
      <c r="AI33" s="3032"/>
      <c r="AJ33" s="3033"/>
      <c r="AK33" s="3033"/>
      <c r="AL33" s="3033"/>
      <c r="AM33" s="3033"/>
      <c r="AN33" s="3052"/>
      <c r="AO33" s="1224">
        <f t="shared" si="42"/>
        <v>0</v>
      </c>
      <c r="AP33" s="804">
        <f t="shared" si="43"/>
        <v>0</v>
      </c>
      <c r="AQ33" s="3032"/>
      <c r="AR33" s="3033"/>
      <c r="AS33" s="3033"/>
      <c r="AT33" s="3033"/>
      <c r="AU33" s="3033"/>
      <c r="AV33" s="3052"/>
      <c r="AW33" s="1086">
        <f t="shared" si="190"/>
        <v>12</v>
      </c>
      <c r="AX33" s="3042">
        <f t="shared" si="191"/>
        <v>12.84</v>
      </c>
      <c r="AY33" s="3042">
        <f t="shared" si="192"/>
        <v>13.225200000000001</v>
      </c>
      <c r="AZ33" s="3042">
        <f t="shared" si="193"/>
        <v>13.621956000000001</v>
      </c>
      <c r="BA33" s="3042">
        <f t="shared" si="194"/>
        <v>14.030614680000001</v>
      </c>
      <c r="BB33" s="3043">
        <f t="shared" si="195"/>
        <v>14.451533120400002</v>
      </c>
      <c r="BC33" s="3059">
        <f t="shared" si="196"/>
        <v>12</v>
      </c>
      <c r="BD33" s="3060">
        <f t="shared" si="197"/>
        <v>12.84</v>
      </c>
      <c r="BE33" s="3061">
        <f t="shared" si="198"/>
        <v>13.225200000000001</v>
      </c>
      <c r="BF33" s="3061">
        <f t="shared" si="199"/>
        <v>13.621956000000001</v>
      </c>
      <c r="BG33" s="3061">
        <f t="shared" si="200"/>
        <v>14.030614680000001</v>
      </c>
      <c r="BH33" s="3063">
        <f t="shared" si="201"/>
        <v>14.451533120400002</v>
      </c>
      <c r="BI33" s="4422"/>
      <c r="BJ33" s="4438">
        <f t="shared" si="46"/>
        <v>6.1355025743546223</v>
      </c>
      <c r="BK33" s="4438">
        <f t="shared" si="47"/>
        <v>6.5649877545594455</v>
      </c>
      <c r="BL33" s="4438">
        <f t="shared" si="48"/>
        <v>6.7619373871962294</v>
      </c>
      <c r="BM33" s="4438">
        <f t="shared" si="49"/>
        <v>6.9647955088121165</v>
      </c>
      <c r="BN33" s="4438">
        <f t="shared" si="50"/>
        <v>7.1737393740764794</v>
      </c>
      <c r="BO33" s="4438">
        <f t="shared" si="51"/>
        <v>7.3889515552987746</v>
      </c>
      <c r="BP33" s="4438">
        <f t="shared" si="52"/>
        <v>0.42948518020482346</v>
      </c>
      <c r="BQ33" s="4438">
        <f t="shared" si="53"/>
        <v>0</v>
      </c>
      <c r="BR33" s="4438">
        <f t="shared" si="54"/>
        <v>0</v>
      </c>
      <c r="BS33" s="4438">
        <f t="shared" si="55"/>
        <v>0</v>
      </c>
      <c r="BT33" s="4438">
        <f t="shared" si="56"/>
        <v>0</v>
      </c>
      <c r="BU33" s="4438">
        <f t="shared" si="57"/>
        <v>0</v>
      </c>
      <c r="BV33" s="4438">
        <f t="shared" si="58"/>
        <v>0</v>
      </c>
      <c r="BW33" s="4438">
        <f t="shared" si="59"/>
        <v>0</v>
      </c>
      <c r="BX33" s="4438">
        <f t="shared" si="60"/>
        <v>0</v>
      </c>
      <c r="BY33" s="4438">
        <f t="shared" si="61"/>
        <v>0</v>
      </c>
      <c r="BZ33" s="4438">
        <f t="shared" si="62"/>
        <v>0</v>
      </c>
      <c r="CA33" s="4438">
        <f t="shared" si="63"/>
        <v>0</v>
      </c>
      <c r="CB33" s="4438">
        <f t="shared" si="64"/>
        <v>0</v>
      </c>
      <c r="CC33" s="4438">
        <f t="shared" si="65"/>
        <v>0</v>
      </c>
      <c r="CD33" s="4438">
        <f t="shared" si="66"/>
        <v>0</v>
      </c>
      <c r="CE33" s="4438">
        <f t="shared" si="67"/>
        <v>0</v>
      </c>
      <c r="CF33" s="4438">
        <f t="shared" si="68"/>
        <v>0</v>
      </c>
      <c r="CG33" s="4438">
        <f t="shared" si="69"/>
        <v>0</v>
      </c>
      <c r="CH33" s="4438">
        <f t="shared" si="70"/>
        <v>0</v>
      </c>
      <c r="CI33" s="4438">
        <f t="shared" si="71"/>
        <v>0</v>
      </c>
      <c r="CJ33" s="4438">
        <f t="shared" si="72"/>
        <v>0</v>
      </c>
      <c r="CK33" s="4438">
        <f t="shared" si="73"/>
        <v>0</v>
      </c>
      <c r="CL33" s="4438">
        <f t="shared" si="74"/>
        <v>0</v>
      </c>
      <c r="CM33" s="4438">
        <f t="shared" si="75"/>
        <v>0</v>
      </c>
      <c r="CN33" s="4438">
        <f t="shared" si="76"/>
        <v>0</v>
      </c>
      <c r="CO33" s="4438">
        <f t="shared" si="77"/>
        <v>0</v>
      </c>
      <c r="CP33" s="4438">
        <f t="shared" si="78"/>
        <v>0</v>
      </c>
      <c r="CQ33" s="4438">
        <f t="shared" si="79"/>
        <v>0</v>
      </c>
      <c r="CR33" s="4438">
        <f t="shared" si="80"/>
        <v>0</v>
      </c>
      <c r="CS33" s="4438">
        <f t="shared" si="81"/>
        <v>0</v>
      </c>
      <c r="CT33" s="4438">
        <f t="shared" si="82"/>
        <v>0</v>
      </c>
      <c r="CU33" s="4438">
        <f t="shared" si="83"/>
        <v>0</v>
      </c>
      <c r="CV33" s="4438">
        <f t="shared" si="84"/>
        <v>0</v>
      </c>
      <c r="CW33" s="4438">
        <f t="shared" si="85"/>
        <v>0</v>
      </c>
      <c r="CX33" s="4438">
        <f t="shared" si="86"/>
        <v>0</v>
      </c>
      <c r="CY33" s="4438">
        <f t="shared" si="87"/>
        <v>6.1355025743546223</v>
      </c>
      <c r="CZ33" s="4438">
        <f t="shared" si="88"/>
        <v>6.5649877545594455</v>
      </c>
      <c r="DA33" s="4438">
        <f t="shared" si="89"/>
        <v>6.7619373871962294</v>
      </c>
      <c r="DB33" s="4438">
        <f t="shared" si="90"/>
        <v>6.9647955088121165</v>
      </c>
      <c r="DC33" s="4438">
        <f t="shared" si="91"/>
        <v>7.1737393740764794</v>
      </c>
      <c r="DD33" s="4438">
        <f t="shared" si="92"/>
        <v>7.3889515552987746</v>
      </c>
      <c r="DE33" s="4438">
        <f t="shared" si="93"/>
        <v>6.1355025743546223</v>
      </c>
      <c r="DF33" s="4438">
        <f t="shared" si="94"/>
        <v>6.5649877545594455</v>
      </c>
      <c r="DG33" s="4438">
        <f t="shared" si="95"/>
        <v>6.7619373871962294</v>
      </c>
      <c r="DH33" s="4438">
        <f t="shared" si="96"/>
        <v>6.9647955088121165</v>
      </c>
      <c r="DI33" s="4438">
        <f t="shared" si="97"/>
        <v>7.1737393740764794</v>
      </c>
      <c r="DJ33" s="4438">
        <f t="shared" si="98"/>
        <v>7.3889515552987746</v>
      </c>
    </row>
    <row r="34" spans="1:114" ht="12.75">
      <c r="A34" s="816" t="s">
        <v>244</v>
      </c>
      <c r="B34" s="871" t="s">
        <v>245</v>
      </c>
      <c r="C34" s="4601">
        <v>76</v>
      </c>
      <c r="D34" s="3033">
        <f t="shared" si="155"/>
        <v>81.320000000000007</v>
      </c>
      <c r="E34" s="3033">
        <f t="shared" ref="E34:H34" si="215">D34*1.03</f>
        <v>83.759600000000006</v>
      </c>
      <c r="F34" s="3033">
        <f t="shared" si="215"/>
        <v>86.272388000000007</v>
      </c>
      <c r="G34" s="3033">
        <f t="shared" si="215"/>
        <v>88.860559640000005</v>
      </c>
      <c r="H34" s="3034">
        <f t="shared" si="215"/>
        <v>91.526376429200013</v>
      </c>
      <c r="I34" s="1224">
        <f t="shared" si="34"/>
        <v>5.3200000000000074</v>
      </c>
      <c r="J34" s="804">
        <f t="shared" si="35"/>
        <v>7.0000000000000104E-2</v>
      </c>
      <c r="K34" s="4601">
        <v>3</v>
      </c>
      <c r="L34" s="3033">
        <f t="shared" si="204"/>
        <v>3.21</v>
      </c>
      <c r="M34" s="3033">
        <f t="shared" ref="M34:P34" si="216">L34*1.03</f>
        <v>3.3063000000000002</v>
      </c>
      <c r="N34" s="3033">
        <f t="shared" si="216"/>
        <v>3.4054890000000002</v>
      </c>
      <c r="O34" s="3033">
        <f t="shared" si="216"/>
        <v>3.5076536700000003</v>
      </c>
      <c r="P34" s="3034">
        <f t="shared" si="216"/>
        <v>3.6128832801000006</v>
      </c>
      <c r="Q34" s="1224">
        <f t="shared" si="206"/>
        <v>0.20999999999999996</v>
      </c>
      <c r="R34" s="1095">
        <f t="shared" si="207"/>
        <v>6.9999999999999993E-2</v>
      </c>
      <c r="S34" s="4601">
        <v>2</v>
      </c>
      <c r="T34" s="3033">
        <f t="shared" si="213"/>
        <v>2.14</v>
      </c>
      <c r="U34" s="3033">
        <f t="shared" ref="U34:X34" si="217">T34*1.03</f>
        <v>2.2042000000000002</v>
      </c>
      <c r="V34" s="3033">
        <f t="shared" si="217"/>
        <v>2.2703260000000003</v>
      </c>
      <c r="W34" s="3033">
        <f t="shared" si="217"/>
        <v>2.3384357800000002</v>
      </c>
      <c r="X34" s="3034">
        <f t="shared" si="217"/>
        <v>2.4085888534000004</v>
      </c>
      <c r="Y34" s="1224">
        <f t="shared" si="209"/>
        <v>0.14000000000000012</v>
      </c>
      <c r="Z34" s="1095">
        <f t="shared" si="210"/>
        <v>7.0000000000000062E-2</v>
      </c>
      <c r="AA34" s="3032"/>
      <c r="AB34" s="3033"/>
      <c r="AC34" s="3033"/>
      <c r="AD34" s="3033"/>
      <c r="AE34" s="3033"/>
      <c r="AF34" s="3034"/>
      <c r="AG34" s="1224">
        <f t="shared" si="40"/>
        <v>0</v>
      </c>
      <c r="AH34" s="804">
        <f t="shared" si="41"/>
        <v>0</v>
      </c>
      <c r="AI34" s="3032"/>
      <c r="AJ34" s="3033"/>
      <c r="AK34" s="3033"/>
      <c r="AL34" s="3033"/>
      <c r="AM34" s="3033"/>
      <c r="AN34" s="3052"/>
      <c r="AO34" s="1224">
        <f t="shared" si="42"/>
        <v>0</v>
      </c>
      <c r="AP34" s="804">
        <f t="shared" si="43"/>
        <v>0</v>
      </c>
      <c r="AQ34" s="3032"/>
      <c r="AR34" s="3033"/>
      <c r="AS34" s="3033"/>
      <c r="AT34" s="3033"/>
      <c r="AU34" s="3033"/>
      <c r="AV34" s="3052"/>
      <c r="AW34" s="1086">
        <f t="shared" si="190"/>
        <v>81</v>
      </c>
      <c r="AX34" s="3042">
        <f t="shared" si="191"/>
        <v>86.67</v>
      </c>
      <c r="AY34" s="3042">
        <f t="shared" si="192"/>
        <v>89.270099999999999</v>
      </c>
      <c r="AZ34" s="3042">
        <f t="shared" si="193"/>
        <v>91.948203000000007</v>
      </c>
      <c r="BA34" s="3042">
        <f t="shared" si="194"/>
        <v>94.706649089999999</v>
      </c>
      <c r="BB34" s="3043">
        <f t="shared" si="195"/>
        <v>97.547848562700025</v>
      </c>
      <c r="BC34" s="3059">
        <f t="shared" si="196"/>
        <v>76</v>
      </c>
      <c r="BD34" s="3060">
        <f t="shared" si="197"/>
        <v>81.320000000000007</v>
      </c>
      <c r="BE34" s="3061">
        <f t="shared" si="198"/>
        <v>83.759600000000006</v>
      </c>
      <c r="BF34" s="3061">
        <f t="shared" si="199"/>
        <v>86.272388000000007</v>
      </c>
      <c r="BG34" s="3061">
        <f t="shared" si="200"/>
        <v>88.860559640000005</v>
      </c>
      <c r="BH34" s="3063">
        <f t="shared" si="201"/>
        <v>91.526376429200013</v>
      </c>
      <c r="BI34" s="4422"/>
      <c r="BJ34" s="4438">
        <f t="shared" si="46"/>
        <v>38.858182970912608</v>
      </c>
      <c r="BK34" s="4438">
        <f t="shared" si="47"/>
        <v>41.578255778876489</v>
      </c>
      <c r="BL34" s="4438">
        <f t="shared" si="48"/>
        <v>42.825603452242788</v>
      </c>
      <c r="BM34" s="4438">
        <f t="shared" si="49"/>
        <v>44.110371555810069</v>
      </c>
      <c r="BN34" s="4438">
        <f t="shared" si="50"/>
        <v>45.433682702484369</v>
      </c>
      <c r="BO34" s="4438">
        <f t="shared" si="51"/>
        <v>46.796693183558908</v>
      </c>
      <c r="BP34" s="4438">
        <f t="shared" si="52"/>
        <v>2.7200728079638861</v>
      </c>
      <c r="BQ34" s="4438">
        <f t="shared" si="53"/>
        <v>1.5338756435886556</v>
      </c>
      <c r="BR34" s="4438">
        <f t="shared" si="54"/>
        <v>1.6412469386398614</v>
      </c>
      <c r="BS34" s="4438">
        <f t="shared" si="55"/>
        <v>1.6904843467990573</v>
      </c>
      <c r="BT34" s="4438">
        <f t="shared" si="56"/>
        <v>1.7411988772030291</v>
      </c>
      <c r="BU34" s="4438">
        <f t="shared" si="57"/>
        <v>1.7934348435191199</v>
      </c>
      <c r="BV34" s="4438">
        <f t="shared" si="58"/>
        <v>1.8472378888246936</v>
      </c>
      <c r="BW34" s="4438">
        <f t="shared" si="59"/>
        <v>0.10737129505120586</v>
      </c>
      <c r="BX34" s="4438">
        <f t="shared" si="60"/>
        <v>1.022583762392437</v>
      </c>
      <c r="BY34" s="4438">
        <f t="shared" si="61"/>
        <v>1.0941646257599076</v>
      </c>
      <c r="BZ34" s="4438">
        <f t="shared" si="62"/>
        <v>1.1269895645327048</v>
      </c>
      <c r="CA34" s="4438">
        <f t="shared" si="63"/>
        <v>1.160799251468686</v>
      </c>
      <c r="CB34" s="4438">
        <f t="shared" si="64"/>
        <v>1.1956232290127466</v>
      </c>
      <c r="CC34" s="4438">
        <f t="shared" si="65"/>
        <v>1.2314919258831292</v>
      </c>
      <c r="CD34" s="4438">
        <f t="shared" si="66"/>
        <v>7.158086336747066E-2</v>
      </c>
      <c r="CE34" s="4438">
        <f t="shared" si="67"/>
        <v>0</v>
      </c>
      <c r="CF34" s="4438">
        <f t="shared" si="68"/>
        <v>0</v>
      </c>
      <c r="CG34" s="4438">
        <f t="shared" si="69"/>
        <v>0</v>
      </c>
      <c r="CH34" s="4438">
        <f t="shared" si="70"/>
        <v>0</v>
      </c>
      <c r="CI34" s="4438">
        <f t="shared" si="71"/>
        <v>0</v>
      </c>
      <c r="CJ34" s="4438">
        <f t="shared" si="72"/>
        <v>0</v>
      </c>
      <c r="CK34" s="4438">
        <f t="shared" si="73"/>
        <v>0</v>
      </c>
      <c r="CL34" s="4438">
        <f t="shared" si="74"/>
        <v>0</v>
      </c>
      <c r="CM34" s="4438">
        <f t="shared" si="75"/>
        <v>0</v>
      </c>
      <c r="CN34" s="4438">
        <f t="shared" si="76"/>
        <v>0</v>
      </c>
      <c r="CO34" s="4438">
        <f t="shared" si="77"/>
        <v>0</v>
      </c>
      <c r="CP34" s="4438">
        <f t="shared" si="78"/>
        <v>0</v>
      </c>
      <c r="CQ34" s="4438">
        <f t="shared" si="79"/>
        <v>0</v>
      </c>
      <c r="CR34" s="4438">
        <f t="shared" si="80"/>
        <v>0</v>
      </c>
      <c r="CS34" s="4438">
        <f t="shared" si="81"/>
        <v>0</v>
      </c>
      <c r="CT34" s="4438">
        <f t="shared" si="82"/>
        <v>0</v>
      </c>
      <c r="CU34" s="4438">
        <f t="shared" si="83"/>
        <v>0</v>
      </c>
      <c r="CV34" s="4438">
        <f t="shared" si="84"/>
        <v>0</v>
      </c>
      <c r="CW34" s="4438">
        <f t="shared" si="85"/>
        <v>0</v>
      </c>
      <c r="CX34" s="4438">
        <f t="shared" si="86"/>
        <v>0</v>
      </c>
      <c r="CY34" s="4438">
        <f t="shared" si="87"/>
        <v>41.414642376893696</v>
      </c>
      <c r="CZ34" s="4438">
        <f t="shared" si="88"/>
        <v>44.313667343276258</v>
      </c>
      <c r="DA34" s="4438">
        <f t="shared" si="89"/>
        <v>45.643077363574541</v>
      </c>
      <c r="DB34" s="4438">
        <f t="shared" si="90"/>
        <v>47.012369684481783</v>
      </c>
      <c r="DC34" s="4438">
        <f t="shared" si="91"/>
        <v>48.422740775016237</v>
      </c>
      <c r="DD34" s="4438">
        <f t="shared" si="92"/>
        <v>49.875422998266735</v>
      </c>
      <c r="DE34" s="4438">
        <f t="shared" si="93"/>
        <v>38.858182970912608</v>
      </c>
      <c r="DF34" s="4438">
        <f t="shared" si="94"/>
        <v>41.578255778876489</v>
      </c>
      <c r="DG34" s="4438">
        <f t="shared" si="95"/>
        <v>42.825603452242788</v>
      </c>
      <c r="DH34" s="4438">
        <f t="shared" si="96"/>
        <v>44.110371555810069</v>
      </c>
      <c r="DI34" s="4438">
        <f t="shared" si="97"/>
        <v>45.433682702484369</v>
      </c>
      <c r="DJ34" s="4438">
        <f t="shared" si="98"/>
        <v>46.796693183558908</v>
      </c>
    </row>
    <row r="35" spans="1:114" ht="12.75">
      <c r="A35" s="816" t="s">
        <v>246</v>
      </c>
      <c r="B35" s="871" t="s">
        <v>247</v>
      </c>
      <c r="C35" s="4601">
        <v>39</v>
      </c>
      <c r="D35" s="3033">
        <f t="shared" si="155"/>
        <v>41.730000000000004</v>
      </c>
      <c r="E35" s="3033">
        <f t="shared" ref="E35:H35" si="218">D35*1.03</f>
        <v>42.981900000000003</v>
      </c>
      <c r="F35" s="3033">
        <f t="shared" si="218"/>
        <v>44.271357000000002</v>
      </c>
      <c r="G35" s="3033">
        <f t="shared" si="218"/>
        <v>45.599497710000001</v>
      </c>
      <c r="H35" s="3034">
        <f t="shared" si="218"/>
        <v>46.967482641300002</v>
      </c>
      <c r="I35" s="1224">
        <f t="shared" si="34"/>
        <v>2.730000000000004</v>
      </c>
      <c r="J35" s="804">
        <f t="shared" si="35"/>
        <v>7.0000000000000104E-2</v>
      </c>
      <c r="K35" s="4601">
        <v>0</v>
      </c>
      <c r="L35" s="3033">
        <f t="shared" si="204"/>
        <v>0</v>
      </c>
      <c r="M35" s="3033">
        <f t="shared" ref="M35:P35" si="219">L35*1.03</f>
        <v>0</v>
      </c>
      <c r="N35" s="3033">
        <f t="shared" si="219"/>
        <v>0</v>
      </c>
      <c r="O35" s="3033">
        <f t="shared" si="219"/>
        <v>0</v>
      </c>
      <c r="P35" s="3034">
        <f t="shared" si="219"/>
        <v>0</v>
      </c>
      <c r="Q35" s="1224">
        <f t="shared" si="206"/>
        <v>0</v>
      </c>
      <c r="R35" s="1095">
        <f t="shared" si="207"/>
        <v>0</v>
      </c>
      <c r="S35" s="4601">
        <v>5</v>
      </c>
      <c r="T35" s="3033">
        <f t="shared" si="213"/>
        <v>5.3500000000000005</v>
      </c>
      <c r="U35" s="3033">
        <f t="shared" ref="U35:X35" si="220">T35*1.03</f>
        <v>5.5105000000000004</v>
      </c>
      <c r="V35" s="3033">
        <f t="shared" si="220"/>
        <v>5.6758150000000009</v>
      </c>
      <c r="W35" s="3033">
        <f t="shared" si="220"/>
        <v>5.8460894500000009</v>
      </c>
      <c r="X35" s="3034">
        <f t="shared" si="220"/>
        <v>6.0214721335000014</v>
      </c>
      <c r="Y35" s="1224">
        <f t="shared" si="209"/>
        <v>0.35000000000000053</v>
      </c>
      <c r="Z35" s="1095">
        <f t="shared" si="210"/>
        <v>7.0000000000000104E-2</v>
      </c>
      <c r="AA35" s="3032"/>
      <c r="AB35" s="3033"/>
      <c r="AC35" s="3033"/>
      <c r="AD35" s="3033"/>
      <c r="AE35" s="3033"/>
      <c r="AF35" s="3034"/>
      <c r="AG35" s="1224">
        <f t="shared" si="40"/>
        <v>0</v>
      </c>
      <c r="AH35" s="804">
        <f t="shared" si="41"/>
        <v>0</v>
      </c>
      <c r="AI35" s="3032"/>
      <c r="AJ35" s="3033"/>
      <c r="AK35" s="3033"/>
      <c r="AL35" s="3033"/>
      <c r="AM35" s="3033"/>
      <c r="AN35" s="3052"/>
      <c r="AO35" s="1224">
        <f t="shared" si="42"/>
        <v>0</v>
      </c>
      <c r="AP35" s="804">
        <f t="shared" si="43"/>
        <v>0</v>
      </c>
      <c r="AQ35" s="3032"/>
      <c r="AR35" s="3033"/>
      <c r="AS35" s="3033"/>
      <c r="AT35" s="3033"/>
      <c r="AU35" s="3033"/>
      <c r="AV35" s="3052"/>
      <c r="AW35" s="1086">
        <f t="shared" si="190"/>
        <v>44</v>
      </c>
      <c r="AX35" s="3042">
        <f t="shared" si="191"/>
        <v>47.080000000000005</v>
      </c>
      <c r="AY35" s="3042">
        <f t="shared" si="192"/>
        <v>48.492400000000004</v>
      </c>
      <c r="AZ35" s="3042">
        <f t="shared" si="193"/>
        <v>49.947172000000002</v>
      </c>
      <c r="BA35" s="3042">
        <f t="shared" si="194"/>
        <v>51.445587160000002</v>
      </c>
      <c r="BB35" s="3043">
        <f t="shared" si="195"/>
        <v>52.988954774800007</v>
      </c>
      <c r="BC35" s="3059">
        <f t="shared" si="196"/>
        <v>39</v>
      </c>
      <c r="BD35" s="3060">
        <f t="shared" si="197"/>
        <v>41.730000000000004</v>
      </c>
      <c r="BE35" s="3061">
        <f t="shared" si="198"/>
        <v>42.981900000000003</v>
      </c>
      <c r="BF35" s="3061">
        <f t="shared" si="199"/>
        <v>44.271357000000002</v>
      </c>
      <c r="BG35" s="3061">
        <f t="shared" si="200"/>
        <v>45.599497710000001</v>
      </c>
      <c r="BH35" s="3063">
        <f t="shared" si="201"/>
        <v>46.967482641300002</v>
      </c>
      <c r="BI35" s="4422"/>
      <c r="BJ35" s="4438">
        <f t="shared" si="46"/>
        <v>19.940383366652522</v>
      </c>
      <c r="BK35" s="4438">
        <f t="shared" si="47"/>
        <v>21.336210202318199</v>
      </c>
      <c r="BL35" s="4438">
        <f t="shared" si="48"/>
        <v>21.976296508387744</v>
      </c>
      <c r="BM35" s="4438">
        <f t="shared" si="49"/>
        <v>22.635585403639379</v>
      </c>
      <c r="BN35" s="4438">
        <f t="shared" si="50"/>
        <v>23.314652965748557</v>
      </c>
      <c r="BO35" s="4438">
        <f t="shared" si="51"/>
        <v>24.014092554721014</v>
      </c>
      <c r="BP35" s="4438">
        <f t="shared" si="52"/>
        <v>1.3958268356656784</v>
      </c>
      <c r="BQ35" s="4438">
        <f t="shared" si="53"/>
        <v>0</v>
      </c>
      <c r="BR35" s="4438">
        <f t="shared" si="54"/>
        <v>0</v>
      </c>
      <c r="BS35" s="4438">
        <f t="shared" si="55"/>
        <v>0</v>
      </c>
      <c r="BT35" s="4438">
        <f t="shared" si="56"/>
        <v>0</v>
      </c>
      <c r="BU35" s="4438">
        <f t="shared" si="57"/>
        <v>0</v>
      </c>
      <c r="BV35" s="4438">
        <f t="shared" si="58"/>
        <v>0</v>
      </c>
      <c r="BW35" s="4438">
        <f t="shared" si="59"/>
        <v>0</v>
      </c>
      <c r="BX35" s="4438">
        <f t="shared" si="60"/>
        <v>2.5564594059810926</v>
      </c>
      <c r="BY35" s="4438">
        <f t="shared" si="61"/>
        <v>2.7354115643997692</v>
      </c>
      <c r="BZ35" s="4438">
        <f t="shared" si="62"/>
        <v>2.8174739113317622</v>
      </c>
      <c r="CA35" s="4438">
        <f t="shared" si="63"/>
        <v>2.9019981286717154</v>
      </c>
      <c r="CB35" s="4438">
        <f t="shared" si="64"/>
        <v>2.9890580725318667</v>
      </c>
      <c r="CC35" s="4438">
        <f t="shared" si="65"/>
        <v>3.078729814707823</v>
      </c>
      <c r="CD35" s="4438">
        <f t="shared" si="66"/>
        <v>0.17895215841867676</v>
      </c>
      <c r="CE35" s="4438">
        <f t="shared" si="67"/>
        <v>0</v>
      </c>
      <c r="CF35" s="4438">
        <f t="shared" si="68"/>
        <v>0</v>
      </c>
      <c r="CG35" s="4438">
        <f t="shared" si="69"/>
        <v>0</v>
      </c>
      <c r="CH35" s="4438">
        <f t="shared" si="70"/>
        <v>0</v>
      </c>
      <c r="CI35" s="4438">
        <f t="shared" si="71"/>
        <v>0</v>
      </c>
      <c r="CJ35" s="4438">
        <f t="shared" si="72"/>
        <v>0</v>
      </c>
      <c r="CK35" s="4438">
        <f t="shared" si="73"/>
        <v>0</v>
      </c>
      <c r="CL35" s="4438">
        <f t="shared" si="74"/>
        <v>0</v>
      </c>
      <c r="CM35" s="4438">
        <f t="shared" si="75"/>
        <v>0</v>
      </c>
      <c r="CN35" s="4438">
        <f t="shared" si="76"/>
        <v>0</v>
      </c>
      <c r="CO35" s="4438">
        <f t="shared" si="77"/>
        <v>0</v>
      </c>
      <c r="CP35" s="4438">
        <f t="shared" si="78"/>
        <v>0</v>
      </c>
      <c r="CQ35" s="4438">
        <f t="shared" si="79"/>
        <v>0</v>
      </c>
      <c r="CR35" s="4438">
        <f t="shared" si="80"/>
        <v>0</v>
      </c>
      <c r="CS35" s="4438">
        <f t="shared" si="81"/>
        <v>0</v>
      </c>
      <c r="CT35" s="4438">
        <f t="shared" si="82"/>
        <v>0</v>
      </c>
      <c r="CU35" s="4438">
        <f t="shared" si="83"/>
        <v>0</v>
      </c>
      <c r="CV35" s="4438">
        <f t="shared" si="84"/>
        <v>0</v>
      </c>
      <c r="CW35" s="4438">
        <f t="shared" si="85"/>
        <v>0</v>
      </c>
      <c r="CX35" s="4438">
        <f t="shared" si="86"/>
        <v>0</v>
      </c>
      <c r="CY35" s="4438">
        <f t="shared" si="87"/>
        <v>22.496842772633613</v>
      </c>
      <c r="CZ35" s="4438">
        <f t="shared" si="88"/>
        <v>24.071621766717971</v>
      </c>
      <c r="DA35" s="4438">
        <f t="shared" si="89"/>
        <v>24.793770419719507</v>
      </c>
      <c r="DB35" s="4438">
        <f t="shared" si="90"/>
        <v>25.537583532311093</v>
      </c>
      <c r="DC35" s="4438">
        <f t="shared" si="91"/>
        <v>26.303711038280426</v>
      </c>
      <c r="DD35" s="4438">
        <f t="shared" si="92"/>
        <v>27.092822369428841</v>
      </c>
      <c r="DE35" s="4438">
        <f t="shared" si="93"/>
        <v>19.940383366652522</v>
      </c>
      <c r="DF35" s="4438">
        <f t="shared" si="94"/>
        <v>21.336210202318199</v>
      </c>
      <c r="DG35" s="4438">
        <f t="shared" si="95"/>
        <v>21.976296508387744</v>
      </c>
      <c r="DH35" s="4438">
        <f t="shared" si="96"/>
        <v>22.635585403639379</v>
      </c>
      <c r="DI35" s="4438">
        <f t="shared" si="97"/>
        <v>23.314652965748557</v>
      </c>
      <c r="DJ35" s="4438">
        <f t="shared" si="98"/>
        <v>24.014092554721014</v>
      </c>
    </row>
    <row r="36" spans="1:114" ht="12.75">
      <c r="A36" s="108" t="s">
        <v>248</v>
      </c>
      <c r="B36" s="871" t="s">
        <v>249</v>
      </c>
      <c r="C36" s="4601">
        <v>32</v>
      </c>
      <c r="D36" s="3033">
        <f t="shared" si="155"/>
        <v>34.24</v>
      </c>
      <c r="E36" s="3033">
        <f t="shared" ref="E36:H36" si="221">D36*1.03</f>
        <v>35.267200000000003</v>
      </c>
      <c r="F36" s="3033">
        <f t="shared" si="221"/>
        <v>36.325216000000005</v>
      </c>
      <c r="G36" s="3033">
        <f t="shared" si="221"/>
        <v>37.414972480000003</v>
      </c>
      <c r="H36" s="3034">
        <f t="shared" si="221"/>
        <v>38.537421654400006</v>
      </c>
      <c r="I36" s="1224">
        <f t="shared" si="34"/>
        <v>2.240000000000002</v>
      </c>
      <c r="J36" s="804">
        <f t="shared" si="35"/>
        <v>7.0000000000000062E-2</v>
      </c>
      <c r="K36" s="4601">
        <v>2</v>
      </c>
      <c r="L36" s="3033">
        <f t="shared" si="204"/>
        <v>2.14</v>
      </c>
      <c r="M36" s="3033">
        <f t="shared" ref="M36:P36" si="222">L36*1.03</f>
        <v>2.2042000000000002</v>
      </c>
      <c r="N36" s="3033">
        <f t="shared" si="222"/>
        <v>2.2703260000000003</v>
      </c>
      <c r="O36" s="3033">
        <f t="shared" si="222"/>
        <v>2.3384357800000002</v>
      </c>
      <c r="P36" s="3034">
        <f t="shared" si="222"/>
        <v>2.4085888534000004</v>
      </c>
      <c r="Q36" s="1224">
        <f t="shared" si="206"/>
        <v>0.14000000000000012</v>
      </c>
      <c r="R36" s="1095">
        <f t="shared" si="207"/>
        <v>7.0000000000000062E-2</v>
      </c>
      <c r="S36" s="4601">
        <v>3</v>
      </c>
      <c r="T36" s="3033">
        <f t="shared" si="213"/>
        <v>3.21</v>
      </c>
      <c r="U36" s="3033">
        <f t="shared" ref="U36:X36" si="223">T36*1.03</f>
        <v>3.3063000000000002</v>
      </c>
      <c r="V36" s="3033">
        <f t="shared" si="223"/>
        <v>3.4054890000000002</v>
      </c>
      <c r="W36" s="3033">
        <f t="shared" si="223"/>
        <v>3.5076536700000003</v>
      </c>
      <c r="X36" s="3034">
        <f t="shared" si="223"/>
        <v>3.6128832801000006</v>
      </c>
      <c r="Y36" s="1224">
        <f t="shared" si="209"/>
        <v>0.20999999999999996</v>
      </c>
      <c r="Z36" s="1095">
        <f t="shared" si="210"/>
        <v>6.9999999999999993E-2</v>
      </c>
      <c r="AA36" s="3032"/>
      <c r="AB36" s="3033"/>
      <c r="AC36" s="3033"/>
      <c r="AD36" s="3033"/>
      <c r="AE36" s="3033"/>
      <c r="AF36" s="3034"/>
      <c r="AG36" s="1224">
        <f t="shared" si="40"/>
        <v>0</v>
      </c>
      <c r="AH36" s="804">
        <f t="shared" si="41"/>
        <v>0</v>
      </c>
      <c r="AI36" s="3032"/>
      <c r="AJ36" s="3033"/>
      <c r="AK36" s="3033"/>
      <c r="AL36" s="3033"/>
      <c r="AM36" s="3033"/>
      <c r="AN36" s="3052"/>
      <c r="AO36" s="1224">
        <f t="shared" si="42"/>
        <v>0</v>
      </c>
      <c r="AP36" s="804">
        <f t="shared" si="43"/>
        <v>0</v>
      </c>
      <c r="AQ36" s="3032"/>
      <c r="AR36" s="3033"/>
      <c r="AS36" s="3033"/>
      <c r="AT36" s="3033"/>
      <c r="AU36" s="3033"/>
      <c r="AV36" s="3052"/>
      <c r="AW36" s="1086">
        <f t="shared" si="190"/>
        <v>37</v>
      </c>
      <c r="AX36" s="3042">
        <f t="shared" si="191"/>
        <v>39.590000000000003</v>
      </c>
      <c r="AY36" s="3042">
        <f t="shared" si="192"/>
        <v>40.777700000000003</v>
      </c>
      <c r="AZ36" s="3042">
        <f t="shared" si="193"/>
        <v>42.001031000000005</v>
      </c>
      <c r="BA36" s="3042">
        <f t="shared" si="194"/>
        <v>43.261061930000004</v>
      </c>
      <c r="BB36" s="3043">
        <f t="shared" si="195"/>
        <v>44.558893787900004</v>
      </c>
      <c r="BC36" s="3059">
        <f t="shared" si="196"/>
        <v>32</v>
      </c>
      <c r="BD36" s="3060">
        <f t="shared" si="197"/>
        <v>34.24</v>
      </c>
      <c r="BE36" s="3061">
        <f t="shared" si="198"/>
        <v>35.267200000000003</v>
      </c>
      <c r="BF36" s="3061">
        <f t="shared" si="199"/>
        <v>36.325216000000005</v>
      </c>
      <c r="BG36" s="3061">
        <f t="shared" si="200"/>
        <v>37.414972480000003</v>
      </c>
      <c r="BH36" s="3063">
        <f t="shared" si="201"/>
        <v>38.537421654400006</v>
      </c>
      <c r="BI36" s="4422"/>
      <c r="BJ36" s="4438">
        <f t="shared" si="46"/>
        <v>16.361340198278992</v>
      </c>
      <c r="BK36" s="4438">
        <f t="shared" si="47"/>
        <v>17.506634012158521</v>
      </c>
      <c r="BL36" s="4438">
        <f t="shared" si="48"/>
        <v>18.031833032523277</v>
      </c>
      <c r="BM36" s="4438">
        <f t="shared" si="49"/>
        <v>18.572788023498976</v>
      </c>
      <c r="BN36" s="4438">
        <f t="shared" si="50"/>
        <v>19.129971664203946</v>
      </c>
      <c r="BO36" s="4438">
        <f t="shared" si="51"/>
        <v>19.703870814130067</v>
      </c>
      <c r="BP36" s="4438">
        <f t="shared" si="52"/>
        <v>1.1452938138795306</v>
      </c>
      <c r="BQ36" s="4438">
        <f t="shared" si="53"/>
        <v>1.022583762392437</v>
      </c>
      <c r="BR36" s="4438">
        <f t="shared" si="54"/>
        <v>1.0941646257599076</v>
      </c>
      <c r="BS36" s="4438">
        <f t="shared" si="55"/>
        <v>1.1269895645327048</v>
      </c>
      <c r="BT36" s="4438">
        <f t="shared" si="56"/>
        <v>1.160799251468686</v>
      </c>
      <c r="BU36" s="4438">
        <f t="shared" si="57"/>
        <v>1.1956232290127466</v>
      </c>
      <c r="BV36" s="4438">
        <f t="shared" si="58"/>
        <v>1.2314919258831292</v>
      </c>
      <c r="BW36" s="4438">
        <f t="shared" si="59"/>
        <v>7.158086336747066E-2</v>
      </c>
      <c r="BX36" s="4438">
        <f t="shared" si="60"/>
        <v>1.5338756435886556</v>
      </c>
      <c r="BY36" s="4438">
        <f t="shared" si="61"/>
        <v>1.6412469386398614</v>
      </c>
      <c r="BZ36" s="4438">
        <f t="shared" si="62"/>
        <v>1.6904843467990573</v>
      </c>
      <c r="CA36" s="4438">
        <f t="shared" si="63"/>
        <v>1.7411988772030291</v>
      </c>
      <c r="CB36" s="4438">
        <f t="shared" si="64"/>
        <v>1.7934348435191199</v>
      </c>
      <c r="CC36" s="4438">
        <f t="shared" si="65"/>
        <v>1.8472378888246936</v>
      </c>
      <c r="CD36" s="4438">
        <f t="shared" si="66"/>
        <v>0.10737129505120586</v>
      </c>
      <c r="CE36" s="4438">
        <f t="shared" si="67"/>
        <v>0</v>
      </c>
      <c r="CF36" s="4438">
        <f t="shared" si="68"/>
        <v>0</v>
      </c>
      <c r="CG36" s="4438">
        <f t="shared" si="69"/>
        <v>0</v>
      </c>
      <c r="CH36" s="4438">
        <f t="shared" si="70"/>
        <v>0</v>
      </c>
      <c r="CI36" s="4438">
        <f t="shared" si="71"/>
        <v>0</v>
      </c>
      <c r="CJ36" s="4438">
        <f t="shared" si="72"/>
        <v>0</v>
      </c>
      <c r="CK36" s="4438">
        <f t="shared" si="73"/>
        <v>0</v>
      </c>
      <c r="CL36" s="4438">
        <f t="shared" si="74"/>
        <v>0</v>
      </c>
      <c r="CM36" s="4438">
        <f t="shared" si="75"/>
        <v>0</v>
      </c>
      <c r="CN36" s="4438">
        <f t="shared" si="76"/>
        <v>0</v>
      </c>
      <c r="CO36" s="4438">
        <f t="shared" si="77"/>
        <v>0</v>
      </c>
      <c r="CP36" s="4438">
        <f t="shared" si="78"/>
        <v>0</v>
      </c>
      <c r="CQ36" s="4438">
        <f t="shared" si="79"/>
        <v>0</v>
      </c>
      <c r="CR36" s="4438">
        <f t="shared" si="80"/>
        <v>0</v>
      </c>
      <c r="CS36" s="4438">
        <f t="shared" si="81"/>
        <v>0</v>
      </c>
      <c r="CT36" s="4438">
        <f t="shared" si="82"/>
        <v>0</v>
      </c>
      <c r="CU36" s="4438">
        <f t="shared" si="83"/>
        <v>0</v>
      </c>
      <c r="CV36" s="4438">
        <f t="shared" si="84"/>
        <v>0</v>
      </c>
      <c r="CW36" s="4438">
        <f t="shared" si="85"/>
        <v>0</v>
      </c>
      <c r="CX36" s="4438">
        <f t="shared" si="86"/>
        <v>0</v>
      </c>
      <c r="CY36" s="4438">
        <f t="shared" si="87"/>
        <v>18.917799604260086</v>
      </c>
      <c r="CZ36" s="4438">
        <f t="shared" si="88"/>
        <v>20.242045576558294</v>
      </c>
      <c r="DA36" s="4438">
        <f t="shared" si="89"/>
        <v>20.849306943855041</v>
      </c>
      <c r="DB36" s="4438">
        <f t="shared" si="90"/>
        <v>21.474786152170694</v>
      </c>
      <c r="DC36" s="4438">
        <f t="shared" si="91"/>
        <v>22.119029736735811</v>
      </c>
      <c r="DD36" s="4438">
        <f t="shared" si="92"/>
        <v>22.782600628837887</v>
      </c>
      <c r="DE36" s="4438">
        <f t="shared" si="93"/>
        <v>16.361340198278992</v>
      </c>
      <c r="DF36" s="4438">
        <f t="shared" si="94"/>
        <v>17.506634012158521</v>
      </c>
      <c r="DG36" s="4438">
        <f t="shared" si="95"/>
        <v>18.031833032523277</v>
      </c>
      <c r="DH36" s="4438">
        <f t="shared" si="96"/>
        <v>18.572788023498976</v>
      </c>
      <c r="DI36" s="4438">
        <f t="shared" si="97"/>
        <v>19.129971664203946</v>
      </c>
      <c r="DJ36" s="4438">
        <f t="shared" si="98"/>
        <v>19.703870814130067</v>
      </c>
    </row>
    <row r="37" spans="1:114" ht="12.75">
      <c r="A37" s="816" t="s">
        <v>250</v>
      </c>
      <c r="B37" s="871" t="s">
        <v>251</v>
      </c>
      <c r="C37" s="4601">
        <v>31</v>
      </c>
      <c r="D37" s="3033">
        <f t="shared" si="155"/>
        <v>33.17</v>
      </c>
      <c r="E37" s="3033">
        <f t="shared" ref="E37:H39" si="224">D37*1.03</f>
        <v>34.165100000000002</v>
      </c>
      <c r="F37" s="3033">
        <f t="shared" si="224"/>
        <v>35.190053000000006</v>
      </c>
      <c r="G37" s="3033">
        <f t="shared" si="224"/>
        <v>36.245754590000004</v>
      </c>
      <c r="H37" s="3034">
        <f t="shared" si="224"/>
        <v>37.333127227700004</v>
      </c>
      <c r="I37" s="1224">
        <f t="shared" si="34"/>
        <v>2.1700000000000017</v>
      </c>
      <c r="J37" s="804">
        <f t="shared" si="35"/>
        <v>7.0000000000000048E-2</v>
      </c>
      <c r="K37" s="4601">
        <v>1</v>
      </c>
      <c r="L37" s="3033">
        <f t="shared" si="204"/>
        <v>1.07</v>
      </c>
      <c r="M37" s="3033">
        <f t="shared" ref="M37:P37" si="225">L37*1.03</f>
        <v>1.1021000000000001</v>
      </c>
      <c r="N37" s="3033">
        <f t="shared" si="225"/>
        <v>1.1351630000000001</v>
      </c>
      <c r="O37" s="3033">
        <f t="shared" si="225"/>
        <v>1.1692178900000001</v>
      </c>
      <c r="P37" s="3034">
        <f t="shared" si="225"/>
        <v>1.2042944267000002</v>
      </c>
      <c r="Q37" s="1224">
        <f t="shared" si="206"/>
        <v>7.0000000000000062E-2</v>
      </c>
      <c r="R37" s="1095">
        <f t="shared" si="207"/>
        <v>7.0000000000000062E-2</v>
      </c>
      <c r="S37" s="4601">
        <v>2</v>
      </c>
      <c r="T37" s="3033">
        <f t="shared" si="213"/>
        <v>2.14</v>
      </c>
      <c r="U37" s="3033">
        <f t="shared" ref="U37:X39" si="226">T37*1.03</f>
        <v>2.2042000000000002</v>
      </c>
      <c r="V37" s="3033">
        <f t="shared" si="226"/>
        <v>2.2703260000000003</v>
      </c>
      <c r="W37" s="3033">
        <f t="shared" si="226"/>
        <v>2.3384357800000002</v>
      </c>
      <c r="X37" s="3034">
        <f t="shared" si="226"/>
        <v>2.4085888534000004</v>
      </c>
      <c r="Y37" s="1224">
        <f t="shared" si="209"/>
        <v>0.14000000000000012</v>
      </c>
      <c r="Z37" s="1095">
        <f t="shared" si="210"/>
        <v>7.0000000000000062E-2</v>
      </c>
      <c r="AA37" s="3032"/>
      <c r="AB37" s="3033"/>
      <c r="AC37" s="3033"/>
      <c r="AD37" s="3033"/>
      <c r="AE37" s="3033"/>
      <c r="AF37" s="3034"/>
      <c r="AG37" s="1224">
        <f t="shared" si="40"/>
        <v>0</v>
      </c>
      <c r="AH37" s="804">
        <f t="shared" si="41"/>
        <v>0</v>
      </c>
      <c r="AI37" s="3032"/>
      <c r="AJ37" s="3033"/>
      <c r="AK37" s="3033"/>
      <c r="AL37" s="3033"/>
      <c r="AM37" s="3033"/>
      <c r="AN37" s="3052"/>
      <c r="AO37" s="1224">
        <f t="shared" si="42"/>
        <v>0</v>
      </c>
      <c r="AP37" s="804">
        <f t="shared" si="43"/>
        <v>0</v>
      </c>
      <c r="AQ37" s="3032"/>
      <c r="AR37" s="3033"/>
      <c r="AS37" s="3033"/>
      <c r="AT37" s="3033"/>
      <c r="AU37" s="3033"/>
      <c r="AV37" s="3052"/>
      <c r="AW37" s="1086">
        <f t="shared" si="190"/>
        <v>34</v>
      </c>
      <c r="AX37" s="3042">
        <f t="shared" si="191"/>
        <v>36.380000000000003</v>
      </c>
      <c r="AY37" s="3042">
        <f t="shared" si="192"/>
        <v>37.471400000000003</v>
      </c>
      <c r="AZ37" s="3042">
        <f t="shared" si="193"/>
        <v>38.595542000000002</v>
      </c>
      <c r="BA37" s="3042">
        <f t="shared" si="194"/>
        <v>39.75340826</v>
      </c>
      <c r="BB37" s="3043">
        <f t="shared" si="195"/>
        <v>40.946010507800004</v>
      </c>
      <c r="BC37" s="3059">
        <f t="shared" si="196"/>
        <v>31</v>
      </c>
      <c r="BD37" s="3060">
        <f t="shared" si="197"/>
        <v>33.17</v>
      </c>
      <c r="BE37" s="3061">
        <f t="shared" si="198"/>
        <v>34.165100000000002</v>
      </c>
      <c r="BF37" s="3061">
        <f t="shared" si="199"/>
        <v>35.190053000000006</v>
      </c>
      <c r="BG37" s="3061">
        <f t="shared" si="200"/>
        <v>36.245754590000004</v>
      </c>
      <c r="BH37" s="3063">
        <f t="shared" si="201"/>
        <v>37.333127227700004</v>
      </c>
      <c r="BI37" s="4422"/>
      <c r="BJ37" s="4438">
        <f t="shared" si="46"/>
        <v>15.850048317082774</v>
      </c>
      <c r="BK37" s="4438">
        <f t="shared" si="47"/>
        <v>16.959551699278567</v>
      </c>
      <c r="BL37" s="4438">
        <f t="shared" si="48"/>
        <v>17.468338250256927</v>
      </c>
      <c r="BM37" s="4438">
        <f t="shared" si="49"/>
        <v>17.992388397764635</v>
      </c>
      <c r="BN37" s="4438">
        <f t="shared" si="50"/>
        <v>18.532160049697573</v>
      </c>
      <c r="BO37" s="4438">
        <f t="shared" si="51"/>
        <v>19.0881248511885</v>
      </c>
      <c r="BP37" s="4438">
        <f t="shared" si="52"/>
        <v>1.1095033821957949</v>
      </c>
      <c r="BQ37" s="4438">
        <f t="shared" si="53"/>
        <v>0.51129188119621849</v>
      </c>
      <c r="BR37" s="4438">
        <f t="shared" si="54"/>
        <v>0.54708231287995379</v>
      </c>
      <c r="BS37" s="4438">
        <f t="shared" si="55"/>
        <v>0.56349478226635241</v>
      </c>
      <c r="BT37" s="4438">
        <f t="shared" si="56"/>
        <v>0.58039962573434301</v>
      </c>
      <c r="BU37" s="4438">
        <f t="shared" si="57"/>
        <v>0.59781161450637332</v>
      </c>
      <c r="BV37" s="4438">
        <f t="shared" si="58"/>
        <v>0.61574596294156458</v>
      </c>
      <c r="BW37" s="4438">
        <f t="shared" si="59"/>
        <v>3.579043168373533E-2</v>
      </c>
      <c r="BX37" s="4438">
        <f t="shared" si="60"/>
        <v>1.022583762392437</v>
      </c>
      <c r="BY37" s="4438">
        <f t="shared" si="61"/>
        <v>1.0941646257599076</v>
      </c>
      <c r="BZ37" s="4438">
        <f t="shared" si="62"/>
        <v>1.1269895645327048</v>
      </c>
      <c r="CA37" s="4438">
        <f t="shared" si="63"/>
        <v>1.160799251468686</v>
      </c>
      <c r="CB37" s="4438">
        <f t="shared" si="64"/>
        <v>1.1956232290127466</v>
      </c>
      <c r="CC37" s="4438">
        <f t="shared" si="65"/>
        <v>1.2314919258831292</v>
      </c>
      <c r="CD37" s="4438">
        <f t="shared" si="66"/>
        <v>7.158086336747066E-2</v>
      </c>
      <c r="CE37" s="4438">
        <f t="shared" si="67"/>
        <v>0</v>
      </c>
      <c r="CF37" s="4438">
        <f t="shared" si="68"/>
        <v>0</v>
      </c>
      <c r="CG37" s="4438">
        <f t="shared" si="69"/>
        <v>0</v>
      </c>
      <c r="CH37" s="4438">
        <f t="shared" si="70"/>
        <v>0</v>
      </c>
      <c r="CI37" s="4438">
        <f t="shared" si="71"/>
        <v>0</v>
      </c>
      <c r="CJ37" s="4438">
        <f t="shared" si="72"/>
        <v>0</v>
      </c>
      <c r="CK37" s="4438">
        <f t="shared" si="73"/>
        <v>0</v>
      </c>
      <c r="CL37" s="4438">
        <f t="shared" si="74"/>
        <v>0</v>
      </c>
      <c r="CM37" s="4438">
        <f t="shared" si="75"/>
        <v>0</v>
      </c>
      <c r="CN37" s="4438">
        <f t="shared" si="76"/>
        <v>0</v>
      </c>
      <c r="CO37" s="4438">
        <f t="shared" si="77"/>
        <v>0</v>
      </c>
      <c r="CP37" s="4438">
        <f t="shared" si="78"/>
        <v>0</v>
      </c>
      <c r="CQ37" s="4438">
        <f t="shared" si="79"/>
        <v>0</v>
      </c>
      <c r="CR37" s="4438">
        <f t="shared" si="80"/>
        <v>0</v>
      </c>
      <c r="CS37" s="4438">
        <f t="shared" si="81"/>
        <v>0</v>
      </c>
      <c r="CT37" s="4438">
        <f t="shared" si="82"/>
        <v>0</v>
      </c>
      <c r="CU37" s="4438">
        <f t="shared" si="83"/>
        <v>0</v>
      </c>
      <c r="CV37" s="4438">
        <f t="shared" si="84"/>
        <v>0</v>
      </c>
      <c r="CW37" s="4438">
        <f t="shared" si="85"/>
        <v>0</v>
      </c>
      <c r="CX37" s="4438">
        <f t="shared" si="86"/>
        <v>0</v>
      </c>
      <c r="CY37" s="4438">
        <f t="shared" si="87"/>
        <v>17.383923960671428</v>
      </c>
      <c r="CZ37" s="4438">
        <f t="shared" si="88"/>
        <v>18.60079863791843</v>
      </c>
      <c r="DA37" s="4438">
        <f t="shared" si="89"/>
        <v>19.158822597055984</v>
      </c>
      <c r="DB37" s="4438">
        <f t="shared" si="90"/>
        <v>19.733587274967661</v>
      </c>
      <c r="DC37" s="4438">
        <f t="shared" si="91"/>
        <v>20.325594893216692</v>
      </c>
      <c r="DD37" s="4438">
        <f t="shared" si="92"/>
        <v>20.935362740013193</v>
      </c>
      <c r="DE37" s="4438">
        <f t="shared" si="93"/>
        <v>15.850048317082774</v>
      </c>
      <c r="DF37" s="4438">
        <f t="shared" si="94"/>
        <v>16.959551699278567</v>
      </c>
      <c r="DG37" s="4438">
        <f t="shared" si="95"/>
        <v>17.468338250256927</v>
      </c>
      <c r="DH37" s="4438">
        <f t="shared" si="96"/>
        <v>17.992388397764635</v>
      </c>
      <c r="DI37" s="4438">
        <f t="shared" si="97"/>
        <v>18.532160049697573</v>
      </c>
      <c r="DJ37" s="4438">
        <f t="shared" si="98"/>
        <v>19.0881248511885</v>
      </c>
    </row>
    <row r="38" spans="1:114" s="675" customFormat="1" ht="12.75">
      <c r="A38" s="3887" t="s">
        <v>252</v>
      </c>
      <c r="B38" s="4602" t="s">
        <v>441</v>
      </c>
      <c r="C38" s="2641">
        <f>SUM(C39:C42)</f>
        <v>97</v>
      </c>
      <c r="D38" s="1106">
        <f t="shared" ref="D38:BB38" si="227">SUM(D39:D42)</f>
        <v>103.79</v>
      </c>
      <c r="E38" s="1107">
        <f t="shared" si="227"/>
        <v>106.90370000000001</v>
      </c>
      <c r="F38" s="1107">
        <f t="shared" si="227"/>
        <v>110.11081100000001</v>
      </c>
      <c r="G38" s="1107">
        <f t="shared" si="227"/>
        <v>113.41413533000001</v>
      </c>
      <c r="H38" s="3892">
        <f t="shared" si="227"/>
        <v>116.81655938990002</v>
      </c>
      <c r="I38" s="1223">
        <f t="shared" si="34"/>
        <v>6.7900000000000063</v>
      </c>
      <c r="J38" s="803">
        <f t="shared" si="35"/>
        <v>7.0000000000000062E-2</v>
      </c>
      <c r="K38" s="2641">
        <f t="shared" si="227"/>
        <v>4</v>
      </c>
      <c r="L38" s="1106">
        <f t="shared" si="227"/>
        <v>4.28</v>
      </c>
      <c r="M38" s="1107">
        <f t="shared" si="227"/>
        <v>4.4084000000000003</v>
      </c>
      <c r="N38" s="1107">
        <f t="shared" si="227"/>
        <v>4.5406520000000006</v>
      </c>
      <c r="O38" s="1107">
        <f t="shared" si="227"/>
        <v>4.6768715600000004</v>
      </c>
      <c r="P38" s="3892">
        <f t="shared" si="227"/>
        <v>4.8171777068000008</v>
      </c>
      <c r="Q38" s="1223">
        <f t="shared" si="206"/>
        <v>0.28000000000000025</v>
      </c>
      <c r="R38" s="855">
        <f t="shared" si="207"/>
        <v>7.0000000000000062E-2</v>
      </c>
      <c r="S38" s="2641">
        <f t="shared" si="227"/>
        <v>8</v>
      </c>
      <c r="T38" s="1106">
        <f t="shared" si="227"/>
        <v>8.56</v>
      </c>
      <c r="U38" s="1107">
        <f t="shared" si="227"/>
        <v>8.8168000000000006</v>
      </c>
      <c r="V38" s="1107">
        <f t="shared" si="227"/>
        <v>9.0813040000000012</v>
      </c>
      <c r="W38" s="1107">
        <f t="shared" si="227"/>
        <v>9.3537431200000007</v>
      </c>
      <c r="X38" s="3892">
        <f t="shared" si="227"/>
        <v>9.6343554136000016</v>
      </c>
      <c r="Y38" s="1223">
        <f t="shared" si="209"/>
        <v>0.5600000000000005</v>
      </c>
      <c r="Z38" s="855">
        <f t="shared" si="210"/>
        <v>7.0000000000000062E-2</v>
      </c>
      <c r="AA38" s="2641">
        <f>SUM(AA39:AA42)</f>
        <v>0</v>
      </c>
      <c r="AB38" s="1106">
        <f t="shared" ref="AB38:AN38" si="228">SUM(AB39:AB42)</f>
        <v>0</v>
      </c>
      <c r="AC38" s="1107">
        <f t="shared" si="228"/>
        <v>0</v>
      </c>
      <c r="AD38" s="1107">
        <f t="shared" si="228"/>
        <v>0</v>
      </c>
      <c r="AE38" s="1107">
        <f t="shared" si="228"/>
        <v>0</v>
      </c>
      <c r="AF38" s="3892">
        <f t="shared" si="228"/>
        <v>0</v>
      </c>
      <c r="AG38" s="1223">
        <f t="shared" si="40"/>
        <v>0</v>
      </c>
      <c r="AH38" s="803">
        <f t="shared" si="41"/>
        <v>0</v>
      </c>
      <c r="AI38" s="2641">
        <f t="shared" si="228"/>
        <v>0</v>
      </c>
      <c r="AJ38" s="1106">
        <f t="shared" si="228"/>
        <v>0</v>
      </c>
      <c r="AK38" s="1107">
        <f t="shared" si="228"/>
        <v>0</v>
      </c>
      <c r="AL38" s="1107">
        <f t="shared" si="228"/>
        <v>0</v>
      </c>
      <c r="AM38" s="1107">
        <f t="shared" si="228"/>
        <v>0</v>
      </c>
      <c r="AN38" s="3893">
        <f t="shared" si="228"/>
        <v>0</v>
      </c>
      <c r="AO38" s="1223">
        <f t="shared" si="42"/>
        <v>0</v>
      </c>
      <c r="AP38" s="803">
        <f t="shared" si="43"/>
        <v>0</v>
      </c>
      <c r="AQ38" s="2641">
        <f t="shared" si="227"/>
        <v>0</v>
      </c>
      <c r="AR38" s="1106">
        <f t="shared" si="227"/>
        <v>0</v>
      </c>
      <c r="AS38" s="1107">
        <f t="shared" si="227"/>
        <v>0</v>
      </c>
      <c r="AT38" s="1107">
        <f t="shared" si="227"/>
        <v>0</v>
      </c>
      <c r="AU38" s="1107">
        <f t="shared" si="227"/>
        <v>0</v>
      </c>
      <c r="AV38" s="3893">
        <f t="shared" si="227"/>
        <v>0</v>
      </c>
      <c r="AW38" s="2641">
        <f t="shared" si="227"/>
        <v>109</v>
      </c>
      <c r="AX38" s="1106">
        <f t="shared" si="227"/>
        <v>116.63</v>
      </c>
      <c r="AY38" s="1107">
        <f t="shared" si="227"/>
        <v>120.12890000000002</v>
      </c>
      <c r="AZ38" s="1107">
        <f t="shared" si="227"/>
        <v>123.73276700000002</v>
      </c>
      <c r="BA38" s="1107">
        <f t="shared" si="227"/>
        <v>127.44475001000001</v>
      </c>
      <c r="BB38" s="3893">
        <f t="shared" si="227"/>
        <v>131.26809251030002</v>
      </c>
      <c r="BC38" s="2641">
        <f t="shared" ref="BC38:BH38" si="229">SUM(BC39:BC42)</f>
        <v>97</v>
      </c>
      <c r="BD38" s="1106">
        <f t="shared" si="229"/>
        <v>103.79</v>
      </c>
      <c r="BE38" s="1107">
        <f t="shared" si="229"/>
        <v>106.90370000000001</v>
      </c>
      <c r="BF38" s="1107">
        <f t="shared" si="229"/>
        <v>110.11081100000001</v>
      </c>
      <c r="BG38" s="1107">
        <f t="shared" si="229"/>
        <v>113.41413533000001</v>
      </c>
      <c r="BH38" s="3893">
        <f t="shared" si="229"/>
        <v>116.81655938990002</v>
      </c>
      <c r="BI38" s="4359"/>
      <c r="BJ38" s="4603">
        <f t="shared" si="46"/>
        <v>49.595312476033193</v>
      </c>
      <c r="BK38" s="4603">
        <f t="shared" si="47"/>
        <v>53.066984349355522</v>
      </c>
      <c r="BL38" s="4603">
        <f t="shared" si="48"/>
        <v>54.658993879836189</v>
      </c>
      <c r="BM38" s="4603">
        <f t="shared" si="49"/>
        <v>56.298763696231276</v>
      </c>
      <c r="BN38" s="4603">
        <f t="shared" si="50"/>
        <v>57.987726607118212</v>
      </c>
      <c r="BO38" s="4603">
        <f t="shared" si="51"/>
        <v>59.727358405331763</v>
      </c>
      <c r="BP38" s="4603">
        <f t="shared" si="52"/>
        <v>3.4716718733223266</v>
      </c>
      <c r="BQ38" s="4603">
        <f t="shared" si="53"/>
        <v>2.045167524784874</v>
      </c>
      <c r="BR38" s="4603">
        <f t="shared" si="54"/>
        <v>2.1883292515198152</v>
      </c>
      <c r="BS38" s="4603">
        <f t="shared" si="55"/>
        <v>2.2539791290654096</v>
      </c>
      <c r="BT38" s="4603">
        <f t="shared" si="56"/>
        <v>2.321598502937372</v>
      </c>
      <c r="BU38" s="4603">
        <f t="shared" si="57"/>
        <v>2.3912464580254933</v>
      </c>
      <c r="BV38" s="4603">
        <f t="shared" si="58"/>
        <v>2.4629838517662583</v>
      </c>
      <c r="BW38" s="4603">
        <f t="shared" si="59"/>
        <v>0.14316172673494132</v>
      </c>
      <c r="BX38" s="4603">
        <f t="shared" si="60"/>
        <v>4.0903350495697479</v>
      </c>
      <c r="BY38" s="4603">
        <f t="shared" si="61"/>
        <v>4.3766585030396303</v>
      </c>
      <c r="BZ38" s="4603">
        <f t="shared" si="62"/>
        <v>4.5079582581308193</v>
      </c>
      <c r="CA38" s="4603">
        <f t="shared" si="63"/>
        <v>4.643197005874744</v>
      </c>
      <c r="CB38" s="4603">
        <f t="shared" si="64"/>
        <v>4.7824929160509866</v>
      </c>
      <c r="CC38" s="4603">
        <f t="shared" si="65"/>
        <v>4.9259677035325167</v>
      </c>
      <c r="CD38" s="4603">
        <f t="shared" si="66"/>
        <v>0.28632345346988264</v>
      </c>
      <c r="CE38" s="4603">
        <f t="shared" si="67"/>
        <v>0</v>
      </c>
      <c r="CF38" s="4603">
        <f t="shared" si="68"/>
        <v>0</v>
      </c>
      <c r="CG38" s="4603">
        <f t="shared" si="69"/>
        <v>0</v>
      </c>
      <c r="CH38" s="4603">
        <f t="shared" si="70"/>
        <v>0</v>
      </c>
      <c r="CI38" s="4603">
        <f t="shared" si="71"/>
        <v>0</v>
      </c>
      <c r="CJ38" s="4603">
        <f t="shared" si="72"/>
        <v>0</v>
      </c>
      <c r="CK38" s="4603">
        <f t="shared" si="73"/>
        <v>0</v>
      </c>
      <c r="CL38" s="4603">
        <f t="shared" si="74"/>
        <v>0</v>
      </c>
      <c r="CM38" s="4603">
        <f t="shared" si="75"/>
        <v>0</v>
      </c>
      <c r="CN38" s="4603">
        <f t="shared" si="76"/>
        <v>0</v>
      </c>
      <c r="CO38" s="4603">
        <f t="shared" si="77"/>
        <v>0</v>
      </c>
      <c r="CP38" s="4603">
        <f t="shared" si="78"/>
        <v>0</v>
      </c>
      <c r="CQ38" s="4603">
        <f t="shared" si="79"/>
        <v>0</v>
      </c>
      <c r="CR38" s="4603">
        <f t="shared" si="80"/>
        <v>0</v>
      </c>
      <c r="CS38" s="4603">
        <f t="shared" si="81"/>
        <v>0</v>
      </c>
      <c r="CT38" s="4603">
        <f t="shared" si="82"/>
        <v>0</v>
      </c>
      <c r="CU38" s="4603">
        <f t="shared" si="83"/>
        <v>0</v>
      </c>
      <c r="CV38" s="4603">
        <f t="shared" si="84"/>
        <v>0</v>
      </c>
      <c r="CW38" s="4603">
        <f t="shared" si="85"/>
        <v>0</v>
      </c>
      <c r="CX38" s="4603">
        <f t="shared" si="86"/>
        <v>0</v>
      </c>
      <c r="CY38" s="4603">
        <f t="shared" si="87"/>
        <v>55.730815050387818</v>
      </c>
      <c r="CZ38" s="4603">
        <f t="shared" si="88"/>
        <v>59.631972103914961</v>
      </c>
      <c r="DA38" s="4603">
        <f t="shared" si="89"/>
        <v>61.420931267032422</v>
      </c>
      <c r="DB38" s="4603">
        <f t="shared" si="90"/>
        <v>63.2635592050434</v>
      </c>
      <c r="DC38" s="4603">
        <f t="shared" si="91"/>
        <v>65.161465981194695</v>
      </c>
      <c r="DD38" s="4603">
        <f t="shared" si="92"/>
        <v>67.116309960630531</v>
      </c>
      <c r="DE38" s="4603">
        <f t="shared" si="93"/>
        <v>49.595312476033193</v>
      </c>
      <c r="DF38" s="4603">
        <f t="shared" si="94"/>
        <v>53.066984349355522</v>
      </c>
      <c r="DG38" s="4603">
        <f t="shared" si="95"/>
        <v>54.658993879836189</v>
      </c>
      <c r="DH38" s="4603">
        <f t="shared" si="96"/>
        <v>56.298763696231276</v>
      </c>
      <c r="DI38" s="4603">
        <f t="shared" si="97"/>
        <v>57.987726607118212</v>
      </c>
      <c r="DJ38" s="4603">
        <f t="shared" si="98"/>
        <v>59.727358405331763</v>
      </c>
    </row>
    <row r="39" spans="1:114" s="673" customFormat="1" ht="12.75">
      <c r="A39" s="817" t="s">
        <v>1222</v>
      </c>
      <c r="B39" s="3852" t="s">
        <v>253</v>
      </c>
      <c r="C39" s="4601">
        <v>64</v>
      </c>
      <c r="D39" s="3033">
        <f t="shared" si="155"/>
        <v>68.48</v>
      </c>
      <c r="E39" s="3033">
        <f t="shared" si="224"/>
        <v>70.534400000000005</v>
      </c>
      <c r="F39" s="3033">
        <f t="shared" si="224"/>
        <v>72.650432000000009</v>
      </c>
      <c r="G39" s="3033">
        <f t="shared" si="224"/>
        <v>74.829944960000006</v>
      </c>
      <c r="H39" s="3034">
        <f t="shared" si="224"/>
        <v>77.074843308800013</v>
      </c>
      <c r="I39" s="1224">
        <f t="shared" si="34"/>
        <v>4.480000000000004</v>
      </c>
      <c r="J39" s="1183">
        <f t="shared" si="35"/>
        <v>7.0000000000000062E-2</v>
      </c>
      <c r="K39" s="4601">
        <v>3</v>
      </c>
      <c r="L39" s="3033">
        <f t="shared" ref="L39:L47" si="230">K39*1.07</f>
        <v>3.21</v>
      </c>
      <c r="M39" s="3033">
        <f t="shared" ref="M39:P39" si="231">L39*1.03</f>
        <v>3.3063000000000002</v>
      </c>
      <c r="N39" s="3033">
        <f t="shared" si="231"/>
        <v>3.4054890000000002</v>
      </c>
      <c r="O39" s="3033">
        <f t="shared" si="231"/>
        <v>3.5076536700000003</v>
      </c>
      <c r="P39" s="3034">
        <f t="shared" si="231"/>
        <v>3.6128832801000006</v>
      </c>
      <c r="Q39" s="1224">
        <f t="shared" si="206"/>
        <v>0.20999999999999996</v>
      </c>
      <c r="R39" s="1179">
        <f t="shared" si="207"/>
        <v>6.9999999999999993E-2</v>
      </c>
      <c r="S39" s="4601">
        <v>5</v>
      </c>
      <c r="T39" s="3033">
        <f t="shared" si="213"/>
        <v>5.3500000000000005</v>
      </c>
      <c r="U39" s="3033">
        <f t="shared" si="226"/>
        <v>5.5105000000000004</v>
      </c>
      <c r="V39" s="3033">
        <f t="shared" si="226"/>
        <v>5.6758150000000009</v>
      </c>
      <c r="W39" s="3033">
        <f t="shared" si="226"/>
        <v>5.8460894500000009</v>
      </c>
      <c r="X39" s="3034">
        <f t="shared" si="226"/>
        <v>6.0214721335000014</v>
      </c>
      <c r="Y39" s="1224">
        <f t="shared" si="209"/>
        <v>0.35000000000000053</v>
      </c>
      <c r="Z39" s="1179">
        <f t="shared" si="210"/>
        <v>7.0000000000000104E-2</v>
      </c>
      <c r="AA39" s="3032"/>
      <c r="AB39" s="3033"/>
      <c r="AC39" s="3033"/>
      <c r="AD39" s="3033"/>
      <c r="AE39" s="3033"/>
      <c r="AF39" s="3034"/>
      <c r="AG39" s="1224">
        <f t="shared" si="40"/>
        <v>0</v>
      </c>
      <c r="AH39" s="1183">
        <f t="shared" si="41"/>
        <v>0</v>
      </c>
      <c r="AI39" s="3032"/>
      <c r="AJ39" s="3033"/>
      <c r="AK39" s="3033"/>
      <c r="AL39" s="3033"/>
      <c r="AM39" s="3033"/>
      <c r="AN39" s="3052"/>
      <c r="AO39" s="1224">
        <f t="shared" si="42"/>
        <v>0</v>
      </c>
      <c r="AP39" s="1183">
        <f t="shared" si="43"/>
        <v>0</v>
      </c>
      <c r="AQ39" s="3032"/>
      <c r="AR39" s="3033"/>
      <c r="AS39" s="3033"/>
      <c r="AT39" s="3033"/>
      <c r="AU39" s="3033"/>
      <c r="AV39" s="3052"/>
      <c r="AW39" s="1086">
        <f t="shared" ref="AW39:AW48" si="232">C39+K39+S39+AA39+AI39</f>
        <v>72</v>
      </c>
      <c r="AX39" s="3042">
        <f t="shared" ref="AX39:AX48" si="233">D39+L39+T39+AB39+AJ39</f>
        <v>77.039999999999992</v>
      </c>
      <c r="AY39" s="3042">
        <f t="shared" ref="AY39:AY48" si="234">E39+M39+U39+AC39+AK39</f>
        <v>79.351200000000006</v>
      </c>
      <c r="AZ39" s="3042">
        <f t="shared" ref="AZ39:AZ48" si="235">F39+N39+V39+AD39+AL39</f>
        <v>81.731736000000012</v>
      </c>
      <c r="BA39" s="3042">
        <f t="shared" ref="BA39:BA48" si="236">G39+O39+W39+AE39+AM39</f>
        <v>84.183688079999996</v>
      </c>
      <c r="BB39" s="3043">
        <f t="shared" ref="BB39:BB48" si="237">H39+P39+X39+AF39+AN39</f>
        <v>86.709198722400018</v>
      </c>
      <c r="BC39" s="3059">
        <f t="shared" ref="BC39:BC48" si="238">C39+AA39+AI39</f>
        <v>64</v>
      </c>
      <c r="BD39" s="3060">
        <f t="shared" ref="BD39:BD48" si="239">D39+AB39+AJ39</f>
        <v>68.48</v>
      </c>
      <c r="BE39" s="3061">
        <f t="shared" ref="BE39:BE48" si="240">E39+AC39+AK39</f>
        <v>70.534400000000005</v>
      </c>
      <c r="BF39" s="3061">
        <f t="shared" ref="BF39:BF48" si="241">F39+AD39+AL39</f>
        <v>72.650432000000009</v>
      </c>
      <c r="BG39" s="3061">
        <f t="shared" ref="BG39:BG48" si="242">G39+AE39+AM39</f>
        <v>74.829944960000006</v>
      </c>
      <c r="BH39" s="3063">
        <f t="shared" ref="BH39:BH48" si="243">H39+AF39+AN39</f>
        <v>77.074843308800013</v>
      </c>
      <c r="BI39" s="4422"/>
      <c r="BJ39" s="4438">
        <f t="shared" si="46"/>
        <v>32.722680396557983</v>
      </c>
      <c r="BK39" s="4438">
        <f t="shared" si="47"/>
        <v>35.013268024317043</v>
      </c>
      <c r="BL39" s="4438">
        <f t="shared" si="48"/>
        <v>36.063666065046554</v>
      </c>
      <c r="BM39" s="4438">
        <f t="shared" si="49"/>
        <v>37.145576046997952</v>
      </c>
      <c r="BN39" s="4438">
        <f t="shared" si="50"/>
        <v>38.259943328407893</v>
      </c>
      <c r="BO39" s="4438">
        <f t="shared" si="51"/>
        <v>39.407741628260133</v>
      </c>
      <c r="BP39" s="4438">
        <f t="shared" si="52"/>
        <v>2.2905876277590611</v>
      </c>
      <c r="BQ39" s="4438">
        <f t="shared" si="53"/>
        <v>1.5338756435886556</v>
      </c>
      <c r="BR39" s="4438">
        <f t="shared" si="54"/>
        <v>1.6412469386398614</v>
      </c>
      <c r="BS39" s="4438">
        <f t="shared" si="55"/>
        <v>1.6904843467990573</v>
      </c>
      <c r="BT39" s="4438">
        <f t="shared" si="56"/>
        <v>1.7411988772030291</v>
      </c>
      <c r="BU39" s="4438">
        <f t="shared" si="57"/>
        <v>1.7934348435191199</v>
      </c>
      <c r="BV39" s="4438">
        <f t="shared" si="58"/>
        <v>1.8472378888246936</v>
      </c>
      <c r="BW39" s="4438">
        <f t="shared" si="59"/>
        <v>0.10737129505120586</v>
      </c>
      <c r="BX39" s="4438">
        <f t="shared" si="60"/>
        <v>2.5564594059810926</v>
      </c>
      <c r="BY39" s="4438">
        <f t="shared" si="61"/>
        <v>2.7354115643997692</v>
      </c>
      <c r="BZ39" s="4438">
        <f t="shared" si="62"/>
        <v>2.8174739113317622</v>
      </c>
      <c r="CA39" s="4438">
        <f t="shared" si="63"/>
        <v>2.9019981286717154</v>
      </c>
      <c r="CB39" s="4438">
        <f t="shared" si="64"/>
        <v>2.9890580725318667</v>
      </c>
      <c r="CC39" s="4438">
        <f t="shared" si="65"/>
        <v>3.078729814707823</v>
      </c>
      <c r="CD39" s="4438">
        <f t="shared" si="66"/>
        <v>0.17895215841867676</v>
      </c>
      <c r="CE39" s="4438">
        <f t="shared" si="67"/>
        <v>0</v>
      </c>
      <c r="CF39" s="4438">
        <f t="shared" si="68"/>
        <v>0</v>
      </c>
      <c r="CG39" s="4438">
        <f t="shared" si="69"/>
        <v>0</v>
      </c>
      <c r="CH39" s="4438">
        <f t="shared" si="70"/>
        <v>0</v>
      </c>
      <c r="CI39" s="4438">
        <f t="shared" si="71"/>
        <v>0</v>
      </c>
      <c r="CJ39" s="4438">
        <f t="shared" si="72"/>
        <v>0</v>
      </c>
      <c r="CK39" s="4438">
        <f t="shared" si="73"/>
        <v>0</v>
      </c>
      <c r="CL39" s="4438">
        <f t="shared" si="74"/>
        <v>0</v>
      </c>
      <c r="CM39" s="4438">
        <f t="shared" si="75"/>
        <v>0</v>
      </c>
      <c r="CN39" s="4438">
        <f t="shared" si="76"/>
        <v>0</v>
      </c>
      <c r="CO39" s="4438">
        <f t="shared" si="77"/>
        <v>0</v>
      </c>
      <c r="CP39" s="4438">
        <f t="shared" si="78"/>
        <v>0</v>
      </c>
      <c r="CQ39" s="4438">
        <f t="shared" si="79"/>
        <v>0</v>
      </c>
      <c r="CR39" s="4438">
        <f t="shared" si="80"/>
        <v>0</v>
      </c>
      <c r="CS39" s="4438">
        <f t="shared" si="81"/>
        <v>0</v>
      </c>
      <c r="CT39" s="4438">
        <f t="shared" si="82"/>
        <v>0</v>
      </c>
      <c r="CU39" s="4438">
        <f t="shared" si="83"/>
        <v>0</v>
      </c>
      <c r="CV39" s="4438">
        <f t="shared" si="84"/>
        <v>0</v>
      </c>
      <c r="CW39" s="4438">
        <f t="shared" si="85"/>
        <v>0</v>
      </c>
      <c r="CX39" s="4438">
        <f t="shared" si="86"/>
        <v>0</v>
      </c>
      <c r="CY39" s="4438">
        <f t="shared" si="87"/>
        <v>36.813015446127729</v>
      </c>
      <c r="CZ39" s="4438">
        <f t="shared" si="88"/>
        <v>39.389926527356671</v>
      </c>
      <c r="DA39" s="4438">
        <f t="shared" si="89"/>
        <v>40.571624323177375</v>
      </c>
      <c r="DB39" s="4438">
        <f t="shared" si="90"/>
        <v>41.788773052872699</v>
      </c>
      <c r="DC39" s="4438">
        <f t="shared" si="91"/>
        <v>43.042436244458877</v>
      </c>
      <c r="DD39" s="4438">
        <f t="shared" si="92"/>
        <v>44.333709331792647</v>
      </c>
      <c r="DE39" s="4438">
        <f t="shared" si="93"/>
        <v>32.722680396557983</v>
      </c>
      <c r="DF39" s="4438">
        <f t="shared" si="94"/>
        <v>35.013268024317043</v>
      </c>
      <c r="DG39" s="4438">
        <f t="shared" si="95"/>
        <v>36.063666065046554</v>
      </c>
      <c r="DH39" s="4438">
        <f t="shared" si="96"/>
        <v>37.145576046997952</v>
      </c>
      <c r="DI39" s="4438">
        <f t="shared" si="97"/>
        <v>38.259943328407893</v>
      </c>
      <c r="DJ39" s="4438">
        <f t="shared" si="98"/>
        <v>39.407741628260133</v>
      </c>
    </row>
    <row r="40" spans="1:114" s="673" customFormat="1" ht="12.75">
      <c r="A40" s="817" t="s">
        <v>1223</v>
      </c>
      <c r="B40" s="3852" t="s">
        <v>254</v>
      </c>
      <c r="C40" s="4601">
        <v>33</v>
      </c>
      <c r="D40" s="3033">
        <f t="shared" si="155"/>
        <v>35.31</v>
      </c>
      <c r="E40" s="3033">
        <f t="shared" ref="E40:H40" si="244">D40*1.03</f>
        <v>36.369300000000003</v>
      </c>
      <c r="F40" s="3033">
        <f t="shared" si="244"/>
        <v>37.460379000000003</v>
      </c>
      <c r="G40" s="3033">
        <f t="shared" si="244"/>
        <v>38.584190370000002</v>
      </c>
      <c r="H40" s="3034">
        <f t="shared" si="244"/>
        <v>39.741716081100002</v>
      </c>
      <c r="I40" s="1224">
        <f t="shared" si="34"/>
        <v>2.3100000000000023</v>
      </c>
      <c r="J40" s="1183">
        <f t="shared" si="35"/>
        <v>7.0000000000000062E-2</v>
      </c>
      <c r="K40" s="4601">
        <v>1</v>
      </c>
      <c r="L40" s="3033">
        <f t="shared" si="230"/>
        <v>1.07</v>
      </c>
      <c r="M40" s="3033">
        <f t="shared" ref="M40:P40" si="245">L40*1.03</f>
        <v>1.1021000000000001</v>
      </c>
      <c r="N40" s="3033">
        <f t="shared" si="245"/>
        <v>1.1351630000000001</v>
      </c>
      <c r="O40" s="3033">
        <f t="shared" si="245"/>
        <v>1.1692178900000001</v>
      </c>
      <c r="P40" s="3034">
        <f t="shared" si="245"/>
        <v>1.2042944267000002</v>
      </c>
      <c r="Q40" s="1224">
        <f t="shared" si="206"/>
        <v>7.0000000000000062E-2</v>
      </c>
      <c r="R40" s="1179">
        <f t="shared" si="207"/>
        <v>7.0000000000000062E-2</v>
      </c>
      <c r="S40" s="4601">
        <v>3</v>
      </c>
      <c r="T40" s="3033">
        <f t="shared" si="213"/>
        <v>3.21</v>
      </c>
      <c r="U40" s="3033">
        <f t="shared" ref="U40:X40" si="246">T40*1.03</f>
        <v>3.3063000000000002</v>
      </c>
      <c r="V40" s="3033">
        <f t="shared" si="246"/>
        <v>3.4054890000000002</v>
      </c>
      <c r="W40" s="3033">
        <f t="shared" si="246"/>
        <v>3.5076536700000003</v>
      </c>
      <c r="X40" s="3034">
        <f t="shared" si="246"/>
        <v>3.6128832801000006</v>
      </c>
      <c r="Y40" s="1224">
        <f t="shared" si="209"/>
        <v>0.20999999999999996</v>
      </c>
      <c r="Z40" s="1179">
        <f t="shared" si="210"/>
        <v>6.9999999999999993E-2</v>
      </c>
      <c r="AA40" s="3032"/>
      <c r="AB40" s="3033"/>
      <c r="AC40" s="3033"/>
      <c r="AD40" s="3033"/>
      <c r="AE40" s="3033"/>
      <c r="AF40" s="3034"/>
      <c r="AG40" s="1224">
        <f t="shared" si="40"/>
        <v>0</v>
      </c>
      <c r="AH40" s="1183">
        <f t="shared" si="41"/>
        <v>0</v>
      </c>
      <c r="AI40" s="3032"/>
      <c r="AJ40" s="3033"/>
      <c r="AK40" s="3033"/>
      <c r="AL40" s="3033"/>
      <c r="AM40" s="3033"/>
      <c r="AN40" s="3052"/>
      <c r="AO40" s="1224">
        <f t="shared" si="42"/>
        <v>0</v>
      </c>
      <c r="AP40" s="1183">
        <f t="shared" si="43"/>
        <v>0</v>
      </c>
      <c r="AQ40" s="3032"/>
      <c r="AR40" s="3033"/>
      <c r="AS40" s="3033"/>
      <c r="AT40" s="3033"/>
      <c r="AU40" s="3033"/>
      <c r="AV40" s="3052"/>
      <c r="AW40" s="1086">
        <f t="shared" si="232"/>
        <v>37</v>
      </c>
      <c r="AX40" s="3042">
        <f t="shared" si="233"/>
        <v>39.590000000000003</v>
      </c>
      <c r="AY40" s="3042">
        <f t="shared" si="234"/>
        <v>40.777700000000003</v>
      </c>
      <c r="AZ40" s="3042">
        <f t="shared" si="235"/>
        <v>42.001031000000005</v>
      </c>
      <c r="BA40" s="3042">
        <f t="shared" si="236"/>
        <v>43.261061930000004</v>
      </c>
      <c r="BB40" s="3043">
        <f t="shared" si="237"/>
        <v>44.558893787900004</v>
      </c>
      <c r="BC40" s="3059">
        <f t="shared" si="238"/>
        <v>33</v>
      </c>
      <c r="BD40" s="3060">
        <f t="shared" si="239"/>
        <v>35.31</v>
      </c>
      <c r="BE40" s="3061">
        <f t="shared" si="240"/>
        <v>36.369300000000003</v>
      </c>
      <c r="BF40" s="3061">
        <f t="shared" si="241"/>
        <v>37.460379000000003</v>
      </c>
      <c r="BG40" s="3061">
        <f t="shared" si="242"/>
        <v>38.584190370000002</v>
      </c>
      <c r="BH40" s="3063">
        <f t="shared" si="243"/>
        <v>39.741716081100002</v>
      </c>
      <c r="BI40" s="4422"/>
      <c r="BJ40" s="4438">
        <f t="shared" si="46"/>
        <v>16.87263207947521</v>
      </c>
      <c r="BK40" s="4438">
        <f t="shared" si="47"/>
        <v>18.053716325038476</v>
      </c>
      <c r="BL40" s="4438">
        <f t="shared" si="48"/>
        <v>18.595327814789631</v>
      </c>
      <c r="BM40" s="4438">
        <f t="shared" si="49"/>
        <v>19.15318764923332</v>
      </c>
      <c r="BN40" s="4438">
        <f t="shared" si="50"/>
        <v>19.727783278710319</v>
      </c>
      <c r="BO40" s="4438">
        <f t="shared" si="51"/>
        <v>20.319616777071627</v>
      </c>
      <c r="BP40" s="4438">
        <f t="shared" si="52"/>
        <v>1.181084245563266</v>
      </c>
      <c r="BQ40" s="4438">
        <f t="shared" si="53"/>
        <v>0.51129188119621849</v>
      </c>
      <c r="BR40" s="4438">
        <f t="shared" si="54"/>
        <v>0.54708231287995379</v>
      </c>
      <c r="BS40" s="4438">
        <f t="shared" si="55"/>
        <v>0.56349478226635241</v>
      </c>
      <c r="BT40" s="4438">
        <f t="shared" si="56"/>
        <v>0.58039962573434301</v>
      </c>
      <c r="BU40" s="4438">
        <f t="shared" si="57"/>
        <v>0.59781161450637332</v>
      </c>
      <c r="BV40" s="4438">
        <f t="shared" si="58"/>
        <v>0.61574596294156458</v>
      </c>
      <c r="BW40" s="4438">
        <f t="shared" si="59"/>
        <v>3.579043168373533E-2</v>
      </c>
      <c r="BX40" s="4438">
        <f t="shared" si="60"/>
        <v>1.5338756435886556</v>
      </c>
      <c r="BY40" s="4438">
        <f t="shared" si="61"/>
        <v>1.6412469386398614</v>
      </c>
      <c r="BZ40" s="4438">
        <f t="shared" si="62"/>
        <v>1.6904843467990573</v>
      </c>
      <c r="CA40" s="4438">
        <f t="shared" si="63"/>
        <v>1.7411988772030291</v>
      </c>
      <c r="CB40" s="4438">
        <f t="shared" si="64"/>
        <v>1.7934348435191199</v>
      </c>
      <c r="CC40" s="4438">
        <f t="shared" si="65"/>
        <v>1.8472378888246936</v>
      </c>
      <c r="CD40" s="4438">
        <f t="shared" si="66"/>
        <v>0.10737129505120586</v>
      </c>
      <c r="CE40" s="4438">
        <f t="shared" si="67"/>
        <v>0</v>
      </c>
      <c r="CF40" s="4438">
        <f t="shared" si="68"/>
        <v>0</v>
      </c>
      <c r="CG40" s="4438">
        <f t="shared" si="69"/>
        <v>0</v>
      </c>
      <c r="CH40" s="4438">
        <f t="shared" si="70"/>
        <v>0</v>
      </c>
      <c r="CI40" s="4438">
        <f t="shared" si="71"/>
        <v>0</v>
      </c>
      <c r="CJ40" s="4438">
        <f t="shared" si="72"/>
        <v>0</v>
      </c>
      <c r="CK40" s="4438">
        <f t="shared" si="73"/>
        <v>0</v>
      </c>
      <c r="CL40" s="4438">
        <f t="shared" si="74"/>
        <v>0</v>
      </c>
      <c r="CM40" s="4438">
        <f t="shared" si="75"/>
        <v>0</v>
      </c>
      <c r="CN40" s="4438">
        <f t="shared" si="76"/>
        <v>0</v>
      </c>
      <c r="CO40" s="4438">
        <f t="shared" si="77"/>
        <v>0</v>
      </c>
      <c r="CP40" s="4438">
        <f t="shared" si="78"/>
        <v>0</v>
      </c>
      <c r="CQ40" s="4438">
        <f t="shared" si="79"/>
        <v>0</v>
      </c>
      <c r="CR40" s="4438">
        <f t="shared" si="80"/>
        <v>0</v>
      </c>
      <c r="CS40" s="4438">
        <f t="shared" si="81"/>
        <v>0</v>
      </c>
      <c r="CT40" s="4438">
        <f t="shared" si="82"/>
        <v>0</v>
      </c>
      <c r="CU40" s="4438">
        <f t="shared" si="83"/>
        <v>0</v>
      </c>
      <c r="CV40" s="4438">
        <f t="shared" si="84"/>
        <v>0</v>
      </c>
      <c r="CW40" s="4438">
        <f t="shared" si="85"/>
        <v>0</v>
      </c>
      <c r="CX40" s="4438">
        <f t="shared" si="86"/>
        <v>0</v>
      </c>
      <c r="CY40" s="4438">
        <f t="shared" si="87"/>
        <v>18.917799604260086</v>
      </c>
      <c r="CZ40" s="4438">
        <f t="shared" si="88"/>
        <v>20.242045576558294</v>
      </c>
      <c r="DA40" s="4438">
        <f t="shared" si="89"/>
        <v>20.849306943855041</v>
      </c>
      <c r="DB40" s="4438">
        <f t="shared" si="90"/>
        <v>21.474786152170694</v>
      </c>
      <c r="DC40" s="4438">
        <f t="shared" si="91"/>
        <v>22.119029736735811</v>
      </c>
      <c r="DD40" s="4438">
        <f t="shared" si="92"/>
        <v>22.782600628837887</v>
      </c>
      <c r="DE40" s="4438">
        <f t="shared" si="93"/>
        <v>16.87263207947521</v>
      </c>
      <c r="DF40" s="4438">
        <f t="shared" si="94"/>
        <v>18.053716325038476</v>
      </c>
      <c r="DG40" s="4438">
        <f t="shared" si="95"/>
        <v>18.595327814789631</v>
      </c>
      <c r="DH40" s="4438">
        <f t="shared" si="96"/>
        <v>19.15318764923332</v>
      </c>
      <c r="DI40" s="4438">
        <f t="shared" si="97"/>
        <v>19.727783278710319</v>
      </c>
      <c r="DJ40" s="4438">
        <f t="shared" si="98"/>
        <v>20.319616777071627</v>
      </c>
    </row>
    <row r="41" spans="1:114" s="673" customFormat="1" ht="12.75">
      <c r="A41" s="817" t="s">
        <v>1224</v>
      </c>
      <c r="B41" s="3852" t="s">
        <v>255</v>
      </c>
      <c r="C41" s="4601">
        <v>0</v>
      </c>
      <c r="D41" s="3033">
        <f t="shared" si="155"/>
        <v>0</v>
      </c>
      <c r="E41" s="3033">
        <f t="shared" ref="E41:H41" si="247">D41*1.03</f>
        <v>0</v>
      </c>
      <c r="F41" s="3033">
        <f t="shared" si="247"/>
        <v>0</v>
      </c>
      <c r="G41" s="3033">
        <f t="shared" si="247"/>
        <v>0</v>
      </c>
      <c r="H41" s="3034">
        <f t="shared" si="247"/>
        <v>0</v>
      </c>
      <c r="I41" s="1224">
        <f t="shared" si="34"/>
        <v>0</v>
      </c>
      <c r="J41" s="1183">
        <f t="shared" si="35"/>
        <v>0</v>
      </c>
      <c r="K41" s="4601">
        <v>0</v>
      </c>
      <c r="L41" s="3033">
        <f t="shared" si="230"/>
        <v>0</v>
      </c>
      <c r="M41" s="3033">
        <f t="shared" ref="M41:P41" si="248">L41*1.03</f>
        <v>0</v>
      </c>
      <c r="N41" s="3033">
        <f t="shared" si="248"/>
        <v>0</v>
      </c>
      <c r="O41" s="3033">
        <f t="shared" si="248"/>
        <v>0</v>
      </c>
      <c r="P41" s="3034">
        <f t="shared" si="248"/>
        <v>0</v>
      </c>
      <c r="Q41" s="1224">
        <f t="shared" si="206"/>
        <v>0</v>
      </c>
      <c r="R41" s="1179">
        <f t="shared" si="207"/>
        <v>0</v>
      </c>
      <c r="S41" s="4601">
        <v>0</v>
      </c>
      <c r="T41" s="3033">
        <f t="shared" si="213"/>
        <v>0</v>
      </c>
      <c r="U41" s="3033">
        <f t="shared" ref="U41:X41" si="249">T41*1.03</f>
        <v>0</v>
      </c>
      <c r="V41" s="3033">
        <f t="shared" si="249"/>
        <v>0</v>
      </c>
      <c r="W41" s="3033">
        <f t="shared" si="249"/>
        <v>0</v>
      </c>
      <c r="X41" s="3034">
        <f t="shared" si="249"/>
        <v>0</v>
      </c>
      <c r="Y41" s="1224">
        <f t="shared" si="209"/>
        <v>0</v>
      </c>
      <c r="Z41" s="1179">
        <f t="shared" si="210"/>
        <v>0</v>
      </c>
      <c r="AA41" s="3032"/>
      <c r="AB41" s="3033"/>
      <c r="AC41" s="3033"/>
      <c r="AD41" s="3033"/>
      <c r="AE41" s="3033"/>
      <c r="AF41" s="3034"/>
      <c r="AG41" s="1224">
        <f t="shared" si="40"/>
        <v>0</v>
      </c>
      <c r="AH41" s="1183">
        <f t="shared" si="41"/>
        <v>0</v>
      </c>
      <c r="AI41" s="3032"/>
      <c r="AJ41" s="3033"/>
      <c r="AK41" s="3033"/>
      <c r="AL41" s="3033"/>
      <c r="AM41" s="3033"/>
      <c r="AN41" s="3052"/>
      <c r="AO41" s="1224">
        <f t="shared" si="42"/>
        <v>0</v>
      </c>
      <c r="AP41" s="1183">
        <f t="shared" si="43"/>
        <v>0</v>
      </c>
      <c r="AQ41" s="3032"/>
      <c r="AR41" s="3033"/>
      <c r="AS41" s="3033"/>
      <c r="AT41" s="3033"/>
      <c r="AU41" s="3033"/>
      <c r="AV41" s="3052"/>
      <c r="AW41" s="1086">
        <f t="shared" si="232"/>
        <v>0</v>
      </c>
      <c r="AX41" s="3042">
        <f t="shared" si="233"/>
        <v>0</v>
      </c>
      <c r="AY41" s="3042">
        <f t="shared" si="234"/>
        <v>0</v>
      </c>
      <c r="AZ41" s="3042">
        <f t="shared" si="235"/>
        <v>0</v>
      </c>
      <c r="BA41" s="3042">
        <f t="shared" si="236"/>
        <v>0</v>
      </c>
      <c r="BB41" s="3043">
        <f t="shared" si="237"/>
        <v>0</v>
      </c>
      <c r="BC41" s="3059">
        <f t="shared" si="238"/>
        <v>0</v>
      </c>
      <c r="BD41" s="3060">
        <f t="shared" si="239"/>
        <v>0</v>
      </c>
      <c r="BE41" s="3061">
        <f t="shared" si="240"/>
        <v>0</v>
      </c>
      <c r="BF41" s="3061">
        <f t="shared" si="241"/>
        <v>0</v>
      </c>
      <c r="BG41" s="3061">
        <f t="shared" si="242"/>
        <v>0</v>
      </c>
      <c r="BH41" s="3063">
        <f t="shared" si="243"/>
        <v>0</v>
      </c>
      <c r="BI41" s="4422"/>
      <c r="BJ41" s="4438">
        <f t="shared" si="46"/>
        <v>0</v>
      </c>
      <c r="BK41" s="4438">
        <f t="shared" si="47"/>
        <v>0</v>
      </c>
      <c r="BL41" s="4438">
        <f t="shared" si="48"/>
        <v>0</v>
      </c>
      <c r="BM41" s="4438">
        <f t="shared" si="49"/>
        <v>0</v>
      </c>
      <c r="BN41" s="4438">
        <f t="shared" si="50"/>
        <v>0</v>
      </c>
      <c r="BO41" s="4438">
        <f t="shared" si="51"/>
        <v>0</v>
      </c>
      <c r="BP41" s="4438">
        <f t="shared" si="52"/>
        <v>0</v>
      </c>
      <c r="BQ41" s="4438">
        <f t="shared" si="53"/>
        <v>0</v>
      </c>
      <c r="BR41" s="4438">
        <f t="shared" si="54"/>
        <v>0</v>
      </c>
      <c r="BS41" s="4438">
        <f t="shared" si="55"/>
        <v>0</v>
      </c>
      <c r="BT41" s="4438">
        <f t="shared" si="56"/>
        <v>0</v>
      </c>
      <c r="BU41" s="4438">
        <f t="shared" si="57"/>
        <v>0</v>
      </c>
      <c r="BV41" s="4438">
        <f t="shared" si="58"/>
        <v>0</v>
      </c>
      <c r="BW41" s="4438">
        <f t="shared" si="59"/>
        <v>0</v>
      </c>
      <c r="BX41" s="4438">
        <f t="shared" si="60"/>
        <v>0</v>
      </c>
      <c r="BY41" s="4438">
        <f t="shared" si="61"/>
        <v>0</v>
      </c>
      <c r="BZ41" s="4438">
        <f t="shared" si="62"/>
        <v>0</v>
      </c>
      <c r="CA41" s="4438">
        <f t="shared" si="63"/>
        <v>0</v>
      </c>
      <c r="CB41" s="4438">
        <f t="shared" si="64"/>
        <v>0</v>
      </c>
      <c r="CC41" s="4438">
        <f t="shared" si="65"/>
        <v>0</v>
      </c>
      <c r="CD41" s="4438">
        <f t="shared" si="66"/>
        <v>0</v>
      </c>
      <c r="CE41" s="4438">
        <f t="shared" si="67"/>
        <v>0</v>
      </c>
      <c r="CF41" s="4438">
        <f t="shared" si="68"/>
        <v>0</v>
      </c>
      <c r="CG41" s="4438">
        <f t="shared" si="69"/>
        <v>0</v>
      </c>
      <c r="CH41" s="4438">
        <f t="shared" si="70"/>
        <v>0</v>
      </c>
      <c r="CI41" s="4438">
        <f t="shared" si="71"/>
        <v>0</v>
      </c>
      <c r="CJ41" s="4438">
        <f t="shared" si="72"/>
        <v>0</v>
      </c>
      <c r="CK41" s="4438">
        <f t="shared" si="73"/>
        <v>0</v>
      </c>
      <c r="CL41" s="4438">
        <f t="shared" si="74"/>
        <v>0</v>
      </c>
      <c r="CM41" s="4438">
        <f t="shared" si="75"/>
        <v>0</v>
      </c>
      <c r="CN41" s="4438">
        <f t="shared" si="76"/>
        <v>0</v>
      </c>
      <c r="CO41" s="4438">
        <f t="shared" si="77"/>
        <v>0</v>
      </c>
      <c r="CP41" s="4438">
        <f t="shared" si="78"/>
        <v>0</v>
      </c>
      <c r="CQ41" s="4438">
        <f t="shared" si="79"/>
        <v>0</v>
      </c>
      <c r="CR41" s="4438">
        <f t="shared" si="80"/>
        <v>0</v>
      </c>
      <c r="CS41" s="4438">
        <f t="shared" si="81"/>
        <v>0</v>
      </c>
      <c r="CT41" s="4438">
        <f t="shared" si="82"/>
        <v>0</v>
      </c>
      <c r="CU41" s="4438">
        <f t="shared" si="83"/>
        <v>0</v>
      </c>
      <c r="CV41" s="4438">
        <f t="shared" si="84"/>
        <v>0</v>
      </c>
      <c r="CW41" s="4438">
        <f t="shared" si="85"/>
        <v>0</v>
      </c>
      <c r="CX41" s="4438">
        <f t="shared" si="86"/>
        <v>0</v>
      </c>
      <c r="CY41" s="4438">
        <f t="shared" si="87"/>
        <v>0</v>
      </c>
      <c r="CZ41" s="4438">
        <f t="shared" si="88"/>
        <v>0</v>
      </c>
      <c r="DA41" s="4438">
        <f t="shared" si="89"/>
        <v>0</v>
      </c>
      <c r="DB41" s="4438">
        <f t="shared" si="90"/>
        <v>0</v>
      </c>
      <c r="DC41" s="4438">
        <f t="shared" si="91"/>
        <v>0</v>
      </c>
      <c r="DD41" s="4438">
        <f t="shared" si="92"/>
        <v>0</v>
      </c>
      <c r="DE41" s="4438">
        <f t="shared" si="93"/>
        <v>0</v>
      </c>
      <c r="DF41" s="4438">
        <f t="shared" si="94"/>
        <v>0</v>
      </c>
      <c r="DG41" s="4438">
        <f t="shared" si="95"/>
        <v>0</v>
      </c>
      <c r="DH41" s="4438">
        <f t="shared" si="96"/>
        <v>0</v>
      </c>
      <c r="DI41" s="4438">
        <f t="shared" si="97"/>
        <v>0</v>
      </c>
      <c r="DJ41" s="4438">
        <f t="shared" si="98"/>
        <v>0</v>
      </c>
    </row>
    <row r="42" spans="1:114" s="673" customFormat="1" ht="12.75">
      <c r="A42" s="817" t="s">
        <v>1225</v>
      </c>
      <c r="B42" s="3852" t="s">
        <v>442</v>
      </c>
      <c r="C42" s="4601">
        <v>0</v>
      </c>
      <c r="D42" s="3033">
        <f t="shared" si="155"/>
        <v>0</v>
      </c>
      <c r="E42" s="3033">
        <f t="shared" ref="E42:H42" si="250">D42*1.03</f>
        <v>0</v>
      </c>
      <c r="F42" s="3033">
        <f t="shared" si="250"/>
        <v>0</v>
      </c>
      <c r="G42" s="3033">
        <f t="shared" si="250"/>
        <v>0</v>
      </c>
      <c r="H42" s="3034">
        <f t="shared" si="250"/>
        <v>0</v>
      </c>
      <c r="I42" s="1224">
        <f t="shared" si="34"/>
        <v>0</v>
      </c>
      <c r="J42" s="1183">
        <f t="shared" si="35"/>
        <v>0</v>
      </c>
      <c r="K42" s="4601">
        <v>0</v>
      </c>
      <c r="L42" s="3033">
        <f t="shared" si="230"/>
        <v>0</v>
      </c>
      <c r="M42" s="3033">
        <f t="shared" ref="M42:P42" si="251">L42*1.03</f>
        <v>0</v>
      </c>
      <c r="N42" s="3033">
        <f t="shared" si="251"/>
        <v>0</v>
      </c>
      <c r="O42" s="3033">
        <f t="shared" si="251"/>
        <v>0</v>
      </c>
      <c r="P42" s="3034">
        <f t="shared" si="251"/>
        <v>0</v>
      </c>
      <c r="Q42" s="1224">
        <f t="shared" si="206"/>
        <v>0</v>
      </c>
      <c r="R42" s="1179">
        <f t="shared" si="207"/>
        <v>0</v>
      </c>
      <c r="S42" s="4601">
        <v>0</v>
      </c>
      <c r="T42" s="3033">
        <f t="shared" si="213"/>
        <v>0</v>
      </c>
      <c r="U42" s="3033">
        <f t="shared" ref="U42:X42" si="252">T42*1.03</f>
        <v>0</v>
      </c>
      <c r="V42" s="3033">
        <f t="shared" si="252"/>
        <v>0</v>
      </c>
      <c r="W42" s="3033">
        <f t="shared" si="252"/>
        <v>0</v>
      </c>
      <c r="X42" s="3034">
        <f t="shared" si="252"/>
        <v>0</v>
      </c>
      <c r="Y42" s="1224">
        <f t="shared" si="209"/>
        <v>0</v>
      </c>
      <c r="Z42" s="1179">
        <f t="shared" si="210"/>
        <v>0</v>
      </c>
      <c r="AA42" s="3032"/>
      <c r="AB42" s="3033"/>
      <c r="AC42" s="3033"/>
      <c r="AD42" s="3033"/>
      <c r="AE42" s="3033"/>
      <c r="AF42" s="3034"/>
      <c r="AG42" s="1224">
        <f t="shared" si="40"/>
        <v>0</v>
      </c>
      <c r="AH42" s="1183">
        <f t="shared" si="41"/>
        <v>0</v>
      </c>
      <c r="AI42" s="3032"/>
      <c r="AJ42" s="3033"/>
      <c r="AK42" s="3033"/>
      <c r="AL42" s="3033"/>
      <c r="AM42" s="3033"/>
      <c r="AN42" s="3052"/>
      <c r="AO42" s="1224">
        <f t="shared" si="42"/>
        <v>0</v>
      </c>
      <c r="AP42" s="1183">
        <f t="shared" si="43"/>
        <v>0</v>
      </c>
      <c r="AQ42" s="3032"/>
      <c r="AR42" s="3033"/>
      <c r="AS42" s="3033"/>
      <c r="AT42" s="3033"/>
      <c r="AU42" s="3033"/>
      <c r="AV42" s="3052"/>
      <c r="AW42" s="1086">
        <f t="shared" si="232"/>
        <v>0</v>
      </c>
      <c r="AX42" s="3042">
        <f t="shared" si="233"/>
        <v>0</v>
      </c>
      <c r="AY42" s="3042">
        <f t="shared" si="234"/>
        <v>0</v>
      </c>
      <c r="AZ42" s="3042">
        <f t="shared" si="235"/>
        <v>0</v>
      </c>
      <c r="BA42" s="3042">
        <f t="shared" si="236"/>
        <v>0</v>
      </c>
      <c r="BB42" s="3043">
        <f t="shared" si="237"/>
        <v>0</v>
      </c>
      <c r="BC42" s="3059">
        <f t="shared" si="238"/>
        <v>0</v>
      </c>
      <c r="BD42" s="3060">
        <f t="shared" si="239"/>
        <v>0</v>
      </c>
      <c r="BE42" s="3061">
        <f t="shared" si="240"/>
        <v>0</v>
      </c>
      <c r="BF42" s="3061">
        <f t="shared" si="241"/>
        <v>0</v>
      </c>
      <c r="BG42" s="3061">
        <f t="shared" si="242"/>
        <v>0</v>
      </c>
      <c r="BH42" s="3063">
        <f t="shared" si="243"/>
        <v>0</v>
      </c>
      <c r="BI42" s="4422"/>
      <c r="BJ42" s="4438">
        <f t="shared" si="46"/>
        <v>0</v>
      </c>
      <c r="BK42" s="4438">
        <f t="shared" si="47"/>
        <v>0</v>
      </c>
      <c r="BL42" s="4438">
        <f t="shared" si="48"/>
        <v>0</v>
      </c>
      <c r="BM42" s="4438">
        <f t="shared" si="49"/>
        <v>0</v>
      </c>
      <c r="BN42" s="4438">
        <f t="shared" si="50"/>
        <v>0</v>
      </c>
      <c r="BO42" s="4438">
        <f t="shared" si="51"/>
        <v>0</v>
      </c>
      <c r="BP42" s="4438">
        <f t="shared" si="52"/>
        <v>0</v>
      </c>
      <c r="BQ42" s="4438">
        <f t="shared" si="53"/>
        <v>0</v>
      </c>
      <c r="BR42" s="4438">
        <f t="shared" si="54"/>
        <v>0</v>
      </c>
      <c r="BS42" s="4438">
        <f t="shared" si="55"/>
        <v>0</v>
      </c>
      <c r="BT42" s="4438">
        <f t="shared" si="56"/>
        <v>0</v>
      </c>
      <c r="BU42" s="4438">
        <f t="shared" si="57"/>
        <v>0</v>
      </c>
      <c r="BV42" s="4438">
        <f t="shared" si="58"/>
        <v>0</v>
      </c>
      <c r="BW42" s="4438">
        <f t="shared" si="59"/>
        <v>0</v>
      </c>
      <c r="BX42" s="4438">
        <f t="shared" si="60"/>
        <v>0</v>
      </c>
      <c r="BY42" s="4438">
        <f t="shared" si="61"/>
        <v>0</v>
      </c>
      <c r="BZ42" s="4438">
        <f t="shared" si="62"/>
        <v>0</v>
      </c>
      <c r="CA42" s="4438">
        <f t="shared" si="63"/>
        <v>0</v>
      </c>
      <c r="CB42" s="4438">
        <f t="shared" si="64"/>
        <v>0</v>
      </c>
      <c r="CC42" s="4438">
        <f t="shared" si="65"/>
        <v>0</v>
      </c>
      <c r="CD42" s="4438">
        <f t="shared" si="66"/>
        <v>0</v>
      </c>
      <c r="CE42" s="4438">
        <f t="shared" si="67"/>
        <v>0</v>
      </c>
      <c r="CF42" s="4438">
        <f t="shared" si="68"/>
        <v>0</v>
      </c>
      <c r="CG42" s="4438">
        <f t="shared" si="69"/>
        <v>0</v>
      </c>
      <c r="CH42" s="4438">
        <f t="shared" si="70"/>
        <v>0</v>
      </c>
      <c r="CI42" s="4438">
        <f t="shared" si="71"/>
        <v>0</v>
      </c>
      <c r="CJ42" s="4438">
        <f t="shared" si="72"/>
        <v>0</v>
      </c>
      <c r="CK42" s="4438">
        <f t="shared" si="73"/>
        <v>0</v>
      </c>
      <c r="CL42" s="4438">
        <f t="shared" si="74"/>
        <v>0</v>
      </c>
      <c r="CM42" s="4438">
        <f t="shared" si="75"/>
        <v>0</v>
      </c>
      <c r="CN42" s="4438">
        <f t="shared" si="76"/>
        <v>0</v>
      </c>
      <c r="CO42" s="4438">
        <f t="shared" si="77"/>
        <v>0</v>
      </c>
      <c r="CP42" s="4438">
        <f t="shared" si="78"/>
        <v>0</v>
      </c>
      <c r="CQ42" s="4438">
        <f t="shared" si="79"/>
        <v>0</v>
      </c>
      <c r="CR42" s="4438">
        <f t="shared" si="80"/>
        <v>0</v>
      </c>
      <c r="CS42" s="4438">
        <f t="shared" si="81"/>
        <v>0</v>
      </c>
      <c r="CT42" s="4438">
        <f t="shared" si="82"/>
        <v>0</v>
      </c>
      <c r="CU42" s="4438">
        <f t="shared" si="83"/>
        <v>0</v>
      </c>
      <c r="CV42" s="4438">
        <f t="shared" si="84"/>
        <v>0</v>
      </c>
      <c r="CW42" s="4438">
        <f t="shared" si="85"/>
        <v>0</v>
      </c>
      <c r="CX42" s="4438">
        <f t="shared" si="86"/>
        <v>0</v>
      </c>
      <c r="CY42" s="4438">
        <f t="shared" si="87"/>
        <v>0</v>
      </c>
      <c r="CZ42" s="4438">
        <f t="shared" si="88"/>
        <v>0</v>
      </c>
      <c r="DA42" s="4438">
        <f t="shared" si="89"/>
        <v>0</v>
      </c>
      <c r="DB42" s="4438">
        <f t="shared" si="90"/>
        <v>0</v>
      </c>
      <c r="DC42" s="4438">
        <f t="shared" si="91"/>
        <v>0</v>
      </c>
      <c r="DD42" s="4438">
        <f t="shared" si="92"/>
        <v>0</v>
      </c>
      <c r="DE42" s="4438">
        <f t="shared" si="93"/>
        <v>0</v>
      </c>
      <c r="DF42" s="4438">
        <f t="shared" si="94"/>
        <v>0</v>
      </c>
      <c r="DG42" s="4438">
        <f t="shared" si="95"/>
        <v>0</v>
      </c>
      <c r="DH42" s="4438">
        <f t="shared" si="96"/>
        <v>0</v>
      </c>
      <c r="DI42" s="4438">
        <f t="shared" si="97"/>
        <v>0</v>
      </c>
      <c r="DJ42" s="4438">
        <f t="shared" si="98"/>
        <v>0</v>
      </c>
    </row>
    <row r="43" spans="1:114" ht="12.75">
      <c r="A43" s="816" t="s">
        <v>256</v>
      </c>
      <c r="B43" s="871" t="s">
        <v>257</v>
      </c>
      <c r="C43" s="4601">
        <v>66</v>
      </c>
      <c r="D43" s="3033">
        <f t="shared" si="155"/>
        <v>70.62</v>
      </c>
      <c r="E43" s="3033">
        <f t="shared" ref="E43:H43" si="253">D43*1.03</f>
        <v>72.738600000000005</v>
      </c>
      <c r="F43" s="3033">
        <f t="shared" si="253"/>
        <v>74.920758000000006</v>
      </c>
      <c r="G43" s="3033">
        <f t="shared" si="253"/>
        <v>77.168380740000003</v>
      </c>
      <c r="H43" s="3034">
        <f t="shared" si="253"/>
        <v>79.483432162200003</v>
      </c>
      <c r="I43" s="1224">
        <f t="shared" si="34"/>
        <v>4.6200000000000045</v>
      </c>
      <c r="J43" s="804">
        <f t="shared" si="35"/>
        <v>7.0000000000000062E-2</v>
      </c>
      <c r="K43" s="4601">
        <v>2</v>
      </c>
      <c r="L43" s="3033">
        <f t="shared" si="230"/>
        <v>2.14</v>
      </c>
      <c r="M43" s="3033">
        <f t="shared" ref="M43:P43" si="254">L43*1.03</f>
        <v>2.2042000000000002</v>
      </c>
      <c r="N43" s="3033">
        <f t="shared" si="254"/>
        <v>2.2703260000000003</v>
      </c>
      <c r="O43" s="3033">
        <f t="shared" si="254"/>
        <v>2.3384357800000002</v>
      </c>
      <c r="P43" s="3034">
        <f t="shared" si="254"/>
        <v>2.4085888534000004</v>
      </c>
      <c r="Q43" s="1224">
        <f t="shared" si="206"/>
        <v>0.14000000000000012</v>
      </c>
      <c r="R43" s="1095">
        <f t="shared" si="207"/>
        <v>7.0000000000000062E-2</v>
      </c>
      <c r="S43" s="4601">
        <v>40</v>
      </c>
      <c r="T43" s="3033">
        <f t="shared" si="213"/>
        <v>42.800000000000004</v>
      </c>
      <c r="U43" s="3033">
        <f t="shared" ref="U43:X43" si="255">T43*1.03</f>
        <v>44.084000000000003</v>
      </c>
      <c r="V43" s="3033">
        <f t="shared" si="255"/>
        <v>45.406520000000008</v>
      </c>
      <c r="W43" s="3033">
        <f t="shared" si="255"/>
        <v>46.768715600000007</v>
      </c>
      <c r="X43" s="3034">
        <f t="shared" si="255"/>
        <v>48.171777068000011</v>
      </c>
      <c r="Y43" s="1224">
        <f t="shared" si="209"/>
        <v>2.8000000000000043</v>
      </c>
      <c r="Z43" s="1095">
        <f t="shared" si="210"/>
        <v>7.0000000000000104E-2</v>
      </c>
      <c r="AA43" s="3032"/>
      <c r="AB43" s="3033"/>
      <c r="AC43" s="3033"/>
      <c r="AD43" s="3033"/>
      <c r="AE43" s="3033"/>
      <c r="AF43" s="3034"/>
      <c r="AG43" s="1224">
        <f t="shared" si="40"/>
        <v>0</v>
      </c>
      <c r="AH43" s="804">
        <f t="shared" si="41"/>
        <v>0</v>
      </c>
      <c r="AI43" s="3032"/>
      <c r="AJ43" s="3033"/>
      <c r="AK43" s="3033"/>
      <c r="AL43" s="3033"/>
      <c r="AM43" s="3033"/>
      <c r="AN43" s="3052"/>
      <c r="AO43" s="1224">
        <f t="shared" si="42"/>
        <v>0</v>
      </c>
      <c r="AP43" s="804">
        <f t="shared" si="43"/>
        <v>0</v>
      </c>
      <c r="AQ43" s="3032"/>
      <c r="AR43" s="3033"/>
      <c r="AS43" s="3033"/>
      <c r="AT43" s="3033"/>
      <c r="AU43" s="3033"/>
      <c r="AV43" s="3052"/>
      <c r="AW43" s="1086">
        <f t="shared" si="232"/>
        <v>108</v>
      </c>
      <c r="AX43" s="3042">
        <f t="shared" si="233"/>
        <v>115.56</v>
      </c>
      <c r="AY43" s="3042">
        <f t="shared" si="234"/>
        <v>119.02680000000001</v>
      </c>
      <c r="AZ43" s="3042">
        <f t="shared" si="235"/>
        <v>122.59760400000002</v>
      </c>
      <c r="BA43" s="3042">
        <f t="shared" si="236"/>
        <v>126.27553212000001</v>
      </c>
      <c r="BB43" s="3043">
        <f t="shared" si="237"/>
        <v>130.06379808360003</v>
      </c>
      <c r="BC43" s="3059">
        <f t="shared" si="238"/>
        <v>66</v>
      </c>
      <c r="BD43" s="3060">
        <f t="shared" si="239"/>
        <v>70.62</v>
      </c>
      <c r="BE43" s="3061">
        <f t="shared" si="240"/>
        <v>72.738600000000005</v>
      </c>
      <c r="BF43" s="3061">
        <f t="shared" si="241"/>
        <v>74.920758000000006</v>
      </c>
      <c r="BG43" s="3061">
        <f t="shared" si="242"/>
        <v>77.168380740000003</v>
      </c>
      <c r="BH43" s="3063">
        <f t="shared" si="243"/>
        <v>79.483432162200003</v>
      </c>
      <c r="BI43" s="4422"/>
      <c r="BJ43" s="4438">
        <f t="shared" si="46"/>
        <v>33.74526415895042</v>
      </c>
      <c r="BK43" s="4438">
        <f t="shared" si="47"/>
        <v>36.107432650076952</v>
      </c>
      <c r="BL43" s="4438">
        <f t="shared" si="48"/>
        <v>37.190655629579261</v>
      </c>
      <c r="BM43" s="4438">
        <f t="shared" si="49"/>
        <v>38.306375298466641</v>
      </c>
      <c r="BN43" s="4438">
        <f t="shared" si="50"/>
        <v>39.455566557420639</v>
      </c>
      <c r="BO43" s="4438">
        <f t="shared" si="51"/>
        <v>40.639233554143253</v>
      </c>
      <c r="BP43" s="4438">
        <f t="shared" si="52"/>
        <v>2.3621684911265319</v>
      </c>
      <c r="BQ43" s="4438">
        <f t="shared" si="53"/>
        <v>1.022583762392437</v>
      </c>
      <c r="BR43" s="4438">
        <f t="shared" si="54"/>
        <v>1.0941646257599076</v>
      </c>
      <c r="BS43" s="4438">
        <f t="shared" si="55"/>
        <v>1.1269895645327048</v>
      </c>
      <c r="BT43" s="4438">
        <f t="shared" si="56"/>
        <v>1.160799251468686</v>
      </c>
      <c r="BU43" s="4438">
        <f t="shared" si="57"/>
        <v>1.1956232290127466</v>
      </c>
      <c r="BV43" s="4438">
        <f t="shared" si="58"/>
        <v>1.2314919258831292</v>
      </c>
      <c r="BW43" s="4438">
        <f t="shared" si="59"/>
        <v>7.158086336747066E-2</v>
      </c>
      <c r="BX43" s="4438">
        <f t="shared" si="60"/>
        <v>20.45167524784874</v>
      </c>
      <c r="BY43" s="4438">
        <f t="shared" si="61"/>
        <v>21.883292515198153</v>
      </c>
      <c r="BZ43" s="4438">
        <f t="shared" si="62"/>
        <v>22.539791290654097</v>
      </c>
      <c r="CA43" s="4438">
        <f t="shared" si="63"/>
        <v>23.215985029373723</v>
      </c>
      <c r="CB43" s="4438">
        <f t="shared" si="64"/>
        <v>23.912464580254934</v>
      </c>
      <c r="CC43" s="4438">
        <f t="shared" si="65"/>
        <v>24.629838517662584</v>
      </c>
      <c r="CD43" s="4438">
        <f t="shared" si="66"/>
        <v>1.4316172673494141</v>
      </c>
      <c r="CE43" s="4438">
        <f t="shared" si="67"/>
        <v>0</v>
      </c>
      <c r="CF43" s="4438">
        <f t="shared" si="68"/>
        <v>0</v>
      </c>
      <c r="CG43" s="4438">
        <f t="shared" si="69"/>
        <v>0</v>
      </c>
      <c r="CH43" s="4438">
        <f t="shared" si="70"/>
        <v>0</v>
      </c>
      <c r="CI43" s="4438">
        <f t="shared" si="71"/>
        <v>0</v>
      </c>
      <c r="CJ43" s="4438">
        <f t="shared" si="72"/>
        <v>0</v>
      </c>
      <c r="CK43" s="4438">
        <f t="shared" si="73"/>
        <v>0</v>
      </c>
      <c r="CL43" s="4438">
        <f t="shared" si="74"/>
        <v>0</v>
      </c>
      <c r="CM43" s="4438">
        <f t="shared" si="75"/>
        <v>0</v>
      </c>
      <c r="CN43" s="4438">
        <f t="shared" si="76"/>
        <v>0</v>
      </c>
      <c r="CO43" s="4438">
        <f t="shared" si="77"/>
        <v>0</v>
      </c>
      <c r="CP43" s="4438">
        <f t="shared" si="78"/>
        <v>0</v>
      </c>
      <c r="CQ43" s="4438">
        <f t="shared" si="79"/>
        <v>0</v>
      </c>
      <c r="CR43" s="4438">
        <f t="shared" si="80"/>
        <v>0</v>
      </c>
      <c r="CS43" s="4438">
        <f t="shared" si="81"/>
        <v>0</v>
      </c>
      <c r="CT43" s="4438">
        <f t="shared" si="82"/>
        <v>0</v>
      </c>
      <c r="CU43" s="4438">
        <f t="shared" si="83"/>
        <v>0</v>
      </c>
      <c r="CV43" s="4438">
        <f t="shared" si="84"/>
        <v>0</v>
      </c>
      <c r="CW43" s="4438">
        <f t="shared" si="85"/>
        <v>0</v>
      </c>
      <c r="CX43" s="4438">
        <f t="shared" si="86"/>
        <v>0</v>
      </c>
      <c r="CY43" s="4438">
        <f t="shared" si="87"/>
        <v>55.219523169191596</v>
      </c>
      <c r="CZ43" s="4438">
        <f t="shared" si="88"/>
        <v>59.08488979103501</v>
      </c>
      <c r="DA43" s="4438">
        <f t="shared" si="89"/>
        <v>60.857436484766062</v>
      </c>
      <c r="DB43" s="4438">
        <f t="shared" si="90"/>
        <v>62.683159579309049</v>
      </c>
      <c r="DC43" s="4438">
        <f t="shared" si="91"/>
        <v>64.563654366688311</v>
      </c>
      <c r="DD43" s="4438">
        <f t="shared" si="92"/>
        <v>66.500563997688985</v>
      </c>
      <c r="DE43" s="4438">
        <f t="shared" si="93"/>
        <v>33.74526415895042</v>
      </c>
      <c r="DF43" s="4438">
        <f t="shared" si="94"/>
        <v>36.107432650076952</v>
      </c>
      <c r="DG43" s="4438">
        <f t="shared" si="95"/>
        <v>37.190655629579261</v>
      </c>
      <c r="DH43" s="4438">
        <f t="shared" si="96"/>
        <v>38.306375298466641</v>
      </c>
      <c r="DI43" s="4438">
        <f t="shared" si="97"/>
        <v>39.455566557420639</v>
      </c>
      <c r="DJ43" s="4438">
        <f t="shared" si="98"/>
        <v>40.639233554143253</v>
      </c>
    </row>
    <row r="44" spans="1:114" ht="12.75">
      <c r="A44" s="816" t="s">
        <v>258</v>
      </c>
      <c r="B44" s="871" t="s">
        <v>259</v>
      </c>
      <c r="C44" s="4601">
        <v>232</v>
      </c>
      <c r="D44" s="3033">
        <f t="shared" si="155"/>
        <v>248.24</v>
      </c>
      <c r="E44" s="3033">
        <f t="shared" ref="E44:H44" si="256">D44*1.03</f>
        <v>255.68720000000002</v>
      </c>
      <c r="F44" s="3033">
        <f t="shared" si="256"/>
        <v>263.35781600000001</v>
      </c>
      <c r="G44" s="3033">
        <f t="shared" si="256"/>
        <v>271.25855048</v>
      </c>
      <c r="H44" s="3034">
        <f t="shared" si="256"/>
        <v>279.39630699439999</v>
      </c>
      <c r="I44" s="1224">
        <f t="shared" si="34"/>
        <v>16.240000000000009</v>
      </c>
      <c r="J44" s="804">
        <f t="shared" si="35"/>
        <v>7.0000000000000034E-2</v>
      </c>
      <c r="K44" s="4601">
        <v>11</v>
      </c>
      <c r="L44" s="3033">
        <f t="shared" si="230"/>
        <v>11.770000000000001</v>
      </c>
      <c r="M44" s="3033">
        <f t="shared" ref="M44:P44" si="257">L44*1.03</f>
        <v>12.123100000000001</v>
      </c>
      <c r="N44" s="3033">
        <f t="shared" si="257"/>
        <v>12.486793</v>
      </c>
      <c r="O44" s="3033">
        <f t="shared" si="257"/>
        <v>12.861396790000001</v>
      </c>
      <c r="P44" s="3034">
        <f t="shared" si="257"/>
        <v>13.247238693700002</v>
      </c>
      <c r="Q44" s="1224">
        <f t="shared" si="206"/>
        <v>0.77000000000000135</v>
      </c>
      <c r="R44" s="1095">
        <f t="shared" si="207"/>
        <v>7.0000000000000118E-2</v>
      </c>
      <c r="S44" s="4601">
        <v>20</v>
      </c>
      <c r="T44" s="3033">
        <f t="shared" si="213"/>
        <v>21.400000000000002</v>
      </c>
      <c r="U44" s="3033">
        <f t="shared" ref="U44:X44" si="258">T44*1.03</f>
        <v>22.042000000000002</v>
      </c>
      <c r="V44" s="3033">
        <f t="shared" si="258"/>
        <v>22.703260000000004</v>
      </c>
      <c r="W44" s="3033">
        <f t="shared" si="258"/>
        <v>23.384357800000004</v>
      </c>
      <c r="X44" s="3034">
        <f t="shared" si="258"/>
        <v>24.085888534000006</v>
      </c>
      <c r="Y44" s="1224">
        <f t="shared" si="209"/>
        <v>1.4000000000000021</v>
      </c>
      <c r="Z44" s="1095">
        <f t="shared" si="210"/>
        <v>7.0000000000000104E-2</v>
      </c>
      <c r="AA44" s="3032"/>
      <c r="AB44" s="3033"/>
      <c r="AC44" s="3033"/>
      <c r="AD44" s="3033"/>
      <c r="AE44" s="3033"/>
      <c r="AF44" s="3034"/>
      <c r="AG44" s="1224">
        <f t="shared" si="40"/>
        <v>0</v>
      </c>
      <c r="AH44" s="804">
        <f t="shared" si="41"/>
        <v>0</v>
      </c>
      <c r="AI44" s="3032"/>
      <c r="AJ44" s="3033"/>
      <c r="AK44" s="3033"/>
      <c r="AL44" s="3033"/>
      <c r="AM44" s="3033"/>
      <c r="AN44" s="3052"/>
      <c r="AO44" s="1224">
        <f t="shared" si="42"/>
        <v>0</v>
      </c>
      <c r="AP44" s="804">
        <f t="shared" si="43"/>
        <v>0</v>
      </c>
      <c r="AQ44" s="3032"/>
      <c r="AR44" s="3033"/>
      <c r="AS44" s="3033"/>
      <c r="AT44" s="3033"/>
      <c r="AU44" s="3033"/>
      <c r="AV44" s="3052"/>
      <c r="AW44" s="1086">
        <f t="shared" si="232"/>
        <v>263</v>
      </c>
      <c r="AX44" s="3042">
        <f t="shared" si="233"/>
        <v>281.40999999999997</v>
      </c>
      <c r="AY44" s="3042">
        <f t="shared" si="234"/>
        <v>289.85230000000001</v>
      </c>
      <c r="AZ44" s="3042">
        <f t="shared" si="235"/>
        <v>298.54786899999999</v>
      </c>
      <c r="BA44" s="3042">
        <f t="shared" si="236"/>
        <v>307.50430506999999</v>
      </c>
      <c r="BB44" s="3043">
        <f t="shared" si="237"/>
        <v>316.7294342221</v>
      </c>
      <c r="BC44" s="3059">
        <f t="shared" si="238"/>
        <v>232</v>
      </c>
      <c r="BD44" s="3060">
        <f t="shared" si="239"/>
        <v>248.24</v>
      </c>
      <c r="BE44" s="3061">
        <f t="shared" si="240"/>
        <v>255.68720000000002</v>
      </c>
      <c r="BF44" s="3061">
        <f t="shared" si="241"/>
        <v>263.35781600000001</v>
      </c>
      <c r="BG44" s="3061">
        <f t="shared" si="242"/>
        <v>271.25855048</v>
      </c>
      <c r="BH44" s="3063">
        <f t="shared" si="243"/>
        <v>279.39630699439999</v>
      </c>
      <c r="BI44" s="4422"/>
      <c r="BJ44" s="4438">
        <f t="shared" si="46"/>
        <v>118.6197164375227</v>
      </c>
      <c r="BK44" s="4438">
        <f t="shared" si="47"/>
        <v>126.92309658814928</v>
      </c>
      <c r="BL44" s="4438">
        <f t="shared" si="48"/>
        <v>130.73078948579376</v>
      </c>
      <c r="BM44" s="4438">
        <f t="shared" si="49"/>
        <v>134.65271317036758</v>
      </c>
      <c r="BN44" s="4438">
        <f t="shared" si="50"/>
        <v>138.69229456547859</v>
      </c>
      <c r="BO44" s="4438">
        <f t="shared" si="51"/>
        <v>142.85306340244296</v>
      </c>
      <c r="BP44" s="4438">
        <f t="shared" si="52"/>
        <v>8.3033801506265927</v>
      </c>
      <c r="BQ44" s="4438">
        <f t="shared" si="53"/>
        <v>5.6242106931584033</v>
      </c>
      <c r="BR44" s="4438">
        <f t="shared" si="54"/>
        <v>6.0179054416794928</v>
      </c>
      <c r="BS44" s="4438">
        <f t="shared" si="55"/>
        <v>6.1984426049298769</v>
      </c>
      <c r="BT44" s="4438">
        <f t="shared" si="56"/>
        <v>6.3843958830777732</v>
      </c>
      <c r="BU44" s="4438">
        <f t="shared" si="57"/>
        <v>6.5759277595701064</v>
      </c>
      <c r="BV44" s="4438">
        <f t="shared" si="58"/>
        <v>6.7732055923572103</v>
      </c>
      <c r="BW44" s="4438">
        <f t="shared" si="59"/>
        <v>0.39369474852108893</v>
      </c>
      <c r="BX44" s="4438">
        <f t="shared" si="60"/>
        <v>10.22583762392437</v>
      </c>
      <c r="BY44" s="4438">
        <f t="shared" si="61"/>
        <v>10.941646257599077</v>
      </c>
      <c r="BZ44" s="4438">
        <f t="shared" si="62"/>
        <v>11.269895645327049</v>
      </c>
      <c r="CA44" s="4438">
        <f t="shared" si="63"/>
        <v>11.607992514686861</v>
      </c>
      <c r="CB44" s="4438">
        <f t="shared" si="64"/>
        <v>11.956232290127467</v>
      </c>
      <c r="CC44" s="4438">
        <f t="shared" si="65"/>
        <v>12.314919258831292</v>
      </c>
      <c r="CD44" s="4438">
        <f t="shared" si="66"/>
        <v>0.71580863367470704</v>
      </c>
      <c r="CE44" s="4438">
        <f t="shared" si="67"/>
        <v>0</v>
      </c>
      <c r="CF44" s="4438">
        <f t="shared" si="68"/>
        <v>0</v>
      </c>
      <c r="CG44" s="4438">
        <f t="shared" si="69"/>
        <v>0</v>
      </c>
      <c r="CH44" s="4438">
        <f t="shared" si="70"/>
        <v>0</v>
      </c>
      <c r="CI44" s="4438">
        <f t="shared" si="71"/>
        <v>0</v>
      </c>
      <c r="CJ44" s="4438">
        <f t="shared" si="72"/>
        <v>0</v>
      </c>
      <c r="CK44" s="4438">
        <f t="shared" si="73"/>
        <v>0</v>
      </c>
      <c r="CL44" s="4438">
        <f t="shared" si="74"/>
        <v>0</v>
      </c>
      <c r="CM44" s="4438">
        <f t="shared" si="75"/>
        <v>0</v>
      </c>
      <c r="CN44" s="4438">
        <f t="shared" si="76"/>
        <v>0</v>
      </c>
      <c r="CO44" s="4438">
        <f t="shared" si="77"/>
        <v>0</v>
      </c>
      <c r="CP44" s="4438">
        <f t="shared" si="78"/>
        <v>0</v>
      </c>
      <c r="CQ44" s="4438">
        <f t="shared" si="79"/>
        <v>0</v>
      </c>
      <c r="CR44" s="4438">
        <f t="shared" si="80"/>
        <v>0</v>
      </c>
      <c r="CS44" s="4438">
        <f t="shared" si="81"/>
        <v>0</v>
      </c>
      <c r="CT44" s="4438">
        <f t="shared" si="82"/>
        <v>0</v>
      </c>
      <c r="CU44" s="4438">
        <f t="shared" si="83"/>
        <v>0</v>
      </c>
      <c r="CV44" s="4438">
        <f t="shared" si="84"/>
        <v>0</v>
      </c>
      <c r="CW44" s="4438">
        <f t="shared" si="85"/>
        <v>0</v>
      </c>
      <c r="CX44" s="4438">
        <f t="shared" si="86"/>
        <v>0</v>
      </c>
      <c r="CY44" s="4438">
        <f t="shared" si="87"/>
        <v>134.46976475460548</v>
      </c>
      <c r="CZ44" s="4438">
        <f t="shared" si="88"/>
        <v>143.88264828742783</v>
      </c>
      <c r="DA44" s="4438">
        <f t="shared" si="89"/>
        <v>148.19912773605068</v>
      </c>
      <c r="DB44" s="4438">
        <f t="shared" si="90"/>
        <v>152.64510156813219</v>
      </c>
      <c r="DC44" s="4438">
        <f t="shared" si="91"/>
        <v>157.22445461517617</v>
      </c>
      <c r="DD44" s="4438">
        <f t="shared" si="92"/>
        <v>161.94118825363145</v>
      </c>
      <c r="DE44" s="4438">
        <f t="shared" si="93"/>
        <v>118.6197164375227</v>
      </c>
      <c r="DF44" s="4438">
        <f t="shared" si="94"/>
        <v>126.92309658814928</v>
      </c>
      <c r="DG44" s="4438">
        <f t="shared" si="95"/>
        <v>130.73078948579376</v>
      </c>
      <c r="DH44" s="4438">
        <f t="shared" si="96"/>
        <v>134.65271317036758</v>
      </c>
      <c r="DI44" s="4438">
        <f t="shared" si="97"/>
        <v>138.69229456547859</v>
      </c>
      <c r="DJ44" s="4438">
        <f t="shared" si="98"/>
        <v>142.85306340244296</v>
      </c>
    </row>
    <row r="45" spans="1:114" ht="12.75">
      <c r="A45" s="816" t="s">
        <v>260</v>
      </c>
      <c r="B45" s="871" t="s">
        <v>630</v>
      </c>
      <c r="C45" s="4601">
        <v>26</v>
      </c>
      <c r="D45" s="3033">
        <f t="shared" si="155"/>
        <v>27.82</v>
      </c>
      <c r="E45" s="3033">
        <f t="shared" ref="E45:H45" si="259">D45*1.03</f>
        <v>28.654600000000002</v>
      </c>
      <c r="F45" s="3033">
        <f t="shared" si="259"/>
        <v>29.514238000000002</v>
      </c>
      <c r="G45" s="3033">
        <f t="shared" si="259"/>
        <v>30.399665140000003</v>
      </c>
      <c r="H45" s="3034">
        <f t="shared" si="259"/>
        <v>31.311655094200002</v>
      </c>
      <c r="I45" s="1224">
        <f t="shared" si="34"/>
        <v>1.8200000000000003</v>
      </c>
      <c r="J45" s="804">
        <f t="shared" si="35"/>
        <v>7.0000000000000007E-2</v>
      </c>
      <c r="K45" s="4601">
        <v>0</v>
      </c>
      <c r="L45" s="3033">
        <f t="shared" si="230"/>
        <v>0</v>
      </c>
      <c r="M45" s="3033">
        <f t="shared" ref="M45:P45" si="260">L45*1.03</f>
        <v>0</v>
      </c>
      <c r="N45" s="3033">
        <f t="shared" si="260"/>
        <v>0</v>
      </c>
      <c r="O45" s="3033">
        <f t="shared" si="260"/>
        <v>0</v>
      </c>
      <c r="P45" s="3034">
        <f t="shared" si="260"/>
        <v>0</v>
      </c>
      <c r="Q45" s="1224">
        <f t="shared" si="206"/>
        <v>0</v>
      </c>
      <c r="R45" s="1095">
        <f t="shared" si="207"/>
        <v>0</v>
      </c>
      <c r="S45" s="4601">
        <v>1</v>
      </c>
      <c r="T45" s="3033">
        <f t="shared" si="213"/>
        <v>1.07</v>
      </c>
      <c r="U45" s="3033">
        <f t="shared" ref="U45:X45" si="261">T45*1.03</f>
        <v>1.1021000000000001</v>
      </c>
      <c r="V45" s="3033">
        <f t="shared" si="261"/>
        <v>1.1351630000000001</v>
      </c>
      <c r="W45" s="3033">
        <f t="shared" si="261"/>
        <v>1.1692178900000001</v>
      </c>
      <c r="X45" s="3034">
        <f t="shared" si="261"/>
        <v>1.2042944267000002</v>
      </c>
      <c r="Y45" s="1224">
        <f t="shared" si="209"/>
        <v>7.0000000000000062E-2</v>
      </c>
      <c r="Z45" s="1095">
        <f t="shared" si="210"/>
        <v>7.0000000000000062E-2</v>
      </c>
      <c r="AA45" s="3032"/>
      <c r="AB45" s="3033"/>
      <c r="AC45" s="3033"/>
      <c r="AD45" s="3033"/>
      <c r="AE45" s="3033"/>
      <c r="AF45" s="3034"/>
      <c r="AG45" s="1224">
        <f t="shared" si="40"/>
        <v>0</v>
      </c>
      <c r="AH45" s="804">
        <f t="shared" si="41"/>
        <v>0</v>
      </c>
      <c r="AI45" s="3032"/>
      <c r="AJ45" s="3033"/>
      <c r="AK45" s="3033"/>
      <c r="AL45" s="3033"/>
      <c r="AM45" s="3033"/>
      <c r="AN45" s="3052"/>
      <c r="AO45" s="1224">
        <f t="shared" si="42"/>
        <v>0</v>
      </c>
      <c r="AP45" s="804">
        <f t="shared" si="43"/>
        <v>0</v>
      </c>
      <c r="AQ45" s="3032"/>
      <c r="AR45" s="3033"/>
      <c r="AS45" s="3033"/>
      <c r="AT45" s="3033"/>
      <c r="AU45" s="3033"/>
      <c r="AV45" s="3052"/>
      <c r="AW45" s="1086">
        <f t="shared" si="232"/>
        <v>27</v>
      </c>
      <c r="AX45" s="3042">
        <f t="shared" si="233"/>
        <v>28.89</v>
      </c>
      <c r="AY45" s="3042">
        <f t="shared" si="234"/>
        <v>29.756700000000002</v>
      </c>
      <c r="AZ45" s="3042">
        <f t="shared" si="235"/>
        <v>30.649401000000001</v>
      </c>
      <c r="BA45" s="3042">
        <f t="shared" si="236"/>
        <v>31.568883030000002</v>
      </c>
      <c r="BB45" s="3043">
        <f t="shared" si="237"/>
        <v>32.515949520900001</v>
      </c>
      <c r="BC45" s="3059">
        <f t="shared" si="238"/>
        <v>26</v>
      </c>
      <c r="BD45" s="3060">
        <f t="shared" si="239"/>
        <v>27.82</v>
      </c>
      <c r="BE45" s="3061">
        <f t="shared" si="240"/>
        <v>28.654600000000002</v>
      </c>
      <c r="BF45" s="3061">
        <f t="shared" si="241"/>
        <v>29.514238000000002</v>
      </c>
      <c r="BG45" s="3061">
        <f t="shared" si="242"/>
        <v>30.399665140000003</v>
      </c>
      <c r="BH45" s="3063">
        <f t="shared" si="243"/>
        <v>31.311655094200002</v>
      </c>
      <c r="BI45" s="4422"/>
      <c r="BJ45" s="4438">
        <f t="shared" si="46"/>
        <v>13.293588911101681</v>
      </c>
      <c r="BK45" s="4438">
        <f t="shared" si="47"/>
        <v>14.224140134878798</v>
      </c>
      <c r="BL45" s="4438">
        <f t="shared" si="48"/>
        <v>14.650864338925164</v>
      </c>
      <c r="BM45" s="4438">
        <f t="shared" si="49"/>
        <v>15.090390269092918</v>
      </c>
      <c r="BN45" s="4438">
        <f t="shared" si="50"/>
        <v>15.543101977165707</v>
      </c>
      <c r="BO45" s="4438">
        <f t="shared" si="51"/>
        <v>16.009395036480676</v>
      </c>
      <c r="BP45" s="4438">
        <f t="shared" si="52"/>
        <v>0.93055122377711785</v>
      </c>
      <c r="BQ45" s="4438">
        <f t="shared" si="53"/>
        <v>0</v>
      </c>
      <c r="BR45" s="4438">
        <f t="shared" si="54"/>
        <v>0</v>
      </c>
      <c r="BS45" s="4438">
        <f t="shared" si="55"/>
        <v>0</v>
      </c>
      <c r="BT45" s="4438">
        <f t="shared" si="56"/>
        <v>0</v>
      </c>
      <c r="BU45" s="4438">
        <f t="shared" si="57"/>
        <v>0</v>
      </c>
      <c r="BV45" s="4438">
        <f t="shared" si="58"/>
        <v>0</v>
      </c>
      <c r="BW45" s="4438">
        <f t="shared" si="59"/>
        <v>0</v>
      </c>
      <c r="BX45" s="4438">
        <f t="shared" si="60"/>
        <v>0.51129188119621849</v>
      </c>
      <c r="BY45" s="4438">
        <f t="shared" si="61"/>
        <v>0.54708231287995379</v>
      </c>
      <c r="BZ45" s="4438">
        <f t="shared" si="62"/>
        <v>0.56349478226635241</v>
      </c>
      <c r="CA45" s="4438">
        <f t="shared" si="63"/>
        <v>0.58039962573434301</v>
      </c>
      <c r="CB45" s="4438">
        <f t="shared" si="64"/>
        <v>0.59781161450637332</v>
      </c>
      <c r="CC45" s="4438">
        <f t="shared" si="65"/>
        <v>0.61574596294156458</v>
      </c>
      <c r="CD45" s="4438">
        <f t="shared" si="66"/>
        <v>3.579043168373533E-2</v>
      </c>
      <c r="CE45" s="4438">
        <f t="shared" si="67"/>
        <v>0</v>
      </c>
      <c r="CF45" s="4438">
        <f t="shared" si="68"/>
        <v>0</v>
      </c>
      <c r="CG45" s="4438">
        <f t="shared" si="69"/>
        <v>0</v>
      </c>
      <c r="CH45" s="4438">
        <f t="shared" si="70"/>
        <v>0</v>
      </c>
      <c r="CI45" s="4438">
        <f t="shared" si="71"/>
        <v>0</v>
      </c>
      <c r="CJ45" s="4438">
        <f t="shared" si="72"/>
        <v>0</v>
      </c>
      <c r="CK45" s="4438">
        <f t="shared" si="73"/>
        <v>0</v>
      </c>
      <c r="CL45" s="4438">
        <f t="shared" si="74"/>
        <v>0</v>
      </c>
      <c r="CM45" s="4438">
        <f t="shared" si="75"/>
        <v>0</v>
      </c>
      <c r="CN45" s="4438">
        <f t="shared" si="76"/>
        <v>0</v>
      </c>
      <c r="CO45" s="4438">
        <f t="shared" si="77"/>
        <v>0</v>
      </c>
      <c r="CP45" s="4438">
        <f t="shared" si="78"/>
        <v>0</v>
      </c>
      <c r="CQ45" s="4438">
        <f t="shared" si="79"/>
        <v>0</v>
      </c>
      <c r="CR45" s="4438">
        <f t="shared" si="80"/>
        <v>0</v>
      </c>
      <c r="CS45" s="4438">
        <f t="shared" si="81"/>
        <v>0</v>
      </c>
      <c r="CT45" s="4438">
        <f t="shared" si="82"/>
        <v>0</v>
      </c>
      <c r="CU45" s="4438">
        <f t="shared" si="83"/>
        <v>0</v>
      </c>
      <c r="CV45" s="4438">
        <f t="shared" si="84"/>
        <v>0</v>
      </c>
      <c r="CW45" s="4438">
        <f t="shared" si="85"/>
        <v>0</v>
      </c>
      <c r="CX45" s="4438">
        <f t="shared" si="86"/>
        <v>0</v>
      </c>
      <c r="CY45" s="4438">
        <f t="shared" si="87"/>
        <v>13.804880792297899</v>
      </c>
      <c r="CZ45" s="4438">
        <f t="shared" si="88"/>
        <v>14.771222447758753</v>
      </c>
      <c r="DA45" s="4438">
        <f t="shared" si="89"/>
        <v>15.214359121191515</v>
      </c>
      <c r="DB45" s="4438">
        <f t="shared" si="90"/>
        <v>15.67078989482726</v>
      </c>
      <c r="DC45" s="4438">
        <f t="shared" si="91"/>
        <v>16.140913591672078</v>
      </c>
      <c r="DD45" s="4438">
        <f t="shared" si="92"/>
        <v>16.625140999422243</v>
      </c>
      <c r="DE45" s="4438">
        <f t="shared" si="93"/>
        <v>13.293588911101681</v>
      </c>
      <c r="DF45" s="4438">
        <f t="shared" si="94"/>
        <v>14.224140134878798</v>
      </c>
      <c r="DG45" s="4438">
        <f t="shared" si="95"/>
        <v>14.650864338925164</v>
      </c>
      <c r="DH45" s="4438">
        <f t="shared" si="96"/>
        <v>15.090390269092918</v>
      </c>
      <c r="DI45" s="4438">
        <f t="shared" si="97"/>
        <v>15.543101977165707</v>
      </c>
      <c r="DJ45" s="4438">
        <f t="shared" si="98"/>
        <v>16.009395036480676</v>
      </c>
    </row>
    <row r="46" spans="1:114" ht="12.75">
      <c r="A46" s="816" t="s">
        <v>262</v>
      </c>
      <c r="B46" s="871" t="s">
        <v>685</v>
      </c>
      <c r="C46" s="4601">
        <v>173</v>
      </c>
      <c r="D46" s="3033">
        <f t="shared" si="155"/>
        <v>185.11</v>
      </c>
      <c r="E46" s="3033">
        <f t="shared" ref="E46:H46" si="262">D46*1.03</f>
        <v>190.66330000000002</v>
      </c>
      <c r="F46" s="3033">
        <f t="shared" si="262"/>
        <v>196.38319900000002</v>
      </c>
      <c r="G46" s="3033">
        <f t="shared" si="262"/>
        <v>202.27469497000001</v>
      </c>
      <c r="H46" s="3034">
        <f t="shared" si="262"/>
        <v>208.34293581910001</v>
      </c>
      <c r="I46" s="1224">
        <f t="shared" si="34"/>
        <v>12.110000000000014</v>
      </c>
      <c r="J46" s="804">
        <f t="shared" si="35"/>
        <v>7.0000000000000076E-2</v>
      </c>
      <c r="K46" s="4601">
        <v>0</v>
      </c>
      <c r="L46" s="3033">
        <f t="shared" si="230"/>
        <v>0</v>
      </c>
      <c r="M46" s="3033">
        <f t="shared" ref="M46:P46" si="263">L46*1.03</f>
        <v>0</v>
      </c>
      <c r="N46" s="3033">
        <f t="shared" si="263"/>
        <v>0</v>
      </c>
      <c r="O46" s="3033">
        <f t="shared" si="263"/>
        <v>0</v>
      </c>
      <c r="P46" s="3034">
        <f t="shared" si="263"/>
        <v>0</v>
      </c>
      <c r="Q46" s="1224">
        <f t="shared" si="206"/>
        <v>0</v>
      </c>
      <c r="R46" s="1095">
        <f t="shared" si="207"/>
        <v>0</v>
      </c>
      <c r="S46" s="4601">
        <v>29</v>
      </c>
      <c r="T46" s="3033">
        <f t="shared" si="213"/>
        <v>31.03</v>
      </c>
      <c r="U46" s="3033">
        <f t="shared" ref="U46:X46" si="264">T46*1.03</f>
        <v>31.960900000000002</v>
      </c>
      <c r="V46" s="3033">
        <f t="shared" si="264"/>
        <v>32.919727000000002</v>
      </c>
      <c r="W46" s="3033">
        <f t="shared" si="264"/>
        <v>33.90731881</v>
      </c>
      <c r="X46" s="3034">
        <f t="shared" si="264"/>
        <v>34.924538374299999</v>
      </c>
      <c r="Y46" s="1224">
        <f t="shared" si="209"/>
        <v>2.0300000000000011</v>
      </c>
      <c r="Z46" s="1095">
        <f t="shared" si="210"/>
        <v>7.0000000000000034E-2</v>
      </c>
      <c r="AA46" s="3032"/>
      <c r="AB46" s="3033"/>
      <c r="AC46" s="3033"/>
      <c r="AD46" s="3033"/>
      <c r="AE46" s="3033"/>
      <c r="AF46" s="3034"/>
      <c r="AG46" s="1224">
        <f t="shared" si="40"/>
        <v>0</v>
      </c>
      <c r="AH46" s="804">
        <f t="shared" si="41"/>
        <v>0</v>
      </c>
      <c r="AI46" s="3032"/>
      <c r="AJ46" s="3033"/>
      <c r="AK46" s="3033"/>
      <c r="AL46" s="3033"/>
      <c r="AM46" s="3033"/>
      <c r="AN46" s="3052"/>
      <c r="AO46" s="1224">
        <f t="shared" si="42"/>
        <v>0</v>
      </c>
      <c r="AP46" s="804">
        <f t="shared" si="43"/>
        <v>0</v>
      </c>
      <c r="AQ46" s="3032"/>
      <c r="AR46" s="3033"/>
      <c r="AS46" s="3033"/>
      <c r="AT46" s="3033"/>
      <c r="AU46" s="3033"/>
      <c r="AV46" s="3052"/>
      <c r="AW46" s="1086">
        <f t="shared" si="232"/>
        <v>202</v>
      </c>
      <c r="AX46" s="3042">
        <f t="shared" si="233"/>
        <v>216.14000000000001</v>
      </c>
      <c r="AY46" s="3042">
        <f t="shared" si="234"/>
        <v>222.62420000000003</v>
      </c>
      <c r="AZ46" s="3042">
        <f t="shared" si="235"/>
        <v>229.30292600000001</v>
      </c>
      <c r="BA46" s="3042">
        <f t="shared" si="236"/>
        <v>236.18201378000001</v>
      </c>
      <c r="BB46" s="3043">
        <f t="shared" si="237"/>
        <v>243.26747419340001</v>
      </c>
      <c r="BC46" s="3059">
        <f t="shared" si="238"/>
        <v>173</v>
      </c>
      <c r="BD46" s="3060">
        <f t="shared" si="239"/>
        <v>185.11</v>
      </c>
      <c r="BE46" s="3061">
        <f t="shared" si="240"/>
        <v>190.66330000000002</v>
      </c>
      <c r="BF46" s="3061">
        <f t="shared" si="241"/>
        <v>196.38319900000002</v>
      </c>
      <c r="BG46" s="3061">
        <f t="shared" si="242"/>
        <v>202.27469497000001</v>
      </c>
      <c r="BH46" s="3063">
        <f t="shared" si="243"/>
        <v>208.34293581910001</v>
      </c>
      <c r="BI46" s="4422"/>
      <c r="BJ46" s="4438">
        <f t="shared" si="46"/>
        <v>88.453495446945794</v>
      </c>
      <c r="BK46" s="4438">
        <f t="shared" si="47"/>
        <v>94.645240128232018</v>
      </c>
      <c r="BL46" s="4438">
        <f t="shared" si="48"/>
        <v>97.484597332078977</v>
      </c>
      <c r="BM46" s="4438">
        <f t="shared" si="49"/>
        <v>100.40913525204134</v>
      </c>
      <c r="BN46" s="4438">
        <f t="shared" si="50"/>
        <v>103.42140930960258</v>
      </c>
      <c r="BO46" s="4438">
        <f t="shared" si="51"/>
        <v>106.52405158889066</v>
      </c>
      <c r="BP46" s="4438">
        <f t="shared" si="52"/>
        <v>6.1917446812862131</v>
      </c>
      <c r="BQ46" s="4438">
        <f t="shared" si="53"/>
        <v>0</v>
      </c>
      <c r="BR46" s="4438">
        <f t="shared" si="54"/>
        <v>0</v>
      </c>
      <c r="BS46" s="4438">
        <f t="shared" si="55"/>
        <v>0</v>
      </c>
      <c r="BT46" s="4438">
        <f t="shared" si="56"/>
        <v>0</v>
      </c>
      <c r="BU46" s="4438">
        <f t="shared" si="57"/>
        <v>0</v>
      </c>
      <c r="BV46" s="4438">
        <f t="shared" si="58"/>
        <v>0</v>
      </c>
      <c r="BW46" s="4438">
        <f t="shared" si="59"/>
        <v>0</v>
      </c>
      <c r="BX46" s="4438">
        <f t="shared" si="60"/>
        <v>14.827464554690337</v>
      </c>
      <c r="BY46" s="4438">
        <f t="shared" si="61"/>
        <v>15.86538707351866</v>
      </c>
      <c r="BZ46" s="4438">
        <f t="shared" si="62"/>
        <v>16.341348685724221</v>
      </c>
      <c r="CA46" s="4438">
        <f t="shared" si="63"/>
        <v>16.831589146295947</v>
      </c>
      <c r="CB46" s="4438">
        <f t="shared" si="64"/>
        <v>17.336536820684824</v>
      </c>
      <c r="CC46" s="4438">
        <f t="shared" si="65"/>
        <v>17.856632925305369</v>
      </c>
      <c r="CD46" s="4438">
        <f t="shared" si="66"/>
        <v>1.0379225188283241</v>
      </c>
      <c r="CE46" s="4438">
        <f t="shared" si="67"/>
        <v>0</v>
      </c>
      <c r="CF46" s="4438">
        <f t="shared" si="68"/>
        <v>0</v>
      </c>
      <c r="CG46" s="4438">
        <f t="shared" si="69"/>
        <v>0</v>
      </c>
      <c r="CH46" s="4438">
        <f t="shared" si="70"/>
        <v>0</v>
      </c>
      <c r="CI46" s="4438">
        <f t="shared" si="71"/>
        <v>0</v>
      </c>
      <c r="CJ46" s="4438">
        <f t="shared" si="72"/>
        <v>0</v>
      </c>
      <c r="CK46" s="4438">
        <f t="shared" si="73"/>
        <v>0</v>
      </c>
      <c r="CL46" s="4438">
        <f t="shared" si="74"/>
        <v>0</v>
      </c>
      <c r="CM46" s="4438">
        <f t="shared" si="75"/>
        <v>0</v>
      </c>
      <c r="CN46" s="4438">
        <f t="shared" si="76"/>
        <v>0</v>
      </c>
      <c r="CO46" s="4438">
        <f t="shared" si="77"/>
        <v>0</v>
      </c>
      <c r="CP46" s="4438">
        <f t="shared" si="78"/>
        <v>0</v>
      </c>
      <c r="CQ46" s="4438">
        <f t="shared" si="79"/>
        <v>0</v>
      </c>
      <c r="CR46" s="4438">
        <f t="shared" si="80"/>
        <v>0</v>
      </c>
      <c r="CS46" s="4438">
        <f t="shared" si="81"/>
        <v>0</v>
      </c>
      <c r="CT46" s="4438">
        <f t="shared" si="82"/>
        <v>0</v>
      </c>
      <c r="CU46" s="4438">
        <f t="shared" si="83"/>
        <v>0</v>
      </c>
      <c r="CV46" s="4438">
        <f t="shared" si="84"/>
        <v>0</v>
      </c>
      <c r="CW46" s="4438">
        <f t="shared" si="85"/>
        <v>0</v>
      </c>
      <c r="CX46" s="4438">
        <f t="shared" si="86"/>
        <v>0</v>
      </c>
      <c r="CY46" s="4438">
        <f t="shared" si="87"/>
        <v>103.28096000163613</v>
      </c>
      <c r="CZ46" s="4438">
        <f t="shared" si="88"/>
        <v>110.51062720175068</v>
      </c>
      <c r="DA46" s="4438">
        <f t="shared" si="89"/>
        <v>113.8259460178032</v>
      </c>
      <c r="DB46" s="4438">
        <f t="shared" si="90"/>
        <v>117.24072439833729</v>
      </c>
      <c r="DC46" s="4438">
        <f t="shared" si="91"/>
        <v>120.75794613028741</v>
      </c>
      <c r="DD46" s="4438">
        <f t="shared" si="92"/>
        <v>124.38068451419602</v>
      </c>
      <c r="DE46" s="4438">
        <f t="shared" si="93"/>
        <v>88.453495446945794</v>
      </c>
      <c r="DF46" s="4438">
        <f t="shared" si="94"/>
        <v>94.645240128232018</v>
      </c>
      <c r="DG46" s="4438">
        <f t="shared" si="95"/>
        <v>97.484597332078977</v>
      </c>
      <c r="DH46" s="4438">
        <f t="shared" si="96"/>
        <v>100.40913525204134</v>
      </c>
      <c r="DI46" s="4438">
        <f t="shared" si="97"/>
        <v>103.42140930960258</v>
      </c>
      <c r="DJ46" s="4438">
        <f t="shared" si="98"/>
        <v>106.52405158889066</v>
      </c>
    </row>
    <row r="47" spans="1:114" ht="12.75">
      <c r="A47" s="816" t="s">
        <v>444</v>
      </c>
      <c r="B47" s="871" t="s">
        <v>443</v>
      </c>
      <c r="C47" s="4601">
        <v>5</v>
      </c>
      <c r="D47" s="3033">
        <f t="shared" si="155"/>
        <v>5.3500000000000005</v>
      </c>
      <c r="E47" s="3033">
        <f t="shared" ref="E47:H47" si="265">D47*1.03</f>
        <v>5.5105000000000004</v>
      </c>
      <c r="F47" s="3033">
        <f t="shared" si="265"/>
        <v>5.6758150000000009</v>
      </c>
      <c r="G47" s="3033">
        <f t="shared" si="265"/>
        <v>5.8460894500000009</v>
      </c>
      <c r="H47" s="3034">
        <f t="shared" si="265"/>
        <v>6.0214721335000014</v>
      </c>
      <c r="I47" s="1224">
        <f t="shared" si="34"/>
        <v>0.35000000000000053</v>
      </c>
      <c r="J47" s="804">
        <f t="shared" si="35"/>
        <v>7.0000000000000104E-2</v>
      </c>
      <c r="K47" s="4601">
        <v>4</v>
      </c>
      <c r="L47" s="3033">
        <f t="shared" si="230"/>
        <v>4.28</v>
      </c>
      <c r="M47" s="3033">
        <f t="shared" ref="M47:P47" si="266">L47*1.03</f>
        <v>4.4084000000000003</v>
      </c>
      <c r="N47" s="3033">
        <f t="shared" si="266"/>
        <v>4.5406520000000006</v>
      </c>
      <c r="O47" s="3033">
        <f t="shared" si="266"/>
        <v>4.6768715600000004</v>
      </c>
      <c r="P47" s="3034">
        <f t="shared" si="266"/>
        <v>4.8171777068000008</v>
      </c>
      <c r="Q47" s="1224">
        <f t="shared" si="206"/>
        <v>0.28000000000000025</v>
      </c>
      <c r="R47" s="1095">
        <f t="shared" si="207"/>
        <v>7.0000000000000062E-2</v>
      </c>
      <c r="S47" s="4601">
        <v>1</v>
      </c>
      <c r="T47" s="3033">
        <f t="shared" si="213"/>
        <v>1.07</v>
      </c>
      <c r="U47" s="3033">
        <f t="shared" ref="U47:X47" si="267">T47*1.03</f>
        <v>1.1021000000000001</v>
      </c>
      <c r="V47" s="3033">
        <f t="shared" si="267"/>
        <v>1.1351630000000001</v>
      </c>
      <c r="W47" s="3033">
        <f t="shared" si="267"/>
        <v>1.1692178900000001</v>
      </c>
      <c r="X47" s="3034">
        <f t="shared" si="267"/>
        <v>1.2042944267000002</v>
      </c>
      <c r="Y47" s="1224">
        <f t="shared" si="209"/>
        <v>7.0000000000000062E-2</v>
      </c>
      <c r="Z47" s="1095">
        <f t="shared" si="210"/>
        <v>7.0000000000000062E-2</v>
      </c>
      <c r="AA47" s="3032"/>
      <c r="AB47" s="3033"/>
      <c r="AC47" s="3033"/>
      <c r="AD47" s="3033"/>
      <c r="AE47" s="3033"/>
      <c r="AF47" s="3034"/>
      <c r="AG47" s="1224">
        <f t="shared" si="40"/>
        <v>0</v>
      </c>
      <c r="AH47" s="804">
        <f t="shared" si="41"/>
        <v>0</v>
      </c>
      <c r="AI47" s="3032"/>
      <c r="AJ47" s="3033"/>
      <c r="AK47" s="3033"/>
      <c r="AL47" s="3033"/>
      <c r="AM47" s="3033"/>
      <c r="AN47" s="3052"/>
      <c r="AO47" s="1224">
        <f t="shared" si="42"/>
        <v>0</v>
      </c>
      <c r="AP47" s="804">
        <f t="shared" si="43"/>
        <v>0</v>
      </c>
      <c r="AQ47" s="3032"/>
      <c r="AR47" s="3033"/>
      <c r="AS47" s="3033"/>
      <c r="AT47" s="3033"/>
      <c r="AU47" s="3033"/>
      <c r="AV47" s="3052"/>
      <c r="AW47" s="1086">
        <f t="shared" si="232"/>
        <v>10</v>
      </c>
      <c r="AX47" s="3042">
        <f t="shared" si="233"/>
        <v>10.700000000000001</v>
      </c>
      <c r="AY47" s="3042">
        <f t="shared" si="234"/>
        <v>11.021000000000001</v>
      </c>
      <c r="AZ47" s="3042">
        <f t="shared" si="235"/>
        <v>11.351630000000002</v>
      </c>
      <c r="BA47" s="3042">
        <f t="shared" si="236"/>
        <v>11.692178900000002</v>
      </c>
      <c r="BB47" s="3043">
        <f t="shared" si="237"/>
        <v>12.042944267000003</v>
      </c>
      <c r="BC47" s="3059">
        <f t="shared" si="238"/>
        <v>5</v>
      </c>
      <c r="BD47" s="3060">
        <f t="shared" si="239"/>
        <v>5.3500000000000005</v>
      </c>
      <c r="BE47" s="3061">
        <f t="shared" si="240"/>
        <v>5.5105000000000004</v>
      </c>
      <c r="BF47" s="3061">
        <f t="shared" si="241"/>
        <v>5.6758150000000009</v>
      </c>
      <c r="BG47" s="3061">
        <f t="shared" si="242"/>
        <v>5.8460894500000009</v>
      </c>
      <c r="BH47" s="3063">
        <f t="shared" si="243"/>
        <v>6.0214721335000014</v>
      </c>
      <c r="BI47" s="4422"/>
      <c r="BJ47" s="4438">
        <f t="shared" si="46"/>
        <v>2.5564594059810926</v>
      </c>
      <c r="BK47" s="4438">
        <f t="shared" si="47"/>
        <v>2.7354115643997692</v>
      </c>
      <c r="BL47" s="4438">
        <f t="shared" si="48"/>
        <v>2.8174739113317622</v>
      </c>
      <c r="BM47" s="4438">
        <f t="shared" si="49"/>
        <v>2.9019981286717154</v>
      </c>
      <c r="BN47" s="4438">
        <f t="shared" si="50"/>
        <v>2.9890580725318667</v>
      </c>
      <c r="BO47" s="4438">
        <f t="shared" si="51"/>
        <v>3.078729814707823</v>
      </c>
      <c r="BP47" s="4438">
        <f t="shared" si="52"/>
        <v>0.17895215841867676</v>
      </c>
      <c r="BQ47" s="4438">
        <f t="shared" si="53"/>
        <v>2.045167524784874</v>
      </c>
      <c r="BR47" s="4438">
        <f t="shared" si="54"/>
        <v>2.1883292515198152</v>
      </c>
      <c r="BS47" s="4438">
        <f t="shared" si="55"/>
        <v>2.2539791290654096</v>
      </c>
      <c r="BT47" s="4438">
        <f t="shared" si="56"/>
        <v>2.321598502937372</v>
      </c>
      <c r="BU47" s="4438">
        <f t="shared" si="57"/>
        <v>2.3912464580254933</v>
      </c>
      <c r="BV47" s="4438">
        <f t="shared" si="58"/>
        <v>2.4629838517662583</v>
      </c>
      <c r="BW47" s="4438">
        <f t="shared" si="59"/>
        <v>0.14316172673494132</v>
      </c>
      <c r="BX47" s="4438">
        <f t="shared" si="60"/>
        <v>0.51129188119621849</v>
      </c>
      <c r="BY47" s="4438">
        <f t="shared" si="61"/>
        <v>0.54708231287995379</v>
      </c>
      <c r="BZ47" s="4438">
        <f t="shared" si="62"/>
        <v>0.56349478226635241</v>
      </c>
      <c r="CA47" s="4438">
        <f t="shared" si="63"/>
        <v>0.58039962573434301</v>
      </c>
      <c r="CB47" s="4438">
        <f t="shared" si="64"/>
        <v>0.59781161450637332</v>
      </c>
      <c r="CC47" s="4438">
        <f t="shared" si="65"/>
        <v>0.61574596294156458</v>
      </c>
      <c r="CD47" s="4438">
        <f t="shared" si="66"/>
        <v>3.579043168373533E-2</v>
      </c>
      <c r="CE47" s="4438">
        <f t="shared" si="67"/>
        <v>0</v>
      </c>
      <c r="CF47" s="4438">
        <f t="shared" si="68"/>
        <v>0</v>
      </c>
      <c r="CG47" s="4438">
        <f t="shared" si="69"/>
        <v>0</v>
      </c>
      <c r="CH47" s="4438">
        <f t="shared" si="70"/>
        <v>0</v>
      </c>
      <c r="CI47" s="4438">
        <f t="shared" si="71"/>
        <v>0</v>
      </c>
      <c r="CJ47" s="4438">
        <f t="shared" si="72"/>
        <v>0</v>
      </c>
      <c r="CK47" s="4438">
        <f t="shared" si="73"/>
        <v>0</v>
      </c>
      <c r="CL47" s="4438">
        <f t="shared" si="74"/>
        <v>0</v>
      </c>
      <c r="CM47" s="4438">
        <f t="shared" si="75"/>
        <v>0</v>
      </c>
      <c r="CN47" s="4438">
        <f t="shared" si="76"/>
        <v>0</v>
      </c>
      <c r="CO47" s="4438">
        <f t="shared" si="77"/>
        <v>0</v>
      </c>
      <c r="CP47" s="4438">
        <f t="shared" si="78"/>
        <v>0</v>
      </c>
      <c r="CQ47" s="4438">
        <f t="shared" si="79"/>
        <v>0</v>
      </c>
      <c r="CR47" s="4438">
        <f t="shared" si="80"/>
        <v>0</v>
      </c>
      <c r="CS47" s="4438">
        <f t="shared" si="81"/>
        <v>0</v>
      </c>
      <c r="CT47" s="4438">
        <f t="shared" si="82"/>
        <v>0</v>
      </c>
      <c r="CU47" s="4438">
        <f t="shared" si="83"/>
        <v>0</v>
      </c>
      <c r="CV47" s="4438">
        <f t="shared" si="84"/>
        <v>0</v>
      </c>
      <c r="CW47" s="4438">
        <f t="shared" si="85"/>
        <v>0</v>
      </c>
      <c r="CX47" s="4438">
        <f t="shared" si="86"/>
        <v>0</v>
      </c>
      <c r="CY47" s="4438">
        <f t="shared" si="87"/>
        <v>5.1129188119621851</v>
      </c>
      <c r="CZ47" s="4438">
        <f t="shared" si="88"/>
        <v>5.4708231287995384</v>
      </c>
      <c r="DA47" s="4438">
        <f t="shared" si="89"/>
        <v>5.6349478226635243</v>
      </c>
      <c r="DB47" s="4438">
        <f t="shared" si="90"/>
        <v>5.8039962573434307</v>
      </c>
      <c r="DC47" s="4438">
        <f t="shared" si="91"/>
        <v>5.9781161450637335</v>
      </c>
      <c r="DD47" s="4438">
        <f t="shared" si="92"/>
        <v>6.1574596294156461</v>
      </c>
      <c r="DE47" s="4438">
        <f t="shared" si="93"/>
        <v>2.5564594059810926</v>
      </c>
      <c r="DF47" s="4438">
        <f t="shared" si="94"/>
        <v>2.7354115643997692</v>
      </c>
      <c r="DG47" s="4438">
        <f t="shared" si="95"/>
        <v>2.8174739113317622</v>
      </c>
      <c r="DH47" s="4438">
        <f t="shared" si="96"/>
        <v>2.9019981286717154</v>
      </c>
      <c r="DI47" s="4438">
        <f t="shared" si="97"/>
        <v>2.9890580725318667</v>
      </c>
      <c r="DJ47" s="4438">
        <f t="shared" si="98"/>
        <v>3.078729814707823</v>
      </c>
    </row>
    <row r="48" spans="1:114" s="675" customFormat="1" ht="12.75">
      <c r="A48" s="816" t="s">
        <v>601</v>
      </c>
      <c r="B48" s="871" t="s">
        <v>641</v>
      </c>
      <c r="C48" s="2641">
        <f>'8. Ремонтна програма'!J31</f>
        <v>688.32588999999996</v>
      </c>
      <c r="D48" s="1223">
        <f>'8. Ремонтна програма'!K31</f>
        <v>894.82365700000003</v>
      </c>
      <c r="E48" s="1107">
        <f>'8. Ремонтна програма'!L31</f>
        <v>939.56483985000011</v>
      </c>
      <c r="F48" s="1107">
        <f>'8. Ремонтна програма'!M31</f>
        <v>967.75178504550013</v>
      </c>
      <c r="G48" s="1107">
        <f>'8. Ремонтна програма'!N31</f>
        <v>948.39674934459015</v>
      </c>
      <c r="H48" s="3064">
        <f>'8. Ремонтна програма'!O31</f>
        <v>910.46087937080654</v>
      </c>
      <c r="I48" s="1223">
        <f t="shared" si="34"/>
        <v>206.49776700000007</v>
      </c>
      <c r="J48" s="803">
        <f t="shared" si="35"/>
        <v>0.3000000000000001</v>
      </c>
      <c r="K48" s="2641">
        <f>'8. Ремонтна програма'!J60</f>
        <v>395.47147000000001</v>
      </c>
      <c r="L48" s="1223">
        <f>'8. Ремонтна програма'!K60</f>
        <v>514.11291100000005</v>
      </c>
      <c r="M48" s="1107">
        <f>'8. Ремонтна програма'!L60</f>
        <v>539.81855655000004</v>
      </c>
      <c r="N48" s="1107">
        <f>'8. Ремонтна програма'!M60</f>
        <v>556.0131132465001</v>
      </c>
      <c r="O48" s="1107">
        <f>'8. Ремонтна програма'!N60</f>
        <v>544.89285098157006</v>
      </c>
      <c r="P48" s="3064">
        <f>'8. Ремонтна програма'!O60</f>
        <v>523.0971369423072</v>
      </c>
      <c r="Q48" s="1223">
        <f t="shared" si="206"/>
        <v>118.64144100000004</v>
      </c>
      <c r="R48" s="855">
        <f t="shared" si="207"/>
        <v>0.3000000000000001</v>
      </c>
      <c r="S48" s="2641">
        <f>'8. Ремонтна програма'!J86</f>
        <v>57.411759999999994</v>
      </c>
      <c r="T48" s="1223">
        <f>'8. Ремонтна програма'!K86</f>
        <v>74.635287999999989</v>
      </c>
      <c r="U48" s="1107">
        <f>'8. Ремонтна програма'!L86</f>
        <v>78.367052399999992</v>
      </c>
      <c r="V48" s="1107">
        <f>'8. Ремонтна програма'!M86</f>
        <v>80.718063971999996</v>
      </c>
      <c r="W48" s="1107">
        <f>'8. Ремонтна програма'!N86</f>
        <v>79.103702692559992</v>
      </c>
      <c r="X48" s="3064">
        <f>'8. Ремонтна програма'!O86</f>
        <v>75.939554584857589</v>
      </c>
      <c r="Y48" s="1223">
        <f t="shared" si="209"/>
        <v>17.223527999999995</v>
      </c>
      <c r="Z48" s="855">
        <f t="shared" si="210"/>
        <v>0.29999999999999993</v>
      </c>
      <c r="AA48" s="2641">
        <f>'8. Ремонтна програма'!J117</f>
        <v>0</v>
      </c>
      <c r="AB48" s="1223">
        <f>'8. Ремонтна програма'!K117</f>
        <v>0</v>
      </c>
      <c r="AC48" s="1107">
        <f>'8. Ремонтна програма'!L117</f>
        <v>0</v>
      </c>
      <c r="AD48" s="1107">
        <f>'8. Ремонтна програма'!M117</f>
        <v>0</v>
      </c>
      <c r="AE48" s="1107">
        <f>'8. Ремонтна програма'!N117</f>
        <v>0</v>
      </c>
      <c r="AF48" s="3064">
        <f>'8. Ремонтна програма'!O117</f>
        <v>0</v>
      </c>
      <c r="AG48" s="1223">
        <f t="shared" si="40"/>
        <v>0</v>
      </c>
      <c r="AH48" s="803">
        <f t="shared" si="41"/>
        <v>0</v>
      </c>
      <c r="AI48" s="1086">
        <f>'8. Ремонтна програма'!J148</f>
        <v>0</v>
      </c>
      <c r="AJ48" s="1225">
        <f>'8. Ремонтна програма'!K148</f>
        <v>0</v>
      </c>
      <c r="AK48" s="1110">
        <f>'8. Ремонтна програма'!L148</f>
        <v>0</v>
      </c>
      <c r="AL48" s="1110">
        <f>'8. Ремонтна програма'!M148</f>
        <v>0</v>
      </c>
      <c r="AM48" s="1110">
        <f>'8. Ремонтна програма'!N148</f>
        <v>0</v>
      </c>
      <c r="AN48" s="3055">
        <f>'8. Ремонтна програма'!O148</f>
        <v>0</v>
      </c>
      <c r="AO48" s="1223">
        <f t="shared" si="42"/>
        <v>0</v>
      </c>
      <c r="AP48" s="803">
        <f t="shared" si="43"/>
        <v>0</v>
      </c>
      <c r="AQ48" s="3032"/>
      <c r="AR48" s="3033"/>
      <c r="AS48" s="3033"/>
      <c r="AT48" s="3033"/>
      <c r="AU48" s="3033"/>
      <c r="AV48" s="3052"/>
      <c r="AW48" s="1086">
        <f t="shared" si="232"/>
        <v>1141.20912</v>
      </c>
      <c r="AX48" s="3042">
        <f t="shared" si="233"/>
        <v>1483.571856</v>
      </c>
      <c r="AY48" s="3042">
        <f t="shared" si="234"/>
        <v>1557.7504488</v>
      </c>
      <c r="AZ48" s="3042">
        <f t="shared" si="235"/>
        <v>1604.4829622640002</v>
      </c>
      <c r="BA48" s="3042">
        <f t="shared" si="236"/>
        <v>1572.3933030187204</v>
      </c>
      <c r="BB48" s="3043">
        <f t="shared" si="237"/>
        <v>1509.4975708979714</v>
      </c>
      <c r="BC48" s="3059">
        <f t="shared" si="238"/>
        <v>688.32588999999996</v>
      </c>
      <c r="BD48" s="3060">
        <f t="shared" si="239"/>
        <v>894.82365700000003</v>
      </c>
      <c r="BE48" s="3061">
        <f t="shared" si="240"/>
        <v>939.56483985000011</v>
      </c>
      <c r="BF48" s="3061">
        <f t="shared" si="241"/>
        <v>967.75178504550013</v>
      </c>
      <c r="BG48" s="3061">
        <f t="shared" si="242"/>
        <v>948.39674934459015</v>
      </c>
      <c r="BH48" s="3063">
        <f t="shared" si="243"/>
        <v>910.46087937080654</v>
      </c>
      <c r="BI48" s="4422"/>
      <c r="BJ48" s="4438">
        <f t="shared" si="46"/>
        <v>351.93543917416133</v>
      </c>
      <c r="BK48" s="4438">
        <f t="shared" si="47"/>
        <v>457.51607092640978</v>
      </c>
      <c r="BL48" s="4438">
        <f t="shared" si="48"/>
        <v>480.39187447273031</v>
      </c>
      <c r="BM48" s="4438">
        <f t="shared" si="49"/>
        <v>494.80363070691226</v>
      </c>
      <c r="BN48" s="4438">
        <f t="shared" si="50"/>
        <v>484.90755809277402</v>
      </c>
      <c r="BO48" s="4438">
        <f t="shared" si="51"/>
        <v>465.51125576906304</v>
      </c>
      <c r="BP48" s="4438">
        <f t="shared" si="52"/>
        <v>105.58063175224844</v>
      </c>
      <c r="BQ48" s="4438">
        <f t="shared" si="53"/>
        <v>202.20135185573389</v>
      </c>
      <c r="BR48" s="4438">
        <f t="shared" si="54"/>
        <v>262.8617574124541</v>
      </c>
      <c r="BS48" s="4438">
        <f t="shared" si="55"/>
        <v>276.0048452830768</v>
      </c>
      <c r="BT48" s="4438">
        <f t="shared" si="56"/>
        <v>284.2849906415691</v>
      </c>
      <c r="BU48" s="4438">
        <f t="shared" si="57"/>
        <v>278.59929082873771</v>
      </c>
      <c r="BV48" s="4438">
        <f t="shared" si="58"/>
        <v>267.45531919558817</v>
      </c>
      <c r="BW48" s="4438">
        <f t="shared" si="59"/>
        <v>60.660405556720185</v>
      </c>
      <c r="BX48" s="4438">
        <f t="shared" si="60"/>
        <v>29.354166773185806</v>
      </c>
      <c r="BY48" s="4438">
        <f t="shared" si="61"/>
        <v>38.160416805141544</v>
      </c>
      <c r="BZ48" s="4438">
        <f t="shared" si="62"/>
        <v>40.068437645398625</v>
      </c>
      <c r="CA48" s="4438">
        <f t="shared" si="63"/>
        <v>41.270490774760589</v>
      </c>
      <c r="CB48" s="4438">
        <f t="shared" si="64"/>
        <v>40.445080959265375</v>
      </c>
      <c r="CC48" s="4438">
        <f t="shared" si="65"/>
        <v>38.827277720894756</v>
      </c>
      <c r="CD48" s="4438">
        <f t="shared" si="66"/>
        <v>8.8062500319557397</v>
      </c>
      <c r="CE48" s="4438">
        <f t="shared" si="67"/>
        <v>0</v>
      </c>
      <c r="CF48" s="4438">
        <f t="shared" si="68"/>
        <v>0</v>
      </c>
      <c r="CG48" s="4438">
        <f t="shared" si="69"/>
        <v>0</v>
      </c>
      <c r="CH48" s="4438">
        <f t="shared" si="70"/>
        <v>0</v>
      </c>
      <c r="CI48" s="4438">
        <f t="shared" si="71"/>
        <v>0</v>
      </c>
      <c r="CJ48" s="4438">
        <f t="shared" si="72"/>
        <v>0</v>
      </c>
      <c r="CK48" s="4438">
        <f t="shared" si="73"/>
        <v>0</v>
      </c>
      <c r="CL48" s="4438">
        <f t="shared" si="74"/>
        <v>0</v>
      </c>
      <c r="CM48" s="4438">
        <f t="shared" si="75"/>
        <v>0</v>
      </c>
      <c r="CN48" s="4438">
        <f t="shared" si="76"/>
        <v>0</v>
      </c>
      <c r="CO48" s="4438">
        <f t="shared" si="77"/>
        <v>0</v>
      </c>
      <c r="CP48" s="4438">
        <f t="shared" si="78"/>
        <v>0</v>
      </c>
      <c r="CQ48" s="4438">
        <f t="shared" si="79"/>
        <v>0</v>
      </c>
      <c r="CR48" s="4438">
        <f t="shared" si="80"/>
        <v>0</v>
      </c>
      <c r="CS48" s="4438">
        <f t="shared" si="81"/>
        <v>0</v>
      </c>
      <c r="CT48" s="4438">
        <f t="shared" si="82"/>
        <v>0</v>
      </c>
      <c r="CU48" s="4438">
        <f t="shared" si="83"/>
        <v>0</v>
      </c>
      <c r="CV48" s="4438">
        <f t="shared" si="84"/>
        <v>0</v>
      </c>
      <c r="CW48" s="4438">
        <f t="shared" si="85"/>
        <v>0</v>
      </c>
      <c r="CX48" s="4438">
        <f t="shared" si="86"/>
        <v>0</v>
      </c>
      <c r="CY48" s="4438">
        <f t="shared" si="87"/>
        <v>583.49095780308107</v>
      </c>
      <c r="CZ48" s="4438">
        <f t="shared" si="88"/>
        <v>758.53824514400537</v>
      </c>
      <c r="DA48" s="4438">
        <f t="shared" si="89"/>
        <v>796.4651574012056</v>
      </c>
      <c r="DB48" s="4438">
        <f t="shared" si="90"/>
        <v>820.35911212324197</v>
      </c>
      <c r="DC48" s="4438">
        <f t="shared" si="91"/>
        <v>803.95192988077724</v>
      </c>
      <c r="DD48" s="4438">
        <f t="shared" si="92"/>
        <v>771.79385268554597</v>
      </c>
      <c r="DE48" s="4438">
        <f t="shared" si="93"/>
        <v>351.93543917416133</v>
      </c>
      <c r="DF48" s="4438">
        <f t="shared" si="94"/>
        <v>457.51607092640978</v>
      </c>
      <c r="DG48" s="4438">
        <f t="shared" si="95"/>
        <v>480.39187447273031</v>
      </c>
      <c r="DH48" s="4438">
        <f t="shared" si="96"/>
        <v>494.80363070691226</v>
      </c>
      <c r="DI48" s="4438">
        <f t="shared" si="97"/>
        <v>484.90755809277402</v>
      </c>
      <c r="DJ48" s="4438">
        <f t="shared" si="98"/>
        <v>465.51125576906304</v>
      </c>
    </row>
    <row r="49" spans="1:114" ht="12.75">
      <c r="A49" s="816" t="s">
        <v>684</v>
      </c>
      <c r="B49" s="871" t="s">
        <v>631</v>
      </c>
      <c r="C49" s="3040"/>
      <c r="D49" s="3041"/>
      <c r="E49" s="1969"/>
      <c r="F49" s="1969"/>
      <c r="G49" s="1969"/>
      <c r="H49" s="2033"/>
      <c r="I49" s="3021"/>
      <c r="J49" s="3022"/>
      <c r="K49" s="3040"/>
      <c r="L49" s="3041"/>
      <c r="M49" s="1969"/>
      <c r="N49" s="1969"/>
      <c r="O49" s="1969"/>
      <c r="P49" s="3050"/>
      <c r="Q49" s="3645"/>
      <c r="R49" s="3023"/>
      <c r="S49" s="2641">
        <f>'7. Утайки от ПСОВ'!D31</f>
        <v>87.26</v>
      </c>
      <c r="T49" s="1117">
        <f>'7. Утайки от ПСОВ'!G31</f>
        <v>105</v>
      </c>
      <c r="U49" s="1107">
        <f>'7. Утайки от ПСОВ'!H31</f>
        <v>110.25</v>
      </c>
      <c r="V49" s="1107">
        <f>'7. Утайки от ПСОВ'!I31</f>
        <v>115.7625</v>
      </c>
      <c r="W49" s="1107">
        <f>'7. Утайки от ПСОВ'!J31</f>
        <v>121.55062500000001</v>
      </c>
      <c r="X49" s="1117">
        <f>'7. Утайки от ПСОВ'!K31</f>
        <v>127.62815625000002</v>
      </c>
      <c r="Y49" s="309">
        <f t="shared" si="209"/>
        <v>17.739999999999995</v>
      </c>
      <c r="Z49" s="855">
        <f t="shared" si="210"/>
        <v>0.20330048132019246</v>
      </c>
      <c r="AA49" s="3040"/>
      <c r="AB49" s="3041"/>
      <c r="AC49" s="1969"/>
      <c r="AD49" s="1969"/>
      <c r="AE49" s="1969"/>
      <c r="AF49" s="3050"/>
      <c r="AG49" s="3645"/>
      <c r="AH49" s="3096"/>
      <c r="AI49" s="3040"/>
      <c r="AJ49" s="3041"/>
      <c r="AK49" s="1969"/>
      <c r="AL49" s="1969"/>
      <c r="AM49" s="1969"/>
      <c r="AN49" s="2033"/>
      <c r="AO49" s="3645"/>
      <c r="AP49" s="3022"/>
      <c r="AQ49" s="3040"/>
      <c r="AR49" s="3041"/>
      <c r="AS49" s="1969"/>
      <c r="AT49" s="1969"/>
      <c r="AU49" s="1969"/>
      <c r="AV49" s="2033"/>
      <c r="AW49" s="1086">
        <f t="shared" ref="AW49:AW50" si="268">C49+K49+S49+AA49+AI49</f>
        <v>87.26</v>
      </c>
      <c r="AX49" s="3042">
        <f t="shared" ref="AX49:AX50" si="269">D49+L49+T49+AB49+AJ49</f>
        <v>105</v>
      </c>
      <c r="AY49" s="3042">
        <f t="shared" ref="AY49:AY50" si="270">E49+M49+U49+AC49+AK49</f>
        <v>110.25</v>
      </c>
      <c r="AZ49" s="3042">
        <f t="shared" ref="AZ49:AZ50" si="271">F49+N49+V49+AD49+AL49</f>
        <v>115.7625</v>
      </c>
      <c r="BA49" s="3042">
        <f t="shared" ref="BA49:BA50" si="272">G49+O49+W49+AE49+AM49</f>
        <v>121.55062500000001</v>
      </c>
      <c r="BB49" s="3043">
        <f t="shared" ref="BB49:BB50" si="273">H49+P49+X49+AF49+AN49</f>
        <v>127.62815625000002</v>
      </c>
      <c r="BC49" s="3059">
        <f t="shared" ref="BC49:BC50" si="274">C49+AA49+AI49</f>
        <v>0</v>
      </c>
      <c r="BD49" s="3060">
        <f t="shared" ref="BD49:BD50" si="275">D49+AB49+AJ49</f>
        <v>0</v>
      </c>
      <c r="BE49" s="3061">
        <f t="shared" ref="BE49:BE50" si="276">E49+AC49+AK49</f>
        <v>0</v>
      </c>
      <c r="BF49" s="3061">
        <f t="shared" ref="BF49:BF50" si="277">F49+AD49+AL49</f>
        <v>0</v>
      </c>
      <c r="BG49" s="3061">
        <f t="shared" ref="BG49:BG50" si="278">G49+AE49+AM49</f>
        <v>0</v>
      </c>
      <c r="BH49" s="3063">
        <f t="shared" ref="BH49:BH50" si="279">H49+AF49+AN49</f>
        <v>0</v>
      </c>
      <c r="BI49" s="4422"/>
      <c r="BJ49" s="4438">
        <f t="shared" si="46"/>
        <v>0</v>
      </c>
      <c r="BK49" s="4438">
        <f t="shared" si="47"/>
        <v>0</v>
      </c>
      <c r="BL49" s="4438">
        <f t="shared" si="48"/>
        <v>0</v>
      </c>
      <c r="BM49" s="4438">
        <f t="shared" si="49"/>
        <v>0</v>
      </c>
      <c r="BN49" s="4438">
        <f t="shared" si="50"/>
        <v>0</v>
      </c>
      <c r="BO49" s="4438">
        <f t="shared" si="51"/>
        <v>0</v>
      </c>
      <c r="BP49" s="4438">
        <f t="shared" si="52"/>
        <v>0</v>
      </c>
      <c r="BQ49" s="4438">
        <f t="shared" si="53"/>
        <v>0</v>
      </c>
      <c r="BR49" s="4438">
        <f t="shared" si="54"/>
        <v>0</v>
      </c>
      <c r="BS49" s="4438">
        <f t="shared" si="55"/>
        <v>0</v>
      </c>
      <c r="BT49" s="4438">
        <f t="shared" si="56"/>
        <v>0</v>
      </c>
      <c r="BU49" s="4438">
        <f t="shared" si="57"/>
        <v>0</v>
      </c>
      <c r="BV49" s="4438">
        <f t="shared" si="58"/>
        <v>0</v>
      </c>
      <c r="BW49" s="4438">
        <f t="shared" si="59"/>
        <v>0</v>
      </c>
      <c r="BX49" s="4438">
        <f t="shared" si="60"/>
        <v>44.615329553182029</v>
      </c>
      <c r="BY49" s="4438">
        <f t="shared" si="61"/>
        <v>53.685647525602946</v>
      </c>
      <c r="BZ49" s="4438">
        <f t="shared" si="62"/>
        <v>56.36992990188309</v>
      </c>
      <c r="CA49" s="4438">
        <f t="shared" si="63"/>
        <v>59.188426396977242</v>
      </c>
      <c r="CB49" s="4438">
        <f t="shared" si="64"/>
        <v>62.147847716826114</v>
      </c>
      <c r="CC49" s="4438">
        <f t="shared" si="65"/>
        <v>65.255240102667415</v>
      </c>
      <c r="CD49" s="4438">
        <f t="shared" si="66"/>
        <v>9.0703179724209129</v>
      </c>
      <c r="CE49" s="4438">
        <f t="shared" si="67"/>
        <v>0</v>
      </c>
      <c r="CF49" s="4438">
        <f t="shared" si="68"/>
        <v>0</v>
      </c>
      <c r="CG49" s="4438">
        <f t="shared" si="69"/>
        <v>0</v>
      </c>
      <c r="CH49" s="4438">
        <f t="shared" si="70"/>
        <v>0</v>
      </c>
      <c r="CI49" s="4438">
        <f t="shared" si="71"/>
        <v>0</v>
      </c>
      <c r="CJ49" s="4438">
        <f t="shared" si="72"/>
        <v>0</v>
      </c>
      <c r="CK49" s="4438">
        <f t="shared" si="73"/>
        <v>0</v>
      </c>
      <c r="CL49" s="4438">
        <f t="shared" si="74"/>
        <v>0</v>
      </c>
      <c r="CM49" s="4438">
        <f t="shared" si="75"/>
        <v>0</v>
      </c>
      <c r="CN49" s="4438">
        <f t="shared" si="76"/>
        <v>0</v>
      </c>
      <c r="CO49" s="4438">
        <f t="shared" si="77"/>
        <v>0</v>
      </c>
      <c r="CP49" s="4438">
        <f t="shared" si="78"/>
        <v>0</v>
      </c>
      <c r="CQ49" s="4438">
        <f t="shared" si="79"/>
        <v>0</v>
      </c>
      <c r="CR49" s="4438">
        <f t="shared" si="80"/>
        <v>0</v>
      </c>
      <c r="CS49" s="4438">
        <f t="shared" si="81"/>
        <v>0</v>
      </c>
      <c r="CT49" s="4438">
        <f t="shared" si="82"/>
        <v>0</v>
      </c>
      <c r="CU49" s="4438">
        <f t="shared" si="83"/>
        <v>0</v>
      </c>
      <c r="CV49" s="4438">
        <f t="shared" si="84"/>
        <v>0</v>
      </c>
      <c r="CW49" s="4438">
        <f t="shared" si="85"/>
        <v>0</v>
      </c>
      <c r="CX49" s="4438">
        <f t="shared" si="86"/>
        <v>0</v>
      </c>
      <c r="CY49" s="4438">
        <f t="shared" si="87"/>
        <v>44.615329553182029</v>
      </c>
      <c r="CZ49" s="4438">
        <f t="shared" si="88"/>
        <v>53.685647525602946</v>
      </c>
      <c r="DA49" s="4438">
        <f t="shared" si="89"/>
        <v>56.36992990188309</v>
      </c>
      <c r="DB49" s="4438">
        <f t="shared" si="90"/>
        <v>59.188426396977242</v>
      </c>
      <c r="DC49" s="4438">
        <f t="shared" si="91"/>
        <v>62.147847716826114</v>
      </c>
      <c r="DD49" s="4438">
        <f t="shared" si="92"/>
        <v>65.255240102667415</v>
      </c>
      <c r="DE49" s="4438">
        <f t="shared" si="93"/>
        <v>0</v>
      </c>
      <c r="DF49" s="4438">
        <f t="shared" si="94"/>
        <v>0</v>
      </c>
      <c r="DG49" s="4438">
        <f t="shared" si="95"/>
        <v>0</v>
      </c>
      <c r="DH49" s="4438">
        <f t="shared" si="96"/>
        <v>0</v>
      </c>
      <c r="DI49" s="4438">
        <f t="shared" si="97"/>
        <v>0</v>
      </c>
      <c r="DJ49" s="4438">
        <f t="shared" si="98"/>
        <v>0</v>
      </c>
    </row>
    <row r="50" spans="1:114" ht="12.75">
      <c r="A50" s="816" t="s">
        <v>735</v>
      </c>
      <c r="B50" s="871" t="s">
        <v>734</v>
      </c>
      <c r="C50" s="3040"/>
      <c r="D50" s="3021"/>
      <c r="E50" s="1969"/>
      <c r="F50" s="1969"/>
      <c r="G50" s="1969"/>
      <c r="H50" s="2033"/>
      <c r="I50" s="3021"/>
      <c r="J50" s="3022"/>
      <c r="K50" s="3040"/>
      <c r="L50" s="3021"/>
      <c r="M50" s="1969"/>
      <c r="N50" s="1969"/>
      <c r="O50" s="1969"/>
      <c r="P50" s="3021"/>
      <c r="Q50" s="3645"/>
      <c r="R50" s="3023"/>
      <c r="S50" s="2641">
        <f>'7. Утайки от ПСОВ'!D29</f>
        <v>0</v>
      </c>
      <c r="T50" s="1117">
        <f>'7. Утайки от ПСОВ'!G29</f>
        <v>105</v>
      </c>
      <c r="U50" s="1107">
        <f>'7. Утайки от ПСОВ'!H29</f>
        <v>110.25</v>
      </c>
      <c r="V50" s="1107">
        <f>'7. Утайки от ПСОВ'!I29</f>
        <v>115.7625</v>
      </c>
      <c r="W50" s="1107">
        <f>'7. Утайки от ПСОВ'!J29</f>
        <v>50</v>
      </c>
      <c r="X50" s="1117">
        <f>'7. Утайки от ПСОВ'!K29</f>
        <v>0</v>
      </c>
      <c r="Y50" s="309">
        <f t="shared" si="209"/>
        <v>105</v>
      </c>
      <c r="Z50" s="855">
        <f t="shared" si="210"/>
        <v>0</v>
      </c>
      <c r="AA50" s="3040"/>
      <c r="AB50" s="3021"/>
      <c r="AC50" s="1969"/>
      <c r="AD50" s="1969"/>
      <c r="AE50" s="1969"/>
      <c r="AF50" s="3021"/>
      <c r="AG50" s="3645"/>
      <c r="AH50" s="3096"/>
      <c r="AI50" s="3040"/>
      <c r="AJ50" s="3021"/>
      <c r="AK50" s="1969"/>
      <c r="AL50" s="1969"/>
      <c r="AM50" s="1969"/>
      <c r="AN50" s="3053"/>
      <c r="AO50" s="3645"/>
      <c r="AP50" s="3022"/>
      <c r="AQ50" s="3040"/>
      <c r="AR50" s="3021"/>
      <c r="AS50" s="1969"/>
      <c r="AT50" s="1969"/>
      <c r="AU50" s="1969"/>
      <c r="AV50" s="3053"/>
      <c r="AW50" s="1086">
        <f t="shared" si="268"/>
        <v>0</v>
      </c>
      <c r="AX50" s="3042">
        <f t="shared" si="269"/>
        <v>105</v>
      </c>
      <c r="AY50" s="3042">
        <f t="shared" si="270"/>
        <v>110.25</v>
      </c>
      <c r="AZ50" s="3042">
        <f t="shared" si="271"/>
        <v>115.7625</v>
      </c>
      <c r="BA50" s="3042">
        <f t="shared" si="272"/>
        <v>50</v>
      </c>
      <c r="BB50" s="3043">
        <f t="shared" si="273"/>
        <v>0</v>
      </c>
      <c r="BC50" s="3059">
        <f t="shared" si="274"/>
        <v>0</v>
      </c>
      <c r="BD50" s="3060">
        <f t="shared" si="275"/>
        <v>0</v>
      </c>
      <c r="BE50" s="3061">
        <f t="shared" si="276"/>
        <v>0</v>
      </c>
      <c r="BF50" s="3061">
        <f t="shared" si="277"/>
        <v>0</v>
      </c>
      <c r="BG50" s="3061">
        <f t="shared" si="278"/>
        <v>0</v>
      </c>
      <c r="BH50" s="3063">
        <f t="shared" si="279"/>
        <v>0</v>
      </c>
      <c r="BI50" s="4422"/>
      <c r="BJ50" s="4438">
        <f t="shared" si="46"/>
        <v>0</v>
      </c>
      <c r="BK50" s="4438">
        <f t="shared" si="47"/>
        <v>0</v>
      </c>
      <c r="BL50" s="4438">
        <f t="shared" si="48"/>
        <v>0</v>
      </c>
      <c r="BM50" s="4438">
        <f t="shared" si="49"/>
        <v>0</v>
      </c>
      <c r="BN50" s="4438">
        <f t="shared" si="50"/>
        <v>0</v>
      </c>
      <c r="BO50" s="4438">
        <f t="shared" si="51"/>
        <v>0</v>
      </c>
      <c r="BP50" s="4438">
        <f t="shared" si="52"/>
        <v>0</v>
      </c>
      <c r="BQ50" s="4438">
        <f t="shared" si="53"/>
        <v>0</v>
      </c>
      <c r="BR50" s="4438">
        <f t="shared" si="54"/>
        <v>0</v>
      </c>
      <c r="BS50" s="4438">
        <f t="shared" si="55"/>
        <v>0</v>
      </c>
      <c r="BT50" s="4438">
        <f t="shared" si="56"/>
        <v>0</v>
      </c>
      <c r="BU50" s="4438">
        <f t="shared" si="57"/>
        <v>0</v>
      </c>
      <c r="BV50" s="4438">
        <f t="shared" si="58"/>
        <v>0</v>
      </c>
      <c r="BW50" s="4438">
        <f t="shared" si="59"/>
        <v>0</v>
      </c>
      <c r="BX50" s="4438">
        <f t="shared" si="60"/>
        <v>0</v>
      </c>
      <c r="BY50" s="4438">
        <f t="shared" si="61"/>
        <v>53.685647525602946</v>
      </c>
      <c r="BZ50" s="4438">
        <f t="shared" si="62"/>
        <v>56.36992990188309</v>
      </c>
      <c r="CA50" s="4438">
        <f t="shared" si="63"/>
        <v>59.188426396977242</v>
      </c>
      <c r="CB50" s="4438">
        <f t="shared" si="64"/>
        <v>25.564594059810926</v>
      </c>
      <c r="CC50" s="4438">
        <f t="shared" si="65"/>
        <v>0</v>
      </c>
      <c r="CD50" s="4438">
        <f t="shared" si="66"/>
        <v>53.685647525602946</v>
      </c>
      <c r="CE50" s="4438">
        <f t="shared" si="67"/>
        <v>0</v>
      </c>
      <c r="CF50" s="4438">
        <f t="shared" si="68"/>
        <v>0</v>
      </c>
      <c r="CG50" s="4438">
        <f t="shared" si="69"/>
        <v>0</v>
      </c>
      <c r="CH50" s="4438">
        <f t="shared" si="70"/>
        <v>0</v>
      </c>
      <c r="CI50" s="4438">
        <f t="shared" si="71"/>
        <v>0</v>
      </c>
      <c r="CJ50" s="4438">
        <f t="shared" si="72"/>
        <v>0</v>
      </c>
      <c r="CK50" s="4438">
        <f t="shared" si="73"/>
        <v>0</v>
      </c>
      <c r="CL50" s="4438">
        <f t="shared" si="74"/>
        <v>0</v>
      </c>
      <c r="CM50" s="4438">
        <f t="shared" si="75"/>
        <v>0</v>
      </c>
      <c r="CN50" s="4438">
        <f t="shared" si="76"/>
        <v>0</v>
      </c>
      <c r="CO50" s="4438">
        <f t="shared" si="77"/>
        <v>0</v>
      </c>
      <c r="CP50" s="4438">
        <f t="shared" si="78"/>
        <v>0</v>
      </c>
      <c r="CQ50" s="4438">
        <f t="shared" si="79"/>
        <v>0</v>
      </c>
      <c r="CR50" s="4438">
        <f t="shared" si="80"/>
        <v>0</v>
      </c>
      <c r="CS50" s="4438">
        <f t="shared" si="81"/>
        <v>0</v>
      </c>
      <c r="CT50" s="4438">
        <f t="shared" si="82"/>
        <v>0</v>
      </c>
      <c r="CU50" s="4438">
        <f t="shared" si="83"/>
        <v>0</v>
      </c>
      <c r="CV50" s="4438">
        <f t="shared" si="84"/>
        <v>0</v>
      </c>
      <c r="CW50" s="4438">
        <f t="shared" si="85"/>
        <v>0</v>
      </c>
      <c r="CX50" s="4438">
        <f t="shared" si="86"/>
        <v>0</v>
      </c>
      <c r="CY50" s="4438">
        <f t="shared" si="87"/>
        <v>0</v>
      </c>
      <c r="CZ50" s="4438">
        <f t="shared" si="88"/>
        <v>53.685647525602946</v>
      </c>
      <c r="DA50" s="4438">
        <f t="shared" si="89"/>
        <v>56.36992990188309</v>
      </c>
      <c r="DB50" s="4438">
        <f t="shared" si="90"/>
        <v>59.188426396977242</v>
      </c>
      <c r="DC50" s="4438">
        <f t="shared" si="91"/>
        <v>25.564594059810926</v>
      </c>
      <c r="DD50" s="4438">
        <f t="shared" si="92"/>
        <v>0</v>
      </c>
      <c r="DE50" s="4438">
        <f t="shared" si="93"/>
        <v>0</v>
      </c>
      <c r="DF50" s="4438">
        <f t="shared" si="94"/>
        <v>0</v>
      </c>
      <c r="DG50" s="4438">
        <f t="shared" si="95"/>
        <v>0</v>
      </c>
      <c r="DH50" s="4438">
        <f t="shared" si="96"/>
        <v>0</v>
      </c>
      <c r="DI50" s="4438">
        <f t="shared" si="97"/>
        <v>0</v>
      </c>
      <c r="DJ50" s="4438">
        <f t="shared" si="98"/>
        <v>0</v>
      </c>
    </row>
    <row r="51" spans="1:114" s="675" customFormat="1" ht="12.75">
      <c r="A51" s="3887" t="s">
        <v>1226</v>
      </c>
      <c r="B51" s="4602" t="s">
        <v>445</v>
      </c>
      <c r="C51" s="1470">
        <f>SUM(C52:C54)</f>
        <v>150</v>
      </c>
      <c r="D51" s="2691">
        <f t="shared" ref="D51:BB51" si="280">SUM(D52:D54)</f>
        <v>160.5</v>
      </c>
      <c r="E51" s="4605">
        <f t="shared" si="280"/>
        <v>165.315</v>
      </c>
      <c r="F51" s="4605">
        <f t="shared" si="280"/>
        <v>170.27445</v>
      </c>
      <c r="G51" s="4605">
        <f t="shared" si="280"/>
        <v>175.38268350000001</v>
      </c>
      <c r="H51" s="4606">
        <f t="shared" si="280"/>
        <v>180.64416400500002</v>
      </c>
      <c r="I51" s="2640">
        <f t="shared" ref="I51:I73" si="281">D51-C51</f>
        <v>10.5</v>
      </c>
      <c r="J51" s="4607">
        <f t="shared" ref="J51:J73" si="282">IFERROR((D51-C51)/C51,0)</f>
        <v>7.0000000000000007E-2</v>
      </c>
      <c r="K51" s="1470">
        <f t="shared" si="280"/>
        <v>15</v>
      </c>
      <c r="L51" s="2691">
        <f t="shared" si="280"/>
        <v>16.05</v>
      </c>
      <c r="M51" s="4605">
        <f t="shared" si="280"/>
        <v>16.531500000000001</v>
      </c>
      <c r="N51" s="4605">
        <f t="shared" si="280"/>
        <v>17.027445</v>
      </c>
      <c r="O51" s="4605">
        <f t="shared" si="280"/>
        <v>17.538268349999999</v>
      </c>
      <c r="P51" s="4606">
        <f t="shared" si="280"/>
        <v>18.064416400500001</v>
      </c>
      <c r="Q51" s="2640">
        <f t="shared" ref="Q51:Q72" si="283">L51-K51</f>
        <v>1.0500000000000007</v>
      </c>
      <c r="R51" s="4608">
        <f t="shared" ref="R51:R72" si="284">IFERROR((L51-K51)/K51,0)</f>
        <v>7.0000000000000048E-2</v>
      </c>
      <c r="S51" s="2641">
        <f t="shared" si="280"/>
        <v>15</v>
      </c>
      <c r="T51" s="1106">
        <f t="shared" si="280"/>
        <v>16.05</v>
      </c>
      <c r="U51" s="1107">
        <f t="shared" si="280"/>
        <v>16.531500000000001</v>
      </c>
      <c r="V51" s="1107">
        <f t="shared" si="280"/>
        <v>17.027445</v>
      </c>
      <c r="W51" s="1107">
        <f t="shared" si="280"/>
        <v>17.538268349999999</v>
      </c>
      <c r="X51" s="3892">
        <f t="shared" si="280"/>
        <v>18.064416400500001</v>
      </c>
      <c r="Y51" s="2640">
        <f t="shared" si="209"/>
        <v>1.0500000000000007</v>
      </c>
      <c r="Z51" s="4608">
        <f t="shared" si="210"/>
        <v>7.0000000000000048E-2</v>
      </c>
      <c r="AA51" s="2641">
        <f>SUM(AA52:AA54)</f>
        <v>0</v>
      </c>
      <c r="AB51" s="1106">
        <f t="shared" ref="AB51:AN51" si="285">SUM(AB52:AB54)</f>
        <v>0</v>
      </c>
      <c r="AC51" s="1107">
        <f t="shared" si="285"/>
        <v>0</v>
      </c>
      <c r="AD51" s="1107">
        <f t="shared" si="285"/>
        <v>0</v>
      </c>
      <c r="AE51" s="1107">
        <f t="shared" si="285"/>
        <v>0</v>
      </c>
      <c r="AF51" s="3892">
        <f t="shared" si="285"/>
        <v>0</v>
      </c>
      <c r="AG51" s="2640">
        <f t="shared" ref="AG51:AG71" si="286">AB51-AA51</f>
        <v>0</v>
      </c>
      <c r="AH51" s="4607">
        <f t="shared" ref="AH51:AH71" si="287">IFERROR((AB51-AA51)/AA51,0)</f>
        <v>0</v>
      </c>
      <c r="AI51" s="2641">
        <f t="shared" si="285"/>
        <v>0</v>
      </c>
      <c r="AJ51" s="1106">
        <f t="shared" si="285"/>
        <v>0</v>
      </c>
      <c r="AK51" s="1107">
        <f t="shared" si="285"/>
        <v>0</v>
      </c>
      <c r="AL51" s="1107">
        <f t="shared" si="285"/>
        <v>0</v>
      </c>
      <c r="AM51" s="1107">
        <f t="shared" si="285"/>
        <v>0</v>
      </c>
      <c r="AN51" s="3893">
        <f t="shared" si="285"/>
        <v>0</v>
      </c>
      <c r="AO51" s="2640">
        <f t="shared" ref="AO51:AO71" si="288">AJ51-AI51</f>
        <v>0</v>
      </c>
      <c r="AP51" s="4607">
        <f t="shared" ref="AP51:AP71" si="289">IFERROR((AJ51-AI51)/AI51,0)</f>
        <v>0</v>
      </c>
      <c r="AQ51" s="1470">
        <f t="shared" si="280"/>
        <v>0</v>
      </c>
      <c r="AR51" s="2691">
        <f t="shared" si="280"/>
        <v>0</v>
      </c>
      <c r="AS51" s="4605">
        <f t="shared" si="280"/>
        <v>0</v>
      </c>
      <c r="AT51" s="4605">
        <f t="shared" si="280"/>
        <v>0</v>
      </c>
      <c r="AU51" s="4605">
        <f t="shared" si="280"/>
        <v>0</v>
      </c>
      <c r="AV51" s="4609">
        <f t="shared" si="280"/>
        <v>0</v>
      </c>
      <c r="AW51" s="2641">
        <f t="shared" si="280"/>
        <v>180</v>
      </c>
      <c r="AX51" s="1106">
        <f t="shared" si="280"/>
        <v>192.60000000000002</v>
      </c>
      <c r="AY51" s="1107">
        <f t="shared" si="280"/>
        <v>198.37799999999999</v>
      </c>
      <c r="AZ51" s="1107">
        <f t="shared" si="280"/>
        <v>204.32934</v>
      </c>
      <c r="BA51" s="1107">
        <f t="shared" si="280"/>
        <v>210.45922020000003</v>
      </c>
      <c r="BB51" s="3893">
        <f t="shared" si="280"/>
        <v>216.77299680600001</v>
      </c>
      <c r="BC51" s="2641">
        <f t="shared" ref="BC51:BH51" si="290">SUM(BC52:BC54)</f>
        <v>150</v>
      </c>
      <c r="BD51" s="1106">
        <f t="shared" si="290"/>
        <v>160.5</v>
      </c>
      <c r="BE51" s="1107">
        <f t="shared" si="290"/>
        <v>165.315</v>
      </c>
      <c r="BF51" s="1107">
        <f t="shared" si="290"/>
        <v>170.27445</v>
      </c>
      <c r="BG51" s="1107">
        <f t="shared" si="290"/>
        <v>175.38268350000001</v>
      </c>
      <c r="BH51" s="3893">
        <f t="shared" si="290"/>
        <v>180.64416400500002</v>
      </c>
      <c r="BI51" s="4359"/>
      <c r="BJ51" s="4603">
        <f t="shared" si="46"/>
        <v>76.693782179432773</v>
      </c>
      <c r="BK51" s="4603">
        <f t="shared" si="47"/>
        <v>82.062346931993062</v>
      </c>
      <c r="BL51" s="4603">
        <f t="shared" si="48"/>
        <v>84.524217339952855</v>
      </c>
      <c r="BM51" s="4603">
        <f t="shared" si="49"/>
        <v>87.059943860151449</v>
      </c>
      <c r="BN51" s="4603">
        <f t="shared" si="50"/>
        <v>89.671742175955998</v>
      </c>
      <c r="BO51" s="4603">
        <f t="shared" si="51"/>
        <v>92.361894441234682</v>
      </c>
      <c r="BP51" s="4603">
        <f t="shared" si="52"/>
        <v>5.3685647525602942</v>
      </c>
      <c r="BQ51" s="4603">
        <f t="shared" si="53"/>
        <v>7.6693782179432777</v>
      </c>
      <c r="BR51" s="4603">
        <f t="shared" si="54"/>
        <v>8.206234693199308</v>
      </c>
      <c r="BS51" s="4603">
        <f t="shared" si="55"/>
        <v>8.452421733995287</v>
      </c>
      <c r="BT51" s="4603">
        <f t="shared" si="56"/>
        <v>8.7059943860151439</v>
      </c>
      <c r="BU51" s="4603">
        <f t="shared" si="57"/>
        <v>8.9671742175955984</v>
      </c>
      <c r="BV51" s="4603">
        <f t="shared" si="58"/>
        <v>9.2361894441234682</v>
      </c>
      <c r="BW51" s="4603">
        <f t="shared" si="59"/>
        <v>0.53685647525602975</v>
      </c>
      <c r="BX51" s="4603">
        <f t="shared" si="60"/>
        <v>7.6693782179432777</v>
      </c>
      <c r="BY51" s="4603">
        <f t="shared" si="61"/>
        <v>8.206234693199308</v>
      </c>
      <c r="BZ51" s="4603">
        <f t="shared" si="62"/>
        <v>8.452421733995287</v>
      </c>
      <c r="CA51" s="4603">
        <f t="shared" si="63"/>
        <v>8.7059943860151439</v>
      </c>
      <c r="CB51" s="4603">
        <f t="shared" si="64"/>
        <v>8.9671742175955984</v>
      </c>
      <c r="CC51" s="4603">
        <f t="shared" si="65"/>
        <v>9.2361894441234682</v>
      </c>
      <c r="CD51" s="4603">
        <f t="shared" si="66"/>
        <v>0.53685647525602975</v>
      </c>
      <c r="CE51" s="4603">
        <f t="shared" si="67"/>
        <v>0</v>
      </c>
      <c r="CF51" s="4603">
        <f t="shared" si="68"/>
        <v>0</v>
      </c>
      <c r="CG51" s="4603">
        <f t="shared" si="69"/>
        <v>0</v>
      </c>
      <c r="CH51" s="4603">
        <f t="shared" si="70"/>
        <v>0</v>
      </c>
      <c r="CI51" s="4603">
        <f t="shared" si="71"/>
        <v>0</v>
      </c>
      <c r="CJ51" s="4603">
        <f t="shared" si="72"/>
        <v>0</v>
      </c>
      <c r="CK51" s="4603">
        <f t="shared" si="73"/>
        <v>0</v>
      </c>
      <c r="CL51" s="4603">
        <f t="shared" si="74"/>
        <v>0</v>
      </c>
      <c r="CM51" s="4603">
        <f t="shared" si="75"/>
        <v>0</v>
      </c>
      <c r="CN51" s="4603">
        <f t="shared" si="76"/>
        <v>0</v>
      </c>
      <c r="CO51" s="4603">
        <f t="shared" si="77"/>
        <v>0</v>
      </c>
      <c r="CP51" s="4603">
        <f t="shared" si="78"/>
        <v>0</v>
      </c>
      <c r="CQ51" s="4603">
        <f t="shared" si="79"/>
        <v>0</v>
      </c>
      <c r="CR51" s="4603">
        <f t="shared" si="80"/>
        <v>0</v>
      </c>
      <c r="CS51" s="4603">
        <f t="shared" si="81"/>
        <v>0</v>
      </c>
      <c r="CT51" s="4603">
        <f t="shared" si="82"/>
        <v>0</v>
      </c>
      <c r="CU51" s="4603">
        <f t="shared" si="83"/>
        <v>0</v>
      </c>
      <c r="CV51" s="4603">
        <f t="shared" si="84"/>
        <v>0</v>
      </c>
      <c r="CW51" s="4603">
        <f t="shared" si="85"/>
        <v>0</v>
      </c>
      <c r="CX51" s="4603">
        <f t="shared" si="86"/>
        <v>0</v>
      </c>
      <c r="CY51" s="4603">
        <f t="shared" si="87"/>
        <v>92.032538615319325</v>
      </c>
      <c r="CZ51" s="4603">
        <f t="shared" si="88"/>
        <v>98.474816318391689</v>
      </c>
      <c r="DA51" s="4603">
        <f t="shared" si="89"/>
        <v>101.42906080794343</v>
      </c>
      <c r="DB51" s="4603">
        <f t="shared" si="90"/>
        <v>104.47193263218173</v>
      </c>
      <c r="DC51" s="4603">
        <f t="shared" si="91"/>
        <v>107.60609061114721</v>
      </c>
      <c r="DD51" s="4603">
        <f t="shared" si="92"/>
        <v>110.8342733294816</v>
      </c>
      <c r="DE51" s="4603">
        <f t="shared" si="93"/>
        <v>76.693782179432773</v>
      </c>
      <c r="DF51" s="4603">
        <f t="shared" si="94"/>
        <v>82.062346931993062</v>
      </c>
      <c r="DG51" s="4603">
        <f t="shared" si="95"/>
        <v>84.524217339952855</v>
      </c>
      <c r="DH51" s="4603">
        <f t="shared" si="96"/>
        <v>87.059943860151449</v>
      </c>
      <c r="DI51" s="4603">
        <f t="shared" si="97"/>
        <v>89.671742175955998</v>
      </c>
      <c r="DJ51" s="4603">
        <f t="shared" si="98"/>
        <v>92.361894441234682</v>
      </c>
    </row>
    <row r="52" spans="1:114" s="673" customFormat="1" ht="12.75">
      <c r="A52" s="817" t="s">
        <v>1227</v>
      </c>
      <c r="B52" s="403"/>
      <c r="C52" s="4601">
        <v>150</v>
      </c>
      <c r="D52" s="3033">
        <f t="shared" ref="D52" si="291">C52*1.07</f>
        <v>160.5</v>
      </c>
      <c r="E52" s="3033">
        <f t="shared" ref="E52:H52" si="292">D52*1.03</f>
        <v>165.315</v>
      </c>
      <c r="F52" s="3033">
        <f t="shared" si="292"/>
        <v>170.27445</v>
      </c>
      <c r="G52" s="3033">
        <f t="shared" si="292"/>
        <v>175.38268350000001</v>
      </c>
      <c r="H52" s="3034">
        <f t="shared" si="292"/>
        <v>180.64416400500002</v>
      </c>
      <c r="I52" s="1224">
        <f t="shared" si="281"/>
        <v>10.5</v>
      </c>
      <c r="J52" s="804">
        <f t="shared" si="282"/>
        <v>7.0000000000000007E-2</v>
      </c>
      <c r="K52" s="4601">
        <v>15</v>
      </c>
      <c r="L52" s="3033">
        <f t="shared" ref="L52" si="293">K52*1.07</f>
        <v>16.05</v>
      </c>
      <c r="M52" s="3033">
        <f t="shared" ref="M52:P52" si="294">L52*1.03</f>
        <v>16.531500000000001</v>
      </c>
      <c r="N52" s="3033">
        <f t="shared" si="294"/>
        <v>17.027445</v>
      </c>
      <c r="O52" s="3033">
        <f t="shared" si="294"/>
        <v>17.538268349999999</v>
      </c>
      <c r="P52" s="3034">
        <f t="shared" si="294"/>
        <v>18.064416400500001</v>
      </c>
      <c r="Q52" s="1224">
        <f t="shared" si="283"/>
        <v>1.0500000000000007</v>
      </c>
      <c r="R52" s="1095">
        <f t="shared" si="284"/>
        <v>7.0000000000000048E-2</v>
      </c>
      <c r="S52" s="4601">
        <v>15</v>
      </c>
      <c r="T52" s="3033">
        <f t="shared" ref="T52" si="295">S52*1.07</f>
        <v>16.05</v>
      </c>
      <c r="U52" s="3033">
        <f t="shared" ref="U52:X52" si="296">T52*1.03</f>
        <v>16.531500000000001</v>
      </c>
      <c r="V52" s="3033">
        <f t="shared" si="296"/>
        <v>17.027445</v>
      </c>
      <c r="W52" s="3033">
        <f t="shared" si="296"/>
        <v>17.538268349999999</v>
      </c>
      <c r="X52" s="3034">
        <f t="shared" si="296"/>
        <v>18.064416400500001</v>
      </c>
      <c r="Y52" s="1224">
        <f t="shared" si="209"/>
        <v>1.0500000000000007</v>
      </c>
      <c r="Z52" s="1095">
        <f t="shared" si="210"/>
        <v>7.0000000000000048E-2</v>
      </c>
      <c r="AA52" s="3032"/>
      <c r="AB52" s="3033"/>
      <c r="AC52" s="3033"/>
      <c r="AD52" s="3033"/>
      <c r="AE52" s="3033"/>
      <c r="AF52" s="3034"/>
      <c r="AG52" s="1224">
        <f t="shared" si="286"/>
        <v>0</v>
      </c>
      <c r="AH52" s="804">
        <f t="shared" si="287"/>
        <v>0</v>
      </c>
      <c r="AI52" s="3032"/>
      <c r="AJ52" s="3033"/>
      <c r="AK52" s="3033"/>
      <c r="AL52" s="3033"/>
      <c r="AM52" s="3033"/>
      <c r="AN52" s="3052"/>
      <c r="AO52" s="1224">
        <f t="shared" si="288"/>
        <v>0</v>
      </c>
      <c r="AP52" s="804">
        <f t="shared" si="289"/>
        <v>0</v>
      </c>
      <c r="AQ52" s="3032"/>
      <c r="AR52" s="3033"/>
      <c r="AS52" s="3033"/>
      <c r="AT52" s="3033"/>
      <c r="AU52" s="3033"/>
      <c r="AV52" s="3052"/>
      <c r="AW52" s="1086">
        <f t="shared" ref="AW52:AW54" si="297">C52+K52+S52+AA52+AI52</f>
        <v>180</v>
      </c>
      <c r="AX52" s="3042">
        <f t="shared" ref="AX52:AX54" si="298">D52+L52+T52+AB52+AJ52</f>
        <v>192.60000000000002</v>
      </c>
      <c r="AY52" s="3042">
        <f t="shared" ref="AY52:AY54" si="299">E52+M52+U52+AC52+AK52</f>
        <v>198.37799999999999</v>
      </c>
      <c r="AZ52" s="3042">
        <f t="shared" ref="AZ52:AZ54" si="300">F52+N52+V52+AD52+AL52</f>
        <v>204.32934</v>
      </c>
      <c r="BA52" s="3042">
        <f t="shared" ref="BA52:BA54" si="301">G52+O52+W52+AE52+AM52</f>
        <v>210.45922020000003</v>
      </c>
      <c r="BB52" s="3043">
        <f t="shared" ref="BB52:BB54" si="302">H52+P52+X52+AF52+AN52</f>
        <v>216.77299680600001</v>
      </c>
      <c r="BC52" s="3059">
        <f t="shared" ref="BC52:BC54" si="303">C52+AA52+AI52</f>
        <v>150</v>
      </c>
      <c r="BD52" s="3060">
        <f t="shared" ref="BD52:BD54" si="304">D52+AB52+AJ52</f>
        <v>160.5</v>
      </c>
      <c r="BE52" s="3061">
        <f t="shared" ref="BE52:BE54" si="305">E52+AC52+AK52</f>
        <v>165.315</v>
      </c>
      <c r="BF52" s="3061">
        <f t="shared" ref="BF52:BF54" si="306">F52+AD52+AL52</f>
        <v>170.27445</v>
      </c>
      <c r="BG52" s="3061">
        <f t="shared" ref="BG52:BG54" si="307">G52+AE52+AM52</f>
        <v>175.38268350000001</v>
      </c>
      <c r="BH52" s="3063">
        <f t="shared" ref="BH52:BH54" si="308">H52+AF52+AN52</f>
        <v>180.64416400500002</v>
      </c>
      <c r="BI52" s="4422"/>
      <c r="BJ52" s="4438">
        <f t="shared" si="46"/>
        <v>76.693782179432773</v>
      </c>
      <c r="BK52" s="4438">
        <f t="shared" si="47"/>
        <v>82.062346931993062</v>
      </c>
      <c r="BL52" s="4438">
        <f t="shared" si="48"/>
        <v>84.524217339952855</v>
      </c>
      <c r="BM52" s="4438">
        <f t="shared" si="49"/>
        <v>87.059943860151449</v>
      </c>
      <c r="BN52" s="4438">
        <f t="shared" si="50"/>
        <v>89.671742175955998</v>
      </c>
      <c r="BO52" s="4438">
        <f t="shared" si="51"/>
        <v>92.361894441234682</v>
      </c>
      <c r="BP52" s="4438">
        <f t="shared" si="52"/>
        <v>5.3685647525602942</v>
      </c>
      <c r="BQ52" s="4438">
        <f t="shared" si="53"/>
        <v>7.6693782179432777</v>
      </c>
      <c r="BR52" s="4438">
        <f t="shared" si="54"/>
        <v>8.206234693199308</v>
      </c>
      <c r="BS52" s="4438">
        <f t="shared" si="55"/>
        <v>8.452421733995287</v>
      </c>
      <c r="BT52" s="4438">
        <f t="shared" si="56"/>
        <v>8.7059943860151439</v>
      </c>
      <c r="BU52" s="4438">
        <f t="shared" si="57"/>
        <v>8.9671742175955984</v>
      </c>
      <c r="BV52" s="4438">
        <f t="shared" si="58"/>
        <v>9.2361894441234682</v>
      </c>
      <c r="BW52" s="4438">
        <f t="shared" si="59"/>
        <v>0.53685647525602975</v>
      </c>
      <c r="BX52" s="4438">
        <f t="shared" si="60"/>
        <v>7.6693782179432777</v>
      </c>
      <c r="BY52" s="4438">
        <f t="shared" si="61"/>
        <v>8.206234693199308</v>
      </c>
      <c r="BZ52" s="4438">
        <f t="shared" si="62"/>
        <v>8.452421733995287</v>
      </c>
      <c r="CA52" s="4438">
        <f t="shared" si="63"/>
        <v>8.7059943860151439</v>
      </c>
      <c r="CB52" s="4438">
        <f t="shared" si="64"/>
        <v>8.9671742175955984</v>
      </c>
      <c r="CC52" s="4438">
        <f t="shared" si="65"/>
        <v>9.2361894441234682</v>
      </c>
      <c r="CD52" s="4438">
        <f t="shared" si="66"/>
        <v>0.53685647525602975</v>
      </c>
      <c r="CE52" s="4438">
        <f t="shared" si="67"/>
        <v>0</v>
      </c>
      <c r="CF52" s="4438">
        <f t="shared" si="68"/>
        <v>0</v>
      </c>
      <c r="CG52" s="4438">
        <f t="shared" si="69"/>
        <v>0</v>
      </c>
      <c r="CH52" s="4438">
        <f t="shared" si="70"/>
        <v>0</v>
      </c>
      <c r="CI52" s="4438">
        <f t="shared" si="71"/>
        <v>0</v>
      </c>
      <c r="CJ52" s="4438">
        <f t="shared" si="72"/>
        <v>0</v>
      </c>
      <c r="CK52" s="4438">
        <f t="shared" si="73"/>
        <v>0</v>
      </c>
      <c r="CL52" s="4438">
        <f t="shared" si="74"/>
        <v>0</v>
      </c>
      <c r="CM52" s="4438">
        <f t="shared" si="75"/>
        <v>0</v>
      </c>
      <c r="CN52" s="4438">
        <f t="shared" si="76"/>
        <v>0</v>
      </c>
      <c r="CO52" s="4438">
        <f t="shared" si="77"/>
        <v>0</v>
      </c>
      <c r="CP52" s="4438">
        <f t="shared" si="78"/>
        <v>0</v>
      </c>
      <c r="CQ52" s="4438">
        <f t="shared" si="79"/>
        <v>0</v>
      </c>
      <c r="CR52" s="4438">
        <f t="shared" si="80"/>
        <v>0</v>
      </c>
      <c r="CS52" s="4438">
        <f t="shared" si="81"/>
        <v>0</v>
      </c>
      <c r="CT52" s="4438">
        <f t="shared" si="82"/>
        <v>0</v>
      </c>
      <c r="CU52" s="4438">
        <f t="shared" si="83"/>
        <v>0</v>
      </c>
      <c r="CV52" s="4438">
        <f t="shared" si="84"/>
        <v>0</v>
      </c>
      <c r="CW52" s="4438">
        <f t="shared" si="85"/>
        <v>0</v>
      </c>
      <c r="CX52" s="4438">
        <f t="shared" si="86"/>
        <v>0</v>
      </c>
      <c r="CY52" s="4438">
        <f t="shared" si="87"/>
        <v>92.032538615319325</v>
      </c>
      <c r="CZ52" s="4438">
        <f t="shared" si="88"/>
        <v>98.474816318391689</v>
      </c>
      <c r="DA52" s="4438">
        <f t="shared" si="89"/>
        <v>101.42906080794343</v>
      </c>
      <c r="DB52" s="4438">
        <f t="shared" si="90"/>
        <v>104.47193263218173</v>
      </c>
      <c r="DC52" s="4438">
        <f t="shared" si="91"/>
        <v>107.60609061114721</v>
      </c>
      <c r="DD52" s="4438">
        <f t="shared" si="92"/>
        <v>110.8342733294816</v>
      </c>
      <c r="DE52" s="4438">
        <f t="shared" si="93"/>
        <v>76.693782179432773</v>
      </c>
      <c r="DF52" s="4438">
        <f t="shared" si="94"/>
        <v>82.062346931993062</v>
      </c>
      <c r="DG52" s="4438">
        <f t="shared" si="95"/>
        <v>84.524217339952855</v>
      </c>
      <c r="DH52" s="4438">
        <f t="shared" si="96"/>
        <v>87.059943860151449</v>
      </c>
      <c r="DI52" s="4438">
        <f t="shared" si="97"/>
        <v>89.671742175955998</v>
      </c>
      <c r="DJ52" s="4438">
        <f t="shared" si="98"/>
        <v>92.361894441234682</v>
      </c>
    </row>
    <row r="53" spans="1:114" s="673" customFormat="1" ht="12.75">
      <c r="A53" s="819" t="s">
        <v>1228</v>
      </c>
      <c r="B53" s="403"/>
      <c r="C53" s="3032"/>
      <c r="D53" s="3033"/>
      <c r="E53" s="3033"/>
      <c r="F53" s="3033"/>
      <c r="G53" s="3033"/>
      <c r="H53" s="3034"/>
      <c r="I53" s="1224">
        <f t="shared" si="281"/>
        <v>0</v>
      </c>
      <c r="J53" s="804">
        <f t="shared" si="282"/>
        <v>0</v>
      </c>
      <c r="K53" s="3032"/>
      <c r="L53" s="3033"/>
      <c r="M53" s="3033"/>
      <c r="N53" s="3033"/>
      <c r="O53" s="3033"/>
      <c r="P53" s="3034"/>
      <c r="Q53" s="1224">
        <f t="shared" si="283"/>
        <v>0</v>
      </c>
      <c r="R53" s="1095">
        <f t="shared" si="284"/>
        <v>0</v>
      </c>
      <c r="S53" s="3032"/>
      <c r="T53" s="3033"/>
      <c r="U53" s="3033"/>
      <c r="V53" s="3033"/>
      <c r="W53" s="3033"/>
      <c r="X53" s="3034"/>
      <c r="Y53" s="1224">
        <f t="shared" si="209"/>
        <v>0</v>
      </c>
      <c r="Z53" s="1095">
        <f t="shared" si="210"/>
        <v>0</v>
      </c>
      <c r="AA53" s="3032"/>
      <c r="AB53" s="3033"/>
      <c r="AC53" s="3033"/>
      <c r="AD53" s="3033"/>
      <c r="AE53" s="3033"/>
      <c r="AF53" s="3034"/>
      <c r="AG53" s="1224">
        <f t="shared" si="286"/>
        <v>0</v>
      </c>
      <c r="AH53" s="804">
        <f t="shared" si="287"/>
        <v>0</v>
      </c>
      <c r="AI53" s="3032"/>
      <c r="AJ53" s="3033"/>
      <c r="AK53" s="3033"/>
      <c r="AL53" s="3033"/>
      <c r="AM53" s="3033"/>
      <c r="AN53" s="3052"/>
      <c r="AO53" s="1224">
        <f t="shared" si="288"/>
        <v>0</v>
      </c>
      <c r="AP53" s="804">
        <f t="shared" si="289"/>
        <v>0</v>
      </c>
      <c r="AQ53" s="3032"/>
      <c r="AR53" s="3033"/>
      <c r="AS53" s="3033"/>
      <c r="AT53" s="3033"/>
      <c r="AU53" s="3033"/>
      <c r="AV53" s="3052"/>
      <c r="AW53" s="1086">
        <f t="shared" si="297"/>
        <v>0</v>
      </c>
      <c r="AX53" s="3042">
        <f t="shared" si="298"/>
        <v>0</v>
      </c>
      <c r="AY53" s="3042">
        <f t="shared" si="299"/>
        <v>0</v>
      </c>
      <c r="AZ53" s="3042">
        <f t="shared" si="300"/>
        <v>0</v>
      </c>
      <c r="BA53" s="3042">
        <f t="shared" si="301"/>
        <v>0</v>
      </c>
      <c r="BB53" s="3043">
        <f t="shared" si="302"/>
        <v>0</v>
      </c>
      <c r="BC53" s="3059">
        <f t="shared" si="303"/>
        <v>0</v>
      </c>
      <c r="BD53" s="3060">
        <f t="shared" si="304"/>
        <v>0</v>
      </c>
      <c r="BE53" s="3061">
        <f t="shared" si="305"/>
        <v>0</v>
      </c>
      <c r="BF53" s="3061">
        <f t="shared" si="306"/>
        <v>0</v>
      </c>
      <c r="BG53" s="3061">
        <f t="shared" si="307"/>
        <v>0</v>
      </c>
      <c r="BH53" s="3063">
        <f t="shared" si="308"/>
        <v>0</v>
      </c>
      <c r="BI53" s="4422"/>
      <c r="BJ53" s="4438">
        <f t="shared" si="46"/>
        <v>0</v>
      </c>
      <c r="BK53" s="4438">
        <f t="shared" si="47"/>
        <v>0</v>
      </c>
      <c r="BL53" s="4438">
        <f t="shared" si="48"/>
        <v>0</v>
      </c>
      <c r="BM53" s="4438">
        <f t="shared" si="49"/>
        <v>0</v>
      </c>
      <c r="BN53" s="4438">
        <f t="shared" si="50"/>
        <v>0</v>
      </c>
      <c r="BO53" s="4438">
        <f t="shared" si="51"/>
        <v>0</v>
      </c>
      <c r="BP53" s="4438">
        <f t="shared" si="52"/>
        <v>0</v>
      </c>
      <c r="BQ53" s="4438">
        <f t="shared" si="53"/>
        <v>0</v>
      </c>
      <c r="BR53" s="4438">
        <f t="shared" si="54"/>
        <v>0</v>
      </c>
      <c r="BS53" s="4438">
        <f t="shared" si="55"/>
        <v>0</v>
      </c>
      <c r="BT53" s="4438">
        <f t="shared" si="56"/>
        <v>0</v>
      </c>
      <c r="BU53" s="4438">
        <f t="shared" si="57"/>
        <v>0</v>
      </c>
      <c r="BV53" s="4438">
        <f t="shared" si="58"/>
        <v>0</v>
      </c>
      <c r="BW53" s="4438">
        <f t="shared" si="59"/>
        <v>0</v>
      </c>
      <c r="BX53" s="4438">
        <f t="shared" si="60"/>
        <v>0</v>
      </c>
      <c r="BY53" s="4438">
        <f t="shared" si="61"/>
        <v>0</v>
      </c>
      <c r="BZ53" s="4438">
        <f t="shared" si="62"/>
        <v>0</v>
      </c>
      <c r="CA53" s="4438">
        <f t="shared" si="63"/>
        <v>0</v>
      </c>
      <c r="CB53" s="4438">
        <f t="shared" si="64"/>
        <v>0</v>
      </c>
      <c r="CC53" s="4438">
        <f t="shared" si="65"/>
        <v>0</v>
      </c>
      <c r="CD53" s="4438">
        <f t="shared" si="66"/>
        <v>0</v>
      </c>
      <c r="CE53" s="4438">
        <f t="shared" si="67"/>
        <v>0</v>
      </c>
      <c r="CF53" s="4438">
        <f t="shared" si="68"/>
        <v>0</v>
      </c>
      <c r="CG53" s="4438">
        <f t="shared" si="69"/>
        <v>0</v>
      </c>
      <c r="CH53" s="4438">
        <f t="shared" si="70"/>
        <v>0</v>
      </c>
      <c r="CI53" s="4438">
        <f t="shared" si="71"/>
        <v>0</v>
      </c>
      <c r="CJ53" s="4438">
        <f t="shared" si="72"/>
        <v>0</v>
      </c>
      <c r="CK53" s="4438">
        <f t="shared" si="73"/>
        <v>0</v>
      </c>
      <c r="CL53" s="4438">
        <f t="shared" si="74"/>
        <v>0</v>
      </c>
      <c r="CM53" s="4438">
        <f t="shared" si="75"/>
        <v>0</v>
      </c>
      <c r="CN53" s="4438">
        <f t="shared" si="76"/>
        <v>0</v>
      </c>
      <c r="CO53" s="4438">
        <f t="shared" si="77"/>
        <v>0</v>
      </c>
      <c r="CP53" s="4438">
        <f t="shared" si="78"/>
        <v>0</v>
      </c>
      <c r="CQ53" s="4438">
        <f t="shared" si="79"/>
        <v>0</v>
      </c>
      <c r="CR53" s="4438">
        <f t="shared" si="80"/>
        <v>0</v>
      </c>
      <c r="CS53" s="4438">
        <f t="shared" si="81"/>
        <v>0</v>
      </c>
      <c r="CT53" s="4438">
        <f t="shared" si="82"/>
        <v>0</v>
      </c>
      <c r="CU53" s="4438">
        <f t="shared" si="83"/>
        <v>0</v>
      </c>
      <c r="CV53" s="4438">
        <f t="shared" si="84"/>
        <v>0</v>
      </c>
      <c r="CW53" s="4438">
        <f t="shared" si="85"/>
        <v>0</v>
      </c>
      <c r="CX53" s="4438">
        <f t="shared" si="86"/>
        <v>0</v>
      </c>
      <c r="CY53" s="4438">
        <f t="shared" si="87"/>
        <v>0</v>
      </c>
      <c r="CZ53" s="4438">
        <f t="shared" si="88"/>
        <v>0</v>
      </c>
      <c r="DA53" s="4438">
        <f t="shared" si="89"/>
        <v>0</v>
      </c>
      <c r="DB53" s="4438">
        <f t="shared" si="90"/>
        <v>0</v>
      </c>
      <c r="DC53" s="4438">
        <f t="shared" si="91"/>
        <v>0</v>
      </c>
      <c r="DD53" s="4438">
        <f t="shared" si="92"/>
        <v>0</v>
      </c>
      <c r="DE53" s="4438">
        <f t="shared" si="93"/>
        <v>0</v>
      </c>
      <c r="DF53" s="4438">
        <f t="shared" si="94"/>
        <v>0</v>
      </c>
      <c r="DG53" s="4438">
        <f t="shared" si="95"/>
        <v>0</v>
      </c>
      <c r="DH53" s="4438">
        <f t="shared" si="96"/>
        <v>0</v>
      </c>
      <c r="DI53" s="4438">
        <f t="shared" si="97"/>
        <v>0</v>
      </c>
      <c r="DJ53" s="4438">
        <f t="shared" si="98"/>
        <v>0</v>
      </c>
    </row>
    <row r="54" spans="1:114" s="673" customFormat="1" ht="13.5" thickBot="1">
      <c r="A54" s="3854" t="s">
        <v>1229</v>
      </c>
      <c r="B54" s="3855"/>
      <c r="C54" s="3074"/>
      <c r="D54" s="3856"/>
      <c r="E54" s="3856"/>
      <c r="F54" s="3856"/>
      <c r="G54" s="3856"/>
      <c r="H54" s="3857"/>
      <c r="I54" s="3858">
        <f t="shared" si="281"/>
        <v>0</v>
      </c>
      <c r="J54" s="1156">
        <f t="shared" si="282"/>
        <v>0</v>
      </c>
      <c r="K54" s="3074"/>
      <c r="L54" s="3856"/>
      <c r="M54" s="3856"/>
      <c r="N54" s="3856"/>
      <c r="O54" s="3856"/>
      <c r="P54" s="3857"/>
      <c r="Q54" s="3858">
        <f t="shared" si="283"/>
        <v>0</v>
      </c>
      <c r="R54" s="1097">
        <f t="shared" si="284"/>
        <v>0</v>
      </c>
      <c r="S54" s="3074"/>
      <c r="T54" s="3856"/>
      <c r="U54" s="3856"/>
      <c r="V54" s="3856"/>
      <c r="W54" s="3856"/>
      <c r="X54" s="3857"/>
      <c r="Y54" s="3858">
        <f t="shared" si="209"/>
        <v>0</v>
      </c>
      <c r="Z54" s="1097">
        <f t="shared" si="210"/>
        <v>0</v>
      </c>
      <c r="AA54" s="3074"/>
      <c r="AB54" s="3856"/>
      <c r="AC54" s="3856"/>
      <c r="AD54" s="3856"/>
      <c r="AE54" s="3856"/>
      <c r="AF54" s="3857"/>
      <c r="AG54" s="3858">
        <f t="shared" si="286"/>
        <v>0</v>
      </c>
      <c r="AH54" s="1156">
        <f t="shared" si="287"/>
        <v>0</v>
      </c>
      <c r="AI54" s="3074"/>
      <c r="AJ54" s="3856"/>
      <c r="AK54" s="3856"/>
      <c r="AL54" s="3856"/>
      <c r="AM54" s="3856"/>
      <c r="AN54" s="3859"/>
      <c r="AO54" s="3858">
        <f t="shared" si="288"/>
        <v>0</v>
      </c>
      <c r="AP54" s="1156">
        <f t="shared" si="289"/>
        <v>0</v>
      </c>
      <c r="AQ54" s="3074"/>
      <c r="AR54" s="3856"/>
      <c r="AS54" s="3856"/>
      <c r="AT54" s="3856"/>
      <c r="AU54" s="3856"/>
      <c r="AV54" s="3859"/>
      <c r="AW54" s="3080">
        <f t="shared" si="297"/>
        <v>0</v>
      </c>
      <c r="AX54" s="3860">
        <f t="shared" si="298"/>
        <v>0</v>
      </c>
      <c r="AY54" s="3860">
        <f t="shared" si="299"/>
        <v>0</v>
      </c>
      <c r="AZ54" s="3860">
        <f t="shared" si="300"/>
        <v>0</v>
      </c>
      <c r="BA54" s="3860">
        <f t="shared" si="301"/>
        <v>0</v>
      </c>
      <c r="BB54" s="3861">
        <f t="shared" si="302"/>
        <v>0</v>
      </c>
      <c r="BC54" s="3862">
        <f t="shared" si="303"/>
        <v>0</v>
      </c>
      <c r="BD54" s="3863">
        <f t="shared" si="304"/>
        <v>0</v>
      </c>
      <c r="BE54" s="3864">
        <f t="shared" si="305"/>
        <v>0</v>
      </c>
      <c r="BF54" s="3864">
        <f t="shared" si="306"/>
        <v>0</v>
      </c>
      <c r="BG54" s="3864">
        <f t="shared" si="307"/>
        <v>0</v>
      </c>
      <c r="BH54" s="3865">
        <f t="shared" si="308"/>
        <v>0</v>
      </c>
      <c r="BI54" s="4422"/>
      <c r="BJ54" s="4438">
        <f t="shared" si="46"/>
        <v>0</v>
      </c>
      <c r="BK54" s="4438">
        <f t="shared" si="47"/>
        <v>0</v>
      </c>
      <c r="BL54" s="4438">
        <f t="shared" si="48"/>
        <v>0</v>
      </c>
      <c r="BM54" s="4438">
        <f t="shared" si="49"/>
        <v>0</v>
      </c>
      <c r="BN54" s="4438">
        <f t="shared" si="50"/>
        <v>0</v>
      </c>
      <c r="BO54" s="4438">
        <f t="shared" si="51"/>
        <v>0</v>
      </c>
      <c r="BP54" s="4438">
        <f t="shared" si="52"/>
        <v>0</v>
      </c>
      <c r="BQ54" s="4438">
        <f t="shared" si="53"/>
        <v>0</v>
      </c>
      <c r="BR54" s="4438">
        <f t="shared" si="54"/>
        <v>0</v>
      </c>
      <c r="BS54" s="4438">
        <f t="shared" si="55"/>
        <v>0</v>
      </c>
      <c r="BT54" s="4438">
        <f t="shared" si="56"/>
        <v>0</v>
      </c>
      <c r="BU54" s="4438">
        <f t="shared" si="57"/>
        <v>0</v>
      </c>
      <c r="BV54" s="4438">
        <f t="shared" si="58"/>
        <v>0</v>
      </c>
      <c r="BW54" s="4438">
        <f t="shared" si="59"/>
        <v>0</v>
      </c>
      <c r="BX54" s="4438">
        <f t="shared" si="60"/>
        <v>0</v>
      </c>
      <c r="BY54" s="4438">
        <f t="shared" si="61"/>
        <v>0</v>
      </c>
      <c r="BZ54" s="4438">
        <f t="shared" si="62"/>
        <v>0</v>
      </c>
      <c r="CA54" s="4438">
        <f t="shared" si="63"/>
        <v>0</v>
      </c>
      <c r="CB54" s="4438">
        <f t="shared" si="64"/>
        <v>0</v>
      </c>
      <c r="CC54" s="4438">
        <f t="shared" si="65"/>
        <v>0</v>
      </c>
      <c r="CD54" s="4438">
        <f t="shared" si="66"/>
        <v>0</v>
      </c>
      <c r="CE54" s="4438">
        <f t="shared" si="67"/>
        <v>0</v>
      </c>
      <c r="CF54" s="4438">
        <f t="shared" si="68"/>
        <v>0</v>
      </c>
      <c r="CG54" s="4438">
        <f t="shared" si="69"/>
        <v>0</v>
      </c>
      <c r="CH54" s="4438">
        <f t="shared" si="70"/>
        <v>0</v>
      </c>
      <c r="CI54" s="4438">
        <f t="shared" si="71"/>
        <v>0</v>
      </c>
      <c r="CJ54" s="4438">
        <f t="shared" si="72"/>
        <v>0</v>
      </c>
      <c r="CK54" s="4438">
        <f t="shared" si="73"/>
        <v>0</v>
      </c>
      <c r="CL54" s="4438">
        <f t="shared" si="74"/>
        <v>0</v>
      </c>
      <c r="CM54" s="4438">
        <f t="shared" si="75"/>
        <v>0</v>
      </c>
      <c r="CN54" s="4438">
        <f t="shared" si="76"/>
        <v>0</v>
      </c>
      <c r="CO54" s="4438">
        <f t="shared" si="77"/>
        <v>0</v>
      </c>
      <c r="CP54" s="4438">
        <f t="shared" si="78"/>
        <v>0</v>
      </c>
      <c r="CQ54" s="4438">
        <f t="shared" si="79"/>
        <v>0</v>
      </c>
      <c r="CR54" s="4438">
        <f t="shared" si="80"/>
        <v>0</v>
      </c>
      <c r="CS54" s="4438">
        <f t="shared" si="81"/>
        <v>0</v>
      </c>
      <c r="CT54" s="4438">
        <f t="shared" si="82"/>
        <v>0</v>
      </c>
      <c r="CU54" s="4438">
        <f t="shared" si="83"/>
        <v>0</v>
      </c>
      <c r="CV54" s="4438">
        <f t="shared" si="84"/>
        <v>0</v>
      </c>
      <c r="CW54" s="4438">
        <f t="shared" si="85"/>
        <v>0</v>
      </c>
      <c r="CX54" s="4438">
        <f t="shared" si="86"/>
        <v>0</v>
      </c>
      <c r="CY54" s="4438">
        <f t="shared" si="87"/>
        <v>0</v>
      </c>
      <c r="CZ54" s="4438">
        <f t="shared" si="88"/>
        <v>0</v>
      </c>
      <c r="DA54" s="4438">
        <f t="shared" si="89"/>
        <v>0</v>
      </c>
      <c r="DB54" s="4438">
        <f t="shared" si="90"/>
        <v>0</v>
      </c>
      <c r="DC54" s="4438">
        <f t="shared" si="91"/>
        <v>0</v>
      </c>
      <c r="DD54" s="4438">
        <f t="shared" si="92"/>
        <v>0</v>
      </c>
      <c r="DE54" s="4438">
        <f t="shared" si="93"/>
        <v>0</v>
      </c>
      <c r="DF54" s="4438">
        <f t="shared" si="94"/>
        <v>0</v>
      </c>
      <c r="DG54" s="4438">
        <f t="shared" si="95"/>
        <v>0</v>
      </c>
      <c r="DH54" s="4438">
        <f t="shared" si="96"/>
        <v>0</v>
      </c>
      <c r="DI54" s="4438">
        <f t="shared" si="97"/>
        <v>0</v>
      </c>
      <c r="DJ54" s="4438">
        <f t="shared" si="98"/>
        <v>0</v>
      </c>
    </row>
    <row r="55" spans="1:114" ht="13.5" thickBot="1">
      <c r="A55" s="110">
        <v>3</v>
      </c>
      <c r="B55" s="869" t="s">
        <v>446</v>
      </c>
      <c r="C55" s="1084">
        <f>SUM(C56:C58)</f>
        <v>2275.6666666666665</v>
      </c>
      <c r="D55" s="1122">
        <f t="shared" ref="D55:BB55" si="309">SUM(D56:D58)</f>
        <v>1581.8873550697936</v>
      </c>
      <c r="E55" s="1121">
        <f t="shared" si="309"/>
        <v>1704.1041908205518</v>
      </c>
      <c r="F55" s="1121">
        <f t="shared" si="309"/>
        <v>1891.8397440675399</v>
      </c>
      <c r="G55" s="1124">
        <f t="shared" si="309"/>
        <v>2419.4977679811727</v>
      </c>
      <c r="H55" s="1124">
        <f t="shared" si="309"/>
        <v>2513.2775683773002</v>
      </c>
      <c r="I55" s="1220">
        <f t="shared" si="281"/>
        <v>-693.77931159687296</v>
      </c>
      <c r="J55" s="801">
        <f t="shared" si="282"/>
        <v>-0.30486860037946667</v>
      </c>
      <c r="K55" s="1084">
        <f t="shared" si="309"/>
        <v>176.66666666666669</v>
      </c>
      <c r="L55" s="1122">
        <f t="shared" si="309"/>
        <v>521.04645952875876</v>
      </c>
      <c r="M55" s="1121">
        <f t="shared" si="309"/>
        <v>546.23602832455686</v>
      </c>
      <c r="N55" s="1121">
        <f t="shared" si="309"/>
        <v>353.37429120702438</v>
      </c>
      <c r="O55" s="1124">
        <f t="shared" si="309"/>
        <v>491.09494600563283</v>
      </c>
      <c r="P55" s="1124">
        <f t="shared" si="309"/>
        <v>530.65584221090796</v>
      </c>
      <c r="Q55" s="1220">
        <f t="shared" si="283"/>
        <v>344.37979286209207</v>
      </c>
      <c r="R55" s="853">
        <f t="shared" si="284"/>
        <v>1.9493195822382567</v>
      </c>
      <c r="S55" s="1084">
        <f t="shared" si="309"/>
        <v>148.66666666666669</v>
      </c>
      <c r="T55" s="1122">
        <f t="shared" si="309"/>
        <v>467.15880776144741</v>
      </c>
      <c r="U55" s="1121">
        <f t="shared" si="309"/>
        <v>547.73527029489117</v>
      </c>
      <c r="V55" s="1121">
        <f t="shared" si="309"/>
        <v>495.01194360543548</v>
      </c>
      <c r="W55" s="1124">
        <f t="shared" si="309"/>
        <v>564.62850961319441</v>
      </c>
      <c r="X55" s="1124">
        <f t="shared" si="309"/>
        <v>599.9278130117923</v>
      </c>
      <c r="Y55" s="1220">
        <f t="shared" si="209"/>
        <v>318.49214109478072</v>
      </c>
      <c r="Z55" s="853">
        <f t="shared" si="210"/>
        <v>2.1423238190231886</v>
      </c>
      <c r="AA55" s="1084">
        <f t="shared" ref="AA55:AN55" si="310">SUM(AA56:AA58)</f>
        <v>0</v>
      </c>
      <c r="AB55" s="1122">
        <f t="shared" si="310"/>
        <v>0</v>
      </c>
      <c r="AC55" s="1121">
        <f t="shared" si="310"/>
        <v>0</v>
      </c>
      <c r="AD55" s="1121">
        <f t="shared" si="310"/>
        <v>0</v>
      </c>
      <c r="AE55" s="1124">
        <f t="shared" si="310"/>
        <v>0</v>
      </c>
      <c r="AF55" s="1124">
        <f t="shared" si="310"/>
        <v>0</v>
      </c>
      <c r="AG55" s="1220">
        <f t="shared" si="286"/>
        <v>0</v>
      </c>
      <c r="AH55" s="801">
        <f t="shared" si="287"/>
        <v>0</v>
      </c>
      <c r="AI55" s="1084">
        <f t="shared" si="310"/>
        <v>0</v>
      </c>
      <c r="AJ55" s="1122">
        <f t="shared" si="310"/>
        <v>0</v>
      </c>
      <c r="AK55" s="1121">
        <f t="shared" si="310"/>
        <v>0</v>
      </c>
      <c r="AL55" s="1121">
        <f t="shared" si="310"/>
        <v>0</v>
      </c>
      <c r="AM55" s="1124">
        <f t="shared" si="310"/>
        <v>0</v>
      </c>
      <c r="AN55" s="2633">
        <f t="shared" si="310"/>
        <v>0</v>
      </c>
      <c r="AO55" s="1220">
        <f t="shared" si="288"/>
        <v>0</v>
      </c>
      <c r="AP55" s="801">
        <f t="shared" si="289"/>
        <v>0</v>
      </c>
      <c r="AQ55" s="1084">
        <f t="shared" si="309"/>
        <v>0</v>
      </c>
      <c r="AR55" s="1122">
        <f t="shared" si="309"/>
        <v>0</v>
      </c>
      <c r="AS55" s="1121">
        <f t="shared" si="309"/>
        <v>0</v>
      </c>
      <c r="AT55" s="1121">
        <f t="shared" si="309"/>
        <v>0</v>
      </c>
      <c r="AU55" s="1124">
        <f t="shared" si="309"/>
        <v>0</v>
      </c>
      <c r="AV55" s="2633">
        <f t="shared" si="309"/>
        <v>0</v>
      </c>
      <c r="AW55" s="1084">
        <f t="shared" si="309"/>
        <v>2601</v>
      </c>
      <c r="AX55" s="1122">
        <f t="shared" si="309"/>
        <v>2570.09262236</v>
      </c>
      <c r="AY55" s="1121">
        <f t="shared" si="309"/>
        <v>2798.0754894400002</v>
      </c>
      <c r="AZ55" s="1121">
        <f t="shared" si="309"/>
        <v>2740.2259788799997</v>
      </c>
      <c r="BA55" s="1124">
        <f t="shared" si="309"/>
        <v>3475.2212236</v>
      </c>
      <c r="BB55" s="2633">
        <f t="shared" si="309"/>
        <v>3643.8612236000004</v>
      </c>
      <c r="BC55" s="1084">
        <f t="shared" ref="BC55:BH55" si="311">SUM(BC56:BC58)</f>
        <v>2275.6666666666665</v>
      </c>
      <c r="BD55" s="1122">
        <f t="shared" si="311"/>
        <v>1581.8873550697936</v>
      </c>
      <c r="BE55" s="1121">
        <f t="shared" si="311"/>
        <v>1704.1041908205518</v>
      </c>
      <c r="BF55" s="1121">
        <f t="shared" si="311"/>
        <v>1891.8397440675399</v>
      </c>
      <c r="BG55" s="1124">
        <f t="shared" si="311"/>
        <v>2419.4977679811727</v>
      </c>
      <c r="BH55" s="2633">
        <f t="shared" si="311"/>
        <v>2513.2775683773002</v>
      </c>
      <c r="BI55" s="4422"/>
      <c r="BJ55" s="4438">
        <f t="shared" si="46"/>
        <v>1163.5298909755279</v>
      </c>
      <c r="BK55" s="4438">
        <f t="shared" si="47"/>
        <v>808.80616161414514</v>
      </c>
      <c r="BL55" s="4438">
        <f t="shared" si="48"/>
        <v>871.29463747899968</v>
      </c>
      <c r="BM55" s="4438">
        <f t="shared" si="49"/>
        <v>967.282301666065</v>
      </c>
      <c r="BN55" s="4438">
        <f t="shared" si="50"/>
        <v>1237.0695653411456</v>
      </c>
      <c r="BO55" s="4438">
        <f t="shared" si="51"/>
        <v>1285.0184159038874</v>
      </c>
      <c r="BP55" s="4438">
        <f t="shared" si="52"/>
        <v>-354.7237293613826</v>
      </c>
      <c r="BQ55" s="4438">
        <f t="shared" si="53"/>
        <v>90.328232344665281</v>
      </c>
      <c r="BR55" s="4438">
        <f t="shared" si="54"/>
        <v>266.40682448308837</v>
      </c>
      <c r="BS55" s="4438">
        <f t="shared" si="55"/>
        <v>279.28604649921357</v>
      </c>
      <c r="BT55" s="4438">
        <f t="shared" si="56"/>
        <v>180.67740611761982</v>
      </c>
      <c r="BU55" s="4438">
        <f t="shared" si="57"/>
        <v>251.09285878917535</v>
      </c>
      <c r="BV55" s="4438">
        <f t="shared" si="58"/>
        <v>271.32002383177883</v>
      </c>
      <c r="BW55" s="4438">
        <f t="shared" si="59"/>
        <v>176.07859213842312</v>
      </c>
      <c r="BX55" s="4438">
        <f t="shared" si="60"/>
        <v>76.012059671171158</v>
      </c>
      <c r="BY55" s="4438">
        <f t="shared" si="61"/>
        <v>238.85450563773304</v>
      </c>
      <c r="BZ55" s="4438">
        <f t="shared" si="62"/>
        <v>280.05259674659413</v>
      </c>
      <c r="CA55" s="4438">
        <f t="shared" si="63"/>
        <v>253.09558786061953</v>
      </c>
      <c r="CB55" s="4438">
        <f t="shared" si="64"/>
        <v>288.68997285714732</v>
      </c>
      <c r="CC55" s="4438">
        <f t="shared" si="65"/>
        <v>306.7382200967325</v>
      </c>
      <c r="CD55" s="4438">
        <f t="shared" si="66"/>
        <v>162.84244596656188</v>
      </c>
      <c r="CE55" s="4438">
        <f t="shared" si="67"/>
        <v>0</v>
      </c>
      <c r="CF55" s="4438">
        <f t="shared" si="68"/>
        <v>0</v>
      </c>
      <c r="CG55" s="4438">
        <f t="shared" si="69"/>
        <v>0</v>
      </c>
      <c r="CH55" s="4438">
        <f t="shared" si="70"/>
        <v>0</v>
      </c>
      <c r="CI55" s="4438">
        <f t="shared" si="71"/>
        <v>0</v>
      </c>
      <c r="CJ55" s="4438">
        <f t="shared" si="72"/>
        <v>0</v>
      </c>
      <c r="CK55" s="4438">
        <f t="shared" si="73"/>
        <v>0</v>
      </c>
      <c r="CL55" s="4438">
        <f t="shared" si="74"/>
        <v>0</v>
      </c>
      <c r="CM55" s="4438">
        <f t="shared" si="75"/>
        <v>0</v>
      </c>
      <c r="CN55" s="4438">
        <f t="shared" si="76"/>
        <v>0</v>
      </c>
      <c r="CO55" s="4438">
        <f t="shared" si="77"/>
        <v>0</v>
      </c>
      <c r="CP55" s="4438">
        <f t="shared" si="78"/>
        <v>0</v>
      </c>
      <c r="CQ55" s="4438">
        <f t="shared" si="79"/>
        <v>0</v>
      </c>
      <c r="CR55" s="4438">
        <f t="shared" si="80"/>
        <v>0</v>
      </c>
      <c r="CS55" s="4438">
        <f t="shared" si="81"/>
        <v>0</v>
      </c>
      <c r="CT55" s="4438">
        <f t="shared" si="82"/>
        <v>0</v>
      </c>
      <c r="CU55" s="4438">
        <f t="shared" si="83"/>
        <v>0</v>
      </c>
      <c r="CV55" s="4438">
        <f t="shared" si="84"/>
        <v>0</v>
      </c>
      <c r="CW55" s="4438">
        <f t="shared" si="85"/>
        <v>0</v>
      </c>
      <c r="CX55" s="4438">
        <f t="shared" si="86"/>
        <v>0</v>
      </c>
      <c r="CY55" s="4438">
        <f t="shared" si="87"/>
        <v>1329.8701829913643</v>
      </c>
      <c r="CZ55" s="4438">
        <f t="shared" si="88"/>
        <v>1314.0674917349668</v>
      </c>
      <c r="DA55" s="4438">
        <f t="shared" si="89"/>
        <v>1430.6332807248075</v>
      </c>
      <c r="DB55" s="4438">
        <f t="shared" si="90"/>
        <v>1401.0552956443044</v>
      </c>
      <c r="DC55" s="4438">
        <f t="shared" si="91"/>
        <v>1776.8523969874682</v>
      </c>
      <c r="DD55" s="4438">
        <f t="shared" si="92"/>
        <v>1863.0766598323987</v>
      </c>
      <c r="DE55" s="4438">
        <f t="shared" si="93"/>
        <v>1163.5298909755279</v>
      </c>
      <c r="DF55" s="4438">
        <f t="shared" si="94"/>
        <v>808.80616161414514</v>
      </c>
      <c r="DG55" s="4438">
        <f t="shared" si="95"/>
        <v>871.29463747899968</v>
      </c>
      <c r="DH55" s="4438">
        <f t="shared" si="96"/>
        <v>967.282301666065</v>
      </c>
      <c r="DI55" s="4438">
        <f t="shared" si="97"/>
        <v>1237.0695653411456</v>
      </c>
      <c r="DJ55" s="4438">
        <f t="shared" si="98"/>
        <v>1285.0184159038874</v>
      </c>
    </row>
    <row r="56" spans="1:114" ht="12.75">
      <c r="A56" s="111" t="s">
        <v>263</v>
      </c>
      <c r="B56" s="873" t="s">
        <v>447</v>
      </c>
      <c r="C56" s="4601">
        <v>219</v>
      </c>
      <c r="D56" s="4610">
        <f>'11. Амортиз. план'!G35</f>
        <v>445.55350990362297</v>
      </c>
      <c r="E56" s="1473">
        <f>'11. Амортиз. план'!H35</f>
        <v>500.76902917739545</v>
      </c>
      <c r="F56" s="1473">
        <f>'11. Амортиз. план'!I35</f>
        <v>537.17051184677211</v>
      </c>
      <c r="G56" s="1473">
        <f>'11. Амортиз. план'!J35</f>
        <v>567.11976345772121</v>
      </c>
      <c r="H56" s="4611">
        <f>'11. Амортиз. план'!K35</f>
        <v>586.12238888054344</v>
      </c>
      <c r="I56" s="4612">
        <f t="shared" si="281"/>
        <v>226.55350990362297</v>
      </c>
      <c r="J56" s="1476">
        <f t="shared" si="282"/>
        <v>1.0344909128019313</v>
      </c>
      <c r="K56" s="4601">
        <v>59</v>
      </c>
      <c r="L56" s="4610">
        <f>'11. Амортиз. план'!N35</f>
        <v>56.708742648501243</v>
      </c>
      <c r="M56" s="1473">
        <f>'11. Амортиз. план'!O35</f>
        <v>56.906983477187197</v>
      </c>
      <c r="N56" s="1473">
        <f>'11. Амортиз. план'!P35</f>
        <v>-12.295318230304865</v>
      </c>
      <c r="O56" s="1473">
        <f>'11. Амортиз. план'!Q35</f>
        <v>-12.841088004749871</v>
      </c>
      <c r="P56" s="4611">
        <f>'11. Амортиз. план'!R35</f>
        <v>-13.097535492124287</v>
      </c>
      <c r="Q56" s="4612">
        <f t="shared" si="283"/>
        <v>-2.2912573514987571</v>
      </c>
      <c r="R56" s="1472">
        <f t="shared" si="284"/>
        <v>-3.8834870364385717E-2</v>
      </c>
      <c r="S56" s="4601">
        <v>52</v>
      </c>
      <c r="T56" s="4610">
        <f>'11. Амортиз. план'!U35</f>
        <v>59.827747447875652</v>
      </c>
      <c r="U56" s="1473">
        <f>'11. Амортиз. план'!V35</f>
        <v>61.403987345417235</v>
      </c>
      <c r="V56" s="1473">
        <f>'11. Амортиз. план'!W35</f>
        <v>62.344806383532394</v>
      </c>
      <c r="W56" s="1473">
        <f>'11. Амортиз. план'!X35</f>
        <v>62.741324547028569</v>
      </c>
      <c r="X56" s="4611">
        <f>'11. Амортиз. план'!Y35</f>
        <v>62.835146611581031</v>
      </c>
      <c r="Y56" s="4612">
        <f t="shared" si="209"/>
        <v>7.8277474478756517</v>
      </c>
      <c r="Z56" s="1472">
        <f t="shared" si="210"/>
        <v>0.15053360476683947</v>
      </c>
      <c r="AA56" s="3032"/>
      <c r="AB56" s="4610">
        <f>'11. Амортиз. план'!AB35</f>
        <v>0</v>
      </c>
      <c r="AC56" s="1473">
        <f>'11. Амортиз. план'!AC35</f>
        <v>0</v>
      </c>
      <c r="AD56" s="1473">
        <f>'11. Амортиз. план'!AD35</f>
        <v>0</v>
      </c>
      <c r="AE56" s="1473">
        <f>'11. Амортиз. план'!AE35</f>
        <v>0</v>
      </c>
      <c r="AF56" s="4611">
        <f>'11. Амортиз. план'!AF35</f>
        <v>0</v>
      </c>
      <c r="AG56" s="4612">
        <f t="shared" si="286"/>
        <v>0</v>
      </c>
      <c r="AH56" s="1476">
        <f t="shared" si="287"/>
        <v>0</v>
      </c>
      <c r="AI56" s="3032"/>
      <c r="AJ56" s="4610">
        <f>'11. Амортиз. план'!AI35</f>
        <v>0</v>
      </c>
      <c r="AK56" s="1473">
        <f>'11. Амортиз. план'!AJ35</f>
        <v>0</v>
      </c>
      <c r="AL56" s="1473">
        <f>'11. Амортиз. план'!AK35</f>
        <v>0</v>
      </c>
      <c r="AM56" s="1473">
        <f>'11. Амортиз. план'!AL35</f>
        <v>0</v>
      </c>
      <c r="AN56" s="4613">
        <f>'11. Амортиз. план'!AM35</f>
        <v>0</v>
      </c>
      <c r="AO56" s="4612">
        <f t="shared" si="288"/>
        <v>0</v>
      </c>
      <c r="AP56" s="1476">
        <f t="shared" si="289"/>
        <v>0</v>
      </c>
      <c r="AQ56" s="3037"/>
      <c r="AR56" s="3068"/>
      <c r="AS56" s="3069"/>
      <c r="AT56" s="3069"/>
      <c r="AU56" s="3069"/>
      <c r="AV56" s="3070"/>
      <c r="AW56" s="1086">
        <f t="shared" ref="AW56:AW58" si="312">C56+K56+S56+AA56+AI56</f>
        <v>330</v>
      </c>
      <c r="AX56" s="3042">
        <f t="shared" ref="AX56:AX58" si="313">D56+L56+T56+AB56+AJ56</f>
        <v>562.08999999999992</v>
      </c>
      <c r="AY56" s="3042">
        <f t="shared" ref="AY56:AY58" si="314">E56+M56+U56+AC56+AK56</f>
        <v>619.07999999999993</v>
      </c>
      <c r="AZ56" s="3042">
        <f t="shared" ref="AZ56:AZ58" si="315">F56+N56+V56+AD56+AL56</f>
        <v>587.21999999999969</v>
      </c>
      <c r="BA56" s="3042">
        <f t="shared" ref="BA56:BA58" si="316">G56+O56+W56+AE56+AM56</f>
        <v>617.02</v>
      </c>
      <c r="BB56" s="3043">
        <f t="shared" ref="BB56:BB58" si="317">H56+P56+X56+AF56+AN56</f>
        <v>635.86000000000024</v>
      </c>
      <c r="BC56" s="3059">
        <f t="shared" ref="BC56:BC58" si="318">C56+AA56+AI56</f>
        <v>219</v>
      </c>
      <c r="BD56" s="3060">
        <f t="shared" ref="BD56:BD58" si="319">D56+AB56+AJ56</f>
        <v>445.55350990362297</v>
      </c>
      <c r="BE56" s="3061">
        <f t="shared" ref="BE56:BE58" si="320">E56+AC56+AK56</f>
        <v>500.76902917739545</v>
      </c>
      <c r="BF56" s="3061">
        <f t="shared" ref="BF56:BF58" si="321">F56+AD56+AL56</f>
        <v>537.17051184677211</v>
      </c>
      <c r="BG56" s="3061">
        <f t="shared" ref="BG56:BG58" si="322">G56+AE56+AM56</f>
        <v>567.11976345772121</v>
      </c>
      <c r="BH56" s="3063">
        <f t="shared" ref="BH56:BH58" si="323">H56+AF56+AN56</f>
        <v>586.12238888054344</v>
      </c>
      <c r="BI56" s="4422"/>
      <c r="BJ56" s="4438">
        <f t="shared" si="46"/>
        <v>111.97292198197185</v>
      </c>
      <c r="BK56" s="4438">
        <f t="shared" si="47"/>
        <v>227.80789225220136</v>
      </c>
      <c r="BL56" s="4438">
        <f t="shared" si="48"/>
        <v>256.03913897291454</v>
      </c>
      <c r="BM56" s="4438">
        <f t="shared" si="49"/>
        <v>274.65092152527171</v>
      </c>
      <c r="BN56" s="4438">
        <f t="shared" si="50"/>
        <v>289.9637307218527</v>
      </c>
      <c r="BO56" s="4438">
        <f t="shared" si="51"/>
        <v>299.67961882195459</v>
      </c>
      <c r="BP56" s="4438">
        <f t="shared" si="52"/>
        <v>115.8349702702295</v>
      </c>
      <c r="BQ56" s="4438">
        <f t="shared" si="53"/>
        <v>30.166220990576893</v>
      </c>
      <c r="BR56" s="4438">
        <f t="shared" si="54"/>
        <v>28.994719709024427</v>
      </c>
      <c r="BS56" s="4438">
        <f t="shared" si="55"/>
        <v>29.096078635253164</v>
      </c>
      <c r="BT56" s="4438">
        <f t="shared" si="56"/>
        <v>-6.2864963878787341</v>
      </c>
      <c r="BU56" s="4438">
        <f t="shared" si="57"/>
        <v>-6.5655440425547571</v>
      </c>
      <c r="BV56" s="4438">
        <f t="shared" si="58"/>
        <v>-6.6966635608024658</v>
      </c>
      <c r="BW56" s="4438">
        <f t="shared" si="59"/>
        <v>-1.1715012815524648</v>
      </c>
      <c r="BX56" s="4438">
        <f t="shared" si="60"/>
        <v>26.587177822203362</v>
      </c>
      <c r="BY56" s="4438">
        <f t="shared" si="61"/>
        <v>30.589441540356603</v>
      </c>
      <c r="BZ56" s="4438">
        <f t="shared" si="62"/>
        <v>31.395360202787174</v>
      </c>
      <c r="CA56" s="4438">
        <f t="shared" si="63"/>
        <v>31.876393338650288</v>
      </c>
      <c r="CB56" s="4438">
        <f t="shared" si="64"/>
        <v>32.079129856392719</v>
      </c>
      <c r="CC56" s="4438">
        <f t="shared" si="65"/>
        <v>32.12710031627546</v>
      </c>
      <c r="CD56" s="4438">
        <f t="shared" si="66"/>
        <v>4.0022637181532401</v>
      </c>
      <c r="CE56" s="4438">
        <f t="shared" si="67"/>
        <v>0</v>
      </c>
      <c r="CF56" s="4438">
        <f t="shared" si="68"/>
        <v>0</v>
      </c>
      <c r="CG56" s="4438">
        <f t="shared" si="69"/>
        <v>0</v>
      </c>
      <c r="CH56" s="4438">
        <f t="shared" si="70"/>
        <v>0</v>
      </c>
      <c r="CI56" s="4438">
        <f t="shared" si="71"/>
        <v>0</v>
      </c>
      <c r="CJ56" s="4438">
        <f t="shared" si="72"/>
        <v>0</v>
      </c>
      <c r="CK56" s="4438">
        <f t="shared" si="73"/>
        <v>0</v>
      </c>
      <c r="CL56" s="4438">
        <f t="shared" si="74"/>
        <v>0</v>
      </c>
      <c r="CM56" s="4438">
        <f t="shared" si="75"/>
        <v>0</v>
      </c>
      <c r="CN56" s="4438">
        <f t="shared" si="76"/>
        <v>0</v>
      </c>
      <c r="CO56" s="4438">
        <f t="shared" si="77"/>
        <v>0</v>
      </c>
      <c r="CP56" s="4438">
        <f t="shared" si="78"/>
        <v>0</v>
      </c>
      <c r="CQ56" s="4438">
        <f t="shared" si="79"/>
        <v>0</v>
      </c>
      <c r="CR56" s="4438">
        <f t="shared" si="80"/>
        <v>0</v>
      </c>
      <c r="CS56" s="4438">
        <f t="shared" si="81"/>
        <v>0</v>
      </c>
      <c r="CT56" s="4438">
        <f t="shared" si="82"/>
        <v>0</v>
      </c>
      <c r="CU56" s="4438">
        <f t="shared" si="83"/>
        <v>0</v>
      </c>
      <c r="CV56" s="4438">
        <f t="shared" si="84"/>
        <v>0</v>
      </c>
      <c r="CW56" s="4438">
        <f t="shared" si="85"/>
        <v>0</v>
      </c>
      <c r="CX56" s="4438">
        <f t="shared" si="86"/>
        <v>0</v>
      </c>
      <c r="CY56" s="4438">
        <f t="shared" si="87"/>
        <v>168.7263207947521</v>
      </c>
      <c r="CZ56" s="4438">
        <f t="shared" si="88"/>
        <v>287.39205350158244</v>
      </c>
      <c r="DA56" s="4438">
        <f t="shared" si="89"/>
        <v>316.53057781095492</v>
      </c>
      <c r="DB56" s="4438">
        <f t="shared" si="90"/>
        <v>300.24081847604327</v>
      </c>
      <c r="DC56" s="4438">
        <f t="shared" si="91"/>
        <v>315.4773165356907</v>
      </c>
      <c r="DD56" s="4438">
        <f t="shared" si="92"/>
        <v>325.1100555774276</v>
      </c>
      <c r="DE56" s="4438">
        <f t="shared" si="93"/>
        <v>111.97292198197185</v>
      </c>
      <c r="DF56" s="4438">
        <f t="shared" si="94"/>
        <v>227.80789225220136</v>
      </c>
      <c r="DG56" s="4438">
        <f t="shared" si="95"/>
        <v>256.03913897291454</v>
      </c>
      <c r="DH56" s="4438">
        <f t="shared" si="96"/>
        <v>274.65092152527171</v>
      </c>
      <c r="DI56" s="4438">
        <f t="shared" si="97"/>
        <v>289.9637307218527</v>
      </c>
      <c r="DJ56" s="4438">
        <f t="shared" si="98"/>
        <v>299.67961882195459</v>
      </c>
    </row>
    <row r="57" spans="1:114" ht="24">
      <c r="A57" s="113" t="s">
        <v>264</v>
      </c>
      <c r="B57" s="873" t="s">
        <v>736</v>
      </c>
      <c r="C57" s="4601">
        <v>230</v>
      </c>
      <c r="D57" s="1106">
        <f>'11. Амортиз. план'!G131</f>
        <v>557.78384516617064</v>
      </c>
      <c r="E57" s="1107">
        <f>'11. Амортиз. план'!H131</f>
        <v>827.83516164315643</v>
      </c>
      <c r="F57" s="1107">
        <f>'11. Амортиз. план'!I131</f>
        <v>1149.4192322207678</v>
      </c>
      <c r="G57" s="1107">
        <f>'11. Амортиз. план'!J131</f>
        <v>1356.0780045234512</v>
      </c>
      <c r="H57" s="3892">
        <f>'11. Амортиз. план'!K131</f>
        <v>1461.0951794967566</v>
      </c>
      <c r="I57" s="1223">
        <f t="shared" si="281"/>
        <v>327.78384516617064</v>
      </c>
      <c r="J57" s="803">
        <f t="shared" si="282"/>
        <v>1.4251471528963942</v>
      </c>
      <c r="K57" s="4601">
        <v>15</v>
      </c>
      <c r="L57" s="1106">
        <f>'11. Амортиз. план'!N131</f>
        <v>57.917716880257544</v>
      </c>
      <c r="M57" s="1107">
        <f>'11. Амортиз. план'!O131</f>
        <v>100.00904484736972</v>
      </c>
      <c r="N57" s="1107">
        <f>'11. Амортиз. план'!P131</f>
        <v>149.43960943732924</v>
      </c>
      <c r="O57" s="1107">
        <f>'11. Амортиз. план'!Q131</f>
        <v>176.12603401038271</v>
      </c>
      <c r="P57" s="3892">
        <f>'11. Амортиз. план'!R131</f>
        <v>180.12337770303222</v>
      </c>
      <c r="Q57" s="1223">
        <f t="shared" si="283"/>
        <v>42.917716880257544</v>
      </c>
      <c r="R57" s="855">
        <f t="shared" si="284"/>
        <v>2.8611811253505031</v>
      </c>
      <c r="S57" s="4601">
        <v>28</v>
      </c>
      <c r="T57" s="1106">
        <f>'11. Амортиз. план'!U131</f>
        <v>82.981060313571732</v>
      </c>
      <c r="U57" s="1107">
        <f>'11. Амортиз. план'!V131</f>
        <v>169.71128294947394</v>
      </c>
      <c r="V57" s="1107">
        <f>'11. Амортиз. план'!W131</f>
        <v>280.70713722190305</v>
      </c>
      <c r="W57" s="1107">
        <f>'11. Амортиз. план'!X131</f>
        <v>339.43718506616591</v>
      </c>
      <c r="X57" s="3892">
        <f>'11. Амортиз. план'!Y131</f>
        <v>349.97266640021132</v>
      </c>
      <c r="Y57" s="1223">
        <f t="shared" si="209"/>
        <v>54.981060313571732</v>
      </c>
      <c r="Z57" s="855">
        <f t="shared" si="210"/>
        <v>1.9636092969132761</v>
      </c>
      <c r="AA57" s="3032"/>
      <c r="AB57" s="1106">
        <f>'11. Амортиз. план'!AB131</f>
        <v>0</v>
      </c>
      <c r="AC57" s="1107">
        <f>'11. Амортиз. план'!AC131</f>
        <v>0</v>
      </c>
      <c r="AD57" s="1107">
        <f>'11. Амортиз. план'!AD131</f>
        <v>0</v>
      </c>
      <c r="AE57" s="1107">
        <f>'11. Амортиз. план'!AE131</f>
        <v>0</v>
      </c>
      <c r="AF57" s="3892">
        <f>'11. Амортиз. план'!AF131</f>
        <v>0</v>
      </c>
      <c r="AG57" s="1223">
        <f t="shared" si="286"/>
        <v>0</v>
      </c>
      <c r="AH57" s="803">
        <f t="shared" si="287"/>
        <v>0</v>
      </c>
      <c r="AI57" s="3032"/>
      <c r="AJ57" s="1106">
        <f>'11. Амортиз. план'!AI131</f>
        <v>0</v>
      </c>
      <c r="AK57" s="1107">
        <f>'11. Амортиз. план'!AJ131</f>
        <v>0</v>
      </c>
      <c r="AL57" s="1107">
        <f>'11. Амортиз. план'!AK131</f>
        <v>0</v>
      </c>
      <c r="AM57" s="1107">
        <f>'11. Амортиз. план'!AL131</f>
        <v>0</v>
      </c>
      <c r="AN57" s="3893">
        <f>'11. Амортиз. план'!AM131</f>
        <v>0</v>
      </c>
      <c r="AO57" s="1223">
        <f t="shared" si="288"/>
        <v>0</v>
      </c>
      <c r="AP57" s="803">
        <f t="shared" si="289"/>
        <v>0</v>
      </c>
      <c r="AQ57" s="3032"/>
      <c r="AR57" s="3071"/>
      <c r="AS57" s="3072"/>
      <c r="AT57" s="3072"/>
      <c r="AU57" s="3072"/>
      <c r="AV57" s="3073"/>
      <c r="AW57" s="1086">
        <f t="shared" si="312"/>
        <v>273</v>
      </c>
      <c r="AX57" s="3042">
        <f t="shared" si="313"/>
        <v>698.68262235999987</v>
      </c>
      <c r="AY57" s="3042">
        <f t="shared" si="314"/>
        <v>1097.5554894400002</v>
      </c>
      <c r="AZ57" s="3042">
        <f t="shared" si="315"/>
        <v>1579.5659788799999</v>
      </c>
      <c r="BA57" s="3042">
        <f t="shared" si="316"/>
        <v>1871.6412235999999</v>
      </c>
      <c r="BB57" s="3043">
        <f t="shared" si="317"/>
        <v>1991.1912236000003</v>
      </c>
      <c r="BC57" s="3059">
        <f t="shared" si="318"/>
        <v>230</v>
      </c>
      <c r="BD57" s="3060">
        <f t="shared" si="319"/>
        <v>557.78384516617064</v>
      </c>
      <c r="BE57" s="3061">
        <f t="shared" si="320"/>
        <v>827.83516164315643</v>
      </c>
      <c r="BF57" s="3061">
        <f t="shared" si="321"/>
        <v>1149.4192322207678</v>
      </c>
      <c r="BG57" s="3061">
        <f t="shared" si="322"/>
        <v>1356.0780045234512</v>
      </c>
      <c r="BH57" s="3063">
        <f t="shared" si="323"/>
        <v>1461.0951794967566</v>
      </c>
      <c r="BI57" s="4422"/>
      <c r="BJ57" s="4438">
        <f t="shared" si="46"/>
        <v>117.59713267513025</v>
      </c>
      <c r="BK57" s="4438">
        <f t="shared" si="47"/>
        <v>285.19035149587165</v>
      </c>
      <c r="BL57" s="4438">
        <f t="shared" si="48"/>
        <v>423.26539711690509</v>
      </c>
      <c r="BM57" s="4438">
        <f t="shared" si="49"/>
        <v>587.68872152526944</v>
      </c>
      <c r="BN57" s="4438">
        <f t="shared" si="50"/>
        <v>693.35167398160945</v>
      </c>
      <c r="BO57" s="4438">
        <f t="shared" si="51"/>
        <v>747.04610293162318</v>
      </c>
      <c r="BP57" s="4438">
        <f t="shared" si="52"/>
        <v>167.59321882074138</v>
      </c>
      <c r="BQ57" s="4438">
        <f t="shared" si="53"/>
        <v>7.6693782179432777</v>
      </c>
      <c r="BR57" s="4438">
        <f t="shared" si="54"/>
        <v>29.612858418296859</v>
      </c>
      <c r="BS57" s="4438">
        <f t="shared" si="55"/>
        <v>51.133812676648645</v>
      </c>
      <c r="BT57" s="4438">
        <f t="shared" si="56"/>
        <v>76.40725903444023</v>
      </c>
      <c r="BU57" s="4438">
        <f t="shared" si="57"/>
        <v>90.051811256797734</v>
      </c>
      <c r="BV57" s="4438">
        <f t="shared" si="58"/>
        <v>92.09562063320034</v>
      </c>
      <c r="BW57" s="4438">
        <f t="shared" si="59"/>
        <v>21.94348020035358</v>
      </c>
      <c r="BX57" s="4438">
        <f t="shared" si="60"/>
        <v>14.316172673494117</v>
      </c>
      <c r="BY57" s="4438">
        <f t="shared" si="61"/>
        <v>42.42754243138296</v>
      </c>
      <c r="BZ57" s="4438">
        <f t="shared" si="62"/>
        <v>86.772001119460256</v>
      </c>
      <c r="CA57" s="4438">
        <f t="shared" si="63"/>
        <v>143.52328025539185</v>
      </c>
      <c r="CB57" s="4438">
        <f t="shared" si="64"/>
        <v>173.55147690042892</v>
      </c>
      <c r="CC57" s="4438">
        <f t="shared" si="65"/>
        <v>178.93818297102067</v>
      </c>
      <c r="CD57" s="4438">
        <f t="shared" si="66"/>
        <v>28.111369757888841</v>
      </c>
      <c r="CE57" s="4438">
        <f t="shared" si="67"/>
        <v>0</v>
      </c>
      <c r="CF57" s="4438">
        <f t="shared" si="68"/>
        <v>0</v>
      </c>
      <c r="CG57" s="4438">
        <f t="shared" si="69"/>
        <v>0</v>
      </c>
      <c r="CH57" s="4438">
        <f t="shared" si="70"/>
        <v>0</v>
      </c>
      <c r="CI57" s="4438">
        <f t="shared" si="71"/>
        <v>0</v>
      </c>
      <c r="CJ57" s="4438">
        <f t="shared" si="72"/>
        <v>0</v>
      </c>
      <c r="CK57" s="4438">
        <f t="shared" si="73"/>
        <v>0</v>
      </c>
      <c r="CL57" s="4438">
        <f t="shared" si="74"/>
        <v>0</v>
      </c>
      <c r="CM57" s="4438">
        <f t="shared" si="75"/>
        <v>0</v>
      </c>
      <c r="CN57" s="4438">
        <f t="shared" si="76"/>
        <v>0</v>
      </c>
      <c r="CO57" s="4438">
        <f t="shared" si="77"/>
        <v>0</v>
      </c>
      <c r="CP57" s="4438">
        <f t="shared" si="78"/>
        <v>0</v>
      </c>
      <c r="CQ57" s="4438">
        <f t="shared" si="79"/>
        <v>0</v>
      </c>
      <c r="CR57" s="4438">
        <f t="shared" si="80"/>
        <v>0</v>
      </c>
      <c r="CS57" s="4438">
        <f t="shared" si="81"/>
        <v>0</v>
      </c>
      <c r="CT57" s="4438">
        <f t="shared" si="82"/>
        <v>0</v>
      </c>
      <c r="CU57" s="4438">
        <f t="shared" si="83"/>
        <v>0</v>
      </c>
      <c r="CV57" s="4438">
        <f t="shared" si="84"/>
        <v>0</v>
      </c>
      <c r="CW57" s="4438">
        <f t="shared" si="85"/>
        <v>0</v>
      </c>
      <c r="CX57" s="4438">
        <f t="shared" si="86"/>
        <v>0</v>
      </c>
      <c r="CY57" s="4438">
        <f t="shared" si="87"/>
        <v>139.58268356656765</v>
      </c>
      <c r="CZ57" s="4438">
        <f t="shared" si="88"/>
        <v>357.23075234555142</v>
      </c>
      <c r="DA57" s="4438">
        <f t="shared" si="89"/>
        <v>561.17121091301408</v>
      </c>
      <c r="DB57" s="4438">
        <f t="shared" si="90"/>
        <v>807.61926081510148</v>
      </c>
      <c r="DC57" s="4438">
        <f t="shared" si="91"/>
        <v>956.95496213883621</v>
      </c>
      <c r="DD57" s="4438">
        <f t="shared" si="92"/>
        <v>1018.0799065358443</v>
      </c>
      <c r="DE57" s="4438">
        <f t="shared" si="93"/>
        <v>117.59713267513025</v>
      </c>
      <c r="DF57" s="4438">
        <f t="shared" si="94"/>
        <v>285.19035149587165</v>
      </c>
      <c r="DG57" s="4438">
        <f t="shared" si="95"/>
        <v>423.26539711690509</v>
      </c>
      <c r="DH57" s="4438">
        <f t="shared" si="96"/>
        <v>587.68872152526944</v>
      </c>
      <c r="DI57" s="4438">
        <f t="shared" si="97"/>
        <v>693.35167398160945</v>
      </c>
      <c r="DJ57" s="4438">
        <f t="shared" si="98"/>
        <v>747.04610293162318</v>
      </c>
    </row>
    <row r="58" spans="1:114" ht="24.75" thickBot="1">
      <c r="A58" s="112" t="s">
        <v>485</v>
      </c>
      <c r="B58" s="875" t="s">
        <v>737</v>
      </c>
      <c r="C58" s="4618">
        <v>1826.6666666666665</v>
      </c>
      <c r="D58" s="4614">
        <f>'10. Финансиране на ИП'!F31</f>
        <v>578.54999999999995</v>
      </c>
      <c r="E58" s="1126">
        <f>'10. Финансиране на ИП'!G31</f>
        <v>375.5</v>
      </c>
      <c r="F58" s="1126">
        <f>'10. Финансиране на ИП'!H31</f>
        <v>205.25</v>
      </c>
      <c r="G58" s="1126">
        <f>'10. Финансиране на ИП'!I31</f>
        <v>496.3</v>
      </c>
      <c r="H58" s="4615">
        <f>'10. Финансиране на ИП'!J31</f>
        <v>466.06</v>
      </c>
      <c r="I58" s="4616">
        <f t="shared" si="281"/>
        <v>-1248.1166666666666</v>
      </c>
      <c r="J58" s="1482">
        <f t="shared" si="282"/>
        <v>-0.68327554744525543</v>
      </c>
      <c r="K58" s="4618">
        <v>102.66666666666667</v>
      </c>
      <c r="L58" s="4614">
        <f>'10. Финансиране на ИП'!N31</f>
        <v>406.42</v>
      </c>
      <c r="M58" s="1126">
        <f>'10. Финансиране на ИП'!O31</f>
        <v>389.32</v>
      </c>
      <c r="N58" s="1126">
        <f>'10. Финансиране на ИП'!P31</f>
        <v>216.23</v>
      </c>
      <c r="O58" s="1126">
        <f>'10. Финансиране на ИП'!Q31</f>
        <v>327.81</v>
      </c>
      <c r="P58" s="4615">
        <f>'10. Финансиране на ИП'!R31</f>
        <v>363.63</v>
      </c>
      <c r="Q58" s="4616">
        <f t="shared" si="283"/>
        <v>303.75333333333333</v>
      </c>
      <c r="R58" s="857">
        <f t="shared" si="284"/>
        <v>2.9586363636363635</v>
      </c>
      <c r="S58" s="4618">
        <v>68.666666666666671</v>
      </c>
      <c r="T58" s="4614">
        <f>'10. Финансиране на ИП'!V31</f>
        <v>324.35000000000002</v>
      </c>
      <c r="U58" s="1126">
        <f>'10. Финансиране на ИП'!W31</f>
        <v>316.62</v>
      </c>
      <c r="V58" s="1126">
        <f>'10. Финансиране на ИП'!X31</f>
        <v>151.96</v>
      </c>
      <c r="W58" s="1126">
        <f>'10. Финансиране на ИП'!Y31</f>
        <v>162.44999999999999</v>
      </c>
      <c r="X58" s="4615">
        <f>'10. Финансиране на ИП'!Z31</f>
        <v>187.12</v>
      </c>
      <c r="Y58" s="4616">
        <f t="shared" si="209"/>
        <v>255.68333333333334</v>
      </c>
      <c r="Z58" s="857">
        <f t="shared" si="210"/>
        <v>3.7235436893203882</v>
      </c>
      <c r="AA58" s="3074"/>
      <c r="AB58" s="4614">
        <f>'10. Финансиране на ИП'!AD31</f>
        <v>0</v>
      </c>
      <c r="AC58" s="1126">
        <f>'10. Финансиране на ИП'!AE31</f>
        <v>0</v>
      </c>
      <c r="AD58" s="1126">
        <f>'10. Финансиране на ИП'!AF31</f>
        <v>0</v>
      </c>
      <c r="AE58" s="1126">
        <f>'10. Финансиране на ИП'!AG31</f>
        <v>0</v>
      </c>
      <c r="AF58" s="4615">
        <f>'10. Финансиране на ИП'!AH31</f>
        <v>0</v>
      </c>
      <c r="AG58" s="4616">
        <f t="shared" si="286"/>
        <v>0</v>
      </c>
      <c r="AH58" s="1482">
        <f t="shared" si="287"/>
        <v>0</v>
      </c>
      <c r="AI58" s="3074"/>
      <c r="AJ58" s="4614">
        <f>'10. Финансиране на ИП'!AL31</f>
        <v>0</v>
      </c>
      <c r="AK58" s="1126">
        <f>'10. Финансиране на ИП'!AM31</f>
        <v>0</v>
      </c>
      <c r="AL58" s="1126">
        <f>'10. Финансиране на ИП'!AN31</f>
        <v>0</v>
      </c>
      <c r="AM58" s="1126">
        <f>'10. Финансиране на ИП'!AO31</f>
        <v>0</v>
      </c>
      <c r="AN58" s="4617">
        <f>'10. Финансиране на ИП'!AP31</f>
        <v>0</v>
      </c>
      <c r="AO58" s="4616">
        <f t="shared" si="288"/>
        <v>0</v>
      </c>
      <c r="AP58" s="1482">
        <f t="shared" si="289"/>
        <v>0</v>
      </c>
      <c r="AQ58" s="3074"/>
      <c r="AR58" s="3075"/>
      <c r="AS58" s="3076"/>
      <c r="AT58" s="3076"/>
      <c r="AU58" s="3076"/>
      <c r="AV58" s="3077"/>
      <c r="AW58" s="1086">
        <f t="shared" si="312"/>
        <v>1998</v>
      </c>
      <c r="AX58" s="3042">
        <f t="shared" si="313"/>
        <v>1309.3200000000002</v>
      </c>
      <c r="AY58" s="3042">
        <f t="shared" si="314"/>
        <v>1081.44</v>
      </c>
      <c r="AZ58" s="3042">
        <f t="shared" si="315"/>
        <v>573.44000000000005</v>
      </c>
      <c r="BA58" s="3042">
        <f t="shared" si="316"/>
        <v>986.56</v>
      </c>
      <c r="BB58" s="3043">
        <f t="shared" si="317"/>
        <v>1016.8100000000001</v>
      </c>
      <c r="BC58" s="3059">
        <f t="shared" si="318"/>
        <v>1826.6666666666665</v>
      </c>
      <c r="BD58" s="3060">
        <f t="shared" si="319"/>
        <v>578.54999999999995</v>
      </c>
      <c r="BE58" s="3061">
        <f t="shared" si="320"/>
        <v>375.5</v>
      </c>
      <c r="BF58" s="3061">
        <f t="shared" si="321"/>
        <v>205.25</v>
      </c>
      <c r="BG58" s="3061">
        <f t="shared" si="322"/>
        <v>496.3</v>
      </c>
      <c r="BH58" s="3063">
        <f t="shared" si="323"/>
        <v>466.06</v>
      </c>
      <c r="BI58" s="4422"/>
      <c r="BJ58" s="4438">
        <f t="shared" si="46"/>
        <v>933.95983631842569</v>
      </c>
      <c r="BK58" s="4438">
        <f t="shared" si="47"/>
        <v>295.80791786607216</v>
      </c>
      <c r="BL58" s="4438">
        <f t="shared" si="48"/>
        <v>191.99010138918004</v>
      </c>
      <c r="BM58" s="4438">
        <f t="shared" si="49"/>
        <v>104.94265861552384</v>
      </c>
      <c r="BN58" s="4438">
        <f t="shared" si="50"/>
        <v>253.75416063768324</v>
      </c>
      <c r="BO58" s="4438">
        <f t="shared" si="51"/>
        <v>238.29269415030959</v>
      </c>
      <c r="BP58" s="4438">
        <f t="shared" si="52"/>
        <v>-638.15191845235347</v>
      </c>
      <c r="BQ58" s="4438">
        <f t="shared" si="53"/>
        <v>52.492633136145102</v>
      </c>
      <c r="BR58" s="4438">
        <f t="shared" si="54"/>
        <v>207.79924635576714</v>
      </c>
      <c r="BS58" s="4438">
        <f t="shared" si="55"/>
        <v>199.05615518731179</v>
      </c>
      <c r="BT58" s="4438">
        <f t="shared" si="56"/>
        <v>110.55664347105832</v>
      </c>
      <c r="BU58" s="4438">
        <f t="shared" si="57"/>
        <v>167.60659157493239</v>
      </c>
      <c r="BV58" s="4438">
        <f t="shared" si="58"/>
        <v>185.92106675938092</v>
      </c>
      <c r="BW58" s="4438">
        <f t="shared" si="59"/>
        <v>155.30661321962202</v>
      </c>
      <c r="BX58" s="4438">
        <f t="shared" si="60"/>
        <v>35.10870917547367</v>
      </c>
      <c r="BY58" s="4438">
        <f t="shared" si="61"/>
        <v>165.83752166599348</v>
      </c>
      <c r="BZ58" s="4438">
        <f t="shared" si="62"/>
        <v>161.88523542434669</v>
      </c>
      <c r="CA58" s="4438">
        <f t="shared" si="63"/>
        <v>77.695914266577361</v>
      </c>
      <c r="CB58" s="4438">
        <f t="shared" si="64"/>
        <v>83.05936610032569</v>
      </c>
      <c r="CC58" s="4438">
        <f t="shared" si="65"/>
        <v>95.672936809436408</v>
      </c>
      <c r="CD58" s="4438">
        <f t="shared" si="66"/>
        <v>130.7288124905198</v>
      </c>
      <c r="CE58" s="4438">
        <f t="shared" si="67"/>
        <v>0</v>
      </c>
      <c r="CF58" s="4438">
        <f t="shared" si="68"/>
        <v>0</v>
      </c>
      <c r="CG58" s="4438">
        <f t="shared" si="69"/>
        <v>0</v>
      </c>
      <c r="CH58" s="4438">
        <f t="shared" si="70"/>
        <v>0</v>
      </c>
      <c r="CI58" s="4438">
        <f t="shared" si="71"/>
        <v>0</v>
      </c>
      <c r="CJ58" s="4438">
        <f t="shared" si="72"/>
        <v>0</v>
      </c>
      <c r="CK58" s="4438">
        <f t="shared" si="73"/>
        <v>0</v>
      </c>
      <c r="CL58" s="4438">
        <f t="shared" si="74"/>
        <v>0</v>
      </c>
      <c r="CM58" s="4438">
        <f t="shared" si="75"/>
        <v>0</v>
      </c>
      <c r="CN58" s="4438">
        <f t="shared" si="76"/>
        <v>0</v>
      </c>
      <c r="CO58" s="4438">
        <f t="shared" si="77"/>
        <v>0</v>
      </c>
      <c r="CP58" s="4438">
        <f t="shared" si="78"/>
        <v>0</v>
      </c>
      <c r="CQ58" s="4438">
        <f t="shared" si="79"/>
        <v>0</v>
      </c>
      <c r="CR58" s="4438">
        <f t="shared" si="80"/>
        <v>0</v>
      </c>
      <c r="CS58" s="4438">
        <f t="shared" si="81"/>
        <v>0</v>
      </c>
      <c r="CT58" s="4438">
        <f t="shared" si="82"/>
        <v>0</v>
      </c>
      <c r="CU58" s="4438">
        <f t="shared" si="83"/>
        <v>0</v>
      </c>
      <c r="CV58" s="4438">
        <f t="shared" si="84"/>
        <v>0</v>
      </c>
      <c r="CW58" s="4438">
        <f t="shared" si="85"/>
        <v>0</v>
      </c>
      <c r="CX58" s="4438">
        <f t="shared" si="86"/>
        <v>0</v>
      </c>
      <c r="CY58" s="4438">
        <f t="shared" si="87"/>
        <v>1021.5611786300445</v>
      </c>
      <c r="CZ58" s="4438">
        <f t="shared" si="88"/>
        <v>669.44468588783286</v>
      </c>
      <c r="DA58" s="4438">
        <f t="shared" si="89"/>
        <v>552.9314920008386</v>
      </c>
      <c r="DB58" s="4438">
        <f t="shared" si="90"/>
        <v>293.19521635315954</v>
      </c>
      <c r="DC58" s="4438">
        <f t="shared" si="91"/>
        <v>504.42011831294127</v>
      </c>
      <c r="DD58" s="4438">
        <f t="shared" si="92"/>
        <v>519.88669771912691</v>
      </c>
      <c r="DE58" s="4438">
        <f t="shared" si="93"/>
        <v>933.95983631842569</v>
      </c>
      <c r="DF58" s="4438">
        <f t="shared" si="94"/>
        <v>295.80791786607216</v>
      </c>
      <c r="DG58" s="4438">
        <f t="shared" si="95"/>
        <v>191.99010138918004</v>
      </c>
      <c r="DH58" s="4438">
        <f t="shared" si="96"/>
        <v>104.94265861552384</v>
      </c>
      <c r="DI58" s="4438">
        <f t="shared" si="97"/>
        <v>253.75416063768324</v>
      </c>
      <c r="DJ58" s="4438">
        <f t="shared" si="98"/>
        <v>238.29269415030959</v>
      </c>
    </row>
    <row r="59" spans="1:114" ht="13.5" thickBot="1">
      <c r="A59" s="110">
        <v>4</v>
      </c>
      <c r="B59" s="869" t="s">
        <v>448</v>
      </c>
      <c r="C59" s="1084">
        <f t="shared" ref="C59:BB59" si="324">SUM(C60:C62)</f>
        <v>8799</v>
      </c>
      <c r="D59" s="880">
        <f t="shared" si="324"/>
        <v>13443</v>
      </c>
      <c r="E59" s="1121">
        <f t="shared" si="324"/>
        <v>15056.160000000002</v>
      </c>
      <c r="F59" s="1121">
        <f t="shared" si="324"/>
        <v>16862.899200000003</v>
      </c>
      <c r="G59" s="1121">
        <f t="shared" si="324"/>
        <v>19392.334080000001</v>
      </c>
      <c r="H59" s="1122">
        <f t="shared" si="324"/>
        <v>21719.414169600001</v>
      </c>
      <c r="I59" s="1220">
        <f t="shared" si="281"/>
        <v>4644</v>
      </c>
      <c r="J59" s="801">
        <f t="shared" si="282"/>
        <v>0.5277872485509717</v>
      </c>
      <c r="K59" s="1084">
        <f t="shared" si="324"/>
        <v>367</v>
      </c>
      <c r="L59" s="880">
        <f t="shared" si="324"/>
        <v>485</v>
      </c>
      <c r="M59" s="1121">
        <f t="shared" si="324"/>
        <v>543.20000000000005</v>
      </c>
      <c r="N59" s="1121">
        <f t="shared" si="324"/>
        <v>608.38400000000013</v>
      </c>
      <c r="O59" s="1121">
        <f t="shared" si="324"/>
        <v>681.39008000000024</v>
      </c>
      <c r="P59" s="1122">
        <f t="shared" si="324"/>
        <v>763.15688960000023</v>
      </c>
      <c r="Q59" s="1220">
        <f t="shared" si="283"/>
        <v>118</v>
      </c>
      <c r="R59" s="853">
        <f t="shared" si="284"/>
        <v>0.32152588555858308</v>
      </c>
      <c r="S59" s="1084">
        <f t="shared" si="324"/>
        <v>695</v>
      </c>
      <c r="T59" s="880">
        <f t="shared" si="324"/>
        <v>1015</v>
      </c>
      <c r="U59" s="1121">
        <f t="shared" si="324"/>
        <v>1136.8000000000002</v>
      </c>
      <c r="V59" s="1121">
        <f t="shared" si="324"/>
        <v>1273.2160000000001</v>
      </c>
      <c r="W59" s="1121">
        <f t="shared" si="324"/>
        <v>1464.1984000000002</v>
      </c>
      <c r="X59" s="1122">
        <f t="shared" si="324"/>
        <v>1639.9022080000002</v>
      </c>
      <c r="Y59" s="1220">
        <f t="shared" si="209"/>
        <v>320</v>
      </c>
      <c r="Z59" s="853">
        <f t="shared" si="210"/>
        <v>0.46043165467625902</v>
      </c>
      <c r="AA59" s="1084">
        <f t="shared" ref="AA59:AN59" si="325">SUM(AA60:AA62)</f>
        <v>0</v>
      </c>
      <c r="AB59" s="880">
        <f t="shared" si="325"/>
        <v>0</v>
      </c>
      <c r="AC59" s="1121">
        <f t="shared" si="325"/>
        <v>0</v>
      </c>
      <c r="AD59" s="1121">
        <f t="shared" si="325"/>
        <v>0</v>
      </c>
      <c r="AE59" s="1121">
        <f t="shared" si="325"/>
        <v>0</v>
      </c>
      <c r="AF59" s="1122">
        <f t="shared" si="325"/>
        <v>0</v>
      </c>
      <c r="AG59" s="1220">
        <f t="shared" si="286"/>
        <v>0</v>
      </c>
      <c r="AH59" s="801">
        <f t="shared" si="287"/>
        <v>0</v>
      </c>
      <c r="AI59" s="1084">
        <f t="shared" si="325"/>
        <v>0</v>
      </c>
      <c r="AJ59" s="880">
        <f t="shared" si="325"/>
        <v>0</v>
      </c>
      <c r="AK59" s="1121">
        <f t="shared" si="325"/>
        <v>0</v>
      </c>
      <c r="AL59" s="1121">
        <f t="shared" si="325"/>
        <v>0</v>
      </c>
      <c r="AM59" s="1121">
        <f t="shared" si="325"/>
        <v>0</v>
      </c>
      <c r="AN59" s="3054">
        <f t="shared" si="325"/>
        <v>0</v>
      </c>
      <c r="AO59" s="1220">
        <f t="shared" si="288"/>
        <v>0</v>
      </c>
      <c r="AP59" s="801">
        <f t="shared" si="289"/>
        <v>0</v>
      </c>
      <c r="AQ59" s="1084">
        <f t="shared" si="324"/>
        <v>102</v>
      </c>
      <c r="AR59" s="880">
        <f t="shared" si="324"/>
        <v>135</v>
      </c>
      <c r="AS59" s="1121">
        <f t="shared" si="324"/>
        <v>156</v>
      </c>
      <c r="AT59" s="1121">
        <f t="shared" si="324"/>
        <v>179</v>
      </c>
      <c r="AU59" s="1121">
        <f t="shared" si="324"/>
        <v>206</v>
      </c>
      <c r="AV59" s="3054">
        <f t="shared" si="324"/>
        <v>237</v>
      </c>
      <c r="AW59" s="1084">
        <f t="shared" si="324"/>
        <v>9861</v>
      </c>
      <c r="AX59" s="880">
        <f t="shared" si="324"/>
        <v>14943</v>
      </c>
      <c r="AY59" s="1121">
        <f t="shared" si="324"/>
        <v>16736.160000000003</v>
      </c>
      <c r="AZ59" s="1121">
        <f t="shared" si="324"/>
        <v>18744.499200000006</v>
      </c>
      <c r="BA59" s="1121">
        <f t="shared" si="324"/>
        <v>21537.922560000003</v>
      </c>
      <c r="BB59" s="3054">
        <f t="shared" si="324"/>
        <v>24122.473267199999</v>
      </c>
      <c r="BC59" s="1084">
        <f t="shared" ref="BC59:BH59" si="326">SUM(BC60:BC62)</f>
        <v>8799</v>
      </c>
      <c r="BD59" s="880">
        <f t="shared" si="326"/>
        <v>13443</v>
      </c>
      <c r="BE59" s="1121">
        <f t="shared" si="326"/>
        <v>15056.160000000002</v>
      </c>
      <c r="BF59" s="1121">
        <f t="shared" si="326"/>
        <v>16862.899200000003</v>
      </c>
      <c r="BG59" s="1121">
        <f t="shared" si="326"/>
        <v>19392.334080000001</v>
      </c>
      <c r="BH59" s="3054">
        <f t="shared" si="326"/>
        <v>21719.414169600001</v>
      </c>
      <c r="BI59" s="4422"/>
      <c r="BJ59" s="4438">
        <f t="shared" si="46"/>
        <v>4498.8572626455261</v>
      </c>
      <c r="BK59" s="4438">
        <f t="shared" si="47"/>
        <v>6873.2967589207656</v>
      </c>
      <c r="BL59" s="4438">
        <f t="shared" si="48"/>
        <v>7698.0923699912582</v>
      </c>
      <c r="BM59" s="4438">
        <f t="shared" si="49"/>
        <v>8621.8634543902099</v>
      </c>
      <c r="BN59" s="4438">
        <f t="shared" si="50"/>
        <v>9915.1429725487396</v>
      </c>
      <c r="BO59" s="4438">
        <f t="shared" si="51"/>
        <v>11104.960129254589</v>
      </c>
      <c r="BP59" s="4438">
        <f t="shared" si="52"/>
        <v>2374.4394962752385</v>
      </c>
      <c r="BQ59" s="4438">
        <f t="shared" si="53"/>
        <v>187.64412039901219</v>
      </c>
      <c r="BR59" s="4438">
        <f t="shared" si="54"/>
        <v>247.97656238016597</v>
      </c>
      <c r="BS59" s="4438">
        <f t="shared" si="55"/>
        <v>277.73374986578591</v>
      </c>
      <c r="BT59" s="4438">
        <f t="shared" si="56"/>
        <v>311.06179984968026</v>
      </c>
      <c r="BU59" s="4438">
        <f t="shared" si="57"/>
        <v>348.38921583164193</v>
      </c>
      <c r="BV59" s="4438">
        <f t="shared" si="58"/>
        <v>390.19592173143894</v>
      </c>
      <c r="BW59" s="4438">
        <f t="shared" si="59"/>
        <v>60.332441981153785</v>
      </c>
      <c r="BX59" s="4438">
        <f t="shared" si="60"/>
        <v>355.34785743137184</v>
      </c>
      <c r="BY59" s="4438">
        <f t="shared" si="61"/>
        <v>518.96125941416176</v>
      </c>
      <c r="BZ59" s="4438">
        <f t="shared" si="62"/>
        <v>581.23661054386127</v>
      </c>
      <c r="CA59" s="4438">
        <f t="shared" si="63"/>
        <v>650.98500380912458</v>
      </c>
      <c r="CB59" s="4438">
        <f t="shared" si="64"/>
        <v>748.63275438049334</v>
      </c>
      <c r="CC59" s="4438">
        <f t="shared" si="65"/>
        <v>838.46868490615248</v>
      </c>
      <c r="CD59" s="4438">
        <f t="shared" si="66"/>
        <v>163.61340198278992</v>
      </c>
      <c r="CE59" s="4438">
        <f t="shared" si="67"/>
        <v>0</v>
      </c>
      <c r="CF59" s="4438">
        <f t="shared" si="68"/>
        <v>0</v>
      </c>
      <c r="CG59" s="4438">
        <f t="shared" si="69"/>
        <v>0</v>
      </c>
      <c r="CH59" s="4438">
        <f t="shared" si="70"/>
        <v>0</v>
      </c>
      <c r="CI59" s="4438">
        <f t="shared" si="71"/>
        <v>0</v>
      </c>
      <c r="CJ59" s="4438">
        <f t="shared" si="72"/>
        <v>0</v>
      </c>
      <c r="CK59" s="4438">
        <f t="shared" si="73"/>
        <v>0</v>
      </c>
      <c r="CL59" s="4438">
        <f t="shared" si="74"/>
        <v>0</v>
      </c>
      <c r="CM59" s="4438">
        <f t="shared" si="75"/>
        <v>0</v>
      </c>
      <c r="CN59" s="4438">
        <f t="shared" si="76"/>
        <v>0</v>
      </c>
      <c r="CO59" s="4438">
        <f t="shared" si="77"/>
        <v>0</v>
      </c>
      <c r="CP59" s="4438">
        <f t="shared" si="78"/>
        <v>0</v>
      </c>
      <c r="CQ59" s="4438">
        <f t="shared" si="79"/>
        <v>0</v>
      </c>
      <c r="CR59" s="4438">
        <f t="shared" si="80"/>
        <v>0</v>
      </c>
      <c r="CS59" s="4438">
        <f t="shared" si="81"/>
        <v>52.151771882014287</v>
      </c>
      <c r="CT59" s="4438">
        <f t="shared" si="82"/>
        <v>69.024403961489497</v>
      </c>
      <c r="CU59" s="4438">
        <f t="shared" si="83"/>
        <v>79.761533466610089</v>
      </c>
      <c r="CV59" s="4438">
        <f t="shared" si="84"/>
        <v>91.52124673412311</v>
      </c>
      <c r="CW59" s="4438">
        <f t="shared" si="85"/>
        <v>105.326127526421</v>
      </c>
      <c r="CX59" s="4438">
        <f t="shared" si="86"/>
        <v>121.17617584350378</v>
      </c>
      <c r="CY59" s="4438">
        <f t="shared" si="87"/>
        <v>5041.8492404759108</v>
      </c>
      <c r="CZ59" s="4438">
        <f t="shared" si="88"/>
        <v>7640.2345807150932</v>
      </c>
      <c r="DA59" s="4438">
        <f t="shared" si="89"/>
        <v>8557.0627304009067</v>
      </c>
      <c r="DB59" s="4438">
        <f t="shared" si="90"/>
        <v>9583.9102580490162</v>
      </c>
      <c r="DC59" s="4438">
        <f t="shared" si="91"/>
        <v>11012.164942760875</v>
      </c>
      <c r="DD59" s="4438">
        <f t="shared" si="92"/>
        <v>12333.624735892179</v>
      </c>
      <c r="DE59" s="4438">
        <f t="shared" si="93"/>
        <v>4498.8572626455261</v>
      </c>
      <c r="DF59" s="4438">
        <f t="shared" si="94"/>
        <v>6873.2967589207656</v>
      </c>
      <c r="DG59" s="4438">
        <f t="shared" si="95"/>
        <v>7698.0923699912582</v>
      </c>
      <c r="DH59" s="4438">
        <f t="shared" si="96"/>
        <v>8621.8634543902099</v>
      </c>
      <c r="DI59" s="4438">
        <f t="shared" si="97"/>
        <v>9915.1429725487396</v>
      </c>
      <c r="DJ59" s="4438">
        <f t="shared" si="98"/>
        <v>11104.960129254589</v>
      </c>
    </row>
    <row r="60" spans="1:114" ht="12.75">
      <c r="A60" s="108" t="s">
        <v>101</v>
      </c>
      <c r="B60" s="873" t="s">
        <v>265</v>
      </c>
      <c r="C60" s="1086">
        <f>'5. Персонал'!C29-'5. Персонал'!C39-'5. Персонал'!C40</f>
        <v>8108</v>
      </c>
      <c r="D60" s="3042">
        <f>'5. Персонал'!D29-'5. Персонал'!D39-'5. Персонал'!D40</f>
        <v>12544.7</v>
      </c>
      <c r="E60" s="3042">
        <f>'5. Персонал'!E29-'5. Персонал'!E39-'5. Персонал'!E40</f>
        <v>14112.945000000002</v>
      </c>
      <c r="F60" s="3042">
        <f>'5. Персонал'!F29-'5. Персонал'!F39-'5. Персонал'!F40</f>
        <v>15891.387750000004</v>
      </c>
      <c r="G60" s="3042">
        <f>'5. Персонал'!G29-'5. Персонал'!G39-'5. Персонал'!G40</f>
        <v>18440.252859</v>
      </c>
      <c r="H60" s="3043">
        <f>'5. Персонал'!H29-'5. Персонал'!H39-'5. Персонал'!H40</f>
        <v>20805.416197440001</v>
      </c>
      <c r="I60" s="1224">
        <f t="shared" si="281"/>
        <v>4436.7000000000007</v>
      </c>
      <c r="J60" s="804">
        <f t="shared" si="282"/>
        <v>0.54720029600394682</v>
      </c>
      <c r="K60" s="1086">
        <f>'5. Персонал'!I29-'5. Персонал'!I39-'5. Персонал'!I40</f>
        <v>367</v>
      </c>
      <c r="L60" s="3042">
        <f>'5. Персонал'!J29-'5. Персонал'!J39-'5. Персонал'!J40</f>
        <v>485</v>
      </c>
      <c r="M60" s="3042">
        <f>'5. Персонал'!K29-'5. Персонал'!K39-'5. Персонал'!K40</f>
        <v>543.20000000000005</v>
      </c>
      <c r="N60" s="3042">
        <f>'5. Персонал'!L29-'5. Персонал'!L39-'5. Персонал'!L40</f>
        <v>608.38400000000013</v>
      </c>
      <c r="O60" s="3042">
        <f>'5. Персонал'!M29-'5. Персонал'!M39-'5. Персонал'!M40</f>
        <v>681.39008000000024</v>
      </c>
      <c r="P60" s="3043">
        <f>'5. Персонал'!N29-'5. Персонал'!N39-'5. Персонал'!N40</f>
        <v>763.15688960000023</v>
      </c>
      <c r="Q60" s="1224">
        <f t="shared" si="283"/>
        <v>118</v>
      </c>
      <c r="R60" s="1095">
        <f t="shared" si="284"/>
        <v>0.32152588555858308</v>
      </c>
      <c r="S60" s="1086">
        <f>'5. Персонал'!O29-'5. Персонал'!O39-'5. Персонал'!O40</f>
        <v>694</v>
      </c>
      <c r="T60" s="3042">
        <f>'5. Персонал'!P29-'5. Персонал'!P39-'5. Персонал'!P40</f>
        <v>1015</v>
      </c>
      <c r="U60" s="3042">
        <f>'5. Персонал'!Q29-'5. Персонал'!Q39-'5. Персонал'!Q40</f>
        <v>1136.8000000000002</v>
      </c>
      <c r="V60" s="3042">
        <f>'5. Персонал'!R29-'5. Персонал'!R39-'5. Персонал'!R40</f>
        <v>1273.2160000000001</v>
      </c>
      <c r="W60" s="3042">
        <f>'5. Персонал'!S29-'5. Персонал'!S39-'5. Персонал'!S40</f>
        <v>1464.1984000000002</v>
      </c>
      <c r="X60" s="3043">
        <f>'5. Персонал'!T29-'5. Персонал'!T39-'5. Персонал'!T40</f>
        <v>1639.9022080000002</v>
      </c>
      <c r="Y60" s="1224">
        <f t="shared" si="209"/>
        <v>321</v>
      </c>
      <c r="Z60" s="1095">
        <f t="shared" si="210"/>
        <v>0.46253602305475505</v>
      </c>
      <c r="AA60" s="1086">
        <f>'5. Персонал'!U29-'5. Персонал'!U39-'5. Персонал'!U40</f>
        <v>0</v>
      </c>
      <c r="AB60" s="3042">
        <f>'5. Персонал'!V29-'5. Персонал'!V39-'5. Персонал'!V40</f>
        <v>0</v>
      </c>
      <c r="AC60" s="3042">
        <f>'5. Персонал'!W29-'5. Персонал'!W39-'5. Персонал'!W40</f>
        <v>0</v>
      </c>
      <c r="AD60" s="3042">
        <f>'5. Персонал'!X29-'5. Персонал'!X39-'5. Персонал'!X40</f>
        <v>0</v>
      </c>
      <c r="AE60" s="3042">
        <f>'5. Персонал'!Y29-'5. Персонал'!Y39-'5. Персонал'!Y40</f>
        <v>0</v>
      </c>
      <c r="AF60" s="3043">
        <f>'5. Персонал'!Z29-'5. Персонал'!Z39-'5. Персонал'!Z40</f>
        <v>0</v>
      </c>
      <c r="AG60" s="1224">
        <f t="shared" si="286"/>
        <v>0</v>
      </c>
      <c r="AH60" s="804">
        <f t="shared" si="287"/>
        <v>0</v>
      </c>
      <c r="AI60" s="1086">
        <f>'5. Персонал'!AA29-'5. Персонал'!AA39-'5. Персонал'!AA40</f>
        <v>0</v>
      </c>
      <c r="AJ60" s="3042">
        <f>'5. Персонал'!AB29-'5. Персонал'!AB39-'5. Персонал'!AB40</f>
        <v>0</v>
      </c>
      <c r="AK60" s="3042">
        <f>'5. Персонал'!AC29-'5. Персонал'!AC39-'5. Персонал'!AC40</f>
        <v>0</v>
      </c>
      <c r="AL60" s="3042">
        <f>'5. Персонал'!AD29-'5. Персонал'!AD39-'5. Персонал'!AD40</f>
        <v>0</v>
      </c>
      <c r="AM60" s="3042">
        <f>'5. Персонал'!AE29-'5. Персонал'!AE39-'5. Персонал'!AE40</f>
        <v>0</v>
      </c>
      <c r="AN60" s="3051">
        <f>'5. Персонал'!AF29-'5. Персонал'!AF39-'5. Персонал'!AF40</f>
        <v>0</v>
      </c>
      <c r="AO60" s="1224">
        <f t="shared" si="288"/>
        <v>0</v>
      </c>
      <c r="AP60" s="804">
        <f t="shared" si="289"/>
        <v>0</v>
      </c>
      <c r="AQ60" s="1086">
        <f>'5. Персонал'!AG29-'5. Персонал'!AG39-'5. Персонал'!AG40</f>
        <v>102</v>
      </c>
      <c r="AR60" s="3042">
        <f>'5. Персонал'!AH29-'5. Персонал'!AH39-'5. Персонал'!AH40</f>
        <v>135</v>
      </c>
      <c r="AS60" s="3042">
        <f>'5. Персонал'!AI29-'5. Персонал'!AI39-'5. Персонал'!AI40</f>
        <v>156</v>
      </c>
      <c r="AT60" s="3042">
        <f>'5. Персонал'!AJ29-'5. Персонал'!AJ39-'5. Персонал'!AJ40</f>
        <v>179</v>
      </c>
      <c r="AU60" s="3042">
        <f>'5. Персонал'!AK29-'5. Персонал'!AK39-'5. Персонал'!AK40</f>
        <v>206</v>
      </c>
      <c r="AV60" s="3051">
        <f>'5. Персонал'!AL29-'5. Персонал'!AL39-'5. Персонал'!AL40</f>
        <v>237</v>
      </c>
      <c r="AW60" s="1086">
        <f t="shared" ref="AW60:AW62" si="327">C60+K60+S60+AA60+AI60</f>
        <v>9169</v>
      </c>
      <c r="AX60" s="3042">
        <f t="shared" ref="AX60:AX62" si="328">D60+L60+T60+AB60+AJ60</f>
        <v>14044.7</v>
      </c>
      <c r="AY60" s="3042">
        <f t="shared" ref="AY60:AY62" si="329">E60+M60+U60+AC60+AK60</f>
        <v>15792.945000000003</v>
      </c>
      <c r="AZ60" s="3042">
        <f t="shared" ref="AZ60:AZ62" si="330">F60+N60+V60+AD60+AL60</f>
        <v>17772.987750000004</v>
      </c>
      <c r="BA60" s="3042">
        <f t="shared" ref="BA60:BA62" si="331">G60+O60+W60+AE60+AM60</f>
        <v>20585.841339000002</v>
      </c>
      <c r="BB60" s="3043">
        <f t="shared" ref="BB60:BB62" si="332">H60+P60+X60+AF60+AN60</f>
        <v>23208.47529504</v>
      </c>
      <c r="BC60" s="3059">
        <f t="shared" ref="BC60:BC62" si="333">C60+AA60+AI60</f>
        <v>8108</v>
      </c>
      <c r="BD60" s="3060">
        <f t="shared" ref="BD60:BD62" si="334">D60+AB60+AJ60</f>
        <v>12544.7</v>
      </c>
      <c r="BE60" s="3061">
        <f t="shared" ref="BE60:BE62" si="335">E60+AC60+AK60</f>
        <v>14112.945000000002</v>
      </c>
      <c r="BF60" s="3061">
        <f t="shared" ref="BF60:BF62" si="336">F60+AD60+AL60</f>
        <v>15891.387750000004</v>
      </c>
      <c r="BG60" s="3061">
        <f t="shared" ref="BG60:BG62" si="337">G60+AE60+AM60</f>
        <v>18440.252859</v>
      </c>
      <c r="BH60" s="3063">
        <f t="shared" ref="BH60:BH62" si="338">H60+AF60+AN60</f>
        <v>20805.416197440001</v>
      </c>
      <c r="BI60" s="4422"/>
      <c r="BJ60" s="4438">
        <f t="shared" si="46"/>
        <v>4145.5545727389399</v>
      </c>
      <c r="BK60" s="4438">
        <f t="shared" si="47"/>
        <v>6414.0032620422026</v>
      </c>
      <c r="BL60" s="4438">
        <f t="shared" si="48"/>
        <v>7215.8341982687671</v>
      </c>
      <c r="BM60" s="4438">
        <f t="shared" si="49"/>
        <v>8125.1375375160442</v>
      </c>
      <c r="BN60" s="4438">
        <f t="shared" si="50"/>
        <v>9428.3515740120565</v>
      </c>
      <c r="BO60" s="4438">
        <f t="shared" si="51"/>
        <v>10637.640386659374</v>
      </c>
      <c r="BP60" s="4438">
        <f t="shared" si="52"/>
        <v>2268.4486893032631</v>
      </c>
      <c r="BQ60" s="4438">
        <f t="shared" si="53"/>
        <v>187.64412039901219</v>
      </c>
      <c r="BR60" s="4438">
        <f t="shared" si="54"/>
        <v>247.97656238016597</v>
      </c>
      <c r="BS60" s="4438">
        <f t="shared" si="55"/>
        <v>277.73374986578591</v>
      </c>
      <c r="BT60" s="4438">
        <f t="shared" si="56"/>
        <v>311.06179984968026</v>
      </c>
      <c r="BU60" s="4438">
        <f t="shared" si="57"/>
        <v>348.38921583164193</v>
      </c>
      <c r="BV60" s="4438">
        <f t="shared" si="58"/>
        <v>390.19592173143894</v>
      </c>
      <c r="BW60" s="4438">
        <f t="shared" si="59"/>
        <v>60.332441981153785</v>
      </c>
      <c r="BX60" s="4438">
        <f t="shared" si="60"/>
        <v>354.83656555017564</v>
      </c>
      <c r="BY60" s="4438">
        <f t="shared" si="61"/>
        <v>518.96125941416176</v>
      </c>
      <c r="BZ60" s="4438">
        <f t="shared" si="62"/>
        <v>581.23661054386127</v>
      </c>
      <c r="CA60" s="4438">
        <f t="shared" si="63"/>
        <v>650.98500380912458</v>
      </c>
      <c r="CB60" s="4438">
        <f t="shared" si="64"/>
        <v>748.63275438049334</v>
      </c>
      <c r="CC60" s="4438">
        <f t="shared" si="65"/>
        <v>838.46868490615248</v>
      </c>
      <c r="CD60" s="4438">
        <f t="shared" si="66"/>
        <v>164.12469386398612</v>
      </c>
      <c r="CE60" s="4438">
        <f t="shared" si="67"/>
        <v>0</v>
      </c>
      <c r="CF60" s="4438">
        <f t="shared" si="68"/>
        <v>0</v>
      </c>
      <c r="CG60" s="4438">
        <f t="shared" si="69"/>
        <v>0</v>
      </c>
      <c r="CH60" s="4438">
        <f t="shared" si="70"/>
        <v>0</v>
      </c>
      <c r="CI60" s="4438">
        <f t="shared" si="71"/>
        <v>0</v>
      </c>
      <c r="CJ60" s="4438">
        <f t="shared" si="72"/>
        <v>0</v>
      </c>
      <c r="CK60" s="4438">
        <f t="shared" si="73"/>
        <v>0</v>
      </c>
      <c r="CL60" s="4438">
        <f t="shared" si="74"/>
        <v>0</v>
      </c>
      <c r="CM60" s="4438">
        <f t="shared" si="75"/>
        <v>0</v>
      </c>
      <c r="CN60" s="4438">
        <f t="shared" si="76"/>
        <v>0</v>
      </c>
      <c r="CO60" s="4438">
        <f t="shared" si="77"/>
        <v>0</v>
      </c>
      <c r="CP60" s="4438">
        <f t="shared" si="78"/>
        <v>0</v>
      </c>
      <c r="CQ60" s="4438">
        <f t="shared" si="79"/>
        <v>0</v>
      </c>
      <c r="CR60" s="4438">
        <f t="shared" si="80"/>
        <v>0</v>
      </c>
      <c r="CS60" s="4438">
        <f t="shared" si="81"/>
        <v>52.151771882014287</v>
      </c>
      <c r="CT60" s="4438">
        <f t="shared" si="82"/>
        <v>69.024403961489497</v>
      </c>
      <c r="CU60" s="4438">
        <f t="shared" si="83"/>
        <v>79.761533466610089</v>
      </c>
      <c r="CV60" s="4438">
        <f t="shared" si="84"/>
        <v>91.52124673412311</v>
      </c>
      <c r="CW60" s="4438">
        <f t="shared" si="85"/>
        <v>105.326127526421</v>
      </c>
      <c r="CX60" s="4438">
        <f t="shared" si="86"/>
        <v>121.17617584350378</v>
      </c>
      <c r="CY60" s="4438">
        <f t="shared" si="87"/>
        <v>4688.0352586881272</v>
      </c>
      <c r="CZ60" s="4438">
        <f t="shared" si="88"/>
        <v>7180.9410838365302</v>
      </c>
      <c r="DA60" s="4438">
        <f t="shared" si="89"/>
        <v>8074.8045586784147</v>
      </c>
      <c r="DB60" s="4438">
        <f t="shared" si="90"/>
        <v>9087.1843411748487</v>
      </c>
      <c r="DC60" s="4438">
        <f t="shared" si="91"/>
        <v>10525.373544224192</v>
      </c>
      <c r="DD60" s="4438">
        <f t="shared" si="92"/>
        <v>11866.304993296964</v>
      </c>
      <c r="DE60" s="4438">
        <f t="shared" si="93"/>
        <v>4145.5545727389399</v>
      </c>
      <c r="DF60" s="4438">
        <f t="shared" si="94"/>
        <v>6414.0032620422026</v>
      </c>
      <c r="DG60" s="4438">
        <f t="shared" si="95"/>
        <v>7215.8341982687671</v>
      </c>
      <c r="DH60" s="4438">
        <f t="shared" si="96"/>
        <v>8125.1375375160442</v>
      </c>
      <c r="DI60" s="4438">
        <f t="shared" si="97"/>
        <v>9428.3515740120565</v>
      </c>
      <c r="DJ60" s="4438">
        <f t="shared" si="98"/>
        <v>10637.640386659374</v>
      </c>
    </row>
    <row r="61" spans="1:114" s="675" customFormat="1" ht="24">
      <c r="A61" s="394" t="s">
        <v>102</v>
      </c>
      <c r="B61" s="876" t="s">
        <v>640</v>
      </c>
      <c r="C61" s="2641">
        <f>'8. Ремонтна програма'!J33</f>
        <v>691</v>
      </c>
      <c r="D61" s="1223">
        <f>'8. Ремонтна програма'!K33</f>
        <v>898.30000000000007</v>
      </c>
      <c r="E61" s="1107">
        <f>'8. Ремонтна програма'!L33</f>
        <v>943.21500000000015</v>
      </c>
      <c r="F61" s="1107">
        <f>'8. Ремонтна програма'!M33</f>
        <v>971.5114500000002</v>
      </c>
      <c r="G61" s="1107">
        <f>'8. Ремонтна програма'!N33</f>
        <v>952.08122100000014</v>
      </c>
      <c r="H61" s="3064">
        <f>'8. Ремонтна програма'!O33</f>
        <v>913.99797216000013</v>
      </c>
      <c r="I61" s="1223">
        <f t="shared" si="281"/>
        <v>207.30000000000007</v>
      </c>
      <c r="J61" s="803">
        <f t="shared" si="282"/>
        <v>0.3000000000000001</v>
      </c>
      <c r="K61" s="2641">
        <f>'8. Ремонтна програма'!J62</f>
        <v>0</v>
      </c>
      <c r="L61" s="1223">
        <f>'8. Ремонтна програма'!K62</f>
        <v>0</v>
      </c>
      <c r="M61" s="1107">
        <f>'8. Ремонтна програма'!L62</f>
        <v>0</v>
      </c>
      <c r="N61" s="1107">
        <f>'8. Ремонтна програма'!M62</f>
        <v>0</v>
      </c>
      <c r="O61" s="1107">
        <f>'8. Ремонтна програма'!N62</f>
        <v>0</v>
      </c>
      <c r="P61" s="3064">
        <f>'8. Ремонтна програма'!O62</f>
        <v>0</v>
      </c>
      <c r="Q61" s="1223">
        <f t="shared" si="283"/>
        <v>0</v>
      </c>
      <c r="R61" s="855">
        <f t="shared" si="284"/>
        <v>0</v>
      </c>
      <c r="S61" s="2641">
        <f>'8. Ремонтна програма'!J88</f>
        <v>1</v>
      </c>
      <c r="T61" s="1223">
        <f>'8. Ремонтна програма'!K88</f>
        <v>0</v>
      </c>
      <c r="U61" s="1107">
        <f>'8. Ремонтна програма'!L88</f>
        <v>0</v>
      </c>
      <c r="V61" s="1107">
        <f>'8. Ремонтна програма'!M88</f>
        <v>0</v>
      </c>
      <c r="W61" s="1107">
        <f>'8. Ремонтна програма'!N88</f>
        <v>0</v>
      </c>
      <c r="X61" s="3064">
        <f>'8. Ремонтна програма'!O88</f>
        <v>0</v>
      </c>
      <c r="Y61" s="1223">
        <f t="shared" si="209"/>
        <v>-1</v>
      </c>
      <c r="Z61" s="855">
        <f t="shared" si="210"/>
        <v>-1</v>
      </c>
      <c r="AA61" s="2641">
        <f>'8. Ремонтна програма'!J119</f>
        <v>0</v>
      </c>
      <c r="AB61" s="1223">
        <f>'8. Ремонтна програма'!K119</f>
        <v>0</v>
      </c>
      <c r="AC61" s="1107">
        <f>'8. Ремонтна програма'!L119</f>
        <v>0</v>
      </c>
      <c r="AD61" s="1107">
        <f>'8. Ремонтна програма'!M119</f>
        <v>0</v>
      </c>
      <c r="AE61" s="1107">
        <f>'8. Ремонтна програма'!N119</f>
        <v>0</v>
      </c>
      <c r="AF61" s="3064">
        <f>'8. Ремонтна програма'!O119</f>
        <v>0</v>
      </c>
      <c r="AG61" s="1223">
        <f t="shared" si="286"/>
        <v>0</v>
      </c>
      <c r="AH61" s="803">
        <f t="shared" si="287"/>
        <v>0</v>
      </c>
      <c r="AI61" s="1086">
        <f>'8. Ремонтна програма'!J150</f>
        <v>0</v>
      </c>
      <c r="AJ61" s="1225">
        <f>'8. Ремонтна програма'!K150</f>
        <v>0</v>
      </c>
      <c r="AK61" s="1110">
        <f>'8. Ремонтна програма'!L150</f>
        <v>0</v>
      </c>
      <c r="AL61" s="1110">
        <f>'8. Ремонтна програма'!M150</f>
        <v>0</v>
      </c>
      <c r="AM61" s="1110">
        <f>'8. Ремонтна програма'!N150</f>
        <v>0</v>
      </c>
      <c r="AN61" s="3055">
        <f>'8. Ремонтна програма'!O150</f>
        <v>0</v>
      </c>
      <c r="AO61" s="1223">
        <f t="shared" si="288"/>
        <v>0</v>
      </c>
      <c r="AP61" s="803">
        <f t="shared" si="289"/>
        <v>0</v>
      </c>
      <c r="AQ61" s="1086">
        <f>'5. Персонал'!AG39</f>
        <v>0</v>
      </c>
      <c r="AR61" s="1115">
        <f>'5. Персонал'!AH39</f>
        <v>0</v>
      </c>
      <c r="AS61" s="1110">
        <f>'5. Персонал'!AI39</f>
        <v>0</v>
      </c>
      <c r="AT61" s="1110">
        <f>'5. Персонал'!AJ39</f>
        <v>0</v>
      </c>
      <c r="AU61" s="1110">
        <f>'5. Персонал'!AK39</f>
        <v>0</v>
      </c>
      <c r="AV61" s="3055">
        <f>'5. Персонал'!AL39</f>
        <v>0</v>
      </c>
      <c r="AW61" s="1086">
        <f t="shared" si="327"/>
        <v>692</v>
      </c>
      <c r="AX61" s="3042">
        <f t="shared" si="328"/>
        <v>898.30000000000007</v>
      </c>
      <c r="AY61" s="3042">
        <f t="shared" si="329"/>
        <v>943.21500000000015</v>
      </c>
      <c r="AZ61" s="3042">
        <f t="shared" si="330"/>
        <v>971.5114500000002</v>
      </c>
      <c r="BA61" s="3042">
        <f t="shared" si="331"/>
        <v>952.08122100000014</v>
      </c>
      <c r="BB61" s="3043">
        <f t="shared" si="332"/>
        <v>913.99797216000013</v>
      </c>
      <c r="BC61" s="3059">
        <f t="shared" si="333"/>
        <v>691</v>
      </c>
      <c r="BD61" s="3060">
        <f t="shared" si="334"/>
        <v>898.30000000000007</v>
      </c>
      <c r="BE61" s="3061">
        <f t="shared" si="335"/>
        <v>943.21500000000015</v>
      </c>
      <c r="BF61" s="3061">
        <f t="shared" si="336"/>
        <v>971.5114500000002</v>
      </c>
      <c r="BG61" s="3061">
        <f t="shared" si="337"/>
        <v>952.08122100000014</v>
      </c>
      <c r="BH61" s="3063">
        <f t="shared" si="338"/>
        <v>913.99797216000013</v>
      </c>
      <c r="BI61" s="4422"/>
      <c r="BJ61" s="4438">
        <f t="shared" si="46"/>
        <v>353.30268990658698</v>
      </c>
      <c r="BK61" s="4438">
        <f t="shared" si="47"/>
        <v>459.29349687856313</v>
      </c>
      <c r="BL61" s="4438">
        <f t="shared" si="48"/>
        <v>482.25817172249128</v>
      </c>
      <c r="BM61" s="4438">
        <f t="shared" si="49"/>
        <v>496.72591687416605</v>
      </c>
      <c r="BN61" s="4438">
        <f t="shared" si="50"/>
        <v>486.79139853668272</v>
      </c>
      <c r="BO61" s="4438">
        <f t="shared" si="51"/>
        <v>467.31974259521542</v>
      </c>
      <c r="BP61" s="4438">
        <f t="shared" si="52"/>
        <v>105.99080697197613</v>
      </c>
      <c r="BQ61" s="4438">
        <f t="shared" si="53"/>
        <v>0</v>
      </c>
      <c r="BR61" s="4438">
        <f t="shared" si="54"/>
        <v>0</v>
      </c>
      <c r="BS61" s="4438">
        <f t="shared" si="55"/>
        <v>0</v>
      </c>
      <c r="BT61" s="4438">
        <f t="shared" si="56"/>
        <v>0</v>
      </c>
      <c r="BU61" s="4438">
        <f t="shared" si="57"/>
        <v>0</v>
      </c>
      <c r="BV61" s="4438">
        <f t="shared" si="58"/>
        <v>0</v>
      </c>
      <c r="BW61" s="4438">
        <f t="shared" si="59"/>
        <v>0</v>
      </c>
      <c r="BX61" s="4438">
        <f t="shared" si="60"/>
        <v>0.51129188119621849</v>
      </c>
      <c r="BY61" s="4438">
        <f t="shared" si="61"/>
        <v>0</v>
      </c>
      <c r="BZ61" s="4438">
        <f t="shared" si="62"/>
        <v>0</v>
      </c>
      <c r="CA61" s="4438">
        <f t="shared" si="63"/>
        <v>0</v>
      </c>
      <c r="CB61" s="4438">
        <f t="shared" si="64"/>
        <v>0</v>
      </c>
      <c r="CC61" s="4438">
        <f t="shared" si="65"/>
        <v>0</v>
      </c>
      <c r="CD61" s="4438">
        <f t="shared" si="66"/>
        <v>-0.51129188119621849</v>
      </c>
      <c r="CE61" s="4438">
        <f t="shared" si="67"/>
        <v>0</v>
      </c>
      <c r="CF61" s="4438">
        <f t="shared" si="68"/>
        <v>0</v>
      </c>
      <c r="CG61" s="4438">
        <f t="shared" si="69"/>
        <v>0</v>
      </c>
      <c r="CH61" s="4438">
        <f t="shared" si="70"/>
        <v>0</v>
      </c>
      <c r="CI61" s="4438">
        <f t="shared" si="71"/>
        <v>0</v>
      </c>
      <c r="CJ61" s="4438">
        <f t="shared" si="72"/>
        <v>0</v>
      </c>
      <c r="CK61" s="4438">
        <f t="shared" si="73"/>
        <v>0</v>
      </c>
      <c r="CL61" s="4438">
        <f t="shared" si="74"/>
        <v>0</v>
      </c>
      <c r="CM61" s="4438">
        <f t="shared" si="75"/>
        <v>0</v>
      </c>
      <c r="CN61" s="4438">
        <f t="shared" si="76"/>
        <v>0</v>
      </c>
      <c r="CO61" s="4438">
        <f t="shared" si="77"/>
        <v>0</v>
      </c>
      <c r="CP61" s="4438">
        <f t="shared" si="78"/>
        <v>0</v>
      </c>
      <c r="CQ61" s="4438">
        <f t="shared" si="79"/>
        <v>0</v>
      </c>
      <c r="CR61" s="4438">
        <f t="shared" si="80"/>
        <v>0</v>
      </c>
      <c r="CS61" s="4438">
        <f t="shared" si="81"/>
        <v>0</v>
      </c>
      <c r="CT61" s="4438">
        <f t="shared" si="82"/>
        <v>0</v>
      </c>
      <c r="CU61" s="4438">
        <f t="shared" si="83"/>
        <v>0</v>
      </c>
      <c r="CV61" s="4438">
        <f t="shared" si="84"/>
        <v>0</v>
      </c>
      <c r="CW61" s="4438">
        <f t="shared" si="85"/>
        <v>0</v>
      </c>
      <c r="CX61" s="4438">
        <f t="shared" si="86"/>
        <v>0</v>
      </c>
      <c r="CY61" s="4438">
        <f t="shared" si="87"/>
        <v>353.81398178778318</v>
      </c>
      <c r="CZ61" s="4438">
        <f t="shared" si="88"/>
        <v>459.29349687856313</v>
      </c>
      <c r="DA61" s="4438">
        <f t="shared" si="89"/>
        <v>482.25817172249128</v>
      </c>
      <c r="DB61" s="4438">
        <f t="shared" si="90"/>
        <v>496.72591687416605</v>
      </c>
      <c r="DC61" s="4438">
        <f t="shared" si="91"/>
        <v>486.79139853668272</v>
      </c>
      <c r="DD61" s="4438">
        <f t="shared" si="92"/>
        <v>467.31974259521542</v>
      </c>
      <c r="DE61" s="4438">
        <f t="shared" si="93"/>
        <v>353.30268990658698</v>
      </c>
      <c r="DF61" s="4438">
        <f t="shared" si="94"/>
        <v>459.29349687856313</v>
      </c>
      <c r="DG61" s="4438">
        <f t="shared" si="95"/>
        <v>482.25817172249128</v>
      </c>
      <c r="DH61" s="4438">
        <f t="shared" si="96"/>
        <v>496.72591687416605</v>
      </c>
      <c r="DI61" s="4438">
        <f t="shared" si="97"/>
        <v>486.79139853668272</v>
      </c>
      <c r="DJ61" s="4438">
        <f t="shared" si="98"/>
        <v>467.31974259521542</v>
      </c>
    </row>
    <row r="62" spans="1:114" ht="45" customHeight="1" thickBot="1">
      <c r="A62" s="108" t="s">
        <v>103</v>
      </c>
      <c r="B62" s="875" t="s">
        <v>1751</v>
      </c>
      <c r="C62" s="1086">
        <f>'5. Персонал'!C66</f>
        <v>0</v>
      </c>
      <c r="D62" s="882">
        <f>'5. Персонал'!D66</f>
        <v>0</v>
      </c>
      <c r="E62" s="882">
        <f>'5. Персонал'!E66</f>
        <v>0</v>
      </c>
      <c r="F62" s="882">
        <f>'5. Персонал'!F66</f>
        <v>0</v>
      </c>
      <c r="G62" s="882">
        <f>'5. Персонал'!G66</f>
        <v>0</v>
      </c>
      <c r="H62" s="1115">
        <f>'5. Персонал'!H66</f>
        <v>0</v>
      </c>
      <c r="I62" s="1225">
        <f t="shared" si="281"/>
        <v>0</v>
      </c>
      <c r="J62" s="804">
        <f t="shared" si="282"/>
        <v>0</v>
      </c>
      <c r="K62" s="1086">
        <f>'5. Персонал'!I66</f>
        <v>0</v>
      </c>
      <c r="L62" s="882">
        <f>'5. Персонал'!J66</f>
        <v>0</v>
      </c>
      <c r="M62" s="882">
        <f>'5. Персонал'!K66</f>
        <v>0</v>
      </c>
      <c r="N62" s="882">
        <f>'5. Персонал'!L66</f>
        <v>0</v>
      </c>
      <c r="O62" s="882">
        <f>'5. Персонал'!M66</f>
        <v>0</v>
      </c>
      <c r="P62" s="1115">
        <f>'5. Персонал'!N66</f>
        <v>0</v>
      </c>
      <c r="Q62" s="1225">
        <f t="shared" si="283"/>
        <v>0</v>
      </c>
      <c r="R62" s="1095">
        <f t="shared" si="284"/>
        <v>0</v>
      </c>
      <c r="S62" s="1086">
        <f>'5. Персонал'!O66</f>
        <v>0</v>
      </c>
      <c r="T62" s="882">
        <f>'5. Персонал'!P66</f>
        <v>0</v>
      </c>
      <c r="U62" s="882">
        <f>'5. Персонал'!Q66</f>
        <v>0</v>
      </c>
      <c r="V62" s="882">
        <f>'5. Персонал'!R66</f>
        <v>0</v>
      </c>
      <c r="W62" s="882">
        <f>'5. Персонал'!S66</f>
        <v>0</v>
      </c>
      <c r="X62" s="1115">
        <f>'5. Персонал'!T66</f>
        <v>0</v>
      </c>
      <c r="Y62" s="1225">
        <f t="shared" si="209"/>
        <v>0</v>
      </c>
      <c r="Z62" s="1095">
        <f t="shared" si="210"/>
        <v>0</v>
      </c>
      <c r="AA62" s="1086">
        <f>'5. Персонал'!U66</f>
        <v>0</v>
      </c>
      <c r="AB62" s="882">
        <f>'5. Персонал'!V66</f>
        <v>0</v>
      </c>
      <c r="AC62" s="882">
        <f>'5. Персонал'!W66</f>
        <v>0</v>
      </c>
      <c r="AD62" s="882">
        <f>'5. Персонал'!X66</f>
        <v>0</v>
      </c>
      <c r="AE62" s="882">
        <f>'5. Персонал'!Y66</f>
        <v>0</v>
      </c>
      <c r="AF62" s="1115">
        <f>'5. Персонал'!Z66</f>
        <v>0</v>
      </c>
      <c r="AG62" s="1225">
        <f t="shared" si="286"/>
        <v>0</v>
      </c>
      <c r="AH62" s="804">
        <f t="shared" si="287"/>
        <v>0</v>
      </c>
      <c r="AI62" s="1086">
        <f>'5. Персонал'!AA66</f>
        <v>0</v>
      </c>
      <c r="AJ62" s="882">
        <f>'5. Персонал'!AB66</f>
        <v>0</v>
      </c>
      <c r="AK62" s="882">
        <f>'5. Персонал'!AC66</f>
        <v>0</v>
      </c>
      <c r="AL62" s="882">
        <f>'5. Персонал'!AD66</f>
        <v>0</v>
      </c>
      <c r="AM62" s="882">
        <f>'5. Персонал'!AE66</f>
        <v>0</v>
      </c>
      <c r="AN62" s="3055">
        <f>'5. Персонал'!AF66</f>
        <v>0</v>
      </c>
      <c r="AO62" s="1225">
        <f t="shared" si="288"/>
        <v>0</v>
      </c>
      <c r="AP62" s="804">
        <f t="shared" si="289"/>
        <v>0</v>
      </c>
      <c r="AQ62" s="1086">
        <f>'5. Персонал'!AG66</f>
        <v>0</v>
      </c>
      <c r="AR62" s="882">
        <f>'5. Персонал'!AH66</f>
        <v>0</v>
      </c>
      <c r="AS62" s="882">
        <f>'5. Персонал'!AI66</f>
        <v>0</v>
      </c>
      <c r="AT62" s="882">
        <f>'5. Персонал'!AJ66</f>
        <v>0</v>
      </c>
      <c r="AU62" s="882">
        <f>'5. Персонал'!AK66</f>
        <v>0</v>
      </c>
      <c r="AV62" s="3055">
        <f>'5. Персонал'!AL66</f>
        <v>0</v>
      </c>
      <c r="AW62" s="1086">
        <f t="shared" si="327"/>
        <v>0</v>
      </c>
      <c r="AX62" s="882">
        <f t="shared" si="328"/>
        <v>0</v>
      </c>
      <c r="AY62" s="882">
        <f t="shared" si="329"/>
        <v>0</v>
      </c>
      <c r="AZ62" s="882">
        <f t="shared" si="330"/>
        <v>0</v>
      </c>
      <c r="BA62" s="882">
        <f t="shared" si="331"/>
        <v>0</v>
      </c>
      <c r="BB62" s="1115">
        <f t="shared" si="332"/>
        <v>0</v>
      </c>
      <c r="BC62" s="3059">
        <f t="shared" si="333"/>
        <v>0</v>
      </c>
      <c r="BD62" s="3060">
        <f t="shared" si="334"/>
        <v>0</v>
      </c>
      <c r="BE62" s="3061">
        <f t="shared" si="335"/>
        <v>0</v>
      </c>
      <c r="BF62" s="3061">
        <f t="shared" si="336"/>
        <v>0</v>
      </c>
      <c r="BG62" s="3061">
        <f t="shared" si="337"/>
        <v>0</v>
      </c>
      <c r="BH62" s="3063">
        <f t="shared" si="338"/>
        <v>0</v>
      </c>
      <c r="BI62" s="4422"/>
      <c r="BJ62" s="4438">
        <f t="shared" si="46"/>
        <v>0</v>
      </c>
      <c r="BK62" s="4438">
        <f t="shared" si="47"/>
        <v>0</v>
      </c>
      <c r="BL62" s="4438">
        <f t="shared" si="48"/>
        <v>0</v>
      </c>
      <c r="BM62" s="4438">
        <f t="shared" si="49"/>
        <v>0</v>
      </c>
      <c r="BN62" s="4438">
        <f t="shared" si="50"/>
        <v>0</v>
      </c>
      <c r="BO62" s="4438">
        <f t="shared" si="51"/>
        <v>0</v>
      </c>
      <c r="BP62" s="4438">
        <f t="shared" si="52"/>
        <v>0</v>
      </c>
      <c r="BQ62" s="4438">
        <f t="shared" si="53"/>
        <v>0</v>
      </c>
      <c r="BR62" s="4438">
        <f t="shared" si="54"/>
        <v>0</v>
      </c>
      <c r="BS62" s="4438">
        <f t="shared" si="55"/>
        <v>0</v>
      </c>
      <c r="BT62" s="4438">
        <f t="shared" si="56"/>
        <v>0</v>
      </c>
      <c r="BU62" s="4438">
        <f t="shared" si="57"/>
        <v>0</v>
      </c>
      <c r="BV62" s="4438">
        <f t="shared" si="58"/>
        <v>0</v>
      </c>
      <c r="BW62" s="4438">
        <f t="shared" si="59"/>
        <v>0</v>
      </c>
      <c r="BX62" s="4438">
        <f t="shared" si="60"/>
        <v>0</v>
      </c>
      <c r="BY62" s="4438">
        <f t="shared" si="61"/>
        <v>0</v>
      </c>
      <c r="BZ62" s="4438">
        <f t="shared" si="62"/>
        <v>0</v>
      </c>
      <c r="CA62" s="4438">
        <f t="shared" si="63"/>
        <v>0</v>
      </c>
      <c r="CB62" s="4438">
        <f t="shared" si="64"/>
        <v>0</v>
      </c>
      <c r="CC62" s="4438">
        <f t="shared" si="65"/>
        <v>0</v>
      </c>
      <c r="CD62" s="4438">
        <f t="shared" si="66"/>
        <v>0</v>
      </c>
      <c r="CE62" s="4438">
        <f t="shared" si="67"/>
        <v>0</v>
      </c>
      <c r="CF62" s="4438">
        <f t="shared" si="68"/>
        <v>0</v>
      </c>
      <c r="CG62" s="4438">
        <f t="shared" si="69"/>
        <v>0</v>
      </c>
      <c r="CH62" s="4438">
        <f t="shared" si="70"/>
        <v>0</v>
      </c>
      <c r="CI62" s="4438">
        <f t="shared" si="71"/>
        <v>0</v>
      </c>
      <c r="CJ62" s="4438">
        <f t="shared" si="72"/>
        <v>0</v>
      </c>
      <c r="CK62" s="4438">
        <f t="shared" si="73"/>
        <v>0</v>
      </c>
      <c r="CL62" s="4438">
        <f t="shared" si="74"/>
        <v>0</v>
      </c>
      <c r="CM62" s="4438">
        <f t="shared" si="75"/>
        <v>0</v>
      </c>
      <c r="CN62" s="4438">
        <f t="shared" si="76"/>
        <v>0</v>
      </c>
      <c r="CO62" s="4438">
        <f t="shared" si="77"/>
        <v>0</v>
      </c>
      <c r="CP62" s="4438">
        <f t="shared" si="78"/>
        <v>0</v>
      </c>
      <c r="CQ62" s="4438">
        <f t="shared" si="79"/>
        <v>0</v>
      </c>
      <c r="CR62" s="4438">
        <f t="shared" si="80"/>
        <v>0</v>
      </c>
      <c r="CS62" s="4438">
        <f t="shared" si="81"/>
        <v>0</v>
      </c>
      <c r="CT62" s="4438">
        <f t="shared" si="82"/>
        <v>0</v>
      </c>
      <c r="CU62" s="4438">
        <f t="shared" si="83"/>
        <v>0</v>
      </c>
      <c r="CV62" s="4438">
        <f t="shared" si="84"/>
        <v>0</v>
      </c>
      <c r="CW62" s="4438">
        <f t="shared" si="85"/>
        <v>0</v>
      </c>
      <c r="CX62" s="4438">
        <f t="shared" si="86"/>
        <v>0</v>
      </c>
      <c r="CY62" s="4438">
        <f t="shared" si="87"/>
        <v>0</v>
      </c>
      <c r="CZ62" s="4438">
        <f t="shared" si="88"/>
        <v>0</v>
      </c>
      <c r="DA62" s="4438">
        <f t="shared" si="89"/>
        <v>0</v>
      </c>
      <c r="DB62" s="4438">
        <f t="shared" si="90"/>
        <v>0</v>
      </c>
      <c r="DC62" s="4438">
        <f t="shared" si="91"/>
        <v>0</v>
      </c>
      <c r="DD62" s="4438">
        <f t="shared" si="92"/>
        <v>0</v>
      </c>
      <c r="DE62" s="4438">
        <f t="shared" si="93"/>
        <v>0</v>
      </c>
      <c r="DF62" s="4438">
        <f t="shared" si="94"/>
        <v>0</v>
      </c>
      <c r="DG62" s="4438">
        <f t="shared" si="95"/>
        <v>0</v>
      </c>
      <c r="DH62" s="4438">
        <f t="shared" si="96"/>
        <v>0</v>
      </c>
      <c r="DI62" s="4438">
        <f t="shared" si="97"/>
        <v>0</v>
      </c>
      <c r="DJ62" s="4438">
        <f t="shared" si="98"/>
        <v>0</v>
      </c>
    </row>
    <row r="63" spans="1:114" ht="13.5" thickBot="1">
      <c r="A63" s="110">
        <v>5</v>
      </c>
      <c r="B63" s="872" t="s">
        <v>449</v>
      </c>
      <c r="C63" s="1084">
        <f>SUM(C64:C69)</f>
        <v>2800</v>
      </c>
      <c r="D63" s="880">
        <f t="shared" ref="D63:H63" si="339">SUM(D64:D69)</f>
        <v>3960</v>
      </c>
      <c r="E63" s="1121">
        <f t="shared" si="339"/>
        <v>4274.3999999999996</v>
      </c>
      <c r="F63" s="1121">
        <f t="shared" si="339"/>
        <v>4686.5280000000002</v>
      </c>
      <c r="G63" s="1121">
        <f t="shared" si="339"/>
        <v>5142.5071999999991</v>
      </c>
      <c r="H63" s="1122">
        <f t="shared" si="339"/>
        <v>5596.0480640000014</v>
      </c>
      <c r="I63" s="1220">
        <f t="shared" si="281"/>
        <v>1160</v>
      </c>
      <c r="J63" s="801">
        <f t="shared" si="282"/>
        <v>0.41428571428571431</v>
      </c>
      <c r="K63" s="1084">
        <f t="shared" ref="K63:P63" si="340">SUM(K64:K69)</f>
        <v>129</v>
      </c>
      <c r="L63" s="880">
        <f t="shared" si="340"/>
        <v>129.54736842105262</v>
      </c>
      <c r="M63" s="1121">
        <f t="shared" si="340"/>
        <v>140.19999999999999</v>
      </c>
      <c r="N63" s="1121">
        <f t="shared" si="340"/>
        <v>150.62400000000002</v>
      </c>
      <c r="O63" s="1121">
        <f t="shared" si="340"/>
        <v>163.41888</v>
      </c>
      <c r="P63" s="1122">
        <f t="shared" si="340"/>
        <v>177.74914560000002</v>
      </c>
      <c r="Q63" s="1220">
        <f t="shared" si="283"/>
        <v>0.5473684210526244</v>
      </c>
      <c r="R63" s="853">
        <f t="shared" si="284"/>
        <v>4.2431660546715074E-3</v>
      </c>
      <c r="S63" s="1084">
        <f t="shared" ref="S63:X63" si="341">SUM(S64:S69)</f>
        <v>221</v>
      </c>
      <c r="T63" s="880">
        <f>SUM(T64:T69)</f>
        <v>302</v>
      </c>
      <c r="U63" s="1121">
        <f t="shared" si="341"/>
        <v>325.40000000000003</v>
      </c>
      <c r="V63" s="1121">
        <f t="shared" si="341"/>
        <v>351.60800000000006</v>
      </c>
      <c r="W63" s="1121">
        <f t="shared" si="341"/>
        <v>414.29920000000004</v>
      </c>
      <c r="X63" s="1122">
        <f t="shared" si="341"/>
        <v>448.05510400000009</v>
      </c>
      <c r="Y63" s="1220">
        <f t="shared" si="209"/>
        <v>81</v>
      </c>
      <c r="Z63" s="853">
        <f t="shared" si="210"/>
        <v>0.36651583710407237</v>
      </c>
      <c r="AA63" s="1084">
        <f>SUM(AA64:AA69)</f>
        <v>0</v>
      </c>
      <c r="AB63" s="880">
        <f t="shared" ref="AB63:AF63" si="342">SUM(AB64:AB69)</f>
        <v>0</v>
      </c>
      <c r="AC63" s="1121">
        <f t="shared" si="342"/>
        <v>0</v>
      </c>
      <c r="AD63" s="1121">
        <f t="shared" si="342"/>
        <v>0</v>
      </c>
      <c r="AE63" s="1121">
        <f>SUM(AE64:AE69)</f>
        <v>0</v>
      </c>
      <c r="AF63" s="1122">
        <f t="shared" si="342"/>
        <v>0</v>
      </c>
      <c r="AG63" s="1220">
        <f t="shared" si="286"/>
        <v>0</v>
      </c>
      <c r="AH63" s="801">
        <f t="shared" si="287"/>
        <v>0</v>
      </c>
      <c r="AI63" s="1084">
        <f t="shared" ref="AI63:AN63" si="343">SUM(AI64:AI69)</f>
        <v>0</v>
      </c>
      <c r="AJ63" s="880">
        <f t="shared" si="343"/>
        <v>0</v>
      </c>
      <c r="AK63" s="1121">
        <f t="shared" si="343"/>
        <v>0</v>
      </c>
      <c r="AL63" s="1121">
        <f t="shared" si="343"/>
        <v>0</v>
      </c>
      <c r="AM63" s="1121">
        <f t="shared" si="343"/>
        <v>0</v>
      </c>
      <c r="AN63" s="3054">
        <f t="shared" si="343"/>
        <v>0</v>
      </c>
      <c r="AO63" s="1220">
        <f t="shared" si="288"/>
        <v>0</v>
      </c>
      <c r="AP63" s="801">
        <f t="shared" si="289"/>
        <v>0</v>
      </c>
      <c r="AQ63" s="1084">
        <f>SUM(AQ64:AQ69)</f>
        <v>36</v>
      </c>
      <c r="AR63" s="880">
        <f t="shared" ref="AR63:AV63" si="344">SUM(AR64:AR69)</f>
        <v>41</v>
      </c>
      <c r="AS63" s="1121">
        <f t="shared" si="344"/>
        <v>45</v>
      </c>
      <c r="AT63" s="1121">
        <f t="shared" si="344"/>
        <v>50</v>
      </c>
      <c r="AU63" s="1121">
        <f t="shared" si="344"/>
        <v>56</v>
      </c>
      <c r="AV63" s="3054">
        <f t="shared" si="344"/>
        <v>61</v>
      </c>
      <c r="AW63" s="1084">
        <f t="shared" ref="AW63:BB63" si="345">SUM(AW64:AW68)</f>
        <v>3150</v>
      </c>
      <c r="AX63" s="880">
        <f t="shared" si="345"/>
        <v>4391.5473684210519</v>
      </c>
      <c r="AY63" s="1121">
        <f t="shared" si="345"/>
        <v>4740</v>
      </c>
      <c r="AZ63" s="1121">
        <f t="shared" si="345"/>
        <v>5188.76</v>
      </c>
      <c r="BA63" s="1121">
        <f t="shared" si="345"/>
        <v>5720.2252799999997</v>
      </c>
      <c r="BB63" s="3054">
        <f t="shared" si="345"/>
        <v>6221.8523136000003</v>
      </c>
      <c r="BC63" s="1084">
        <f t="shared" ref="BC63:BH63" si="346">SUM(BC64:BC68)</f>
        <v>2800</v>
      </c>
      <c r="BD63" s="880">
        <f t="shared" si="346"/>
        <v>3960</v>
      </c>
      <c r="BE63" s="1121">
        <f t="shared" si="346"/>
        <v>4274.3999999999996</v>
      </c>
      <c r="BF63" s="1121">
        <f t="shared" si="346"/>
        <v>4686.5280000000002</v>
      </c>
      <c r="BG63" s="1121">
        <f t="shared" si="346"/>
        <v>5142.5071999999991</v>
      </c>
      <c r="BH63" s="3054">
        <f t="shared" si="346"/>
        <v>5596.0480640000014</v>
      </c>
      <c r="BI63" s="4422"/>
      <c r="BJ63" s="4438">
        <f t="shared" si="46"/>
        <v>1431.6172673494118</v>
      </c>
      <c r="BK63" s="4438">
        <f t="shared" si="47"/>
        <v>2024.7158495370252</v>
      </c>
      <c r="BL63" s="4438">
        <f t="shared" si="48"/>
        <v>2185.4660169851163</v>
      </c>
      <c r="BM63" s="4438">
        <f t="shared" si="49"/>
        <v>2396.1837173987515</v>
      </c>
      <c r="BN63" s="4438">
        <f t="shared" si="50"/>
        <v>2629.3221803530978</v>
      </c>
      <c r="BO63" s="4438">
        <f t="shared" si="51"/>
        <v>2861.2139419070172</v>
      </c>
      <c r="BP63" s="4438">
        <f t="shared" si="52"/>
        <v>593.09858218761349</v>
      </c>
      <c r="BQ63" s="4438">
        <f t="shared" si="53"/>
        <v>65.956652674312181</v>
      </c>
      <c r="BR63" s="4438">
        <f t="shared" si="54"/>
        <v>66.23651770401959</v>
      </c>
      <c r="BS63" s="4438">
        <f t="shared" si="55"/>
        <v>71.683121743709833</v>
      </c>
      <c r="BT63" s="4438">
        <f t="shared" si="56"/>
        <v>77.012828313299224</v>
      </c>
      <c r="BU63" s="4438">
        <f t="shared" si="57"/>
        <v>83.554746578179092</v>
      </c>
      <c r="BV63" s="4438">
        <f t="shared" si="58"/>
        <v>90.881695034844554</v>
      </c>
      <c r="BW63" s="4438">
        <f t="shared" si="59"/>
        <v>0.27986502970740013</v>
      </c>
      <c r="BX63" s="4438">
        <f t="shared" si="60"/>
        <v>112.99550574436429</v>
      </c>
      <c r="BY63" s="4438">
        <f t="shared" si="61"/>
        <v>154.41014812125798</v>
      </c>
      <c r="BZ63" s="4438">
        <f t="shared" si="62"/>
        <v>166.37437814124951</v>
      </c>
      <c r="CA63" s="4438">
        <f t="shared" si="63"/>
        <v>179.77431576364003</v>
      </c>
      <c r="CB63" s="4438">
        <f t="shared" si="64"/>
        <v>211.82781734608838</v>
      </c>
      <c r="CC63" s="4438">
        <f t="shared" si="65"/>
        <v>229.08693700372737</v>
      </c>
      <c r="CD63" s="4438">
        <f t="shared" si="66"/>
        <v>41.414642376893696</v>
      </c>
      <c r="CE63" s="4438">
        <f t="shared" si="67"/>
        <v>0</v>
      </c>
      <c r="CF63" s="4438">
        <f t="shared" si="68"/>
        <v>0</v>
      </c>
      <c r="CG63" s="4438">
        <f t="shared" si="69"/>
        <v>0</v>
      </c>
      <c r="CH63" s="4438">
        <f t="shared" si="70"/>
        <v>0</v>
      </c>
      <c r="CI63" s="4438">
        <f t="shared" si="71"/>
        <v>0</v>
      </c>
      <c r="CJ63" s="4438">
        <f t="shared" si="72"/>
        <v>0</v>
      </c>
      <c r="CK63" s="4438">
        <f t="shared" si="73"/>
        <v>0</v>
      </c>
      <c r="CL63" s="4438">
        <f t="shared" si="74"/>
        <v>0</v>
      </c>
      <c r="CM63" s="4438">
        <f t="shared" si="75"/>
        <v>0</v>
      </c>
      <c r="CN63" s="4438">
        <f t="shared" si="76"/>
        <v>0</v>
      </c>
      <c r="CO63" s="4438">
        <f t="shared" si="77"/>
        <v>0</v>
      </c>
      <c r="CP63" s="4438">
        <f t="shared" si="78"/>
        <v>0</v>
      </c>
      <c r="CQ63" s="4438">
        <f t="shared" si="79"/>
        <v>0</v>
      </c>
      <c r="CR63" s="4438">
        <f t="shared" si="80"/>
        <v>0</v>
      </c>
      <c r="CS63" s="4438">
        <f t="shared" si="81"/>
        <v>18.406507723063864</v>
      </c>
      <c r="CT63" s="4438">
        <f t="shared" si="82"/>
        <v>20.962967129044959</v>
      </c>
      <c r="CU63" s="4438">
        <f t="shared" si="83"/>
        <v>23.008134653829831</v>
      </c>
      <c r="CV63" s="4438">
        <f t="shared" si="84"/>
        <v>25.564594059810926</v>
      </c>
      <c r="CW63" s="4438">
        <f t="shared" si="85"/>
        <v>28.632345346988235</v>
      </c>
      <c r="CX63" s="4438">
        <f t="shared" si="86"/>
        <v>31.188804752969329</v>
      </c>
      <c r="CY63" s="4438">
        <f t="shared" si="87"/>
        <v>1610.5694257680882</v>
      </c>
      <c r="CZ63" s="4438">
        <f t="shared" si="88"/>
        <v>2245.3625153623025</v>
      </c>
      <c r="DA63" s="4438">
        <f t="shared" si="89"/>
        <v>2423.5235168700756</v>
      </c>
      <c r="DB63" s="4438">
        <f t="shared" si="90"/>
        <v>2652.970861475691</v>
      </c>
      <c r="DC63" s="4438">
        <f t="shared" si="91"/>
        <v>2924.7047442773655</v>
      </c>
      <c r="DD63" s="4438">
        <f t="shared" si="92"/>
        <v>3181.1825739455885</v>
      </c>
      <c r="DE63" s="4438">
        <f t="shared" si="93"/>
        <v>1431.6172673494118</v>
      </c>
      <c r="DF63" s="4438">
        <f t="shared" si="94"/>
        <v>2024.7158495370252</v>
      </c>
      <c r="DG63" s="4438">
        <f t="shared" si="95"/>
        <v>2185.4660169851163</v>
      </c>
      <c r="DH63" s="4438">
        <f t="shared" si="96"/>
        <v>2396.1837173987515</v>
      </c>
      <c r="DI63" s="4438">
        <f t="shared" si="97"/>
        <v>2629.3221803530978</v>
      </c>
      <c r="DJ63" s="4438">
        <f t="shared" si="98"/>
        <v>2861.2139419070172</v>
      </c>
    </row>
    <row r="64" spans="1:114" ht="12.75">
      <c r="A64" s="108" t="s">
        <v>105</v>
      </c>
      <c r="B64" s="873" t="s">
        <v>632</v>
      </c>
      <c r="C64" s="1086">
        <f>'5. Персонал'!C42-'5. Персонал'!C43-'5. Персонал'!C44</f>
        <v>1546</v>
      </c>
      <c r="D64" s="882">
        <f>'5. Персонал'!D42-'5. Персонал'!D43-'5. Персонал'!D44</f>
        <v>2445.8000000000002</v>
      </c>
      <c r="E64" s="882">
        <f>'5. Персонал'!E42-'5. Персонал'!E43-'5. Персонал'!E44</f>
        <v>2751.4900000000002</v>
      </c>
      <c r="F64" s="882">
        <f>'5. Персонал'!F42-'5. Персонал'!F43-'5. Персонал'!F44</f>
        <v>3098.1307000000002</v>
      </c>
      <c r="G64" s="882">
        <f>'5. Персонал'!G42-'5. Персонал'!G43-'5. Персонал'!G44</f>
        <v>3594.8778459999999</v>
      </c>
      <c r="H64" s="1115">
        <f>'5. Персонал'!H42-'5. Персонал'!H43-'5. Персонал'!H44</f>
        <v>4055.8038841600005</v>
      </c>
      <c r="I64" s="1225">
        <f t="shared" si="281"/>
        <v>899.80000000000018</v>
      </c>
      <c r="J64" s="1218">
        <f t="shared" si="282"/>
        <v>0.58201811125485137</v>
      </c>
      <c r="K64" s="1086">
        <f>'5. Персонал'!I42-'5. Персонал'!I43-'5. Персонал'!I44</f>
        <v>83</v>
      </c>
      <c r="L64" s="882">
        <f>'5. Персонал'!J42-'5. Персонал'!J43-'5. Персонал'!J44</f>
        <v>85</v>
      </c>
      <c r="M64" s="882">
        <f>'5. Персонал'!K42-'5. Персонал'!K43-'5. Персонал'!K44</f>
        <v>95.2</v>
      </c>
      <c r="N64" s="882">
        <f>'5. Персонал'!L42-'5. Персонал'!L43-'5. Персонал'!L44</f>
        <v>106.62400000000001</v>
      </c>
      <c r="O64" s="882">
        <f>'5. Персонал'!M42-'5. Персонал'!M43-'5. Персонал'!M44</f>
        <v>119.41888000000002</v>
      </c>
      <c r="P64" s="1115">
        <f>'5. Персонал'!N42-'5. Персонал'!N43-'5. Персонал'!N44</f>
        <v>133.74914560000002</v>
      </c>
      <c r="Q64" s="1225">
        <f t="shared" si="283"/>
        <v>2</v>
      </c>
      <c r="R64" s="1099">
        <f t="shared" si="284"/>
        <v>2.4096385542168676E-2</v>
      </c>
      <c r="S64" s="1086">
        <f>'5. Персонал'!O42-'5. Персонал'!O43-'5. Персонал'!O44</f>
        <v>131</v>
      </c>
      <c r="T64" s="1114">
        <f>'5. Персонал'!P42-'5. Персонал'!P43-'5. Персонал'!P44</f>
        <v>195</v>
      </c>
      <c r="U64" s="1114">
        <f>'5. Персонал'!Q42-'5. Персонал'!Q43-'5. Персонал'!Q44</f>
        <v>218.40000000000003</v>
      </c>
      <c r="V64" s="1114">
        <f>'5. Персонал'!R42-'5. Персонал'!R43-'5. Персонал'!R44</f>
        <v>244.60800000000006</v>
      </c>
      <c r="W64" s="1114">
        <f>'5. Персонал'!S42-'5. Персонал'!S43-'5. Персонал'!S44</f>
        <v>281.29920000000004</v>
      </c>
      <c r="X64" s="1113">
        <f>'5. Персонал'!T42-'5. Персонал'!T43-'5. Персонал'!T44</f>
        <v>315.05510400000009</v>
      </c>
      <c r="Y64" s="1225">
        <f t="shared" si="209"/>
        <v>64</v>
      </c>
      <c r="Z64" s="1099">
        <f t="shared" si="210"/>
        <v>0.48854961832061067</v>
      </c>
      <c r="AA64" s="1086">
        <f>'5. Персонал'!U42-'5. Персонал'!U43-'5. Персонал'!U44</f>
        <v>0</v>
      </c>
      <c r="AB64" s="1114">
        <f>'5. Персонал'!V42-'5. Персонал'!V43-'5. Персонал'!V44</f>
        <v>0</v>
      </c>
      <c r="AC64" s="1114">
        <f>'5. Персонал'!W42-'5. Персонал'!W43-'5. Персонал'!W44</f>
        <v>0</v>
      </c>
      <c r="AD64" s="1114">
        <f>'5. Персонал'!X42-'5. Персонал'!X43-'5. Персонал'!X44</f>
        <v>0</v>
      </c>
      <c r="AE64" s="1114">
        <f>'5. Персонал'!Y42-'5. Персонал'!Y43-'5. Персонал'!Y44</f>
        <v>0</v>
      </c>
      <c r="AF64" s="1113">
        <f>'5. Персонал'!Z42-'5. Персонал'!Z43-'5. Персонал'!Z44</f>
        <v>0</v>
      </c>
      <c r="AG64" s="1225">
        <f t="shared" si="286"/>
        <v>0</v>
      </c>
      <c r="AH64" s="1218">
        <f t="shared" si="287"/>
        <v>0</v>
      </c>
      <c r="AI64" s="1086">
        <f>'5. Персонал'!AA42-'5. Персонал'!AA43-'5. Персонал'!AA44</f>
        <v>0</v>
      </c>
      <c r="AJ64" s="882">
        <f>'5. Персонал'!AB42-'5. Персонал'!AB43-'5. Персонал'!AB44</f>
        <v>0</v>
      </c>
      <c r="AK64" s="882">
        <f>'5. Персонал'!AC42-'5. Персонал'!AC43-'5. Персонал'!AC44</f>
        <v>0</v>
      </c>
      <c r="AL64" s="882">
        <f>'5. Персонал'!AD42-'5. Персонал'!AD43-'5. Персонал'!AD44</f>
        <v>0</v>
      </c>
      <c r="AM64" s="882">
        <f>'5. Персонал'!AE42-'5. Персонал'!AE43-'5. Персонал'!AE44</f>
        <v>0</v>
      </c>
      <c r="AN64" s="3055">
        <f>'5. Персонал'!AF42-'5. Персонал'!AF43-'5. Персонал'!AF44</f>
        <v>0</v>
      </c>
      <c r="AO64" s="1225">
        <f t="shared" si="288"/>
        <v>0</v>
      </c>
      <c r="AP64" s="1218">
        <f t="shared" si="289"/>
        <v>0</v>
      </c>
      <c r="AQ64" s="3078">
        <f>'5. Персонал'!AG42-'5. Персонал'!AG43-'5. Персонал'!AG44</f>
        <v>22</v>
      </c>
      <c r="AR64" s="1114">
        <f>'5. Персонал'!AH42-'5. Персонал'!AH43-'5. Персонал'!AH44</f>
        <v>28</v>
      </c>
      <c r="AS64" s="1114">
        <f>'5. Персонал'!AI42-'5. Персонал'!AI43-'5. Персонал'!AI44</f>
        <v>32</v>
      </c>
      <c r="AT64" s="1114">
        <f>'5. Персонал'!AJ42-'5. Персонал'!AJ43-'5. Персонал'!AJ44</f>
        <v>37</v>
      </c>
      <c r="AU64" s="1114">
        <f>'5. Персонал'!AK42-'5. Персонал'!AK43-'5. Персонал'!AK44</f>
        <v>43</v>
      </c>
      <c r="AV64" s="3079">
        <f>'5. Персонал'!AL42-'5. Персонал'!AL43-'5. Персонал'!AL44</f>
        <v>48</v>
      </c>
      <c r="AW64" s="1086">
        <f t="shared" ref="AW64" si="347">C64+K64+S64+AA64+AI64</f>
        <v>1760</v>
      </c>
      <c r="AX64" s="882">
        <f t="shared" ref="AX64" si="348">D64+L64+T64+AB64+AJ64</f>
        <v>2725.8</v>
      </c>
      <c r="AY64" s="882">
        <f t="shared" ref="AY64:AY65" si="349">E64+M64+U64+AC64+AK64</f>
        <v>3065.09</v>
      </c>
      <c r="AZ64" s="882">
        <f t="shared" ref="AZ64:AZ65" si="350">F64+N64+V64+AD64+AL64</f>
        <v>3449.3627000000001</v>
      </c>
      <c r="BA64" s="882">
        <f t="shared" ref="BA64:BA65" si="351">G64+O64+W64+AE64+AM64</f>
        <v>3995.595926</v>
      </c>
      <c r="BB64" s="1115">
        <f t="shared" ref="BB64:BB65" si="352">H64+P64+X64+AF64+AN64</f>
        <v>4504.6081337600008</v>
      </c>
      <c r="BC64" s="3059">
        <f t="shared" ref="BC64:BC65" si="353">C64+AA64+AI64</f>
        <v>1546</v>
      </c>
      <c r="BD64" s="3060">
        <f t="shared" ref="BD64:BD65" si="354">D64+AB64+AJ64</f>
        <v>2445.8000000000002</v>
      </c>
      <c r="BE64" s="3061">
        <f t="shared" ref="BE64:BE65" si="355">E64+AC64+AK64</f>
        <v>2751.4900000000002</v>
      </c>
      <c r="BF64" s="3061">
        <f t="shared" ref="BF64:BF65" si="356">F64+AD64+AL64</f>
        <v>3098.1307000000002</v>
      </c>
      <c r="BG64" s="3061">
        <f t="shared" ref="BG64:BG65" si="357">G64+AE64+AM64</f>
        <v>3594.8778459999999</v>
      </c>
      <c r="BH64" s="3063">
        <f t="shared" ref="BH64:BH65" si="358">H64+AF64+AN64</f>
        <v>4055.8038841600005</v>
      </c>
      <c r="BI64" s="4422"/>
      <c r="BJ64" s="4438">
        <f t="shared" si="46"/>
        <v>790.45724832935377</v>
      </c>
      <c r="BK64" s="4438">
        <f t="shared" si="47"/>
        <v>1250.5176830297112</v>
      </c>
      <c r="BL64" s="4438">
        <f t="shared" si="48"/>
        <v>1406.8144981925834</v>
      </c>
      <c r="BM64" s="4438">
        <f t="shared" si="49"/>
        <v>1584.0490737947573</v>
      </c>
      <c r="BN64" s="4438">
        <f t="shared" si="50"/>
        <v>1838.0318565519499</v>
      </c>
      <c r="BO64" s="4438">
        <f t="shared" si="51"/>
        <v>2073.6995976950966</v>
      </c>
      <c r="BP64" s="4438">
        <f t="shared" si="52"/>
        <v>460.06043470035752</v>
      </c>
      <c r="BQ64" s="4438">
        <f t="shared" si="53"/>
        <v>42.437226139286132</v>
      </c>
      <c r="BR64" s="4438">
        <f t="shared" si="54"/>
        <v>43.459809901678575</v>
      </c>
      <c r="BS64" s="4438">
        <f t="shared" si="55"/>
        <v>48.674987089880005</v>
      </c>
      <c r="BT64" s="4438">
        <f t="shared" si="56"/>
        <v>54.515985540665604</v>
      </c>
      <c r="BU64" s="4438">
        <f t="shared" si="57"/>
        <v>61.057903805545479</v>
      </c>
      <c r="BV64" s="4438">
        <f t="shared" si="58"/>
        <v>68.384852262210941</v>
      </c>
      <c r="BW64" s="4438">
        <f t="shared" si="59"/>
        <v>1.022583762392437</v>
      </c>
      <c r="BX64" s="4438">
        <f t="shared" si="60"/>
        <v>66.979236436704625</v>
      </c>
      <c r="BY64" s="4438">
        <f t="shared" si="61"/>
        <v>99.701916833262601</v>
      </c>
      <c r="BZ64" s="4438">
        <f t="shared" si="62"/>
        <v>111.66614685325413</v>
      </c>
      <c r="CA64" s="4438">
        <f t="shared" si="63"/>
        <v>125.06608447564464</v>
      </c>
      <c r="CB64" s="4438">
        <f t="shared" si="64"/>
        <v>143.82599714699134</v>
      </c>
      <c r="CC64" s="4438">
        <f t="shared" si="65"/>
        <v>161.0851168046303</v>
      </c>
      <c r="CD64" s="4438">
        <f t="shared" si="66"/>
        <v>32.722680396557983</v>
      </c>
      <c r="CE64" s="4438">
        <f t="shared" si="67"/>
        <v>0</v>
      </c>
      <c r="CF64" s="4438">
        <f t="shared" si="68"/>
        <v>0</v>
      </c>
      <c r="CG64" s="4438">
        <f t="shared" si="69"/>
        <v>0</v>
      </c>
      <c r="CH64" s="4438">
        <f t="shared" si="70"/>
        <v>0</v>
      </c>
      <c r="CI64" s="4438">
        <f t="shared" si="71"/>
        <v>0</v>
      </c>
      <c r="CJ64" s="4438">
        <f t="shared" si="72"/>
        <v>0</v>
      </c>
      <c r="CK64" s="4438">
        <f t="shared" si="73"/>
        <v>0</v>
      </c>
      <c r="CL64" s="4438">
        <f t="shared" si="74"/>
        <v>0</v>
      </c>
      <c r="CM64" s="4438">
        <f t="shared" si="75"/>
        <v>0</v>
      </c>
      <c r="CN64" s="4438">
        <f t="shared" si="76"/>
        <v>0</v>
      </c>
      <c r="CO64" s="4438">
        <f t="shared" si="77"/>
        <v>0</v>
      </c>
      <c r="CP64" s="4438">
        <f t="shared" si="78"/>
        <v>0</v>
      </c>
      <c r="CQ64" s="4438">
        <f t="shared" si="79"/>
        <v>0</v>
      </c>
      <c r="CR64" s="4438">
        <f t="shared" si="80"/>
        <v>0</v>
      </c>
      <c r="CS64" s="4438">
        <f t="shared" si="81"/>
        <v>11.248421386316807</v>
      </c>
      <c r="CT64" s="4438">
        <f t="shared" si="82"/>
        <v>14.316172673494117</v>
      </c>
      <c r="CU64" s="4438">
        <f t="shared" si="83"/>
        <v>16.361340198278992</v>
      </c>
      <c r="CV64" s="4438">
        <f t="shared" si="84"/>
        <v>18.917799604260086</v>
      </c>
      <c r="CW64" s="4438">
        <f t="shared" si="85"/>
        <v>21.985550891437395</v>
      </c>
      <c r="CX64" s="4438">
        <f t="shared" si="86"/>
        <v>24.542010297418489</v>
      </c>
      <c r="CY64" s="4438">
        <f t="shared" si="87"/>
        <v>899.87371090534452</v>
      </c>
      <c r="CZ64" s="4438">
        <f t="shared" si="88"/>
        <v>1393.6794097646525</v>
      </c>
      <c r="DA64" s="4438">
        <f t="shared" si="89"/>
        <v>1567.1556321357175</v>
      </c>
      <c r="DB64" s="4438">
        <f t="shared" si="90"/>
        <v>1763.6311438110674</v>
      </c>
      <c r="DC64" s="4438">
        <f t="shared" si="91"/>
        <v>2042.9157575044867</v>
      </c>
      <c r="DD64" s="4438">
        <f t="shared" si="92"/>
        <v>2303.1695667619379</v>
      </c>
      <c r="DE64" s="4438">
        <f t="shared" si="93"/>
        <v>790.45724832935377</v>
      </c>
      <c r="DF64" s="4438">
        <f t="shared" si="94"/>
        <v>1250.5176830297112</v>
      </c>
      <c r="DG64" s="4438">
        <f t="shared" si="95"/>
        <v>1406.8144981925834</v>
      </c>
      <c r="DH64" s="4438">
        <f t="shared" si="96"/>
        <v>1584.0490737947573</v>
      </c>
      <c r="DI64" s="4438">
        <f t="shared" si="97"/>
        <v>1838.0318565519499</v>
      </c>
      <c r="DJ64" s="4438">
        <f t="shared" si="98"/>
        <v>2073.6995976950966</v>
      </c>
    </row>
    <row r="65" spans="1:114" s="675" customFormat="1" ht="12.75">
      <c r="A65" s="394" t="s">
        <v>109</v>
      </c>
      <c r="B65" s="876" t="s">
        <v>639</v>
      </c>
      <c r="C65" s="2641">
        <f>'8. Ремонтна програма'!J35</f>
        <v>134</v>
      </c>
      <c r="D65" s="1223">
        <f>'8. Ремонтна програма'!K35</f>
        <v>174.20000000000002</v>
      </c>
      <c r="E65" s="1107">
        <f>'8. Ремонтна програма'!L35</f>
        <v>182.91000000000003</v>
      </c>
      <c r="F65" s="1107">
        <f>'8. Ремонтна програма'!M35</f>
        <v>188.39730000000003</v>
      </c>
      <c r="G65" s="1107">
        <f>'8. Ремонтна програма'!N35</f>
        <v>184.62935400000003</v>
      </c>
      <c r="H65" s="3064">
        <f>'8. Ремонтна програма'!O35</f>
        <v>177.24417984000002</v>
      </c>
      <c r="I65" s="1223">
        <f t="shared" si="281"/>
        <v>40.200000000000017</v>
      </c>
      <c r="J65" s="803">
        <f t="shared" si="282"/>
        <v>0.3000000000000001</v>
      </c>
      <c r="K65" s="2641">
        <f>'8. Ремонтна програма'!J64</f>
        <v>0</v>
      </c>
      <c r="L65" s="1223">
        <f>'8. Ремонтна програма'!K64</f>
        <v>0</v>
      </c>
      <c r="M65" s="1107">
        <f>'8. Ремонтна програма'!L64</f>
        <v>0</v>
      </c>
      <c r="N65" s="1107">
        <f>'8. Ремонтна програма'!M64</f>
        <v>0</v>
      </c>
      <c r="O65" s="1107">
        <f>'8. Ремонтна програма'!N64</f>
        <v>0</v>
      </c>
      <c r="P65" s="3064">
        <f>'8. Ремонтна програма'!O64</f>
        <v>0</v>
      </c>
      <c r="Q65" s="1223">
        <f t="shared" si="283"/>
        <v>0</v>
      </c>
      <c r="R65" s="855">
        <f t="shared" si="284"/>
        <v>0</v>
      </c>
      <c r="S65" s="2641">
        <f>'8. Ремонтна програма'!J90</f>
        <v>0</v>
      </c>
      <c r="T65" s="1223">
        <f>'8. Ремонтна програма'!K90</f>
        <v>0</v>
      </c>
      <c r="U65" s="1107">
        <f>'8. Ремонтна програма'!L90</f>
        <v>0</v>
      </c>
      <c r="V65" s="1107">
        <f>'8. Ремонтна програма'!M90</f>
        <v>0</v>
      </c>
      <c r="W65" s="1107">
        <f>'8. Ремонтна програма'!N90</f>
        <v>0</v>
      </c>
      <c r="X65" s="3064">
        <f>'8. Ремонтна програма'!O90</f>
        <v>0</v>
      </c>
      <c r="Y65" s="1223">
        <f t="shared" si="209"/>
        <v>0</v>
      </c>
      <c r="Z65" s="855">
        <f t="shared" si="210"/>
        <v>0</v>
      </c>
      <c r="AA65" s="2641">
        <f>'8. Ремонтна програма'!J121</f>
        <v>0</v>
      </c>
      <c r="AB65" s="1223">
        <f>'8. Ремонтна програма'!K121</f>
        <v>0</v>
      </c>
      <c r="AC65" s="1107">
        <f>'8. Ремонтна програма'!L121</f>
        <v>0</v>
      </c>
      <c r="AD65" s="1107">
        <f>'8. Ремонтна програма'!M121</f>
        <v>0</v>
      </c>
      <c r="AE65" s="1107">
        <f>'8. Ремонтна програма'!N121</f>
        <v>0</v>
      </c>
      <c r="AF65" s="3064">
        <f>'8. Ремонтна програма'!O121</f>
        <v>0</v>
      </c>
      <c r="AG65" s="1223">
        <f t="shared" si="286"/>
        <v>0</v>
      </c>
      <c r="AH65" s="803">
        <f t="shared" si="287"/>
        <v>0</v>
      </c>
      <c r="AI65" s="1086">
        <f>'8. Ремонтна програма'!J152</f>
        <v>0</v>
      </c>
      <c r="AJ65" s="1225">
        <f>'8. Ремонтна програма'!K152</f>
        <v>0</v>
      </c>
      <c r="AK65" s="1110">
        <f>'8. Ремонтна програма'!L152</f>
        <v>0</v>
      </c>
      <c r="AL65" s="1110">
        <f>'8. Ремонтна програма'!M152</f>
        <v>0</v>
      </c>
      <c r="AM65" s="1110">
        <f>'8. Ремонтна програма'!N152</f>
        <v>0</v>
      </c>
      <c r="AN65" s="3055">
        <f>'8. Ремонтна програма'!O152</f>
        <v>0</v>
      </c>
      <c r="AO65" s="1223">
        <f t="shared" si="288"/>
        <v>0</v>
      </c>
      <c r="AP65" s="803">
        <f t="shared" si="289"/>
        <v>0</v>
      </c>
      <c r="AQ65" s="1086">
        <f>'5. Персонал'!AG43</f>
        <v>0</v>
      </c>
      <c r="AR65" s="1115">
        <f>'5. Персонал'!AH43</f>
        <v>0</v>
      </c>
      <c r="AS65" s="1110">
        <f>'5. Персонал'!AI43</f>
        <v>0</v>
      </c>
      <c r="AT65" s="1110">
        <f>'5. Персонал'!AJ43</f>
        <v>0</v>
      </c>
      <c r="AU65" s="1110">
        <f>'5. Персонал'!AK43</f>
        <v>0</v>
      </c>
      <c r="AV65" s="3055">
        <f>'5. Персонал'!AL43</f>
        <v>0</v>
      </c>
      <c r="AW65" s="1086">
        <f>C65+K65+S65+AA65+AI65</f>
        <v>134</v>
      </c>
      <c r="AX65" s="3042">
        <f>D65+L65+T65+AB65+AJ65</f>
        <v>174.20000000000002</v>
      </c>
      <c r="AY65" s="3042">
        <f t="shared" si="349"/>
        <v>182.91000000000003</v>
      </c>
      <c r="AZ65" s="3042">
        <f t="shared" si="350"/>
        <v>188.39730000000003</v>
      </c>
      <c r="BA65" s="3042">
        <f t="shared" si="351"/>
        <v>184.62935400000003</v>
      </c>
      <c r="BB65" s="3043">
        <f t="shared" si="352"/>
        <v>177.24417984000002</v>
      </c>
      <c r="BC65" s="3059">
        <f t="shared" si="353"/>
        <v>134</v>
      </c>
      <c r="BD65" s="3060">
        <f t="shared" si="354"/>
        <v>174.20000000000002</v>
      </c>
      <c r="BE65" s="3061">
        <f t="shared" si="355"/>
        <v>182.91000000000003</v>
      </c>
      <c r="BF65" s="3061">
        <f t="shared" si="356"/>
        <v>188.39730000000003</v>
      </c>
      <c r="BG65" s="3061">
        <f t="shared" si="357"/>
        <v>184.62935400000003</v>
      </c>
      <c r="BH65" s="3063">
        <f t="shared" si="358"/>
        <v>177.24417984000002</v>
      </c>
      <c r="BI65" s="4422"/>
      <c r="BJ65" s="4438">
        <f t="shared" si="46"/>
        <v>68.513112080293283</v>
      </c>
      <c r="BK65" s="4438">
        <f t="shared" si="47"/>
        <v>89.067045704381272</v>
      </c>
      <c r="BL65" s="4438">
        <f t="shared" si="48"/>
        <v>93.52039798960034</v>
      </c>
      <c r="BM65" s="4438">
        <f t="shared" si="49"/>
        <v>96.326009929288347</v>
      </c>
      <c r="BN65" s="4438">
        <f t="shared" si="50"/>
        <v>94.399489730702584</v>
      </c>
      <c r="BO65" s="4438">
        <f t="shared" si="51"/>
        <v>90.623510141474469</v>
      </c>
      <c r="BP65" s="4438">
        <f t="shared" si="52"/>
        <v>20.553933624087993</v>
      </c>
      <c r="BQ65" s="4438">
        <f t="shared" si="53"/>
        <v>0</v>
      </c>
      <c r="BR65" s="4438">
        <f t="shared" si="54"/>
        <v>0</v>
      </c>
      <c r="BS65" s="4438">
        <f t="shared" si="55"/>
        <v>0</v>
      </c>
      <c r="BT65" s="4438">
        <f t="shared" si="56"/>
        <v>0</v>
      </c>
      <c r="BU65" s="4438">
        <f t="shared" si="57"/>
        <v>0</v>
      </c>
      <c r="BV65" s="4438">
        <f t="shared" si="58"/>
        <v>0</v>
      </c>
      <c r="BW65" s="4438">
        <f t="shared" si="59"/>
        <v>0</v>
      </c>
      <c r="BX65" s="4438">
        <f t="shared" si="60"/>
        <v>0</v>
      </c>
      <c r="BY65" s="4438">
        <f t="shared" si="61"/>
        <v>0</v>
      </c>
      <c r="BZ65" s="4438">
        <f t="shared" si="62"/>
        <v>0</v>
      </c>
      <c r="CA65" s="4438">
        <f t="shared" si="63"/>
        <v>0</v>
      </c>
      <c r="CB65" s="4438">
        <f t="shared" si="64"/>
        <v>0</v>
      </c>
      <c r="CC65" s="4438">
        <f t="shared" si="65"/>
        <v>0</v>
      </c>
      <c r="CD65" s="4438">
        <f t="shared" si="66"/>
        <v>0</v>
      </c>
      <c r="CE65" s="4438">
        <f t="shared" si="67"/>
        <v>0</v>
      </c>
      <c r="CF65" s="4438">
        <f t="shared" si="68"/>
        <v>0</v>
      </c>
      <c r="CG65" s="4438">
        <f t="shared" si="69"/>
        <v>0</v>
      </c>
      <c r="CH65" s="4438">
        <f t="shared" si="70"/>
        <v>0</v>
      </c>
      <c r="CI65" s="4438">
        <f t="shared" si="71"/>
        <v>0</v>
      </c>
      <c r="CJ65" s="4438">
        <f t="shared" si="72"/>
        <v>0</v>
      </c>
      <c r="CK65" s="4438">
        <f t="shared" si="73"/>
        <v>0</v>
      </c>
      <c r="CL65" s="4438">
        <f t="shared" si="74"/>
        <v>0</v>
      </c>
      <c r="CM65" s="4438">
        <f t="shared" si="75"/>
        <v>0</v>
      </c>
      <c r="CN65" s="4438">
        <f t="shared" si="76"/>
        <v>0</v>
      </c>
      <c r="CO65" s="4438">
        <f t="shared" si="77"/>
        <v>0</v>
      </c>
      <c r="CP65" s="4438">
        <f t="shared" si="78"/>
        <v>0</v>
      </c>
      <c r="CQ65" s="4438">
        <f t="shared" si="79"/>
        <v>0</v>
      </c>
      <c r="CR65" s="4438">
        <f t="shared" si="80"/>
        <v>0</v>
      </c>
      <c r="CS65" s="4438">
        <f t="shared" si="81"/>
        <v>0</v>
      </c>
      <c r="CT65" s="4438">
        <f t="shared" si="82"/>
        <v>0</v>
      </c>
      <c r="CU65" s="4438">
        <f t="shared" si="83"/>
        <v>0</v>
      </c>
      <c r="CV65" s="4438">
        <f t="shared" si="84"/>
        <v>0</v>
      </c>
      <c r="CW65" s="4438">
        <f t="shared" si="85"/>
        <v>0</v>
      </c>
      <c r="CX65" s="4438">
        <f t="shared" si="86"/>
        <v>0</v>
      </c>
      <c r="CY65" s="4438">
        <f t="shared" si="87"/>
        <v>68.513112080293283</v>
      </c>
      <c r="CZ65" s="4438">
        <f t="shared" si="88"/>
        <v>89.067045704381272</v>
      </c>
      <c r="DA65" s="4438">
        <f t="shared" si="89"/>
        <v>93.52039798960034</v>
      </c>
      <c r="DB65" s="4438">
        <f t="shared" si="90"/>
        <v>96.326009929288347</v>
      </c>
      <c r="DC65" s="4438">
        <f t="shared" si="91"/>
        <v>94.399489730702584</v>
      </c>
      <c r="DD65" s="4438">
        <f t="shared" si="92"/>
        <v>90.623510141474469</v>
      </c>
      <c r="DE65" s="4438">
        <f t="shared" si="93"/>
        <v>68.513112080293283</v>
      </c>
      <c r="DF65" s="4438">
        <f t="shared" si="94"/>
        <v>89.067045704381272</v>
      </c>
      <c r="DG65" s="4438">
        <f t="shared" si="95"/>
        <v>93.52039798960034</v>
      </c>
      <c r="DH65" s="4438">
        <f t="shared" si="96"/>
        <v>96.326009929288347</v>
      </c>
      <c r="DI65" s="4438">
        <f t="shared" si="97"/>
        <v>94.399489730702584</v>
      </c>
      <c r="DJ65" s="4438">
        <f t="shared" si="98"/>
        <v>90.623510141474469</v>
      </c>
    </row>
    <row r="66" spans="1:114" s="675" customFormat="1" ht="36">
      <c r="A66" s="394" t="s">
        <v>83</v>
      </c>
      <c r="B66" s="876" t="s">
        <v>1749</v>
      </c>
      <c r="C66" s="2641">
        <f>'5. Персонал'!C67</f>
        <v>0</v>
      </c>
      <c r="D66" s="1223">
        <f>'5. Персонал'!D67</f>
        <v>0</v>
      </c>
      <c r="E66" s="1107">
        <f>'5. Персонал'!E67</f>
        <v>0</v>
      </c>
      <c r="F66" s="1107">
        <f>'5. Персонал'!F67</f>
        <v>0</v>
      </c>
      <c r="G66" s="3892">
        <f>'5. Персонал'!G67</f>
        <v>0</v>
      </c>
      <c r="H66" s="3893">
        <f>'5. Персонал'!H67</f>
        <v>0</v>
      </c>
      <c r="I66" s="1223">
        <f t="shared" si="281"/>
        <v>0</v>
      </c>
      <c r="J66" s="803">
        <f t="shared" si="282"/>
        <v>0</v>
      </c>
      <c r="K66" s="2641">
        <f>'5. Персонал'!I67</f>
        <v>0</v>
      </c>
      <c r="L66" s="1223">
        <f>'5. Персонал'!J67</f>
        <v>0</v>
      </c>
      <c r="M66" s="1107">
        <f>'5. Персонал'!K67</f>
        <v>0</v>
      </c>
      <c r="N66" s="1107">
        <f>'5. Персонал'!L67</f>
        <v>0</v>
      </c>
      <c r="O66" s="1107">
        <f>'5. Персонал'!M67</f>
        <v>0</v>
      </c>
      <c r="P66" s="3064">
        <f>'5. Персонал'!N67</f>
        <v>0</v>
      </c>
      <c r="Q66" s="1223">
        <f t="shared" si="283"/>
        <v>0</v>
      </c>
      <c r="R66" s="855">
        <f t="shared" si="284"/>
        <v>0</v>
      </c>
      <c r="S66" s="2641">
        <f>'5. Персонал'!O67</f>
        <v>0</v>
      </c>
      <c r="T66" s="1223">
        <f>'5. Персонал'!P67</f>
        <v>0</v>
      </c>
      <c r="U66" s="1107">
        <f>'5. Персонал'!Q67</f>
        <v>0</v>
      </c>
      <c r="V66" s="1107">
        <f>'5. Персонал'!R67</f>
        <v>0</v>
      </c>
      <c r="W66" s="1107">
        <f>'5. Персонал'!S67</f>
        <v>0</v>
      </c>
      <c r="X66" s="3064">
        <f>'5. Персонал'!T67</f>
        <v>0</v>
      </c>
      <c r="Y66" s="1223">
        <f t="shared" si="209"/>
        <v>0</v>
      </c>
      <c r="Z66" s="855">
        <f t="shared" si="210"/>
        <v>0</v>
      </c>
      <c r="AA66" s="2641">
        <f>'5. Персонал'!U67</f>
        <v>0</v>
      </c>
      <c r="AB66" s="1223">
        <f>'5. Персонал'!V67</f>
        <v>0</v>
      </c>
      <c r="AC66" s="1107">
        <f>'5. Персонал'!W67</f>
        <v>0</v>
      </c>
      <c r="AD66" s="1107">
        <f>'5. Персонал'!X67</f>
        <v>0</v>
      </c>
      <c r="AE66" s="1107">
        <f>'5. Персонал'!Y67</f>
        <v>0</v>
      </c>
      <c r="AF66" s="3064">
        <f>'5. Персонал'!Z67</f>
        <v>0</v>
      </c>
      <c r="AG66" s="1223">
        <f t="shared" si="286"/>
        <v>0</v>
      </c>
      <c r="AH66" s="803">
        <f t="shared" si="287"/>
        <v>0</v>
      </c>
      <c r="AI66" s="1086">
        <f>'5. Персонал'!AA67</f>
        <v>0</v>
      </c>
      <c r="AJ66" s="1225">
        <f>'5. Персонал'!AB67</f>
        <v>0</v>
      </c>
      <c r="AK66" s="1110">
        <f>'5. Персонал'!AC67</f>
        <v>0</v>
      </c>
      <c r="AL66" s="1110">
        <f>'5. Персонал'!AD67</f>
        <v>0</v>
      </c>
      <c r="AM66" s="1110">
        <f>'5. Персонал'!AE67</f>
        <v>0</v>
      </c>
      <c r="AN66" s="3055">
        <f>'5. Персонал'!AF67</f>
        <v>0</v>
      </c>
      <c r="AO66" s="1223">
        <f t="shared" si="288"/>
        <v>0</v>
      </c>
      <c r="AP66" s="803">
        <f t="shared" si="289"/>
        <v>0</v>
      </c>
      <c r="AQ66" s="1086">
        <f>'5. Персонал'!AG67</f>
        <v>0</v>
      </c>
      <c r="AR66" s="1115">
        <f>'5. Персонал'!AH67</f>
        <v>0</v>
      </c>
      <c r="AS66" s="1110">
        <f>'5. Персонал'!AI67</f>
        <v>0</v>
      </c>
      <c r="AT66" s="1110">
        <f>'5. Персонал'!AJ67</f>
        <v>0</v>
      </c>
      <c r="AU66" s="1110">
        <f>'5. Персонал'!AK67</f>
        <v>0</v>
      </c>
      <c r="AV66" s="3055">
        <f>'5. Персонал'!AL67</f>
        <v>0</v>
      </c>
      <c r="AW66" s="1086">
        <f t="shared" ref="AW66:AW69" si="359">C66+K66+S66+AA66+AI66</f>
        <v>0</v>
      </c>
      <c r="AX66" s="3042">
        <f t="shared" ref="AX66:AX69" si="360">D66+L66+T66+AB66+AJ66</f>
        <v>0</v>
      </c>
      <c r="AY66" s="3042">
        <f t="shared" ref="AY66:AY68" si="361">E66+M66+U66+AC66+AK66</f>
        <v>0</v>
      </c>
      <c r="AZ66" s="3042">
        <f t="shared" ref="AZ66:AZ69" si="362">F66+N66+V66+AD66+AL66</f>
        <v>0</v>
      </c>
      <c r="BA66" s="3042">
        <f t="shared" ref="BA66:BA69" si="363">G66+O66+W66+AE66+AM66</f>
        <v>0</v>
      </c>
      <c r="BB66" s="3043">
        <f t="shared" ref="BB66:BB69" si="364">H66+P66+X66+AF66+AN66</f>
        <v>0</v>
      </c>
      <c r="BC66" s="3059">
        <f t="shared" ref="BC66:BC69" si="365">C66+AA66+AI66</f>
        <v>0</v>
      </c>
      <c r="BD66" s="3060">
        <f t="shared" ref="BD66:BD69" si="366">D66+AB66+AJ66</f>
        <v>0</v>
      </c>
      <c r="BE66" s="3061">
        <f t="shared" ref="BE66:BE69" si="367">E66+AC66+AK66</f>
        <v>0</v>
      </c>
      <c r="BF66" s="3061">
        <f t="shared" ref="BF66:BF69" si="368">F66+AD66+AL66</f>
        <v>0</v>
      </c>
      <c r="BG66" s="3061">
        <f t="shared" ref="BG66:BG69" si="369">G66+AE66+AM66</f>
        <v>0</v>
      </c>
      <c r="BH66" s="3063">
        <f t="shared" ref="BH66:BH69" si="370">H66+AF66+AN66</f>
        <v>0</v>
      </c>
      <c r="BI66" s="4422"/>
      <c r="BJ66" s="4438">
        <f t="shared" si="46"/>
        <v>0</v>
      </c>
      <c r="BK66" s="4438">
        <f t="shared" si="47"/>
        <v>0</v>
      </c>
      <c r="BL66" s="4438">
        <f t="shared" si="48"/>
        <v>0</v>
      </c>
      <c r="BM66" s="4438">
        <f t="shared" si="49"/>
        <v>0</v>
      </c>
      <c r="BN66" s="4438">
        <f t="shared" si="50"/>
        <v>0</v>
      </c>
      <c r="BO66" s="4438">
        <f t="shared" si="51"/>
        <v>0</v>
      </c>
      <c r="BP66" s="4438">
        <f t="shared" si="52"/>
        <v>0</v>
      </c>
      <c r="BQ66" s="4438">
        <f t="shared" si="53"/>
        <v>0</v>
      </c>
      <c r="BR66" s="4438">
        <f t="shared" si="54"/>
        <v>0</v>
      </c>
      <c r="BS66" s="4438">
        <f t="shared" si="55"/>
        <v>0</v>
      </c>
      <c r="BT66" s="4438">
        <f t="shared" si="56"/>
        <v>0</v>
      </c>
      <c r="BU66" s="4438">
        <f t="shared" si="57"/>
        <v>0</v>
      </c>
      <c r="BV66" s="4438">
        <f t="shared" si="58"/>
        <v>0</v>
      </c>
      <c r="BW66" s="4438">
        <f t="shared" si="59"/>
        <v>0</v>
      </c>
      <c r="BX66" s="4438">
        <f t="shared" si="60"/>
        <v>0</v>
      </c>
      <c r="BY66" s="4438">
        <f t="shared" si="61"/>
        <v>0</v>
      </c>
      <c r="BZ66" s="4438">
        <f t="shared" si="62"/>
        <v>0</v>
      </c>
      <c r="CA66" s="4438">
        <f t="shared" si="63"/>
        <v>0</v>
      </c>
      <c r="CB66" s="4438">
        <f t="shared" si="64"/>
        <v>0</v>
      </c>
      <c r="CC66" s="4438">
        <f t="shared" si="65"/>
        <v>0</v>
      </c>
      <c r="CD66" s="4438">
        <f t="shared" si="66"/>
        <v>0</v>
      </c>
      <c r="CE66" s="4438">
        <f t="shared" si="67"/>
        <v>0</v>
      </c>
      <c r="CF66" s="4438">
        <f t="shared" si="68"/>
        <v>0</v>
      </c>
      <c r="CG66" s="4438">
        <f t="shared" si="69"/>
        <v>0</v>
      </c>
      <c r="CH66" s="4438">
        <f t="shared" si="70"/>
        <v>0</v>
      </c>
      <c r="CI66" s="4438">
        <f t="shared" si="71"/>
        <v>0</v>
      </c>
      <c r="CJ66" s="4438">
        <f t="shared" si="72"/>
        <v>0</v>
      </c>
      <c r="CK66" s="4438">
        <f t="shared" si="73"/>
        <v>0</v>
      </c>
      <c r="CL66" s="4438">
        <f t="shared" si="74"/>
        <v>0</v>
      </c>
      <c r="CM66" s="4438">
        <f t="shared" si="75"/>
        <v>0</v>
      </c>
      <c r="CN66" s="4438">
        <f t="shared" si="76"/>
        <v>0</v>
      </c>
      <c r="CO66" s="4438">
        <f t="shared" si="77"/>
        <v>0</v>
      </c>
      <c r="CP66" s="4438">
        <f t="shared" si="78"/>
        <v>0</v>
      </c>
      <c r="CQ66" s="4438">
        <f t="shared" si="79"/>
        <v>0</v>
      </c>
      <c r="CR66" s="4438">
        <f t="shared" si="80"/>
        <v>0</v>
      </c>
      <c r="CS66" s="4438">
        <f t="shared" si="81"/>
        <v>0</v>
      </c>
      <c r="CT66" s="4438">
        <f t="shared" si="82"/>
        <v>0</v>
      </c>
      <c r="CU66" s="4438">
        <f t="shared" si="83"/>
        <v>0</v>
      </c>
      <c r="CV66" s="4438">
        <f t="shared" si="84"/>
        <v>0</v>
      </c>
      <c r="CW66" s="4438">
        <f t="shared" si="85"/>
        <v>0</v>
      </c>
      <c r="CX66" s="4438">
        <f t="shared" si="86"/>
        <v>0</v>
      </c>
      <c r="CY66" s="4438">
        <f t="shared" si="87"/>
        <v>0</v>
      </c>
      <c r="CZ66" s="4438">
        <f t="shared" si="88"/>
        <v>0</v>
      </c>
      <c r="DA66" s="4438">
        <f t="shared" si="89"/>
        <v>0</v>
      </c>
      <c r="DB66" s="4438">
        <f t="shared" si="90"/>
        <v>0</v>
      </c>
      <c r="DC66" s="4438">
        <f t="shared" si="91"/>
        <v>0</v>
      </c>
      <c r="DD66" s="4438">
        <f t="shared" si="92"/>
        <v>0</v>
      </c>
      <c r="DE66" s="4438">
        <f t="shared" si="93"/>
        <v>0</v>
      </c>
      <c r="DF66" s="4438">
        <f t="shared" si="94"/>
        <v>0</v>
      </c>
      <c r="DG66" s="4438">
        <f t="shared" si="95"/>
        <v>0</v>
      </c>
      <c r="DH66" s="4438">
        <f t="shared" si="96"/>
        <v>0</v>
      </c>
      <c r="DI66" s="4438">
        <f t="shared" si="97"/>
        <v>0</v>
      </c>
      <c r="DJ66" s="4438">
        <f t="shared" si="98"/>
        <v>0</v>
      </c>
    </row>
    <row r="67" spans="1:114" ht="12.75">
      <c r="A67" s="394" t="s">
        <v>84</v>
      </c>
      <c r="B67" s="876" t="s">
        <v>1306</v>
      </c>
      <c r="C67" s="1086">
        <f>'5. Персонал'!C46-'5. Персонал'!C47-'5. Персонал'!C48</f>
        <v>1053.4266699999998</v>
      </c>
      <c r="D67" s="882">
        <f>'5. Персонал'!D46-'5. Персонал'!D47-'5. Персонал'!D48</f>
        <v>1253.4546710000004</v>
      </c>
      <c r="E67" s="882">
        <f>'5. Персонал'!E46-'5. Персонал'!E47-'5. Персонал'!E48</f>
        <v>1249.1274045500011</v>
      </c>
      <c r="F67" s="882">
        <f>'5. Персонал'!F46-'5. Персонал'!F47-'5. Персонал'!F48</f>
        <v>1306.4012266865004</v>
      </c>
      <c r="G67" s="882">
        <f>'5. Персонал'!G46-'5. Персонал'!G47-'5. Персонал'!G48</f>
        <v>1388.779211120846</v>
      </c>
      <c r="H67" s="1115">
        <f>'5. Персонал'!H46-'5. Персонал'!H47-'5. Персонал'!H48</f>
        <v>1387.7480426760117</v>
      </c>
      <c r="I67" s="1225">
        <f t="shared" si="281"/>
        <v>200.02800100000059</v>
      </c>
      <c r="J67" s="804">
        <f t="shared" si="282"/>
        <v>0.18988317525699308</v>
      </c>
      <c r="K67" s="1086">
        <f>'5. Персонал'!I46-'5. Персонал'!I47-'5. Персонал'!I48</f>
        <v>31.966350000000034</v>
      </c>
      <c r="L67" s="882">
        <f>'5. Персонал'!J46-'5. Персонал'!J47-'5. Персонал'!J48</f>
        <v>26.303623421052635</v>
      </c>
      <c r="M67" s="882">
        <f>'5. Персонал'!K46-'5. Персонал'!K47-'5. Персонал'!K48</f>
        <v>25.844067749999795</v>
      </c>
      <c r="N67" s="882">
        <f>'5. Персонал'!L46-'5. Персонал'!L47-'5. Персонал'!L48</f>
        <v>24.26938978250007</v>
      </c>
      <c r="O67" s="882">
        <f>'5. Персонал'!M46-'5. Персонал'!M47-'5. Персонал'!M48</f>
        <v>24.664001986849939</v>
      </c>
      <c r="P67" s="1115">
        <f>'5. Персонал'!N46-'5. Персонал'!N47-'5. Персонал'!N48</f>
        <v>25.437441907375842</v>
      </c>
      <c r="Q67" s="1223">
        <f t="shared" si="283"/>
        <v>-5.6627265789473995</v>
      </c>
      <c r="R67" s="855">
        <f t="shared" si="284"/>
        <v>-0.17714648619399442</v>
      </c>
      <c r="S67" s="1086">
        <f>'5. Персонал'!O46-'5. Персонал'!O47-'5. Персонал'!O48</f>
        <v>91.756219999999985</v>
      </c>
      <c r="T67" s="882">
        <f>'5. Персонал'!P46-'5. Персонал'!P47-'5. Персонал'!P48</f>
        <v>107.98308599999997</v>
      </c>
      <c r="U67" s="882">
        <f>'5. Персонал'!Q46-'5. Персонал'!Q47-'5. Персонал'!Q48</f>
        <v>108.03224029999997</v>
      </c>
      <c r="V67" s="882">
        <f>'5. Персонал'!R46-'5. Персонал'!R47-'5. Персонал'!R48</f>
        <v>108.06320750899999</v>
      </c>
      <c r="W67" s="882">
        <f>'5. Персонал'!S46-'5. Персонал'!S47-'5. Персонал'!S48</f>
        <v>134.04194335881994</v>
      </c>
      <c r="X67" s="1115">
        <f>'5. Персонал'!T46-'5. Персонал'!T47-'5. Персонал'!T48</f>
        <v>134.0002656244672</v>
      </c>
      <c r="Y67" s="1223">
        <f t="shared" si="209"/>
        <v>16.226865999999987</v>
      </c>
      <c r="Z67" s="855">
        <f t="shared" si="210"/>
        <v>0.17684758591842592</v>
      </c>
      <c r="AA67" s="1086">
        <f>'5. Персонал'!U46-'5. Персонал'!U47-'5. Персонал'!U48</f>
        <v>0</v>
      </c>
      <c r="AB67" s="882">
        <f>'5. Персонал'!V46-'5. Персонал'!V47-'5. Персонал'!V48</f>
        <v>0</v>
      </c>
      <c r="AC67" s="882">
        <f>'5. Персонал'!W46-'5. Персонал'!W47-'5. Персонал'!W48</f>
        <v>0</v>
      </c>
      <c r="AD67" s="882">
        <f>'5. Персонал'!X46-'5. Персонал'!X47-'5. Персонал'!X48</f>
        <v>0</v>
      </c>
      <c r="AE67" s="882">
        <f>'5. Персонал'!Y46-'5. Персонал'!Y47-'5. Персонал'!Y48</f>
        <v>0</v>
      </c>
      <c r="AF67" s="1115">
        <f>'5. Персонал'!Z46-'5. Персонал'!Z47-'5. Персонал'!Z48</f>
        <v>0</v>
      </c>
      <c r="AG67" s="1223">
        <f t="shared" si="286"/>
        <v>0</v>
      </c>
      <c r="AH67" s="803">
        <f t="shared" si="287"/>
        <v>0</v>
      </c>
      <c r="AI67" s="1086">
        <f>'5. Персонал'!AA46-'5. Персонал'!AA47-'5. Персонал'!AA48</f>
        <v>0</v>
      </c>
      <c r="AJ67" s="882">
        <f>'5. Персонал'!AB46-'5. Персонал'!AB47-'5. Персонал'!AB48</f>
        <v>0</v>
      </c>
      <c r="AK67" s="882">
        <f>'5. Персонал'!AC46-'5. Персонал'!AC47-'5. Персонал'!AC48</f>
        <v>0</v>
      </c>
      <c r="AL67" s="882">
        <f>'5. Персонал'!AD46-'5. Персонал'!AD47-'5. Персонал'!AD48</f>
        <v>0</v>
      </c>
      <c r="AM67" s="882">
        <f>'5. Персонал'!AE46-'5. Персонал'!AE47-'5. Персонал'!AE48</f>
        <v>0</v>
      </c>
      <c r="AN67" s="3055">
        <f>'5. Персонал'!AF46-'5. Персонал'!AF47-'5. Персонал'!AF48</f>
        <v>0</v>
      </c>
      <c r="AO67" s="1223">
        <f t="shared" si="288"/>
        <v>0</v>
      </c>
      <c r="AP67" s="803">
        <f t="shared" si="289"/>
        <v>0</v>
      </c>
      <c r="AQ67" s="1086">
        <f>'5. Персонал'!AG46-'5. Персонал'!AG47-'5. Персонал'!AG48</f>
        <v>14</v>
      </c>
      <c r="AR67" s="882">
        <f>'5. Персонал'!AH46-'5. Персонал'!AH47-'5. Персонал'!AH48</f>
        <v>13</v>
      </c>
      <c r="AS67" s="882">
        <f>'5. Персонал'!AI46-'5. Персонал'!AI47-'5. Персонал'!AI48</f>
        <v>13</v>
      </c>
      <c r="AT67" s="882">
        <f>'5. Персонал'!AJ46-'5. Персонал'!AJ47-'5. Персонал'!AJ48</f>
        <v>13</v>
      </c>
      <c r="AU67" s="882">
        <f>'5. Персонал'!AK46-'5. Персонал'!AK47-'5. Персонал'!AK48</f>
        <v>13</v>
      </c>
      <c r="AV67" s="3055">
        <f>'5. Персонал'!AL46-'5. Персонал'!AL47-'5. Персонал'!AL48</f>
        <v>13</v>
      </c>
      <c r="AW67" s="1086">
        <f t="shared" si="359"/>
        <v>1177.14924</v>
      </c>
      <c r="AX67" s="3042">
        <f t="shared" si="360"/>
        <v>1387.741380421053</v>
      </c>
      <c r="AY67" s="3042">
        <f t="shared" si="361"/>
        <v>1383.0037126000009</v>
      </c>
      <c r="AZ67" s="3042">
        <f t="shared" si="362"/>
        <v>1438.7338239780004</v>
      </c>
      <c r="BA67" s="3042">
        <f t="shared" si="363"/>
        <v>1547.4851564665159</v>
      </c>
      <c r="BB67" s="3043">
        <f t="shared" si="364"/>
        <v>1547.1857502078547</v>
      </c>
      <c r="BC67" s="3059">
        <f t="shared" si="365"/>
        <v>1053.4266699999998</v>
      </c>
      <c r="BD67" s="3060">
        <f t="shared" si="366"/>
        <v>1253.4546710000004</v>
      </c>
      <c r="BE67" s="3061">
        <f t="shared" si="367"/>
        <v>1249.1274045500011</v>
      </c>
      <c r="BF67" s="3061">
        <f t="shared" si="368"/>
        <v>1306.4012266865004</v>
      </c>
      <c r="BG67" s="3061">
        <f t="shared" si="369"/>
        <v>1388.779211120846</v>
      </c>
      <c r="BH67" s="3063">
        <f t="shared" si="370"/>
        <v>1387.7480426760117</v>
      </c>
      <c r="BI67" s="4422"/>
      <c r="BJ67" s="4438">
        <f t="shared" si="46"/>
        <v>538.60850380656802</v>
      </c>
      <c r="BK67" s="4438">
        <f t="shared" si="47"/>
        <v>640.88119672977734</v>
      </c>
      <c r="BL67" s="4438">
        <f t="shared" si="48"/>
        <v>638.66870052611989</v>
      </c>
      <c r="BM67" s="4438">
        <f t="shared" si="49"/>
        <v>667.95234078958833</v>
      </c>
      <c r="BN67" s="4438">
        <f t="shared" si="50"/>
        <v>710.07153542017761</v>
      </c>
      <c r="BO67" s="4438">
        <f t="shared" si="51"/>
        <v>709.54430736618815</v>
      </c>
      <c r="BP67" s="4438">
        <f t="shared" si="52"/>
        <v>102.27269292320938</v>
      </c>
      <c r="BQ67" s="4438">
        <f t="shared" si="53"/>
        <v>16.344135226476755</v>
      </c>
      <c r="BR67" s="4438">
        <f t="shared" si="54"/>
        <v>13.448829101226915</v>
      </c>
      <c r="BS67" s="4438">
        <f t="shared" si="55"/>
        <v>13.213862017659917</v>
      </c>
      <c r="BT67" s="4438">
        <f t="shared" si="56"/>
        <v>12.408741957378744</v>
      </c>
      <c r="BU67" s="4438">
        <f t="shared" si="57"/>
        <v>12.610503973683777</v>
      </c>
      <c r="BV67" s="4438">
        <f t="shared" si="58"/>
        <v>13.005957525641719</v>
      </c>
      <c r="BW67" s="4438">
        <f t="shared" si="59"/>
        <v>-2.8953061252498427</v>
      </c>
      <c r="BX67" s="4438">
        <f t="shared" si="60"/>
        <v>46.914210335254083</v>
      </c>
      <c r="BY67" s="4438">
        <f t="shared" si="61"/>
        <v>55.210875178313032</v>
      </c>
      <c r="BZ67" s="4438">
        <f t="shared" si="62"/>
        <v>55.236007372828915</v>
      </c>
      <c r="CA67" s="4438">
        <f t="shared" si="63"/>
        <v>55.251840655373933</v>
      </c>
      <c r="CB67" s="4438">
        <f t="shared" si="64"/>
        <v>68.534557379128017</v>
      </c>
      <c r="CC67" s="4438">
        <f t="shared" si="65"/>
        <v>68.51324789192681</v>
      </c>
      <c r="CD67" s="4438">
        <f t="shared" si="66"/>
        <v>8.2966648430589505</v>
      </c>
      <c r="CE67" s="4438">
        <f t="shared" si="67"/>
        <v>0</v>
      </c>
      <c r="CF67" s="4438">
        <f t="shared" si="68"/>
        <v>0</v>
      </c>
      <c r="CG67" s="4438">
        <f t="shared" si="69"/>
        <v>0</v>
      </c>
      <c r="CH67" s="4438">
        <f t="shared" si="70"/>
        <v>0</v>
      </c>
      <c r="CI67" s="4438">
        <f t="shared" si="71"/>
        <v>0</v>
      </c>
      <c r="CJ67" s="4438">
        <f t="shared" si="72"/>
        <v>0</v>
      </c>
      <c r="CK67" s="4438">
        <f t="shared" si="73"/>
        <v>0</v>
      </c>
      <c r="CL67" s="4438">
        <f t="shared" si="74"/>
        <v>0</v>
      </c>
      <c r="CM67" s="4438">
        <f t="shared" si="75"/>
        <v>0</v>
      </c>
      <c r="CN67" s="4438">
        <f t="shared" si="76"/>
        <v>0</v>
      </c>
      <c r="CO67" s="4438">
        <f t="shared" si="77"/>
        <v>0</v>
      </c>
      <c r="CP67" s="4438">
        <f t="shared" si="78"/>
        <v>0</v>
      </c>
      <c r="CQ67" s="4438">
        <f t="shared" si="79"/>
        <v>0</v>
      </c>
      <c r="CR67" s="4438">
        <f t="shared" si="80"/>
        <v>0</v>
      </c>
      <c r="CS67" s="4438">
        <f t="shared" si="81"/>
        <v>7.1580863367470586</v>
      </c>
      <c r="CT67" s="4438">
        <f t="shared" si="82"/>
        <v>6.6467944555508405</v>
      </c>
      <c r="CU67" s="4438">
        <f t="shared" si="83"/>
        <v>6.6467944555508405</v>
      </c>
      <c r="CV67" s="4438">
        <f t="shared" si="84"/>
        <v>6.6467944555508405</v>
      </c>
      <c r="CW67" s="4438">
        <f t="shared" si="85"/>
        <v>6.6467944555508405</v>
      </c>
      <c r="CX67" s="4438">
        <f t="shared" si="86"/>
        <v>6.6467944555508405</v>
      </c>
      <c r="CY67" s="4438">
        <f t="shared" si="87"/>
        <v>601.86684936829886</v>
      </c>
      <c r="CZ67" s="4438">
        <f t="shared" si="88"/>
        <v>709.54090100931728</v>
      </c>
      <c r="DA67" s="4438">
        <f t="shared" si="89"/>
        <v>707.11856991660875</v>
      </c>
      <c r="DB67" s="4438">
        <f t="shared" si="90"/>
        <v>735.61292340234093</v>
      </c>
      <c r="DC67" s="4438">
        <f t="shared" si="91"/>
        <v>791.21659677298942</v>
      </c>
      <c r="DD67" s="4438">
        <f t="shared" si="92"/>
        <v>791.06351278375666</v>
      </c>
      <c r="DE67" s="4438">
        <f t="shared" si="93"/>
        <v>538.60850380656802</v>
      </c>
      <c r="DF67" s="4438">
        <f t="shared" si="94"/>
        <v>640.88119672977734</v>
      </c>
      <c r="DG67" s="4438">
        <f t="shared" si="95"/>
        <v>638.66870052611989</v>
      </c>
      <c r="DH67" s="4438">
        <f t="shared" si="96"/>
        <v>667.95234078958833</v>
      </c>
      <c r="DI67" s="4438">
        <f t="shared" si="97"/>
        <v>710.07153542017761</v>
      </c>
      <c r="DJ67" s="4438">
        <f t="shared" si="98"/>
        <v>709.54430736618815</v>
      </c>
    </row>
    <row r="68" spans="1:114" s="675" customFormat="1" ht="24">
      <c r="A68" s="3887" t="s">
        <v>1280</v>
      </c>
      <c r="B68" s="3888" t="s">
        <v>1307</v>
      </c>
      <c r="C68" s="2641">
        <f>'8. Ремонтна програма'!J37</f>
        <v>66.573330000000283</v>
      </c>
      <c r="D68" s="1223">
        <f>'8. Ремонтна програма'!K37</f>
        <v>86.545328999999498</v>
      </c>
      <c r="E68" s="1107">
        <f>'8. Ремонтна програма'!L37</f>
        <v>90.872595449998983</v>
      </c>
      <c r="F68" s="1107">
        <f>'8. Ремонтна програма'!M37</f>
        <v>93.598773313499635</v>
      </c>
      <c r="G68" s="1107">
        <f>'8. Ремонтна програма'!N37</f>
        <v>-25.779211120846071</v>
      </c>
      <c r="H68" s="3064">
        <f>'8. Ремонтна програма'!O37</f>
        <v>-24.748042676011551</v>
      </c>
      <c r="I68" s="1223">
        <f t="shared" si="281"/>
        <v>19.971998999999215</v>
      </c>
      <c r="J68" s="803">
        <f t="shared" si="282"/>
        <v>0.29999999999998694</v>
      </c>
      <c r="K68" s="2641">
        <f>'8. Ремонтна програма'!J66</f>
        <v>14.033649999999966</v>
      </c>
      <c r="L68" s="1223">
        <f>'8. Ремонтна програма'!K66</f>
        <v>18.24374499999999</v>
      </c>
      <c r="M68" s="1107">
        <f>'8. Ремонтна програма'!L66</f>
        <v>19.155932250000205</v>
      </c>
      <c r="N68" s="1107">
        <f>'8. Ремонтна програма'!M66</f>
        <v>19.73061021749993</v>
      </c>
      <c r="O68" s="1107">
        <f>'8. Ремонтна програма'!N66</f>
        <v>19.335998013150061</v>
      </c>
      <c r="P68" s="3064">
        <f>'8. Ремонтна програма'!O66</f>
        <v>18.562558092624158</v>
      </c>
      <c r="Q68" s="1223">
        <f t="shared" si="283"/>
        <v>4.2100950000000239</v>
      </c>
      <c r="R68" s="855">
        <f t="shared" si="284"/>
        <v>0.30000000000000243</v>
      </c>
      <c r="S68" s="2641">
        <f>'8. Ремонтна програма'!J92</f>
        <v>-1.7562199999999919</v>
      </c>
      <c r="T68" s="1223">
        <f>'8. Ремонтна програма'!K92</f>
        <v>-0.9830859999999717</v>
      </c>
      <c r="U68" s="1107">
        <f>'8. Ремонтна програма'!L92</f>
        <v>-1.0322402999999696</v>
      </c>
      <c r="V68" s="1107">
        <f>'8. Ремонтна програма'!M92</f>
        <v>-1.0632075089999944</v>
      </c>
      <c r="W68" s="1107">
        <f>'8. Ремонтна програма'!N92</f>
        <v>-1.0419433588199496</v>
      </c>
      <c r="X68" s="3064">
        <f>'8. Ремонтна програма'!O92</f>
        <v>-1.0002656244671897</v>
      </c>
      <c r="Y68" s="1223">
        <f t="shared" si="209"/>
        <v>0.77313400000002019</v>
      </c>
      <c r="Z68" s="855">
        <f t="shared" si="210"/>
        <v>-0.44022616756444166</v>
      </c>
      <c r="AA68" s="2641">
        <f>'8. Ремонтна програма'!J123</f>
        <v>0</v>
      </c>
      <c r="AB68" s="1223">
        <f>'8. Ремонтна програма'!K123</f>
        <v>0</v>
      </c>
      <c r="AC68" s="1107">
        <f>'8. Ремонтна програма'!L123</f>
        <v>0</v>
      </c>
      <c r="AD68" s="1107">
        <f>'8. Ремонтна програма'!M123</f>
        <v>0</v>
      </c>
      <c r="AE68" s="1107">
        <f>'8. Ремонтна програма'!N123</f>
        <v>0</v>
      </c>
      <c r="AF68" s="3064">
        <f>'8. Ремонтна програма'!O123</f>
        <v>0</v>
      </c>
      <c r="AG68" s="1223">
        <f t="shared" si="286"/>
        <v>0</v>
      </c>
      <c r="AH68" s="803">
        <f t="shared" si="287"/>
        <v>0</v>
      </c>
      <c r="AI68" s="1086">
        <f>'8. Ремонтна програма'!J154</f>
        <v>0</v>
      </c>
      <c r="AJ68" s="1225">
        <f>'8. Ремонтна програма'!K154</f>
        <v>0</v>
      </c>
      <c r="AK68" s="1110">
        <f>'8. Ремонтна програма'!L154</f>
        <v>0</v>
      </c>
      <c r="AL68" s="1110">
        <f>'8. Ремонтна програма'!M154</f>
        <v>0</v>
      </c>
      <c r="AM68" s="1110">
        <f>'8. Ремонтна програма'!N154</f>
        <v>0</v>
      </c>
      <c r="AN68" s="3055">
        <f>'8. Ремонтна програма'!O154</f>
        <v>0</v>
      </c>
      <c r="AO68" s="1223">
        <f t="shared" si="288"/>
        <v>0</v>
      </c>
      <c r="AP68" s="803">
        <f t="shared" si="289"/>
        <v>0</v>
      </c>
      <c r="AQ68" s="1086">
        <f>'5. Персонал'!AG47</f>
        <v>0</v>
      </c>
      <c r="AR68" s="1115">
        <f>'5. Персонал'!AH47</f>
        <v>0</v>
      </c>
      <c r="AS68" s="1110">
        <f>'5. Персонал'!AI47</f>
        <v>0</v>
      </c>
      <c r="AT68" s="1110">
        <f>'5. Персонал'!AJ47</f>
        <v>0</v>
      </c>
      <c r="AU68" s="1110">
        <f>'5. Персонал'!AK47</f>
        <v>0</v>
      </c>
      <c r="AV68" s="3055">
        <f>'5. Персонал'!AL47</f>
        <v>0</v>
      </c>
      <c r="AW68" s="1086">
        <f t="shared" si="359"/>
        <v>78.850760000000264</v>
      </c>
      <c r="AX68" s="3042">
        <f t="shared" si="360"/>
        <v>103.80598799999952</v>
      </c>
      <c r="AY68" s="3042">
        <f t="shared" si="361"/>
        <v>108.99628739999922</v>
      </c>
      <c r="AZ68" s="3042">
        <f t="shared" si="362"/>
        <v>112.26617602199957</v>
      </c>
      <c r="BA68" s="3042">
        <f t="shared" si="363"/>
        <v>-7.48515646651596</v>
      </c>
      <c r="BB68" s="3043">
        <f t="shared" si="364"/>
        <v>-7.1857502078545821</v>
      </c>
      <c r="BC68" s="3059">
        <f t="shared" si="365"/>
        <v>66.573330000000283</v>
      </c>
      <c r="BD68" s="3060">
        <f t="shared" si="366"/>
        <v>86.545328999999498</v>
      </c>
      <c r="BE68" s="3061">
        <f t="shared" si="367"/>
        <v>90.872595449998983</v>
      </c>
      <c r="BF68" s="3061">
        <f t="shared" si="368"/>
        <v>93.598773313499635</v>
      </c>
      <c r="BG68" s="3061">
        <f t="shared" si="369"/>
        <v>-25.779211120846071</v>
      </c>
      <c r="BH68" s="3063">
        <f t="shared" si="370"/>
        <v>-24.748042676011551</v>
      </c>
      <c r="BI68" s="4422"/>
      <c r="BJ68" s="4438">
        <f t="shared" si="46"/>
        <v>34.038403133196795</v>
      </c>
      <c r="BK68" s="4438">
        <f t="shared" si="47"/>
        <v>44.249924073155384</v>
      </c>
      <c r="BL68" s="4438">
        <f t="shared" si="48"/>
        <v>46.462420276812907</v>
      </c>
      <c r="BM68" s="4438">
        <f t="shared" si="49"/>
        <v>47.856292885117639</v>
      </c>
      <c r="BN68" s="4438">
        <f t="shared" si="50"/>
        <v>-13.180701349731864</v>
      </c>
      <c r="BO68" s="4438">
        <f t="shared" si="51"/>
        <v>-12.653473295742243</v>
      </c>
      <c r="BP68" s="4438">
        <f t="shared" si="52"/>
        <v>10.211520939958593</v>
      </c>
      <c r="BQ68" s="4438">
        <f t="shared" si="53"/>
        <v>7.1752913085492942</v>
      </c>
      <c r="BR68" s="4438">
        <f t="shared" si="54"/>
        <v>9.3278787011141002</v>
      </c>
      <c r="BS68" s="4438">
        <f t="shared" si="55"/>
        <v>9.7942726361699162</v>
      </c>
      <c r="BT68" s="4438">
        <f t="shared" si="56"/>
        <v>10.088100815254869</v>
      </c>
      <c r="BU68" s="4438">
        <f t="shared" si="57"/>
        <v>9.8863387989498381</v>
      </c>
      <c r="BV68" s="4438">
        <f t="shared" si="58"/>
        <v>9.4908852469918958</v>
      </c>
      <c r="BW68" s="4438">
        <f t="shared" si="59"/>
        <v>2.1525873925648056</v>
      </c>
      <c r="BX68" s="4438">
        <f t="shared" si="60"/>
        <v>-0.89794102759441874</v>
      </c>
      <c r="BY68" s="4438">
        <f t="shared" si="61"/>
        <v>-0.50264389031765122</v>
      </c>
      <c r="BZ68" s="4438">
        <f t="shared" si="62"/>
        <v>-0.52777608483353333</v>
      </c>
      <c r="CA68" s="4438">
        <f t="shared" si="63"/>
        <v>-0.54360936737855259</v>
      </c>
      <c r="CB68" s="4438">
        <f t="shared" si="64"/>
        <v>-0.53273718003095849</v>
      </c>
      <c r="CC68" s="4438">
        <f t="shared" si="65"/>
        <v>-0.51142769282973966</v>
      </c>
      <c r="CD68" s="4438">
        <f t="shared" si="66"/>
        <v>0.39529713727676752</v>
      </c>
      <c r="CE68" s="4438">
        <f t="shared" si="67"/>
        <v>0</v>
      </c>
      <c r="CF68" s="4438">
        <f t="shared" si="68"/>
        <v>0</v>
      </c>
      <c r="CG68" s="4438">
        <f t="shared" si="69"/>
        <v>0</v>
      </c>
      <c r="CH68" s="4438">
        <f t="shared" si="70"/>
        <v>0</v>
      </c>
      <c r="CI68" s="4438">
        <f t="shared" si="71"/>
        <v>0</v>
      </c>
      <c r="CJ68" s="4438">
        <f t="shared" si="72"/>
        <v>0</v>
      </c>
      <c r="CK68" s="4438">
        <f t="shared" si="73"/>
        <v>0</v>
      </c>
      <c r="CL68" s="4438">
        <f t="shared" si="74"/>
        <v>0</v>
      </c>
      <c r="CM68" s="4438">
        <f t="shared" si="75"/>
        <v>0</v>
      </c>
      <c r="CN68" s="4438">
        <f t="shared" si="76"/>
        <v>0</v>
      </c>
      <c r="CO68" s="4438">
        <f t="shared" si="77"/>
        <v>0</v>
      </c>
      <c r="CP68" s="4438">
        <f t="shared" si="78"/>
        <v>0</v>
      </c>
      <c r="CQ68" s="4438">
        <f t="shared" si="79"/>
        <v>0</v>
      </c>
      <c r="CR68" s="4438">
        <f t="shared" si="80"/>
        <v>0</v>
      </c>
      <c r="CS68" s="4438">
        <f t="shared" si="81"/>
        <v>0</v>
      </c>
      <c r="CT68" s="4438">
        <f t="shared" si="82"/>
        <v>0</v>
      </c>
      <c r="CU68" s="4438">
        <f t="shared" si="83"/>
        <v>0</v>
      </c>
      <c r="CV68" s="4438">
        <f t="shared" si="84"/>
        <v>0</v>
      </c>
      <c r="CW68" s="4438">
        <f t="shared" si="85"/>
        <v>0</v>
      </c>
      <c r="CX68" s="4438">
        <f t="shared" si="86"/>
        <v>0</v>
      </c>
      <c r="CY68" s="4438">
        <f t="shared" si="87"/>
        <v>40.315753414151672</v>
      </c>
      <c r="CZ68" s="4438">
        <f t="shared" si="88"/>
        <v>53.075158883951836</v>
      </c>
      <c r="DA68" s="4438">
        <f t="shared" si="89"/>
        <v>55.728916828149288</v>
      </c>
      <c r="DB68" s="4438">
        <f t="shared" si="90"/>
        <v>57.400784332993958</v>
      </c>
      <c r="DC68" s="4438">
        <f t="shared" si="91"/>
        <v>-3.8270997308129848</v>
      </c>
      <c r="DD68" s="4438">
        <f t="shared" si="92"/>
        <v>-3.6740157415800874</v>
      </c>
      <c r="DE68" s="4438">
        <f t="shared" si="93"/>
        <v>34.038403133196795</v>
      </c>
      <c r="DF68" s="4438">
        <f t="shared" si="94"/>
        <v>44.249924073155384</v>
      </c>
      <c r="DG68" s="4438">
        <f t="shared" si="95"/>
        <v>46.462420276812907</v>
      </c>
      <c r="DH68" s="4438">
        <f t="shared" si="96"/>
        <v>47.856292885117639</v>
      </c>
      <c r="DI68" s="4438">
        <f t="shared" si="97"/>
        <v>-13.180701349731864</v>
      </c>
      <c r="DJ68" s="4438">
        <f t="shared" si="98"/>
        <v>-12.653473295742243</v>
      </c>
    </row>
    <row r="69" spans="1:114" ht="43.5" customHeight="1" thickBot="1">
      <c r="A69" s="3884" t="s">
        <v>1281</v>
      </c>
      <c r="B69" s="3886" t="s">
        <v>1750</v>
      </c>
      <c r="C69" s="3351">
        <f>'5. Персонал'!C68</f>
        <v>0</v>
      </c>
      <c r="D69" s="3889">
        <f>'5. Персонал'!D68</f>
        <v>0</v>
      </c>
      <c r="E69" s="3889">
        <f>'5. Персонал'!E68</f>
        <v>0</v>
      </c>
      <c r="F69" s="3889">
        <f>'5. Персонал'!F68</f>
        <v>0</v>
      </c>
      <c r="G69" s="3889">
        <f>'5. Персонал'!G68</f>
        <v>0</v>
      </c>
      <c r="H69" s="3890">
        <f>'5. Персонал'!H68</f>
        <v>0</v>
      </c>
      <c r="I69" s="1223">
        <f t="shared" si="281"/>
        <v>0</v>
      </c>
      <c r="J69" s="803">
        <f t="shared" si="282"/>
        <v>0</v>
      </c>
      <c r="K69" s="3351">
        <f>'5. Персонал'!I68</f>
        <v>0</v>
      </c>
      <c r="L69" s="3889">
        <f>'5. Персонал'!J68</f>
        <v>0</v>
      </c>
      <c r="M69" s="3889">
        <f>'5. Персонал'!K68</f>
        <v>0</v>
      </c>
      <c r="N69" s="3889">
        <f>'5. Персонал'!L68</f>
        <v>0</v>
      </c>
      <c r="O69" s="3889">
        <f>'5. Персонал'!M68</f>
        <v>0</v>
      </c>
      <c r="P69" s="3890">
        <f>'5. Персонал'!N68</f>
        <v>0</v>
      </c>
      <c r="Q69" s="1223">
        <f t="shared" si="283"/>
        <v>0</v>
      </c>
      <c r="R69" s="855">
        <f t="shared" si="284"/>
        <v>0</v>
      </c>
      <c r="S69" s="3351">
        <f>'5. Персонал'!O68</f>
        <v>0</v>
      </c>
      <c r="T69" s="3889">
        <f>'5. Персонал'!P68</f>
        <v>0</v>
      </c>
      <c r="U69" s="3889">
        <f>'5. Персонал'!Q68</f>
        <v>0</v>
      </c>
      <c r="V69" s="3889">
        <f>'5. Персонал'!R68</f>
        <v>0</v>
      </c>
      <c r="W69" s="3889">
        <f>'5. Персонал'!S68</f>
        <v>0</v>
      </c>
      <c r="X69" s="3890">
        <f>'5. Персонал'!T68</f>
        <v>0</v>
      </c>
      <c r="Y69" s="1223">
        <f t="shared" si="209"/>
        <v>0</v>
      </c>
      <c r="Z69" s="855">
        <f t="shared" si="210"/>
        <v>0</v>
      </c>
      <c r="AA69" s="3351">
        <f>'5. Персонал'!U68</f>
        <v>0</v>
      </c>
      <c r="AB69" s="3889">
        <f>'5. Персонал'!V68</f>
        <v>0</v>
      </c>
      <c r="AC69" s="3889">
        <f>'5. Персонал'!W68</f>
        <v>0</v>
      </c>
      <c r="AD69" s="3889">
        <f>'5. Персонал'!X68</f>
        <v>0</v>
      </c>
      <c r="AE69" s="3889">
        <f>'5. Персонал'!Y68</f>
        <v>0</v>
      </c>
      <c r="AF69" s="3890">
        <f>'5. Персонал'!Z68</f>
        <v>0</v>
      </c>
      <c r="AG69" s="1223">
        <f t="shared" si="286"/>
        <v>0</v>
      </c>
      <c r="AH69" s="803">
        <f t="shared" si="287"/>
        <v>0</v>
      </c>
      <c r="AI69" s="3351">
        <f>'5. Персонал'!AA68</f>
        <v>0</v>
      </c>
      <c r="AJ69" s="3889">
        <f>'5. Персонал'!AB68</f>
        <v>0</v>
      </c>
      <c r="AK69" s="3889">
        <f>'5. Персонал'!AC68</f>
        <v>0</v>
      </c>
      <c r="AL69" s="3889">
        <f>'5. Персонал'!AD68</f>
        <v>0</v>
      </c>
      <c r="AM69" s="3889">
        <f>'5. Персонал'!AE68</f>
        <v>0</v>
      </c>
      <c r="AN69" s="3885">
        <f>'5. Персонал'!AF68</f>
        <v>0</v>
      </c>
      <c r="AO69" s="1223">
        <f t="shared" si="288"/>
        <v>0</v>
      </c>
      <c r="AP69" s="803">
        <f t="shared" si="289"/>
        <v>0</v>
      </c>
      <c r="AQ69" s="3351">
        <f>'5. Персонал'!AG68</f>
        <v>0</v>
      </c>
      <c r="AR69" s="3889">
        <f>'5. Персонал'!AH68</f>
        <v>0</v>
      </c>
      <c r="AS69" s="3889">
        <f>'5. Персонал'!AI68</f>
        <v>0</v>
      </c>
      <c r="AT69" s="3889">
        <f>'5. Персонал'!AJ68</f>
        <v>0</v>
      </c>
      <c r="AU69" s="3889">
        <f>'5. Персонал'!AK68</f>
        <v>0</v>
      </c>
      <c r="AV69" s="3885">
        <f>'5. Персонал'!AL68</f>
        <v>0</v>
      </c>
      <c r="AW69" s="1086">
        <f t="shared" si="359"/>
        <v>0</v>
      </c>
      <c r="AX69" s="3042">
        <f t="shared" si="360"/>
        <v>0</v>
      </c>
      <c r="AY69" s="3042">
        <f>E69+M69+U69+AC69+AK69</f>
        <v>0</v>
      </c>
      <c r="AZ69" s="3042">
        <f t="shared" si="362"/>
        <v>0</v>
      </c>
      <c r="BA69" s="3042">
        <f t="shared" si="363"/>
        <v>0</v>
      </c>
      <c r="BB69" s="3043">
        <f t="shared" si="364"/>
        <v>0</v>
      </c>
      <c r="BC69" s="3059">
        <f t="shared" si="365"/>
        <v>0</v>
      </c>
      <c r="BD69" s="3060">
        <f t="shared" si="366"/>
        <v>0</v>
      </c>
      <c r="BE69" s="3061">
        <f t="shared" si="367"/>
        <v>0</v>
      </c>
      <c r="BF69" s="3061">
        <f t="shared" si="368"/>
        <v>0</v>
      </c>
      <c r="BG69" s="3061">
        <f t="shared" si="369"/>
        <v>0</v>
      </c>
      <c r="BH69" s="3063">
        <f t="shared" si="370"/>
        <v>0</v>
      </c>
      <c r="BI69" s="4422"/>
      <c r="BJ69" s="4438">
        <f t="shared" si="46"/>
        <v>0</v>
      </c>
      <c r="BK69" s="4438">
        <f t="shared" si="47"/>
        <v>0</v>
      </c>
      <c r="BL69" s="4438">
        <f t="shared" si="48"/>
        <v>0</v>
      </c>
      <c r="BM69" s="4438">
        <f t="shared" si="49"/>
        <v>0</v>
      </c>
      <c r="BN69" s="4438">
        <f t="shared" si="50"/>
        <v>0</v>
      </c>
      <c r="BO69" s="4438">
        <f t="shared" si="51"/>
        <v>0</v>
      </c>
      <c r="BP69" s="4438">
        <f t="shared" si="52"/>
        <v>0</v>
      </c>
      <c r="BQ69" s="4438">
        <f t="shared" si="53"/>
        <v>0</v>
      </c>
      <c r="BR69" s="4438">
        <f t="shared" si="54"/>
        <v>0</v>
      </c>
      <c r="BS69" s="4438">
        <f t="shared" si="55"/>
        <v>0</v>
      </c>
      <c r="BT69" s="4438">
        <f t="shared" si="56"/>
        <v>0</v>
      </c>
      <c r="BU69" s="4438">
        <f t="shared" si="57"/>
        <v>0</v>
      </c>
      <c r="BV69" s="4438">
        <f t="shared" si="58"/>
        <v>0</v>
      </c>
      <c r="BW69" s="4438">
        <f t="shared" si="59"/>
        <v>0</v>
      </c>
      <c r="BX69" s="4438">
        <f t="shared" si="60"/>
        <v>0</v>
      </c>
      <c r="BY69" s="4438">
        <f t="shared" si="61"/>
        <v>0</v>
      </c>
      <c r="BZ69" s="4438">
        <f t="shared" si="62"/>
        <v>0</v>
      </c>
      <c r="CA69" s="4438">
        <f t="shared" si="63"/>
        <v>0</v>
      </c>
      <c r="CB69" s="4438">
        <f t="shared" si="64"/>
        <v>0</v>
      </c>
      <c r="CC69" s="4438">
        <f t="shared" si="65"/>
        <v>0</v>
      </c>
      <c r="CD69" s="4438">
        <f t="shared" si="66"/>
        <v>0</v>
      </c>
      <c r="CE69" s="4438">
        <f t="shared" si="67"/>
        <v>0</v>
      </c>
      <c r="CF69" s="4438">
        <f t="shared" si="68"/>
        <v>0</v>
      </c>
      <c r="CG69" s="4438">
        <f t="shared" si="69"/>
        <v>0</v>
      </c>
      <c r="CH69" s="4438">
        <f t="shared" si="70"/>
        <v>0</v>
      </c>
      <c r="CI69" s="4438">
        <f t="shared" si="71"/>
        <v>0</v>
      </c>
      <c r="CJ69" s="4438">
        <f t="shared" si="72"/>
        <v>0</v>
      </c>
      <c r="CK69" s="4438">
        <f t="shared" si="73"/>
        <v>0</v>
      </c>
      <c r="CL69" s="4438">
        <f t="shared" si="74"/>
        <v>0</v>
      </c>
      <c r="CM69" s="4438">
        <f t="shared" si="75"/>
        <v>0</v>
      </c>
      <c r="CN69" s="4438">
        <f t="shared" si="76"/>
        <v>0</v>
      </c>
      <c r="CO69" s="4438">
        <f t="shared" si="77"/>
        <v>0</v>
      </c>
      <c r="CP69" s="4438">
        <f t="shared" si="78"/>
        <v>0</v>
      </c>
      <c r="CQ69" s="4438">
        <f t="shared" si="79"/>
        <v>0</v>
      </c>
      <c r="CR69" s="4438">
        <f t="shared" si="80"/>
        <v>0</v>
      </c>
      <c r="CS69" s="4438">
        <f t="shared" si="81"/>
        <v>0</v>
      </c>
      <c r="CT69" s="4438">
        <f t="shared" si="82"/>
        <v>0</v>
      </c>
      <c r="CU69" s="4438">
        <f t="shared" si="83"/>
        <v>0</v>
      </c>
      <c r="CV69" s="4438">
        <f t="shared" si="84"/>
        <v>0</v>
      </c>
      <c r="CW69" s="4438">
        <f t="shared" si="85"/>
        <v>0</v>
      </c>
      <c r="CX69" s="4438">
        <f t="shared" si="86"/>
        <v>0</v>
      </c>
      <c r="CY69" s="4438">
        <f t="shared" si="87"/>
        <v>0</v>
      </c>
      <c r="CZ69" s="4438">
        <f t="shared" si="88"/>
        <v>0</v>
      </c>
      <c r="DA69" s="4438">
        <f t="shared" si="89"/>
        <v>0</v>
      </c>
      <c r="DB69" s="4438">
        <f t="shared" si="90"/>
        <v>0</v>
      </c>
      <c r="DC69" s="4438">
        <f t="shared" si="91"/>
        <v>0</v>
      </c>
      <c r="DD69" s="4438">
        <f t="shared" si="92"/>
        <v>0</v>
      </c>
      <c r="DE69" s="4438">
        <f t="shared" si="93"/>
        <v>0</v>
      </c>
      <c r="DF69" s="4438">
        <f t="shared" si="94"/>
        <v>0</v>
      </c>
      <c r="DG69" s="4438">
        <f t="shared" si="95"/>
        <v>0</v>
      </c>
      <c r="DH69" s="4438">
        <f t="shared" si="96"/>
        <v>0</v>
      </c>
      <c r="DI69" s="4438">
        <f t="shared" si="97"/>
        <v>0</v>
      </c>
      <c r="DJ69" s="4438">
        <f t="shared" si="98"/>
        <v>0</v>
      </c>
    </row>
    <row r="70" spans="1:114" ht="13.5" thickBot="1">
      <c r="A70" s="110">
        <v>6</v>
      </c>
      <c r="B70" s="872" t="s">
        <v>450</v>
      </c>
      <c r="C70" s="1084">
        <f t="shared" ref="C70:AV70" si="371">SUM(C71:C75)</f>
        <v>665.75099999999998</v>
      </c>
      <c r="D70" s="2632">
        <f t="shared" si="371"/>
        <v>673.77</v>
      </c>
      <c r="E70" s="1121">
        <f t="shared" si="371"/>
        <v>677.33310000000006</v>
      </c>
      <c r="F70" s="1121">
        <f t="shared" si="371"/>
        <v>681.00309299999992</v>
      </c>
      <c r="G70" s="1121">
        <f t="shared" si="371"/>
        <v>684.78318578999995</v>
      </c>
      <c r="H70" s="3054">
        <f t="shared" si="371"/>
        <v>688.67668136370003</v>
      </c>
      <c r="I70" s="1220">
        <f t="shared" si="281"/>
        <v>8.0190000000000055</v>
      </c>
      <c r="J70" s="801">
        <f t="shared" si="282"/>
        <v>1.2045043867752367E-2</v>
      </c>
      <c r="K70" s="1084">
        <f t="shared" si="371"/>
        <v>17.933099873137945</v>
      </c>
      <c r="L70" s="2632">
        <f t="shared" si="371"/>
        <v>19.188416864257601</v>
      </c>
      <c r="M70" s="1121">
        <f t="shared" si="371"/>
        <v>19.764069370185329</v>
      </c>
      <c r="N70" s="1121">
        <f t="shared" si="371"/>
        <v>20.356991451290888</v>
      </c>
      <c r="O70" s="1121">
        <f t="shared" si="371"/>
        <v>20.967701194829615</v>
      </c>
      <c r="P70" s="3054">
        <f t="shared" si="371"/>
        <v>21.596732230674505</v>
      </c>
      <c r="Q70" s="1220">
        <f t="shared" si="283"/>
        <v>1.2553169911196562</v>
      </c>
      <c r="R70" s="853">
        <f t="shared" si="284"/>
        <v>7.0000000000000007E-2</v>
      </c>
      <c r="S70" s="1084">
        <f t="shared" si="371"/>
        <v>54.088151822085202</v>
      </c>
      <c r="T70" s="2632">
        <f t="shared" si="371"/>
        <v>55.470000000000006</v>
      </c>
      <c r="U70" s="1121">
        <f t="shared" si="371"/>
        <v>56.144100000000002</v>
      </c>
      <c r="V70" s="1121">
        <f t="shared" si="371"/>
        <v>56.838422999999999</v>
      </c>
      <c r="W70" s="1121">
        <f t="shared" si="371"/>
        <v>57.553575690000002</v>
      </c>
      <c r="X70" s="3054">
        <f t="shared" si="371"/>
        <v>58.290182960700008</v>
      </c>
      <c r="Y70" s="1220">
        <f t="shared" si="209"/>
        <v>1.3818481779148044</v>
      </c>
      <c r="Z70" s="853">
        <f t="shared" si="210"/>
        <v>2.5548075343010148E-2</v>
      </c>
      <c r="AA70" s="1084">
        <f t="shared" ref="AA70:AN70" si="372">SUM(AA71:AA75)</f>
        <v>0</v>
      </c>
      <c r="AB70" s="2632">
        <f t="shared" si="372"/>
        <v>0</v>
      </c>
      <c r="AC70" s="1121">
        <f t="shared" si="372"/>
        <v>0</v>
      </c>
      <c r="AD70" s="1121">
        <f t="shared" si="372"/>
        <v>0</v>
      </c>
      <c r="AE70" s="1121">
        <f t="shared" si="372"/>
        <v>0</v>
      </c>
      <c r="AF70" s="3054">
        <f t="shared" si="372"/>
        <v>0</v>
      </c>
      <c r="AG70" s="1220">
        <f t="shared" si="286"/>
        <v>0</v>
      </c>
      <c r="AH70" s="801">
        <f t="shared" si="287"/>
        <v>0</v>
      </c>
      <c r="AI70" s="1084">
        <f t="shared" si="372"/>
        <v>0</v>
      </c>
      <c r="AJ70" s="2632">
        <f t="shared" si="372"/>
        <v>0</v>
      </c>
      <c r="AK70" s="1121">
        <f t="shared" si="372"/>
        <v>0</v>
      </c>
      <c r="AL70" s="1121">
        <f t="shared" si="372"/>
        <v>0</v>
      </c>
      <c r="AM70" s="1121">
        <f t="shared" si="372"/>
        <v>0</v>
      </c>
      <c r="AN70" s="3054">
        <f t="shared" si="372"/>
        <v>0</v>
      </c>
      <c r="AO70" s="1220">
        <f t="shared" si="288"/>
        <v>0</v>
      </c>
      <c r="AP70" s="801">
        <f t="shared" si="289"/>
        <v>0</v>
      </c>
      <c r="AQ70" s="1084">
        <f t="shared" si="371"/>
        <v>0</v>
      </c>
      <c r="AR70" s="880">
        <f t="shared" si="371"/>
        <v>0</v>
      </c>
      <c r="AS70" s="1121">
        <f t="shared" si="371"/>
        <v>0</v>
      </c>
      <c r="AT70" s="1121">
        <f t="shared" si="371"/>
        <v>0</v>
      </c>
      <c r="AU70" s="1121">
        <f t="shared" si="371"/>
        <v>0</v>
      </c>
      <c r="AV70" s="3054">
        <f t="shared" si="371"/>
        <v>0</v>
      </c>
      <c r="AW70" s="1084">
        <f t="shared" ref="AW70:BB70" si="373">SUM(AW71:AW75)</f>
        <v>737.77225169522308</v>
      </c>
      <c r="AX70" s="880">
        <f t="shared" si="373"/>
        <v>748.42841686425754</v>
      </c>
      <c r="AY70" s="1121">
        <f t="shared" si="373"/>
        <v>753.24126937018548</v>
      </c>
      <c r="AZ70" s="1121">
        <f t="shared" si="373"/>
        <v>758.19850745129099</v>
      </c>
      <c r="BA70" s="1121">
        <f t="shared" si="373"/>
        <v>763.30446267482967</v>
      </c>
      <c r="BB70" s="3054">
        <f t="shared" si="373"/>
        <v>768.56359655507458</v>
      </c>
      <c r="BC70" s="1084">
        <f t="shared" ref="BC70:BH70" si="374">SUM(BC71:BC75)</f>
        <v>665.75099999999998</v>
      </c>
      <c r="BD70" s="880">
        <f t="shared" si="374"/>
        <v>673.77</v>
      </c>
      <c r="BE70" s="1121">
        <f t="shared" si="374"/>
        <v>677.33310000000006</v>
      </c>
      <c r="BF70" s="1121">
        <f t="shared" si="374"/>
        <v>681.00309299999992</v>
      </c>
      <c r="BG70" s="1121">
        <f t="shared" si="374"/>
        <v>684.78318578999995</v>
      </c>
      <c r="BH70" s="3054">
        <f t="shared" si="374"/>
        <v>688.67668136370003</v>
      </c>
      <c r="BI70" s="4422"/>
      <c r="BJ70" s="4438">
        <f t="shared" si="46"/>
        <v>340.39308119826364</v>
      </c>
      <c r="BK70" s="4438">
        <f t="shared" si="47"/>
        <v>344.49313079357614</v>
      </c>
      <c r="BL70" s="4438">
        <f t="shared" si="48"/>
        <v>346.31491489546642</v>
      </c>
      <c r="BM70" s="4438">
        <f t="shared" si="49"/>
        <v>348.19135252041332</v>
      </c>
      <c r="BN70" s="4438">
        <f t="shared" si="50"/>
        <v>350.12408327410867</v>
      </c>
      <c r="BO70" s="4438">
        <f t="shared" si="51"/>
        <v>352.11479595041493</v>
      </c>
      <c r="BP70" s="4438">
        <f t="shared" si="52"/>
        <v>4.1000495953124787</v>
      </c>
      <c r="BQ70" s="4438">
        <f t="shared" si="53"/>
        <v>9.1690483698163661</v>
      </c>
      <c r="BR70" s="4438">
        <f t="shared" si="54"/>
        <v>9.8108817557035124</v>
      </c>
      <c r="BS70" s="4438">
        <f t="shared" si="55"/>
        <v>10.105208208374618</v>
      </c>
      <c r="BT70" s="4438">
        <f t="shared" si="56"/>
        <v>10.408364454625856</v>
      </c>
      <c r="BU70" s="4438">
        <f t="shared" si="57"/>
        <v>10.720615388264632</v>
      </c>
      <c r="BV70" s="4438">
        <f t="shared" si="58"/>
        <v>11.042233849912572</v>
      </c>
      <c r="BW70" s="4438">
        <f t="shared" si="59"/>
        <v>0.64183338588714578</v>
      </c>
      <c r="BX70" s="4438">
        <f t="shared" si="60"/>
        <v>27.654832895540615</v>
      </c>
      <c r="BY70" s="4438">
        <f t="shared" si="61"/>
        <v>28.361360649954243</v>
      </c>
      <c r="BZ70" s="4438">
        <f t="shared" si="62"/>
        <v>28.70602250706861</v>
      </c>
      <c r="CA70" s="4438">
        <f t="shared" si="63"/>
        <v>29.061024219896414</v>
      </c>
      <c r="CB70" s="4438">
        <f t="shared" si="64"/>
        <v>29.42667598410905</v>
      </c>
      <c r="CC70" s="4438">
        <f t="shared" si="65"/>
        <v>29.803297301248069</v>
      </c>
      <c r="CD70" s="4438">
        <f t="shared" si="66"/>
        <v>0.70652775441362714</v>
      </c>
      <c r="CE70" s="4438">
        <f t="shared" si="67"/>
        <v>0</v>
      </c>
      <c r="CF70" s="4438">
        <f t="shared" si="68"/>
        <v>0</v>
      </c>
      <c r="CG70" s="4438">
        <f t="shared" si="69"/>
        <v>0</v>
      </c>
      <c r="CH70" s="4438">
        <f t="shared" si="70"/>
        <v>0</v>
      </c>
      <c r="CI70" s="4438">
        <f t="shared" si="71"/>
        <v>0</v>
      </c>
      <c r="CJ70" s="4438">
        <f t="shared" si="72"/>
        <v>0</v>
      </c>
      <c r="CK70" s="4438">
        <f t="shared" si="73"/>
        <v>0</v>
      </c>
      <c r="CL70" s="4438">
        <f t="shared" si="74"/>
        <v>0</v>
      </c>
      <c r="CM70" s="4438">
        <f t="shared" si="75"/>
        <v>0</v>
      </c>
      <c r="CN70" s="4438">
        <f t="shared" si="76"/>
        <v>0</v>
      </c>
      <c r="CO70" s="4438">
        <f t="shared" si="77"/>
        <v>0</v>
      </c>
      <c r="CP70" s="4438">
        <f t="shared" si="78"/>
        <v>0</v>
      </c>
      <c r="CQ70" s="4438">
        <f t="shared" si="79"/>
        <v>0</v>
      </c>
      <c r="CR70" s="4438">
        <f t="shared" si="80"/>
        <v>0</v>
      </c>
      <c r="CS70" s="4438">
        <f t="shared" si="81"/>
        <v>0</v>
      </c>
      <c r="CT70" s="4438">
        <f t="shared" si="82"/>
        <v>0</v>
      </c>
      <c r="CU70" s="4438">
        <f t="shared" si="83"/>
        <v>0</v>
      </c>
      <c r="CV70" s="4438">
        <f t="shared" si="84"/>
        <v>0</v>
      </c>
      <c r="CW70" s="4438">
        <f t="shared" si="85"/>
        <v>0</v>
      </c>
      <c r="CX70" s="4438">
        <f t="shared" si="86"/>
        <v>0</v>
      </c>
      <c r="CY70" s="4438">
        <f t="shared" si="87"/>
        <v>377.21696246362063</v>
      </c>
      <c r="CZ70" s="4438">
        <f t="shared" si="88"/>
        <v>382.66537319923384</v>
      </c>
      <c r="DA70" s="4438">
        <f t="shared" si="89"/>
        <v>385.1261456109097</v>
      </c>
      <c r="DB70" s="4438">
        <f t="shared" si="90"/>
        <v>387.66074119493567</v>
      </c>
      <c r="DC70" s="4438">
        <f t="shared" si="91"/>
        <v>390.2713746464824</v>
      </c>
      <c r="DD70" s="4438">
        <f t="shared" si="92"/>
        <v>392.96032710157561</v>
      </c>
      <c r="DE70" s="4438">
        <f t="shared" si="93"/>
        <v>340.39308119826364</v>
      </c>
      <c r="DF70" s="4438">
        <f t="shared" si="94"/>
        <v>344.49313079357614</v>
      </c>
      <c r="DG70" s="4438">
        <f t="shared" si="95"/>
        <v>346.31491489546642</v>
      </c>
      <c r="DH70" s="4438">
        <f t="shared" si="96"/>
        <v>348.19135252041332</v>
      </c>
      <c r="DI70" s="4438">
        <f t="shared" si="97"/>
        <v>350.12408327410867</v>
      </c>
      <c r="DJ70" s="4438">
        <f t="shared" si="98"/>
        <v>352.11479595041493</v>
      </c>
    </row>
    <row r="71" spans="1:114" ht="12.75">
      <c r="A71" s="108" t="s">
        <v>268</v>
      </c>
      <c r="B71" s="870" t="s">
        <v>451</v>
      </c>
      <c r="C71" s="4601">
        <v>40</v>
      </c>
      <c r="D71" s="3033">
        <f t="shared" ref="D71:D72" si="375">C71*1.07</f>
        <v>42.800000000000004</v>
      </c>
      <c r="E71" s="3033">
        <f t="shared" ref="E71:H72" si="376">D71*1.03</f>
        <v>44.084000000000003</v>
      </c>
      <c r="F71" s="3033">
        <f t="shared" si="376"/>
        <v>45.406520000000008</v>
      </c>
      <c r="G71" s="3033">
        <f t="shared" si="376"/>
        <v>46.768715600000007</v>
      </c>
      <c r="H71" s="3034">
        <f t="shared" si="376"/>
        <v>48.171777068000011</v>
      </c>
      <c r="I71" s="1224">
        <f t="shared" si="281"/>
        <v>2.8000000000000043</v>
      </c>
      <c r="J71" s="804">
        <f t="shared" si="282"/>
        <v>7.0000000000000104E-2</v>
      </c>
      <c r="K71" s="4601">
        <v>0</v>
      </c>
      <c r="L71" s="3033">
        <f t="shared" ref="L71:L72" si="377">K71*1.07</f>
        <v>0</v>
      </c>
      <c r="M71" s="3033">
        <f t="shared" ref="M71:P72" si="378">L71*1.03</f>
        <v>0</v>
      </c>
      <c r="N71" s="3033">
        <f t="shared" si="378"/>
        <v>0</v>
      </c>
      <c r="O71" s="3033">
        <f t="shared" si="378"/>
        <v>0</v>
      </c>
      <c r="P71" s="3034">
        <f t="shared" si="378"/>
        <v>0</v>
      </c>
      <c r="Q71" s="1224">
        <f t="shared" si="283"/>
        <v>0</v>
      </c>
      <c r="R71" s="1095">
        <f t="shared" si="284"/>
        <v>0</v>
      </c>
      <c r="S71" s="4601">
        <v>16</v>
      </c>
      <c r="T71" s="3033">
        <f t="shared" ref="T71:T72" si="379">S71*1.07</f>
        <v>17.12</v>
      </c>
      <c r="U71" s="3033">
        <f t="shared" ref="U71:X72" si="380">T71*1.03</f>
        <v>17.633600000000001</v>
      </c>
      <c r="V71" s="3033">
        <f t="shared" si="380"/>
        <v>18.162608000000002</v>
      </c>
      <c r="W71" s="3033">
        <f t="shared" si="380"/>
        <v>18.707486240000001</v>
      </c>
      <c r="X71" s="3034">
        <f t="shared" si="380"/>
        <v>19.268710827200003</v>
      </c>
      <c r="Y71" s="1224">
        <f t="shared" si="209"/>
        <v>1.120000000000001</v>
      </c>
      <c r="Z71" s="1095">
        <f t="shared" si="210"/>
        <v>7.0000000000000062E-2</v>
      </c>
      <c r="AA71" s="3032"/>
      <c r="AB71" s="3033"/>
      <c r="AC71" s="3033"/>
      <c r="AD71" s="3033"/>
      <c r="AE71" s="3033"/>
      <c r="AF71" s="3034"/>
      <c r="AG71" s="1224">
        <f t="shared" si="286"/>
        <v>0</v>
      </c>
      <c r="AH71" s="804">
        <f t="shared" si="287"/>
        <v>0</v>
      </c>
      <c r="AI71" s="3032"/>
      <c r="AJ71" s="3033"/>
      <c r="AK71" s="3033"/>
      <c r="AL71" s="3033"/>
      <c r="AM71" s="3033"/>
      <c r="AN71" s="3052"/>
      <c r="AO71" s="1224">
        <f t="shared" si="288"/>
        <v>0</v>
      </c>
      <c r="AP71" s="804">
        <f t="shared" si="289"/>
        <v>0</v>
      </c>
      <c r="AQ71" s="3032"/>
      <c r="AR71" s="3033"/>
      <c r="AS71" s="3033"/>
      <c r="AT71" s="3033"/>
      <c r="AU71" s="3033"/>
      <c r="AV71" s="3052"/>
      <c r="AW71" s="1086">
        <f t="shared" ref="AW71" si="381">C71+K71+S71+AA71+AI71</f>
        <v>56</v>
      </c>
      <c r="AX71" s="3042">
        <f t="shared" ref="AX71:AX72" si="382">D71+L71+T71+AB71+AJ71</f>
        <v>59.92</v>
      </c>
      <c r="AY71" s="3042">
        <f t="shared" ref="AY71:AY72" si="383">E71+M71+U71+AC71+AK71</f>
        <v>61.717600000000004</v>
      </c>
      <c r="AZ71" s="3042">
        <f t="shared" ref="AZ71:AZ72" si="384">F71+N71+V71+AD71+AL71</f>
        <v>63.569128000000006</v>
      </c>
      <c r="BA71" s="3042">
        <f t="shared" ref="BA71:BA72" si="385">G71+O71+W71+AE71+AM71</f>
        <v>65.476201840000016</v>
      </c>
      <c r="BB71" s="3043">
        <f t="shared" ref="BB71:BB72" si="386">H71+P71+X71+AF71+AN71</f>
        <v>67.440487895200022</v>
      </c>
      <c r="BC71" s="3059">
        <f>C71+AA71+AI71</f>
        <v>40</v>
      </c>
      <c r="BD71" s="3060">
        <f t="shared" ref="BD71" si="387">D71+AB71+AJ71</f>
        <v>42.800000000000004</v>
      </c>
      <c r="BE71" s="3061">
        <f t="shared" ref="BE71:BE72" si="388">E71+AC71+AK71</f>
        <v>44.084000000000003</v>
      </c>
      <c r="BF71" s="3061">
        <f t="shared" ref="BF71:BF72" si="389">F71+AD71+AL71</f>
        <v>45.406520000000008</v>
      </c>
      <c r="BG71" s="3061">
        <f t="shared" ref="BG71:BG72" si="390">G71+AE71+AM71</f>
        <v>46.768715600000007</v>
      </c>
      <c r="BH71" s="3063">
        <f>H71+AF71+AN71</f>
        <v>48.171777068000011</v>
      </c>
      <c r="BI71" s="4422"/>
      <c r="BJ71" s="4438">
        <f t="shared" si="46"/>
        <v>20.45167524784874</v>
      </c>
      <c r="BK71" s="4438">
        <f t="shared" si="47"/>
        <v>21.883292515198153</v>
      </c>
      <c r="BL71" s="4438">
        <f t="shared" si="48"/>
        <v>22.539791290654097</v>
      </c>
      <c r="BM71" s="4438">
        <f t="shared" si="49"/>
        <v>23.215985029373723</v>
      </c>
      <c r="BN71" s="4438">
        <f t="shared" si="50"/>
        <v>23.912464580254934</v>
      </c>
      <c r="BO71" s="4438">
        <f t="shared" si="51"/>
        <v>24.629838517662584</v>
      </c>
      <c r="BP71" s="4438">
        <f t="shared" si="52"/>
        <v>1.4316172673494141</v>
      </c>
      <c r="BQ71" s="4438">
        <f t="shared" si="53"/>
        <v>0</v>
      </c>
      <c r="BR71" s="4438">
        <f t="shared" si="54"/>
        <v>0</v>
      </c>
      <c r="BS71" s="4438">
        <f t="shared" si="55"/>
        <v>0</v>
      </c>
      <c r="BT71" s="4438">
        <f t="shared" si="56"/>
        <v>0</v>
      </c>
      <c r="BU71" s="4438">
        <f t="shared" si="57"/>
        <v>0</v>
      </c>
      <c r="BV71" s="4438">
        <f t="shared" si="58"/>
        <v>0</v>
      </c>
      <c r="BW71" s="4438">
        <f t="shared" si="59"/>
        <v>0</v>
      </c>
      <c r="BX71" s="4438">
        <f t="shared" si="60"/>
        <v>8.1806700991394958</v>
      </c>
      <c r="BY71" s="4438">
        <f t="shared" si="61"/>
        <v>8.7533170060792607</v>
      </c>
      <c r="BZ71" s="4438">
        <f t="shared" si="62"/>
        <v>9.0159165162616386</v>
      </c>
      <c r="CA71" s="4438">
        <f t="shared" si="63"/>
        <v>9.2863940117494881</v>
      </c>
      <c r="CB71" s="4438">
        <f t="shared" si="64"/>
        <v>9.5649858321019732</v>
      </c>
      <c r="CC71" s="4438">
        <f t="shared" si="65"/>
        <v>9.8519354070650333</v>
      </c>
      <c r="CD71" s="4438">
        <f t="shared" si="66"/>
        <v>0.57264690693976528</v>
      </c>
      <c r="CE71" s="4438">
        <f t="shared" si="67"/>
        <v>0</v>
      </c>
      <c r="CF71" s="4438">
        <f t="shared" si="68"/>
        <v>0</v>
      </c>
      <c r="CG71" s="4438">
        <f t="shared" si="69"/>
        <v>0</v>
      </c>
      <c r="CH71" s="4438">
        <f t="shared" si="70"/>
        <v>0</v>
      </c>
      <c r="CI71" s="4438">
        <f t="shared" si="71"/>
        <v>0</v>
      </c>
      <c r="CJ71" s="4438">
        <f t="shared" si="72"/>
        <v>0</v>
      </c>
      <c r="CK71" s="4438">
        <f t="shared" si="73"/>
        <v>0</v>
      </c>
      <c r="CL71" s="4438">
        <f t="shared" si="74"/>
        <v>0</v>
      </c>
      <c r="CM71" s="4438">
        <f t="shared" si="75"/>
        <v>0</v>
      </c>
      <c r="CN71" s="4438">
        <f t="shared" si="76"/>
        <v>0</v>
      </c>
      <c r="CO71" s="4438">
        <f t="shared" si="77"/>
        <v>0</v>
      </c>
      <c r="CP71" s="4438">
        <f t="shared" si="78"/>
        <v>0</v>
      </c>
      <c r="CQ71" s="4438">
        <f t="shared" si="79"/>
        <v>0</v>
      </c>
      <c r="CR71" s="4438">
        <f t="shared" si="80"/>
        <v>0</v>
      </c>
      <c r="CS71" s="4438">
        <f t="shared" si="81"/>
        <v>0</v>
      </c>
      <c r="CT71" s="4438">
        <f t="shared" si="82"/>
        <v>0</v>
      </c>
      <c r="CU71" s="4438">
        <f t="shared" si="83"/>
        <v>0</v>
      </c>
      <c r="CV71" s="4438">
        <f t="shared" si="84"/>
        <v>0</v>
      </c>
      <c r="CW71" s="4438">
        <f t="shared" si="85"/>
        <v>0</v>
      </c>
      <c r="CX71" s="4438">
        <f t="shared" si="86"/>
        <v>0</v>
      </c>
      <c r="CY71" s="4438">
        <f t="shared" si="87"/>
        <v>28.632345346988235</v>
      </c>
      <c r="CZ71" s="4438">
        <f t="shared" si="88"/>
        <v>30.636609521277414</v>
      </c>
      <c r="DA71" s="4438">
        <f t="shared" si="89"/>
        <v>31.555707806915738</v>
      </c>
      <c r="DB71" s="4438">
        <f t="shared" si="90"/>
        <v>32.502379041123213</v>
      </c>
      <c r="DC71" s="4438">
        <f t="shared" si="91"/>
        <v>33.477450412356909</v>
      </c>
      <c r="DD71" s="4438">
        <f t="shared" si="92"/>
        <v>34.481773924727619</v>
      </c>
      <c r="DE71" s="4438">
        <f t="shared" si="93"/>
        <v>20.45167524784874</v>
      </c>
      <c r="DF71" s="4438">
        <f t="shared" si="94"/>
        <v>21.883292515198153</v>
      </c>
      <c r="DG71" s="4438">
        <f t="shared" si="95"/>
        <v>22.539791290654097</v>
      </c>
      <c r="DH71" s="4438">
        <f t="shared" si="96"/>
        <v>23.215985029373723</v>
      </c>
      <c r="DI71" s="4438">
        <f t="shared" si="97"/>
        <v>23.912464580254934</v>
      </c>
      <c r="DJ71" s="4438">
        <f t="shared" si="98"/>
        <v>24.629838517662584</v>
      </c>
    </row>
    <row r="72" spans="1:114" ht="12.75">
      <c r="A72" s="108" t="s">
        <v>270</v>
      </c>
      <c r="B72" s="877" t="s">
        <v>452</v>
      </c>
      <c r="C72" s="4601">
        <v>35</v>
      </c>
      <c r="D72" s="3033">
        <f t="shared" si="375"/>
        <v>37.450000000000003</v>
      </c>
      <c r="E72" s="3033">
        <f t="shared" si="376"/>
        <v>38.573500000000003</v>
      </c>
      <c r="F72" s="3033">
        <f t="shared" si="376"/>
        <v>39.730705</v>
      </c>
      <c r="G72" s="3033">
        <f t="shared" si="376"/>
        <v>40.922626149999999</v>
      </c>
      <c r="H72" s="3034">
        <f t="shared" si="376"/>
        <v>42.150304934499999</v>
      </c>
      <c r="I72" s="1224">
        <f t="shared" si="281"/>
        <v>2.4500000000000028</v>
      </c>
      <c r="J72" s="804">
        <f t="shared" si="282"/>
        <v>7.0000000000000076E-2</v>
      </c>
      <c r="K72" s="4601">
        <v>2</v>
      </c>
      <c r="L72" s="3033">
        <f t="shared" si="377"/>
        <v>2.14</v>
      </c>
      <c r="M72" s="3033">
        <f t="shared" si="378"/>
        <v>2.2042000000000002</v>
      </c>
      <c r="N72" s="3033">
        <f t="shared" si="378"/>
        <v>2.2703260000000003</v>
      </c>
      <c r="O72" s="3033">
        <f t="shared" si="378"/>
        <v>2.3384357800000002</v>
      </c>
      <c r="P72" s="3034">
        <f t="shared" si="378"/>
        <v>2.4085888534000004</v>
      </c>
      <c r="Q72" s="1224">
        <f t="shared" si="283"/>
        <v>0.14000000000000012</v>
      </c>
      <c r="R72" s="1095">
        <f t="shared" si="284"/>
        <v>7.0000000000000062E-2</v>
      </c>
      <c r="S72" s="4601">
        <v>4</v>
      </c>
      <c r="T72" s="3033">
        <f t="shared" si="379"/>
        <v>4.28</v>
      </c>
      <c r="U72" s="3033">
        <f t="shared" si="380"/>
        <v>4.4084000000000003</v>
      </c>
      <c r="V72" s="3033">
        <f t="shared" si="380"/>
        <v>4.5406520000000006</v>
      </c>
      <c r="W72" s="3033">
        <f t="shared" si="380"/>
        <v>4.6768715600000004</v>
      </c>
      <c r="X72" s="3034">
        <f t="shared" si="380"/>
        <v>4.8171777068000008</v>
      </c>
      <c r="Y72" s="1224">
        <f t="shared" si="209"/>
        <v>0.28000000000000025</v>
      </c>
      <c r="Z72" s="1095">
        <f t="shared" si="210"/>
        <v>7.0000000000000062E-2</v>
      </c>
      <c r="AA72" s="3040"/>
      <c r="AB72" s="3021"/>
      <c r="AC72" s="1969"/>
      <c r="AD72" s="1969"/>
      <c r="AE72" s="1969"/>
      <c r="AF72" s="3021"/>
      <c r="AG72" s="3024"/>
      <c r="AH72" s="3891"/>
      <c r="AI72" s="3040"/>
      <c r="AJ72" s="3021"/>
      <c r="AK72" s="1969"/>
      <c r="AL72" s="1969"/>
      <c r="AM72" s="1969"/>
      <c r="AN72" s="3053"/>
      <c r="AO72" s="3024"/>
      <c r="AP72" s="3891"/>
      <c r="AQ72" s="3040"/>
      <c r="AR72" s="3021"/>
      <c r="AS72" s="1969"/>
      <c r="AT72" s="1969"/>
      <c r="AU72" s="1969"/>
      <c r="AV72" s="3053"/>
      <c r="AW72" s="1086">
        <f>C72+K72+S72+AA72+AI72</f>
        <v>41</v>
      </c>
      <c r="AX72" s="3042">
        <f t="shared" si="382"/>
        <v>43.870000000000005</v>
      </c>
      <c r="AY72" s="3042">
        <f t="shared" si="383"/>
        <v>45.186100000000003</v>
      </c>
      <c r="AZ72" s="3042">
        <f t="shared" si="384"/>
        <v>46.541682999999999</v>
      </c>
      <c r="BA72" s="3042">
        <f t="shared" si="385"/>
        <v>47.937933489999999</v>
      </c>
      <c r="BB72" s="3043">
        <f t="shared" si="386"/>
        <v>49.3760714947</v>
      </c>
      <c r="BC72" s="3059">
        <f>C72+AA72+AI72</f>
        <v>35</v>
      </c>
      <c r="BD72" s="3060">
        <f>D72+AB72+AJ72</f>
        <v>37.450000000000003</v>
      </c>
      <c r="BE72" s="3061">
        <f t="shared" si="388"/>
        <v>38.573500000000003</v>
      </c>
      <c r="BF72" s="3061">
        <f t="shared" si="389"/>
        <v>39.730705</v>
      </c>
      <c r="BG72" s="3061">
        <f t="shared" si="390"/>
        <v>40.922626149999999</v>
      </c>
      <c r="BH72" s="3063">
        <f>H72+AF72+AN72</f>
        <v>42.150304934499999</v>
      </c>
      <c r="BI72" s="4422"/>
      <c r="BJ72" s="4438">
        <f t="shared" si="46"/>
        <v>17.895215841867646</v>
      </c>
      <c r="BK72" s="4438">
        <f t="shared" si="47"/>
        <v>19.147880950798385</v>
      </c>
      <c r="BL72" s="4438">
        <f t="shared" si="48"/>
        <v>19.722317379322334</v>
      </c>
      <c r="BM72" s="4438">
        <f t="shared" si="49"/>
        <v>20.313986900702005</v>
      </c>
      <c r="BN72" s="4438">
        <f t="shared" si="50"/>
        <v>20.923406507723065</v>
      </c>
      <c r="BO72" s="4438">
        <f t="shared" si="51"/>
        <v>21.551108702954757</v>
      </c>
      <c r="BP72" s="4438">
        <f t="shared" si="52"/>
        <v>1.2526651089307368</v>
      </c>
      <c r="BQ72" s="4438">
        <f t="shared" si="53"/>
        <v>1.022583762392437</v>
      </c>
      <c r="BR72" s="4438">
        <f t="shared" si="54"/>
        <v>1.0941646257599076</v>
      </c>
      <c r="BS72" s="4438">
        <f t="shared" si="55"/>
        <v>1.1269895645327048</v>
      </c>
      <c r="BT72" s="4438">
        <f t="shared" si="56"/>
        <v>1.160799251468686</v>
      </c>
      <c r="BU72" s="4438">
        <f t="shared" si="57"/>
        <v>1.1956232290127466</v>
      </c>
      <c r="BV72" s="4438">
        <f t="shared" si="58"/>
        <v>1.2314919258831292</v>
      </c>
      <c r="BW72" s="4438">
        <f t="shared" si="59"/>
        <v>7.158086336747066E-2</v>
      </c>
      <c r="BX72" s="4438">
        <f t="shared" si="60"/>
        <v>2.045167524784874</v>
      </c>
      <c r="BY72" s="4438">
        <f t="shared" si="61"/>
        <v>2.1883292515198152</v>
      </c>
      <c r="BZ72" s="4438">
        <f t="shared" si="62"/>
        <v>2.2539791290654096</v>
      </c>
      <c r="CA72" s="4438">
        <f t="shared" si="63"/>
        <v>2.321598502937372</v>
      </c>
      <c r="CB72" s="4438">
        <f t="shared" si="64"/>
        <v>2.3912464580254933</v>
      </c>
      <c r="CC72" s="4438">
        <f t="shared" si="65"/>
        <v>2.4629838517662583</v>
      </c>
      <c r="CD72" s="4438">
        <f t="shared" si="66"/>
        <v>0.14316172673494132</v>
      </c>
      <c r="CE72" s="4438">
        <f t="shared" si="67"/>
        <v>0</v>
      </c>
      <c r="CF72" s="4438">
        <f t="shared" si="68"/>
        <v>0</v>
      </c>
      <c r="CG72" s="4438">
        <f t="shared" si="69"/>
        <v>0</v>
      </c>
      <c r="CH72" s="4438">
        <f t="shared" si="70"/>
        <v>0</v>
      </c>
      <c r="CI72" s="4438">
        <f t="shared" si="71"/>
        <v>0</v>
      </c>
      <c r="CJ72" s="4438">
        <f t="shared" si="72"/>
        <v>0</v>
      </c>
      <c r="CK72" s="4438">
        <f t="shared" si="73"/>
        <v>0</v>
      </c>
      <c r="CL72" s="4438">
        <f t="shared" si="74"/>
        <v>0</v>
      </c>
      <c r="CM72" s="4438">
        <f t="shared" si="75"/>
        <v>0</v>
      </c>
      <c r="CN72" s="4438">
        <f t="shared" si="76"/>
        <v>0</v>
      </c>
      <c r="CO72" s="4438">
        <f t="shared" si="77"/>
        <v>0</v>
      </c>
      <c r="CP72" s="4438">
        <f t="shared" si="78"/>
        <v>0</v>
      </c>
      <c r="CQ72" s="4438">
        <f t="shared" si="79"/>
        <v>0</v>
      </c>
      <c r="CR72" s="4438">
        <f t="shared" si="80"/>
        <v>0</v>
      </c>
      <c r="CS72" s="4438">
        <f t="shared" si="81"/>
        <v>0</v>
      </c>
      <c r="CT72" s="4438">
        <f t="shared" si="82"/>
        <v>0</v>
      </c>
      <c r="CU72" s="4438">
        <f t="shared" si="83"/>
        <v>0</v>
      </c>
      <c r="CV72" s="4438">
        <f t="shared" si="84"/>
        <v>0</v>
      </c>
      <c r="CW72" s="4438">
        <f t="shared" si="85"/>
        <v>0</v>
      </c>
      <c r="CX72" s="4438">
        <f t="shared" si="86"/>
        <v>0</v>
      </c>
      <c r="CY72" s="4438">
        <f t="shared" si="87"/>
        <v>20.962967129044959</v>
      </c>
      <c r="CZ72" s="4438">
        <f t="shared" si="88"/>
        <v>22.430374828078108</v>
      </c>
      <c r="DA72" s="4438">
        <f t="shared" si="89"/>
        <v>23.103286072920451</v>
      </c>
      <c r="DB72" s="4438">
        <f t="shared" si="90"/>
        <v>23.79638465510806</v>
      </c>
      <c r="DC72" s="4438">
        <f t="shared" si="91"/>
        <v>24.510276194761303</v>
      </c>
      <c r="DD72" s="4438">
        <f t="shared" si="92"/>
        <v>25.245584480604144</v>
      </c>
      <c r="DE72" s="4438">
        <f t="shared" si="93"/>
        <v>17.895215841867646</v>
      </c>
      <c r="DF72" s="4438">
        <f t="shared" si="94"/>
        <v>19.147880950798385</v>
      </c>
      <c r="DG72" s="4438">
        <f t="shared" si="95"/>
        <v>19.722317379322334</v>
      </c>
      <c r="DH72" s="4438">
        <f t="shared" si="96"/>
        <v>20.313986900702005</v>
      </c>
      <c r="DI72" s="4438">
        <f t="shared" si="97"/>
        <v>20.923406507723065</v>
      </c>
      <c r="DJ72" s="4438">
        <f t="shared" si="98"/>
        <v>21.551108702954757</v>
      </c>
    </row>
    <row r="73" spans="1:114" ht="12.75">
      <c r="A73" s="108" t="s">
        <v>272</v>
      </c>
      <c r="B73" s="871" t="s">
        <v>453</v>
      </c>
      <c r="C73" s="4601">
        <v>554.75099999999998</v>
      </c>
      <c r="D73" s="3033">
        <v>555</v>
      </c>
      <c r="E73" s="3033">
        <v>555</v>
      </c>
      <c r="F73" s="3033">
        <v>555</v>
      </c>
      <c r="G73" s="3033">
        <v>555</v>
      </c>
      <c r="H73" s="3033">
        <v>555</v>
      </c>
      <c r="I73" s="1224">
        <f t="shared" si="281"/>
        <v>0.24900000000002365</v>
      </c>
      <c r="J73" s="804">
        <f t="shared" si="282"/>
        <v>4.4885002460567653E-4</v>
      </c>
      <c r="K73" s="3040"/>
      <c r="L73" s="3021"/>
      <c r="M73" s="1969"/>
      <c r="N73" s="1969"/>
      <c r="O73" s="1969"/>
      <c r="P73" s="3021"/>
      <c r="Q73" s="3024"/>
      <c r="R73" s="3025"/>
      <c r="S73" s="3040"/>
      <c r="T73" s="3021"/>
      <c r="U73" s="1969"/>
      <c r="V73" s="1969"/>
      <c r="W73" s="1969"/>
      <c r="X73" s="3021"/>
      <c r="Y73" s="3026"/>
      <c r="Z73" s="3025"/>
      <c r="AA73" s="3032"/>
      <c r="AB73" s="3033"/>
      <c r="AC73" s="3033"/>
      <c r="AD73" s="3033"/>
      <c r="AE73" s="3033"/>
      <c r="AF73" s="3034"/>
      <c r="AG73" s="1224">
        <f>AB73-AA73</f>
        <v>0</v>
      </c>
      <c r="AH73" s="804">
        <f>IFERROR((AB73-AA73)/AA73,0)</f>
        <v>0</v>
      </c>
      <c r="AI73" s="3032"/>
      <c r="AJ73" s="3033"/>
      <c r="AK73" s="3033"/>
      <c r="AL73" s="3033"/>
      <c r="AM73" s="3033"/>
      <c r="AN73" s="3052"/>
      <c r="AO73" s="1224">
        <f>AJ73-AI73</f>
        <v>0</v>
      </c>
      <c r="AP73" s="804">
        <f>IFERROR((AJ73-AI73)/AI73,0)</f>
        <v>0</v>
      </c>
      <c r="AQ73" s="3040"/>
      <c r="AR73" s="3021"/>
      <c r="AS73" s="1969"/>
      <c r="AT73" s="1969"/>
      <c r="AU73" s="1969"/>
      <c r="AV73" s="3053"/>
      <c r="AW73" s="1086">
        <f>C73+K73+S73+AA73+AI73</f>
        <v>554.75099999999998</v>
      </c>
      <c r="AX73" s="3042">
        <f t="shared" ref="AX73" si="391">D73+L73+T73+AB73+AJ73</f>
        <v>555</v>
      </c>
      <c r="AY73" s="3042">
        <f t="shared" ref="AY73" si="392">E73+M73+U73+AC73+AK73</f>
        <v>555</v>
      </c>
      <c r="AZ73" s="3042">
        <f t="shared" ref="AZ73" si="393">F73+N73+V73+AD73+AL73</f>
        <v>555</v>
      </c>
      <c r="BA73" s="3042">
        <f t="shared" ref="BA73" si="394">G73+O73+W73+AE73+AM73</f>
        <v>555</v>
      </c>
      <c r="BB73" s="3043">
        <f t="shared" ref="BB73" si="395">H73+P73+X73+AF73+AN73</f>
        <v>555</v>
      </c>
      <c r="BC73" s="3059">
        <f>C73+AA73+AI73</f>
        <v>554.75099999999998</v>
      </c>
      <c r="BD73" s="3060">
        <f t="shared" ref="BD73" si="396">D73+AB73+AJ73</f>
        <v>555</v>
      </c>
      <c r="BE73" s="3061">
        <f t="shared" ref="BE73" si="397">E73+AC73+AK73</f>
        <v>555</v>
      </c>
      <c r="BF73" s="3061">
        <f t="shared" ref="BF73" si="398">F73+AD73+AL73</f>
        <v>555</v>
      </c>
      <c r="BG73" s="3061">
        <f t="shared" ref="BG73" si="399">G73+AE73+AM73</f>
        <v>555</v>
      </c>
      <c r="BH73" s="3063">
        <f>H73+AF73+AN73</f>
        <v>555</v>
      </c>
      <c r="BI73" s="4422"/>
      <c r="BJ73" s="4438">
        <f t="shared" si="46"/>
        <v>283.63968238548341</v>
      </c>
      <c r="BK73" s="4438">
        <f t="shared" si="47"/>
        <v>283.76699406390128</v>
      </c>
      <c r="BL73" s="4438">
        <f t="shared" si="48"/>
        <v>283.76699406390128</v>
      </c>
      <c r="BM73" s="4438">
        <f t="shared" si="49"/>
        <v>283.76699406390128</v>
      </c>
      <c r="BN73" s="4438">
        <f t="shared" si="50"/>
        <v>283.76699406390128</v>
      </c>
      <c r="BO73" s="4438">
        <f t="shared" si="51"/>
        <v>283.76699406390128</v>
      </c>
      <c r="BP73" s="4438">
        <f t="shared" si="52"/>
        <v>0.1273116784178705</v>
      </c>
      <c r="BQ73" s="4438">
        <f t="shared" si="53"/>
        <v>0</v>
      </c>
      <c r="BR73" s="4438">
        <f t="shared" si="54"/>
        <v>0</v>
      </c>
      <c r="BS73" s="4438">
        <f t="shared" si="55"/>
        <v>0</v>
      </c>
      <c r="BT73" s="4438">
        <f t="shared" si="56"/>
        <v>0</v>
      </c>
      <c r="BU73" s="4438">
        <f t="shared" si="57"/>
        <v>0</v>
      </c>
      <c r="BV73" s="4438">
        <f t="shared" si="58"/>
        <v>0</v>
      </c>
      <c r="BW73" s="4438">
        <f t="shared" si="59"/>
        <v>0</v>
      </c>
      <c r="BX73" s="4438">
        <f t="shared" si="60"/>
        <v>0</v>
      </c>
      <c r="BY73" s="4438">
        <f t="shared" si="61"/>
        <v>0</v>
      </c>
      <c r="BZ73" s="4438">
        <f t="shared" si="62"/>
        <v>0</v>
      </c>
      <c r="CA73" s="4438">
        <f t="shared" si="63"/>
        <v>0</v>
      </c>
      <c r="CB73" s="4438">
        <f t="shared" si="64"/>
        <v>0</v>
      </c>
      <c r="CC73" s="4438">
        <f t="shared" si="65"/>
        <v>0</v>
      </c>
      <c r="CD73" s="4438">
        <f t="shared" si="66"/>
        <v>0</v>
      </c>
      <c r="CE73" s="4438">
        <f t="shared" si="67"/>
        <v>0</v>
      </c>
      <c r="CF73" s="4438">
        <f t="shared" si="68"/>
        <v>0</v>
      </c>
      <c r="CG73" s="4438">
        <f t="shared" si="69"/>
        <v>0</v>
      </c>
      <c r="CH73" s="4438">
        <f t="shared" si="70"/>
        <v>0</v>
      </c>
      <c r="CI73" s="4438">
        <f t="shared" si="71"/>
        <v>0</v>
      </c>
      <c r="CJ73" s="4438">
        <f t="shared" si="72"/>
        <v>0</v>
      </c>
      <c r="CK73" s="4438">
        <f t="shared" si="73"/>
        <v>0</v>
      </c>
      <c r="CL73" s="4438">
        <f t="shared" si="74"/>
        <v>0</v>
      </c>
      <c r="CM73" s="4438">
        <f t="shared" si="75"/>
        <v>0</v>
      </c>
      <c r="CN73" s="4438">
        <f t="shared" si="76"/>
        <v>0</v>
      </c>
      <c r="CO73" s="4438">
        <f t="shared" si="77"/>
        <v>0</v>
      </c>
      <c r="CP73" s="4438">
        <f t="shared" si="78"/>
        <v>0</v>
      </c>
      <c r="CQ73" s="4438">
        <f t="shared" si="79"/>
        <v>0</v>
      </c>
      <c r="CR73" s="4438">
        <f t="shared" si="80"/>
        <v>0</v>
      </c>
      <c r="CS73" s="4438">
        <f t="shared" si="81"/>
        <v>0</v>
      </c>
      <c r="CT73" s="4438">
        <f t="shared" si="82"/>
        <v>0</v>
      </c>
      <c r="CU73" s="4438">
        <f t="shared" si="83"/>
        <v>0</v>
      </c>
      <c r="CV73" s="4438">
        <f t="shared" si="84"/>
        <v>0</v>
      </c>
      <c r="CW73" s="4438">
        <f t="shared" si="85"/>
        <v>0</v>
      </c>
      <c r="CX73" s="4438">
        <f t="shared" si="86"/>
        <v>0</v>
      </c>
      <c r="CY73" s="4438">
        <f t="shared" si="87"/>
        <v>283.63968238548341</v>
      </c>
      <c r="CZ73" s="4438">
        <f t="shared" si="88"/>
        <v>283.76699406390128</v>
      </c>
      <c r="DA73" s="4438">
        <f t="shared" si="89"/>
        <v>283.76699406390128</v>
      </c>
      <c r="DB73" s="4438">
        <f t="shared" si="90"/>
        <v>283.76699406390128</v>
      </c>
      <c r="DC73" s="4438">
        <f t="shared" si="91"/>
        <v>283.76699406390128</v>
      </c>
      <c r="DD73" s="4438">
        <f t="shared" si="92"/>
        <v>283.76699406390128</v>
      </c>
      <c r="DE73" s="4438">
        <f t="shared" si="93"/>
        <v>283.63968238548341</v>
      </c>
      <c r="DF73" s="4438">
        <f t="shared" si="94"/>
        <v>283.76699406390128</v>
      </c>
      <c r="DG73" s="4438">
        <f t="shared" si="95"/>
        <v>283.76699406390128</v>
      </c>
      <c r="DH73" s="4438">
        <f t="shared" si="96"/>
        <v>283.76699406390128</v>
      </c>
      <c r="DI73" s="4438">
        <f t="shared" si="97"/>
        <v>283.76699406390128</v>
      </c>
      <c r="DJ73" s="4438">
        <f t="shared" si="98"/>
        <v>283.76699406390128</v>
      </c>
    </row>
    <row r="74" spans="1:114" ht="12.75">
      <c r="A74" s="108" t="s">
        <v>274</v>
      </c>
      <c r="B74" s="871" t="s">
        <v>454</v>
      </c>
      <c r="C74" s="3040"/>
      <c r="D74" s="3021"/>
      <c r="E74" s="1969"/>
      <c r="F74" s="1969"/>
      <c r="G74" s="1969"/>
      <c r="H74" s="3021"/>
      <c r="I74" s="3026"/>
      <c r="J74" s="3027"/>
      <c r="K74" s="4601">
        <v>14.933099873137945</v>
      </c>
      <c r="L74" s="3033">
        <f t="shared" ref="L74:L75" si="400">K74*1.07</f>
        <v>15.978416864257602</v>
      </c>
      <c r="M74" s="3033">
        <f t="shared" ref="M74:P75" si="401">L74*1.03</f>
        <v>16.457769370185328</v>
      </c>
      <c r="N74" s="3033">
        <f t="shared" si="401"/>
        <v>16.951502451290889</v>
      </c>
      <c r="O74" s="3033">
        <f t="shared" si="401"/>
        <v>17.460047524829616</v>
      </c>
      <c r="P74" s="3034">
        <f t="shared" si="401"/>
        <v>17.983848950574504</v>
      </c>
      <c r="Q74" s="1224">
        <f t="shared" ref="Q74:Q95" si="402">L74-K74</f>
        <v>1.0453169911196571</v>
      </c>
      <c r="R74" s="1095">
        <f t="shared" ref="R74:R95" si="403">IFERROR((L74-K74)/K74,0)</f>
        <v>7.0000000000000062E-2</v>
      </c>
      <c r="S74" s="4601">
        <v>33.088151822085202</v>
      </c>
      <c r="T74" s="3033">
        <v>33</v>
      </c>
      <c r="U74" s="3033">
        <v>33</v>
      </c>
      <c r="V74" s="3033">
        <v>33</v>
      </c>
      <c r="W74" s="3033">
        <v>33</v>
      </c>
      <c r="X74" s="3033">
        <v>33</v>
      </c>
      <c r="Y74" s="1224">
        <f t="shared" ref="Y74:Y95" si="404">T74-S74</f>
        <v>-8.8151822085201559E-2</v>
      </c>
      <c r="Z74" s="1095">
        <f t="shared" ref="Z74:Z95" si="405">IFERROR((T74-S74)/S74,0)</f>
        <v>-2.6641506772331494E-3</v>
      </c>
      <c r="AA74" s="3040"/>
      <c r="AB74" s="3021"/>
      <c r="AC74" s="1969"/>
      <c r="AD74" s="1969"/>
      <c r="AE74" s="1969"/>
      <c r="AF74" s="3021"/>
      <c r="AG74" s="3026"/>
      <c r="AH74" s="3027"/>
      <c r="AI74" s="3040"/>
      <c r="AJ74" s="3021"/>
      <c r="AK74" s="1969"/>
      <c r="AL74" s="1969"/>
      <c r="AM74" s="1969"/>
      <c r="AN74" s="3053"/>
      <c r="AO74" s="3024"/>
      <c r="AP74" s="3027"/>
      <c r="AQ74" s="3040"/>
      <c r="AR74" s="3021"/>
      <c r="AS74" s="1969"/>
      <c r="AT74" s="1969"/>
      <c r="AU74" s="1969"/>
      <c r="AV74" s="3053"/>
      <c r="AW74" s="1086">
        <f>C74+K74+S74+AA74+AI74</f>
        <v>48.021251695223143</v>
      </c>
      <c r="AX74" s="3042">
        <f t="shared" ref="AX74" si="406">D74+L74+T74+AB74+AJ74</f>
        <v>48.978416864257603</v>
      </c>
      <c r="AY74" s="3042">
        <f t="shared" ref="AY74" si="407">E74+M74+U74+AC74+AK74</f>
        <v>49.457769370185332</v>
      </c>
      <c r="AZ74" s="3042">
        <f t="shared" ref="AZ74" si="408">F74+N74+V74+AD74+AL74</f>
        <v>49.951502451290892</v>
      </c>
      <c r="BA74" s="3042">
        <f t="shared" ref="BA74" si="409">G74+O74+W74+AE74+AM74</f>
        <v>50.460047524829619</v>
      </c>
      <c r="BB74" s="3043">
        <f t="shared" ref="BB74" si="410">H74+P74+X74+AF74+AN74</f>
        <v>50.983848950574504</v>
      </c>
      <c r="BC74" s="3059">
        <f>C74+AA74+AI74</f>
        <v>0</v>
      </c>
      <c r="BD74" s="3060">
        <f>D74+AB74+AJ74</f>
        <v>0</v>
      </c>
      <c r="BE74" s="3061">
        <f t="shared" ref="BE74" si="411">E74+AC74+AK74</f>
        <v>0</v>
      </c>
      <c r="BF74" s="3061">
        <f t="shared" ref="BF74" si="412">F74+AD74+AL74</f>
        <v>0</v>
      </c>
      <c r="BG74" s="3061">
        <f t="shared" ref="BG74" si="413">G74+AE74+AM74</f>
        <v>0</v>
      </c>
      <c r="BH74" s="3063">
        <f>H74+AF74+AN74</f>
        <v>0</v>
      </c>
      <c r="BI74" s="4422"/>
      <c r="BJ74" s="4438">
        <f t="shared" si="46"/>
        <v>0</v>
      </c>
      <c r="BK74" s="4438">
        <f t="shared" si="47"/>
        <v>0</v>
      </c>
      <c r="BL74" s="4438">
        <f t="shared" si="48"/>
        <v>0</v>
      </c>
      <c r="BM74" s="4438">
        <f t="shared" si="49"/>
        <v>0</v>
      </c>
      <c r="BN74" s="4438">
        <f t="shared" si="50"/>
        <v>0</v>
      </c>
      <c r="BO74" s="4438">
        <f t="shared" si="51"/>
        <v>0</v>
      </c>
      <c r="BP74" s="4438">
        <f t="shared" si="52"/>
        <v>0</v>
      </c>
      <c r="BQ74" s="4438">
        <f t="shared" si="53"/>
        <v>7.6351727262277116</v>
      </c>
      <c r="BR74" s="4438">
        <f t="shared" si="54"/>
        <v>8.1696348170636526</v>
      </c>
      <c r="BS74" s="4438">
        <f t="shared" si="55"/>
        <v>8.4147238615755615</v>
      </c>
      <c r="BT74" s="4438">
        <f t="shared" si="56"/>
        <v>8.6671655774228284</v>
      </c>
      <c r="BU74" s="4438">
        <f t="shared" si="57"/>
        <v>8.9271805447455126</v>
      </c>
      <c r="BV74" s="4438">
        <f t="shared" si="58"/>
        <v>9.1949959610878782</v>
      </c>
      <c r="BW74" s="4438">
        <f t="shared" si="59"/>
        <v>0.53446209083594032</v>
      </c>
      <c r="BX74" s="4438">
        <f t="shared" si="60"/>
        <v>16.917703390420026</v>
      </c>
      <c r="BY74" s="4438">
        <f t="shared" si="61"/>
        <v>16.87263207947521</v>
      </c>
      <c r="BZ74" s="4438">
        <f t="shared" si="62"/>
        <v>16.87263207947521</v>
      </c>
      <c r="CA74" s="4438">
        <f t="shared" si="63"/>
        <v>16.87263207947521</v>
      </c>
      <c r="CB74" s="4438">
        <f t="shared" si="64"/>
        <v>16.87263207947521</v>
      </c>
      <c r="CC74" s="4438">
        <f t="shared" si="65"/>
        <v>16.87263207947521</v>
      </c>
      <c r="CD74" s="4438">
        <f t="shared" si="66"/>
        <v>-4.5071310944817068E-2</v>
      </c>
      <c r="CE74" s="4438">
        <f t="shared" si="67"/>
        <v>0</v>
      </c>
      <c r="CF74" s="4438">
        <f t="shared" si="68"/>
        <v>0</v>
      </c>
      <c r="CG74" s="4438">
        <f t="shared" si="69"/>
        <v>0</v>
      </c>
      <c r="CH74" s="4438">
        <f t="shared" si="70"/>
        <v>0</v>
      </c>
      <c r="CI74" s="4438">
        <f t="shared" si="71"/>
        <v>0</v>
      </c>
      <c r="CJ74" s="4438">
        <f t="shared" si="72"/>
        <v>0</v>
      </c>
      <c r="CK74" s="4438">
        <f t="shared" si="73"/>
        <v>0</v>
      </c>
      <c r="CL74" s="4438">
        <f t="shared" si="74"/>
        <v>0</v>
      </c>
      <c r="CM74" s="4438">
        <f t="shared" si="75"/>
        <v>0</v>
      </c>
      <c r="CN74" s="4438">
        <f t="shared" si="76"/>
        <v>0</v>
      </c>
      <c r="CO74" s="4438">
        <f t="shared" si="77"/>
        <v>0</v>
      </c>
      <c r="CP74" s="4438">
        <f t="shared" si="78"/>
        <v>0</v>
      </c>
      <c r="CQ74" s="4438">
        <f t="shared" si="79"/>
        <v>0</v>
      </c>
      <c r="CR74" s="4438">
        <f t="shared" si="80"/>
        <v>0</v>
      </c>
      <c r="CS74" s="4438">
        <f t="shared" si="81"/>
        <v>0</v>
      </c>
      <c r="CT74" s="4438">
        <f t="shared" si="82"/>
        <v>0</v>
      </c>
      <c r="CU74" s="4438">
        <f t="shared" si="83"/>
        <v>0</v>
      </c>
      <c r="CV74" s="4438">
        <f t="shared" si="84"/>
        <v>0</v>
      </c>
      <c r="CW74" s="4438">
        <f t="shared" si="85"/>
        <v>0</v>
      </c>
      <c r="CX74" s="4438">
        <f t="shared" si="86"/>
        <v>0</v>
      </c>
      <c r="CY74" s="4438">
        <f t="shared" si="87"/>
        <v>24.552876116647738</v>
      </c>
      <c r="CZ74" s="4438">
        <f t="shared" si="88"/>
        <v>25.042266896538862</v>
      </c>
      <c r="DA74" s="4438">
        <f t="shared" si="89"/>
        <v>25.287355941050773</v>
      </c>
      <c r="DB74" s="4438">
        <f t="shared" si="90"/>
        <v>25.539797656898038</v>
      </c>
      <c r="DC74" s="4438">
        <f t="shared" si="91"/>
        <v>25.799812624220724</v>
      </c>
      <c r="DD74" s="4438">
        <f t="shared" si="92"/>
        <v>26.06762804056309</v>
      </c>
      <c r="DE74" s="4438">
        <f t="shared" si="93"/>
        <v>0</v>
      </c>
      <c r="DF74" s="4438">
        <f t="shared" si="94"/>
        <v>0</v>
      </c>
      <c r="DG74" s="4438">
        <f t="shared" si="95"/>
        <v>0</v>
      </c>
      <c r="DH74" s="4438">
        <f t="shared" si="96"/>
        <v>0</v>
      </c>
      <c r="DI74" s="4438">
        <f t="shared" si="97"/>
        <v>0</v>
      </c>
      <c r="DJ74" s="4438">
        <f t="shared" si="98"/>
        <v>0</v>
      </c>
    </row>
    <row r="75" spans="1:114" ht="13.5" thickBot="1">
      <c r="A75" s="108" t="s">
        <v>276</v>
      </c>
      <c r="B75" s="132" t="s">
        <v>455</v>
      </c>
      <c r="C75" s="4601">
        <v>36</v>
      </c>
      <c r="D75" s="3033">
        <f t="shared" ref="D75" si="414">C75*1.07</f>
        <v>38.520000000000003</v>
      </c>
      <c r="E75" s="3033">
        <f t="shared" ref="E75:H75" si="415">D75*1.03</f>
        <v>39.675600000000003</v>
      </c>
      <c r="F75" s="3033">
        <f t="shared" si="415"/>
        <v>40.865868000000006</v>
      </c>
      <c r="G75" s="3033">
        <f t="shared" si="415"/>
        <v>42.091844040000005</v>
      </c>
      <c r="H75" s="3034">
        <f t="shared" si="415"/>
        <v>43.354599361200009</v>
      </c>
      <c r="I75" s="1224">
        <f t="shared" ref="I75:I94" si="416">D75-C75</f>
        <v>2.5200000000000031</v>
      </c>
      <c r="J75" s="804">
        <f t="shared" ref="J75:J94" si="417">IFERROR((D75-C75)/C75,0)</f>
        <v>7.000000000000009E-2</v>
      </c>
      <c r="K75" s="4601">
        <v>1</v>
      </c>
      <c r="L75" s="3033">
        <f t="shared" si="400"/>
        <v>1.07</v>
      </c>
      <c r="M75" s="3033">
        <f t="shared" si="401"/>
        <v>1.1021000000000001</v>
      </c>
      <c r="N75" s="3033">
        <f t="shared" si="401"/>
        <v>1.1351630000000001</v>
      </c>
      <c r="O75" s="3033">
        <f t="shared" si="401"/>
        <v>1.1692178900000001</v>
      </c>
      <c r="P75" s="3034">
        <f t="shared" si="401"/>
        <v>1.2042944267000002</v>
      </c>
      <c r="Q75" s="1224">
        <f t="shared" si="402"/>
        <v>7.0000000000000062E-2</v>
      </c>
      <c r="R75" s="1095">
        <f t="shared" si="403"/>
        <v>7.0000000000000062E-2</v>
      </c>
      <c r="S75" s="4601">
        <v>1</v>
      </c>
      <c r="T75" s="3033">
        <f t="shared" ref="T75" si="418">S75*1.07</f>
        <v>1.07</v>
      </c>
      <c r="U75" s="3033">
        <f t="shared" ref="U75:X75" si="419">T75*1.03</f>
        <v>1.1021000000000001</v>
      </c>
      <c r="V75" s="3033">
        <f t="shared" si="419"/>
        <v>1.1351630000000001</v>
      </c>
      <c r="W75" s="3033">
        <f t="shared" si="419"/>
        <v>1.1692178900000001</v>
      </c>
      <c r="X75" s="3034">
        <f t="shared" si="419"/>
        <v>1.2042944267000002</v>
      </c>
      <c r="Y75" s="1224">
        <f t="shared" si="404"/>
        <v>7.0000000000000062E-2</v>
      </c>
      <c r="Z75" s="1095">
        <f t="shared" si="405"/>
        <v>7.0000000000000062E-2</v>
      </c>
      <c r="AA75" s="3032"/>
      <c r="AB75" s="3033"/>
      <c r="AC75" s="3033"/>
      <c r="AD75" s="3033"/>
      <c r="AE75" s="3033"/>
      <c r="AF75" s="3034"/>
      <c r="AG75" s="1224">
        <f t="shared" ref="AG75:AG95" si="420">AB75-AA75</f>
        <v>0</v>
      </c>
      <c r="AH75" s="804">
        <f t="shared" ref="AH75:AH95" si="421">IFERROR((AB75-AA75)/AA75,0)</f>
        <v>0</v>
      </c>
      <c r="AI75" s="3032"/>
      <c r="AJ75" s="3033"/>
      <c r="AK75" s="3033"/>
      <c r="AL75" s="3033"/>
      <c r="AM75" s="3033"/>
      <c r="AN75" s="3052"/>
      <c r="AO75" s="1224">
        <f>AJ75-AI75</f>
        <v>0</v>
      </c>
      <c r="AP75" s="804">
        <f>IFERROR((AJ75-AI75)/AI75,0)</f>
        <v>0</v>
      </c>
      <c r="AQ75" s="3032"/>
      <c r="AR75" s="3033"/>
      <c r="AS75" s="3033"/>
      <c r="AT75" s="3033"/>
      <c r="AU75" s="3033"/>
      <c r="AV75" s="3052"/>
      <c r="AW75" s="1086">
        <f t="shared" ref="AW75" si="422">C75+K75+S75+AA75+AI75</f>
        <v>38</v>
      </c>
      <c r="AX75" s="3042">
        <f t="shared" ref="AX75" si="423">D75+L75+T75+AB75+AJ75</f>
        <v>40.660000000000004</v>
      </c>
      <c r="AY75" s="3042">
        <f t="shared" ref="AY75" si="424">E75+M75+U75+AC75+AK75</f>
        <v>41.879800000000003</v>
      </c>
      <c r="AZ75" s="3042">
        <f t="shared" ref="AZ75" si="425">F75+N75+V75+AD75+AL75</f>
        <v>43.136194000000003</v>
      </c>
      <c r="BA75" s="3042">
        <f t="shared" ref="BA75" si="426">G75+O75+W75+AE75+AM75</f>
        <v>44.430279820000003</v>
      </c>
      <c r="BB75" s="3043">
        <f t="shared" ref="BB75" si="427">H75+P75+X75+AF75+AN75</f>
        <v>45.763188214600014</v>
      </c>
      <c r="BC75" s="3059">
        <f>C75+AA75+AI75</f>
        <v>36</v>
      </c>
      <c r="BD75" s="3060">
        <f t="shared" ref="BD75" si="428">D75+AB75+AJ75</f>
        <v>38.520000000000003</v>
      </c>
      <c r="BE75" s="3061">
        <f t="shared" ref="BE75" si="429">E75+AC75+AK75</f>
        <v>39.675600000000003</v>
      </c>
      <c r="BF75" s="3061">
        <f t="shared" ref="BF75" si="430">F75+AD75+AL75</f>
        <v>40.865868000000006</v>
      </c>
      <c r="BG75" s="3061">
        <f t="shared" ref="BG75" si="431">G75+AE75+AM75</f>
        <v>42.091844040000005</v>
      </c>
      <c r="BH75" s="3063">
        <f>H75+AF75+AN75</f>
        <v>43.354599361200009</v>
      </c>
      <c r="BI75" s="4422"/>
      <c r="BJ75" s="4438">
        <f t="shared" si="46"/>
        <v>18.406507723063864</v>
      </c>
      <c r="BK75" s="4438">
        <f t="shared" si="47"/>
        <v>19.694963263678339</v>
      </c>
      <c r="BL75" s="4438">
        <f t="shared" si="48"/>
        <v>20.285812161588687</v>
      </c>
      <c r="BM75" s="4438">
        <f t="shared" si="49"/>
        <v>20.89438652643635</v>
      </c>
      <c r="BN75" s="4438">
        <f t="shared" si="50"/>
        <v>21.521218122229442</v>
      </c>
      <c r="BO75" s="4438">
        <f t="shared" si="51"/>
        <v>22.166854665896324</v>
      </c>
      <c r="BP75" s="4438">
        <f t="shared" si="52"/>
        <v>1.2884555406144722</v>
      </c>
      <c r="BQ75" s="4438">
        <f t="shared" si="53"/>
        <v>0.51129188119621849</v>
      </c>
      <c r="BR75" s="4438">
        <f t="shared" si="54"/>
        <v>0.54708231287995379</v>
      </c>
      <c r="BS75" s="4438">
        <f t="shared" si="55"/>
        <v>0.56349478226635241</v>
      </c>
      <c r="BT75" s="4438">
        <f t="shared" si="56"/>
        <v>0.58039962573434301</v>
      </c>
      <c r="BU75" s="4438">
        <f t="shared" si="57"/>
        <v>0.59781161450637332</v>
      </c>
      <c r="BV75" s="4438">
        <f t="shared" si="58"/>
        <v>0.61574596294156458</v>
      </c>
      <c r="BW75" s="4438">
        <f t="shared" si="59"/>
        <v>3.579043168373533E-2</v>
      </c>
      <c r="BX75" s="4438">
        <f t="shared" si="60"/>
        <v>0.51129188119621849</v>
      </c>
      <c r="BY75" s="4438">
        <f t="shared" si="61"/>
        <v>0.54708231287995379</v>
      </c>
      <c r="BZ75" s="4438">
        <f t="shared" si="62"/>
        <v>0.56349478226635241</v>
      </c>
      <c r="CA75" s="4438">
        <f t="shared" si="63"/>
        <v>0.58039962573434301</v>
      </c>
      <c r="CB75" s="4438">
        <f t="shared" si="64"/>
        <v>0.59781161450637332</v>
      </c>
      <c r="CC75" s="4438">
        <f t="shared" si="65"/>
        <v>0.61574596294156458</v>
      </c>
      <c r="CD75" s="4438">
        <f t="shared" si="66"/>
        <v>3.579043168373533E-2</v>
      </c>
      <c r="CE75" s="4438">
        <f t="shared" si="67"/>
        <v>0</v>
      </c>
      <c r="CF75" s="4438">
        <f t="shared" si="68"/>
        <v>0</v>
      </c>
      <c r="CG75" s="4438">
        <f t="shared" si="69"/>
        <v>0</v>
      </c>
      <c r="CH75" s="4438">
        <f t="shared" si="70"/>
        <v>0</v>
      </c>
      <c r="CI75" s="4438">
        <f t="shared" si="71"/>
        <v>0</v>
      </c>
      <c r="CJ75" s="4438">
        <f t="shared" si="72"/>
        <v>0</v>
      </c>
      <c r="CK75" s="4438">
        <f t="shared" si="73"/>
        <v>0</v>
      </c>
      <c r="CL75" s="4438">
        <f t="shared" si="74"/>
        <v>0</v>
      </c>
      <c r="CM75" s="4438">
        <f t="shared" si="75"/>
        <v>0</v>
      </c>
      <c r="CN75" s="4438">
        <f t="shared" si="76"/>
        <v>0</v>
      </c>
      <c r="CO75" s="4438">
        <f t="shared" si="77"/>
        <v>0</v>
      </c>
      <c r="CP75" s="4438">
        <f t="shared" si="78"/>
        <v>0</v>
      </c>
      <c r="CQ75" s="4438">
        <f t="shared" si="79"/>
        <v>0</v>
      </c>
      <c r="CR75" s="4438">
        <f t="shared" si="80"/>
        <v>0</v>
      </c>
      <c r="CS75" s="4438">
        <f t="shared" si="81"/>
        <v>0</v>
      </c>
      <c r="CT75" s="4438">
        <f t="shared" si="82"/>
        <v>0</v>
      </c>
      <c r="CU75" s="4438">
        <f t="shared" si="83"/>
        <v>0</v>
      </c>
      <c r="CV75" s="4438">
        <f t="shared" si="84"/>
        <v>0</v>
      </c>
      <c r="CW75" s="4438">
        <f t="shared" si="85"/>
        <v>0</v>
      </c>
      <c r="CX75" s="4438">
        <f t="shared" si="86"/>
        <v>0</v>
      </c>
      <c r="CY75" s="4438">
        <f t="shared" si="87"/>
        <v>19.429091485456304</v>
      </c>
      <c r="CZ75" s="4438">
        <f t="shared" si="88"/>
        <v>20.789127889438245</v>
      </c>
      <c r="DA75" s="4438">
        <f t="shared" si="89"/>
        <v>21.412801726121394</v>
      </c>
      <c r="DB75" s="4438">
        <f t="shared" si="90"/>
        <v>22.055185777905034</v>
      </c>
      <c r="DC75" s="4438">
        <f t="shared" si="91"/>
        <v>22.716841351242184</v>
      </c>
      <c r="DD75" s="4438">
        <f t="shared" si="92"/>
        <v>23.398346591779458</v>
      </c>
      <c r="DE75" s="4438">
        <f t="shared" si="93"/>
        <v>18.406507723063864</v>
      </c>
      <c r="DF75" s="4438">
        <f t="shared" si="94"/>
        <v>19.694963263678339</v>
      </c>
      <c r="DG75" s="4438">
        <f t="shared" si="95"/>
        <v>20.285812161588687</v>
      </c>
      <c r="DH75" s="4438">
        <f t="shared" si="96"/>
        <v>20.89438652643635</v>
      </c>
      <c r="DI75" s="4438">
        <f t="shared" si="97"/>
        <v>21.521218122229442</v>
      </c>
      <c r="DJ75" s="4438">
        <f t="shared" si="98"/>
        <v>22.166854665896324</v>
      </c>
    </row>
    <row r="76" spans="1:114" ht="13.5" thickBot="1">
      <c r="A76" s="110">
        <v>7</v>
      </c>
      <c r="B76" s="872" t="s">
        <v>267</v>
      </c>
      <c r="C76" s="1084">
        <f t="shared" ref="C76:BB76" si="432">SUM(C77:C83)</f>
        <v>83</v>
      </c>
      <c r="D76" s="880">
        <f t="shared" si="432"/>
        <v>86.67</v>
      </c>
      <c r="E76" s="1121">
        <f t="shared" si="432"/>
        <v>89.270099999999999</v>
      </c>
      <c r="F76" s="1121">
        <f t="shared" si="432"/>
        <v>91.948203000000007</v>
      </c>
      <c r="G76" s="1121">
        <f t="shared" si="432"/>
        <v>94.706649090000013</v>
      </c>
      <c r="H76" s="1122">
        <f t="shared" si="432"/>
        <v>97.547848562700011</v>
      </c>
      <c r="I76" s="1220">
        <f t="shared" si="416"/>
        <v>3.6700000000000017</v>
      </c>
      <c r="J76" s="801">
        <f t="shared" si="417"/>
        <v>4.4216867469879538E-2</v>
      </c>
      <c r="K76" s="1084">
        <f t="shared" si="432"/>
        <v>3</v>
      </c>
      <c r="L76" s="880">
        <f t="shared" si="432"/>
        <v>3.21</v>
      </c>
      <c r="M76" s="1121">
        <f t="shared" si="432"/>
        <v>3.3063000000000002</v>
      </c>
      <c r="N76" s="1121">
        <f t="shared" si="432"/>
        <v>3.4054890000000002</v>
      </c>
      <c r="O76" s="1121">
        <f t="shared" si="432"/>
        <v>3.5076536700000003</v>
      </c>
      <c r="P76" s="1122">
        <f t="shared" si="432"/>
        <v>3.6128832801000006</v>
      </c>
      <c r="Q76" s="1220">
        <f t="shared" si="402"/>
        <v>0.20999999999999996</v>
      </c>
      <c r="R76" s="853">
        <f t="shared" si="403"/>
        <v>6.9999999999999993E-2</v>
      </c>
      <c r="S76" s="1084">
        <f t="shared" si="432"/>
        <v>4</v>
      </c>
      <c r="T76" s="880">
        <f t="shared" si="432"/>
        <v>4.28</v>
      </c>
      <c r="U76" s="1121">
        <f t="shared" si="432"/>
        <v>4.4084000000000003</v>
      </c>
      <c r="V76" s="1121">
        <f t="shared" si="432"/>
        <v>4.5406520000000006</v>
      </c>
      <c r="W76" s="1121">
        <f t="shared" si="432"/>
        <v>4.6768715600000004</v>
      </c>
      <c r="X76" s="1122">
        <f t="shared" si="432"/>
        <v>4.8171777068000008</v>
      </c>
      <c r="Y76" s="1220">
        <f>T76-S76</f>
        <v>0.28000000000000025</v>
      </c>
      <c r="Z76" s="853">
        <f t="shared" si="405"/>
        <v>7.0000000000000062E-2</v>
      </c>
      <c r="AA76" s="1084">
        <f t="shared" ref="AA76:AN76" si="433">SUM(AA77:AA83)</f>
        <v>0</v>
      </c>
      <c r="AB76" s="880">
        <f t="shared" si="433"/>
        <v>0</v>
      </c>
      <c r="AC76" s="1121">
        <f t="shared" si="433"/>
        <v>0</v>
      </c>
      <c r="AD76" s="1121">
        <f t="shared" si="433"/>
        <v>0</v>
      </c>
      <c r="AE76" s="1121">
        <f t="shared" si="433"/>
        <v>0</v>
      </c>
      <c r="AF76" s="1122">
        <f t="shared" si="433"/>
        <v>0</v>
      </c>
      <c r="AG76" s="1220">
        <f t="shared" si="420"/>
        <v>0</v>
      </c>
      <c r="AH76" s="801">
        <f t="shared" si="421"/>
        <v>0</v>
      </c>
      <c r="AI76" s="1084">
        <f t="shared" si="433"/>
        <v>0</v>
      </c>
      <c r="AJ76" s="880">
        <f t="shared" si="433"/>
        <v>0</v>
      </c>
      <c r="AK76" s="1121">
        <f t="shared" si="433"/>
        <v>0</v>
      </c>
      <c r="AL76" s="1121">
        <f t="shared" si="433"/>
        <v>0</v>
      </c>
      <c r="AM76" s="1121">
        <f t="shared" si="433"/>
        <v>0</v>
      </c>
      <c r="AN76" s="3054">
        <f t="shared" si="433"/>
        <v>0</v>
      </c>
      <c r="AO76" s="1220">
        <f t="shared" ref="AO76:AO95" si="434">AJ76-AI76</f>
        <v>0</v>
      </c>
      <c r="AP76" s="801">
        <f t="shared" ref="AP76:AP95" si="435">IFERROR((AJ76-AI76)/AI76,0)</f>
        <v>0</v>
      </c>
      <c r="AQ76" s="1084">
        <f t="shared" si="432"/>
        <v>0</v>
      </c>
      <c r="AR76" s="880">
        <f t="shared" si="432"/>
        <v>0</v>
      </c>
      <c r="AS76" s="1121">
        <f t="shared" si="432"/>
        <v>0</v>
      </c>
      <c r="AT76" s="1121">
        <f t="shared" si="432"/>
        <v>0</v>
      </c>
      <c r="AU76" s="1121">
        <f t="shared" si="432"/>
        <v>0</v>
      </c>
      <c r="AV76" s="3054">
        <f t="shared" si="432"/>
        <v>0</v>
      </c>
      <c r="AW76" s="1084">
        <f t="shared" si="432"/>
        <v>90</v>
      </c>
      <c r="AX76" s="880">
        <f t="shared" si="432"/>
        <v>94.160000000000011</v>
      </c>
      <c r="AY76" s="1121">
        <f t="shared" si="432"/>
        <v>96.984800000000007</v>
      </c>
      <c r="AZ76" s="1121">
        <f t="shared" si="432"/>
        <v>99.894344000000004</v>
      </c>
      <c r="BA76" s="1121">
        <f t="shared" si="432"/>
        <v>102.89117432</v>
      </c>
      <c r="BB76" s="3054">
        <f t="shared" si="432"/>
        <v>105.97790954960001</v>
      </c>
      <c r="BC76" s="1084">
        <f t="shared" ref="BC76:BH76" si="436">SUM(BC77:BC83)</f>
        <v>83</v>
      </c>
      <c r="BD76" s="880">
        <f t="shared" si="436"/>
        <v>86.67</v>
      </c>
      <c r="BE76" s="1121">
        <f t="shared" si="436"/>
        <v>89.270099999999999</v>
      </c>
      <c r="BF76" s="1121">
        <f t="shared" si="436"/>
        <v>91.948203000000007</v>
      </c>
      <c r="BG76" s="1121">
        <f t="shared" si="436"/>
        <v>94.706649090000013</v>
      </c>
      <c r="BH76" s="3054">
        <f t="shared" si="436"/>
        <v>97.547848562700011</v>
      </c>
      <c r="BI76" s="4422"/>
      <c r="BJ76" s="4438">
        <f t="shared" ref="BJ76:BJ95" si="437">IFERROR(C76/$D$1,0)</f>
        <v>42.437226139286132</v>
      </c>
      <c r="BK76" s="4438">
        <f t="shared" ref="BK76:BK95" si="438">IFERROR(D76/$D$1,0)</f>
        <v>44.313667343276258</v>
      </c>
      <c r="BL76" s="4438">
        <f t="shared" ref="BL76:BL95" si="439">IFERROR(E76/$D$1,0)</f>
        <v>45.643077363574541</v>
      </c>
      <c r="BM76" s="4438">
        <f t="shared" ref="BM76:BM95" si="440">IFERROR(F76/$D$1,0)</f>
        <v>47.012369684481783</v>
      </c>
      <c r="BN76" s="4438">
        <f t="shared" ref="BN76:BN95" si="441">IFERROR(G76/$D$1,0)</f>
        <v>48.422740775016244</v>
      </c>
      <c r="BO76" s="4438">
        <f t="shared" ref="BO76:BO95" si="442">IFERROR(H76/$D$1,0)</f>
        <v>49.875422998266728</v>
      </c>
      <c r="BP76" s="4438">
        <f t="shared" ref="BP76:BP95" si="443">IFERROR(I76/$D$1,0)</f>
        <v>1.8764412039901228</v>
      </c>
      <c r="BQ76" s="4438">
        <f t="shared" ref="BQ76:BQ95" si="444">IFERROR(K76/$D$1,0)</f>
        <v>1.5338756435886556</v>
      </c>
      <c r="BR76" s="4438">
        <f t="shared" ref="BR76:BR95" si="445">IFERROR(L76/$D$1,0)</f>
        <v>1.6412469386398614</v>
      </c>
      <c r="BS76" s="4438">
        <f t="shared" ref="BS76:BS95" si="446">IFERROR(M76/$D$1,0)</f>
        <v>1.6904843467990573</v>
      </c>
      <c r="BT76" s="4438">
        <f t="shared" ref="BT76:BT95" si="447">IFERROR(N76/$D$1,0)</f>
        <v>1.7411988772030291</v>
      </c>
      <c r="BU76" s="4438">
        <f t="shared" ref="BU76:BU95" si="448">IFERROR(O76/$D$1,0)</f>
        <v>1.7934348435191199</v>
      </c>
      <c r="BV76" s="4438">
        <f t="shared" ref="BV76:BV95" si="449">IFERROR(P76/$D$1,0)</f>
        <v>1.8472378888246936</v>
      </c>
      <c r="BW76" s="4438">
        <f t="shared" ref="BW76:BW95" si="450">IFERROR(Q76/$D$1,0)</f>
        <v>0.10737129505120586</v>
      </c>
      <c r="BX76" s="4438">
        <f t="shared" ref="BX76:BX95" si="451">IFERROR(S76/$D$1,0)</f>
        <v>2.045167524784874</v>
      </c>
      <c r="BY76" s="4438">
        <f t="shared" ref="BY76:BY95" si="452">IFERROR(T76/$D$1,0)</f>
        <v>2.1883292515198152</v>
      </c>
      <c r="BZ76" s="4438">
        <f t="shared" ref="BZ76:BZ95" si="453">IFERROR(U76/$D$1,0)</f>
        <v>2.2539791290654096</v>
      </c>
      <c r="CA76" s="4438">
        <f t="shared" ref="CA76:CA95" si="454">IFERROR(V76/$D$1,0)</f>
        <v>2.321598502937372</v>
      </c>
      <c r="CB76" s="4438">
        <f t="shared" ref="CB76:CB95" si="455">IFERROR(W76/$D$1,0)</f>
        <v>2.3912464580254933</v>
      </c>
      <c r="CC76" s="4438">
        <f t="shared" ref="CC76:CC95" si="456">IFERROR(X76/$D$1,0)</f>
        <v>2.4629838517662583</v>
      </c>
      <c r="CD76" s="4438">
        <f t="shared" ref="CD76:CD95" si="457">IFERROR(Y76/$D$1,0)</f>
        <v>0.14316172673494132</v>
      </c>
      <c r="CE76" s="4438">
        <f t="shared" ref="CE76:CE95" si="458">IFERROR(AA76/$D$1,0)</f>
        <v>0</v>
      </c>
      <c r="CF76" s="4438">
        <f t="shared" ref="CF76:CF95" si="459">IFERROR(AB76/$D$1,0)</f>
        <v>0</v>
      </c>
      <c r="CG76" s="4438">
        <f t="shared" ref="CG76:CG95" si="460">IFERROR(AC76/$D$1,0)</f>
        <v>0</v>
      </c>
      <c r="CH76" s="4438">
        <f t="shared" ref="CH76:CH95" si="461">IFERROR(AD76/$D$1,0)</f>
        <v>0</v>
      </c>
      <c r="CI76" s="4438">
        <f t="shared" ref="CI76:CI95" si="462">IFERROR(AE76/$D$1,0)</f>
        <v>0</v>
      </c>
      <c r="CJ76" s="4438">
        <f t="shared" ref="CJ76:CJ95" si="463">IFERROR(AF76/$D$1,0)</f>
        <v>0</v>
      </c>
      <c r="CK76" s="4438">
        <f t="shared" ref="CK76:CK95" si="464">IFERROR(AG76/$D$1,0)</f>
        <v>0</v>
      </c>
      <c r="CL76" s="4438">
        <f t="shared" ref="CL76:CL95" si="465">IFERROR(AI76/$D$1,0)</f>
        <v>0</v>
      </c>
      <c r="CM76" s="4438">
        <f t="shared" ref="CM76:CM95" si="466">IFERROR(AJ76/$D$1,0)</f>
        <v>0</v>
      </c>
      <c r="CN76" s="4438">
        <f t="shared" ref="CN76:CN95" si="467">IFERROR(AK76/$D$1,0)</f>
        <v>0</v>
      </c>
      <c r="CO76" s="4438">
        <f t="shared" ref="CO76:CO95" si="468">IFERROR(AL76/$D$1,0)</f>
        <v>0</v>
      </c>
      <c r="CP76" s="4438">
        <f t="shared" ref="CP76:CP95" si="469">IFERROR(AM76/$D$1,0)</f>
        <v>0</v>
      </c>
      <c r="CQ76" s="4438">
        <f t="shared" ref="CQ76:CQ95" si="470">IFERROR(AN76/$D$1,0)</f>
        <v>0</v>
      </c>
      <c r="CR76" s="4438">
        <f t="shared" ref="CR76:CR95" si="471">IFERROR(AO76/$D$1,0)</f>
        <v>0</v>
      </c>
      <c r="CS76" s="4438">
        <f t="shared" ref="CS76:CS95" si="472">IFERROR(AQ76/$D$1,0)</f>
        <v>0</v>
      </c>
      <c r="CT76" s="4438">
        <f t="shared" ref="CT76:CT95" si="473">IFERROR(AR76/$D$1,0)</f>
        <v>0</v>
      </c>
      <c r="CU76" s="4438">
        <f t="shared" ref="CU76:CU95" si="474">IFERROR(AS76/$D$1,0)</f>
        <v>0</v>
      </c>
      <c r="CV76" s="4438">
        <f t="shared" ref="CV76:CV95" si="475">IFERROR(AT76/$D$1,0)</f>
        <v>0</v>
      </c>
      <c r="CW76" s="4438">
        <f t="shared" ref="CW76:CW95" si="476">IFERROR(AU76/$D$1,0)</f>
        <v>0</v>
      </c>
      <c r="CX76" s="4438">
        <f t="shared" ref="CX76:CX95" si="477">IFERROR(AV76/$D$1,0)</f>
        <v>0</v>
      </c>
      <c r="CY76" s="4438">
        <f t="shared" ref="CY76:CY95" si="478">IFERROR(AW76/$D$1,0)</f>
        <v>46.016269307659663</v>
      </c>
      <c r="CZ76" s="4438">
        <f t="shared" ref="CZ76:CZ95" si="479">IFERROR(AX76/$D$1,0)</f>
        <v>48.143243533435943</v>
      </c>
      <c r="DA76" s="4438">
        <f t="shared" ref="DA76:DA95" si="480">IFERROR(AY76/$D$1,0)</f>
        <v>49.587540839439015</v>
      </c>
      <c r="DB76" s="4438">
        <f t="shared" ref="DB76:DB95" si="481">IFERROR(AZ76/$D$1,0)</f>
        <v>51.075167064622185</v>
      </c>
      <c r="DC76" s="4438">
        <f t="shared" ref="DC76:DC95" si="482">IFERROR(BA76/$D$1,0)</f>
        <v>52.607422076560852</v>
      </c>
      <c r="DD76" s="4438">
        <f t="shared" ref="DD76:DD95" si="483">IFERROR(BB76/$D$1,0)</f>
        <v>54.185644738857683</v>
      </c>
      <c r="DE76" s="4438">
        <f t="shared" ref="DE76:DE95" si="484">IFERROR(BC76/$D$1,0)</f>
        <v>42.437226139286132</v>
      </c>
      <c r="DF76" s="4438">
        <f t="shared" ref="DF76:DF95" si="485">IFERROR(BD76/$D$1,0)</f>
        <v>44.313667343276258</v>
      </c>
      <c r="DG76" s="4438">
        <f t="shared" ref="DG76:DG95" si="486">IFERROR(BE76/$D$1,0)</f>
        <v>45.643077363574541</v>
      </c>
      <c r="DH76" s="4438">
        <f t="shared" ref="DH76:DH95" si="487">IFERROR(BF76/$D$1,0)</f>
        <v>47.012369684481783</v>
      </c>
      <c r="DI76" s="4438">
        <f t="shared" ref="DI76:DI95" si="488">IFERROR(BG76/$D$1,0)</f>
        <v>48.422740775016244</v>
      </c>
      <c r="DJ76" s="4438">
        <f t="shared" ref="DJ76:DJ95" si="489">IFERROR(BH76/$D$1,0)</f>
        <v>49.875422998266728</v>
      </c>
    </row>
    <row r="77" spans="1:114" ht="12.75">
      <c r="A77" s="108" t="s">
        <v>176</v>
      </c>
      <c r="B77" s="870" t="s">
        <v>269</v>
      </c>
      <c r="C77" s="4601">
        <v>0</v>
      </c>
      <c r="D77" s="3033">
        <f t="shared" ref="D77:D82" si="490">C77*1.07</f>
        <v>0</v>
      </c>
      <c r="E77" s="3033">
        <f t="shared" ref="E77:H77" si="491">D77*1.03</f>
        <v>0</v>
      </c>
      <c r="F77" s="3033">
        <f t="shared" si="491"/>
        <v>0</v>
      </c>
      <c r="G77" s="3033">
        <f t="shared" si="491"/>
        <v>0</v>
      </c>
      <c r="H77" s="3034">
        <f t="shared" si="491"/>
        <v>0</v>
      </c>
      <c r="I77" s="1224">
        <f t="shared" si="416"/>
        <v>0</v>
      </c>
      <c r="J77" s="804">
        <f t="shared" si="417"/>
        <v>0</v>
      </c>
      <c r="K77" s="4601">
        <v>0</v>
      </c>
      <c r="L77" s="3033">
        <f t="shared" ref="L77:L82" si="492">K77*1.07</f>
        <v>0</v>
      </c>
      <c r="M77" s="3033">
        <f t="shared" ref="M77:P77" si="493">L77*1.03</f>
        <v>0</v>
      </c>
      <c r="N77" s="3033">
        <f t="shared" si="493"/>
        <v>0</v>
      </c>
      <c r="O77" s="3033">
        <f t="shared" si="493"/>
        <v>0</v>
      </c>
      <c r="P77" s="3034">
        <f t="shared" si="493"/>
        <v>0</v>
      </c>
      <c r="Q77" s="1224">
        <f t="shared" si="402"/>
        <v>0</v>
      </c>
      <c r="R77" s="1095">
        <f t="shared" si="403"/>
        <v>0</v>
      </c>
      <c r="S77" s="3032">
        <v>0</v>
      </c>
      <c r="T77" s="3033">
        <f>S77*1.07</f>
        <v>0</v>
      </c>
      <c r="U77" s="3033">
        <f>T77*1.03</f>
        <v>0</v>
      </c>
      <c r="V77" s="3033">
        <f t="shared" ref="V77:X77" si="494">U77*1.03</f>
        <v>0</v>
      </c>
      <c r="W77" s="3033">
        <f t="shared" si="494"/>
        <v>0</v>
      </c>
      <c r="X77" s="3034">
        <f t="shared" si="494"/>
        <v>0</v>
      </c>
      <c r="Y77" s="1224">
        <f t="shared" si="404"/>
        <v>0</v>
      </c>
      <c r="Z77" s="1095">
        <f t="shared" si="405"/>
        <v>0</v>
      </c>
      <c r="AA77" s="3032"/>
      <c r="AB77" s="3033"/>
      <c r="AC77" s="3033"/>
      <c r="AD77" s="3033"/>
      <c r="AE77" s="3033"/>
      <c r="AF77" s="3034"/>
      <c r="AG77" s="1224">
        <f t="shared" si="420"/>
        <v>0</v>
      </c>
      <c r="AH77" s="804">
        <f t="shared" si="421"/>
        <v>0</v>
      </c>
      <c r="AI77" s="3032"/>
      <c r="AJ77" s="3033"/>
      <c r="AK77" s="3033"/>
      <c r="AL77" s="3033"/>
      <c r="AM77" s="3033"/>
      <c r="AN77" s="3052"/>
      <c r="AO77" s="1224">
        <f t="shared" si="434"/>
        <v>0</v>
      </c>
      <c r="AP77" s="804">
        <f t="shared" si="435"/>
        <v>0</v>
      </c>
      <c r="AQ77" s="3032"/>
      <c r="AR77" s="3033"/>
      <c r="AS77" s="3033"/>
      <c r="AT77" s="3033"/>
      <c r="AU77" s="3033"/>
      <c r="AV77" s="3052"/>
      <c r="AW77" s="1086">
        <f t="shared" ref="AW77:AW82" si="495">C77+K77+S77+AA77+AI77</f>
        <v>0</v>
      </c>
      <c r="AX77" s="3042">
        <f t="shared" ref="AX77:AX82" si="496">D77+L77+T77+AB77+AJ77</f>
        <v>0</v>
      </c>
      <c r="AY77" s="3042">
        <f t="shared" ref="AY77:AY82" si="497">E77+M77+U77+AC77+AK77</f>
        <v>0</v>
      </c>
      <c r="AZ77" s="3042">
        <f t="shared" ref="AZ77:AZ82" si="498">F77+N77+V77+AD77+AL77</f>
        <v>0</v>
      </c>
      <c r="BA77" s="3042">
        <f t="shared" ref="BA77:BA82" si="499">G77+O77+W77+AE77+AM77</f>
        <v>0</v>
      </c>
      <c r="BB77" s="3043">
        <f t="shared" ref="BB77:BB82" si="500">H77+P77+X77+AF77+AN77</f>
        <v>0</v>
      </c>
      <c r="BC77" s="3059">
        <f t="shared" ref="BC77:BC82" si="501">C77+AA77+AI77</f>
        <v>0</v>
      </c>
      <c r="BD77" s="3060">
        <f t="shared" ref="BD77:BD82" si="502">D77+AB77+AJ77</f>
        <v>0</v>
      </c>
      <c r="BE77" s="3061">
        <f t="shared" ref="BE77:BE82" si="503">E77+AC77+AK77</f>
        <v>0</v>
      </c>
      <c r="BF77" s="3061">
        <f t="shared" ref="BF77:BF82" si="504">F77+AD77+AL77</f>
        <v>0</v>
      </c>
      <c r="BG77" s="3061">
        <f t="shared" ref="BG77:BG82" si="505">G77+AE77+AM77</f>
        <v>0</v>
      </c>
      <c r="BH77" s="3063">
        <f t="shared" ref="BH77:BH82" si="506">H77+AF77+AN77</f>
        <v>0</v>
      </c>
      <c r="BI77" s="4422"/>
      <c r="BJ77" s="4438">
        <f t="shared" si="437"/>
        <v>0</v>
      </c>
      <c r="BK77" s="4438">
        <f t="shared" si="438"/>
        <v>0</v>
      </c>
      <c r="BL77" s="4438">
        <f t="shared" si="439"/>
        <v>0</v>
      </c>
      <c r="BM77" s="4438">
        <f t="shared" si="440"/>
        <v>0</v>
      </c>
      <c r="BN77" s="4438">
        <f t="shared" si="441"/>
        <v>0</v>
      </c>
      <c r="BO77" s="4438">
        <f t="shared" si="442"/>
        <v>0</v>
      </c>
      <c r="BP77" s="4438">
        <f t="shared" si="443"/>
        <v>0</v>
      </c>
      <c r="BQ77" s="4438">
        <f t="shared" si="444"/>
        <v>0</v>
      </c>
      <c r="BR77" s="4438">
        <f t="shared" si="445"/>
        <v>0</v>
      </c>
      <c r="BS77" s="4438">
        <f t="shared" si="446"/>
        <v>0</v>
      </c>
      <c r="BT77" s="4438">
        <f t="shared" si="447"/>
        <v>0</v>
      </c>
      <c r="BU77" s="4438">
        <f t="shared" si="448"/>
        <v>0</v>
      </c>
      <c r="BV77" s="4438">
        <f t="shared" si="449"/>
        <v>0</v>
      </c>
      <c r="BW77" s="4438">
        <f t="shared" si="450"/>
        <v>0</v>
      </c>
      <c r="BX77" s="4438">
        <f t="shared" si="451"/>
        <v>0</v>
      </c>
      <c r="BY77" s="4438">
        <f t="shared" si="452"/>
        <v>0</v>
      </c>
      <c r="BZ77" s="4438">
        <f t="shared" si="453"/>
        <v>0</v>
      </c>
      <c r="CA77" s="4438">
        <f t="shared" si="454"/>
        <v>0</v>
      </c>
      <c r="CB77" s="4438">
        <f t="shared" si="455"/>
        <v>0</v>
      </c>
      <c r="CC77" s="4438">
        <f t="shared" si="456"/>
        <v>0</v>
      </c>
      <c r="CD77" s="4438">
        <f t="shared" si="457"/>
        <v>0</v>
      </c>
      <c r="CE77" s="4438">
        <f t="shared" si="458"/>
        <v>0</v>
      </c>
      <c r="CF77" s="4438">
        <f t="shared" si="459"/>
        <v>0</v>
      </c>
      <c r="CG77" s="4438">
        <f t="shared" si="460"/>
        <v>0</v>
      </c>
      <c r="CH77" s="4438">
        <f t="shared" si="461"/>
        <v>0</v>
      </c>
      <c r="CI77" s="4438">
        <f t="shared" si="462"/>
        <v>0</v>
      </c>
      <c r="CJ77" s="4438">
        <f t="shared" si="463"/>
        <v>0</v>
      </c>
      <c r="CK77" s="4438">
        <f t="shared" si="464"/>
        <v>0</v>
      </c>
      <c r="CL77" s="4438">
        <f t="shared" si="465"/>
        <v>0</v>
      </c>
      <c r="CM77" s="4438">
        <f t="shared" si="466"/>
        <v>0</v>
      </c>
      <c r="CN77" s="4438">
        <f t="shared" si="467"/>
        <v>0</v>
      </c>
      <c r="CO77" s="4438">
        <f t="shared" si="468"/>
        <v>0</v>
      </c>
      <c r="CP77" s="4438">
        <f t="shared" si="469"/>
        <v>0</v>
      </c>
      <c r="CQ77" s="4438">
        <f t="shared" si="470"/>
        <v>0</v>
      </c>
      <c r="CR77" s="4438">
        <f t="shared" si="471"/>
        <v>0</v>
      </c>
      <c r="CS77" s="4438">
        <f t="shared" si="472"/>
        <v>0</v>
      </c>
      <c r="CT77" s="4438">
        <f t="shared" si="473"/>
        <v>0</v>
      </c>
      <c r="CU77" s="4438">
        <f t="shared" si="474"/>
        <v>0</v>
      </c>
      <c r="CV77" s="4438">
        <f t="shared" si="475"/>
        <v>0</v>
      </c>
      <c r="CW77" s="4438">
        <f t="shared" si="476"/>
        <v>0</v>
      </c>
      <c r="CX77" s="4438">
        <f t="shared" si="477"/>
        <v>0</v>
      </c>
      <c r="CY77" s="4438">
        <f t="shared" si="478"/>
        <v>0</v>
      </c>
      <c r="CZ77" s="4438">
        <f t="shared" si="479"/>
        <v>0</v>
      </c>
      <c r="DA77" s="4438">
        <f t="shared" si="480"/>
        <v>0</v>
      </c>
      <c r="DB77" s="4438">
        <f t="shared" si="481"/>
        <v>0</v>
      </c>
      <c r="DC77" s="4438">
        <f t="shared" si="482"/>
        <v>0</v>
      </c>
      <c r="DD77" s="4438">
        <f t="shared" si="483"/>
        <v>0</v>
      </c>
      <c r="DE77" s="4438">
        <f t="shared" si="484"/>
        <v>0</v>
      </c>
      <c r="DF77" s="4438">
        <f t="shared" si="485"/>
        <v>0</v>
      </c>
      <c r="DG77" s="4438">
        <f t="shared" si="486"/>
        <v>0</v>
      </c>
      <c r="DH77" s="4438">
        <f t="shared" si="487"/>
        <v>0</v>
      </c>
      <c r="DI77" s="4438">
        <f t="shared" si="488"/>
        <v>0</v>
      </c>
      <c r="DJ77" s="4438">
        <f t="shared" si="489"/>
        <v>0</v>
      </c>
    </row>
    <row r="78" spans="1:114" ht="12.75">
      <c r="A78" s="108" t="s">
        <v>178</v>
      </c>
      <c r="B78" s="878" t="s">
        <v>271</v>
      </c>
      <c r="C78" s="4601">
        <v>13</v>
      </c>
      <c r="D78" s="3033">
        <f t="shared" si="490"/>
        <v>13.91</v>
      </c>
      <c r="E78" s="3033">
        <f t="shared" ref="E78:H78" si="507">D78*1.03</f>
        <v>14.327300000000001</v>
      </c>
      <c r="F78" s="3033">
        <f t="shared" si="507"/>
        <v>14.757119000000001</v>
      </c>
      <c r="G78" s="3033">
        <f t="shared" si="507"/>
        <v>15.199832570000002</v>
      </c>
      <c r="H78" s="3034">
        <f t="shared" si="507"/>
        <v>15.655827547100001</v>
      </c>
      <c r="I78" s="1224">
        <f t="shared" si="416"/>
        <v>0.91000000000000014</v>
      </c>
      <c r="J78" s="804">
        <f t="shared" si="417"/>
        <v>7.0000000000000007E-2</v>
      </c>
      <c r="K78" s="4601">
        <v>1</v>
      </c>
      <c r="L78" s="3033">
        <f t="shared" si="492"/>
        <v>1.07</v>
      </c>
      <c r="M78" s="3033">
        <f t="shared" ref="M78:P78" si="508">L78*1.03</f>
        <v>1.1021000000000001</v>
      </c>
      <c r="N78" s="3033">
        <f t="shared" si="508"/>
        <v>1.1351630000000001</v>
      </c>
      <c r="O78" s="3033">
        <f t="shared" si="508"/>
        <v>1.1692178900000001</v>
      </c>
      <c r="P78" s="3034">
        <f t="shared" si="508"/>
        <v>1.2042944267000002</v>
      </c>
      <c r="Q78" s="1224">
        <f t="shared" si="402"/>
        <v>7.0000000000000062E-2</v>
      </c>
      <c r="R78" s="1095">
        <f t="shared" si="403"/>
        <v>7.0000000000000062E-2</v>
      </c>
      <c r="S78" s="3032">
        <v>1</v>
      </c>
      <c r="T78" s="3033">
        <f t="shared" ref="T78:T82" si="509">S78*1.07</f>
        <v>1.07</v>
      </c>
      <c r="U78" s="3033">
        <f t="shared" ref="U78:X78" si="510">T78*1.03</f>
        <v>1.1021000000000001</v>
      </c>
      <c r="V78" s="3033">
        <f t="shared" si="510"/>
        <v>1.1351630000000001</v>
      </c>
      <c r="W78" s="3033">
        <f t="shared" si="510"/>
        <v>1.1692178900000001</v>
      </c>
      <c r="X78" s="3034">
        <f t="shared" si="510"/>
        <v>1.2042944267000002</v>
      </c>
      <c r="Y78" s="1224">
        <f t="shared" si="404"/>
        <v>7.0000000000000062E-2</v>
      </c>
      <c r="Z78" s="1095">
        <f t="shared" si="405"/>
        <v>7.0000000000000062E-2</v>
      </c>
      <c r="AA78" s="3032"/>
      <c r="AB78" s="3033"/>
      <c r="AC78" s="3033"/>
      <c r="AD78" s="3033"/>
      <c r="AE78" s="3033"/>
      <c r="AF78" s="3034"/>
      <c r="AG78" s="1224">
        <f t="shared" si="420"/>
        <v>0</v>
      </c>
      <c r="AH78" s="804">
        <f t="shared" si="421"/>
        <v>0</v>
      </c>
      <c r="AI78" s="3032"/>
      <c r="AJ78" s="3033"/>
      <c r="AK78" s="3033"/>
      <c r="AL78" s="3033"/>
      <c r="AM78" s="3033"/>
      <c r="AN78" s="3052"/>
      <c r="AO78" s="1224">
        <f t="shared" si="434"/>
        <v>0</v>
      </c>
      <c r="AP78" s="804">
        <f t="shared" si="435"/>
        <v>0</v>
      </c>
      <c r="AQ78" s="3032"/>
      <c r="AR78" s="3033"/>
      <c r="AS78" s="3033"/>
      <c r="AT78" s="3033"/>
      <c r="AU78" s="3033"/>
      <c r="AV78" s="3052"/>
      <c r="AW78" s="1086">
        <f t="shared" si="495"/>
        <v>15</v>
      </c>
      <c r="AX78" s="3042">
        <f t="shared" si="496"/>
        <v>16.05</v>
      </c>
      <c r="AY78" s="3042">
        <f t="shared" si="497"/>
        <v>16.531500000000001</v>
      </c>
      <c r="AZ78" s="3042">
        <f t="shared" si="498"/>
        <v>17.027445</v>
      </c>
      <c r="BA78" s="3042">
        <f t="shared" si="499"/>
        <v>17.538268349999999</v>
      </c>
      <c r="BB78" s="3043">
        <f t="shared" si="500"/>
        <v>18.064416400500001</v>
      </c>
      <c r="BC78" s="3059">
        <f t="shared" si="501"/>
        <v>13</v>
      </c>
      <c r="BD78" s="3060">
        <f t="shared" si="502"/>
        <v>13.91</v>
      </c>
      <c r="BE78" s="3061">
        <f t="shared" si="503"/>
        <v>14.327300000000001</v>
      </c>
      <c r="BF78" s="3061">
        <f t="shared" si="504"/>
        <v>14.757119000000001</v>
      </c>
      <c r="BG78" s="3061">
        <f t="shared" si="505"/>
        <v>15.199832570000002</v>
      </c>
      <c r="BH78" s="3063">
        <f t="shared" si="506"/>
        <v>15.655827547100001</v>
      </c>
      <c r="BI78" s="4422"/>
      <c r="BJ78" s="4438">
        <f t="shared" si="437"/>
        <v>6.6467944555508405</v>
      </c>
      <c r="BK78" s="4438">
        <f t="shared" si="438"/>
        <v>7.1120700674393991</v>
      </c>
      <c r="BL78" s="4438">
        <f t="shared" si="439"/>
        <v>7.3254321694625819</v>
      </c>
      <c r="BM78" s="4438">
        <f t="shared" si="440"/>
        <v>7.545195134546459</v>
      </c>
      <c r="BN78" s="4438">
        <f t="shared" si="441"/>
        <v>7.7715509885828533</v>
      </c>
      <c r="BO78" s="4438">
        <f t="shared" si="442"/>
        <v>8.0046975182403379</v>
      </c>
      <c r="BP78" s="4438">
        <f t="shared" si="443"/>
        <v>0.46527561188855893</v>
      </c>
      <c r="BQ78" s="4438">
        <f t="shared" si="444"/>
        <v>0.51129188119621849</v>
      </c>
      <c r="BR78" s="4438">
        <f t="shared" si="445"/>
        <v>0.54708231287995379</v>
      </c>
      <c r="BS78" s="4438">
        <f t="shared" si="446"/>
        <v>0.56349478226635241</v>
      </c>
      <c r="BT78" s="4438">
        <f t="shared" si="447"/>
        <v>0.58039962573434301</v>
      </c>
      <c r="BU78" s="4438">
        <f t="shared" si="448"/>
        <v>0.59781161450637332</v>
      </c>
      <c r="BV78" s="4438">
        <f t="shared" si="449"/>
        <v>0.61574596294156458</v>
      </c>
      <c r="BW78" s="4438">
        <f t="shared" si="450"/>
        <v>3.579043168373533E-2</v>
      </c>
      <c r="BX78" s="4438">
        <f t="shared" si="451"/>
        <v>0.51129188119621849</v>
      </c>
      <c r="BY78" s="4438">
        <f t="shared" si="452"/>
        <v>0.54708231287995379</v>
      </c>
      <c r="BZ78" s="4438">
        <f t="shared" si="453"/>
        <v>0.56349478226635241</v>
      </c>
      <c r="CA78" s="4438">
        <f t="shared" si="454"/>
        <v>0.58039962573434301</v>
      </c>
      <c r="CB78" s="4438">
        <f t="shared" si="455"/>
        <v>0.59781161450637332</v>
      </c>
      <c r="CC78" s="4438">
        <f t="shared" si="456"/>
        <v>0.61574596294156458</v>
      </c>
      <c r="CD78" s="4438">
        <f t="shared" si="457"/>
        <v>3.579043168373533E-2</v>
      </c>
      <c r="CE78" s="4438">
        <f t="shared" si="458"/>
        <v>0</v>
      </c>
      <c r="CF78" s="4438">
        <f t="shared" si="459"/>
        <v>0</v>
      </c>
      <c r="CG78" s="4438">
        <f t="shared" si="460"/>
        <v>0</v>
      </c>
      <c r="CH78" s="4438">
        <f t="shared" si="461"/>
        <v>0</v>
      </c>
      <c r="CI78" s="4438">
        <f t="shared" si="462"/>
        <v>0</v>
      </c>
      <c r="CJ78" s="4438">
        <f t="shared" si="463"/>
        <v>0</v>
      </c>
      <c r="CK78" s="4438">
        <f t="shared" si="464"/>
        <v>0</v>
      </c>
      <c r="CL78" s="4438">
        <f t="shared" si="465"/>
        <v>0</v>
      </c>
      <c r="CM78" s="4438">
        <f t="shared" si="466"/>
        <v>0</v>
      </c>
      <c r="CN78" s="4438">
        <f t="shared" si="467"/>
        <v>0</v>
      </c>
      <c r="CO78" s="4438">
        <f t="shared" si="468"/>
        <v>0</v>
      </c>
      <c r="CP78" s="4438">
        <f t="shared" si="469"/>
        <v>0</v>
      </c>
      <c r="CQ78" s="4438">
        <f t="shared" si="470"/>
        <v>0</v>
      </c>
      <c r="CR78" s="4438">
        <f t="shared" si="471"/>
        <v>0</v>
      </c>
      <c r="CS78" s="4438">
        <f t="shared" si="472"/>
        <v>0</v>
      </c>
      <c r="CT78" s="4438">
        <f t="shared" si="473"/>
        <v>0</v>
      </c>
      <c r="CU78" s="4438">
        <f t="shared" si="474"/>
        <v>0</v>
      </c>
      <c r="CV78" s="4438">
        <f t="shared" si="475"/>
        <v>0</v>
      </c>
      <c r="CW78" s="4438">
        <f t="shared" si="476"/>
        <v>0</v>
      </c>
      <c r="CX78" s="4438">
        <f t="shared" si="477"/>
        <v>0</v>
      </c>
      <c r="CY78" s="4438">
        <f t="shared" si="478"/>
        <v>7.6693782179432777</v>
      </c>
      <c r="CZ78" s="4438">
        <f t="shared" si="479"/>
        <v>8.206234693199308</v>
      </c>
      <c r="DA78" s="4438">
        <f t="shared" si="480"/>
        <v>8.452421733995287</v>
      </c>
      <c r="DB78" s="4438">
        <f t="shared" si="481"/>
        <v>8.7059943860151439</v>
      </c>
      <c r="DC78" s="4438">
        <f t="shared" si="482"/>
        <v>8.9671742175955984</v>
      </c>
      <c r="DD78" s="4438">
        <f t="shared" si="483"/>
        <v>9.2361894441234682</v>
      </c>
      <c r="DE78" s="4438">
        <f t="shared" si="484"/>
        <v>6.6467944555508405</v>
      </c>
      <c r="DF78" s="4438">
        <f t="shared" si="485"/>
        <v>7.1120700674393991</v>
      </c>
      <c r="DG78" s="4438">
        <f t="shared" si="486"/>
        <v>7.3254321694625819</v>
      </c>
      <c r="DH78" s="4438">
        <f t="shared" si="487"/>
        <v>7.545195134546459</v>
      </c>
      <c r="DI78" s="4438">
        <f t="shared" si="488"/>
        <v>7.7715509885828533</v>
      </c>
      <c r="DJ78" s="4438">
        <f t="shared" si="489"/>
        <v>8.0046975182403379</v>
      </c>
    </row>
    <row r="79" spans="1:114" ht="12.75">
      <c r="A79" s="108" t="s">
        <v>456</v>
      </c>
      <c r="B79" s="132" t="s">
        <v>266</v>
      </c>
      <c r="C79" s="4601">
        <v>22</v>
      </c>
      <c r="D79" s="3033">
        <f t="shared" si="490"/>
        <v>23.540000000000003</v>
      </c>
      <c r="E79" s="3033">
        <f t="shared" ref="E79:H79" si="511">D79*1.03</f>
        <v>24.246200000000002</v>
      </c>
      <c r="F79" s="3033">
        <f t="shared" si="511"/>
        <v>24.973586000000001</v>
      </c>
      <c r="G79" s="3033">
        <f t="shared" si="511"/>
        <v>25.722793580000001</v>
      </c>
      <c r="H79" s="3034">
        <f t="shared" si="511"/>
        <v>26.494477387400003</v>
      </c>
      <c r="I79" s="1224">
        <f t="shared" si="416"/>
        <v>1.5400000000000027</v>
      </c>
      <c r="J79" s="804">
        <f t="shared" si="417"/>
        <v>7.0000000000000118E-2</v>
      </c>
      <c r="K79" s="4601">
        <v>1</v>
      </c>
      <c r="L79" s="3033">
        <f t="shared" si="492"/>
        <v>1.07</v>
      </c>
      <c r="M79" s="3033">
        <f t="shared" ref="M79:P79" si="512">L79*1.03</f>
        <v>1.1021000000000001</v>
      </c>
      <c r="N79" s="3033">
        <f t="shared" si="512"/>
        <v>1.1351630000000001</v>
      </c>
      <c r="O79" s="3033">
        <f t="shared" si="512"/>
        <v>1.1692178900000001</v>
      </c>
      <c r="P79" s="3034">
        <f t="shared" si="512"/>
        <v>1.2042944267000002</v>
      </c>
      <c r="Q79" s="1224">
        <f t="shared" si="402"/>
        <v>7.0000000000000062E-2</v>
      </c>
      <c r="R79" s="1095">
        <f t="shared" si="403"/>
        <v>7.0000000000000062E-2</v>
      </c>
      <c r="S79" s="3032">
        <v>2</v>
      </c>
      <c r="T79" s="3033">
        <f t="shared" si="509"/>
        <v>2.14</v>
      </c>
      <c r="U79" s="3033">
        <f t="shared" ref="U79:X79" si="513">T79*1.03</f>
        <v>2.2042000000000002</v>
      </c>
      <c r="V79" s="3033">
        <f t="shared" si="513"/>
        <v>2.2703260000000003</v>
      </c>
      <c r="W79" s="3033">
        <f t="shared" si="513"/>
        <v>2.3384357800000002</v>
      </c>
      <c r="X79" s="3034">
        <f t="shared" si="513"/>
        <v>2.4085888534000004</v>
      </c>
      <c r="Y79" s="1224">
        <f t="shared" si="404"/>
        <v>0.14000000000000012</v>
      </c>
      <c r="Z79" s="1095">
        <f t="shared" si="405"/>
        <v>7.0000000000000062E-2</v>
      </c>
      <c r="AA79" s="3032"/>
      <c r="AB79" s="3033"/>
      <c r="AC79" s="3033"/>
      <c r="AD79" s="3033"/>
      <c r="AE79" s="3033"/>
      <c r="AF79" s="3034"/>
      <c r="AG79" s="1224">
        <f t="shared" si="420"/>
        <v>0</v>
      </c>
      <c r="AH79" s="804">
        <f t="shared" si="421"/>
        <v>0</v>
      </c>
      <c r="AI79" s="3032"/>
      <c r="AJ79" s="3033"/>
      <c r="AK79" s="3033"/>
      <c r="AL79" s="3033"/>
      <c r="AM79" s="3033"/>
      <c r="AN79" s="3052"/>
      <c r="AO79" s="1224">
        <f t="shared" si="434"/>
        <v>0</v>
      </c>
      <c r="AP79" s="804">
        <f t="shared" si="435"/>
        <v>0</v>
      </c>
      <c r="AQ79" s="3032"/>
      <c r="AR79" s="3033"/>
      <c r="AS79" s="3033"/>
      <c r="AT79" s="3033"/>
      <c r="AU79" s="3033"/>
      <c r="AV79" s="3052"/>
      <c r="AW79" s="1086">
        <f t="shared" si="495"/>
        <v>25</v>
      </c>
      <c r="AX79" s="3042">
        <f t="shared" si="496"/>
        <v>26.750000000000004</v>
      </c>
      <c r="AY79" s="3042">
        <f t="shared" si="497"/>
        <v>27.552500000000002</v>
      </c>
      <c r="AZ79" s="3042">
        <f t="shared" si="498"/>
        <v>28.379075</v>
      </c>
      <c r="BA79" s="3042">
        <f t="shared" si="499"/>
        <v>29.230447250000001</v>
      </c>
      <c r="BB79" s="3043">
        <f t="shared" si="500"/>
        <v>30.107360667500004</v>
      </c>
      <c r="BC79" s="3059">
        <f t="shared" si="501"/>
        <v>22</v>
      </c>
      <c r="BD79" s="3060">
        <f t="shared" si="502"/>
        <v>23.540000000000003</v>
      </c>
      <c r="BE79" s="3061">
        <f t="shared" si="503"/>
        <v>24.246200000000002</v>
      </c>
      <c r="BF79" s="3061">
        <f t="shared" si="504"/>
        <v>24.973586000000001</v>
      </c>
      <c r="BG79" s="3061">
        <f t="shared" si="505"/>
        <v>25.722793580000001</v>
      </c>
      <c r="BH79" s="3063">
        <f t="shared" si="506"/>
        <v>26.494477387400003</v>
      </c>
      <c r="BI79" s="4422"/>
      <c r="BJ79" s="4438">
        <f t="shared" si="437"/>
        <v>11.248421386316807</v>
      </c>
      <c r="BK79" s="4438">
        <f t="shared" si="438"/>
        <v>12.035810883358986</v>
      </c>
      <c r="BL79" s="4438">
        <f t="shared" si="439"/>
        <v>12.396885209859754</v>
      </c>
      <c r="BM79" s="4438">
        <f t="shared" si="440"/>
        <v>12.768791766155546</v>
      </c>
      <c r="BN79" s="4438">
        <f t="shared" si="441"/>
        <v>13.151855519140213</v>
      </c>
      <c r="BO79" s="4438">
        <f t="shared" si="442"/>
        <v>13.546411184714421</v>
      </c>
      <c r="BP79" s="4438">
        <f t="shared" si="443"/>
        <v>0.78738949704217787</v>
      </c>
      <c r="BQ79" s="4438">
        <f t="shared" si="444"/>
        <v>0.51129188119621849</v>
      </c>
      <c r="BR79" s="4438">
        <f t="shared" si="445"/>
        <v>0.54708231287995379</v>
      </c>
      <c r="BS79" s="4438">
        <f t="shared" si="446"/>
        <v>0.56349478226635241</v>
      </c>
      <c r="BT79" s="4438">
        <f t="shared" si="447"/>
        <v>0.58039962573434301</v>
      </c>
      <c r="BU79" s="4438">
        <f t="shared" si="448"/>
        <v>0.59781161450637332</v>
      </c>
      <c r="BV79" s="4438">
        <f t="shared" si="449"/>
        <v>0.61574596294156458</v>
      </c>
      <c r="BW79" s="4438">
        <f t="shared" si="450"/>
        <v>3.579043168373533E-2</v>
      </c>
      <c r="BX79" s="4438">
        <f t="shared" si="451"/>
        <v>1.022583762392437</v>
      </c>
      <c r="BY79" s="4438">
        <f t="shared" si="452"/>
        <v>1.0941646257599076</v>
      </c>
      <c r="BZ79" s="4438">
        <f t="shared" si="453"/>
        <v>1.1269895645327048</v>
      </c>
      <c r="CA79" s="4438">
        <f t="shared" si="454"/>
        <v>1.160799251468686</v>
      </c>
      <c r="CB79" s="4438">
        <f t="shared" si="455"/>
        <v>1.1956232290127466</v>
      </c>
      <c r="CC79" s="4438">
        <f t="shared" si="456"/>
        <v>1.2314919258831292</v>
      </c>
      <c r="CD79" s="4438">
        <f t="shared" si="457"/>
        <v>7.158086336747066E-2</v>
      </c>
      <c r="CE79" s="4438">
        <f t="shared" si="458"/>
        <v>0</v>
      </c>
      <c r="CF79" s="4438">
        <f t="shared" si="459"/>
        <v>0</v>
      </c>
      <c r="CG79" s="4438">
        <f t="shared" si="460"/>
        <v>0</v>
      </c>
      <c r="CH79" s="4438">
        <f t="shared" si="461"/>
        <v>0</v>
      </c>
      <c r="CI79" s="4438">
        <f t="shared" si="462"/>
        <v>0</v>
      </c>
      <c r="CJ79" s="4438">
        <f t="shared" si="463"/>
        <v>0</v>
      </c>
      <c r="CK79" s="4438">
        <f t="shared" si="464"/>
        <v>0</v>
      </c>
      <c r="CL79" s="4438">
        <f t="shared" si="465"/>
        <v>0</v>
      </c>
      <c r="CM79" s="4438">
        <f t="shared" si="466"/>
        <v>0</v>
      </c>
      <c r="CN79" s="4438">
        <f t="shared" si="467"/>
        <v>0</v>
      </c>
      <c r="CO79" s="4438">
        <f t="shared" si="468"/>
        <v>0</v>
      </c>
      <c r="CP79" s="4438">
        <f t="shared" si="469"/>
        <v>0</v>
      </c>
      <c r="CQ79" s="4438">
        <f t="shared" si="470"/>
        <v>0</v>
      </c>
      <c r="CR79" s="4438">
        <f t="shared" si="471"/>
        <v>0</v>
      </c>
      <c r="CS79" s="4438">
        <f t="shared" si="472"/>
        <v>0</v>
      </c>
      <c r="CT79" s="4438">
        <f t="shared" si="473"/>
        <v>0</v>
      </c>
      <c r="CU79" s="4438">
        <f t="shared" si="474"/>
        <v>0</v>
      </c>
      <c r="CV79" s="4438">
        <f t="shared" si="475"/>
        <v>0</v>
      </c>
      <c r="CW79" s="4438">
        <f t="shared" si="476"/>
        <v>0</v>
      </c>
      <c r="CX79" s="4438">
        <f t="shared" si="477"/>
        <v>0</v>
      </c>
      <c r="CY79" s="4438">
        <f t="shared" si="478"/>
        <v>12.782297029905463</v>
      </c>
      <c r="CZ79" s="4438">
        <f t="shared" si="479"/>
        <v>13.677057821998847</v>
      </c>
      <c r="DA79" s="4438">
        <f t="shared" si="480"/>
        <v>14.08736955665881</v>
      </c>
      <c r="DB79" s="4438">
        <f t="shared" si="481"/>
        <v>14.509990643358574</v>
      </c>
      <c r="DC79" s="4438">
        <f t="shared" si="482"/>
        <v>14.945290362659332</v>
      </c>
      <c r="DD79" s="4438">
        <f t="shared" si="483"/>
        <v>15.393649073539114</v>
      </c>
      <c r="DE79" s="4438">
        <f t="shared" si="484"/>
        <v>11.248421386316807</v>
      </c>
      <c r="DF79" s="4438">
        <f t="shared" si="485"/>
        <v>12.035810883358986</v>
      </c>
      <c r="DG79" s="4438">
        <f t="shared" si="486"/>
        <v>12.396885209859754</v>
      </c>
      <c r="DH79" s="4438">
        <f t="shared" si="487"/>
        <v>12.768791766155546</v>
      </c>
      <c r="DI79" s="4438">
        <f t="shared" si="488"/>
        <v>13.151855519140213</v>
      </c>
      <c r="DJ79" s="4438">
        <f t="shared" si="489"/>
        <v>13.546411184714421</v>
      </c>
    </row>
    <row r="80" spans="1:114" ht="12.75">
      <c r="A80" s="108" t="s">
        <v>457</v>
      </c>
      <c r="B80" s="870" t="s">
        <v>273</v>
      </c>
      <c r="C80" s="4601">
        <v>28</v>
      </c>
      <c r="D80" s="3033">
        <f t="shared" si="490"/>
        <v>29.96</v>
      </c>
      <c r="E80" s="3033">
        <f t="shared" ref="E80:H80" si="514">D80*1.03</f>
        <v>30.858800000000002</v>
      </c>
      <c r="F80" s="3033">
        <f t="shared" si="514"/>
        <v>31.784564000000003</v>
      </c>
      <c r="G80" s="3033">
        <f t="shared" si="514"/>
        <v>32.738100920000001</v>
      </c>
      <c r="H80" s="3034">
        <f t="shared" si="514"/>
        <v>33.720243947600004</v>
      </c>
      <c r="I80" s="1224">
        <f t="shared" si="416"/>
        <v>1.9600000000000009</v>
      </c>
      <c r="J80" s="804">
        <f t="shared" si="417"/>
        <v>7.0000000000000034E-2</v>
      </c>
      <c r="K80" s="4601">
        <v>0</v>
      </c>
      <c r="L80" s="3033">
        <f t="shared" si="492"/>
        <v>0</v>
      </c>
      <c r="M80" s="3033">
        <f t="shared" ref="M80:P80" si="515">L80*1.03</f>
        <v>0</v>
      </c>
      <c r="N80" s="3033">
        <f t="shared" si="515"/>
        <v>0</v>
      </c>
      <c r="O80" s="3033">
        <f t="shared" si="515"/>
        <v>0</v>
      </c>
      <c r="P80" s="3034">
        <f t="shared" si="515"/>
        <v>0</v>
      </c>
      <c r="Q80" s="1224">
        <f t="shared" si="402"/>
        <v>0</v>
      </c>
      <c r="R80" s="1095">
        <f t="shared" si="403"/>
        <v>0</v>
      </c>
      <c r="S80" s="3032">
        <v>0</v>
      </c>
      <c r="T80" s="3033">
        <f t="shared" si="509"/>
        <v>0</v>
      </c>
      <c r="U80" s="3033">
        <f t="shared" ref="U80:X80" si="516">T80*1.03</f>
        <v>0</v>
      </c>
      <c r="V80" s="3033">
        <f t="shared" si="516"/>
        <v>0</v>
      </c>
      <c r="W80" s="3033">
        <f t="shared" si="516"/>
        <v>0</v>
      </c>
      <c r="X80" s="3034">
        <f t="shared" si="516"/>
        <v>0</v>
      </c>
      <c r="Y80" s="1224">
        <f t="shared" si="404"/>
        <v>0</v>
      </c>
      <c r="Z80" s="1095">
        <f t="shared" si="405"/>
        <v>0</v>
      </c>
      <c r="AA80" s="3032"/>
      <c r="AB80" s="3033"/>
      <c r="AC80" s="3033"/>
      <c r="AD80" s="3033"/>
      <c r="AE80" s="3033"/>
      <c r="AF80" s="3034"/>
      <c r="AG80" s="1224">
        <f t="shared" si="420"/>
        <v>0</v>
      </c>
      <c r="AH80" s="804">
        <f t="shared" si="421"/>
        <v>0</v>
      </c>
      <c r="AI80" s="3032"/>
      <c r="AJ80" s="3033"/>
      <c r="AK80" s="3033"/>
      <c r="AL80" s="3033"/>
      <c r="AM80" s="3033"/>
      <c r="AN80" s="3052"/>
      <c r="AO80" s="1224">
        <f t="shared" si="434"/>
        <v>0</v>
      </c>
      <c r="AP80" s="804">
        <f t="shared" si="435"/>
        <v>0</v>
      </c>
      <c r="AQ80" s="3032"/>
      <c r="AR80" s="3033"/>
      <c r="AS80" s="3033"/>
      <c r="AT80" s="3033"/>
      <c r="AU80" s="3033"/>
      <c r="AV80" s="3052"/>
      <c r="AW80" s="1086">
        <f t="shared" si="495"/>
        <v>28</v>
      </c>
      <c r="AX80" s="3042">
        <f t="shared" si="496"/>
        <v>29.96</v>
      </c>
      <c r="AY80" s="3042">
        <f t="shared" si="497"/>
        <v>30.858800000000002</v>
      </c>
      <c r="AZ80" s="3042">
        <f t="shared" si="498"/>
        <v>31.784564000000003</v>
      </c>
      <c r="BA80" s="3042">
        <f t="shared" si="499"/>
        <v>32.738100920000001</v>
      </c>
      <c r="BB80" s="3043">
        <f t="shared" si="500"/>
        <v>33.720243947600004</v>
      </c>
      <c r="BC80" s="3059">
        <f t="shared" si="501"/>
        <v>28</v>
      </c>
      <c r="BD80" s="3060">
        <f t="shared" si="502"/>
        <v>29.96</v>
      </c>
      <c r="BE80" s="3061">
        <f t="shared" si="503"/>
        <v>30.858800000000002</v>
      </c>
      <c r="BF80" s="3061">
        <f t="shared" si="504"/>
        <v>31.784564000000003</v>
      </c>
      <c r="BG80" s="3061">
        <f t="shared" si="505"/>
        <v>32.738100920000001</v>
      </c>
      <c r="BH80" s="3063">
        <f t="shared" si="506"/>
        <v>33.720243947600004</v>
      </c>
      <c r="BI80" s="4422"/>
      <c r="BJ80" s="4438">
        <f t="shared" si="437"/>
        <v>14.316172673494117</v>
      </c>
      <c r="BK80" s="4438">
        <f t="shared" si="438"/>
        <v>15.318304760638707</v>
      </c>
      <c r="BL80" s="4438">
        <f t="shared" si="439"/>
        <v>15.777853903457869</v>
      </c>
      <c r="BM80" s="4438">
        <f t="shared" si="440"/>
        <v>16.251189520561606</v>
      </c>
      <c r="BN80" s="4438">
        <f t="shared" si="441"/>
        <v>16.738725206178451</v>
      </c>
      <c r="BO80" s="4438">
        <f t="shared" si="442"/>
        <v>17.240886962363806</v>
      </c>
      <c r="BP80" s="4438">
        <f t="shared" si="443"/>
        <v>1.0021320871445887</v>
      </c>
      <c r="BQ80" s="4438">
        <f t="shared" si="444"/>
        <v>0</v>
      </c>
      <c r="BR80" s="4438">
        <f t="shared" si="445"/>
        <v>0</v>
      </c>
      <c r="BS80" s="4438">
        <f t="shared" si="446"/>
        <v>0</v>
      </c>
      <c r="BT80" s="4438">
        <f t="shared" si="447"/>
        <v>0</v>
      </c>
      <c r="BU80" s="4438">
        <f t="shared" si="448"/>
        <v>0</v>
      </c>
      <c r="BV80" s="4438">
        <f t="shared" si="449"/>
        <v>0</v>
      </c>
      <c r="BW80" s="4438">
        <f t="shared" si="450"/>
        <v>0</v>
      </c>
      <c r="BX80" s="4438">
        <f t="shared" si="451"/>
        <v>0</v>
      </c>
      <c r="BY80" s="4438">
        <f t="shared" si="452"/>
        <v>0</v>
      </c>
      <c r="BZ80" s="4438">
        <f t="shared" si="453"/>
        <v>0</v>
      </c>
      <c r="CA80" s="4438">
        <f t="shared" si="454"/>
        <v>0</v>
      </c>
      <c r="CB80" s="4438">
        <f t="shared" si="455"/>
        <v>0</v>
      </c>
      <c r="CC80" s="4438">
        <f t="shared" si="456"/>
        <v>0</v>
      </c>
      <c r="CD80" s="4438">
        <f t="shared" si="457"/>
        <v>0</v>
      </c>
      <c r="CE80" s="4438">
        <f t="shared" si="458"/>
        <v>0</v>
      </c>
      <c r="CF80" s="4438">
        <f t="shared" si="459"/>
        <v>0</v>
      </c>
      <c r="CG80" s="4438">
        <f t="shared" si="460"/>
        <v>0</v>
      </c>
      <c r="CH80" s="4438">
        <f t="shared" si="461"/>
        <v>0</v>
      </c>
      <c r="CI80" s="4438">
        <f t="shared" si="462"/>
        <v>0</v>
      </c>
      <c r="CJ80" s="4438">
        <f t="shared" si="463"/>
        <v>0</v>
      </c>
      <c r="CK80" s="4438">
        <f t="shared" si="464"/>
        <v>0</v>
      </c>
      <c r="CL80" s="4438">
        <f t="shared" si="465"/>
        <v>0</v>
      </c>
      <c r="CM80" s="4438">
        <f t="shared" si="466"/>
        <v>0</v>
      </c>
      <c r="CN80" s="4438">
        <f t="shared" si="467"/>
        <v>0</v>
      </c>
      <c r="CO80" s="4438">
        <f t="shared" si="468"/>
        <v>0</v>
      </c>
      <c r="CP80" s="4438">
        <f t="shared" si="469"/>
        <v>0</v>
      </c>
      <c r="CQ80" s="4438">
        <f t="shared" si="470"/>
        <v>0</v>
      </c>
      <c r="CR80" s="4438">
        <f t="shared" si="471"/>
        <v>0</v>
      </c>
      <c r="CS80" s="4438">
        <f t="shared" si="472"/>
        <v>0</v>
      </c>
      <c r="CT80" s="4438">
        <f t="shared" si="473"/>
        <v>0</v>
      </c>
      <c r="CU80" s="4438">
        <f t="shared" si="474"/>
        <v>0</v>
      </c>
      <c r="CV80" s="4438">
        <f t="shared" si="475"/>
        <v>0</v>
      </c>
      <c r="CW80" s="4438">
        <f t="shared" si="476"/>
        <v>0</v>
      </c>
      <c r="CX80" s="4438">
        <f t="shared" si="477"/>
        <v>0</v>
      </c>
      <c r="CY80" s="4438">
        <f t="shared" si="478"/>
        <v>14.316172673494117</v>
      </c>
      <c r="CZ80" s="4438">
        <f t="shared" si="479"/>
        <v>15.318304760638707</v>
      </c>
      <c r="DA80" s="4438">
        <f t="shared" si="480"/>
        <v>15.777853903457869</v>
      </c>
      <c r="DB80" s="4438">
        <f t="shared" si="481"/>
        <v>16.251189520561606</v>
      </c>
      <c r="DC80" s="4438">
        <f t="shared" si="482"/>
        <v>16.738725206178451</v>
      </c>
      <c r="DD80" s="4438">
        <f t="shared" si="483"/>
        <v>17.240886962363806</v>
      </c>
      <c r="DE80" s="4438">
        <f t="shared" si="484"/>
        <v>14.316172673494117</v>
      </c>
      <c r="DF80" s="4438">
        <f t="shared" si="485"/>
        <v>15.318304760638707</v>
      </c>
      <c r="DG80" s="4438">
        <f t="shared" si="486"/>
        <v>15.777853903457869</v>
      </c>
      <c r="DH80" s="4438">
        <f t="shared" si="487"/>
        <v>16.251189520561606</v>
      </c>
      <c r="DI80" s="4438">
        <f t="shared" si="488"/>
        <v>16.738725206178451</v>
      </c>
      <c r="DJ80" s="4438">
        <f t="shared" si="489"/>
        <v>17.240886962363806</v>
      </c>
    </row>
    <row r="81" spans="1:114" ht="12.75">
      <c r="A81" s="108" t="s">
        <v>458</v>
      </c>
      <c r="B81" s="132" t="s">
        <v>275</v>
      </c>
      <c r="C81" s="4601">
        <v>18</v>
      </c>
      <c r="D81" s="3033">
        <f t="shared" si="490"/>
        <v>19.260000000000002</v>
      </c>
      <c r="E81" s="3033">
        <f t="shared" ref="E81:H81" si="517">D81*1.03</f>
        <v>19.837800000000001</v>
      </c>
      <c r="F81" s="3033">
        <f t="shared" si="517"/>
        <v>20.432934000000003</v>
      </c>
      <c r="G81" s="3033">
        <f t="shared" si="517"/>
        <v>21.045922020000003</v>
      </c>
      <c r="H81" s="3034">
        <f t="shared" si="517"/>
        <v>21.677299680600004</v>
      </c>
      <c r="I81" s="1224">
        <f t="shared" si="416"/>
        <v>1.2600000000000016</v>
      </c>
      <c r="J81" s="804">
        <f t="shared" si="417"/>
        <v>7.000000000000009E-2</v>
      </c>
      <c r="K81" s="4601">
        <v>1</v>
      </c>
      <c r="L81" s="3033">
        <f t="shared" si="492"/>
        <v>1.07</v>
      </c>
      <c r="M81" s="3033">
        <f t="shared" ref="M81:P81" si="518">L81*1.03</f>
        <v>1.1021000000000001</v>
      </c>
      <c r="N81" s="3033">
        <f t="shared" si="518"/>
        <v>1.1351630000000001</v>
      </c>
      <c r="O81" s="3033">
        <f t="shared" si="518"/>
        <v>1.1692178900000001</v>
      </c>
      <c r="P81" s="3034">
        <f t="shared" si="518"/>
        <v>1.2042944267000002</v>
      </c>
      <c r="Q81" s="1224">
        <f t="shared" si="402"/>
        <v>7.0000000000000062E-2</v>
      </c>
      <c r="R81" s="1095">
        <f t="shared" si="403"/>
        <v>7.0000000000000062E-2</v>
      </c>
      <c r="S81" s="3032">
        <v>1</v>
      </c>
      <c r="T81" s="3033">
        <f t="shared" si="509"/>
        <v>1.07</v>
      </c>
      <c r="U81" s="3033">
        <f t="shared" ref="U81:X81" si="519">T81*1.03</f>
        <v>1.1021000000000001</v>
      </c>
      <c r="V81" s="3033">
        <f t="shared" si="519"/>
        <v>1.1351630000000001</v>
      </c>
      <c r="W81" s="3033">
        <f t="shared" si="519"/>
        <v>1.1692178900000001</v>
      </c>
      <c r="X81" s="3034">
        <f t="shared" si="519"/>
        <v>1.2042944267000002</v>
      </c>
      <c r="Y81" s="1224">
        <f t="shared" si="404"/>
        <v>7.0000000000000062E-2</v>
      </c>
      <c r="Z81" s="1095">
        <f t="shared" si="405"/>
        <v>7.0000000000000062E-2</v>
      </c>
      <c r="AA81" s="3032"/>
      <c r="AB81" s="3033"/>
      <c r="AC81" s="3033"/>
      <c r="AD81" s="3033"/>
      <c r="AE81" s="3033"/>
      <c r="AF81" s="3034"/>
      <c r="AG81" s="1224">
        <f t="shared" si="420"/>
        <v>0</v>
      </c>
      <c r="AH81" s="804">
        <f t="shared" si="421"/>
        <v>0</v>
      </c>
      <c r="AI81" s="3032"/>
      <c r="AJ81" s="3033"/>
      <c r="AK81" s="3033"/>
      <c r="AL81" s="3033"/>
      <c r="AM81" s="3033"/>
      <c r="AN81" s="3052"/>
      <c r="AO81" s="1224">
        <f t="shared" si="434"/>
        <v>0</v>
      </c>
      <c r="AP81" s="804">
        <f t="shared" si="435"/>
        <v>0</v>
      </c>
      <c r="AQ81" s="3032"/>
      <c r="AR81" s="3033"/>
      <c r="AS81" s="3033"/>
      <c r="AT81" s="3033"/>
      <c r="AU81" s="3033"/>
      <c r="AV81" s="3052"/>
      <c r="AW81" s="1086">
        <f t="shared" si="495"/>
        <v>20</v>
      </c>
      <c r="AX81" s="3042">
        <f t="shared" si="496"/>
        <v>21.400000000000002</v>
      </c>
      <c r="AY81" s="3042">
        <f t="shared" si="497"/>
        <v>22.042000000000002</v>
      </c>
      <c r="AZ81" s="3042">
        <f t="shared" si="498"/>
        <v>22.70326</v>
      </c>
      <c r="BA81" s="3042">
        <f t="shared" si="499"/>
        <v>23.3843578</v>
      </c>
      <c r="BB81" s="3043">
        <f t="shared" si="500"/>
        <v>24.085888534000002</v>
      </c>
      <c r="BC81" s="3059">
        <f t="shared" si="501"/>
        <v>18</v>
      </c>
      <c r="BD81" s="3060">
        <f t="shared" si="502"/>
        <v>19.260000000000002</v>
      </c>
      <c r="BE81" s="3061">
        <f t="shared" si="503"/>
        <v>19.837800000000001</v>
      </c>
      <c r="BF81" s="3061">
        <f t="shared" si="504"/>
        <v>20.432934000000003</v>
      </c>
      <c r="BG81" s="3061">
        <f t="shared" si="505"/>
        <v>21.045922020000003</v>
      </c>
      <c r="BH81" s="3063">
        <f t="shared" si="506"/>
        <v>21.677299680600004</v>
      </c>
      <c r="BI81" s="4422"/>
      <c r="BJ81" s="4438">
        <f t="shared" si="437"/>
        <v>9.2032538615319321</v>
      </c>
      <c r="BK81" s="4438">
        <f t="shared" si="438"/>
        <v>9.8474816318391696</v>
      </c>
      <c r="BL81" s="4438">
        <f t="shared" si="439"/>
        <v>10.142906080794344</v>
      </c>
      <c r="BM81" s="4438">
        <f t="shared" si="440"/>
        <v>10.447193263218175</v>
      </c>
      <c r="BN81" s="4438">
        <f t="shared" si="441"/>
        <v>10.760609061114721</v>
      </c>
      <c r="BO81" s="4438">
        <f t="shared" si="442"/>
        <v>11.083427332948162</v>
      </c>
      <c r="BP81" s="4438">
        <f t="shared" si="443"/>
        <v>0.6442277703072361</v>
      </c>
      <c r="BQ81" s="4438">
        <f t="shared" si="444"/>
        <v>0.51129188119621849</v>
      </c>
      <c r="BR81" s="4438">
        <f t="shared" si="445"/>
        <v>0.54708231287995379</v>
      </c>
      <c r="BS81" s="4438">
        <f t="shared" si="446"/>
        <v>0.56349478226635241</v>
      </c>
      <c r="BT81" s="4438">
        <f t="shared" si="447"/>
        <v>0.58039962573434301</v>
      </c>
      <c r="BU81" s="4438">
        <f t="shared" si="448"/>
        <v>0.59781161450637332</v>
      </c>
      <c r="BV81" s="4438">
        <f t="shared" si="449"/>
        <v>0.61574596294156458</v>
      </c>
      <c r="BW81" s="4438">
        <f t="shared" si="450"/>
        <v>3.579043168373533E-2</v>
      </c>
      <c r="BX81" s="4438">
        <f t="shared" si="451"/>
        <v>0.51129188119621849</v>
      </c>
      <c r="BY81" s="4438">
        <f t="shared" si="452"/>
        <v>0.54708231287995379</v>
      </c>
      <c r="BZ81" s="4438">
        <f t="shared" si="453"/>
        <v>0.56349478226635241</v>
      </c>
      <c r="CA81" s="4438">
        <f t="shared" si="454"/>
        <v>0.58039962573434301</v>
      </c>
      <c r="CB81" s="4438">
        <f t="shared" si="455"/>
        <v>0.59781161450637332</v>
      </c>
      <c r="CC81" s="4438">
        <f t="shared" si="456"/>
        <v>0.61574596294156458</v>
      </c>
      <c r="CD81" s="4438">
        <f t="shared" si="457"/>
        <v>3.579043168373533E-2</v>
      </c>
      <c r="CE81" s="4438">
        <f t="shared" si="458"/>
        <v>0</v>
      </c>
      <c r="CF81" s="4438">
        <f t="shared" si="459"/>
        <v>0</v>
      </c>
      <c r="CG81" s="4438">
        <f t="shared" si="460"/>
        <v>0</v>
      </c>
      <c r="CH81" s="4438">
        <f t="shared" si="461"/>
        <v>0</v>
      </c>
      <c r="CI81" s="4438">
        <f t="shared" si="462"/>
        <v>0</v>
      </c>
      <c r="CJ81" s="4438">
        <f t="shared" si="463"/>
        <v>0</v>
      </c>
      <c r="CK81" s="4438">
        <f t="shared" si="464"/>
        <v>0</v>
      </c>
      <c r="CL81" s="4438">
        <f t="shared" si="465"/>
        <v>0</v>
      </c>
      <c r="CM81" s="4438">
        <f t="shared" si="466"/>
        <v>0</v>
      </c>
      <c r="CN81" s="4438">
        <f t="shared" si="467"/>
        <v>0</v>
      </c>
      <c r="CO81" s="4438">
        <f t="shared" si="468"/>
        <v>0</v>
      </c>
      <c r="CP81" s="4438">
        <f t="shared" si="469"/>
        <v>0</v>
      </c>
      <c r="CQ81" s="4438">
        <f t="shared" si="470"/>
        <v>0</v>
      </c>
      <c r="CR81" s="4438">
        <f t="shared" si="471"/>
        <v>0</v>
      </c>
      <c r="CS81" s="4438">
        <f t="shared" si="472"/>
        <v>0</v>
      </c>
      <c r="CT81" s="4438">
        <f t="shared" si="473"/>
        <v>0</v>
      </c>
      <c r="CU81" s="4438">
        <f t="shared" si="474"/>
        <v>0</v>
      </c>
      <c r="CV81" s="4438">
        <f t="shared" si="475"/>
        <v>0</v>
      </c>
      <c r="CW81" s="4438">
        <f t="shared" si="476"/>
        <v>0</v>
      </c>
      <c r="CX81" s="4438">
        <f t="shared" si="477"/>
        <v>0</v>
      </c>
      <c r="CY81" s="4438">
        <f t="shared" si="478"/>
        <v>10.22583762392437</v>
      </c>
      <c r="CZ81" s="4438">
        <f t="shared" si="479"/>
        <v>10.941646257599077</v>
      </c>
      <c r="DA81" s="4438">
        <f t="shared" si="480"/>
        <v>11.269895645327049</v>
      </c>
      <c r="DB81" s="4438">
        <f t="shared" si="481"/>
        <v>11.60799251468686</v>
      </c>
      <c r="DC81" s="4438">
        <f t="shared" si="482"/>
        <v>11.956232290127465</v>
      </c>
      <c r="DD81" s="4438">
        <f t="shared" si="483"/>
        <v>12.31491925883129</v>
      </c>
      <c r="DE81" s="4438">
        <f t="shared" si="484"/>
        <v>9.2032538615319321</v>
      </c>
      <c r="DF81" s="4438">
        <f t="shared" si="485"/>
        <v>9.8474816318391696</v>
      </c>
      <c r="DG81" s="4438">
        <f t="shared" si="486"/>
        <v>10.142906080794344</v>
      </c>
      <c r="DH81" s="4438">
        <f t="shared" si="487"/>
        <v>10.447193263218175</v>
      </c>
      <c r="DI81" s="4438">
        <f t="shared" si="488"/>
        <v>10.760609061114721</v>
      </c>
      <c r="DJ81" s="4438">
        <f t="shared" si="489"/>
        <v>11.083427332948162</v>
      </c>
    </row>
    <row r="82" spans="1:114" ht="12.75">
      <c r="A82" s="108" t="s">
        <v>459</v>
      </c>
      <c r="B82" s="247" t="s">
        <v>261</v>
      </c>
      <c r="C82" s="4601">
        <v>0</v>
      </c>
      <c r="D82" s="3033">
        <f t="shared" si="490"/>
        <v>0</v>
      </c>
      <c r="E82" s="3033">
        <f t="shared" ref="E82:H82" si="520">D82*1.03</f>
        <v>0</v>
      </c>
      <c r="F82" s="3033">
        <f t="shared" si="520"/>
        <v>0</v>
      </c>
      <c r="G82" s="3033">
        <f t="shared" si="520"/>
        <v>0</v>
      </c>
      <c r="H82" s="3034">
        <f t="shared" si="520"/>
        <v>0</v>
      </c>
      <c r="I82" s="1224">
        <f t="shared" si="416"/>
        <v>0</v>
      </c>
      <c r="J82" s="804">
        <f t="shared" si="417"/>
        <v>0</v>
      </c>
      <c r="K82" s="4601">
        <v>0</v>
      </c>
      <c r="L82" s="3033">
        <f t="shared" si="492"/>
        <v>0</v>
      </c>
      <c r="M82" s="3033">
        <f t="shared" ref="M82:P82" si="521">L82*1.03</f>
        <v>0</v>
      </c>
      <c r="N82" s="3033">
        <f t="shared" si="521"/>
        <v>0</v>
      </c>
      <c r="O82" s="3033">
        <f t="shared" si="521"/>
        <v>0</v>
      </c>
      <c r="P82" s="3034">
        <f t="shared" si="521"/>
        <v>0</v>
      </c>
      <c r="Q82" s="1224">
        <f t="shared" si="402"/>
        <v>0</v>
      </c>
      <c r="R82" s="1095">
        <f t="shared" si="403"/>
        <v>0</v>
      </c>
      <c r="S82" s="3032">
        <v>0</v>
      </c>
      <c r="T82" s="3033">
        <f t="shared" si="509"/>
        <v>0</v>
      </c>
      <c r="U82" s="3033">
        <f t="shared" ref="U82:X82" si="522">T82*1.03</f>
        <v>0</v>
      </c>
      <c r="V82" s="3033">
        <f t="shared" si="522"/>
        <v>0</v>
      </c>
      <c r="W82" s="3033">
        <f t="shared" si="522"/>
        <v>0</v>
      </c>
      <c r="X82" s="3034">
        <f t="shared" si="522"/>
        <v>0</v>
      </c>
      <c r="Y82" s="1224">
        <f t="shared" si="404"/>
        <v>0</v>
      </c>
      <c r="Z82" s="1095">
        <f t="shared" si="405"/>
        <v>0</v>
      </c>
      <c r="AA82" s="3032"/>
      <c r="AB82" s="3033"/>
      <c r="AC82" s="3033"/>
      <c r="AD82" s="3033"/>
      <c r="AE82" s="3033"/>
      <c r="AF82" s="3034"/>
      <c r="AG82" s="1224">
        <f t="shared" si="420"/>
        <v>0</v>
      </c>
      <c r="AH82" s="804">
        <f t="shared" si="421"/>
        <v>0</v>
      </c>
      <c r="AI82" s="3032"/>
      <c r="AJ82" s="3033"/>
      <c r="AK82" s="3033"/>
      <c r="AL82" s="3033"/>
      <c r="AM82" s="3033"/>
      <c r="AN82" s="3052"/>
      <c r="AO82" s="1224">
        <f t="shared" si="434"/>
        <v>0</v>
      </c>
      <c r="AP82" s="804">
        <f t="shared" si="435"/>
        <v>0</v>
      </c>
      <c r="AQ82" s="3032"/>
      <c r="AR82" s="3033"/>
      <c r="AS82" s="3033"/>
      <c r="AT82" s="3033"/>
      <c r="AU82" s="3033"/>
      <c r="AV82" s="3052"/>
      <c r="AW82" s="1086">
        <f t="shared" si="495"/>
        <v>0</v>
      </c>
      <c r="AX82" s="3042">
        <f t="shared" si="496"/>
        <v>0</v>
      </c>
      <c r="AY82" s="3042">
        <f t="shared" si="497"/>
        <v>0</v>
      </c>
      <c r="AZ82" s="3042">
        <f t="shared" si="498"/>
        <v>0</v>
      </c>
      <c r="BA82" s="3042">
        <f t="shared" si="499"/>
        <v>0</v>
      </c>
      <c r="BB82" s="3043">
        <f t="shared" si="500"/>
        <v>0</v>
      </c>
      <c r="BC82" s="3059">
        <f t="shared" si="501"/>
        <v>0</v>
      </c>
      <c r="BD82" s="3060">
        <f t="shared" si="502"/>
        <v>0</v>
      </c>
      <c r="BE82" s="3061">
        <f t="shared" si="503"/>
        <v>0</v>
      </c>
      <c r="BF82" s="3061">
        <f t="shared" si="504"/>
        <v>0</v>
      </c>
      <c r="BG82" s="3061">
        <f t="shared" si="505"/>
        <v>0</v>
      </c>
      <c r="BH82" s="3063">
        <f t="shared" si="506"/>
        <v>0</v>
      </c>
      <c r="BI82" s="4422"/>
      <c r="BJ82" s="4438">
        <f t="shared" si="437"/>
        <v>0</v>
      </c>
      <c r="BK82" s="4438">
        <f t="shared" si="438"/>
        <v>0</v>
      </c>
      <c r="BL82" s="4438">
        <f t="shared" si="439"/>
        <v>0</v>
      </c>
      <c r="BM82" s="4438">
        <f t="shared" si="440"/>
        <v>0</v>
      </c>
      <c r="BN82" s="4438">
        <f t="shared" si="441"/>
        <v>0</v>
      </c>
      <c r="BO82" s="4438">
        <f t="shared" si="442"/>
        <v>0</v>
      </c>
      <c r="BP82" s="4438">
        <f t="shared" si="443"/>
        <v>0</v>
      </c>
      <c r="BQ82" s="4438">
        <f t="shared" si="444"/>
        <v>0</v>
      </c>
      <c r="BR82" s="4438">
        <f t="shared" si="445"/>
        <v>0</v>
      </c>
      <c r="BS82" s="4438">
        <f t="shared" si="446"/>
        <v>0</v>
      </c>
      <c r="BT82" s="4438">
        <f t="shared" si="447"/>
        <v>0</v>
      </c>
      <c r="BU82" s="4438">
        <f t="shared" si="448"/>
        <v>0</v>
      </c>
      <c r="BV82" s="4438">
        <f t="shared" si="449"/>
        <v>0</v>
      </c>
      <c r="BW82" s="4438">
        <f t="shared" si="450"/>
        <v>0</v>
      </c>
      <c r="BX82" s="4438">
        <f t="shared" si="451"/>
        <v>0</v>
      </c>
      <c r="BY82" s="4438">
        <f t="shared" si="452"/>
        <v>0</v>
      </c>
      <c r="BZ82" s="4438">
        <f t="shared" si="453"/>
        <v>0</v>
      </c>
      <c r="CA82" s="4438">
        <f t="shared" si="454"/>
        <v>0</v>
      </c>
      <c r="CB82" s="4438">
        <f t="shared" si="455"/>
        <v>0</v>
      </c>
      <c r="CC82" s="4438">
        <f t="shared" si="456"/>
        <v>0</v>
      </c>
      <c r="CD82" s="4438">
        <f t="shared" si="457"/>
        <v>0</v>
      </c>
      <c r="CE82" s="4438">
        <f t="shared" si="458"/>
        <v>0</v>
      </c>
      <c r="CF82" s="4438">
        <f t="shared" si="459"/>
        <v>0</v>
      </c>
      <c r="CG82" s="4438">
        <f t="shared" si="460"/>
        <v>0</v>
      </c>
      <c r="CH82" s="4438">
        <f t="shared" si="461"/>
        <v>0</v>
      </c>
      <c r="CI82" s="4438">
        <f t="shared" si="462"/>
        <v>0</v>
      </c>
      <c r="CJ82" s="4438">
        <f t="shared" si="463"/>
        <v>0</v>
      </c>
      <c r="CK82" s="4438">
        <f t="shared" si="464"/>
        <v>0</v>
      </c>
      <c r="CL82" s="4438">
        <f t="shared" si="465"/>
        <v>0</v>
      </c>
      <c r="CM82" s="4438">
        <f t="shared" si="466"/>
        <v>0</v>
      </c>
      <c r="CN82" s="4438">
        <f t="shared" si="467"/>
        <v>0</v>
      </c>
      <c r="CO82" s="4438">
        <f t="shared" si="468"/>
        <v>0</v>
      </c>
      <c r="CP82" s="4438">
        <f t="shared" si="469"/>
        <v>0</v>
      </c>
      <c r="CQ82" s="4438">
        <f t="shared" si="470"/>
        <v>0</v>
      </c>
      <c r="CR82" s="4438">
        <f t="shared" si="471"/>
        <v>0</v>
      </c>
      <c r="CS82" s="4438">
        <f t="shared" si="472"/>
        <v>0</v>
      </c>
      <c r="CT82" s="4438">
        <f t="shared" si="473"/>
        <v>0</v>
      </c>
      <c r="CU82" s="4438">
        <f t="shared" si="474"/>
        <v>0</v>
      </c>
      <c r="CV82" s="4438">
        <f t="shared" si="475"/>
        <v>0</v>
      </c>
      <c r="CW82" s="4438">
        <f t="shared" si="476"/>
        <v>0</v>
      </c>
      <c r="CX82" s="4438">
        <f t="shared" si="477"/>
        <v>0</v>
      </c>
      <c r="CY82" s="4438">
        <f t="shared" si="478"/>
        <v>0</v>
      </c>
      <c r="CZ82" s="4438">
        <f t="shared" si="479"/>
        <v>0</v>
      </c>
      <c r="DA82" s="4438">
        <f t="shared" si="480"/>
        <v>0</v>
      </c>
      <c r="DB82" s="4438">
        <f t="shared" si="481"/>
        <v>0</v>
      </c>
      <c r="DC82" s="4438">
        <f t="shared" si="482"/>
        <v>0</v>
      </c>
      <c r="DD82" s="4438">
        <f t="shared" si="483"/>
        <v>0</v>
      </c>
      <c r="DE82" s="4438">
        <f t="shared" si="484"/>
        <v>0</v>
      </c>
      <c r="DF82" s="4438">
        <f t="shared" si="485"/>
        <v>0</v>
      </c>
      <c r="DG82" s="4438">
        <f t="shared" si="486"/>
        <v>0</v>
      </c>
      <c r="DH82" s="4438">
        <f t="shared" si="487"/>
        <v>0</v>
      </c>
      <c r="DI82" s="4438">
        <f t="shared" si="488"/>
        <v>0</v>
      </c>
      <c r="DJ82" s="4438">
        <f t="shared" si="489"/>
        <v>0</v>
      </c>
    </row>
    <row r="83" spans="1:114" s="675" customFormat="1" ht="12.75">
      <c r="A83" s="394" t="s">
        <v>460</v>
      </c>
      <c r="B83" s="4602" t="s">
        <v>238</v>
      </c>
      <c r="C83" s="2641">
        <f>SUM(C84:C87)</f>
        <v>2</v>
      </c>
      <c r="D83" s="1106">
        <f t="shared" ref="D83:BB83" si="523">SUM(D84:D87)</f>
        <v>0</v>
      </c>
      <c r="E83" s="1107">
        <f t="shared" si="523"/>
        <v>0</v>
      </c>
      <c r="F83" s="1107">
        <f t="shared" si="523"/>
        <v>0</v>
      </c>
      <c r="G83" s="1107">
        <f t="shared" si="523"/>
        <v>0</v>
      </c>
      <c r="H83" s="3892">
        <f t="shared" si="523"/>
        <v>0</v>
      </c>
      <c r="I83" s="1223">
        <f t="shared" si="416"/>
        <v>-2</v>
      </c>
      <c r="J83" s="803">
        <f t="shared" si="417"/>
        <v>-1</v>
      </c>
      <c r="K83" s="2641">
        <f t="shared" si="523"/>
        <v>0</v>
      </c>
      <c r="L83" s="1106">
        <f t="shared" si="523"/>
        <v>0</v>
      </c>
      <c r="M83" s="1107">
        <f t="shared" si="523"/>
        <v>0</v>
      </c>
      <c r="N83" s="1107">
        <f t="shared" si="523"/>
        <v>0</v>
      </c>
      <c r="O83" s="1107">
        <f t="shared" si="523"/>
        <v>0</v>
      </c>
      <c r="P83" s="3892">
        <f t="shared" si="523"/>
        <v>0</v>
      </c>
      <c r="Q83" s="1223">
        <f t="shared" si="402"/>
        <v>0</v>
      </c>
      <c r="R83" s="855">
        <f t="shared" si="403"/>
        <v>0</v>
      </c>
      <c r="S83" s="2641">
        <f t="shared" si="523"/>
        <v>0</v>
      </c>
      <c r="T83" s="1106">
        <f t="shared" si="523"/>
        <v>0</v>
      </c>
      <c r="U83" s="1107">
        <f t="shared" si="523"/>
        <v>0</v>
      </c>
      <c r="V83" s="1107">
        <f t="shared" si="523"/>
        <v>0</v>
      </c>
      <c r="W83" s="1107">
        <f t="shared" si="523"/>
        <v>0</v>
      </c>
      <c r="X83" s="3892">
        <f t="shared" si="523"/>
        <v>0</v>
      </c>
      <c r="Y83" s="1223">
        <f t="shared" si="404"/>
        <v>0</v>
      </c>
      <c r="Z83" s="855">
        <f t="shared" si="405"/>
        <v>0</v>
      </c>
      <c r="AA83" s="2641">
        <f>SUM(AA84:AA87)</f>
        <v>0</v>
      </c>
      <c r="AB83" s="1106">
        <f t="shared" ref="AB83:AN83" si="524">SUM(AB84:AB87)</f>
        <v>0</v>
      </c>
      <c r="AC83" s="1107">
        <f t="shared" si="524"/>
        <v>0</v>
      </c>
      <c r="AD83" s="1107">
        <f t="shared" si="524"/>
        <v>0</v>
      </c>
      <c r="AE83" s="1107">
        <f t="shared" si="524"/>
        <v>0</v>
      </c>
      <c r="AF83" s="3892">
        <f t="shared" si="524"/>
        <v>0</v>
      </c>
      <c r="AG83" s="1223">
        <f t="shared" si="420"/>
        <v>0</v>
      </c>
      <c r="AH83" s="803">
        <f t="shared" si="421"/>
        <v>0</v>
      </c>
      <c r="AI83" s="2641">
        <f t="shared" si="524"/>
        <v>0</v>
      </c>
      <c r="AJ83" s="1106">
        <f t="shared" si="524"/>
        <v>0</v>
      </c>
      <c r="AK83" s="1107">
        <f t="shared" si="524"/>
        <v>0</v>
      </c>
      <c r="AL83" s="1107">
        <f t="shared" si="524"/>
        <v>0</v>
      </c>
      <c r="AM83" s="1107">
        <f t="shared" si="524"/>
        <v>0</v>
      </c>
      <c r="AN83" s="3893">
        <f t="shared" si="524"/>
        <v>0</v>
      </c>
      <c r="AO83" s="1223">
        <f t="shared" si="434"/>
        <v>0</v>
      </c>
      <c r="AP83" s="803">
        <f t="shared" si="435"/>
        <v>0</v>
      </c>
      <c r="AQ83" s="2641">
        <f t="shared" si="523"/>
        <v>0</v>
      </c>
      <c r="AR83" s="1106">
        <f t="shared" si="523"/>
        <v>0</v>
      </c>
      <c r="AS83" s="1107">
        <f t="shared" si="523"/>
        <v>0</v>
      </c>
      <c r="AT83" s="1107">
        <f t="shared" si="523"/>
        <v>0</v>
      </c>
      <c r="AU83" s="1107">
        <f t="shared" si="523"/>
        <v>0</v>
      </c>
      <c r="AV83" s="3893">
        <f t="shared" si="523"/>
        <v>0</v>
      </c>
      <c r="AW83" s="2641">
        <f t="shared" si="523"/>
        <v>2</v>
      </c>
      <c r="AX83" s="1106">
        <f t="shared" si="523"/>
        <v>0</v>
      </c>
      <c r="AY83" s="1107">
        <f t="shared" si="523"/>
        <v>0</v>
      </c>
      <c r="AZ83" s="1107">
        <f t="shared" si="523"/>
        <v>0</v>
      </c>
      <c r="BA83" s="1107">
        <f t="shared" si="523"/>
        <v>0</v>
      </c>
      <c r="BB83" s="3893">
        <f t="shared" si="523"/>
        <v>0</v>
      </c>
      <c r="BC83" s="2641">
        <f t="shared" ref="BC83:BH83" si="525">SUM(BC84:BC87)</f>
        <v>2</v>
      </c>
      <c r="BD83" s="1106">
        <f t="shared" si="525"/>
        <v>0</v>
      </c>
      <c r="BE83" s="1107">
        <f t="shared" si="525"/>
        <v>0</v>
      </c>
      <c r="BF83" s="1107">
        <f t="shared" si="525"/>
        <v>0</v>
      </c>
      <c r="BG83" s="1107">
        <f t="shared" si="525"/>
        <v>0</v>
      </c>
      <c r="BH83" s="3893">
        <f t="shared" si="525"/>
        <v>0</v>
      </c>
      <c r="BI83" s="4359"/>
      <c r="BJ83" s="4603">
        <f t="shared" si="437"/>
        <v>1.022583762392437</v>
      </c>
      <c r="BK83" s="4603">
        <f t="shared" si="438"/>
        <v>0</v>
      </c>
      <c r="BL83" s="4603">
        <f t="shared" si="439"/>
        <v>0</v>
      </c>
      <c r="BM83" s="4603">
        <f t="shared" si="440"/>
        <v>0</v>
      </c>
      <c r="BN83" s="4603">
        <f t="shared" si="441"/>
        <v>0</v>
      </c>
      <c r="BO83" s="4603">
        <f t="shared" si="442"/>
        <v>0</v>
      </c>
      <c r="BP83" s="4603">
        <f t="shared" si="443"/>
        <v>-1.022583762392437</v>
      </c>
      <c r="BQ83" s="4603">
        <f t="shared" si="444"/>
        <v>0</v>
      </c>
      <c r="BR83" s="4603">
        <f t="shared" si="445"/>
        <v>0</v>
      </c>
      <c r="BS83" s="4603">
        <f t="shared" si="446"/>
        <v>0</v>
      </c>
      <c r="BT83" s="4603">
        <f t="shared" si="447"/>
        <v>0</v>
      </c>
      <c r="BU83" s="4603">
        <f t="shared" si="448"/>
        <v>0</v>
      </c>
      <c r="BV83" s="4603">
        <f t="shared" si="449"/>
        <v>0</v>
      </c>
      <c r="BW83" s="4603">
        <f t="shared" si="450"/>
        <v>0</v>
      </c>
      <c r="BX83" s="4603">
        <f t="shared" si="451"/>
        <v>0</v>
      </c>
      <c r="BY83" s="4603">
        <f t="shared" si="452"/>
        <v>0</v>
      </c>
      <c r="BZ83" s="4603">
        <f t="shared" si="453"/>
        <v>0</v>
      </c>
      <c r="CA83" s="4603">
        <f t="shared" si="454"/>
        <v>0</v>
      </c>
      <c r="CB83" s="4603">
        <f t="shared" si="455"/>
        <v>0</v>
      </c>
      <c r="CC83" s="4603">
        <f t="shared" si="456"/>
        <v>0</v>
      </c>
      <c r="CD83" s="4603">
        <f t="shared" si="457"/>
        <v>0</v>
      </c>
      <c r="CE83" s="4603">
        <f t="shared" si="458"/>
        <v>0</v>
      </c>
      <c r="CF83" s="4603">
        <f t="shared" si="459"/>
        <v>0</v>
      </c>
      <c r="CG83" s="4603">
        <f t="shared" si="460"/>
        <v>0</v>
      </c>
      <c r="CH83" s="4603">
        <f t="shared" si="461"/>
        <v>0</v>
      </c>
      <c r="CI83" s="4603">
        <f t="shared" si="462"/>
        <v>0</v>
      </c>
      <c r="CJ83" s="4603">
        <f t="shared" si="463"/>
        <v>0</v>
      </c>
      <c r="CK83" s="4603">
        <f t="shared" si="464"/>
        <v>0</v>
      </c>
      <c r="CL83" s="4603">
        <f t="shared" si="465"/>
        <v>0</v>
      </c>
      <c r="CM83" s="4603">
        <f t="shared" si="466"/>
        <v>0</v>
      </c>
      <c r="CN83" s="4603">
        <f t="shared" si="467"/>
        <v>0</v>
      </c>
      <c r="CO83" s="4603">
        <f t="shared" si="468"/>
        <v>0</v>
      </c>
      <c r="CP83" s="4603">
        <f t="shared" si="469"/>
        <v>0</v>
      </c>
      <c r="CQ83" s="4603">
        <f t="shared" si="470"/>
        <v>0</v>
      </c>
      <c r="CR83" s="4603">
        <f t="shared" si="471"/>
        <v>0</v>
      </c>
      <c r="CS83" s="4603">
        <f t="shared" si="472"/>
        <v>0</v>
      </c>
      <c r="CT83" s="4603">
        <f t="shared" si="473"/>
        <v>0</v>
      </c>
      <c r="CU83" s="4603">
        <f t="shared" si="474"/>
        <v>0</v>
      </c>
      <c r="CV83" s="4603">
        <f t="shared" si="475"/>
        <v>0</v>
      </c>
      <c r="CW83" s="4603">
        <f t="shared" si="476"/>
        <v>0</v>
      </c>
      <c r="CX83" s="4603">
        <f t="shared" si="477"/>
        <v>0</v>
      </c>
      <c r="CY83" s="4603">
        <f t="shared" si="478"/>
        <v>1.022583762392437</v>
      </c>
      <c r="CZ83" s="4603">
        <f t="shared" si="479"/>
        <v>0</v>
      </c>
      <c r="DA83" s="4603">
        <f t="shared" si="480"/>
        <v>0</v>
      </c>
      <c r="DB83" s="4603">
        <f t="shared" si="481"/>
        <v>0</v>
      </c>
      <c r="DC83" s="4603">
        <f t="shared" si="482"/>
        <v>0</v>
      </c>
      <c r="DD83" s="4603">
        <f t="shared" si="483"/>
        <v>0</v>
      </c>
      <c r="DE83" s="4603">
        <f t="shared" si="484"/>
        <v>1.022583762392437</v>
      </c>
      <c r="DF83" s="4603">
        <f t="shared" si="485"/>
        <v>0</v>
      </c>
      <c r="DG83" s="4603">
        <f t="shared" si="486"/>
        <v>0</v>
      </c>
      <c r="DH83" s="4603">
        <f t="shared" si="487"/>
        <v>0</v>
      </c>
      <c r="DI83" s="4603">
        <f t="shared" si="488"/>
        <v>0</v>
      </c>
      <c r="DJ83" s="4603">
        <f t="shared" si="489"/>
        <v>0</v>
      </c>
    </row>
    <row r="84" spans="1:114" s="673" customFormat="1" ht="12.75">
      <c r="A84" s="817" t="s">
        <v>633</v>
      </c>
      <c r="B84" s="403"/>
      <c r="C84" s="4601">
        <v>2</v>
      </c>
      <c r="D84" s="3033"/>
      <c r="E84" s="3033"/>
      <c r="F84" s="3033"/>
      <c r="G84" s="3033"/>
      <c r="H84" s="3034"/>
      <c r="I84" s="1224">
        <f t="shared" si="416"/>
        <v>-2</v>
      </c>
      <c r="J84" s="804">
        <f t="shared" si="417"/>
        <v>-1</v>
      </c>
      <c r="K84" s="3032"/>
      <c r="L84" s="3033"/>
      <c r="M84" s="3033"/>
      <c r="N84" s="3033"/>
      <c r="O84" s="3033"/>
      <c r="P84" s="3034"/>
      <c r="Q84" s="1224">
        <f t="shared" si="402"/>
        <v>0</v>
      </c>
      <c r="R84" s="1095">
        <f t="shared" si="403"/>
        <v>0</v>
      </c>
      <c r="S84" s="3032"/>
      <c r="T84" s="3033"/>
      <c r="U84" s="3033"/>
      <c r="V84" s="3033"/>
      <c r="W84" s="3033"/>
      <c r="X84" s="3034"/>
      <c r="Y84" s="1224">
        <f t="shared" si="404"/>
        <v>0</v>
      </c>
      <c r="Z84" s="1095">
        <f t="shared" si="405"/>
        <v>0</v>
      </c>
      <c r="AA84" s="3032"/>
      <c r="AB84" s="3033"/>
      <c r="AC84" s="3033"/>
      <c r="AD84" s="3033"/>
      <c r="AE84" s="3033"/>
      <c r="AF84" s="3034"/>
      <c r="AG84" s="1224">
        <f t="shared" si="420"/>
        <v>0</v>
      </c>
      <c r="AH84" s="804">
        <f t="shared" si="421"/>
        <v>0</v>
      </c>
      <c r="AI84" s="3032"/>
      <c r="AJ84" s="3033"/>
      <c r="AK84" s="3033"/>
      <c r="AL84" s="3033"/>
      <c r="AM84" s="3033"/>
      <c r="AN84" s="3052"/>
      <c r="AO84" s="1224">
        <f t="shared" si="434"/>
        <v>0</v>
      </c>
      <c r="AP84" s="804">
        <f t="shared" si="435"/>
        <v>0</v>
      </c>
      <c r="AQ84" s="3032"/>
      <c r="AR84" s="3033"/>
      <c r="AS84" s="3033"/>
      <c r="AT84" s="3033"/>
      <c r="AU84" s="3033"/>
      <c r="AV84" s="3052"/>
      <c r="AW84" s="1086">
        <f t="shared" ref="AW84:AW87" si="526">C84+K84+S84+AA84+AI84</f>
        <v>2</v>
      </c>
      <c r="AX84" s="3042">
        <f t="shared" ref="AX84:AX87" si="527">D84+L84+T84+AB84+AJ84</f>
        <v>0</v>
      </c>
      <c r="AY84" s="3042">
        <f t="shared" ref="AY84:AY87" si="528">E84+M84+U84+AC84+AK84</f>
        <v>0</v>
      </c>
      <c r="AZ84" s="3042">
        <f t="shared" ref="AZ84:AZ87" si="529">F84+N84+V84+AD84+AL84</f>
        <v>0</v>
      </c>
      <c r="BA84" s="3042">
        <f t="shared" ref="BA84:BA87" si="530">G84+O84+W84+AE84+AM84</f>
        <v>0</v>
      </c>
      <c r="BB84" s="3043">
        <f t="shared" ref="BB84:BB87" si="531">H84+P84+X84+AF84+AN84</f>
        <v>0</v>
      </c>
      <c r="BC84" s="3059">
        <f t="shared" ref="BC84:BC87" si="532">C84+AA84+AI84</f>
        <v>2</v>
      </c>
      <c r="BD84" s="3060">
        <f t="shared" ref="BD84:BD87" si="533">D84+AB84+AJ84</f>
        <v>0</v>
      </c>
      <c r="BE84" s="3061">
        <f t="shared" ref="BE84:BE87" si="534">E84+AC84+AK84</f>
        <v>0</v>
      </c>
      <c r="BF84" s="3061">
        <f t="shared" ref="BF84:BF87" si="535">F84+AD84+AL84</f>
        <v>0</v>
      </c>
      <c r="BG84" s="3061">
        <f t="shared" ref="BG84:BG87" si="536">G84+AE84+AM84</f>
        <v>0</v>
      </c>
      <c r="BH84" s="3063">
        <f t="shared" ref="BH84:BH87" si="537">H84+AF84+AN84</f>
        <v>0</v>
      </c>
      <c r="BI84" s="4422"/>
      <c r="BJ84" s="4438">
        <f t="shared" si="437"/>
        <v>1.022583762392437</v>
      </c>
      <c r="BK84" s="4438">
        <f t="shared" si="438"/>
        <v>0</v>
      </c>
      <c r="BL84" s="4438">
        <f t="shared" si="439"/>
        <v>0</v>
      </c>
      <c r="BM84" s="4438">
        <f t="shared" si="440"/>
        <v>0</v>
      </c>
      <c r="BN84" s="4438">
        <f t="shared" si="441"/>
        <v>0</v>
      </c>
      <c r="BO84" s="4438">
        <f t="shared" si="442"/>
        <v>0</v>
      </c>
      <c r="BP84" s="4438">
        <f t="shared" si="443"/>
        <v>-1.022583762392437</v>
      </c>
      <c r="BQ84" s="4438">
        <f t="shared" si="444"/>
        <v>0</v>
      </c>
      <c r="BR84" s="4438">
        <f t="shared" si="445"/>
        <v>0</v>
      </c>
      <c r="BS84" s="4438">
        <f t="shared" si="446"/>
        <v>0</v>
      </c>
      <c r="BT84" s="4438">
        <f t="shared" si="447"/>
        <v>0</v>
      </c>
      <c r="BU84" s="4438">
        <f t="shared" si="448"/>
        <v>0</v>
      </c>
      <c r="BV84" s="4438">
        <f t="shared" si="449"/>
        <v>0</v>
      </c>
      <c r="BW84" s="4438">
        <f t="shared" si="450"/>
        <v>0</v>
      </c>
      <c r="BX84" s="4438">
        <f t="shared" si="451"/>
        <v>0</v>
      </c>
      <c r="BY84" s="4438">
        <f t="shared" si="452"/>
        <v>0</v>
      </c>
      <c r="BZ84" s="4438">
        <f t="shared" si="453"/>
        <v>0</v>
      </c>
      <c r="CA84" s="4438">
        <f t="shared" si="454"/>
        <v>0</v>
      </c>
      <c r="CB84" s="4438">
        <f t="shared" si="455"/>
        <v>0</v>
      </c>
      <c r="CC84" s="4438">
        <f t="shared" si="456"/>
        <v>0</v>
      </c>
      <c r="CD84" s="4438">
        <f t="shared" si="457"/>
        <v>0</v>
      </c>
      <c r="CE84" s="4438">
        <f t="shared" si="458"/>
        <v>0</v>
      </c>
      <c r="CF84" s="4438">
        <f t="shared" si="459"/>
        <v>0</v>
      </c>
      <c r="CG84" s="4438">
        <f t="shared" si="460"/>
        <v>0</v>
      </c>
      <c r="CH84" s="4438">
        <f t="shared" si="461"/>
        <v>0</v>
      </c>
      <c r="CI84" s="4438">
        <f t="shared" si="462"/>
        <v>0</v>
      </c>
      <c r="CJ84" s="4438">
        <f t="shared" si="463"/>
        <v>0</v>
      </c>
      <c r="CK84" s="4438">
        <f t="shared" si="464"/>
        <v>0</v>
      </c>
      <c r="CL84" s="4438">
        <f t="shared" si="465"/>
        <v>0</v>
      </c>
      <c r="CM84" s="4438">
        <f t="shared" si="466"/>
        <v>0</v>
      </c>
      <c r="CN84" s="4438">
        <f t="shared" si="467"/>
        <v>0</v>
      </c>
      <c r="CO84" s="4438">
        <f t="shared" si="468"/>
        <v>0</v>
      </c>
      <c r="CP84" s="4438">
        <f t="shared" si="469"/>
        <v>0</v>
      </c>
      <c r="CQ84" s="4438">
        <f t="shared" si="470"/>
        <v>0</v>
      </c>
      <c r="CR84" s="4438">
        <f t="shared" si="471"/>
        <v>0</v>
      </c>
      <c r="CS84" s="4438">
        <f t="shared" si="472"/>
        <v>0</v>
      </c>
      <c r="CT84" s="4438">
        <f t="shared" si="473"/>
        <v>0</v>
      </c>
      <c r="CU84" s="4438">
        <f t="shared" si="474"/>
        <v>0</v>
      </c>
      <c r="CV84" s="4438">
        <f t="shared" si="475"/>
        <v>0</v>
      </c>
      <c r="CW84" s="4438">
        <f t="shared" si="476"/>
        <v>0</v>
      </c>
      <c r="CX84" s="4438">
        <f t="shared" si="477"/>
        <v>0</v>
      </c>
      <c r="CY84" s="4438">
        <f t="shared" si="478"/>
        <v>1.022583762392437</v>
      </c>
      <c r="CZ84" s="4438">
        <f t="shared" si="479"/>
        <v>0</v>
      </c>
      <c r="DA84" s="4438">
        <f t="shared" si="480"/>
        <v>0</v>
      </c>
      <c r="DB84" s="4438">
        <f t="shared" si="481"/>
        <v>0</v>
      </c>
      <c r="DC84" s="4438">
        <f t="shared" si="482"/>
        <v>0</v>
      </c>
      <c r="DD84" s="4438">
        <f t="shared" si="483"/>
        <v>0</v>
      </c>
      <c r="DE84" s="4438">
        <f t="shared" si="484"/>
        <v>1.022583762392437</v>
      </c>
      <c r="DF84" s="4438">
        <f t="shared" si="485"/>
        <v>0</v>
      </c>
      <c r="DG84" s="4438">
        <f t="shared" si="486"/>
        <v>0</v>
      </c>
      <c r="DH84" s="4438">
        <f t="shared" si="487"/>
        <v>0</v>
      </c>
      <c r="DI84" s="4438">
        <f t="shared" si="488"/>
        <v>0</v>
      </c>
      <c r="DJ84" s="4438">
        <f t="shared" si="489"/>
        <v>0</v>
      </c>
    </row>
    <row r="85" spans="1:114" s="673" customFormat="1" ht="12.75">
      <c r="A85" s="817" t="s">
        <v>634</v>
      </c>
      <c r="B85" s="403"/>
      <c r="C85" s="3032"/>
      <c r="D85" s="3033"/>
      <c r="E85" s="3033"/>
      <c r="F85" s="3033"/>
      <c r="G85" s="3033"/>
      <c r="H85" s="3034"/>
      <c r="I85" s="1224">
        <f t="shared" si="416"/>
        <v>0</v>
      </c>
      <c r="J85" s="804">
        <f t="shared" si="417"/>
        <v>0</v>
      </c>
      <c r="K85" s="3032"/>
      <c r="L85" s="3033"/>
      <c r="M85" s="3033"/>
      <c r="N85" s="3033"/>
      <c r="O85" s="3033"/>
      <c r="P85" s="3034"/>
      <c r="Q85" s="1224">
        <f t="shared" si="402"/>
        <v>0</v>
      </c>
      <c r="R85" s="1095">
        <f t="shared" si="403"/>
        <v>0</v>
      </c>
      <c r="S85" s="3032"/>
      <c r="T85" s="3033"/>
      <c r="U85" s="3033"/>
      <c r="V85" s="3033"/>
      <c r="W85" s="3033"/>
      <c r="X85" s="3034"/>
      <c r="Y85" s="1224">
        <f t="shared" si="404"/>
        <v>0</v>
      </c>
      <c r="Z85" s="1095">
        <f t="shared" si="405"/>
        <v>0</v>
      </c>
      <c r="AA85" s="3032"/>
      <c r="AB85" s="3033"/>
      <c r="AC85" s="3033"/>
      <c r="AD85" s="3033"/>
      <c r="AE85" s="3033"/>
      <c r="AF85" s="3034"/>
      <c r="AG85" s="1224">
        <f t="shared" si="420"/>
        <v>0</v>
      </c>
      <c r="AH85" s="804">
        <f t="shared" si="421"/>
        <v>0</v>
      </c>
      <c r="AI85" s="3032"/>
      <c r="AJ85" s="3033"/>
      <c r="AK85" s="3033"/>
      <c r="AL85" s="3033"/>
      <c r="AM85" s="3033"/>
      <c r="AN85" s="3052"/>
      <c r="AO85" s="1224">
        <f t="shared" si="434"/>
        <v>0</v>
      </c>
      <c r="AP85" s="804">
        <f t="shared" si="435"/>
        <v>0</v>
      </c>
      <c r="AQ85" s="3032"/>
      <c r="AR85" s="3033"/>
      <c r="AS85" s="3033"/>
      <c r="AT85" s="3033"/>
      <c r="AU85" s="3033"/>
      <c r="AV85" s="3052"/>
      <c r="AW85" s="1086">
        <f t="shared" si="526"/>
        <v>0</v>
      </c>
      <c r="AX85" s="3042">
        <f t="shared" si="527"/>
        <v>0</v>
      </c>
      <c r="AY85" s="3042">
        <f t="shared" si="528"/>
        <v>0</v>
      </c>
      <c r="AZ85" s="3042">
        <f t="shared" si="529"/>
        <v>0</v>
      </c>
      <c r="BA85" s="3042">
        <f t="shared" si="530"/>
        <v>0</v>
      </c>
      <c r="BB85" s="3043">
        <f t="shared" si="531"/>
        <v>0</v>
      </c>
      <c r="BC85" s="3059">
        <f t="shared" si="532"/>
        <v>0</v>
      </c>
      <c r="BD85" s="3060">
        <f t="shared" si="533"/>
        <v>0</v>
      </c>
      <c r="BE85" s="3061">
        <f t="shared" si="534"/>
        <v>0</v>
      </c>
      <c r="BF85" s="3061">
        <f t="shared" si="535"/>
        <v>0</v>
      </c>
      <c r="BG85" s="3061">
        <f t="shared" si="536"/>
        <v>0</v>
      </c>
      <c r="BH85" s="3063">
        <f t="shared" si="537"/>
        <v>0</v>
      </c>
      <c r="BI85" s="4422"/>
      <c r="BJ85" s="4438">
        <f t="shared" si="437"/>
        <v>0</v>
      </c>
      <c r="BK85" s="4438">
        <f t="shared" si="438"/>
        <v>0</v>
      </c>
      <c r="BL85" s="4438">
        <f t="shared" si="439"/>
        <v>0</v>
      </c>
      <c r="BM85" s="4438">
        <f t="shared" si="440"/>
        <v>0</v>
      </c>
      <c r="BN85" s="4438">
        <f t="shared" si="441"/>
        <v>0</v>
      </c>
      <c r="BO85" s="4438">
        <f t="shared" si="442"/>
        <v>0</v>
      </c>
      <c r="BP85" s="4438">
        <f t="shared" si="443"/>
        <v>0</v>
      </c>
      <c r="BQ85" s="4438">
        <f t="shared" si="444"/>
        <v>0</v>
      </c>
      <c r="BR85" s="4438">
        <f t="shared" si="445"/>
        <v>0</v>
      </c>
      <c r="BS85" s="4438">
        <f t="shared" si="446"/>
        <v>0</v>
      </c>
      <c r="BT85" s="4438">
        <f t="shared" si="447"/>
        <v>0</v>
      </c>
      <c r="BU85" s="4438">
        <f t="shared" si="448"/>
        <v>0</v>
      </c>
      <c r="BV85" s="4438">
        <f t="shared" si="449"/>
        <v>0</v>
      </c>
      <c r="BW85" s="4438">
        <f t="shared" si="450"/>
        <v>0</v>
      </c>
      <c r="BX85" s="4438">
        <f t="shared" si="451"/>
        <v>0</v>
      </c>
      <c r="BY85" s="4438">
        <f t="shared" si="452"/>
        <v>0</v>
      </c>
      <c r="BZ85" s="4438">
        <f t="shared" si="453"/>
        <v>0</v>
      </c>
      <c r="CA85" s="4438">
        <f t="shared" si="454"/>
        <v>0</v>
      </c>
      <c r="CB85" s="4438">
        <f t="shared" si="455"/>
        <v>0</v>
      </c>
      <c r="CC85" s="4438">
        <f t="shared" si="456"/>
        <v>0</v>
      </c>
      <c r="CD85" s="4438">
        <f t="shared" si="457"/>
        <v>0</v>
      </c>
      <c r="CE85" s="4438">
        <f t="shared" si="458"/>
        <v>0</v>
      </c>
      <c r="CF85" s="4438">
        <f t="shared" si="459"/>
        <v>0</v>
      </c>
      <c r="CG85" s="4438">
        <f t="shared" si="460"/>
        <v>0</v>
      </c>
      <c r="CH85" s="4438">
        <f t="shared" si="461"/>
        <v>0</v>
      </c>
      <c r="CI85" s="4438">
        <f t="shared" si="462"/>
        <v>0</v>
      </c>
      <c r="CJ85" s="4438">
        <f t="shared" si="463"/>
        <v>0</v>
      </c>
      <c r="CK85" s="4438">
        <f t="shared" si="464"/>
        <v>0</v>
      </c>
      <c r="CL85" s="4438">
        <f t="shared" si="465"/>
        <v>0</v>
      </c>
      <c r="CM85" s="4438">
        <f t="shared" si="466"/>
        <v>0</v>
      </c>
      <c r="CN85" s="4438">
        <f t="shared" si="467"/>
        <v>0</v>
      </c>
      <c r="CO85" s="4438">
        <f t="shared" si="468"/>
        <v>0</v>
      </c>
      <c r="CP85" s="4438">
        <f t="shared" si="469"/>
        <v>0</v>
      </c>
      <c r="CQ85" s="4438">
        <f t="shared" si="470"/>
        <v>0</v>
      </c>
      <c r="CR85" s="4438">
        <f t="shared" si="471"/>
        <v>0</v>
      </c>
      <c r="CS85" s="4438">
        <f t="shared" si="472"/>
        <v>0</v>
      </c>
      <c r="CT85" s="4438">
        <f t="shared" si="473"/>
        <v>0</v>
      </c>
      <c r="CU85" s="4438">
        <f t="shared" si="474"/>
        <v>0</v>
      </c>
      <c r="CV85" s="4438">
        <f t="shared" si="475"/>
        <v>0</v>
      </c>
      <c r="CW85" s="4438">
        <f t="shared" si="476"/>
        <v>0</v>
      </c>
      <c r="CX85" s="4438">
        <f t="shared" si="477"/>
        <v>0</v>
      </c>
      <c r="CY85" s="4438">
        <f t="shared" si="478"/>
        <v>0</v>
      </c>
      <c r="CZ85" s="4438">
        <f t="shared" si="479"/>
        <v>0</v>
      </c>
      <c r="DA85" s="4438">
        <f t="shared" si="480"/>
        <v>0</v>
      </c>
      <c r="DB85" s="4438">
        <f t="shared" si="481"/>
        <v>0</v>
      </c>
      <c r="DC85" s="4438">
        <f t="shared" si="482"/>
        <v>0</v>
      </c>
      <c r="DD85" s="4438">
        <f t="shared" si="483"/>
        <v>0</v>
      </c>
      <c r="DE85" s="4438">
        <f t="shared" si="484"/>
        <v>0</v>
      </c>
      <c r="DF85" s="4438">
        <f t="shared" si="485"/>
        <v>0</v>
      </c>
      <c r="DG85" s="4438">
        <f t="shared" si="486"/>
        <v>0</v>
      </c>
      <c r="DH85" s="4438">
        <f t="shared" si="487"/>
        <v>0</v>
      </c>
      <c r="DI85" s="4438">
        <f t="shared" si="488"/>
        <v>0</v>
      </c>
      <c r="DJ85" s="4438">
        <f t="shared" si="489"/>
        <v>0</v>
      </c>
    </row>
    <row r="86" spans="1:114" s="673" customFormat="1" ht="12.75">
      <c r="A86" s="817" t="s">
        <v>635</v>
      </c>
      <c r="B86" s="403"/>
      <c r="C86" s="3044"/>
      <c r="D86" s="3033"/>
      <c r="E86" s="3033"/>
      <c r="F86" s="3033"/>
      <c r="G86" s="3033"/>
      <c r="H86" s="3034"/>
      <c r="I86" s="1224">
        <f t="shared" si="416"/>
        <v>0</v>
      </c>
      <c r="J86" s="804">
        <f t="shared" si="417"/>
        <v>0</v>
      </c>
      <c r="K86" s="3032"/>
      <c r="L86" s="3033"/>
      <c r="M86" s="3033"/>
      <c r="N86" s="3033"/>
      <c r="O86" s="3033"/>
      <c r="P86" s="3034"/>
      <c r="Q86" s="1224">
        <f t="shared" si="402"/>
        <v>0</v>
      </c>
      <c r="R86" s="1095">
        <f t="shared" si="403"/>
        <v>0</v>
      </c>
      <c r="S86" s="3032"/>
      <c r="T86" s="3033"/>
      <c r="U86" s="3033"/>
      <c r="V86" s="3033"/>
      <c r="W86" s="3033"/>
      <c r="X86" s="3034"/>
      <c r="Y86" s="1224">
        <f t="shared" si="404"/>
        <v>0</v>
      </c>
      <c r="Z86" s="1095">
        <f t="shared" si="405"/>
        <v>0</v>
      </c>
      <c r="AA86" s="3032"/>
      <c r="AB86" s="3033"/>
      <c r="AC86" s="3033"/>
      <c r="AD86" s="3033"/>
      <c r="AE86" s="3033"/>
      <c r="AF86" s="3034"/>
      <c r="AG86" s="1224">
        <f t="shared" si="420"/>
        <v>0</v>
      </c>
      <c r="AH86" s="804">
        <f t="shared" si="421"/>
        <v>0</v>
      </c>
      <c r="AI86" s="3032"/>
      <c r="AJ86" s="3033"/>
      <c r="AK86" s="3033"/>
      <c r="AL86" s="3033"/>
      <c r="AM86" s="3033"/>
      <c r="AN86" s="3052"/>
      <c r="AO86" s="1224">
        <f t="shared" si="434"/>
        <v>0</v>
      </c>
      <c r="AP86" s="804">
        <f t="shared" si="435"/>
        <v>0</v>
      </c>
      <c r="AQ86" s="3044"/>
      <c r="AR86" s="3033"/>
      <c r="AS86" s="3033"/>
      <c r="AT86" s="3033"/>
      <c r="AU86" s="3033"/>
      <c r="AV86" s="3052"/>
      <c r="AW86" s="1086">
        <f t="shared" si="526"/>
        <v>0</v>
      </c>
      <c r="AX86" s="3042">
        <f t="shared" si="527"/>
        <v>0</v>
      </c>
      <c r="AY86" s="3042">
        <f t="shared" si="528"/>
        <v>0</v>
      </c>
      <c r="AZ86" s="3042">
        <f t="shared" si="529"/>
        <v>0</v>
      </c>
      <c r="BA86" s="3042">
        <f t="shared" si="530"/>
        <v>0</v>
      </c>
      <c r="BB86" s="3043">
        <f t="shared" si="531"/>
        <v>0</v>
      </c>
      <c r="BC86" s="3059">
        <f>C86+AA86+AI86</f>
        <v>0</v>
      </c>
      <c r="BD86" s="3060">
        <f t="shared" si="533"/>
        <v>0</v>
      </c>
      <c r="BE86" s="3061">
        <f t="shared" si="534"/>
        <v>0</v>
      </c>
      <c r="BF86" s="3061">
        <f t="shared" si="535"/>
        <v>0</v>
      </c>
      <c r="BG86" s="3061">
        <f t="shared" si="536"/>
        <v>0</v>
      </c>
      <c r="BH86" s="3063">
        <f t="shared" si="537"/>
        <v>0</v>
      </c>
      <c r="BI86" s="4422"/>
      <c r="BJ86" s="4438">
        <f t="shared" si="437"/>
        <v>0</v>
      </c>
      <c r="BK86" s="4438">
        <f t="shared" si="438"/>
        <v>0</v>
      </c>
      <c r="BL86" s="4438">
        <f t="shared" si="439"/>
        <v>0</v>
      </c>
      <c r="BM86" s="4438">
        <f t="shared" si="440"/>
        <v>0</v>
      </c>
      <c r="BN86" s="4438">
        <f t="shared" si="441"/>
        <v>0</v>
      </c>
      <c r="BO86" s="4438">
        <f t="shared" si="442"/>
        <v>0</v>
      </c>
      <c r="BP86" s="4438">
        <f t="shared" si="443"/>
        <v>0</v>
      </c>
      <c r="BQ86" s="4438">
        <f t="shared" si="444"/>
        <v>0</v>
      </c>
      <c r="BR86" s="4438">
        <f t="shared" si="445"/>
        <v>0</v>
      </c>
      <c r="BS86" s="4438">
        <f t="shared" si="446"/>
        <v>0</v>
      </c>
      <c r="BT86" s="4438">
        <f t="shared" si="447"/>
        <v>0</v>
      </c>
      <c r="BU86" s="4438">
        <f t="shared" si="448"/>
        <v>0</v>
      </c>
      <c r="BV86" s="4438">
        <f t="shared" si="449"/>
        <v>0</v>
      </c>
      <c r="BW86" s="4438">
        <f t="shared" si="450"/>
        <v>0</v>
      </c>
      <c r="BX86" s="4438">
        <f t="shared" si="451"/>
        <v>0</v>
      </c>
      <c r="BY86" s="4438">
        <f t="shared" si="452"/>
        <v>0</v>
      </c>
      <c r="BZ86" s="4438">
        <f t="shared" si="453"/>
        <v>0</v>
      </c>
      <c r="CA86" s="4438">
        <f t="shared" si="454"/>
        <v>0</v>
      </c>
      <c r="CB86" s="4438">
        <f t="shared" si="455"/>
        <v>0</v>
      </c>
      <c r="CC86" s="4438">
        <f t="shared" si="456"/>
        <v>0</v>
      </c>
      <c r="CD86" s="4438">
        <f t="shared" si="457"/>
        <v>0</v>
      </c>
      <c r="CE86" s="4438">
        <f t="shared" si="458"/>
        <v>0</v>
      </c>
      <c r="CF86" s="4438">
        <f t="shared" si="459"/>
        <v>0</v>
      </c>
      <c r="CG86" s="4438">
        <f t="shared" si="460"/>
        <v>0</v>
      </c>
      <c r="CH86" s="4438">
        <f t="shared" si="461"/>
        <v>0</v>
      </c>
      <c r="CI86" s="4438">
        <f t="shared" si="462"/>
        <v>0</v>
      </c>
      <c r="CJ86" s="4438">
        <f t="shared" si="463"/>
        <v>0</v>
      </c>
      <c r="CK86" s="4438">
        <f t="shared" si="464"/>
        <v>0</v>
      </c>
      <c r="CL86" s="4438">
        <f t="shared" si="465"/>
        <v>0</v>
      </c>
      <c r="CM86" s="4438">
        <f t="shared" si="466"/>
        <v>0</v>
      </c>
      <c r="CN86" s="4438">
        <f t="shared" si="467"/>
        <v>0</v>
      </c>
      <c r="CO86" s="4438">
        <f t="shared" si="468"/>
        <v>0</v>
      </c>
      <c r="CP86" s="4438">
        <f t="shared" si="469"/>
        <v>0</v>
      </c>
      <c r="CQ86" s="4438">
        <f t="shared" si="470"/>
        <v>0</v>
      </c>
      <c r="CR86" s="4438">
        <f t="shared" si="471"/>
        <v>0</v>
      </c>
      <c r="CS86" s="4438">
        <f t="shared" si="472"/>
        <v>0</v>
      </c>
      <c r="CT86" s="4438">
        <f t="shared" si="473"/>
        <v>0</v>
      </c>
      <c r="CU86" s="4438">
        <f t="shared" si="474"/>
        <v>0</v>
      </c>
      <c r="CV86" s="4438">
        <f t="shared" si="475"/>
        <v>0</v>
      </c>
      <c r="CW86" s="4438">
        <f t="shared" si="476"/>
        <v>0</v>
      </c>
      <c r="CX86" s="4438">
        <f t="shared" si="477"/>
        <v>0</v>
      </c>
      <c r="CY86" s="4438">
        <f t="shared" si="478"/>
        <v>0</v>
      </c>
      <c r="CZ86" s="4438">
        <f t="shared" si="479"/>
        <v>0</v>
      </c>
      <c r="DA86" s="4438">
        <f t="shared" si="480"/>
        <v>0</v>
      </c>
      <c r="DB86" s="4438">
        <f t="shared" si="481"/>
        <v>0</v>
      </c>
      <c r="DC86" s="4438">
        <f t="shared" si="482"/>
        <v>0</v>
      </c>
      <c r="DD86" s="4438">
        <f t="shared" si="483"/>
        <v>0</v>
      </c>
      <c r="DE86" s="4438">
        <f t="shared" si="484"/>
        <v>0</v>
      </c>
      <c r="DF86" s="4438">
        <f t="shared" si="485"/>
        <v>0</v>
      </c>
      <c r="DG86" s="4438">
        <f t="shared" si="486"/>
        <v>0</v>
      </c>
      <c r="DH86" s="4438">
        <f t="shared" si="487"/>
        <v>0</v>
      </c>
      <c r="DI86" s="4438">
        <f t="shared" si="488"/>
        <v>0</v>
      </c>
      <c r="DJ86" s="4438">
        <f t="shared" si="489"/>
        <v>0</v>
      </c>
    </row>
    <row r="87" spans="1:114" s="673" customFormat="1" ht="13.5" thickBot="1">
      <c r="A87" s="819" t="s">
        <v>636</v>
      </c>
      <c r="B87" s="403"/>
      <c r="C87" s="3032"/>
      <c r="D87" s="3033"/>
      <c r="E87" s="3033"/>
      <c r="F87" s="3033"/>
      <c r="G87" s="3033"/>
      <c r="H87" s="3034"/>
      <c r="I87" s="1224">
        <f t="shared" si="416"/>
        <v>0</v>
      </c>
      <c r="J87" s="804">
        <f t="shared" si="417"/>
        <v>0</v>
      </c>
      <c r="K87" s="3032"/>
      <c r="L87" s="3033"/>
      <c r="M87" s="3033"/>
      <c r="N87" s="3033"/>
      <c r="O87" s="3033"/>
      <c r="P87" s="3034"/>
      <c r="Q87" s="1224">
        <f t="shared" si="402"/>
        <v>0</v>
      </c>
      <c r="R87" s="1095">
        <f t="shared" si="403"/>
        <v>0</v>
      </c>
      <c r="S87" s="3032"/>
      <c r="T87" s="3033"/>
      <c r="U87" s="3033"/>
      <c r="V87" s="3033"/>
      <c r="W87" s="3033"/>
      <c r="X87" s="3034"/>
      <c r="Y87" s="1224">
        <f t="shared" si="404"/>
        <v>0</v>
      </c>
      <c r="Z87" s="1095">
        <f t="shared" si="405"/>
        <v>0</v>
      </c>
      <c r="AA87" s="3032"/>
      <c r="AB87" s="3033"/>
      <c r="AC87" s="3033"/>
      <c r="AD87" s="3033"/>
      <c r="AE87" s="3033"/>
      <c r="AF87" s="3034"/>
      <c r="AG87" s="1224">
        <f t="shared" si="420"/>
        <v>0</v>
      </c>
      <c r="AH87" s="804">
        <f t="shared" si="421"/>
        <v>0</v>
      </c>
      <c r="AI87" s="3032"/>
      <c r="AJ87" s="3033"/>
      <c r="AK87" s="3033"/>
      <c r="AL87" s="3033"/>
      <c r="AM87" s="3033"/>
      <c r="AN87" s="3052"/>
      <c r="AO87" s="1224">
        <f t="shared" si="434"/>
        <v>0</v>
      </c>
      <c r="AP87" s="804">
        <f t="shared" si="435"/>
        <v>0</v>
      </c>
      <c r="AQ87" s="3032"/>
      <c r="AR87" s="3033"/>
      <c r="AS87" s="3033"/>
      <c r="AT87" s="3033"/>
      <c r="AU87" s="3033"/>
      <c r="AV87" s="3052"/>
      <c r="AW87" s="1086">
        <f t="shared" si="526"/>
        <v>0</v>
      </c>
      <c r="AX87" s="3042">
        <f t="shared" si="527"/>
        <v>0</v>
      </c>
      <c r="AY87" s="3042">
        <f t="shared" si="528"/>
        <v>0</v>
      </c>
      <c r="AZ87" s="3042">
        <f t="shared" si="529"/>
        <v>0</v>
      </c>
      <c r="BA87" s="3042">
        <f t="shared" si="530"/>
        <v>0</v>
      </c>
      <c r="BB87" s="3043">
        <f t="shared" si="531"/>
        <v>0</v>
      </c>
      <c r="BC87" s="3059">
        <f t="shared" si="532"/>
        <v>0</v>
      </c>
      <c r="BD87" s="3060">
        <f t="shared" si="533"/>
        <v>0</v>
      </c>
      <c r="BE87" s="3061">
        <f t="shared" si="534"/>
        <v>0</v>
      </c>
      <c r="BF87" s="3061">
        <f t="shared" si="535"/>
        <v>0</v>
      </c>
      <c r="BG87" s="3061">
        <f t="shared" si="536"/>
        <v>0</v>
      </c>
      <c r="BH87" s="3063">
        <f t="shared" si="537"/>
        <v>0</v>
      </c>
      <c r="BI87" s="4422"/>
      <c r="BJ87" s="4438">
        <f t="shared" si="437"/>
        <v>0</v>
      </c>
      <c r="BK87" s="4438">
        <f t="shared" si="438"/>
        <v>0</v>
      </c>
      <c r="BL87" s="4438">
        <f t="shared" si="439"/>
        <v>0</v>
      </c>
      <c r="BM87" s="4438">
        <f t="shared" si="440"/>
        <v>0</v>
      </c>
      <c r="BN87" s="4438">
        <f t="shared" si="441"/>
        <v>0</v>
      </c>
      <c r="BO87" s="4438">
        <f t="shared" si="442"/>
        <v>0</v>
      </c>
      <c r="BP87" s="4438">
        <f t="shared" si="443"/>
        <v>0</v>
      </c>
      <c r="BQ87" s="4438">
        <f t="shared" si="444"/>
        <v>0</v>
      </c>
      <c r="BR87" s="4438">
        <f t="shared" si="445"/>
        <v>0</v>
      </c>
      <c r="BS87" s="4438">
        <f t="shared" si="446"/>
        <v>0</v>
      </c>
      <c r="BT87" s="4438">
        <f t="shared" si="447"/>
        <v>0</v>
      </c>
      <c r="BU87" s="4438">
        <f t="shared" si="448"/>
        <v>0</v>
      </c>
      <c r="BV87" s="4438">
        <f t="shared" si="449"/>
        <v>0</v>
      </c>
      <c r="BW87" s="4438">
        <f t="shared" si="450"/>
        <v>0</v>
      </c>
      <c r="BX87" s="4438">
        <f t="shared" si="451"/>
        <v>0</v>
      </c>
      <c r="BY87" s="4438">
        <f t="shared" si="452"/>
        <v>0</v>
      </c>
      <c r="BZ87" s="4438">
        <f t="shared" si="453"/>
        <v>0</v>
      </c>
      <c r="CA87" s="4438">
        <f t="shared" si="454"/>
        <v>0</v>
      </c>
      <c r="CB87" s="4438">
        <f t="shared" si="455"/>
        <v>0</v>
      </c>
      <c r="CC87" s="4438">
        <f t="shared" si="456"/>
        <v>0</v>
      </c>
      <c r="CD87" s="4438">
        <f t="shared" si="457"/>
        <v>0</v>
      </c>
      <c r="CE87" s="4438">
        <f t="shared" si="458"/>
        <v>0</v>
      </c>
      <c r="CF87" s="4438">
        <f t="shared" si="459"/>
        <v>0</v>
      </c>
      <c r="CG87" s="4438">
        <f t="shared" si="460"/>
        <v>0</v>
      </c>
      <c r="CH87" s="4438">
        <f t="shared" si="461"/>
        <v>0</v>
      </c>
      <c r="CI87" s="4438">
        <f t="shared" si="462"/>
        <v>0</v>
      </c>
      <c r="CJ87" s="4438">
        <f t="shared" si="463"/>
        <v>0</v>
      </c>
      <c r="CK87" s="4438">
        <f t="shared" si="464"/>
        <v>0</v>
      </c>
      <c r="CL87" s="4438">
        <f t="shared" si="465"/>
        <v>0</v>
      </c>
      <c r="CM87" s="4438">
        <f t="shared" si="466"/>
        <v>0</v>
      </c>
      <c r="CN87" s="4438">
        <f t="shared" si="467"/>
        <v>0</v>
      </c>
      <c r="CO87" s="4438">
        <f t="shared" si="468"/>
        <v>0</v>
      </c>
      <c r="CP87" s="4438">
        <f t="shared" si="469"/>
        <v>0</v>
      </c>
      <c r="CQ87" s="4438">
        <f t="shared" si="470"/>
        <v>0</v>
      </c>
      <c r="CR87" s="4438">
        <f t="shared" si="471"/>
        <v>0</v>
      </c>
      <c r="CS87" s="4438">
        <f t="shared" si="472"/>
        <v>0</v>
      </c>
      <c r="CT87" s="4438">
        <f t="shared" si="473"/>
        <v>0</v>
      </c>
      <c r="CU87" s="4438">
        <f t="shared" si="474"/>
        <v>0</v>
      </c>
      <c r="CV87" s="4438">
        <f t="shared" si="475"/>
        <v>0</v>
      </c>
      <c r="CW87" s="4438">
        <f t="shared" si="476"/>
        <v>0</v>
      </c>
      <c r="CX87" s="4438">
        <f t="shared" si="477"/>
        <v>0</v>
      </c>
      <c r="CY87" s="4438">
        <f t="shared" si="478"/>
        <v>0</v>
      </c>
      <c r="CZ87" s="4438">
        <f t="shared" si="479"/>
        <v>0</v>
      </c>
      <c r="DA87" s="4438">
        <f t="shared" si="480"/>
        <v>0</v>
      </c>
      <c r="DB87" s="4438">
        <f t="shared" si="481"/>
        <v>0</v>
      </c>
      <c r="DC87" s="4438">
        <f t="shared" si="482"/>
        <v>0</v>
      </c>
      <c r="DD87" s="4438">
        <f t="shared" si="483"/>
        <v>0</v>
      </c>
      <c r="DE87" s="4438">
        <f t="shared" si="484"/>
        <v>0</v>
      </c>
      <c r="DF87" s="4438">
        <f t="shared" si="485"/>
        <v>0</v>
      </c>
      <c r="DG87" s="4438">
        <f t="shared" si="486"/>
        <v>0</v>
      </c>
      <c r="DH87" s="4438">
        <f t="shared" si="487"/>
        <v>0</v>
      </c>
      <c r="DI87" s="4438">
        <f t="shared" si="488"/>
        <v>0</v>
      </c>
      <c r="DJ87" s="4438">
        <f t="shared" si="489"/>
        <v>0</v>
      </c>
    </row>
    <row r="88" spans="1:114" ht="13.5" thickBot="1">
      <c r="A88" s="5218" t="s">
        <v>277</v>
      </c>
      <c r="B88" s="5219"/>
      <c r="C88" s="1084">
        <f t="shared" ref="C88:BB88" si="538">C11+C29+C55+C59+C63+C70+C76</f>
        <v>25733.361613812984</v>
      </c>
      <c r="D88" s="880">
        <f t="shared" si="538"/>
        <v>32763.131343861791</v>
      </c>
      <c r="E88" s="1121">
        <f t="shared" si="538"/>
        <v>34951.82001848756</v>
      </c>
      <c r="F88" s="1121">
        <f t="shared" si="538"/>
        <v>37453.784029888542</v>
      </c>
      <c r="G88" s="1124">
        <f t="shared" si="538"/>
        <v>41202.112084410401</v>
      </c>
      <c r="H88" s="1124">
        <f t="shared" si="538"/>
        <v>43992.587256167397</v>
      </c>
      <c r="I88" s="1220">
        <f t="shared" si="416"/>
        <v>7029.7697300488071</v>
      </c>
      <c r="J88" s="801">
        <f t="shared" si="417"/>
        <v>0.27317727996622926</v>
      </c>
      <c r="K88" s="1084">
        <f t="shared" si="538"/>
        <v>1264.4729663706046</v>
      </c>
      <c r="L88" s="1122">
        <f t="shared" si="538"/>
        <v>1873.6067235476689</v>
      </c>
      <c r="M88" s="1121">
        <f t="shared" si="538"/>
        <v>1996.8769978283422</v>
      </c>
      <c r="N88" s="1121">
        <f t="shared" si="538"/>
        <v>1899.0247682739155</v>
      </c>
      <c r="O88" s="1121">
        <f t="shared" si="538"/>
        <v>2158.614984462823</v>
      </c>
      <c r="P88" s="1122">
        <f t="shared" si="538"/>
        <v>2274.283059308269</v>
      </c>
      <c r="Q88" s="1220">
        <f t="shared" si="402"/>
        <v>609.13375717706435</v>
      </c>
      <c r="R88" s="853">
        <f t="shared" si="403"/>
        <v>0.48172936344020917</v>
      </c>
      <c r="S88" s="1084">
        <f t="shared" si="538"/>
        <v>2113.830382919552</v>
      </c>
      <c r="T88" s="880">
        <f t="shared" si="538"/>
        <v>3095.1878800422473</v>
      </c>
      <c r="U88" s="1121">
        <f t="shared" si="538"/>
        <v>3344.7652229756914</v>
      </c>
      <c r="V88" s="1121">
        <f t="shared" si="538"/>
        <v>3477.5115709382358</v>
      </c>
      <c r="W88" s="1121">
        <f t="shared" si="538"/>
        <v>3859.084169924155</v>
      </c>
      <c r="X88" s="1122">
        <f t="shared" si="538"/>
        <v>4065.3377448295141</v>
      </c>
      <c r="Y88" s="1220">
        <f t="shared" si="404"/>
        <v>981.35749712269535</v>
      </c>
      <c r="Z88" s="853">
        <f t="shared" si="405"/>
        <v>0.46425555477506059</v>
      </c>
      <c r="AA88" s="1084">
        <f t="shared" ref="AA88:AN88" si="539">AA11+AA29+AA55+AA59+AA63+AA70+AA76</f>
        <v>0</v>
      </c>
      <c r="AB88" s="880">
        <f t="shared" si="539"/>
        <v>0</v>
      </c>
      <c r="AC88" s="1121">
        <f t="shared" si="539"/>
        <v>0</v>
      </c>
      <c r="AD88" s="1121">
        <f t="shared" si="539"/>
        <v>0</v>
      </c>
      <c r="AE88" s="1121">
        <f t="shared" si="539"/>
        <v>0</v>
      </c>
      <c r="AF88" s="1122">
        <f t="shared" si="539"/>
        <v>0</v>
      </c>
      <c r="AG88" s="1220">
        <f t="shared" si="420"/>
        <v>0</v>
      </c>
      <c r="AH88" s="801">
        <f t="shared" si="421"/>
        <v>0</v>
      </c>
      <c r="AI88" s="1084">
        <f t="shared" si="539"/>
        <v>0</v>
      </c>
      <c r="AJ88" s="880">
        <f t="shared" si="539"/>
        <v>0</v>
      </c>
      <c r="AK88" s="1121">
        <f t="shared" si="539"/>
        <v>0</v>
      </c>
      <c r="AL88" s="1121">
        <f t="shared" si="539"/>
        <v>0</v>
      </c>
      <c r="AM88" s="1121">
        <f t="shared" si="539"/>
        <v>0</v>
      </c>
      <c r="AN88" s="3054">
        <f t="shared" si="539"/>
        <v>0</v>
      </c>
      <c r="AO88" s="1220">
        <f t="shared" si="434"/>
        <v>0</v>
      </c>
      <c r="AP88" s="801">
        <f t="shared" si="435"/>
        <v>0</v>
      </c>
      <c r="AQ88" s="1084">
        <f t="shared" si="538"/>
        <v>138</v>
      </c>
      <c r="AR88" s="880">
        <f t="shared" si="538"/>
        <v>176</v>
      </c>
      <c r="AS88" s="1121">
        <f t="shared" si="538"/>
        <v>201</v>
      </c>
      <c r="AT88" s="1121">
        <f t="shared" si="538"/>
        <v>229</v>
      </c>
      <c r="AU88" s="1124">
        <f t="shared" si="538"/>
        <v>262</v>
      </c>
      <c r="AV88" s="2633">
        <f t="shared" si="538"/>
        <v>298</v>
      </c>
      <c r="AW88" s="1084">
        <f t="shared" si="538"/>
        <v>29111.664963103136</v>
      </c>
      <c r="AX88" s="880">
        <f t="shared" si="538"/>
        <v>37731.925947451709</v>
      </c>
      <c r="AY88" s="1121">
        <f t="shared" si="538"/>
        <v>40293.462239291592</v>
      </c>
      <c r="AZ88" s="1121">
        <f t="shared" si="538"/>
        <v>42830.3203691007</v>
      </c>
      <c r="BA88" s="1121">
        <f t="shared" si="538"/>
        <v>47219.811238797374</v>
      </c>
      <c r="BB88" s="3054">
        <f t="shared" si="538"/>
        <v>50332.208060305165</v>
      </c>
      <c r="BC88" s="1084">
        <f t="shared" ref="BC88:BH88" si="540">BC11+BC29+BC55+BC59+BC63+BC70+BC76</f>
        <v>25733.361613812984</v>
      </c>
      <c r="BD88" s="880">
        <f t="shared" si="540"/>
        <v>32763.131343861791</v>
      </c>
      <c r="BE88" s="1121">
        <f t="shared" si="540"/>
        <v>34951.82001848756</v>
      </c>
      <c r="BF88" s="1121">
        <f t="shared" si="540"/>
        <v>37453.784029888542</v>
      </c>
      <c r="BG88" s="1121">
        <f t="shared" si="540"/>
        <v>41202.112084410401</v>
      </c>
      <c r="BH88" s="3054">
        <f t="shared" si="540"/>
        <v>43992.587256167397</v>
      </c>
      <c r="BI88" s="4422"/>
      <c r="BJ88" s="4438">
        <f t="shared" si="437"/>
        <v>13157.258869028998</v>
      </c>
      <c r="BK88" s="4438">
        <f t="shared" si="438"/>
        <v>16751.523058681883</v>
      </c>
      <c r="BL88" s="4438">
        <f t="shared" si="439"/>
        <v>17870.581808484152</v>
      </c>
      <c r="BM88" s="4438">
        <f t="shared" si="440"/>
        <v>19149.815694558598</v>
      </c>
      <c r="BN88" s="4438">
        <f t="shared" si="441"/>
        <v>21066.305396895641</v>
      </c>
      <c r="BO88" s="4438">
        <f t="shared" si="442"/>
        <v>22493.052696894618</v>
      </c>
      <c r="BP88" s="4438">
        <f t="shared" si="443"/>
        <v>3594.2641896528876</v>
      </c>
      <c r="BQ88" s="4438">
        <f t="shared" si="444"/>
        <v>646.51476169738919</v>
      </c>
      <c r="BR88" s="4438">
        <f t="shared" si="445"/>
        <v>957.95990630457095</v>
      </c>
      <c r="BS88" s="4438">
        <f t="shared" si="446"/>
        <v>1020.9869967371102</v>
      </c>
      <c r="BT88" s="4438">
        <f t="shared" si="447"/>
        <v>970.95594620898316</v>
      </c>
      <c r="BU88" s="4438">
        <f t="shared" si="448"/>
        <v>1103.6823161843427</v>
      </c>
      <c r="BV88" s="4438">
        <f t="shared" si="449"/>
        <v>1162.8224637664159</v>
      </c>
      <c r="BW88" s="4438">
        <f t="shared" si="450"/>
        <v>311.44514460718182</v>
      </c>
      <c r="BX88" s="4438">
        <f t="shared" si="451"/>
        <v>1080.7843130126607</v>
      </c>
      <c r="BY88" s="4438">
        <f t="shared" si="452"/>
        <v>1582.5444338425361</v>
      </c>
      <c r="BZ88" s="4438">
        <f t="shared" si="453"/>
        <v>1710.1513030149304</v>
      </c>
      <c r="CA88" s="4438">
        <f t="shared" si="454"/>
        <v>1778.0234329866275</v>
      </c>
      <c r="CB88" s="4438">
        <f t="shared" si="455"/>
        <v>1973.1184049350686</v>
      </c>
      <c r="CC88" s="4438">
        <f t="shared" si="456"/>
        <v>2078.5741832518747</v>
      </c>
      <c r="CD88" s="4438">
        <f t="shared" si="457"/>
        <v>501.76012082987546</v>
      </c>
      <c r="CE88" s="4438">
        <f t="shared" si="458"/>
        <v>0</v>
      </c>
      <c r="CF88" s="4438">
        <f t="shared" si="459"/>
        <v>0</v>
      </c>
      <c r="CG88" s="4438">
        <f t="shared" si="460"/>
        <v>0</v>
      </c>
      <c r="CH88" s="4438">
        <f t="shared" si="461"/>
        <v>0</v>
      </c>
      <c r="CI88" s="4438">
        <f t="shared" si="462"/>
        <v>0</v>
      </c>
      <c r="CJ88" s="4438">
        <f t="shared" si="463"/>
        <v>0</v>
      </c>
      <c r="CK88" s="4438">
        <f t="shared" si="464"/>
        <v>0</v>
      </c>
      <c r="CL88" s="4438">
        <f t="shared" si="465"/>
        <v>0</v>
      </c>
      <c r="CM88" s="4438">
        <f t="shared" si="466"/>
        <v>0</v>
      </c>
      <c r="CN88" s="4438">
        <f t="shared" si="467"/>
        <v>0</v>
      </c>
      <c r="CO88" s="4438">
        <f t="shared" si="468"/>
        <v>0</v>
      </c>
      <c r="CP88" s="4438">
        <f t="shared" si="469"/>
        <v>0</v>
      </c>
      <c r="CQ88" s="4438">
        <f t="shared" si="470"/>
        <v>0</v>
      </c>
      <c r="CR88" s="4438">
        <f t="shared" si="471"/>
        <v>0</v>
      </c>
      <c r="CS88" s="4438">
        <f t="shared" si="472"/>
        <v>70.558279605078155</v>
      </c>
      <c r="CT88" s="4438">
        <f t="shared" si="473"/>
        <v>89.987371090534452</v>
      </c>
      <c r="CU88" s="4438">
        <f t="shared" si="474"/>
        <v>102.76966812043992</v>
      </c>
      <c r="CV88" s="4438">
        <f t="shared" si="475"/>
        <v>117.08584079393404</v>
      </c>
      <c r="CW88" s="4438">
        <f t="shared" si="476"/>
        <v>133.95847287340925</v>
      </c>
      <c r="CX88" s="4438">
        <f t="shared" si="477"/>
        <v>152.36498059647312</v>
      </c>
      <c r="CY88" s="4438">
        <f t="shared" si="478"/>
        <v>14884.557943739044</v>
      </c>
      <c r="CZ88" s="4438">
        <f t="shared" si="479"/>
        <v>19292.027398828992</v>
      </c>
      <c r="DA88" s="4438">
        <f t="shared" si="480"/>
        <v>20601.720108236193</v>
      </c>
      <c r="DB88" s="4438">
        <f t="shared" si="481"/>
        <v>21898.795073754212</v>
      </c>
      <c r="DC88" s="4438">
        <f t="shared" si="482"/>
        <v>24143.10611801505</v>
      </c>
      <c r="DD88" s="4438">
        <f t="shared" si="483"/>
        <v>25734.4493439129</v>
      </c>
      <c r="DE88" s="4438">
        <f t="shared" si="484"/>
        <v>13157.258869028998</v>
      </c>
      <c r="DF88" s="4438">
        <f t="shared" si="485"/>
        <v>16751.523058681883</v>
      </c>
      <c r="DG88" s="4438">
        <f t="shared" si="486"/>
        <v>17870.581808484152</v>
      </c>
      <c r="DH88" s="4438">
        <f t="shared" si="487"/>
        <v>19149.815694558598</v>
      </c>
      <c r="DI88" s="4438">
        <f t="shared" si="488"/>
        <v>21066.305396895641</v>
      </c>
      <c r="DJ88" s="4438">
        <f t="shared" si="489"/>
        <v>22493.052696894618</v>
      </c>
    </row>
    <row r="89" spans="1:114" s="766" customFormat="1" thickBot="1">
      <c r="A89" s="248"/>
      <c r="B89" s="249" t="s">
        <v>1232</v>
      </c>
      <c r="C89" s="1093">
        <f>C12+C17+C19+C31+(C49+C50)+(C72+C73+C74)</f>
        <v>8392.3463271463152</v>
      </c>
      <c r="D89" s="3045">
        <f t="shared" ref="D89:AV89" si="541">D12+D17+D19+D31+(D49+D50)+(D72+D73+D74)</f>
        <v>9635.6907827920004</v>
      </c>
      <c r="E89" s="1128">
        <f t="shared" si="541"/>
        <v>9601.072961367001</v>
      </c>
      <c r="F89" s="1128">
        <f t="shared" si="541"/>
        <v>9566.9517335320015</v>
      </c>
      <c r="G89" s="1128">
        <f t="shared" si="541"/>
        <v>9803.5308195460002</v>
      </c>
      <c r="H89" s="3046">
        <f t="shared" si="541"/>
        <v>9768.9844285413983</v>
      </c>
      <c r="I89" s="1226">
        <f t="shared" si="416"/>
        <v>1243.3444556456852</v>
      </c>
      <c r="J89" s="805">
        <f t="shared" si="417"/>
        <v>0.14815218619182804</v>
      </c>
      <c r="K89" s="1093">
        <f t="shared" si="541"/>
        <v>120.13673970393796</v>
      </c>
      <c r="L89" s="3045">
        <f t="shared" si="541"/>
        <v>138.64246759785763</v>
      </c>
      <c r="M89" s="1128">
        <f t="shared" si="541"/>
        <v>139.18602010378535</v>
      </c>
      <c r="N89" s="1128">
        <f t="shared" si="541"/>
        <v>139.7458791848909</v>
      </c>
      <c r="O89" s="1128">
        <f t="shared" si="541"/>
        <v>185.34692353282963</v>
      </c>
      <c r="P89" s="3046">
        <f t="shared" si="541"/>
        <v>185.94087803197451</v>
      </c>
      <c r="Q89" s="1226">
        <f t="shared" si="402"/>
        <v>18.505727893919669</v>
      </c>
      <c r="R89" s="858">
        <f t="shared" si="403"/>
        <v>0.15403887220116619</v>
      </c>
      <c r="S89" s="1093">
        <f t="shared" si="541"/>
        <v>802.88555625288518</v>
      </c>
      <c r="T89" s="3045">
        <f t="shared" si="541"/>
        <v>1030.8874642808</v>
      </c>
      <c r="U89" s="1128">
        <f t="shared" si="541"/>
        <v>1044.4048642808</v>
      </c>
      <c r="V89" s="1128">
        <f t="shared" si="541"/>
        <v>1058.5377862808</v>
      </c>
      <c r="W89" s="1128">
        <f t="shared" si="541"/>
        <v>1112.9270579800002</v>
      </c>
      <c r="X89" s="3046">
        <f t="shared" si="541"/>
        <v>1072.3017836798001</v>
      </c>
      <c r="Y89" s="1226">
        <f t="shared" si="404"/>
        <v>228.00190802791485</v>
      </c>
      <c r="Z89" s="858">
        <f t="shared" si="405"/>
        <v>0.28397809158756493</v>
      </c>
      <c r="AA89" s="1093">
        <f t="shared" si="541"/>
        <v>0</v>
      </c>
      <c r="AB89" s="3045">
        <f t="shared" si="541"/>
        <v>0</v>
      </c>
      <c r="AC89" s="1128">
        <f t="shared" si="541"/>
        <v>0</v>
      </c>
      <c r="AD89" s="1128">
        <f t="shared" si="541"/>
        <v>0</v>
      </c>
      <c r="AE89" s="1128">
        <f t="shared" si="541"/>
        <v>0</v>
      </c>
      <c r="AF89" s="3046">
        <f t="shared" si="541"/>
        <v>0</v>
      </c>
      <c r="AG89" s="1226">
        <f t="shared" si="420"/>
        <v>0</v>
      </c>
      <c r="AH89" s="805">
        <f t="shared" si="421"/>
        <v>0</v>
      </c>
      <c r="AI89" s="1093">
        <f t="shared" si="541"/>
        <v>0</v>
      </c>
      <c r="AJ89" s="3045">
        <f t="shared" si="541"/>
        <v>0</v>
      </c>
      <c r="AK89" s="1128">
        <f t="shared" si="541"/>
        <v>0</v>
      </c>
      <c r="AL89" s="1128">
        <f t="shared" si="541"/>
        <v>0</v>
      </c>
      <c r="AM89" s="1128">
        <f t="shared" si="541"/>
        <v>0</v>
      </c>
      <c r="AN89" s="3056">
        <f t="shared" si="541"/>
        <v>0</v>
      </c>
      <c r="AO89" s="1226">
        <f t="shared" si="434"/>
        <v>0</v>
      </c>
      <c r="AP89" s="805">
        <f t="shared" si="435"/>
        <v>0</v>
      </c>
      <c r="AQ89" s="1093">
        <f t="shared" si="541"/>
        <v>0</v>
      </c>
      <c r="AR89" s="3045">
        <f t="shared" si="541"/>
        <v>0</v>
      </c>
      <c r="AS89" s="1128">
        <f t="shared" si="541"/>
        <v>0</v>
      </c>
      <c r="AT89" s="1128">
        <f t="shared" si="541"/>
        <v>0</v>
      </c>
      <c r="AU89" s="1128">
        <f t="shared" si="541"/>
        <v>0</v>
      </c>
      <c r="AV89" s="3056">
        <f t="shared" si="541"/>
        <v>0</v>
      </c>
      <c r="AW89" s="1093">
        <f t="shared" ref="AW89:BB89" si="542">AW12+AW17+AW19+AW31+(AW49+AW50)+(AW72+AW73+AW74)</f>
        <v>9315.3686231031388</v>
      </c>
      <c r="AX89" s="3045">
        <f t="shared" si="542"/>
        <v>10805.220714670657</v>
      </c>
      <c r="AY89" s="1128">
        <f t="shared" si="542"/>
        <v>10784.663845751587</v>
      </c>
      <c r="AZ89" s="1128">
        <f t="shared" si="542"/>
        <v>10765.235398997693</v>
      </c>
      <c r="BA89" s="1128">
        <f t="shared" si="542"/>
        <v>11101.80480105883</v>
      </c>
      <c r="BB89" s="3056">
        <f t="shared" si="542"/>
        <v>11027.227090253175</v>
      </c>
      <c r="BC89" s="1093">
        <f t="shared" ref="BC89:BH89" si="543">BC12+BC17+BC19+BC31+(BC49+BC50)+(BC72+BC73+BC74)</f>
        <v>8392.3463271463152</v>
      </c>
      <c r="BD89" s="3045">
        <f t="shared" si="543"/>
        <v>9635.6907827920004</v>
      </c>
      <c r="BE89" s="1128">
        <f t="shared" si="543"/>
        <v>9601.072961367001</v>
      </c>
      <c r="BF89" s="1128">
        <f t="shared" si="543"/>
        <v>9566.9517335320015</v>
      </c>
      <c r="BG89" s="1128">
        <f t="shared" si="543"/>
        <v>9803.5308195460002</v>
      </c>
      <c r="BH89" s="3056">
        <f t="shared" si="543"/>
        <v>9768.9844285413983</v>
      </c>
      <c r="BI89" s="4422"/>
      <c r="BJ89" s="4438">
        <f t="shared" si="437"/>
        <v>4290.9385412568145</v>
      </c>
      <c r="BK89" s="4438">
        <f t="shared" si="438"/>
        <v>4926.6504669587848</v>
      </c>
      <c r="BL89" s="4438">
        <f t="shared" si="439"/>
        <v>4908.9506559194824</v>
      </c>
      <c r="BM89" s="4438">
        <f t="shared" si="440"/>
        <v>4891.5047491510004</v>
      </c>
      <c r="BN89" s="4438">
        <f t="shared" si="441"/>
        <v>5012.4657150907797</v>
      </c>
      <c r="BO89" s="4438">
        <f t="shared" si="442"/>
        <v>4994.8024258454971</v>
      </c>
      <c r="BP89" s="4438">
        <f t="shared" si="443"/>
        <v>635.7119257019707</v>
      </c>
      <c r="BQ89" s="4438">
        <f t="shared" si="444"/>
        <v>61.424939644006876</v>
      </c>
      <c r="BR89" s="4438">
        <f t="shared" si="445"/>
        <v>70.886768071794393</v>
      </c>
      <c r="BS89" s="4438">
        <f t="shared" si="446"/>
        <v>71.164682055079098</v>
      </c>
      <c r="BT89" s="4438">
        <f t="shared" si="447"/>
        <v>71.450933457862334</v>
      </c>
      <c r="BU89" s="4438">
        <f t="shared" si="448"/>
        <v>94.766377207032122</v>
      </c>
      <c r="BV89" s="4438">
        <f t="shared" si="449"/>
        <v>95.070061320244861</v>
      </c>
      <c r="BW89" s="4438">
        <f t="shared" si="450"/>
        <v>9.4618284277875215</v>
      </c>
      <c r="BX89" s="4438">
        <f t="shared" si="451"/>
        <v>410.50886644180997</v>
      </c>
      <c r="BY89" s="4438">
        <f t="shared" si="452"/>
        <v>527.08439091372975</v>
      </c>
      <c r="BZ89" s="4438">
        <f t="shared" si="453"/>
        <v>533.99572778861148</v>
      </c>
      <c r="CA89" s="4438">
        <f t="shared" si="454"/>
        <v>541.2217760647909</v>
      </c>
      <c r="CB89" s="4438">
        <f t="shared" si="455"/>
        <v>569.03056910876728</v>
      </c>
      <c r="CC89" s="4438">
        <f t="shared" si="456"/>
        <v>548.25919618770558</v>
      </c>
      <c r="CD89" s="4438">
        <f t="shared" si="457"/>
        <v>116.57552447191978</v>
      </c>
      <c r="CE89" s="4438">
        <f t="shared" si="458"/>
        <v>0</v>
      </c>
      <c r="CF89" s="4438">
        <f t="shared" si="459"/>
        <v>0</v>
      </c>
      <c r="CG89" s="4438">
        <f t="shared" si="460"/>
        <v>0</v>
      </c>
      <c r="CH89" s="4438">
        <f t="shared" si="461"/>
        <v>0</v>
      </c>
      <c r="CI89" s="4438">
        <f t="shared" si="462"/>
        <v>0</v>
      </c>
      <c r="CJ89" s="4438">
        <f t="shared" si="463"/>
        <v>0</v>
      </c>
      <c r="CK89" s="4438">
        <f t="shared" si="464"/>
        <v>0</v>
      </c>
      <c r="CL89" s="4438">
        <f t="shared" si="465"/>
        <v>0</v>
      </c>
      <c r="CM89" s="4438">
        <f t="shared" si="466"/>
        <v>0</v>
      </c>
      <c r="CN89" s="4438">
        <f t="shared" si="467"/>
        <v>0</v>
      </c>
      <c r="CO89" s="4438">
        <f t="shared" si="468"/>
        <v>0</v>
      </c>
      <c r="CP89" s="4438">
        <f t="shared" si="469"/>
        <v>0</v>
      </c>
      <c r="CQ89" s="4438">
        <f t="shared" si="470"/>
        <v>0</v>
      </c>
      <c r="CR89" s="4438">
        <f t="shared" si="471"/>
        <v>0</v>
      </c>
      <c r="CS89" s="4438">
        <f t="shared" si="472"/>
        <v>0</v>
      </c>
      <c r="CT89" s="4438">
        <f t="shared" si="473"/>
        <v>0</v>
      </c>
      <c r="CU89" s="4438">
        <f t="shared" si="474"/>
        <v>0</v>
      </c>
      <c r="CV89" s="4438">
        <f t="shared" si="475"/>
        <v>0</v>
      </c>
      <c r="CW89" s="4438">
        <f t="shared" si="476"/>
        <v>0</v>
      </c>
      <c r="CX89" s="4438">
        <f t="shared" si="477"/>
        <v>0</v>
      </c>
      <c r="CY89" s="4438">
        <f t="shared" si="478"/>
        <v>4762.8723473426317</v>
      </c>
      <c r="CZ89" s="4438">
        <f t="shared" si="479"/>
        <v>5524.621625944309</v>
      </c>
      <c r="DA89" s="4438">
        <f t="shared" si="480"/>
        <v>5514.1110657631734</v>
      </c>
      <c r="DB89" s="4438">
        <f t="shared" si="481"/>
        <v>5504.1774586736537</v>
      </c>
      <c r="DC89" s="4438">
        <f t="shared" si="482"/>
        <v>5676.2626614065794</v>
      </c>
      <c r="DD89" s="4438">
        <f t="shared" si="483"/>
        <v>5638.1316833534484</v>
      </c>
      <c r="DE89" s="4438">
        <f t="shared" si="484"/>
        <v>4290.9385412568145</v>
      </c>
      <c r="DF89" s="4438">
        <f t="shared" si="485"/>
        <v>4926.6504669587848</v>
      </c>
      <c r="DG89" s="4438">
        <f t="shared" si="486"/>
        <v>4908.9506559194824</v>
      </c>
      <c r="DH89" s="4438">
        <f t="shared" si="487"/>
        <v>4891.5047491510004</v>
      </c>
      <c r="DI89" s="4438">
        <f t="shared" si="488"/>
        <v>5012.4657150907797</v>
      </c>
      <c r="DJ89" s="4438">
        <f t="shared" si="489"/>
        <v>4994.8024258454971</v>
      </c>
    </row>
    <row r="90" spans="1:114" s="638" customFormat="1" thickBot="1">
      <c r="A90" s="248"/>
      <c r="B90" s="249" t="s">
        <v>637</v>
      </c>
      <c r="C90" s="3047">
        <f>C21+C24+C48+C61+C65+C68</f>
        <v>2785.9219500000004</v>
      </c>
      <c r="D90" s="3048">
        <f t="shared" ref="D90:AV90" si="544">D21+D24+D48+D61+D65+D68</f>
        <v>3621.698535</v>
      </c>
      <c r="E90" s="1130">
        <f t="shared" si="544"/>
        <v>3802.7834617499993</v>
      </c>
      <c r="F90" s="1130">
        <f t="shared" si="544"/>
        <v>3916.8669656024999</v>
      </c>
      <c r="G90" s="1130">
        <f t="shared" si="544"/>
        <v>3721.0236173223748</v>
      </c>
      <c r="H90" s="3049">
        <f t="shared" si="544"/>
        <v>3572.1826726294803</v>
      </c>
      <c r="I90" s="1227">
        <f t="shared" si="416"/>
        <v>835.77658499999961</v>
      </c>
      <c r="J90" s="805">
        <f t="shared" si="417"/>
        <v>0.29999999999999982</v>
      </c>
      <c r="K90" s="3047">
        <f t="shared" si="544"/>
        <v>425.70320999999996</v>
      </c>
      <c r="L90" s="3048">
        <f t="shared" si="544"/>
        <v>553.41417300000001</v>
      </c>
      <c r="M90" s="1130">
        <f t="shared" si="544"/>
        <v>581.08488165000028</v>
      </c>
      <c r="N90" s="1130">
        <f t="shared" si="544"/>
        <v>598.51742809950008</v>
      </c>
      <c r="O90" s="1130">
        <f t="shared" si="544"/>
        <v>586.54707953751017</v>
      </c>
      <c r="P90" s="3049">
        <f t="shared" si="544"/>
        <v>563.08519635600976</v>
      </c>
      <c r="Q90" s="1227">
        <f t="shared" si="402"/>
        <v>127.71096300000005</v>
      </c>
      <c r="R90" s="858">
        <f t="shared" si="403"/>
        <v>0.30000000000000016</v>
      </c>
      <c r="S90" s="3047">
        <f t="shared" si="544"/>
        <v>71.521940000000001</v>
      </c>
      <c r="T90" s="3048">
        <f t="shared" si="544"/>
        <v>92.978522000000012</v>
      </c>
      <c r="U90" s="1130">
        <f t="shared" si="544"/>
        <v>97.627448100000024</v>
      </c>
      <c r="V90" s="1130">
        <f t="shared" si="544"/>
        <v>100.55627154300001</v>
      </c>
      <c r="W90" s="1130">
        <f t="shared" si="544"/>
        <v>98.545146112140046</v>
      </c>
      <c r="X90" s="3049">
        <f t="shared" si="544"/>
        <v>94.603340267654403</v>
      </c>
      <c r="Y90" s="1227">
        <f t="shared" si="404"/>
        <v>21.456582000000012</v>
      </c>
      <c r="Z90" s="858">
        <f t="shared" si="405"/>
        <v>0.30000000000000016</v>
      </c>
      <c r="AA90" s="3047">
        <f t="shared" si="544"/>
        <v>0</v>
      </c>
      <c r="AB90" s="3048">
        <f t="shared" si="544"/>
        <v>0</v>
      </c>
      <c r="AC90" s="1130">
        <f t="shared" si="544"/>
        <v>0</v>
      </c>
      <c r="AD90" s="1130">
        <f t="shared" si="544"/>
        <v>0</v>
      </c>
      <c r="AE90" s="1130">
        <f t="shared" si="544"/>
        <v>0</v>
      </c>
      <c r="AF90" s="3049">
        <f t="shared" si="544"/>
        <v>0</v>
      </c>
      <c r="AG90" s="1227">
        <f t="shared" si="420"/>
        <v>0</v>
      </c>
      <c r="AH90" s="805">
        <f t="shared" si="421"/>
        <v>0</v>
      </c>
      <c r="AI90" s="3047">
        <f t="shared" si="544"/>
        <v>0</v>
      </c>
      <c r="AJ90" s="3048">
        <f t="shared" si="544"/>
        <v>0</v>
      </c>
      <c r="AK90" s="1130">
        <f t="shared" si="544"/>
        <v>0</v>
      </c>
      <c r="AL90" s="1130">
        <f t="shared" si="544"/>
        <v>0</v>
      </c>
      <c r="AM90" s="1130">
        <f t="shared" si="544"/>
        <v>0</v>
      </c>
      <c r="AN90" s="3057">
        <f t="shared" si="544"/>
        <v>0</v>
      </c>
      <c r="AO90" s="1227">
        <f t="shared" si="434"/>
        <v>0</v>
      </c>
      <c r="AP90" s="805">
        <f t="shared" si="435"/>
        <v>0</v>
      </c>
      <c r="AQ90" s="3047">
        <f t="shared" si="544"/>
        <v>0</v>
      </c>
      <c r="AR90" s="3048">
        <f t="shared" si="544"/>
        <v>0</v>
      </c>
      <c r="AS90" s="1130">
        <f t="shared" si="544"/>
        <v>0</v>
      </c>
      <c r="AT90" s="1130">
        <f t="shared" si="544"/>
        <v>0</v>
      </c>
      <c r="AU90" s="1130">
        <f t="shared" si="544"/>
        <v>0</v>
      </c>
      <c r="AV90" s="3057">
        <f t="shared" si="544"/>
        <v>0</v>
      </c>
      <c r="AW90" s="3047">
        <f t="shared" ref="AW90:BB90" si="545">AW21+AW24+AW48+AW61+AW65+AW68</f>
        <v>3283.1471000000001</v>
      </c>
      <c r="AX90" s="3048">
        <f t="shared" si="545"/>
        <v>4268.0912299999991</v>
      </c>
      <c r="AY90" s="1130">
        <f t="shared" si="545"/>
        <v>4481.4957914999995</v>
      </c>
      <c r="AZ90" s="1130">
        <f t="shared" si="545"/>
        <v>4615.9406652449998</v>
      </c>
      <c r="BA90" s="1130">
        <f t="shared" si="545"/>
        <v>4406.1158429720244</v>
      </c>
      <c r="BB90" s="3057">
        <f t="shared" si="545"/>
        <v>4229.8712092531441</v>
      </c>
      <c r="BC90" s="3047">
        <f t="shared" ref="BC90:BH90" si="546">BC21+BC24+BC48+BC61+BC65+BC68</f>
        <v>2785.9219500000004</v>
      </c>
      <c r="BD90" s="3048">
        <f>BD21+BD24+BD48+BD61+BD65+BD68</f>
        <v>3621.698535</v>
      </c>
      <c r="BE90" s="1130">
        <f t="shared" si="546"/>
        <v>3802.7834617499993</v>
      </c>
      <c r="BF90" s="1130">
        <f t="shared" si="546"/>
        <v>3916.8669656024999</v>
      </c>
      <c r="BG90" s="1130">
        <f t="shared" si="546"/>
        <v>3721.0236173223748</v>
      </c>
      <c r="BH90" s="3057">
        <f t="shared" si="546"/>
        <v>3572.1826726294803</v>
      </c>
      <c r="BI90" s="4422"/>
      <c r="BJ90" s="4438">
        <f t="shared" si="437"/>
        <v>1424.4192746813376</v>
      </c>
      <c r="BK90" s="4438">
        <f t="shared" si="438"/>
        <v>1851.7450570857386</v>
      </c>
      <c r="BL90" s="4438">
        <f t="shared" si="439"/>
        <v>1944.3323099400252</v>
      </c>
      <c r="BM90" s="4438">
        <f t="shared" si="440"/>
        <v>2002.6622792382263</v>
      </c>
      <c r="BN90" s="4438">
        <f t="shared" si="441"/>
        <v>1902.5291652763149</v>
      </c>
      <c r="BO90" s="4438">
        <f t="shared" si="442"/>
        <v>1826.4279986652625</v>
      </c>
      <c r="BP90" s="4438">
        <f t="shared" si="443"/>
        <v>427.32578240440102</v>
      </c>
      <c r="BQ90" s="4438">
        <f t="shared" si="444"/>
        <v>217.65859507216882</v>
      </c>
      <c r="BR90" s="4438">
        <f t="shared" si="445"/>
        <v>282.95617359381953</v>
      </c>
      <c r="BS90" s="4438">
        <f t="shared" si="446"/>
        <v>297.10398227351061</v>
      </c>
      <c r="BT90" s="4438">
        <f t="shared" si="447"/>
        <v>306.01710174171586</v>
      </c>
      <c r="BU90" s="4438">
        <f t="shared" si="448"/>
        <v>299.8967597068816</v>
      </c>
      <c r="BV90" s="4438">
        <f t="shared" si="449"/>
        <v>287.90088931860629</v>
      </c>
      <c r="BW90" s="4438">
        <f t="shared" si="450"/>
        <v>65.297578521650678</v>
      </c>
      <c r="BX90" s="4438">
        <f t="shared" si="451"/>
        <v>36.568587249403066</v>
      </c>
      <c r="BY90" s="4438">
        <f t="shared" si="452"/>
        <v>47.539163424223993</v>
      </c>
      <c r="BZ90" s="4438">
        <f t="shared" si="453"/>
        <v>49.9161215954352</v>
      </c>
      <c r="CA90" s="4438">
        <f t="shared" si="454"/>
        <v>51.41360524329825</v>
      </c>
      <c r="CB90" s="4438">
        <f t="shared" si="455"/>
        <v>50.385333138432301</v>
      </c>
      <c r="CC90" s="4438">
        <f t="shared" si="456"/>
        <v>48.369919812894992</v>
      </c>
      <c r="CD90" s="4438">
        <f t="shared" si="457"/>
        <v>10.970576174820927</v>
      </c>
      <c r="CE90" s="4438">
        <f t="shared" si="458"/>
        <v>0</v>
      </c>
      <c r="CF90" s="4438">
        <f t="shared" si="459"/>
        <v>0</v>
      </c>
      <c r="CG90" s="4438">
        <f t="shared" si="460"/>
        <v>0</v>
      </c>
      <c r="CH90" s="4438">
        <f t="shared" si="461"/>
        <v>0</v>
      </c>
      <c r="CI90" s="4438">
        <f t="shared" si="462"/>
        <v>0</v>
      </c>
      <c r="CJ90" s="4438">
        <f t="shared" si="463"/>
        <v>0</v>
      </c>
      <c r="CK90" s="4438">
        <f t="shared" si="464"/>
        <v>0</v>
      </c>
      <c r="CL90" s="4438">
        <f t="shared" si="465"/>
        <v>0</v>
      </c>
      <c r="CM90" s="4438">
        <f t="shared" si="466"/>
        <v>0</v>
      </c>
      <c r="CN90" s="4438">
        <f t="shared" si="467"/>
        <v>0</v>
      </c>
      <c r="CO90" s="4438">
        <f t="shared" si="468"/>
        <v>0</v>
      </c>
      <c r="CP90" s="4438">
        <f t="shared" si="469"/>
        <v>0</v>
      </c>
      <c r="CQ90" s="4438">
        <f t="shared" si="470"/>
        <v>0</v>
      </c>
      <c r="CR90" s="4438">
        <f t="shared" si="471"/>
        <v>0</v>
      </c>
      <c r="CS90" s="4438">
        <f t="shared" si="472"/>
        <v>0</v>
      </c>
      <c r="CT90" s="4438">
        <f t="shared" si="473"/>
        <v>0</v>
      </c>
      <c r="CU90" s="4438">
        <f t="shared" si="474"/>
        <v>0</v>
      </c>
      <c r="CV90" s="4438">
        <f t="shared" si="475"/>
        <v>0</v>
      </c>
      <c r="CW90" s="4438">
        <f t="shared" si="476"/>
        <v>0</v>
      </c>
      <c r="CX90" s="4438">
        <f t="shared" si="477"/>
        <v>0</v>
      </c>
      <c r="CY90" s="4438">
        <f t="shared" si="478"/>
        <v>1678.6464570029093</v>
      </c>
      <c r="CZ90" s="4438">
        <f t="shared" si="479"/>
        <v>2182.2403941037815</v>
      </c>
      <c r="DA90" s="4438">
        <f t="shared" si="480"/>
        <v>2291.3524138089711</v>
      </c>
      <c r="DB90" s="4438">
        <f t="shared" si="481"/>
        <v>2360.0929862232401</v>
      </c>
      <c r="DC90" s="4438">
        <f t="shared" si="482"/>
        <v>2252.8112581216283</v>
      </c>
      <c r="DD90" s="4438">
        <f t="shared" si="483"/>
        <v>2162.6988077967635</v>
      </c>
      <c r="DE90" s="4438">
        <f t="shared" si="484"/>
        <v>1424.4192746813376</v>
      </c>
      <c r="DF90" s="4438">
        <f t="shared" si="485"/>
        <v>1851.7450570857386</v>
      </c>
      <c r="DG90" s="4438">
        <f t="shared" si="486"/>
        <v>1944.3323099400252</v>
      </c>
      <c r="DH90" s="4438">
        <f t="shared" si="487"/>
        <v>2002.6622792382263</v>
      </c>
      <c r="DI90" s="4438">
        <f t="shared" si="488"/>
        <v>1902.5291652763149</v>
      </c>
      <c r="DJ90" s="4438">
        <f t="shared" si="489"/>
        <v>1826.4279986652625</v>
      </c>
    </row>
    <row r="91" spans="1:114" s="638" customFormat="1" thickBot="1">
      <c r="A91" s="248"/>
      <c r="B91" s="249" t="s">
        <v>1230</v>
      </c>
      <c r="C91" s="1093">
        <f>C88-C55</f>
        <v>23457.694947146316</v>
      </c>
      <c r="D91" s="3045">
        <f t="shared" ref="D91:AV91" si="547">D88-D55</f>
        <v>31181.243988791997</v>
      </c>
      <c r="E91" s="1128">
        <f t="shared" si="547"/>
        <v>33247.715827667009</v>
      </c>
      <c r="F91" s="1128">
        <f t="shared" si="547"/>
        <v>35561.944285821002</v>
      </c>
      <c r="G91" s="1128">
        <f t="shared" si="547"/>
        <v>38782.61431642923</v>
      </c>
      <c r="H91" s="3046">
        <f t="shared" si="547"/>
        <v>41479.309687790097</v>
      </c>
      <c r="I91" s="1226">
        <f t="shared" si="416"/>
        <v>7723.5490416456814</v>
      </c>
      <c r="J91" s="805">
        <f t="shared" si="417"/>
        <v>0.32925439004335205</v>
      </c>
      <c r="K91" s="1093">
        <f t="shared" si="547"/>
        <v>1087.8062997039378</v>
      </c>
      <c r="L91" s="3045">
        <f t="shared" si="547"/>
        <v>1352.5602640189102</v>
      </c>
      <c r="M91" s="1128">
        <f t="shared" si="547"/>
        <v>1450.6409695037853</v>
      </c>
      <c r="N91" s="1128">
        <f t="shared" si="547"/>
        <v>1545.6504770668912</v>
      </c>
      <c r="O91" s="1128">
        <f t="shared" si="547"/>
        <v>1667.5200384571901</v>
      </c>
      <c r="P91" s="3046">
        <f t="shared" si="547"/>
        <v>1743.6272170973612</v>
      </c>
      <c r="Q91" s="1226">
        <f t="shared" si="402"/>
        <v>264.75396431497234</v>
      </c>
      <c r="R91" s="858">
        <f t="shared" si="403"/>
        <v>0.24338337109008187</v>
      </c>
      <c r="S91" s="1093">
        <f t="shared" si="547"/>
        <v>1965.1637162528853</v>
      </c>
      <c r="T91" s="3045">
        <f t="shared" si="547"/>
        <v>2628.0290722807999</v>
      </c>
      <c r="U91" s="1128">
        <f t="shared" si="547"/>
        <v>2797.0299526808003</v>
      </c>
      <c r="V91" s="1128">
        <f t="shared" si="547"/>
        <v>2982.4996273328002</v>
      </c>
      <c r="W91" s="1128">
        <f t="shared" si="547"/>
        <v>3294.4556603109604</v>
      </c>
      <c r="X91" s="3046">
        <f t="shared" si="547"/>
        <v>3465.4099318177218</v>
      </c>
      <c r="Y91" s="1226">
        <f t="shared" si="404"/>
        <v>662.86535602791469</v>
      </c>
      <c r="Z91" s="858">
        <f t="shared" si="405"/>
        <v>0.33730795584392648</v>
      </c>
      <c r="AA91" s="1093">
        <f t="shared" si="547"/>
        <v>0</v>
      </c>
      <c r="AB91" s="3045">
        <f t="shared" si="547"/>
        <v>0</v>
      </c>
      <c r="AC91" s="1128">
        <f t="shared" si="547"/>
        <v>0</v>
      </c>
      <c r="AD91" s="1128">
        <f t="shared" si="547"/>
        <v>0</v>
      </c>
      <c r="AE91" s="1128">
        <f t="shared" si="547"/>
        <v>0</v>
      </c>
      <c r="AF91" s="3046">
        <f t="shared" si="547"/>
        <v>0</v>
      </c>
      <c r="AG91" s="1226">
        <f t="shared" si="420"/>
        <v>0</v>
      </c>
      <c r="AH91" s="805">
        <f t="shared" si="421"/>
        <v>0</v>
      </c>
      <c r="AI91" s="1093">
        <f t="shared" si="547"/>
        <v>0</v>
      </c>
      <c r="AJ91" s="3045">
        <f t="shared" si="547"/>
        <v>0</v>
      </c>
      <c r="AK91" s="1128">
        <f t="shared" si="547"/>
        <v>0</v>
      </c>
      <c r="AL91" s="1128">
        <f t="shared" si="547"/>
        <v>0</v>
      </c>
      <c r="AM91" s="1128">
        <f t="shared" si="547"/>
        <v>0</v>
      </c>
      <c r="AN91" s="3056">
        <f t="shared" si="547"/>
        <v>0</v>
      </c>
      <c r="AO91" s="1226">
        <f t="shared" si="434"/>
        <v>0</v>
      </c>
      <c r="AP91" s="805">
        <f t="shared" si="435"/>
        <v>0</v>
      </c>
      <c r="AQ91" s="1093">
        <f t="shared" si="547"/>
        <v>138</v>
      </c>
      <c r="AR91" s="3045">
        <f t="shared" si="547"/>
        <v>176</v>
      </c>
      <c r="AS91" s="1128">
        <f t="shared" si="547"/>
        <v>201</v>
      </c>
      <c r="AT91" s="1128">
        <f t="shared" si="547"/>
        <v>229</v>
      </c>
      <c r="AU91" s="1128">
        <f t="shared" si="547"/>
        <v>262</v>
      </c>
      <c r="AV91" s="3056">
        <f t="shared" si="547"/>
        <v>298</v>
      </c>
      <c r="AW91" s="1093">
        <f t="shared" ref="AW91:BB91" si="548">AW88-AW55</f>
        <v>26510.664963103136</v>
      </c>
      <c r="AX91" s="3045">
        <f t="shared" si="548"/>
        <v>35161.833325091706</v>
      </c>
      <c r="AY91" s="1128">
        <f t="shared" si="548"/>
        <v>37495.38674985159</v>
      </c>
      <c r="AZ91" s="1128">
        <f t="shared" si="548"/>
        <v>40090.0943902207</v>
      </c>
      <c r="BA91" s="1128">
        <f t="shared" si="548"/>
        <v>43744.590015197376</v>
      </c>
      <c r="BB91" s="3056">
        <f t="shared" si="548"/>
        <v>46688.346836705168</v>
      </c>
      <c r="BC91" s="1093">
        <f t="shared" ref="BC91:BH91" si="549">BC88-BC55</f>
        <v>23457.694947146316</v>
      </c>
      <c r="BD91" s="3045">
        <f t="shared" si="549"/>
        <v>31181.243988791997</v>
      </c>
      <c r="BE91" s="1128">
        <f t="shared" si="549"/>
        <v>33247.715827667009</v>
      </c>
      <c r="BF91" s="1128">
        <f t="shared" si="549"/>
        <v>35561.944285821002</v>
      </c>
      <c r="BG91" s="1128">
        <f t="shared" si="549"/>
        <v>38782.61431642923</v>
      </c>
      <c r="BH91" s="3056">
        <f t="shared" si="549"/>
        <v>41479.309687790097</v>
      </c>
      <c r="BI91" s="4422"/>
      <c r="BJ91" s="4438">
        <f t="shared" si="437"/>
        <v>11993.728978053468</v>
      </c>
      <c r="BK91" s="4438">
        <f t="shared" si="438"/>
        <v>15942.716897067739</v>
      </c>
      <c r="BL91" s="4438">
        <f t="shared" si="439"/>
        <v>16999.287171005155</v>
      </c>
      <c r="BM91" s="4438">
        <f t="shared" si="440"/>
        <v>18182.533392892532</v>
      </c>
      <c r="BN91" s="4438">
        <f t="shared" si="441"/>
        <v>19829.235831554495</v>
      </c>
      <c r="BO91" s="4438">
        <f t="shared" si="442"/>
        <v>21208.034280990731</v>
      </c>
      <c r="BP91" s="4438">
        <f t="shared" si="443"/>
        <v>3948.987919014271</v>
      </c>
      <c r="BQ91" s="4438">
        <f t="shared" si="444"/>
        <v>556.18652935272382</v>
      </c>
      <c r="BR91" s="4438">
        <f t="shared" si="445"/>
        <v>691.55308182148258</v>
      </c>
      <c r="BS91" s="4438">
        <f t="shared" si="446"/>
        <v>741.70095023789656</v>
      </c>
      <c r="BT91" s="4438">
        <f t="shared" si="447"/>
        <v>790.27854009136342</v>
      </c>
      <c r="BU91" s="4438">
        <f t="shared" si="448"/>
        <v>852.58945739516741</v>
      </c>
      <c r="BV91" s="4438">
        <f t="shared" si="449"/>
        <v>891.5024399346371</v>
      </c>
      <c r="BW91" s="4438">
        <f t="shared" si="450"/>
        <v>135.3665524687587</v>
      </c>
      <c r="BX91" s="4438">
        <f t="shared" si="451"/>
        <v>1004.7722533414894</v>
      </c>
      <c r="BY91" s="4438">
        <f t="shared" si="452"/>
        <v>1343.689928204803</v>
      </c>
      <c r="BZ91" s="4438">
        <f t="shared" si="453"/>
        <v>1430.0987062683364</v>
      </c>
      <c r="CA91" s="4438">
        <f t="shared" si="454"/>
        <v>1524.9278451260079</v>
      </c>
      <c r="CB91" s="4438">
        <f t="shared" si="455"/>
        <v>1684.4284320779211</v>
      </c>
      <c r="CC91" s="4438">
        <f t="shared" si="456"/>
        <v>1771.8359631551423</v>
      </c>
      <c r="CD91" s="4438">
        <f t="shared" si="457"/>
        <v>338.91767486331361</v>
      </c>
      <c r="CE91" s="4438">
        <f t="shared" si="458"/>
        <v>0</v>
      </c>
      <c r="CF91" s="4438">
        <f t="shared" si="459"/>
        <v>0</v>
      </c>
      <c r="CG91" s="4438">
        <f t="shared" si="460"/>
        <v>0</v>
      </c>
      <c r="CH91" s="4438">
        <f t="shared" si="461"/>
        <v>0</v>
      </c>
      <c r="CI91" s="4438">
        <f t="shared" si="462"/>
        <v>0</v>
      </c>
      <c r="CJ91" s="4438">
        <f t="shared" si="463"/>
        <v>0</v>
      </c>
      <c r="CK91" s="4438">
        <f t="shared" si="464"/>
        <v>0</v>
      </c>
      <c r="CL91" s="4438">
        <f t="shared" si="465"/>
        <v>0</v>
      </c>
      <c r="CM91" s="4438">
        <f t="shared" si="466"/>
        <v>0</v>
      </c>
      <c r="CN91" s="4438">
        <f t="shared" si="467"/>
        <v>0</v>
      </c>
      <c r="CO91" s="4438">
        <f t="shared" si="468"/>
        <v>0</v>
      </c>
      <c r="CP91" s="4438">
        <f t="shared" si="469"/>
        <v>0</v>
      </c>
      <c r="CQ91" s="4438">
        <f t="shared" si="470"/>
        <v>0</v>
      </c>
      <c r="CR91" s="4438">
        <f t="shared" si="471"/>
        <v>0</v>
      </c>
      <c r="CS91" s="4438">
        <f t="shared" si="472"/>
        <v>70.558279605078155</v>
      </c>
      <c r="CT91" s="4438">
        <f t="shared" si="473"/>
        <v>89.987371090534452</v>
      </c>
      <c r="CU91" s="4438">
        <f t="shared" si="474"/>
        <v>102.76966812043992</v>
      </c>
      <c r="CV91" s="4438">
        <f t="shared" si="475"/>
        <v>117.08584079393404</v>
      </c>
      <c r="CW91" s="4438">
        <f t="shared" si="476"/>
        <v>133.95847287340925</v>
      </c>
      <c r="CX91" s="4438">
        <f t="shared" si="477"/>
        <v>152.36498059647312</v>
      </c>
      <c r="CY91" s="4438">
        <f t="shared" si="478"/>
        <v>13554.68776074768</v>
      </c>
      <c r="CZ91" s="4438">
        <f t="shared" si="479"/>
        <v>17977.959907094024</v>
      </c>
      <c r="DA91" s="4438">
        <f t="shared" si="480"/>
        <v>19171.086827511386</v>
      </c>
      <c r="DB91" s="4438">
        <f t="shared" si="481"/>
        <v>20497.739778109906</v>
      </c>
      <c r="DC91" s="4438">
        <f t="shared" si="482"/>
        <v>22366.253721027584</v>
      </c>
      <c r="DD91" s="4438">
        <f t="shared" si="483"/>
        <v>23871.372684080503</v>
      </c>
      <c r="DE91" s="4438">
        <f t="shared" si="484"/>
        <v>11993.728978053468</v>
      </c>
      <c r="DF91" s="4438">
        <f t="shared" si="485"/>
        <v>15942.716897067739</v>
      </c>
      <c r="DG91" s="4438">
        <f t="shared" si="486"/>
        <v>16999.287171005155</v>
      </c>
      <c r="DH91" s="4438">
        <f t="shared" si="487"/>
        <v>18182.533392892532</v>
      </c>
      <c r="DI91" s="4438">
        <f t="shared" si="488"/>
        <v>19829.235831554495</v>
      </c>
      <c r="DJ91" s="4438">
        <f t="shared" si="489"/>
        <v>21208.034280990731</v>
      </c>
    </row>
    <row r="92" spans="1:114" ht="12.75">
      <c r="A92" s="767"/>
      <c r="B92" s="768" t="s">
        <v>1516</v>
      </c>
      <c r="C92" s="3032">
        <v>19778</v>
      </c>
      <c r="D92" s="3032">
        <f>D91*C92/C91</f>
        <v>26289.993326277414</v>
      </c>
      <c r="E92" s="3032">
        <f t="shared" ref="E92:H92" si="550">E91*D92/D91</f>
        <v>28032.307740432672</v>
      </c>
      <c r="F92" s="3032">
        <f t="shared" si="550"/>
        <v>29983.514393451998</v>
      </c>
      <c r="G92" s="3032">
        <f t="shared" si="550"/>
        <v>32698.973521422224</v>
      </c>
      <c r="H92" s="3032">
        <f t="shared" si="550"/>
        <v>34972.651356134782</v>
      </c>
      <c r="I92" s="1224">
        <f t="shared" si="416"/>
        <v>6511.9933262774139</v>
      </c>
      <c r="J92" s="1219">
        <f t="shared" si="417"/>
        <v>0.32925439004335189</v>
      </c>
      <c r="K92" s="3032">
        <v>917</v>
      </c>
      <c r="L92" s="3033"/>
      <c r="M92" s="3033"/>
      <c r="N92" s="3033"/>
      <c r="O92" s="3033"/>
      <c r="P92" s="3034"/>
      <c r="Q92" s="1224">
        <f t="shared" si="402"/>
        <v>-917</v>
      </c>
      <c r="R92" s="1191">
        <f t="shared" si="403"/>
        <v>-1</v>
      </c>
      <c r="S92" s="3032">
        <v>1655</v>
      </c>
      <c r="T92" s="3033"/>
      <c r="U92" s="3033"/>
      <c r="V92" s="3033"/>
      <c r="W92" s="3033"/>
      <c r="X92" s="3034"/>
      <c r="Y92" s="1224">
        <f t="shared" si="404"/>
        <v>-1655</v>
      </c>
      <c r="Z92" s="1191">
        <f t="shared" si="405"/>
        <v>-1</v>
      </c>
      <c r="AA92" s="3032"/>
      <c r="AB92" s="3033"/>
      <c r="AC92" s="3033"/>
      <c r="AD92" s="3033"/>
      <c r="AE92" s="3033"/>
      <c r="AF92" s="3034"/>
      <c r="AG92" s="1224">
        <f t="shared" si="420"/>
        <v>0</v>
      </c>
      <c r="AH92" s="1219">
        <f t="shared" si="421"/>
        <v>0</v>
      </c>
      <c r="AI92" s="3032"/>
      <c r="AJ92" s="3033"/>
      <c r="AK92" s="3033"/>
      <c r="AL92" s="3033"/>
      <c r="AM92" s="3033"/>
      <c r="AN92" s="3034"/>
      <c r="AO92" s="1224">
        <f t="shared" si="434"/>
        <v>0</v>
      </c>
      <c r="AP92" s="1219">
        <f t="shared" si="435"/>
        <v>0</v>
      </c>
      <c r="AQ92" s="3032"/>
      <c r="AR92" s="3033"/>
      <c r="AS92" s="3033"/>
      <c r="AT92" s="3033"/>
      <c r="AU92" s="3033"/>
      <c r="AV92" s="3052"/>
      <c r="AW92" s="1086">
        <f>C92+K92+S92+AA92+AI92</f>
        <v>22350</v>
      </c>
      <c r="AX92" s="3042">
        <f t="shared" ref="AX92" si="551">D92+L92+T92+AB92+AJ92</f>
        <v>26289.993326277414</v>
      </c>
      <c r="AY92" s="3042">
        <f t="shared" ref="AY92" si="552">E92+M92+U92+AC92+AK92</f>
        <v>28032.307740432672</v>
      </c>
      <c r="AZ92" s="3042">
        <f t="shared" ref="AZ92" si="553">F92+N92+V92+AD92+AL92</f>
        <v>29983.514393451998</v>
      </c>
      <c r="BA92" s="3042">
        <f t="shared" ref="BA92" si="554">G92+O92+W92+AE92+AM92</f>
        <v>32698.973521422224</v>
      </c>
      <c r="BB92" s="3043">
        <f t="shared" ref="BB92" si="555">H92+P92+X92+AF92+AN92</f>
        <v>34972.651356134782</v>
      </c>
      <c r="BC92" s="1086">
        <f>C92+AA92+AI92</f>
        <v>19778</v>
      </c>
      <c r="BD92" s="3042">
        <f t="shared" ref="BD92:BH92" si="556">D92+AB92+AJ92</f>
        <v>26289.993326277414</v>
      </c>
      <c r="BE92" s="3042">
        <f t="shared" si="556"/>
        <v>28032.307740432672</v>
      </c>
      <c r="BF92" s="3042">
        <f t="shared" si="556"/>
        <v>29983.514393451998</v>
      </c>
      <c r="BG92" s="3042">
        <f t="shared" si="556"/>
        <v>32698.973521422224</v>
      </c>
      <c r="BH92" s="3051">
        <f t="shared" si="556"/>
        <v>34972.651356134782</v>
      </c>
      <c r="BI92" s="4422"/>
      <c r="BJ92" s="4438">
        <f t="shared" si="437"/>
        <v>10112.33082629881</v>
      </c>
      <c r="BK92" s="4438">
        <f t="shared" si="438"/>
        <v>13441.860144428409</v>
      </c>
      <c r="BL92" s="4438">
        <f t="shared" si="439"/>
        <v>14332.691358877139</v>
      </c>
      <c r="BM92" s="4438">
        <f t="shared" si="440"/>
        <v>15330.327479101967</v>
      </c>
      <c r="BN92" s="4438">
        <f t="shared" si="441"/>
        <v>16718.719684953307</v>
      </c>
      <c r="BO92" s="4438">
        <f t="shared" si="442"/>
        <v>17881.232702297635</v>
      </c>
      <c r="BP92" s="4438">
        <f t="shared" si="443"/>
        <v>3329.5293181295992</v>
      </c>
      <c r="BQ92" s="4438">
        <f t="shared" si="444"/>
        <v>468.85465505693236</v>
      </c>
      <c r="BR92" s="4438">
        <f t="shared" si="445"/>
        <v>0</v>
      </c>
      <c r="BS92" s="4438">
        <f t="shared" si="446"/>
        <v>0</v>
      </c>
      <c r="BT92" s="4438">
        <f t="shared" si="447"/>
        <v>0</v>
      </c>
      <c r="BU92" s="4438">
        <f t="shared" si="448"/>
        <v>0</v>
      </c>
      <c r="BV92" s="4438">
        <f t="shared" si="449"/>
        <v>0</v>
      </c>
      <c r="BW92" s="4438">
        <f t="shared" si="450"/>
        <v>-468.85465505693236</v>
      </c>
      <c r="BX92" s="4438">
        <f t="shared" si="451"/>
        <v>846.18806337974161</v>
      </c>
      <c r="BY92" s="4438">
        <f t="shared" si="452"/>
        <v>0</v>
      </c>
      <c r="BZ92" s="4438">
        <f t="shared" si="453"/>
        <v>0</v>
      </c>
      <c r="CA92" s="4438">
        <f t="shared" si="454"/>
        <v>0</v>
      </c>
      <c r="CB92" s="4438">
        <f t="shared" si="455"/>
        <v>0</v>
      </c>
      <c r="CC92" s="4438">
        <f t="shared" si="456"/>
        <v>0</v>
      </c>
      <c r="CD92" s="4438">
        <f t="shared" si="457"/>
        <v>-846.18806337974161</v>
      </c>
      <c r="CE92" s="4438">
        <f t="shared" si="458"/>
        <v>0</v>
      </c>
      <c r="CF92" s="4438">
        <f t="shared" si="459"/>
        <v>0</v>
      </c>
      <c r="CG92" s="4438">
        <f t="shared" si="460"/>
        <v>0</v>
      </c>
      <c r="CH92" s="4438">
        <f t="shared" si="461"/>
        <v>0</v>
      </c>
      <c r="CI92" s="4438">
        <f t="shared" si="462"/>
        <v>0</v>
      </c>
      <c r="CJ92" s="4438">
        <f t="shared" si="463"/>
        <v>0</v>
      </c>
      <c r="CK92" s="4438">
        <f t="shared" si="464"/>
        <v>0</v>
      </c>
      <c r="CL92" s="4438">
        <f t="shared" si="465"/>
        <v>0</v>
      </c>
      <c r="CM92" s="4438">
        <f t="shared" si="466"/>
        <v>0</v>
      </c>
      <c r="CN92" s="4438">
        <f t="shared" si="467"/>
        <v>0</v>
      </c>
      <c r="CO92" s="4438">
        <f t="shared" si="468"/>
        <v>0</v>
      </c>
      <c r="CP92" s="4438">
        <f t="shared" si="469"/>
        <v>0</v>
      </c>
      <c r="CQ92" s="4438">
        <f t="shared" si="470"/>
        <v>0</v>
      </c>
      <c r="CR92" s="4438">
        <f t="shared" si="471"/>
        <v>0</v>
      </c>
      <c r="CS92" s="4438">
        <f t="shared" si="472"/>
        <v>0</v>
      </c>
      <c r="CT92" s="4438">
        <f t="shared" si="473"/>
        <v>0</v>
      </c>
      <c r="CU92" s="4438">
        <f t="shared" si="474"/>
        <v>0</v>
      </c>
      <c r="CV92" s="4438">
        <f t="shared" si="475"/>
        <v>0</v>
      </c>
      <c r="CW92" s="4438">
        <f t="shared" si="476"/>
        <v>0</v>
      </c>
      <c r="CX92" s="4438">
        <f t="shared" si="477"/>
        <v>0</v>
      </c>
      <c r="CY92" s="4438">
        <f t="shared" si="478"/>
        <v>11427.373544735483</v>
      </c>
      <c r="CZ92" s="4438">
        <f t="shared" si="479"/>
        <v>13441.860144428409</v>
      </c>
      <c r="DA92" s="4438">
        <f t="shared" si="480"/>
        <v>14332.691358877139</v>
      </c>
      <c r="DB92" s="4438">
        <f t="shared" si="481"/>
        <v>15330.327479101967</v>
      </c>
      <c r="DC92" s="4438">
        <f t="shared" si="482"/>
        <v>16718.719684953307</v>
      </c>
      <c r="DD92" s="4438">
        <f t="shared" si="483"/>
        <v>17881.232702297635</v>
      </c>
      <c r="DE92" s="4438">
        <f t="shared" si="484"/>
        <v>10112.33082629881</v>
      </c>
      <c r="DF92" s="4438">
        <f t="shared" si="485"/>
        <v>13441.860144428409</v>
      </c>
      <c r="DG92" s="4438">
        <f t="shared" si="486"/>
        <v>14332.691358877139</v>
      </c>
      <c r="DH92" s="4438">
        <f t="shared" si="487"/>
        <v>15330.327479101967</v>
      </c>
      <c r="DI92" s="4438">
        <f t="shared" si="488"/>
        <v>16718.719684953307</v>
      </c>
      <c r="DJ92" s="4438">
        <f t="shared" si="489"/>
        <v>17881.232702297635</v>
      </c>
    </row>
    <row r="93" spans="1:114" ht="12.75">
      <c r="A93" s="3355"/>
      <c r="B93" s="3357" t="s">
        <v>1517</v>
      </c>
      <c r="C93" s="1086">
        <f>C91-C92</f>
        <v>3679.6949471463158</v>
      </c>
      <c r="D93" s="3042">
        <f t="shared" ref="D93" si="557">D91-D92</f>
        <v>4891.2506625145834</v>
      </c>
      <c r="E93" s="3042">
        <f t="shared" ref="E93" si="558">E91-E92</f>
        <v>5215.4080872343366</v>
      </c>
      <c r="F93" s="3042">
        <f t="shared" ref="F93" si="559">F91-F92</f>
        <v>5578.4298923690039</v>
      </c>
      <c r="G93" s="3042">
        <f t="shared" ref="G93" si="560">G91-G92</f>
        <v>6083.6407950070061</v>
      </c>
      <c r="H93" s="3043">
        <f t="shared" ref="H93" si="561">H91-H92</f>
        <v>6506.6583316553151</v>
      </c>
      <c r="I93" s="1224">
        <f t="shared" si="416"/>
        <v>1211.5557153682676</v>
      </c>
      <c r="J93" s="1219">
        <f t="shared" si="417"/>
        <v>0.32925439004335283</v>
      </c>
      <c r="K93" s="1086">
        <f t="shared" ref="K93:AV93" si="562">K91-K92</f>
        <v>170.80629970393784</v>
      </c>
      <c r="L93" s="3042">
        <f t="shared" si="562"/>
        <v>1352.5602640189102</v>
      </c>
      <c r="M93" s="3042">
        <f t="shared" si="562"/>
        <v>1450.6409695037853</v>
      </c>
      <c r="N93" s="3042">
        <f t="shared" si="562"/>
        <v>1545.6504770668912</v>
      </c>
      <c r="O93" s="3042">
        <f t="shared" si="562"/>
        <v>1667.5200384571901</v>
      </c>
      <c r="P93" s="3043">
        <f t="shared" si="562"/>
        <v>1743.6272170973612</v>
      </c>
      <c r="Q93" s="1224">
        <f t="shared" si="402"/>
        <v>1181.7539643149723</v>
      </c>
      <c r="R93" s="1191">
        <f t="shared" si="403"/>
        <v>6.9186790321160956</v>
      </c>
      <c r="S93" s="1086">
        <f>S91-S92</f>
        <v>310.16371625288525</v>
      </c>
      <c r="T93" s="3042">
        <f t="shared" si="562"/>
        <v>2628.0290722807999</v>
      </c>
      <c r="U93" s="3042">
        <f t="shared" si="562"/>
        <v>2797.0299526808003</v>
      </c>
      <c r="V93" s="3042">
        <f t="shared" si="562"/>
        <v>2982.4996273328002</v>
      </c>
      <c r="W93" s="3042">
        <f t="shared" si="562"/>
        <v>3294.4556603109604</v>
      </c>
      <c r="X93" s="3043">
        <f t="shared" si="562"/>
        <v>3465.4099318177218</v>
      </c>
      <c r="Y93" s="1224">
        <f t="shared" si="404"/>
        <v>2317.8653560279145</v>
      </c>
      <c r="Z93" s="1191">
        <f t="shared" si="405"/>
        <v>7.4730383812466741</v>
      </c>
      <c r="AA93" s="1086">
        <f>AA91-AA92</f>
        <v>0</v>
      </c>
      <c r="AB93" s="3042">
        <f t="shared" ref="AB93:AF93" si="563">AB91-AB92</f>
        <v>0</v>
      </c>
      <c r="AC93" s="3042">
        <f t="shared" si="563"/>
        <v>0</v>
      </c>
      <c r="AD93" s="3042">
        <f t="shared" si="563"/>
        <v>0</v>
      </c>
      <c r="AE93" s="3042">
        <f t="shared" si="563"/>
        <v>0</v>
      </c>
      <c r="AF93" s="3043">
        <f t="shared" si="563"/>
        <v>0</v>
      </c>
      <c r="AG93" s="1224">
        <f t="shared" si="420"/>
        <v>0</v>
      </c>
      <c r="AH93" s="1219">
        <f t="shared" si="421"/>
        <v>0</v>
      </c>
      <c r="AI93" s="1086">
        <f t="shared" ref="AI93:AN93" si="564">AI91-AI92</f>
        <v>0</v>
      </c>
      <c r="AJ93" s="3042">
        <f t="shared" si="564"/>
        <v>0</v>
      </c>
      <c r="AK93" s="3042">
        <f t="shared" si="564"/>
        <v>0</v>
      </c>
      <c r="AL93" s="3042">
        <f t="shared" si="564"/>
        <v>0</v>
      </c>
      <c r="AM93" s="3042">
        <f t="shared" si="564"/>
        <v>0</v>
      </c>
      <c r="AN93" s="3043">
        <f t="shared" si="564"/>
        <v>0</v>
      </c>
      <c r="AO93" s="1224">
        <f t="shared" si="434"/>
        <v>0</v>
      </c>
      <c r="AP93" s="1219">
        <f t="shared" si="435"/>
        <v>0</v>
      </c>
      <c r="AQ93" s="1086">
        <f t="shared" si="562"/>
        <v>138</v>
      </c>
      <c r="AR93" s="3042">
        <f t="shared" si="562"/>
        <v>176</v>
      </c>
      <c r="AS93" s="3042">
        <f t="shared" si="562"/>
        <v>201</v>
      </c>
      <c r="AT93" s="3042">
        <f t="shared" si="562"/>
        <v>229</v>
      </c>
      <c r="AU93" s="3042">
        <f t="shared" si="562"/>
        <v>262</v>
      </c>
      <c r="AV93" s="3051">
        <f t="shared" si="562"/>
        <v>298</v>
      </c>
      <c r="AW93" s="1086">
        <f>AW91-AW92</f>
        <v>4160.664963103136</v>
      </c>
      <c r="AX93" s="3042">
        <f t="shared" ref="AX93" si="565">AX91-AX92</f>
        <v>8871.8399988142919</v>
      </c>
      <c r="AY93" s="3042">
        <f t="shared" ref="AY93" si="566">AY91-AY92</f>
        <v>9463.0790094189178</v>
      </c>
      <c r="AZ93" s="3042">
        <f t="shared" ref="AZ93" si="567">AZ91-AZ92</f>
        <v>10106.579996768702</v>
      </c>
      <c r="BA93" s="3042">
        <f t="shared" ref="BA93" si="568">BA91-BA92</f>
        <v>11045.616493775153</v>
      </c>
      <c r="BB93" s="3051">
        <f t="shared" ref="BB93" si="569">BB91-BB92</f>
        <v>11715.695480570386</v>
      </c>
      <c r="BC93" s="1086">
        <f>BC91-BC92</f>
        <v>3679.6949471463158</v>
      </c>
      <c r="BD93" s="3042">
        <f t="shared" ref="BD93" si="570">BD91-BD92</f>
        <v>4891.2506625145834</v>
      </c>
      <c r="BE93" s="3042">
        <f t="shared" ref="BE93" si="571">BE91-BE92</f>
        <v>5215.4080872343366</v>
      </c>
      <c r="BF93" s="3042">
        <f t="shared" ref="BF93" si="572">BF91-BF92</f>
        <v>5578.4298923690039</v>
      </c>
      <c r="BG93" s="3042">
        <f t="shared" ref="BG93" si="573">BG91-BG92</f>
        <v>6083.6407950070061</v>
      </c>
      <c r="BH93" s="3051">
        <f t="shared" ref="BH93" si="574">BH91-BH92</f>
        <v>6506.6583316553151</v>
      </c>
      <c r="BI93" s="4422"/>
      <c r="BJ93" s="4438">
        <f t="shared" si="437"/>
        <v>1881.3981517546597</v>
      </c>
      <c r="BK93" s="4438">
        <f t="shared" si="438"/>
        <v>2500.8567526393313</v>
      </c>
      <c r="BL93" s="4438">
        <f t="shared" si="439"/>
        <v>2666.5958121280155</v>
      </c>
      <c r="BM93" s="4438">
        <f t="shared" si="440"/>
        <v>2852.2059137905667</v>
      </c>
      <c r="BN93" s="4438">
        <f t="shared" si="441"/>
        <v>3110.5161466011905</v>
      </c>
      <c r="BO93" s="4438">
        <f t="shared" si="442"/>
        <v>3326.8015786930946</v>
      </c>
      <c r="BP93" s="4438">
        <f t="shared" si="443"/>
        <v>619.4586008846718</v>
      </c>
      <c r="BQ93" s="4438">
        <f t="shared" si="444"/>
        <v>87.331874295791479</v>
      </c>
      <c r="BR93" s="4438">
        <f t="shared" si="445"/>
        <v>691.55308182148258</v>
      </c>
      <c r="BS93" s="4438">
        <f t="shared" si="446"/>
        <v>741.70095023789656</v>
      </c>
      <c r="BT93" s="4438">
        <f t="shared" si="447"/>
        <v>790.27854009136342</v>
      </c>
      <c r="BU93" s="4438">
        <f t="shared" si="448"/>
        <v>852.58945739516741</v>
      </c>
      <c r="BV93" s="4438">
        <f t="shared" si="449"/>
        <v>891.5024399346371</v>
      </c>
      <c r="BW93" s="4438">
        <f t="shared" si="450"/>
        <v>604.22120752569106</v>
      </c>
      <c r="BX93" s="4438">
        <f t="shared" si="451"/>
        <v>158.58418996174782</v>
      </c>
      <c r="BY93" s="4438">
        <f t="shared" si="452"/>
        <v>1343.689928204803</v>
      </c>
      <c r="BZ93" s="4438">
        <f t="shared" si="453"/>
        <v>1430.0987062683364</v>
      </c>
      <c r="CA93" s="4438">
        <f t="shared" si="454"/>
        <v>1524.9278451260079</v>
      </c>
      <c r="CB93" s="4438">
        <f t="shared" si="455"/>
        <v>1684.4284320779211</v>
      </c>
      <c r="CC93" s="4438">
        <f t="shared" si="456"/>
        <v>1771.8359631551423</v>
      </c>
      <c r="CD93" s="4438">
        <f t="shared" si="457"/>
        <v>1185.1057382430552</v>
      </c>
      <c r="CE93" s="4438">
        <f t="shared" si="458"/>
        <v>0</v>
      </c>
      <c r="CF93" s="4438">
        <f t="shared" si="459"/>
        <v>0</v>
      </c>
      <c r="CG93" s="4438">
        <f t="shared" si="460"/>
        <v>0</v>
      </c>
      <c r="CH93" s="4438">
        <f t="shared" si="461"/>
        <v>0</v>
      </c>
      <c r="CI93" s="4438">
        <f t="shared" si="462"/>
        <v>0</v>
      </c>
      <c r="CJ93" s="4438">
        <f t="shared" si="463"/>
        <v>0</v>
      </c>
      <c r="CK93" s="4438">
        <f t="shared" si="464"/>
        <v>0</v>
      </c>
      <c r="CL93" s="4438">
        <f t="shared" si="465"/>
        <v>0</v>
      </c>
      <c r="CM93" s="4438">
        <f t="shared" si="466"/>
        <v>0</v>
      </c>
      <c r="CN93" s="4438">
        <f t="shared" si="467"/>
        <v>0</v>
      </c>
      <c r="CO93" s="4438">
        <f t="shared" si="468"/>
        <v>0</v>
      </c>
      <c r="CP93" s="4438">
        <f t="shared" si="469"/>
        <v>0</v>
      </c>
      <c r="CQ93" s="4438">
        <f t="shared" si="470"/>
        <v>0</v>
      </c>
      <c r="CR93" s="4438">
        <f t="shared" si="471"/>
        <v>0</v>
      </c>
      <c r="CS93" s="4438">
        <f t="shared" si="472"/>
        <v>70.558279605078155</v>
      </c>
      <c r="CT93" s="4438">
        <f t="shared" si="473"/>
        <v>89.987371090534452</v>
      </c>
      <c r="CU93" s="4438">
        <f t="shared" si="474"/>
        <v>102.76966812043992</v>
      </c>
      <c r="CV93" s="4438">
        <f t="shared" si="475"/>
        <v>117.08584079393404</v>
      </c>
      <c r="CW93" s="4438">
        <f t="shared" si="476"/>
        <v>133.95847287340925</v>
      </c>
      <c r="CX93" s="4438">
        <f t="shared" si="477"/>
        <v>152.36498059647312</v>
      </c>
      <c r="CY93" s="4438">
        <f t="shared" si="478"/>
        <v>2127.3142160121974</v>
      </c>
      <c r="CZ93" s="4438">
        <f t="shared" si="479"/>
        <v>4536.0997626656163</v>
      </c>
      <c r="DA93" s="4438">
        <f t="shared" si="480"/>
        <v>4838.3954686342468</v>
      </c>
      <c r="DB93" s="4438">
        <f t="shared" si="481"/>
        <v>5167.4122990079413</v>
      </c>
      <c r="DC93" s="4438">
        <f t="shared" si="482"/>
        <v>5647.5340360742766</v>
      </c>
      <c r="DD93" s="4438">
        <f t="shared" si="483"/>
        <v>5990.1399817828678</v>
      </c>
      <c r="DE93" s="4438">
        <f t="shared" si="484"/>
        <v>1881.3981517546597</v>
      </c>
      <c r="DF93" s="4438">
        <f t="shared" si="485"/>
        <v>2500.8567526393313</v>
      </c>
      <c r="DG93" s="4438">
        <f t="shared" si="486"/>
        <v>2666.5958121280155</v>
      </c>
      <c r="DH93" s="4438">
        <f t="shared" si="487"/>
        <v>2852.2059137905667</v>
      </c>
      <c r="DI93" s="4438">
        <f t="shared" si="488"/>
        <v>3110.5161466011905</v>
      </c>
      <c r="DJ93" s="4438">
        <f t="shared" si="489"/>
        <v>3326.8015786930946</v>
      </c>
    </row>
    <row r="94" spans="1:114" ht="13.5" thickBot="1">
      <c r="A94" s="820"/>
      <c r="B94" s="821" t="s">
        <v>1466</v>
      </c>
      <c r="C94" s="3032">
        <v>1216</v>
      </c>
      <c r="D94" s="3033">
        <f>D93*C94/C93</f>
        <v>1616.3733382927169</v>
      </c>
      <c r="E94" s="3033"/>
      <c r="F94" s="3033"/>
      <c r="G94" s="3033"/>
      <c r="H94" s="3034"/>
      <c r="I94" s="1224">
        <f t="shared" si="416"/>
        <v>400.37333829271688</v>
      </c>
      <c r="J94" s="1219">
        <f t="shared" si="417"/>
        <v>0.32925439004335272</v>
      </c>
      <c r="K94" s="3032">
        <v>56</v>
      </c>
      <c r="L94" s="3033"/>
      <c r="M94" s="3033"/>
      <c r="N94" s="3033"/>
      <c r="O94" s="3033"/>
      <c r="P94" s="3034"/>
      <c r="Q94" s="1224">
        <f t="shared" si="402"/>
        <v>-56</v>
      </c>
      <c r="R94" s="1191">
        <f t="shared" si="403"/>
        <v>-1</v>
      </c>
      <c r="S94" s="3032">
        <v>102</v>
      </c>
      <c r="T94" s="3033"/>
      <c r="U94" s="3033"/>
      <c r="V94" s="3033"/>
      <c r="W94" s="3033"/>
      <c r="X94" s="3034"/>
      <c r="Y94" s="1224">
        <f t="shared" si="404"/>
        <v>-102</v>
      </c>
      <c r="Z94" s="1191">
        <f t="shared" si="405"/>
        <v>-1</v>
      </c>
      <c r="AA94" s="3032"/>
      <c r="AB94" s="3033"/>
      <c r="AC94" s="3033"/>
      <c r="AD94" s="3033"/>
      <c r="AE94" s="3033"/>
      <c r="AF94" s="3034"/>
      <c r="AG94" s="1224">
        <f t="shared" si="420"/>
        <v>0</v>
      </c>
      <c r="AH94" s="1219">
        <f t="shared" si="421"/>
        <v>0</v>
      </c>
      <c r="AI94" s="3032"/>
      <c r="AJ94" s="3033"/>
      <c r="AK94" s="3033"/>
      <c r="AL94" s="3033"/>
      <c r="AM94" s="3033"/>
      <c r="AN94" s="3034"/>
      <c r="AO94" s="1224">
        <f t="shared" si="434"/>
        <v>0</v>
      </c>
      <c r="AP94" s="1219">
        <f t="shared" si="435"/>
        <v>0</v>
      </c>
      <c r="AQ94" s="3032"/>
      <c r="AR94" s="3033"/>
      <c r="AS94" s="3033"/>
      <c r="AT94" s="3033"/>
      <c r="AU94" s="3033"/>
      <c r="AV94" s="3052"/>
      <c r="AW94" s="3351">
        <f>C94+K94+S94+AA94+AI94</f>
        <v>1374</v>
      </c>
      <c r="AX94" s="3352">
        <f t="shared" ref="AX94" si="575">D94+L94+T94+AB94+AJ94</f>
        <v>1616.3733382927169</v>
      </c>
      <c r="AY94" s="3352">
        <f t="shared" ref="AY94" si="576">E94+M94+U94+AC94+AK94</f>
        <v>0</v>
      </c>
      <c r="AZ94" s="3352">
        <f t="shared" ref="AZ94" si="577">F94+N94+V94+AD94+AL94</f>
        <v>0</v>
      </c>
      <c r="BA94" s="3352">
        <f t="shared" ref="BA94" si="578">G94+O94+W94+AE94+AM94</f>
        <v>0</v>
      </c>
      <c r="BB94" s="3353">
        <f t="shared" ref="BB94" si="579">H94+P94+X94+AF94+AN94</f>
        <v>0</v>
      </c>
      <c r="BC94" s="3351">
        <f>C94+AA94+AI94</f>
        <v>1216</v>
      </c>
      <c r="BD94" s="3352">
        <f t="shared" ref="BD94:BG94" si="580">D94+AB94+AJ94</f>
        <v>1616.3733382927169</v>
      </c>
      <c r="BE94" s="3352">
        <f t="shared" si="580"/>
        <v>0</v>
      </c>
      <c r="BF94" s="3352">
        <f t="shared" si="580"/>
        <v>0</v>
      </c>
      <c r="BG94" s="3352">
        <f t="shared" si="580"/>
        <v>0</v>
      </c>
      <c r="BH94" s="3353">
        <f>H94+AF94+AN94</f>
        <v>0</v>
      </c>
      <c r="BI94" s="4422"/>
      <c r="BJ94" s="4438">
        <f t="shared" si="437"/>
        <v>621.73092753460173</v>
      </c>
      <c r="BK94" s="4438">
        <f t="shared" si="438"/>
        <v>826.43856485109484</v>
      </c>
      <c r="BL94" s="4438">
        <f t="shared" si="439"/>
        <v>0</v>
      </c>
      <c r="BM94" s="4438">
        <f t="shared" si="440"/>
        <v>0</v>
      </c>
      <c r="BN94" s="4438">
        <f t="shared" si="441"/>
        <v>0</v>
      </c>
      <c r="BO94" s="4438">
        <f t="shared" si="442"/>
        <v>0</v>
      </c>
      <c r="BP94" s="4438">
        <f t="shared" si="443"/>
        <v>204.70763731649319</v>
      </c>
      <c r="BQ94" s="4438">
        <f t="shared" si="444"/>
        <v>28.632345346988235</v>
      </c>
      <c r="BR94" s="4438">
        <f t="shared" si="445"/>
        <v>0</v>
      </c>
      <c r="BS94" s="4438">
        <f t="shared" si="446"/>
        <v>0</v>
      </c>
      <c r="BT94" s="4438">
        <f t="shared" si="447"/>
        <v>0</v>
      </c>
      <c r="BU94" s="4438">
        <f t="shared" si="448"/>
        <v>0</v>
      </c>
      <c r="BV94" s="4438">
        <f t="shared" si="449"/>
        <v>0</v>
      </c>
      <c r="BW94" s="4438">
        <f t="shared" si="450"/>
        <v>-28.632345346988235</v>
      </c>
      <c r="BX94" s="4438">
        <f t="shared" si="451"/>
        <v>52.151771882014287</v>
      </c>
      <c r="BY94" s="4438">
        <f t="shared" si="452"/>
        <v>0</v>
      </c>
      <c r="BZ94" s="4438">
        <f t="shared" si="453"/>
        <v>0</v>
      </c>
      <c r="CA94" s="4438">
        <f t="shared" si="454"/>
        <v>0</v>
      </c>
      <c r="CB94" s="4438">
        <f t="shared" si="455"/>
        <v>0</v>
      </c>
      <c r="CC94" s="4438">
        <f t="shared" si="456"/>
        <v>0</v>
      </c>
      <c r="CD94" s="4438">
        <f t="shared" si="457"/>
        <v>-52.151771882014287</v>
      </c>
      <c r="CE94" s="4438">
        <f t="shared" si="458"/>
        <v>0</v>
      </c>
      <c r="CF94" s="4438">
        <f t="shared" si="459"/>
        <v>0</v>
      </c>
      <c r="CG94" s="4438">
        <f t="shared" si="460"/>
        <v>0</v>
      </c>
      <c r="CH94" s="4438">
        <f t="shared" si="461"/>
        <v>0</v>
      </c>
      <c r="CI94" s="4438">
        <f t="shared" si="462"/>
        <v>0</v>
      </c>
      <c r="CJ94" s="4438">
        <f t="shared" si="463"/>
        <v>0</v>
      </c>
      <c r="CK94" s="4438">
        <f t="shared" si="464"/>
        <v>0</v>
      </c>
      <c r="CL94" s="4438">
        <f t="shared" si="465"/>
        <v>0</v>
      </c>
      <c r="CM94" s="4438">
        <f t="shared" si="466"/>
        <v>0</v>
      </c>
      <c r="CN94" s="4438">
        <f t="shared" si="467"/>
        <v>0</v>
      </c>
      <c r="CO94" s="4438">
        <f t="shared" si="468"/>
        <v>0</v>
      </c>
      <c r="CP94" s="4438">
        <f t="shared" si="469"/>
        <v>0</v>
      </c>
      <c r="CQ94" s="4438">
        <f t="shared" si="470"/>
        <v>0</v>
      </c>
      <c r="CR94" s="4438">
        <f t="shared" si="471"/>
        <v>0</v>
      </c>
      <c r="CS94" s="4438">
        <f t="shared" si="472"/>
        <v>0</v>
      </c>
      <c r="CT94" s="4438">
        <f t="shared" si="473"/>
        <v>0</v>
      </c>
      <c r="CU94" s="4438">
        <f t="shared" si="474"/>
        <v>0</v>
      </c>
      <c r="CV94" s="4438">
        <f t="shared" si="475"/>
        <v>0</v>
      </c>
      <c r="CW94" s="4438">
        <f t="shared" si="476"/>
        <v>0</v>
      </c>
      <c r="CX94" s="4438">
        <f t="shared" si="477"/>
        <v>0</v>
      </c>
      <c r="CY94" s="4438">
        <f t="shared" si="478"/>
        <v>702.51504476360424</v>
      </c>
      <c r="CZ94" s="4438">
        <f t="shared" si="479"/>
        <v>826.43856485109484</v>
      </c>
      <c r="DA94" s="4438">
        <f t="shared" si="480"/>
        <v>0</v>
      </c>
      <c r="DB94" s="4438">
        <f t="shared" si="481"/>
        <v>0</v>
      </c>
      <c r="DC94" s="4438">
        <f t="shared" si="482"/>
        <v>0</v>
      </c>
      <c r="DD94" s="4438">
        <f t="shared" si="483"/>
        <v>0</v>
      </c>
      <c r="DE94" s="4438">
        <f t="shared" si="484"/>
        <v>621.73092753460173</v>
      </c>
      <c r="DF94" s="4438">
        <f t="shared" si="485"/>
        <v>826.43856485109484</v>
      </c>
      <c r="DG94" s="4438">
        <f t="shared" si="486"/>
        <v>0</v>
      </c>
      <c r="DH94" s="4438">
        <f t="shared" si="487"/>
        <v>0</v>
      </c>
      <c r="DI94" s="4438">
        <f t="shared" si="488"/>
        <v>0</v>
      </c>
      <c r="DJ94" s="4438">
        <f t="shared" si="489"/>
        <v>0</v>
      </c>
    </row>
    <row r="95" spans="1:114" s="638" customFormat="1" ht="24.75" thickBot="1">
      <c r="A95" s="248"/>
      <c r="B95" s="249" t="s">
        <v>1231</v>
      </c>
      <c r="C95" s="1093">
        <f t="shared" ref="C95:G95" si="581">C88-C58</f>
        <v>23906.694947146316</v>
      </c>
      <c r="D95" s="3045">
        <f t="shared" si="581"/>
        <v>32184.581343861792</v>
      </c>
      <c r="E95" s="1128">
        <f t="shared" si="581"/>
        <v>34576.32001848756</v>
      </c>
      <c r="F95" s="1128">
        <f t="shared" si="581"/>
        <v>37248.534029888542</v>
      </c>
      <c r="G95" s="1128">
        <f t="shared" si="581"/>
        <v>40705.812084410398</v>
      </c>
      <c r="H95" s="3046">
        <f t="shared" ref="H95:AV95" si="582">H88-H58</f>
        <v>43526.527256167399</v>
      </c>
      <c r="I95" s="1226">
        <f>D95-C95</f>
        <v>8277.8863967154757</v>
      </c>
      <c r="J95" s="805">
        <f>IFERROR((D95-C95)/C95,0)</f>
        <v>0.34625808439922334</v>
      </c>
      <c r="K95" s="1093">
        <f t="shared" si="582"/>
        <v>1161.8062997039378</v>
      </c>
      <c r="L95" s="3045">
        <f t="shared" si="582"/>
        <v>1467.1867235476689</v>
      </c>
      <c r="M95" s="1128">
        <f t="shared" si="582"/>
        <v>1607.5569978283422</v>
      </c>
      <c r="N95" s="1128">
        <f t="shared" si="582"/>
        <v>1682.7947682739155</v>
      </c>
      <c r="O95" s="1128">
        <f t="shared" si="582"/>
        <v>1830.8049844628231</v>
      </c>
      <c r="P95" s="3046">
        <f t="shared" si="582"/>
        <v>1910.6530593082689</v>
      </c>
      <c r="Q95" s="1226">
        <f t="shared" si="402"/>
        <v>305.38042384373102</v>
      </c>
      <c r="R95" s="858">
        <f t="shared" si="403"/>
        <v>0.26284968838742817</v>
      </c>
      <c r="S95" s="1093">
        <f t="shared" si="582"/>
        <v>2045.1637162528853</v>
      </c>
      <c r="T95" s="3045">
        <f t="shared" si="582"/>
        <v>2770.8378800422474</v>
      </c>
      <c r="U95" s="1128">
        <f t="shared" si="582"/>
        <v>3028.1452229756915</v>
      </c>
      <c r="V95" s="1128">
        <f t="shared" si="582"/>
        <v>3325.5515709382357</v>
      </c>
      <c r="W95" s="1128">
        <f t="shared" si="582"/>
        <v>3696.6341699241552</v>
      </c>
      <c r="X95" s="3046">
        <f t="shared" si="582"/>
        <v>3878.2177448295142</v>
      </c>
      <c r="Y95" s="1226">
        <f t="shared" si="404"/>
        <v>725.67416378936218</v>
      </c>
      <c r="Z95" s="858">
        <f t="shared" si="405"/>
        <v>0.3548244856988419</v>
      </c>
      <c r="AA95" s="1093">
        <f t="shared" si="582"/>
        <v>0</v>
      </c>
      <c r="AB95" s="3045">
        <f t="shared" si="582"/>
        <v>0</v>
      </c>
      <c r="AC95" s="1128">
        <f t="shared" si="582"/>
        <v>0</v>
      </c>
      <c r="AD95" s="1128">
        <f t="shared" si="582"/>
        <v>0</v>
      </c>
      <c r="AE95" s="1128">
        <f t="shared" si="582"/>
        <v>0</v>
      </c>
      <c r="AF95" s="3046">
        <f t="shared" si="582"/>
        <v>0</v>
      </c>
      <c r="AG95" s="1226">
        <f t="shared" si="420"/>
        <v>0</v>
      </c>
      <c r="AH95" s="805">
        <f t="shared" si="421"/>
        <v>0</v>
      </c>
      <c r="AI95" s="1093">
        <f t="shared" si="582"/>
        <v>0</v>
      </c>
      <c r="AJ95" s="3045">
        <f t="shared" si="582"/>
        <v>0</v>
      </c>
      <c r="AK95" s="1128">
        <f t="shared" si="582"/>
        <v>0</v>
      </c>
      <c r="AL95" s="1128">
        <f t="shared" si="582"/>
        <v>0</v>
      </c>
      <c r="AM95" s="1128">
        <f t="shared" si="582"/>
        <v>0</v>
      </c>
      <c r="AN95" s="3056">
        <f t="shared" si="582"/>
        <v>0</v>
      </c>
      <c r="AO95" s="1226">
        <f t="shared" si="434"/>
        <v>0</v>
      </c>
      <c r="AP95" s="805">
        <f t="shared" si="435"/>
        <v>0</v>
      </c>
      <c r="AQ95" s="1093">
        <f t="shared" si="582"/>
        <v>138</v>
      </c>
      <c r="AR95" s="3045">
        <f t="shared" si="582"/>
        <v>176</v>
      </c>
      <c r="AS95" s="1128">
        <f t="shared" si="582"/>
        <v>201</v>
      </c>
      <c r="AT95" s="1128">
        <f t="shared" si="582"/>
        <v>229</v>
      </c>
      <c r="AU95" s="1128">
        <f t="shared" si="582"/>
        <v>262</v>
      </c>
      <c r="AV95" s="3056">
        <f t="shared" si="582"/>
        <v>298</v>
      </c>
      <c r="AW95" s="1093">
        <f t="shared" ref="AW95:BB95" si="583">AW88-AW58</f>
        <v>27113.664963103136</v>
      </c>
      <c r="AX95" s="3045">
        <f t="shared" si="583"/>
        <v>36422.60594745171</v>
      </c>
      <c r="AY95" s="1128">
        <f t="shared" si="583"/>
        <v>39212.022239291589</v>
      </c>
      <c r="AZ95" s="1128">
        <f t="shared" si="583"/>
        <v>42256.880369100698</v>
      </c>
      <c r="BA95" s="1128">
        <f t="shared" si="583"/>
        <v>46233.251238797377</v>
      </c>
      <c r="BB95" s="3056">
        <f t="shared" si="583"/>
        <v>49315.398060305168</v>
      </c>
      <c r="BC95" s="1093">
        <f t="shared" ref="BC95:BH95" si="584">BC88-BC58</f>
        <v>23906.694947146316</v>
      </c>
      <c r="BD95" s="3045">
        <f t="shared" si="584"/>
        <v>32184.581343861792</v>
      </c>
      <c r="BE95" s="1128">
        <f t="shared" si="584"/>
        <v>34576.32001848756</v>
      </c>
      <c r="BF95" s="1128">
        <f t="shared" si="584"/>
        <v>37248.534029888542</v>
      </c>
      <c r="BG95" s="1128">
        <f t="shared" si="584"/>
        <v>40705.812084410398</v>
      </c>
      <c r="BH95" s="3056">
        <f t="shared" si="584"/>
        <v>43526.527256167399</v>
      </c>
      <c r="BI95" s="4422"/>
      <c r="BJ95" s="4438">
        <f t="shared" si="437"/>
        <v>12223.299032710571</v>
      </c>
      <c r="BK95" s="4438">
        <f t="shared" si="438"/>
        <v>16455.715140815813</v>
      </c>
      <c r="BL95" s="4438">
        <f t="shared" si="439"/>
        <v>17678.591707094973</v>
      </c>
      <c r="BM95" s="4438">
        <f t="shared" si="440"/>
        <v>19044.873035943074</v>
      </c>
      <c r="BN95" s="4438">
        <f t="shared" si="441"/>
        <v>20812.551236257957</v>
      </c>
      <c r="BO95" s="4438">
        <f t="shared" si="442"/>
        <v>22254.760002744308</v>
      </c>
      <c r="BP95" s="4438">
        <f t="shared" si="443"/>
        <v>4232.4161081052425</v>
      </c>
      <c r="BQ95" s="4438">
        <f t="shared" si="444"/>
        <v>594.02212856124402</v>
      </c>
      <c r="BR95" s="4438">
        <f t="shared" si="445"/>
        <v>750.16065994880375</v>
      </c>
      <c r="BS95" s="4438">
        <f t="shared" si="446"/>
        <v>821.9308415497984</v>
      </c>
      <c r="BT95" s="4438">
        <f t="shared" si="447"/>
        <v>860.39930273792481</v>
      </c>
      <c r="BU95" s="4438">
        <f t="shared" si="448"/>
        <v>936.07572460941037</v>
      </c>
      <c r="BV95" s="4438">
        <f t="shared" si="449"/>
        <v>976.9013970070348</v>
      </c>
      <c r="BW95" s="4438">
        <f t="shared" si="450"/>
        <v>156.13853138755977</v>
      </c>
      <c r="BX95" s="4438">
        <f t="shared" si="451"/>
        <v>1045.6756038371868</v>
      </c>
      <c r="BY95" s="4438">
        <f t="shared" si="452"/>
        <v>1416.7069121765428</v>
      </c>
      <c r="BZ95" s="4438">
        <f t="shared" si="453"/>
        <v>1548.2660675905838</v>
      </c>
      <c r="CA95" s="4438">
        <f t="shared" si="454"/>
        <v>1700.3275187200502</v>
      </c>
      <c r="CB95" s="4438">
        <f t="shared" si="455"/>
        <v>1890.059038834743</v>
      </c>
      <c r="CC95" s="4438">
        <f t="shared" si="456"/>
        <v>1982.9012464424384</v>
      </c>
      <c r="CD95" s="4438">
        <f t="shared" si="457"/>
        <v>371.03130833935575</v>
      </c>
      <c r="CE95" s="4438">
        <f t="shared" si="458"/>
        <v>0</v>
      </c>
      <c r="CF95" s="4438">
        <f t="shared" si="459"/>
        <v>0</v>
      </c>
      <c r="CG95" s="4438">
        <f t="shared" si="460"/>
        <v>0</v>
      </c>
      <c r="CH95" s="4438">
        <f t="shared" si="461"/>
        <v>0</v>
      </c>
      <c r="CI95" s="4438">
        <f t="shared" si="462"/>
        <v>0</v>
      </c>
      <c r="CJ95" s="4438">
        <f t="shared" si="463"/>
        <v>0</v>
      </c>
      <c r="CK95" s="4438">
        <f t="shared" si="464"/>
        <v>0</v>
      </c>
      <c r="CL95" s="4438">
        <f t="shared" si="465"/>
        <v>0</v>
      </c>
      <c r="CM95" s="4438">
        <f t="shared" si="466"/>
        <v>0</v>
      </c>
      <c r="CN95" s="4438">
        <f t="shared" si="467"/>
        <v>0</v>
      </c>
      <c r="CO95" s="4438">
        <f t="shared" si="468"/>
        <v>0</v>
      </c>
      <c r="CP95" s="4438">
        <f t="shared" si="469"/>
        <v>0</v>
      </c>
      <c r="CQ95" s="4438">
        <f t="shared" si="470"/>
        <v>0</v>
      </c>
      <c r="CR95" s="4438">
        <f t="shared" si="471"/>
        <v>0</v>
      </c>
      <c r="CS95" s="4438">
        <f t="shared" si="472"/>
        <v>70.558279605078155</v>
      </c>
      <c r="CT95" s="4438">
        <f t="shared" si="473"/>
        <v>89.987371090534452</v>
      </c>
      <c r="CU95" s="4438">
        <f t="shared" si="474"/>
        <v>102.76966812043992</v>
      </c>
      <c r="CV95" s="4438">
        <f t="shared" si="475"/>
        <v>117.08584079393404</v>
      </c>
      <c r="CW95" s="4438">
        <f t="shared" si="476"/>
        <v>133.95847287340925</v>
      </c>
      <c r="CX95" s="4438">
        <f t="shared" si="477"/>
        <v>152.36498059647312</v>
      </c>
      <c r="CY95" s="4438">
        <f t="shared" si="478"/>
        <v>13862.996765109001</v>
      </c>
      <c r="CZ95" s="4438">
        <f t="shared" si="479"/>
        <v>18622.582712941159</v>
      </c>
      <c r="DA95" s="4438">
        <f t="shared" si="480"/>
        <v>20048.788616235353</v>
      </c>
      <c r="DB95" s="4438">
        <f t="shared" si="481"/>
        <v>21605.599857401052</v>
      </c>
      <c r="DC95" s="4438">
        <f t="shared" si="482"/>
        <v>23638.685999702109</v>
      </c>
      <c r="DD95" s="4438">
        <f t="shared" si="483"/>
        <v>25214.562646193775</v>
      </c>
      <c r="DE95" s="4438">
        <f t="shared" si="484"/>
        <v>12223.299032710571</v>
      </c>
      <c r="DF95" s="4438">
        <f t="shared" si="485"/>
        <v>16455.715140815813</v>
      </c>
      <c r="DG95" s="4438">
        <f t="shared" si="486"/>
        <v>17678.591707094973</v>
      </c>
      <c r="DH95" s="4438">
        <f t="shared" si="487"/>
        <v>19044.873035943074</v>
      </c>
      <c r="DI95" s="4438">
        <f t="shared" si="488"/>
        <v>20812.551236257957</v>
      </c>
      <c r="DJ95" s="4438">
        <f t="shared" si="489"/>
        <v>22254.760002744308</v>
      </c>
    </row>
    <row r="96" spans="1:114" ht="15.75" thickBot="1">
      <c r="B96" s="677"/>
      <c r="C96" s="677"/>
      <c r="D96" s="677"/>
      <c r="E96" s="677"/>
      <c r="F96" s="677"/>
      <c r="G96" s="677"/>
      <c r="H96" s="677"/>
      <c r="I96" s="827"/>
      <c r="J96" s="677"/>
      <c r="K96" s="677"/>
      <c r="L96" s="677"/>
      <c r="M96" s="677"/>
      <c r="N96" s="677"/>
      <c r="O96" s="677"/>
      <c r="P96" s="677"/>
      <c r="Q96" s="827"/>
      <c r="R96" s="677"/>
      <c r="S96" s="677"/>
      <c r="T96" s="677"/>
      <c r="U96" s="677"/>
      <c r="V96" s="677"/>
      <c r="W96" s="677"/>
      <c r="X96" s="677"/>
      <c r="Y96" s="827"/>
      <c r="Z96" s="677"/>
      <c r="AA96" s="677"/>
      <c r="AB96" s="677"/>
      <c r="AC96" s="677"/>
      <c r="AD96" s="677"/>
      <c r="AE96" s="677"/>
      <c r="AF96" s="677"/>
      <c r="AG96" s="827"/>
      <c r="AH96" s="677"/>
      <c r="AI96" s="677"/>
      <c r="AJ96" s="677"/>
      <c r="AK96" s="677"/>
      <c r="AL96" s="677"/>
      <c r="AM96" s="677"/>
      <c r="AN96" s="677"/>
      <c r="AO96" s="827"/>
      <c r="AP96" s="677"/>
      <c r="AQ96" s="677"/>
      <c r="AR96" s="677"/>
      <c r="AS96" s="677"/>
      <c r="AT96" s="677"/>
      <c r="AU96" s="677"/>
      <c r="AV96" s="677"/>
      <c r="AW96" s="677"/>
      <c r="AX96" s="677"/>
      <c r="AY96" s="677"/>
      <c r="AZ96" s="677"/>
      <c r="BA96" s="677"/>
      <c r="BB96" s="677"/>
      <c r="BC96" s="677"/>
      <c r="BD96" s="677"/>
      <c r="BE96" s="677"/>
      <c r="BF96" s="677"/>
      <c r="BG96" s="677"/>
      <c r="BH96" s="677"/>
      <c r="BI96" s="4422"/>
    </row>
    <row r="97" spans="2:82" ht="15" customHeight="1">
      <c r="B97" s="5227" t="s">
        <v>82</v>
      </c>
      <c r="C97" s="5220" t="s">
        <v>207</v>
      </c>
      <c r="D97" s="5221"/>
      <c r="E97" s="5221"/>
      <c r="F97" s="5221"/>
      <c r="G97" s="5221"/>
      <c r="H97" s="5222"/>
      <c r="I97" s="828"/>
      <c r="J97" s="806"/>
      <c r="K97" s="5223" t="s">
        <v>208</v>
      </c>
      <c r="L97" s="5224"/>
      <c r="M97" s="5224"/>
      <c r="N97" s="5224"/>
      <c r="O97" s="5224"/>
      <c r="P97" s="5225"/>
      <c r="Q97" s="833"/>
      <c r="R97" s="811"/>
      <c r="S97" s="5226" t="s">
        <v>209</v>
      </c>
      <c r="T97" s="5224"/>
      <c r="U97" s="5224"/>
      <c r="V97" s="5224"/>
      <c r="W97" s="5224"/>
      <c r="X97" s="5225"/>
      <c r="Y97" s="833"/>
      <c r="Z97" s="806"/>
      <c r="AL97" s="678"/>
      <c r="BB97" s="678"/>
      <c r="BH97" s="678"/>
      <c r="BI97" s="4422"/>
    </row>
    <row r="98" spans="2:82" ht="15.75" thickBot="1">
      <c r="B98" s="5228"/>
      <c r="C98" s="694" t="str">
        <f t="shared" ref="C98:X98" si="585">C10</f>
        <v>2024 г.</v>
      </c>
      <c r="D98" s="695" t="str">
        <f t="shared" si="585"/>
        <v>2027 г.</v>
      </c>
      <c r="E98" s="695" t="str">
        <f t="shared" si="585"/>
        <v>2028 г.</v>
      </c>
      <c r="F98" s="695" t="str">
        <f t="shared" si="585"/>
        <v>2029 г.</v>
      </c>
      <c r="G98" s="695" t="str">
        <f t="shared" si="585"/>
        <v>2030 г.</v>
      </c>
      <c r="H98" s="696" t="str">
        <f t="shared" si="585"/>
        <v>2031 г.</v>
      </c>
      <c r="I98" s="829"/>
      <c r="J98" s="807"/>
      <c r="K98" s="697" t="str">
        <f t="shared" si="585"/>
        <v>2024 г.</v>
      </c>
      <c r="L98" s="695" t="str">
        <f t="shared" si="585"/>
        <v>2027 г.</v>
      </c>
      <c r="M98" s="695" t="str">
        <f t="shared" si="585"/>
        <v>2028 г.</v>
      </c>
      <c r="N98" s="695" t="str">
        <f t="shared" si="585"/>
        <v>2029 г.</v>
      </c>
      <c r="O98" s="695" t="str">
        <f t="shared" si="585"/>
        <v>2030 г.</v>
      </c>
      <c r="P98" s="696" t="str">
        <f t="shared" si="585"/>
        <v>2031 г.</v>
      </c>
      <c r="Q98" s="834"/>
      <c r="R98" s="812"/>
      <c r="S98" s="694" t="str">
        <f t="shared" si="585"/>
        <v>2024 г.</v>
      </c>
      <c r="T98" s="695" t="str">
        <f t="shared" si="585"/>
        <v>2027 г.</v>
      </c>
      <c r="U98" s="695" t="str">
        <f t="shared" si="585"/>
        <v>2028 г.</v>
      </c>
      <c r="V98" s="695" t="str">
        <f t="shared" si="585"/>
        <v>2029 г.</v>
      </c>
      <c r="W98" s="695" t="str">
        <f t="shared" si="585"/>
        <v>2030 г.</v>
      </c>
      <c r="X98" s="696" t="str">
        <f t="shared" si="585"/>
        <v>2031 г.</v>
      </c>
      <c r="Y98" s="834"/>
      <c r="Z98" s="807"/>
      <c r="AL98" s="678"/>
      <c r="BB98" s="678"/>
      <c r="BH98" s="678"/>
      <c r="BI98" s="4422"/>
    </row>
    <row r="99" spans="2:82" ht="36">
      <c r="B99" s="995" t="s">
        <v>929</v>
      </c>
      <c r="C99" s="996">
        <f t="shared" ref="C99:X99" si="586">C29-C31</f>
        <v>1783.3258900000001</v>
      </c>
      <c r="D99" s="997">
        <f t="shared" si="586"/>
        <v>2066.473657</v>
      </c>
      <c r="E99" s="997">
        <f t="shared" si="586"/>
        <v>2146.3643398500003</v>
      </c>
      <c r="F99" s="997">
        <f t="shared" si="586"/>
        <v>2210.7552700455003</v>
      </c>
      <c r="G99" s="997">
        <f t="shared" si="586"/>
        <v>2227.16821503459</v>
      </c>
      <c r="H99" s="998">
        <f t="shared" si="586"/>
        <v>2227.5954890315065</v>
      </c>
      <c r="I99" s="999"/>
      <c r="J99" s="1000"/>
      <c r="K99" s="1001">
        <f t="shared" si="586"/>
        <v>443.47147000000001</v>
      </c>
      <c r="L99" s="997">
        <f t="shared" si="586"/>
        <v>565.47291100000007</v>
      </c>
      <c r="M99" s="997">
        <f t="shared" si="586"/>
        <v>592.71935655000004</v>
      </c>
      <c r="N99" s="997">
        <f t="shared" si="586"/>
        <v>610.50093724649992</v>
      </c>
      <c r="O99" s="997">
        <f t="shared" si="586"/>
        <v>601.01530970157</v>
      </c>
      <c r="P99" s="998">
        <f t="shared" si="586"/>
        <v>580.90326942390732</v>
      </c>
      <c r="Q99" s="1002"/>
      <c r="R99" s="1003"/>
      <c r="S99" s="996">
        <f t="shared" si="586"/>
        <v>281.67176000000001</v>
      </c>
      <c r="T99" s="997">
        <f t="shared" si="586"/>
        <v>431.22528799999998</v>
      </c>
      <c r="U99" s="997">
        <f t="shared" si="586"/>
        <v>449.8547524</v>
      </c>
      <c r="V99" s="997">
        <f t="shared" si="586"/>
        <v>467.76039497200003</v>
      </c>
      <c r="W99" s="997">
        <f t="shared" si="586"/>
        <v>410.83717862256003</v>
      </c>
      <c r="X99" s="998">
        <f t="shared" si="586"/>
        <v>368.55604729275763</v>
      </c>
      <c r="Y99" s="1002"/>
      <c r="Z99" s="1000"/>
      <c r="AL99" s="678"/>
      <c r="AR99" s="678"/>
      <c r="AS99" s="659"/>
      <c r="AT99" s="659"/>
      <c r="AU99" s="659"/>
      <c r="AV99" s="659"/>
      <c r="AW99" s="659"/>
      <c r="AX99" s="659"/>
      <c r="AY99" s="659"/>
      <c r="AZ99" s="659"/>
      <c r="BA99" s="659"/>
      <c r="BB99" s="659"/>
      <c r="BC99" s="659"/>
      <c r="BD99" s="659"/>
      <c r="BE99" s="659"/>
      <c r="BF99" s="659"/>
      <c r="BG99" s="659"/>
      <c r="BH99" s="659"/>
      <c r="BI99" s="4422"/>
      <c r="BJ99" s="4438">
        <f t="shared" ref="BJ99:BJ102" si="587">IFERROR(C99/$D$1,0)</f>
        <v>911.80004908402066</v>
      </c>
      <c r="BK99" s="4438">
        <f t="shared" ref="BK99:BK102" si="588">IFERROR(D99/$D$1,0)</f>
        <v>1056.5712035299591</v>
      </c>
      <c r="BL99" s="4438">
        <f t="shared" ref="BL99:BL102" si="589">IFERROR(E99/$D$1,0)</f>
        <v>1097.4186610543863</v>
      </c>
      <c r="BM99" s="4438">
        <f t="shared" ref="BM99:BM102" si="590">IFERROR(F99/$D$1,0)</f>
        <v>1130.3412208860179</v>
      </c>
      <c r="BN99" s="4438">
        <f t="shared" ref="BN99:BN102" si="591">IFERROR(G99/$D$1,0)</f>
        <v>1138.7330264054597</v>
      </c>
      <c r="BO99" s="4438">
        <f t="shared" ref="BO99:BO102" si="592">IFERROR(H99/$D$1,0)</f>
        <v>1138.9514881311293</v>
      </c>
      <c r="BP99" s="4452"/>
      <c r="BQ99" s="4438">
        <f t="shared" ref="BQ99:BQ102" si="593">IFERROR(K99/$D$1,0)</f>
        <v>226.74336215315239</v>
      </c>
      <c r="BR99" s="4438">
        <f t="shared" ref="BR99:BR102" si="594">IFERROR(L99/$D$1,0)</f>
        <v>289.12170843069185</v>
      </c>
      <c r="BS99" s="4438">
        <f t="shared" ref="BS99:BS102" si="595">IFERROR(M99/$D$1,0)</f>
        <v>303.05259483186171</v>
      </c>
      <c r="BT99" s="4438">
        <f t="shared" ref="BT99:BT102" si="596">IFERROR(N99/$D$1,0)</f>
        <v>312.1441726768175</v>
      </c>
      <c r="BU99" s="4438">
        <f t="shared" ref="BU99:BU102" si="597">IFERROR(O99/$D$1,0)</f>
        <v>307.29424832504361</v>
      </c>
      <c r="BV99" s="4438">
        <f t="shared" ref="BV99:BV102" si="598">IFERROR(P99/$D$1,0)</f>
        <v>297.01112541678333</v>
      </c>
      <c r="BW99" s="4452"/>
      <c r="BX99" s="4438">
        <f t="shared" ref="BX99:BX102" si="599">IFERROR(S99/$D$1,0)</f>
        <v>144.01648405024977</v>
      </c>
      <c r="BY99" s="4438">
        <f t="shared" ref="BY99:BY102" si="600">IFERROR(T99/$D$1,0)</f>
        <v>220.48198872090109</v>
      </c>
      <c r="BZ99" s="4438">
        <f t="shared" ref="BZ99:BZ102" si="601">IFERROR(U99/$D$1,0)</f>
        <v>230.00708261965508</v>
      </c>
      <c r="CA99" s="4438">
        <f t="shared" ref="CA99:CA102" si="602">IFERROR(V99/$D$1,0)</f>
        <v>239.16209229432008</v>
      </c>
      <c r="CB99" s="4438">
        <f t="shared" ref="CB99:CB102" si="603">IFERROR(W99/$D$1,0)</f>
        <v>210.05771392327557</v>
      </c>
      <c r="CC99" s="4438">
        <f t="shared" ref="CC99:CC102" si="604">IFERROR(X99/$D$1,0)</f>
        <v>188.43971474655652</v>
      </c>
      <c r="CD99" s="4453"/>
    </row>
    <row r="100" spans="2:82">
      <c r="B100" s="1004" t="s">
        <v>930</v>
      </c>
      <c r="C100" s="1005">
        <f t="shared" ref="C100:X100" si="605">C59+C63</f>
        <v>11599</v>
      </c>
      <c r="D100" s="1006">
        <f t="shared" si="605"/>
        <v>17403</v>
      </c>
      <c r="E100" s="1006">
        <f t="shared" si="605"/>
        <v>19330.560000000001</v>
      </c>
      <c r="F100" s="1006">
        <f t="shared" si="605"/>
        <v>21549.427200000006</v>
      </c>
      <c r="G100" s="1006">
        <f t="shared" si="605"/>
        <v>24534.841280000001</v>
      </c>
      <c r="H100" s="1007">
        <f t="shared" si="605"/>
        <v>27315.462233600003</v>
      </c>
      <c r="I100" s="1008"/>
      <c r="J100" s="1009"/>
      <c r="K100" s="1010">
        <f t="shared" si="605"/>
        <v>496</v>
      </c>
      <c r="L100" s="1006">
        <f t="shared" si="605"/>
        <v>614.54736842105262</v>
      </c>
      <c r="M100" s="1006">
        <f t="shared" si="605"/>
        <v>683.40000000000009</v>
      </c>
      <c r="N100" s="1006">
        <f t="shared" si="605"/>
        <v>759.00800000000015</v>
      </c>
      <c r="O100" s="1006">
        <f t="shared" si="605"/>
        <v>844.8089600000003</v>
      </c>
      <c r="P100" s="1007">
        <f t="shared" si="605"/>
        <v>940.90603520000025</v>
      </c>
      <c r="Q100" s="1011"/>
      <c r="R100" s="1012"/>
      <c r="S100" s="1005">
        <f t="shared" si="605"/>
        <v>916</v>
      </c>
      <c r="T100" s="1006">
        <f t="shared" si="605"/>
        <v>1317</v>
      </c>
      <c r="U100" s="1006">
        <f t="shared" si="605"/>
        <v>1462.2000000000003</v>
      </c>
      <c r="V100" s="1006">
        <f t="shared" si="605"/>
        <v>1624.8240000000001</v>
      </c>
      <c r="W100" s="1006">
        <f t="shared" si="605"/>
        <v>1878.4976000000001</v>
      </c>
      <c r="X100" s="1007">
        <f t="shared" si="605"/>
        <v>2087.9573120000005</v>
      </c>
      <c r="Y100" s="1011"/>
      <c r="Z100" s="1009"/>
      <c r="AH100" s="683"/>
      <c r="AI100" s="683"/>
      <c r="AJ100" s="683"/>
      <c r="AL100" s="678"/>
      <c r="AM100" s="683"/>
      <c r="AN100" s="683"/>
      <c r="AP100" s="683"/>
      <c r="AR100" s="678"/>
      <c r="AS100" s="659"/>
      <c r="AT100" s="659"/>
      <c r="AU100" s="659"/>
      <c r="AV100" s="659"/>
      <c r="AW100" s="659"/>
      <c r="AX100" s="659"/>
      <c r="AY100" s="659"/>
      <c r="AZ100" s="659"/>
      <c r="BA100" s="659"/>
      <c r="BB100" s="659"/>
      <c r="BC100" s="659"/>
      <c r="BD100" s="659"/>
      <c r="BE100" s="659"/>
      <c r="BF100" s="659"/>
      <c r="BG100" s="659"/>
      <c r="BH100" s="659"/>
      <c r="BI100" s="4422"/>
      <c r="BJ100" s="4438">
        <f t="shared" si="587"/>
        <v>5930.4745299949382</v>
      </c>
      <c r="BK100" s="4438">
        <f t="shared" si="588"/>
        <v>8898.0126084577896</v>
      </c>
      <c r="BL100" s="4438">
        <f t="shared" si="589"/>
        <v>9883.5583869763741</v>
      </c>
      <c r="BM100" s="4438">
        <f t="shared" si="590"/>
        <v>11018.047171788961</v>
      </c>
      <c r="BN100" s="4438">
        <f t="shared" si="591"/>
        <v>12544.465152901837</v>
      </c>
      <c r="BO100" s="4438">
        <f t="shared" si="592"/>
        <v>13966.174071161606</v>
      </c>
      <c r="BP100" s="4452"/>
      <c r="BQ100" s="4438">
        <f t="shared" si="593"/>
        <v>253.60077307332438</v>
      </c>
      <c r="BR100" s="4438">
        <f t="shared" si="594"/>
        <v>314.21308008418555</v>
      </c>
      <c r="BS100" s="4438">
        <f t="shared" si="595"/>
        <v>349.41687160949579</v>
      </c>
      <c r="BT100" s="4438">
        <f t="shared" si="596"/>
        <v>388.07462816297948</v>
      </c>
      <c r="BU100" s="4438">
        <f t="shared" si="597"/>
        <v>431.94396240982104</v>
      </c>
      <c r="BV100" s="4438">
        <f t="shared" si="598"/>
        <v>481.07761676628348</v>
      </c>
      <c r="BW100" s="4452"/>
      <c r="BX100" s="4438">
        <f t="shared" si="599"/>
        <v>468.34336317573616</v>
      </c>
      <c r="BY100" s="4438">
        <f t="shared" si="600"/>
        <v>673.37140753541973</v>
      </c>
      <c r="BZ100" s="4438">
        <f t="shared" si="601"/>
        <v>747.61098868511078</v>
      </c>
      <c r="CA100" s="4438">
        <f t="shared" si="602"/>
        <v>830.75931957276453</v>
      </c>
      <c r="CB100" s="4438">
        <f t="shared" si="603"/>
        <v>960.46057172658163</v>
      </c>
      <c r="CC100" s="4438">
        <f t="shared" si="604"/>
        <v>1067.5556219098798</v>
      </c>
      <c r="CD100" s="4453"/>
    </row>
    <row r="101" spans="2:82">
      <c r="B101" s="1004" t="s">
        <v>931</v>
      </c>
      <c r="C101" s="1005">
        <f t="shared" ref="C101:X101" si="606">C90</f>
        <v>2785.9219500000004</v>
      </c>
      <c r="D101" s="1006">
        <f t="shared" si="606"/>
        <v>3621.698535</v>
      </c>
      <c r="E101" s="1006">
        <f t="shared" si="606"/>
        <v>3802.7834617499993</v>
      </c>
      <c r="F101" s="1006">
        <f t="shared" si="606"/>
        <v>3916.8669656024999</v>
      </c>
      <c r="G101" s="1006">
        <f t="shared" si="606"/>
        <v>3721.0236173223748</v>
      </c>
      <c r="H101" s="1007">
        <f t="shared" si="606"/>
        <v>3572.1826726294803</v>
      </c>
      <c r="I101" s="1008"/>
      <c r="J101" s="1009"/>
      <c r="K101" s="1010">
        <f t="shared" si="606"/>
        <v>425.70320999999996</v>
      </c>
      <c r="L101" s="1006">
        <f t="shared" si="606"/>
        <v>553.41417300000001</v>
      </c>
      <c r="M101" s="1006">
        <f t="shared" si="606"/>
        <v>581.08488165000028</v>
      </c>
      <c r="N101" s="1006">
        <f t="shared" si="606"/>
        <v>598.51742809950008</v>
      </c>
      <c r="O101" s="1006">
        <f t="shared" si="606"/>
        <v>586.54707953751017</v>
      </c>
      <c r="P101" s="1007">
        <f t="shared" si="606"/>
        <v>563.08519635600976</v>
      </c>
      <c r="Q101" s="1011"/>
      <c r="R101" s="1012"/>
      <c r="S101" s="1005">
        <f t="shared" si="606"/>
        <v>71.521940000000001</v>
      </c>
      <c r="T101" s="1006">
        <f t="shared" si="606"/>
        <v>92.978522000000012</v>
      </c>
      <c r="U101" s="1006">
        <f t="shared" si="606"/>
        <v>97.627448100000024</v>
      </c>
      <c r="V101" s="1006">
        <f t="shared" si="606"/>
        <v>100.55627154300001</v>
      </c>
      <c r="W101" s="1006">
        <f t="shared" si="606"/>
        <v>98.545146112140046</v>
      </c>
      <c r="X101" s="1007">
        <f t="shared" si="606"/>
        <v>94.603340267654403</v>
      </c>
      <c r="Y101" s="1011"/>
      <c r="Z101" s="1009"/>
      <c r="AL101" s="678"/>
      <c r="AR101" s="678"/>
      <c r="AS101" s="659"/>
      <c r="AT101" s="659"/>
      <c r="AU101" s="659"/>
      <c r="AV101" s="659"/>
      <c r="AW101" s="659"/>
      <c r="AX101" s="659"/>
      <c r="AY101" s="659"/>
      <c r="AZ101" s="659"/>
      <c r="BA101" s="659"/>
      <c r="BB101" s="659"/>
      <c r="BC101" s="659"/>
      <c r="BD101" s="659"/>
      <c r="BE101" s="659"/>
      <c r="BF101" s="659"/>
      <c r="BG101" s="659"/>
      <c r="BH101" s="659"/>
      <c r="BI101" s="4422"/>
      <c r="BJ101" s="4438">
        <f t="shared" si="587"/>
        <v>1424.4192746813376</v>
      </c>
      <c r="BK101" s="4438">
        <f t="shared" si="588"/>
        <v>1851.7450570857386</v>
      </c>
      <c r="BL101" s="4438">
        <f t="shared" si="589"/>
        <v>1944.3323099400252</v>
      </c>
      <c r="BM101" s="4438">
        <f t="shared" si="590"/>
        <v>2002.6622792382263</v>
      </c>
      <c r="BN101" s="4438">
        <f t="shared" si="591"/>
        <v>1902.5291652763149</v>
      </c>
      <c r="BO101" s="4438">
        <f t="shared" si="592"/>
        <v>1826.4279986652625</v>
      </c>
      <c r="BP101" s="4452"/>
      <c r="BQ101" s="4438">
        <f t="shared" si="593"/>
        <v>217.65859507216882</v>
      </c>
      <c r="BR101" s="4438">
        <f t="shared" si="594"/>
        <v>282.95617359381953</v>
      </c>
      <c r="BS101" s="4438">
        <f t="shared" si="595"/>
        <v>297.10398227351061</v>
      </c>
      <c r="BT101" s="4438">
        <f t="shared" si="596"/>
        <v>306.01710174171586</v>
      </c>
      <c r="BU101" s="4438">
        <f t="shared" si="597"/>
        <v>299.8967597068816</v>
      </c>
      <c r="BV101" s="4438">
        <f t="shared" si="598"/>
        <v>287.90088931860629</v>
      </c>
      <c r="BW101" s="4452"/>
      <c r="BX101" s="4438">
        <f t="shared" si="599"/>
        <v>36.568587249403066</v>
      </c>
      <c r="BY101" s="4438">
        <f t="shared" si="600"/>
        <v>47.539163424223993</v>
      </c>
      <c r="BZ101" s="4438">
        <f t="shared" si="601"/>
        <v>49.9161215954352</v>
      </c>
      <c r="CA101" s="4438">
        <f t="shared" si="602"/>
        <v>51.41360524329825</v>
      </c>
      <c r="CB101" s="4438">
        <f t="shared" si="603"/>
        <v>50.385333138432301</v>
      </c>
      <c r="CC101" s="4438">
        <f t="shared" si="604"/>
        <v>48.369919812894992</v>
      </c>
      <c r="CD101" s="4453"/>
    </row>
    <row r="102" spans="2:82" ht="15.75" thickBot="1">
      <c r="B102" s="1013" t="s">
        <v>932</v>
      </c>
      <c r="C102" s="1014">
        <f t="shared" ref="C102:X102" si="607">C89</f>
        <v>8392.3463271463152</v>
      </c>
      <c r="D102" s="1015">
        <f t="shared" si="607"/>
        <v>9635.6907827920004</v>
      </c>
      <c r="E102" s="1015">
        <f t="shared" si="607"/>
        <v>9601.072961367001</v>
      </c>
      <c r="F102" s="1015">
        <f t="shared" si="607"/>
        <v>9566.9517335320015</v>
      </c>
      <c r="G102" s="1015">
        <f t="shared" si="607"/>
        <v>9803.5308195460002</v>
      </c>
      <c r="H102" s="1016">
        <f t="shared" si="607"/>
        <v>9768.9844285413983</v>
      </c>
      <c r="I102" s="1017"/>
      <c r="J102" s="1018"/>
      <c r="K102" s="1019">
        <f t="shared" si="607"/>
        <v>120.13673970393796</v>
      </c>
      <c r="L102" s="1015">
        <f t="shared" si="607"/>
        <v>138.64246759785763</v>
      </c>
      <c r="M102" s="1015">
        <f t="shared" si="607"/>
        <v>139.18602010378535</v>
      </c>
      <c r="N102" s="1015">
        <f t="shared" si="607"/>
        <v>139.7458791848909</v>
      </c>
      <c r="O102" s="1015">
        <f t="shared" si="607"/>
        <v>185.34692353282963</v>
      </c>
      <c r="P102" s="1016">
        <f t="shared" si="607"/>
        <v>185.94087803197451</v>
      </c>
      <c r="Q102" s="1020"/>
      <c r="R102" s="1021"/>
      <c r="S102" s="1014">
        <f t="shared" si="607"/>
        <v>802.88555625288518</v>
      </c>
      <c r="T102" s="1015">
        <f t="shared" si="607"/>
        <v>1030.8874642808</v>
      </c>
      <c r="U102" s="1015">
        <f t="shared" si="607"/>
        <v>1044.4048642808</v>
      </c>
      <c r="V102" s="1015">
        <f t="shared" si="607"/>
        <v>1058.5377862808</v>
      </c>
      <c r="W102" s="1015">
        <f t="shared" si="607"/>
        <v>1112.9270579800002</v>
      </c>
      <c r="X102" s="1016">
        <f t="shared" si="607"/>
        <v>1072.3017836798001</v>
      </c>
      <c r="Y102" s="1020"/>
      <c r="Z102" s="1018"/>
      <c r="AS102" s="659"/>
      <c r="AT102" s="659"/>
      <c r="AU102" s="659"/>
      <c r="AV102" s="659"/>
      <c r="AW102" s="659"/>
      <c r="AX102" s="659"/>
      <c r="AY102" s="659"/>
      <c r="AZ102" s="659"/>
      <c r="BA102" s="659"/>
      <c r="BB102" s="659"/>
      <c r="BC102" s="659"/>
      <c r="BD102" s="659"/>
      <c r="BE102" s="659"/>
      <c r="BF102" s="659"/>
      <c r="BG102" s="659"/>
      <c r="BH102" s="659"/>
      <c r="BI102" s="4422"/>
      <c r="BJ102" s="4438">
        <f t="shared" si="587"/>
        <v>4290.9385412568145</v>
      </c>
      <c r="BK102" s="4438">
        <f t="shared" si="588"/>
        <v>4926.6504669587848</v>
      </c>
      <c r="BL102" s="4438">
        <f t="shared" si="589"/>
        <v>4908.9506559194824</v>
      </c>
      <c r="BM102" s="4438">
        <f t="shared" si="590"/>
        <v>4891.5047491510004</v>
      </c>
      <c r="BN102" s="4438">
        <f t="shared" si="591"/>
        <v>5012.4657150907797</v>
      </c>
      <c r="BO102" s="4438">
        <f t="shared" si="592"/>
        <v>4994.8024258454971</v>
      </c>
      <c r="BP102" s="4452"/>
      <c r="BQ102" s="4438">
        <f t="shared" si="593"/>
        <v>61.424939644006876</v>
      </c>
      <c r="BR102" s="4438">
        <f t="shared" si="594"/>
        <v>70.886768071794393</v>
      </c>
      <c r="BS102" s="4438">
        <f t="shared" si="595"/>
        <v>71.164682055079098</v>
      </c>
      <c r="BT102" s="4438">
        <f t="shared" si="596"/>
        <v>71.450933457862334</v>
      </c>
      <c r="BU102" s="4438">
        <f t="shared" si="597"/>
        <v>94.766377207032122</v>
      </c>
      <c r="BV102" s="4438">
        <f t="shared" si="598"/>
        <v>95.070061320244861</v>
      </c>
      <c r="BW102" s="4452"/>
      <c r="BX102" s="4438">
        <f t="shared" si="599"/>
        <v>410.50886644180997</v>
      </c>
      <c r="BY102" s="4438">
        <f t="shared" si="600"/>
        <v>527.08439091372975</v>
      </c>
      <c r="BZ102" s="4438">
        <f t="shared" si="601"/>
        <v>533.99572778861148</v>
      </c>
      <c r="CA102" s="4438">
        <f t="shared" si="602"/>
        <v>541.2217760647909</v>
      </c>
      <c r="CB102" s="4438">
        <f t="shared" si="603"/>
        <v>569.03056910876728</v>
      </c>
      <c r="CC102" s="4438">
        <f t="shared" si="604"/>
        <v>548.25919618770558</v>
      </c>
      <c r="CD102" s="4453"/>
    </row>
    <row r="103" spans="2:82" ht="15.75" thickBot="1">
      <c r="B103" s="1022"/>
      <c r="C103" s="1023"/>
      <c r="D103" s="1024"/>
      <c r="E103" s="1024"/>
      <c r="F103" s="1024"/>
      <c r="G103" s="1024"/>
      <c r="H103" s="1025"/>
      <c r="I103" s="1026"/>
      <c r="J103" s="1027"/>
      <c r="K103" s="1028"/>
      <c r="L103" s="1029"/>
      <c r="M103" s="1029"/>
      <c r="N103" s="1029"/>
      <c r="O103" s="1029"/>
      <c r="P103" s="1030"/>
      <c r="Q103" s="1031"/>
      <c r="R103" s="1032"/>
      <c r="S103" s="1033"/>
      <c r="T103" s="1029"/>
      <c r="U103" s="1029"/>
      <c r="V103" s="1029"/>
      <c r="W103" s="1029"/>
      <c r="X103" s="1025"/>
      <c r="Y103" s="1031"/>
      <c r="Z103" s="1027"/>
      <c r="AS103" s="659"/>
      <c r="AT103" s="659"/>
      <c r="AU103" s="659"/>
      <c r="AV103" s="659"/>
      <c r="AW103" s="659"/>
      <c r="AX103" s="659"/>
      <c r="AY103" s="659"/>
      <c r="AZ103" s="659"/>
      <c r="BA103" s="659"/>
      <c r="BB103" s="659"/>
      <c r="BC103" s="659"/>
      <c r="BD103" s="659"/>
      <c r="BE103" s="659"/>
      <c r="BF103" s="659"/>
      <c r="BG103" s="659"/>
      <c r="BH103" s="659"/>
      <c r="BI103" s="4422"/>
    </row>
    <row r="104" spans="2:82">
      <c r="B104" s="1034" t="s">
        <v>924</v>
      </c>
      <c r="C104" s="1035">
        <f>'2. Променливи'!E25</f>
        <v>3206</v>
      </c>
      <c r="D104" s="1036">
        <f>'2. Променливи'!F25</f>
        <v>3206</v>
      </c>
      <c r="E104" s="1036">
        <f>'2. Променливи'!G25</f>
        <v>3206</v>
      </c>
      <c r="F104" s="1036">
        <f>'2. Променливи'!H25</f>
        <v>3206</v>
      </c>
      <c r="G104" s="1036">
        <f>'2. Променливи'!I25</f>
        <v>3206</v>
      </c>
      <c r="H104" s="1037">
        <f>'2. Променливи'!J25</f>
        <v>3206</v>
      </c>
      <c r="I104" s="1038"/>
      <c r="J104" s="1039"/>
      <c r="K104" s="1040"/>
      <c r="L104" s="1041"/>
      <c r="M104" s="1041"/>
      <c r="N104" s="1041"/>
      <c r="O104" s="1041"/>
      <c r="P104" s="1042"/>
      <c r="Q104" s="1043"/>
      <c r="R104" s="1044"/>
      <c r="S104" s="1045"/>
      <c r="T104" s="1041"/>
      <c r="U104" s="1041"/>
      <c r="V104" s="1041"/>
      <c r="W104" s="1041"/>
      <c r="X104" s="1042"/>
      <c r="Y104" s="1043"/>
      <c r="Z104" s="1039"/>
      <c r="AG104" s="825"/>
      <c r="AH104" s="686"/>
      <c r="AI104" s="686"/>
      <c r="AJ104" s="686"/>
      <c r="AK104" s="686"/>
      <c r="AL104" s="686"/>
      <c r="AM104" s="686"/>
      <c r="AN104" s="686"/>
      <c r="AO104" s="825"/>
      <c r="AP104" s="686"/>
      <c r="AQ104" s="686"/>
      <c r="AR104" s="686"/>
      <c r="AS104" s="659"/>
      <c r="AT104" s="659"/>
      <c r="AU104" s="659"/>
      <c r="AV104" s="659"/>
      <c r="AW104" s="659"/>
      <c r="AX104" s="659"/>
      <c r="AY104" s="659"/>
      <c r="AZ104" s="659"/>
      <c r="BA104" s="659"/>
      <c r="BB104" s="659"/>
      <c r="BC104" s="659"/>
      <c r="BD104" s="659"/>
      <c r="BE104" s="659"/>
      <c r="BF104" s="659"/>
      <c r="BG104" s="659"/>
      <c r="BH104" s="659"/>
      <c r="BI104" s="4422"/>
      <c r="BJ104" s="4458"/>
      <c r="BK104" s="4458"/>
      <c r="BL104" s="4458"/>
      <c r="BM104" s="4458"/>
      <c r="BN104" s="4458"/>
      <c r="BO104" s="4458"/>
      <c r="BP104" s="4458"/>
      <c r="BQ104" s="4458"/>
      <c r="BR104" s="4458"/>
      <c r="BS104" s="4458"/>
      <c r="BT104" s="4458"/>
      <c r="BU104" s="4458"/>
      <c r="BV104" s="4458"/>
      <c r="BW104" s="4458"/>
      <c r="BX104" s="4458"/>
      <c r="BY104" s="4458"/>
      <c r="BZ104" s="4458"/>
      <c r="CA104" s="4458"/>
      <c r="CB104" s="4458"/>
      <c r="CC104" s="4458"/>
      <c r="CD104" s="4458"/>
    </row>
    <row r="105" spans="2:82">
      <c r="B105" s="1004" t="s">
        <v>925</v>
      </c>
      <c r="C105" s="1046"/>
      <c r="D105" s="1047"/>
      <c r="E105" s="1047"/>
      <c r="F105" s="1047"/>
      <c r="G105" s="1047"/>
      <c r="H105" s="1048"/>
      <c r="I105" s="1008"/>
      <c r="J105" s="1049"/>
      <c r="K105" s="1050">
        <f>'2. Променливи'!E31</f>
        <v>346</v>
      </c>
      <c r="L105" s="1051">
        <f>'2. Променливи'!F31</f>
        <v>346</v>
      </c>
      <c r="M105" s="1051">
        <f>'2. Променливи'!G31</f>
        <v>346</v>
      </c>
      <c r="N105" s="1051">
        <f>'2. Променливи'!H31</f>
        <v>346</v>
      </c>
      <c r="O105" s="1051">
        <f>'2. Променливи'!I31</f>
        <v>350</v>
      </c>
      <c r="P105" s="1052">
        <f>'2. Променливи'!J31</f>
        <v>350</v>
      </c>
      <c r="Q105" s="1011"/>
      <c r="R105" s="1053"/>
      <c r="S105" s="1054"/>
      <c r="T105" s="1047"/>
      <c r="U105" s="1047"/>
      <c r="V105" s="1047"/>
      <c r="W105" s="1047"/>
      <c r="X105" s="1048"/>
      <c r="Y105" s="1011"/>
      <c r="Z105" s="1049"/>
      <c r="AG105" s="825"/>
      <c r="AH105" s="686"/>
      <c r="AI105" s="686"/>
      <c r="AJ105" s="686"/>
      <c r="AK105" s="686"/>
      <c r="AL105" s="686"/>
      <c r="AM105" s="686"/>
      <c r="AN105" s="686"/>
      <c r="AO105" s="825"/>
      <c r="AP105" s="686"/>
      <c r="AQ105" s="686"/>
      <c r="AR105" s="686"/>
      <c r="AS105" s="659"/>
      <c r="AT105" s="659"/>
      <c r="AU105" s="659"/>
      <c r="AV105" s="659"/>
      <c r="AW105" s="659"/>
      <c r="AX105" s="659"/>
      <c r="AY105" s="659"/>
      <c r="AZ105" s="659"/>
      <c r="BA105" s="659"/>
      <c r="BB105" s="659"/>
      <c r="BC105" s="659"/>
      <c r="BD105" s="659"/>
      <c r="BE105" s="659"/>
      <c r="BF105" s="659"/>
      <c r="BG105" s="659"/>
      <c r="BH105" s="659"/>
      <c r="BI105" s="4422"/>
      <c r="BJ105" s="4458"/>
      <c r="BK105" s="4458"/>
      <c r="BL105" s="4458"/>
      <c r="BM105" s="4458"/>
      <c r="BN105" s="4458"/>
      <c r="BO105" s="4458"/>
      <c r="BP105" s="4458"/>
      <c r="BQ105" s="4458"/>
      <c r="BR105" s="4458"/>
      <c r="BS105" s="4458"/>
      <c r="BT105" s="4458"/>
      <c r="BU105" s="4458"/>
      <c r="BV105" s="4458"/>
      <c r="BW105" s="4458"/>
      <c r="BX105" s="4458"/>
      <c r="BY105" s="4458"/>
      <c r="BZ105" s="4458"/>
      <c r="CA105" s="4458"/>
      <c r="CB105" s="4458"/>
      <c r="CC105" s="4458"/>
      <c r="CD105" s="4458"/>
    </row>
    <row r="106" spans="2:82">
      <c r="B106" s="1004" t="s">
        <v>926</v>
      </c>
      <c r="C106" s="1055">
        <f>'4. Отчет и прогн. потребление'!D9/1000</f>
        <v>27737.55</v>
      </c>
      <c r="D106" s="1051">
        <f>'4. Отчет и прогн. потребление'!E9/1000</f>
        <v>27042.797180000001</v>
      </c>
      <c r="E106" s="1051">
        <f>'4. Отчет и прогн. потребление'!F9/1000</f>
        <v>26501.941236400002</v>
      </c>
      <c r="F106" s="1051">
        <f>'4. Отчет и прогн. потребление'!G9/1000</f>
        <v>25971.902411671999</v>
      </c>
      <c r="G106" s="1051">
        <f>'4. Отчет и прогн. потребление'!H9/1000</f>
        <v>25513.544999999998</v>
      </c>
      <c r="H106" s="1052">
        <f>'4. Отчет и прогн. потребление'!I9/1000</f>
        <v>24930.674076169798</v>
      </c>
      <c r="I106" s="1056"/>
      <c r="J106" s="1057"/>
      <c r="K106" s="1058"/>
      <c r="L106" s="1047"/>
      <c r="M106" s="1047"/>
      <c r="N106" s="1047"/>
      <c r="O106" s="1047"/>
      <c r="P106" s="1048"/>
      <c r="Q106" s="1059"/>
      <c r="R106" s="1060"/>
      <c r="S106" s="1054"/>
      <c r="T106" s="1047"/>
      <c r="U106" s="1047"/>
      <c r="V106" s="1047"/>
      <c r="W106" s="1047"/>
      <c r="X106" s="1048"/>
      <c r="Y106" s="1059"/>
      <c r="Z106" s="1057"/>
      <c r="AG106" s="825"/>
      <c r="AH106" s="686"/>
      <c r="AI106" s="686"/>
      <c r="AJ106" s="686"/>
      <c r="AK106" s="686"/>
      <c r="AL106" s="686"/>
      <c r="AM106" s="686"/>
      <c r="AN106" s="686"/>
      <c r="AO106" s="825"/>
      <c r="AP106" s="686"/>
      <c r="AQ106" s="686"/>
      <c r="AR106" s="686"/>
      <c r="AS106" s="659"/>
      <c r="AT106" s="659"/>
      <c r="AU106" s="659"/>
      <c r="AV106" s="659"/>
      <c r="AW106" s="659"/>
      <c r="AX106" s="659"/>
      <c r="AY106" s="659"/>
      <c r="AZ106" s="659"/>
      <c r="BA106" s="659"/>
      <c r="BB106" s="659"/>
      <c r="BC106" s="659"/>
      <c r="BD106" s="659"/>
      <c r="BE106" s="659"/>
      <c r="BF106" s="659"/>
      <c r="BG106" s="659"/>
      <c r="BH106" s="659"/>
      <c r="BI106" s="4422"/>
      <c r="BJ106" s="4458"/>
      <c r="BK106" s="4458"/>
      <c r="BL106" s="4458"/>
      <c r="BM106" s="4458"/>
      <c r="BN106" s="4458"/>
      <c r="BO106" s="4458"/>
      <c r="BP106" s="4458"/>
      <c r="BQ106" s="4458"/>
      <c r="BR106" s="4458"/>
      <c r="BS106" s="4458"/>
      <c r="BT106" s="4458"/>
      <c r="BU106" s="4458"/>
      <c r="BV106" s="4458"/>
      <c r="BW106" s="4458"/>
      <c r="BX106" s="4458"/>
      <c r="BY106" s="4458"/>
      <c r="BZ106" s="4458"/>
      <c r="CA106" s="4458"/>
      <c r="CB106" s="4458"/>
      <c r="CC106" s="4458"/>
      <c r="CD106" s="4458"/>
    </row>
    <row r="107" spans="2:82">
      <c r="B107" s="3310" t="s">
        <v>927</v>
      </c>
      <c r="C107" s="1054"/>
      <c r="D107" s="1047"/>
      <c r="E107" s="1047"/>
      <c r="F107" s="1047"/>
      <c r="G107" s="1047"/>
      <c r="H107" s="1048"/>
      <c r="I107" s="1008"/>
      <c r="J107" s="1049"/>
      <c r="K107" s="1050">
        <f>'4. Отчет и прогн. потребление'!D48/1000</f>
        <v>5745.7879999999996</v>
      </c>
      <c r="L107" s="1051">
        <f>'4. Отчет и прогн. потребление'!E48/1000</f>
        <v>5761.1480000000001</v>
      </c>
      <c r="M107" s="1051">
        <f>'4. Отчет и прогн. потребление'!F48/1000</f>
        <v>5702.5444887824824</v>
      </c>
      <c r="N107" s="1051">
        <f>'4. Отчет и прогн. потребление'!G48/1000</f>
        <v>5643.9404462371531</v>
      </c>
      <c r="O107" s="1051">
        <f>'4. Отчет и прогн. потребление'!H48/1000</f>
        <v>5585.3364036918265</v>
      </c>
      <c r="P107" s="1052">
        <f>'4. Отчет и прогн. потребление'!I48/1000</f>
        <v>5534.4333120866613</v>
      </c>
      <c r="Q107" s="1011"/>
      <c r="R107" s="1053"/>
      <c r="S107" s="1054"/>
      <c r="T107" s="1047"/>
      <c r="U107" s="1047"/>
      <c r="V107" s="1047"/>
      <c r="W107" s="1047"/>
      <c r="X107" s="1048"/>
      <c r="Y107" s="1011"/>
      <c r="Z107" s="1049"/>
      <c r="AG107" s="825"/>
      <c r="AH107" s="686"/>
      <c r="AI107" s="686"/>
      <c r="AJ107" s="686"/>
      <c r="AK107" s="686"/>
      <c r="AL107" s="686"/>
      <c r="AM107" s="686"/>
      <c r="AN107" s="686"/>
      <c r="AO107" s="825"/>
      <c r="AP107" s="686"/>
      <c r="AQ107" s="686"/>
      <c r="AR107" s="686"/>
      <c r="AS107" s="659"/>
      <c r="AT107" s="659"/>
      <c r="AU107" s="659"/>
      <c r="AV107" s="659"/>
      <c r="AW107" s="659"/>
      <c r="AX107" s="659"/>
      <c r="AY107" s="659"/>
      <c r="AZ107" s="659"/>
      <c r="BA107" s="659"/>
      <c r="BB107" s="659"/>
      <c r="BC107" s="659"/>
      <c r="BD107" s="659"/>
      <c r="BE107" s="659"/>
      <c r="BF107" s="659"/>
      <c r="BG107" s="659"/>
      <c r="BH107" s="659"/>
      <c r="BI107" s="4422"/>
      <c r="BJ107" s="4438">
        <f t="shared" ref="BJ107" si="608">IFERROR(C107/$D$1,0)</f>
        <v>0</v>
      </c>
      <c r="BK107" s="4438">
        <f t="shared" ref="BK107" si="609">IFERROR(D107/$D$1,0)</f>
        <v>0</v>
      </c>
      <c r="BL107" s="4438">
        <f t="shared" ref="BL107" si="610">IFERROR(E107/$D$1,0)</f>
        <v>0</v>
      </c>
      <c r="BM107" s="4438">
        <f t="shared" ref="BM107" si="611">IFERROR(F107/$D$1,0)</f>
        <v>0</v>
      </c>
      <c r="BN107" s="4438">
        <f t="shared" ref="BN107" si="612">IFERROR(G107/$D$1,0)</f>
        <v>0</v>
      </c>
      <c r="BO107" s="4438">
        <f t="shared" ref="BO107" si="613">IFERROR(H107/$D$1,0)</f>
        <v>0</v>
      </c>
      <c r="BP107" s="4452"/>
      <c r="BQ107" s="4438">
        <f t="shared" ref="BQ107" si="614">IFERROR(K107/$D$1,0)</f>
        <v>2937.7747554746575</v>
      </c>
      <c r="BR107" s="4438">
        <f t="shared" ref="BR107" si="615">IFERROR(L107/$D$1,0)</f>
        <v>2945.6281987698317</v>
      </c>
      <c r="BS107" s="4438">
        <f t="shared" ref="BS107" si="616">IFERROR(M107/$D$1,0)</f>
        <v>2915.6646992747237</v>
      </c>
      <c r="BT107" s="4438">
        <f t="shared" ref="BT107" si="617">IFERROR(N107/$D$1,0)</f>
        <v>2885.700928116019</v>
      </c>
      <c r="BU107" s="4438">
        <f t="shared" ref="BU107" si="618">IFERROR(O107/$D$1,0)</f>
        <v>2855.7371569573156</v>
      </c>
      <c r="BV107" s="4438">
        <f t="shared" ref="BV107" si="619">IFERROR(P107/$D$1,0)</f>
        <v>2829.7108194918073</v>
      </c>
      <c r="BW107" s="4452"/>
      <c r="BX107" s="4438">
        <f t="shared" ref="BX107" si="620">IFERROR(S107/$D$1,0)</f>
        <v>0</v>
      </c>
      <c r="BY107" s="4438">
        <f t="shared" ref="BY107" si="621">IFERROR(T107/$D$1,0)</f>
        <v>0</v>
      </c>
      <c r="BZ107" s="4438">
        <f t="shared" ref="BZ107" si="622">IFERROR(U107/$D$1,0)</f>
        <v>0</v>
      </c>
      <c r="CA107" s="4438">
        <f t="shared" ref="CA107" si="623">IFERROR(V107/$D$1,0)</f>
        <v>0</v>
      </c>
      <c r="CB107" s="4438">
        <f t="shared" ref="CB107" si="624">IFERROR(W107/$D$1,0)</f>
        <v>0</v>
      </c>
      <c r="CC107" s="4438">
        <f t="shared" ref="CC107" si="625">IFERROR(X107/$D$1,0)</f>
        <v>0</v>
      </c>
      <c r="CD107" s="4453"/>
    </row>
    <row r="108" spans="2:82" ht="15.75" thickBot="1">
      <c r="B108" s="3311" t="s">
        <v>928</v>
      </c>
      <c r="C108" s="412"/>
      <c r="D108" s="413"/>
      <c r="E108" s="413"/>
      <c r="F108" s="413"/>
      <c r="G108" s="413"/>
      <c r="H108" s="414"/>
      <c r="I108" s="1061"/>
      <c r="J108" s="924"/>
      <c r="K108" s="928"/>
      <c r="L108" s="413"/>
      <c r="M108" s="413"/>
      <c r="N108" s="413"/>
      <c r="O108" s="413"/>
      <c r="P108" s="414"/>
      <c r="Q108" s="1062"/>
      <c r="R108" s="1063"/>
      <c r="S108" s="1064">
        <f>'2. Променливи'!E66/1000</f>
        <v>14071.358</v>
      </c>
      <c r="T108" s="1065">
        <f>'2. Променливи'!F66/1000</f>
        <v>14071.358</v>
      </c>
      <c r="U108" s="1065">
        <f>'2. Променливи'!G66/1000</f>
        <v>14071.358</v>
      </c>
      <c r="V108" s="1065">
        <f>'2. Променливи'!H66/1000</f>
        <v>14071.358</v>
      </c>
      <c r="W108" s="1065">
        <f>'2. Променливи'!I66/1000</f>
        <v>17571.358</v>
      </c>
      <c r="X108" s="1066">
        <f>'2. Променливи'!J66/1000</f>
        <v>17571.358</v>
      </c>
      <c r="Y108" s="1062"/>
      <c r="Z108" s="924"/>
      <c r="AG108" s="825"/>
      <c r="AH108" s="686"/>
      <c r="AI108" s="686"/>
      <c r="AJ108" s="686"/>
      <c r="AK108" s="686"/>
      <c r="AL108" s="686"/>
      <c r="AM108" s="686"/>
      <c r="AN108" s="686"/>
      <c r="AO108" s="825"/>
      <c r="AP108" s="686"/>
      <c r="AQ108" s="686"/>
      <c r="AR108" s="686"/>
      <c r="AS108" s="659"/>
      <c r="AT108" s="659"/>
      <c r="AU108" s="659"/>
      <c r="AV108" s="659"/>
      <c r="AW108" s="659"/>
      <c r="AX108" s="659"/>
      <c r="AY108" s="659"/>
      <c r="AZ108" s="659"/>
      <c r="BA108" s="659"/>
      <c r="BB108" s="659"/>
      <c r="BC108" s="659"/>
      <c r="BD108" s="659"/>
      <c r="BE108" s="659"/>
      <c r="BF108" s="659"/>
      <c r="BG108" s="659"/>
      <c r="BH108" s="659"/>
      <c r="BI108" s="4422"/>
      <c r="BJ108" s="4458"/>
      <c r="BK108" s="4458"/>
      <c r="BL108" s="4458"/>
      <c r="BM108" s="4458"/>
      <c r="BN108" s="4458"/>
      <c r="BO108" s="4458"/>
      <c r="BP108" s="4458"/>
      <c r="BQ108" s="4458"/>
      <c r="BR108" s="4458"/>
      <c r="BS108" s="4458"/>
      <c r="BT108" s="4458"/>
      <c r="BU108" s="4458"/>
      <c r="BV108" s="4458"/>
      <c r="BW108" s="4458"/>
      <c r="BX108" s="4458"/>
      <c r="BY108" s="4458"/>
      <c r="BZ108" s="4458"/>
      <c r="CA108" s="4458"/>
      <c r="CB108" s="4458"/>
      <c r="CC108" s="4458"/>
      <c r="CD108" s="4458"/>
    </row>
    <row r="109" spans="2:82" ht="15.75" thickBot="1">
      <c r="B109" s="1067"/>
      <c r="C109" s="1068"/>
      <c r="D109" s="1069"/>
      <c r="E109" s="1069"/>
      <c r="F109" s="1069"/>
      <c r="G109" s="1069"/>
      <c r="H109" s="1070"/>
      <c r="I109" s="1071"/>
      <c r="J109" s="1072"/>
      <c r="K109" s="1073"/>
      <c r="L109" s="1074"/>
      <c r="M109" s="1074"/>
      <c r="N109" s="1074"/>
      <c r="O109" s="1074"/>
      <c r="P109" s="1075"/>
      <c r="Q109" s="1076"/>
      <c r="R109" s="1077"/>
      <c r="S109" s="1078"/>
      <c r="T109" s="1074"/>
      <c r="U109" s="1074"/>
      <c r="V109" s="1074"/>
      <c r="W109" s="1074"/>
      <c r="X109" s="1079"/>
      <c r="Y109" s="1076"/>
      <c r="Z109" s="1072"/>
      <c r="AG109" s="825"/>
      <c r="AH109" s="686"/>
      <c r="AI109" s="686"/>
      <c r="AJ109" s="686"/>
      <c r="AK109" s="686"/>
      <c r="AL109" s="686"/>
      <c r="AM109" s="686"/>
      <c r="AN109" s="686"/>
      <c r="AO109" s="825"/>
      <c r="AP109" s="686"/>
      <c r="AQ109" s="686"/>
      <c r="AR109" s="686"/>
      <c r="AS109" s="659"/>
      <c r="AT109" s="659"/>
      <c r="AU109" s="659"/>
      <c r="AV109" s="659"/>
      <c r="AW109" s="659"/>
      <c r="AX109" s="659"/>
      <c r="AY109" s="659"/>
      <c r="AZ109" s="659"/>
      <c r="BA109" s="659"/>
      <c r="BB109" s="659"/>
      <c r="BC109" s="659"/>
      <c r="BD109" s="659"/>
      <c r="BE109" s="659"/>
      <c r="BF109" s="659"/>
      <c r="BG109" s="659"/>
      <c r="BH109" s="659"/>
      <c r="BI109" s="4422"/>
    </row>
    <row r="110" spans="2:82" ht="54.75" customHeight="1">
      <c r="B110" s="698" t="s">
        <v>933</v>
      </c>
      <c r="C110" s="347">
        <f>IFERROR(C99/C104,0)</f>
        <v>0.55624637866500315</v>
      </c>
      <c r="D110" s="348">
        <f>IFERROR(D99/D104,0)</f>
        <v>0.64456445945102936</v>
      </c>
      <c r="E110" s="348">
        <f t="shared" ref="E110:H110" si="626">IFERROR(E99/E104,0)</f>
        <v>0.66948357450093587</v>
      </c>
      <c r="F110" s="348">
        <f t="shared" si="626"/>
        <v>0.68956808173596396</v>
      </c>
      <c r="G110" s="348">
        <f>IFERROR(G99/G104,0)</f>
        <v>0.69468752808315348</v>
      </c>
      <c r="H110" s="349">
        <f t="shared" si="626"/>
        <v>0.69482080131987101</v>
      </c>
      <c r="I110" s="830"/>
      <c r="J110" s="808"/>
      <c r="K110" s="350">
        <f>IFERROR(K99/K105,0)</f>
        <v>1.2817094508670521</v>
      </c>
      <c r="L110" s="348">
        <f t="shared" ref="L110:P110" si="627">IFERROR(L99/L105,0)</f>
        <v>1.6343147716763007</v>
      </c>
      <c r="M110" s="348">
        <f t="shared" si="627"/>
        <v>1.713061724132948</v>
      </c>
      <c r="N110" s="348">
        <f t="shared" si="627"/>
        <v>1.7644535758569362</v>
      </c>
      <c r="O110" s="348">
        <f t="shared" si="627"/>
        <v>1.717186599147343</v>
      </c>
      <c r="P110" s="349">
        <f t="shared" si="627"/>
        <v>1.6597236269254494</v>
      </c>
      <c r="Q110" s="835"/>
      <c r="R110" s="813"/>
      <c r="S110" s="347">
        <f>IFERROR(S99/S108,0)</f>
        <v>2.0017382828295606E-2</v>
      </c>
      <c r="T110" s="348">
        <f t="shared" ref="T110:X110" si="628">IFERROR(T99/T108,0)</f>
        <v>3.0645605633798811E-2</v>
      </c>
      <c r="U110" s="348">
        <f t="shared" si="628"/>
        <v>3.1969533601518774E-2</v>
      </c>
      <c r="V110" s="348">
        <f t="shared" si="628"/>
        <v>3.3242022196578326E-2</v>
      </c>
      <c r="W110" s="348">
        <f t="shared" si="628"/>
        <v>2.3381071549652566E-2</v>
      </c>
      <c r="X110" s="349">
        <f t="shared" si="628"/>
        <v>2.0974818639103342E-2</v>
      </c>
      <c r="Y110" s="835"/>
      <c r="Z110" s="808"/>
      <c r="AG110" s="825"/>
      <c r="AH110" s="686"/>
      <c r="AI110" s="686"/>
      <c r="AJ110" s="686"/>
      <c r="AK110" s="686"/>
      <c r="AL110" s="686"/>
      <c r="AM110" s="686"/>
      <c r="AN110" s="686"/>
      <c r="AO110" s="825"/>
      <c r="AP110" s="686"/>
      <c r="AQ110" s="686"/>
      <c r="AR110" s="686"/>
      <c r="AS110" s="659"/>
      <c r="AT110" s="659"/>
      <c r="AU110" s="659"/>
      <c r="AV110" s="659"/>
      <c r="AW110" s="659"/>
      <c r="AX110" s="659"/>
      <c r="AY110" s="659"/>
      <c r="AZ110" s="659"/>
      <c r="BA110" s="659"/>
      <c r="BB110" s="659"/>
      <c r="BC110" s="659"/>
      <c r="BD110" s="659"/>
      <c r="BE110" s="659"/>
      <c r="BF110" s="659"/>
      <c r="BG110" s="659"/>
      <c r="BH110" s="659"/>
      <c r="BI110" s="4422"/>
      <c r="BJ110" s="4459">
        <f t="shared" ref="BJ110:BJ113" si="629">IFERROR(C110/$D$1,0)</f>
        <v>0.28440425735621355</v>
      </c>
      <c r="BK110" s="4459">
        <f t="shared" ref="BK110:BK113" si="630">IFERROR(D110/$D$1,0)</f>
        <v>0.32956057502494052</v>
      </c>
      <c r="BL110" s="4459">
        <f t="shared" ref="BL110:BL113" si="631">IFERROR(E110/$D$1,0)</f>
        <v>0.34230151623655219</v>
      </c>
      <c r="BM110" s="4459">
        <f t="shared" ref="BM110:BM113" si="632">IFERROR(F110/$D$1,0)</f>
        <v>0.35257056172364876</v>
      </c>
      <c r="BN110" s="4459">
        <f t="shared" ref="BN110:BN113" si="633">IFERROR(G110/$D$1,0)</f>
        <v>0.35518809307718641</v>
      </c>
      <c r="BO110" s="4459">
        <f t="shared" ref="BO110:BO113" si="634">IFERROR(H110/$D$1,0)</f>
        <v>0.35525623460110084</v>
      </c>
      <c r="BP110" s="4461"/>
      <c r="BQ110" s="4459">
        <f t="shared" ref="BQ110:BQ113" si="635">IFERROR(K110/$D$1,0)</f>
        <v>0.65532763628078727</v>
      </c>
      <c r="BR110" s="4459">
        <f t="shared" ref="BR110:BR113" si="636">IFERROR(L110/$D$1,0)</f>
        <v>0.8356118740771441</v>
      </c>
      <c r="BS110" s="4459">
        <f t="shared" ref="BS110:BS113" si="637">IFERROR(M110/$D$1,0)</f>
        <v>0.87587455153717242</v>
      </c>
      <c r="BT110" s="4459">
        <f t="shared" ref="BT110:BT113" si="638">IFERROR(N110/$D$1,0)</f>
        <v>0.90215078808328752</v>
      </c>
      <c r="BU110" s="4459">
        <f t="shared" ref="BU110:BU113" si="639">IFERROR(O110/$D$1,0)</f>
        <v>0.87798356664298172</v>
      </c>
      <c r="BV110" s="4459">
        <f t="shared" ref="BV110:BV113" si="640">IFERROR(P110/$D$1,0)</f>
        <v>0.84860321547652373</v>
      </c>
      <c r="BW110" s="4461"/>
      <c r="BX110" s="4459">
        <f t="shared" ref="BX110:BX113" si="641">IFERROR(S110/$D$1,0)</f>
        <v>1.0234725322904141E-2</v>
      </c>
      <c r="BY110" s="4459">
        <f t="shared" ref="BY110:BY113" si="642">IFERROR(T110/$D$1,0)</f>
        <v>1.5668849354902425E-2</v>
      </c>
      <c r="BZ110" s="4459">
        <f t="shared" ref="BZ110:BZ113" si="643">IFERROR(U110/$D$1,0)</f>
        <v>1.6345762976086253E-2</v>
      </c>
      <c r="CA110" s="4459">
        <f t="shared" ref="CA110:CA113" si="644">IFERROR(V110/$D$1,0)</f>
        <v>1.6996376063654985E-2</v>
      </c>
      <c r="CB110" s="4459">
        <f t="shared" ref="CB110:CB113" si="645">IFERROR(W110/$D$1,0)</f>
        <v>1.1954552057005245E-2</v>
      </c>
      <c r="CC110" s="4459">
        <f t="shared" ref="CC110:CC113" si="646">IFERROR(X110/$D$1,0)</f>
        <v>1.0724254479736656E-2</v>
      </c>
      <c r="CD110" s="4460"/>
    </row>
    <row r="111" spans="2:82" ht="36">
      <c r="B111" s="699" t="s">
        <v>934</v>
      </c>
      <c r="C111" s="351">
        <f>IFERROR(C100/C104,0)</f>
        <v>3.6179039301310043</v>
      </c>
      <c r="D111" s="352">
        <f t="shared" ref="D111:H111" si="647">IFERROR(D100/D104,0)</f>
        <v>5.4282595134123515</v>
      </c>
      <c r="E111" s="352">
        <f t="shared" si="647"/>
        <v>6.0294946974422965</v>
      </c>
      <c r="F111" s="352">
        <f t="shared" si="647"/>
        <v>6.7215930131004384</v>
      </c>
      <c r="G111" s="352">
        <f t="shared" si="647"/>
        <v>7.65278892077355</v>
      </c>
      <c r="H111" s="353">
        <f t="shared" si="647"/>
        <v>8.5201067478477857</v>
      </c>
      <c r="I111" s="831"/>
      <c r="J111" s="809"/>
      <c r="K111" s="354">
        <f>IFERROR(K100/K105,0)</f>
        <v>1.4335260115606936</v>
      </c>
      <c r="L111" s="352">
        <f t="shared" ref="L111:P111" si="648">IFERROR(L100/L105,0)</f>
        <v>1.7761484636446607</v>
      </c>
      <c r="M111" s="352">
        <f t="shared" si="648"/>
        <v>1.9751445086705206</v>
      </c>
      <c r="N111" s="352">
        <f t="shared" si="648"/>
        <v>2.1936647398843934</v>
      </c>
      <c r="O111" s="352">
        <f t="shared" si="648"/>
        <v>2.4137398857142864</v>
      </c>
      <c r="P111" s="353">
        <f t="shared" si="648"/>
        <v>2.6883029577142863</v>
      </c>
      <c r="Q111" s="836"/>
      <c r="R111" s="814"/>
      <c r="S111" s="351">
        <f>IFERROR(S100/S108,0)</f>
        <v>6.5096773175694914E-2</v>
      </c>
      <c r="T111" s="352">
        <f t="shared" ref="T111:X111" si="649">IFERROR(T100/T108,0)</f>
        <v>9.3594378026626859E-2</v>
      </c>
      <c r="U111" s="352">
        <f t="shared" si="649"/>
        <v>0.10391321150382218</v>
      </c>
      <c r="V111" s="352">
        <f t="shared" si="649"/>
        <v>0.11547030499828091</v>
      </c>
      <c r="W111" s="352">
        <f t="shared" si="649"/>
        <v>0.10690679684518409</v>
      </c>
      <c r="X111" s="353">
        <f t="shared" si="649"/>
        <v>0.11882731613572499</v>
      </c>
      <c r="Y111" s="836"/>
      <c r="Z111" s="809"/>
      <c r="AG111" s="825"/>
      <c r="AH111" s="686"/>
      <c r="AI111" s="686"/>
      <c r="AJ111" s="686"/>
      <c r="AK111" s="686"/>
      <c r="AL111" s="686"/>
      <c r="AM111" s="686"/>
      <c r="AN111" s="686"/>
      <c r="AO111" s="825"/>
      <c r="AP111" s="686"/>
      <c r="AQ111" s="686"/>
      <c r="AR111" s="686"/>
      <c r="AS111" s="659"/>
      <c r="AT111" s="659"/>
      <c r="AU111" s="659"/>
      <c r="AV111" s="659"/>
      <c r="AW111" s="659"/>
      <c r="AX111" s="659"/>
      <c r="AY111" s="659"/>
      <c r="AZ111" s="659"/>
      <c r="BA111" s="659"/>
      <c r="BB111" s="659"/>
      <c r="BC111" s="659"/>
      <c r="BD111" s="659"/>
      <c r="BE111" s="659"/>
      <c r="BF111" s="659"/>
      <c r="BG111" s="659"/>
      <c r="BH111" s="659"/>
      <c r="BI111" s="4422"/>
      <c r="BJ111" s="4459">
        <f t="shared" si="629"/>
        <v>1.8498049064238735</v>
      </c>
      <c r="BK111" s="4459">
        <f t="shared" si="630"/>
        <v>2.7754250182338707</v>
      </c>
      <c r="BL111" s="4459">
        <f t="shared" si="631"/>
        <v>3.082831686517896</v>
      </c>
      <c r="BM111" s="4459">
        <f t="shared" si="632"/>
        <v>3.4366959363034817</v>
      </c>
      <c r="BN111" s="4459">
        <f t="shared" si="633"/>
        <v>3.9128088436998869</v>
      </c>
      <c r="BO111" s="4459">
        <f t="shared" si="634"/>
        <v>4.3562614070996899</v>
      </c>
      <c r="BP111" s="4461"/>
      <c r="BQ111" s="4459">
        <f t="shared" si="635"/>
        <v>0.73295021119457904</v>
      </c>
      <c r="BR111" s="4459">
        <f t="shared" si="636"/>
        <v>0.90813028926065187</v>
      </c>
      <c r="BS111" s="4459">
        <f t="shared" si="637"/>
        <v>1.0098753514725312</v>
      </c>
      <c r="BT111" s="4459">
        <f t="shared" si="638"/>
        <v>1.1216029715693048</v>
      </c>
      <c r="BU111" s="4459">
        <f t="shared" si="639"/>
        <v>1.2341256068852029</v>
      </c>
      <c r="BV111" s="4459">
        <f t="shared" si="640"/>
        <v>1.3745074764750957</v>
      </c>
      <c r="BW111" s="4461"/>
      <c r="BX111" s="4459">
        <f t="shared" si="641"/>
        <v>3.3283451616804585E-2</v>
      </c>
      <c r="BY111" s="4459">
        <f t="shared" si="642"/>
        <v>4.7854045610624063E-2</v>
      </c>
      <c r="BZ111" s="4459">
        <f t="shared" si="643"/>
        <v>5.3129981390929774E-2</v>
      </c>
      <c r="CA111" s="4459">
        <f t="shared" si="644"/>
        <v>5.9039029464872161E-2</v>
      </c>
      <c r="CB111" s="4459">
        <f t="shared" si="645"/>
        <v>5.4660577271636132E-2</v>
      </c>
      <c r="CC111" s="4459">
        <f t="shared" si="646"/>
        <v>6.0755442004532596E-2</v>
      </c>
      <c r="CD111" s="4460"/>
    </row>
    <row r="112" spans="2:82" ht="36">
      <c r="B112" s="699" t="s">
        <v>935</v>
      </c>
      <c r="C112" s="351">
        <f>IFERROR(C101/C104,0)</f>
        <v>0.86897128820960712</v>
      </c>
      <c r="D112" s="352">
        <f t="shared" ref="D112:H112" si="650">IFERROR(D101/D104,0)</f>
        <v>1.1296626746724892</v>
      </c>
      <c r="E112" s="352">
        <f t="shared" si="650"/>
        <v>1.1861458084061134</v>
      </c>
      <c r="F112" s="352">
        <f t="shared" si="650"/>
        <v>1.2217301826582969</v>
      </c>
      <c r="G112" s="352">
        <f t="shared" si="650"/>
        <v>1.160643673525382</v>
      </c>
      <c r="H112" s="353">
        <f t="shared" si="650"/>
        <v>1.1142179265843668</v>
      </c>
      <c r="I112" s="831"/>
      <c r="J112" s="809"/>
      <c r="K112" s="354">
        <f>IFERROR(K101/K105,0)</f>
        <v>1.2303560982658959</v>
      </c>
      <c r="L112" s="352">
        <f t="shared" ref="L112:P112" si="651">IFERROR(L101/L105,0)</f>
        <v>1.5994629277456647</v>
      </c>
      <c r="M112" s="352">
        <f t="shared" si="651"/>
        <v>1.6794360741329488</v>
      </c>
      <c r="N112" s="352">
        <f t="shared" si="651"/>
        <v>1.7298191563569367</v>
      </c>
      <c r="O112" s="352">
        <f t="shared" si="651"/>
        <v>1.6758487986786006</v>
      </c>
      <c r="P112" s="353">
        <f t="shared" si="651"/>
        <v>1.6088148467314565</v>
      </c>
      <c r="Q112" s="836"/>
      <c r="R112" s="814"/>
      <c r="S112" s="351">
        <f>IFERROR(S101/S108,0)</f>
        <v>5.0828029533467912E-3</v>
      </c>
      <c r="T112" s="352">
        <f t="shared" ref="T112:X112" si="652">IFERROR(T101/T108,0)</f>
        <v>6.60764383935083E-3</v>
      </c>
      <c r="U112" s="352">
        <f t="shared" si="652"/>
        <v>6.9380260313183723E-3</v>
      </c>
      <c r="V112" s="352">
        <f t="shared" si="652"/>
        <v>7.1461668122579222E-3</v>
      </c>
      <c r="W112" s="352">
        <f t="shared" si="652"/>
        <v>5.6082828721684486E-3</v>
      </c>
      <c r="X112" s="353">
        <f t="shared" si="652"/>
        <v>5.3839515572817083E-3</v>
      </c>
      <c r="Y112" s="836"/>
      <c r="Z112" s="809"/>
      <c r="AG112" s="825"/>
      <c r="AH112" s="686"/>
      <c r="AI112" s="686"/>
      <c r="AJ112" s="686"/>
      <c r="AK112" s="686"/>
      <c r="AL112" s="686"/>
      <c r="AM112" s="686"/>
      <c r="AN112" s="686"/>
      <c r="AO112" s="825"/>
      <c r="AP112" s="686"/>
      <c r="AQ112" s="686"/>
      <c r="AR112" s="686"/>
      <c r="AS112" s="659"/>
      <c r="AT112" s="659"/>
      <c r="AU112" s="659"/>
      <c r="AV112" s="659"/>
      <c r="AW112" s="659"/>
      <c r="AX112" s="659"/>
      <c r="AY112" s="659"/>
      <c r="AZ112" s="659"/>
      <c r="BA112" s="659"/>
      <c r="BB112" s="659"/>
      <c r="BC112" s="659"/>
      <c r="BD112" s="659"/>
      <c r="BE112" s="659"/>
      <c r="BF112" s="659"/>
      <c r="BG112" s="659"/>
      <c r="BH112" s="659"/>
      <c r="BI112" s="4422"/>
      <c r="BJ112" s="4459">
        <f t="shared" si="629"/>
        <v>0.44429796465419136</v>
      </c>
      <c r="BK112" s="4459">
        <f t="shared" si="630"/>
        <v>0.5775873540504487</v>
      </c>
      <c r="BL112" s="4459">
        <f t="shared" si="631"/>
        <v>0.60646672175297112</v>
      </c>
      <c r="BM112" s="4459">
        <f t="shared" si="632"/>
        <v>0.62466072340556023</v>
      </c>
      <c r="BN112" s="4459">
        <f t="shared" si="633"/>
        <v>0.59342768723528228</v>
      </c>
      <c r="BO112" s="4459">
        <f t="shared" si="634"/>
        <v>0.56969057974587101</v>
      </c>
      <c r="BP112" s="4461"/>
      <c r="BQ112" s="4459">
        <f t="shared" si="635"/>
        <v>0.62907108402360934</v>
      </c>
      <c r="BR112" s="4459">
        <f t="shared" si="636"/>
        <v>0.81779240923069219</v>
      </c>
      <c r="BS112" s="4459">
        <f t="shared" si="637"/>
        <v>0.85868202969222729</v>
      </c>
      <c r="BT112" s="4459">
        <f t="shared" si="638"/>
        <v>0.88444249058299385</v>
      </c>
      <c r="BU112" s="4459">
        <f t="shared" si="639"/>
        <v>0.85684788487680452</v>
      </c>
      <c r="BV112" s="4459">
        <f t="shared" si="640"/>
        <v>0.82257396948173234</v>
      </c>
      <c r="BW112" s="4461"/>
      <c r="BX112" s="4459">
        <f t="shared" si="641"/>
        <v>2.5987958837663762E-3</v>
      </c>
      <c r="BY112" s="4459">
        <f t="shared" si="642"/>
        <v>3.3784346488962896E-3</v>
      </c>
      <c r="BZ112" s="4459">
        <f t="shared" si="643"/>
        <v>3.5473563813411043E-3</v>
      </c>
      <c r="CA112" s="4459">
        <f t="shared" si="644"/>
        <v>3.6537770727813369E-3</v>
      </c>
      <c r="CB112" s="4459">
        <f t="shared" si="645"/>
        <v>2.8674694999915374E-3</v>
      </c>
      <c r="CC112" s="4459">
        <f t="shared" si="646"/>
        <v>2.7527707199918746E-3</v>
      </c>
      <c r="CD112" s="4460"/>
    </row>
    <row r="113" spans="1:82" ht="36.75" thickBot="1">
      <c r="B113" s="700" t="s">
        <v>936</v>
      </c>
      <c r="C113" s="355">
        <f>IFERROR(C102/C106,0)</f>
        <v>0.30256263899105418</v>
      </c>
      <c r="D113" s="356">
        <f t="shared" ref="D113:H113" si="653">IFERROR(D102/D106,0)</f>
        <v>0.35631265207721385</v>
      </c>
      <c r="E113" s="356">
        <f t="shared" si="653"/>
        <v>0.36227810165770336</v>
      </c>
      <c r="F113" s="356">
        <f t="shared" si="653"/>
        <v>0.36835775762165696</v>
      </c>
      <c r="G113" s="356">
        <f t="shared" si="653"/>
        <v>0.38424808545993905</v>
      </c>
      <c r="H113" s="357">
        <f t="shared" si="653"/>
        <v>0.39184598052561953</v>
      </c>
      <c r="I113" s="832"/>
      <c r="J113" s="810"/>
      <c r="K113" s="358">
        <f>IFERROR(K102/K107,0)</f>
        <v>2.0908662084980854E-2</v>
      </c>
      <c r="L113" s="356">
        <f t="shared" ref="L113:P113" si="654">IFERROR(L102/L107,0)</f>
        <v>2.4065076543400312E-2</v>
      </c>
      <c r="M113" s="356">
        <f t="shared" si="654"/>
        <v>2.4407704381365056E-2</v>
      </c>
      <c r="N113" s="356">
        <f t="shared" si="654"/>
        <v>2.4760339078003606E-2</v>
      </c>
      <c r="O113" s="356">
        <f t="shared" si="654"/>
        <v>3.3184558661554925E-2</v>
      </c>
      <c r="P113" s="357">
        <f t="shared" si="654"/>
        <v>3.3597094326874952E-2</v>
      </c>
      <c r="Q113" s="837"/>
      <c r="R113" s="815"/>
      <c r="S113" s="355">
        <f>IFERROR(S102/S108,0)</f>
        <v>5.7058142949165613E-2</v>
      </c>
      <c r="T113" s="356">
        <f t="shared" ref="T113:X113" si="655">IFERROR(T102/T108,0)</f>
        <v>7.3261405493400142E-2</v>
      </c>
      <c r="U113" s="356">
        <f t="shared" si="655"/>
        <v>7.4222037722357706E-2</v>
      </c>
      <c r="V113" s="356">
        <f t="shared" si="655"/>
        <v>7.5226412850898969E-2</v>
      </c>
      <c r="W113" s="356">
        <f t="shared" si="655"/>
        <v>6.3337566622909861E-2</v>
      </c>
      <c r="X113" s="357">
        <f t="shared" si="655"/>
        <v>6.1025549856749836E-2</v>
      </c>
      <c r="Y113" s="837"/>
      <c r="Z113" s="810"/>
      <c r="AG113" s="825"/>
      <c r="AH113" s="686"/>
      <c r="AI113" s="686"/>
      <c r="AJ113" s="686"/>
      <c r="AK113" s="686"/>
      <c r="AL113" s="686"/>
      <c r="AM113" s="686"/>
      <c r="AN113" s="686"/>
      <c r="AO113" s="825"/>
      <c r="AP113" s="686"/>
      <c r="AQ113" s="686"/>
      <c r="AR113" s="686"/>
      <c r="AS113" s="659"/>
      <c r="AT113" s="659"/>
      <c r="AU113" s="659"/>
      <c r="AV113" s="659"/>
      <c r="AW113" s="659"/>
      <c r="AX113" s="659"/>
      <c r="AY113" s="659"/>
      <c r="AZ113" s="659"/>
      <c r="BA113" s="659"/>
      <c r="BB113" s="659"/>
      <c r="BC113" s="659"/>
      <c r="BD113" s="659"/>
      <c r="BE113" s="659"/>
      <c r="BF113" s="659"/>
      <c r="BG113" s="659"/>
      <c r="BH113" s="659"/>
      <c r="BI113" s="4422"/>
      <c r="BJ113" s="4459">
        <f t="shared" si="629"/>
        <v>0.15469782086942843</v>
      </c>
      <c r="BK113" s="4459">
        <f t="shared" si="630"/>
        <v>0.18217976617457235</v>
      </c>
      <c r="BL113" s="4459">
        <f t="shared" si="631"/>
        <v>0.18522985211276202</v>
      </c>
      <c r="BM113" s="4459">
        <f t="shared" si="632"/>
        <v>0.18833833084759768</v>
      </c>
      <c r="BN113" s="4459">
        <f t="shared" si="633"/>
        <v>0.19646292646085756</v>
      </c>
      <c r="BO113" s="4459">
        <f t="shared" si="634"/>
        <v>0.2003476685221208</v>
      </c>
      <c r="BP113" s="4461"/>
      <c r="BQ113" s="4459">
        <f t="shared" si="635"/>
        <v>1.0690429170725909E-2</v>
      </c>
      <c r="BR113" s="4459">
        <f t="shared" si="636"/>
        <v>1.2304278257006137E-2</v>
      </c>
      <c r="BS113" s="4459">
        <f t="shared" si="637"/>
        <v>1.2479461088829325E-2</v>
      </c>
      <c r="BT113" s="4459">
        <f t="shared" si="638"/>
        <v>1.2659760346248706E-2</v>
      </c>
      <c r="BU113" s="4459">
        <f t="shared" si="639"/>
        <v>1.6966995424732685E-2</v>
      </c>
      <c r="BV113" s="4459">
        <f t="shared" si="640"/>
        <v>1.7177921561114695E-2</v>
      </c>
      <c r="BW113" s="4461"/>
      <c r="BX113" s="4459">
        <f t="shared" si="641"/>
        <v>2.9173365246041638E-2</v>
      </c>
      <c r="BY113" s="4459">
        <f t="shared" si="642"/>
        <v>3.7457961833799534E-2</v>
      </c>
      <c r="BZ113" s="4459">
        <f t="shared" si="643"/>
        <v>3.7949125293280962E-2</v>
      </c>
      <c r="CA113" s="4459">
        <f t="shared" si="644"/>
        <v>3.8462654142179517E-2</v>
      </c>
      <c r="CB113" s="4459">
        <f t="shared" si="645"/>
        <v>3.2383983589018402E-2</v>
      </c>
      <c r="CC113" s="4459">
        <f t="shared" si="646"/>
        <v>3.1201868187291246E-2</v>
      </c>
      <c r="CD113" s="4460"/>
    </row>
    <row r="114" spans="1:82">
      <c r="C114" s="3028"/>
      <c r="D114" s="3028"/>
      <c r="E114" s="3028"/>
      <c r="F114" s="3028"/>
      <c r="G114" s="3028"/>
      <c r="H114" s="3028"/>
      <c r="I114" s="827"/>
      <c r="J114" s="677"/>
      <c r="K114" s="677"/>
      <c r="L114" s="677"/>
      <c r="M114" s="677"/>
      <c r="N114" s="677"/>
      <c r="O114" s="677"/>
      <c r="P114" s="677"/>
      <c r="Q114" s="827"/>
      <c r="R114" s="677"/>
      <c r="S114" s="677"/>
      <c r="T114" s="677"/>
      <c r="U114" s="677"/>
      <c r="V114" s="677"/>
      <c r="W114" s="677"/>
      <c r="Y114" s="827"/>
      <c r="Z114" s="677"/>
      <c r="AA114" s="677"/>
      <c r="AB114" s="677"/>
      <c r="AC114" s="677"/>
      <c r="AD114" s="677"/>
      <c r="AE114" s="677"/>
      <c r="AG114" s="827"/>
      <c r="AH114" s="677"/>
      <c r="AI114" s="677"/>
      <c r="AJ114" s="677"/>
      <c r="AK114" s="677"/>
      <c r="AL114" s="677"/>
      <c r="AM114" s="677"/>
      <c r="AO114" s="827"/>
      <c r="AP114" s="677"/>
      <c r="AW114" s="686"/>
      <c r="AX114" s="686"/>
      <c r="AY114" s="686"/>
      <c r="AZ114" s="686"/>
      <c r="BA114" s="686"/>
      <c r="BB114" s="686"/>
      <c r="BC114" s="686"/>
      <c r="BD114" s="686"/>
      <c r="BE114" s="686"/>
      <c r="BF114" s="686"/>
      <c r="BG114" s="686"/>
      <c r="BH114" s="686"/>
    </row>
    <row r="115" spans="1:82">
      <c r="I115" s="827"/>
      <c r="J115" s="677"/>
      <c r="K115" s="677"/>
      <c r="L115" s="677"/>
      <c r="M115" s="677"/>
      <c r="N115" s="677"/>
      <c r="O115" s="677"/>
      <c r="P115" s="677"/>
      <c r="Q115" s="827"/>
      <c r="R115" s="677"/>
      <c r="S115" s="677"/>
      <c r="T115" s="677"/>
      <c r="U115" s="677"/>
      <c r="V115" s="677"/>
      <c r="W115" s="677"/>
      <c r="Y115" s="827"/>
      <c r="Z115" s="677"/>
      <c r="AA115" s="677"/>
      <c r="AB115" s="677"/>
      <c r="AC115" s="677"/>
      <c r="AD115" s="677"/>
      <c r="AE115" s="677"/>
      <c r="AG115" s="827"/>
      <c r="AH115" s="677"/>
      <c r="AI115" s="677"/>
      <c r="AJ115" s="677"/>
      <c r="AK115" s="677"/>
      <c r="AL115" s="677"/>
      <c r="AM115" s="677"/>
      <c r="AO115" s="827"/>
      <c r="AP115" s="677"/>
      <c r="AW115" s="686"/>
      <c r="AX115" s="686"/>
      <c r="AY115" s="686"/>
      <c r="AZ115" s="686"/>
      <c r="BA115" s="686"/>
      <c r="BB115" s="686"/>
      <c r="BC115" s="686"/>
      <c r="BD115" s="686"/>
      <c r="BE115" s="686"/>
      <c r="BF115" s="686"/>
      <c r="BG115" s="686"/>
      <c r="BH115" s="686"/>
    </row>
    <row r="116" spans="1:82">
      <c r="B116" s="3029" t="str">
        <f>'Приложение '!B82</f>
        <v>Дата: 29.06.2026</v>
      </c>
      <c r="Q116" s="3030"/>
      <c r="R116" s="661"/>
      <c r="X116" s="41"/>
      <c r="AF116" s="41"/>
      <c r="AN116" s="41"/>
      <c r="AQ116" s="41"/>
      <c r="AR116" s="41"/>
      <c r="AS116" s="41"/>
      <c r="AT116" s="41"/>
      <c r="AU116" s="41"/>
      <c r="AV116" s="41"/>
      <c r="AW116" s="686"/>
      <c r="AX116" s="686"/>
      <c r="AY116" s="686"/>
      <c r="AZ116" s="686"/>
      <c r="BA116" s="686"/>
      <c r="BB116" s="686"/>
      <c r="BC116" s="686"/>
      <c r="BD116" s="686"/>
      <c r="BE116" s="686"/>
      <c r="BF116" s="686"/>
      <c r="BG116" s="686"/>
      <c r="BH116" s="686"/>
    </row>
    <row r="117" spans="1:82">
      <c r="Q117" s="3030"/>
      <c r="R117" s="3031"/>
      <c r="X117" s="678"/>
      <c r="AF117" s="678"/>
      <c r="AN117" s="678"/>
      <c r="AQ117" s="43"/>
      <c r="AR117" s="679"/>
      <c r="AS117" s="32"/>
      <c r="AT117" s="32"/>
      <c r="AU117" s="32"/>
      <c r="AV117" s="678"/>
      <c r="AW117" s="686"/>
      <c r="AX117" s="686"/>
      <c r="AY117" s="686"/>
      <c r="AZ117" s="686"/>
      <c r="BA117" s="686"/>
      <c r="BB117" s="686"/>
      <c r="BC117" s="686"/>
      <c r="BD117" s="686"/>
      <c r="BE117" s="686"/>
      <c r="BF117" s="686"/>
      <c r="BG117" s="686"/>
      <c r="BH117" s="686"/>
    </row>
    <row r="118" spans="1:82">
      <c r="Q118" s="3030"/>
      <c r="R118" s="661"/>
      <c r="X118" s="678"/>
      <c r="AF118" s="678"/>
      <c r="AN118" s="678"/>
      <c r="AQ118" s="678"/>
      <c r="AR118" s="680"/>
      <c r="AS118" s="681"/>
      <c r="AT118" s="682"/>
      <c r="AU118" s="32"/>
      <c r="AV118" s="678"/>
      <c r="AW118" s="686"/>
      <c r="AX118" s="686"/>
      <c r="AY118" s="686"/>
      <c r="AZ118" s="686"/>
      <c r="BA118" s="686"/>
      <c r="BB118" s="686"/>
      <c r="BC118" s="686"/>
      <c r="BD118" s="686"/>
      <c r="BE118" s="686"/>
      <c r="BF118" s="686"/>
      <c r="BG118" s="686"/>
      <c r="BH118" s="686"/>
    </row>
    <row r="119" spans="1:82">
      <c r="B119" s="684" t="s">
        <v>187</v>
      </c>
      <c r="Q119" s="3030"/>
      <c r="R119" s="661"/>
      <c r="X119" s="678"/>
      <c r="AF119" s="678"/>
      <c r="AN119" s="678"/>
      <c r="AQ119" s="678"/>
      <c r="AR119" s="680"/>
      <c r="AS119" s="681"/>
      <c r="AT119" s="682"/>
      <c r="AU119" s="32"/>
      <c r="AV119" s="678"/>
      <c r="AW119" s="686"/>
      <c r="AX119" s="686"/>
      <c r="AY119" s="686"/>
      <c r="AZ119" s="686"/>
      <c r="BA119" s="686"/>
      <c r="BB119" s="686"/>
      <c r="BC119" s="686"/>
      <c r="BD119" s="686"/>
      <c r="BE119" s="686"/>
      <c r="BF119" s="686"/>
      <c r="BG119" s="686"/>
      <c r="BH119" s="686"/>
    </row>
    <row r="120" spans="1:82">
      <c r="B120" s="1411" t="s">
        <v>1057</v>
      </c>
      <c r="Q120" s="3030"/>
      <c r="R120" s="661"/>
      <c r="X120" s="678"/>
      <c r="AF120" s="678"/>
      <c r="AN120" s="678"/>
      <c r="AQ120" s="678"/>
      <c r="AR120" s="680"/>
      <c r="AS120" s="681"/>
      <c r="AT120" s="682"/>
      <c r="AU120" s="32"/>
      <c r="AV120" s="678"/>
      <c r="AW120" s="686"/>
      <c r="AX120" s="686"/>
      <c r="AY120" s="686"/>
      <c r="AZ120" s="686"/>
      <c r="BA120" s="686"/>
      <c r="BB120" s="686"/>
      <c r="BC120" s="686"/>
      <c r="BD120" s="686"/>
      <c r="BE120" s="686"/>
      <c r="BF120" s="686"/>
      <c r="BG120" s="686"/>
      <c r="BH120" s="686"/>
    </row>
    <row r="121" spans="1:82" s="44" customFormat="1">
      <c r="B121" s="1411" t="s">
        <v>1056</v>
      </c>
      <c r="C121" s="45"/>
      <c r="D121" s="45"/>
      <c r="E121" s="45"/>
      <c r="F121" s="45"/>
      <c r="G121" s="45"/>
      <c r="H121" s="45"/>
      <c r="I121" s="822"/>
      <c r="J121" s="45"/>
      <c r="K121" s="45"/>
      <c r="L121" s="45"/>
      <c r="M121" s="45"/>
      <c r="N121" s="45"/>
      <c r="O121" s="45"/>
      <c r="P121" s="45"/>
      <c r="Q121" s="683"/>
      <c r="R121" s="3031"/>
      <c r="S121" s="683"/>
      <c r="T121" s="45"/>
      <c r="U121" s="45"/>
      <c r="V121" s="45"/>
      <c r="W121" s="45"/>
      <c r="X121" s="678"/>
      <c r="Y121" s="822"/>
      <c r="AC121" s="45"/>
      <c r="AD121" s="45"/>
      <c r="AE121" s="45"/>
      <c r="AF121" s="678"/>
      <c r="AG121" s="822"/>
      <c r="AH121" s="45"/>
      <c r="AI121" s="45"/>
      <c r="AJ121" s="45"/>
      <c r="AK121" s="45"/>
      <c r="AL121" s="45"/>
      <c r="AM121" s="45"/>
      <c r="AN121" s="678"/>
      <c r="AO121" s="822"/>
      <c r="AP121" s="45"/>
      <c r="AQ121" s="678"/>
      <c r="AR121" s="680"/>
      <c r="AS121" s="681"/>
      <c r="AT121" s="682"/>
      <c r="AU121" s="32"/>
      <c r="AV121" s="678"/>
      <c r="AW121" s="686"/>
      <c r="AX121" s="686"/>
      <c r="AY121" s="686"/>
      <c r="AZ121" s="686"/>
      <c r="BA121" s="686"/>
      <c r="BB121" s="686"/>
      <c r="BC121" s="686"/>
      <c r="BD121" s="686"/>
      <c r="BE121" s="686"/>
      <c r="BF121" s="686"/>
      <c r="BG121" s="686"/>
      <c r="BH121" s="686"/>
    </row>
    <row r="122" spans="1:82" s="44" customFormat="1">
      <c r="C122" s="683"/>
      <c r="D122" s="683"/>
      <c r="E122" s="683"/>
      <c r="F122" s="683"/>
      <c r="G122" s="683"/>
      <c r="H122" s="683"/>
      <c r="I122" s="822"/>
      <c r="J122" s="683"/>
      <c r="K122" s="683"/>
      <c r="L122" s="683"/>
      <c r="M122" s="683"/>
      <c r="N122" s="683"/>
      <c r="O122" s="683"/>
      <c r="P122" s="683"/>
      <c r="Q122" s="822"/>
      <c r="R122" s="683"/>
      <c r="S122" s="683"/>
      <c r="T122" s="683"/>
      <c r="U122" s="683"/>
      <c r="V122" s="683"/>
      <c r="W122" s="45"/>
      <c r="X122" s="678"/>
      <c r="Y122" s="822"/>
      <c r="AC122" s="683"/>
      <c r="AD122" s="683"/>
      <c r="AE122" s="45"/>
      <c r="AF122" s="678"/>
      <c r="AG122" s="822"/>
      <c r="AH122" s="683"/>
      <c r="AI122" s="683"/>
      <c r="AJ122" s="683"/>
      <c r="AK122" s="683"/>
      <c r="AL122" s="683"/>
      <c r="AM122" s="45"/>
      <c r="AN122" s="678"/>
      <c r="AO122" s="822"/>
      <c r="AP122" s="683"/>
      <c r="AQ122" s="684"/>
      <c r="AR122" s="678"/>
      <c r="AS122" s="32"/>
      <c r="AT122" s="32"/>
      <c r="AU122" s="32"/>
      <c r="AV122" s="678"/>
      <c r="AW122" s="686"/>
      <c r="AX122" s="686"/>
      <c r="AY122" s="686"/>
      <c r="AZ122" s="686"/>
      <c r="BA122" s="686"/>
      <c r="BB122" s="686"/>
      <c r="BC122" s="686"/>
      <c r="BD122" s="686"/>
      <c r="BE122" s="686"/>
      <c r="BF122" s="686"/>
      <c r="BG122" s="686"/>
      <c r="BH122" s="686"/>
    </row>
    <row r="123" spans="1:82" s="44" customFormat="1">
      <c r="A123" s="23"/>
      <c r="C123" s="45"/>
      <c r="D123" s="45"/>
      <c r="E123" s="45"/>
      <c r="F123" s="45"/>
      <c r="G123" s="45"/>
      <c r="H123" s="45"/>
      <c r="I123" s="822"/>
      <c r="J123" s="45"/>
      <c r="K123" s="45"/>
      <c r="L123" s="45"/>
      <c r="M123" s="45"/>
      <c r="N123" s="45"/>
      <c r="O123" s="45"/>
      <c r="P123" s="45"/>
      <c r="Q123" s="822"/>
      <c r="R123" s="45"/>
      <c r="S123" s="45"/>
      <c r="T123" s="45"/>
      <c r="U123" s="45"/>
      <c r="V123" s="45"/>
      <c r="W123" s="45"/>
      <c r="X123" s="678"/>
      <c r="Y123" s="822"/>
      <c r="Z123" s="45"/>
      <c r="AA123" s="661"/>
      <c r="AB123" s="45"/>
      <c r="AC123" s="45"/>
      <c r="AD123" s="45"/>
      <c r="AE123" s="45"/>
      <c r="AF123" s="678"/>
      <c r="AG123" s="822"/>
      <c r="AH123" s="45"/>
      <c r="AI123" s="45"/>
      <c r="AJ123" s="45"/>
      <c r="AK123" s="45"/>
      <c r="AL123" s="45"/>
      <c r="AM123" s="45"/>
      <c r="AN123" s="678"/>
      <c r="AO123" s="822"/>
      <c r="AP123" s="45"/>
      <c r="AR123" s="685"/>
      <c r="AS123" s="681"/>
      <c r="AT123" s="682"/>
      <c r="AU123" s="32"/>
      <c r="AV123" s="678"/>
      <c r="AW123" s="686"/>
      <c r="AX123" s="686"/>
      <c r="AY123" s="686"/>
      <c r="AZ123" s="686"/>
      <c r="BA123" s="686"/>
      <c r="BB123" s="686"/>
      <c r="BC123" s="686"/>
      <c r="BD123" s="686"/>
      <c r="BE123" s="686"/>
      <c r="BF123" s="686"/>
      <c r="BG123" s="686"/>
      <c r="BH123" s="686"/>
    </row>
    <row r="124" spans="1:82" s="44" customFormat="1">
      <c r="C124" s="45"/>
      <c r="D124" s="45"/>
      <c r="E124" s="45"/>
      <c r="F124" s="45"/>
      <c r="G124" s="45"/>
      <c r="H124" s="45"/>
      <c r="I124" s="822"/>
      <c r="J124" s="45"/>
      <c r="K124" s="45"/>
      <c r="L124" s="45"/>
      <c r="M124" s="45"/>
      <c r="N124" s="45"/>
      <c r="O124" s="45"/>
      <c r="P124" s="45"/>
      <c r="Q124" s="822"/>
      <c r="R124" s="45"/>
      <c r="S124" s="45"/>
      <c r="T124" s="45"/>
      <c r="U124" s="45"/>
      <c r="V124" s="45"/>
      <c r="W124" s="45"/>
      <c r="X124" s="45"/>
      <c r="Y124" s="822"/>
      <c r="Z124" s="45"/>
      <c r="AA124" s="45"/>
      <c r="AB124" s="45"/>
      <c r="AC124" s="45"/>
      <c r="AD124" s="45"/>
      <c r="AE124" s="45"/>
      <c r="AF124" s="45"/>
      <c r="AG124" s="822"/>
      <c r="AH124" s="45"/>
      <c r="AI124" s="45"/>
      <c r="AJ124" s="45"/>
      <c r="AK124" s="45"/>
      <c r="AL124" s="45"/>
      <c r="AM124" s="45"/>
      <c r="AN124" s="45"/>
      <c r="AO124" s="822"/>
      <c r="AP124" s="45"/>
      <c r="AQ124" s="45"/>
      <c r="AR124" s="686"/>
      <c r="AS124" s="686"/>
      <c r="AT124" s="686"/>
      <c r="AU124" s="686"/>
      <c r="AV124" s="686"/>
      <c r="AW124" s="686"/>
      <c r="AX124" s="686"/>
      <c r="AY124" s="686"/>
      <c r="AZ124" s="686"/>
      <c r="BA124" s="686"/>
      <c r="BB124" s="686"/>
      <c r="BC124" s="686"/>
      <c r="BD124" s="686"/>
      <c r="BE124" s="686"/>
      <c r="BF124" s="686"/>
      <c r="BG124" s="686"/>
      <c r="BH124" s="686"/>
    </row>
    <row r="125" spans="1:82" s="44" customFormat="1">
      <c r="C125" s="45"/>
      <c r="D125" s="45"/>
      <c r="E125" s="45"/>
      <c r="F125" s="45"/>
      <c r="G125" s="45"/>
      <c r="H125" s="45"/>
      <c r="I125" s="822"/>
      <c r="J125" s="45"/>
      <c r="K125" s="45"/>
      <c r="L125" s="45"/>
      <c r="M125" s="45"/>
      <c r="N125" s="45"/>
      <c r="O125" s="45"/>
      <c r="P125" s="45"/>
      <c r="Q125" s="822"/>
      <c r="R125" s="45"/>
      <c r="S125" s="45"/>
      <c r="T125" s="45"/>
      <c r="U125" s="45"/>
      <c r="V125" s="45"/>
      <c r="W125" s="45"/>
      <c r="X125" s="45"/>
      <c r="Y125" s="822"/>
      <c r="Z125" s="45"/>
      <c r="AA125" s="45"/>
      <c r="AB125" s="45"/>
      <c r="AC125" s="45"/>
      <c r="AD125" s="45"/>
      <c r="AE125" s="45"/>
      <c r="AF125" s="45"/>
      <c r="AG125" s="822"/>
      <c r="AH125" s="45"/>
      <c r="AI125" s="45"/>
      <c r="AJ125" s="45"/>
      <c r="AK125" s="45"/>
      <c r="AL125" s="45"/>
      <c r="AM125" s="45"/>
      <c r="AN125" s="45"/>
      <c r="AO125" s="822"/>
      <c r="AP125" s="45"/>
      <c r="AQ125" s="45"/>
      <c r="AR125" s="686"/>
      <c r="AS125" s="686"/>
      <c r="AT125" s="686"/>
      <c r="AU125" s="686"/>
      <c r="AV125" s="686"/>
      <c r="AW125" s="686"/>
      <c r="AX125" s="686"/>
      <c r="AY125" s="686"/>
      <c r="AZ125" s="686"/>
      <c r="BA125" s="686"/>
      <c r="BB125" s="686"/>
      <c r="BC125" s="686"/>
      <c r="BD125" s="686"/>
      <c r="BE125" s="686"/>
      <c r="BF125" s="686"/>
      <c r="BG125" s="686"/>
      <c r="BH125" s="686"/>
    </row>
    <row r="126" spans="1:82" s="44" customFormat="1">
      <c r="A126" s="687"/>
      <c r="B126" s="688"/>
      <c r="C126" s="689"/>
      <c r="D126" s="689"/>
      <c r="E126" s="689"/>
      <c r="F126" s="689"/>
      <c r="G126" s="686"/>
      <c r="H126" s="686"/>
      <c r="I126" s="825"/>
      <c r="J126" s="686"/>
      <c r="K126" s="686"/>
      <c r="L126" s="686"/>
      <c r="M126" s="686"/>
      <c r="N126" s="686"/>
      <c r="O126" s="686"/>
      <c r="P126" s="686"/>
      <c r="Q126" s="825"/>
      <c r="R126" s="686"/>
      <c r="S126" s="686"/>
      <c r="T126" s="686"/>
      <c r="U126" s="686"/>
      <c r="V126" s="686"/>
      <c r="W126" s="686"/>
      <c r="X126" s="686"/>
      <c r="Y126" s="825"/>
      <c r="Z126" s="686"/>
      <c r="AA126" s="686"/>
      <c r="AB126" s="686"/>
      <c r="AC126" s="686"/>
      <c r="AD126" s="686"/>
      <c r="AE126" s="686"/>
      <c r="AF126" s="686"/>
      <c r="AG126" s="825"/>
      <c r="AH126" s="686"/>
      <c r="AI126" s="686"/>
      <c r="AJ126" s="686"/>
      <c r="AK126" s="686"/>
      <c r="AL126" s="686"/>
      <c r="AM126" s="686"/>
      <c r="AN126" s="686"/>
      <c r="AO126" s="825"/>
      <c r="AP126" s="686"/>
      <c r="AQ126" s="686"/>
      <c r="AR126" s="686"/>
      <c r="AS126" s="686"/>
      <c r="AT126" s="686"/>
      <c r="AW126" s="686"/>
      <c r="AX126" s="686"/>
      <c r="AY126" s="686"/>
      <c r="AZ126" s="686"/>
      <c r="BA126" s="686"/>
      <c r="BB126" s="686"/>
      <c r="BC126" s="686"/>
      <c r="BD126" s="686"/>
      <c r="BE126" s="686"/>
      <c r="BF126" s="686"/>
      <c r="BG126" s="686"/>
      <c r="BH126" s="686"/>
    </row>
    <row r="127" spans="1:82" s="44" customFormat="1">
      <c r="A127" s="690"/>
      <c r="B127" s="5217"/>
      <c r="C127" s="666"/>
      <c r="D127" s="666"/>
      <c r="E127" s="666"/>
      <c r="F127" s="666"/>
      <c r="G127" s="686"/>
      <c r="H127" s="686"/>
      <c r="I127" s="825"/>
      <c r="J127" s="686"/>
      <c r="K127" s="686"/>
      <c r="L127" s="686"/>
      <c r="M127" s="686"/>
      <c r="N127" s="686"/>
      <c r="O127" s="686"/>
      <c r="P127" s="686"/>
      <c r="Q127" s="825"/>
      <c r="R127" s="686"/>
      <c r="S127" s="686"/>
      <c r="T127" s="686"/>
      <c r="U127" s="686"/>
      <c r="V127" s="686"/>
      <c r="W127" s="686"/>
      <c r="X127" s="686"/>
      <c r="Y127" s="825"/>
      <c r="Z127" s="686"/>
      <c r="AA127" s="686"/>
      <c r="AB127" s="686"/>
      <c r="AC127" s="686"/>
      <c r="AD127" s="686"/>
      <c r="AE127" s="686"/>
      <c r="AF127" s="686"/>
      <c r="AG127" s="825"/>
      <c r="AH127" s="686"/>
      <c r="AI127" s="686"/>
      <c r="AJ127" s="686"/>
      <c r="AK127" s="686"/>
      <c r="AL127" s="686"/>
      <c r="AM127" s="686"/>
      <c r="AN127" s="686"/>
      <c r="AO127" s="825"/>
      <c r="AP127" s="686"/>
      <c r="AQ127" s="686"/>
      <c r="AR127" s="686"/>
      <c r="AS127" s="686"/>
      <c r="AT127" s="45"/>
      <c r="AW127" s="686"/>
      <c r="AX127" s="686"/>
      <c r="AY127" s="686"/>
      <c r="AZ127" s="686"/>
      <c r="BA127" s="686"/>
      <c r="BB127" s="686"/>
      <c r="BC127" s="686"/>
      <c r="BD127" s="686"/>
      <c r="BE127" s="686"/>
      <c r="BF127" s="686"/>
      <c r="BG127" s="686"/>
      <c r="BH127" s="686"/>
    </row>
    <row r="128" spans="1:82" s="44" customFormat="1">
      <c r="A128" s="690"/>
      <c r="B128" s="5217"/>
      <c r="C128" s="666"/>
      <c r="D128" s="666"/>
      <c r="E128" s="666"/>
      <c r="F128" s="666"/>
      <c r="G128" s="686"/>
      <c r="H128" s="686"/>
      <c r="I128" s="825"/>
      <c r="J128" s="686"/>
      <c r="K128" s="686"/>
      <c r="L128" s="686"/>
      <c r="M128" s="686"/>
      <c r="N128" s="686"/>
      <c r="O128" s="686"/>
      <c r="P128" s="686"/>
      <c r="Q128" s="825"/>
      <c r="R128" s="686"/>
      <c r="S128" s="686"/>
      <c r="T128" s="686"/>
      <c r="U128" s="686"/>
      <c r="V128" s="686"/>
      <c r="W128" s="686"/>
      <c r="X128" s="686"/>
      <c r="Y128" s="825"/>
      <c r="Z128" s="686"/>
      <c r="AA128" s="686"/>
      <c r="AB128" s="686"/>
      <c r="AC128" s="686"/>
      <c r="AD128" s="686"/>
      <c r="AE128" s="686"/>
      <c r="AF128" s="686"/>
      <c r="AG128" s="825"/>
      <c r="AH128" s="686"/>
      <c r="AI128" s="686"/>
      <c r="AJ128" s="686"/>
      <c r="AK128" s="686"/>
      <c r="AL128" s="686"/>
      <c r="AM128" s="686"/>
      <c r="AN128" s="686"/>
      <c r="AO128" s="825"/>
      <c r="AP128" s="686"/>
      <c r="AQ128" s="686"/>
      <c r="AR128" s="686"/>
      <c r="AS128" s="686"/>
      <c r="AT128" s="686"/>
      <c r="AW128" s="686"/>
      <c r="AX128" s="686"/>
      <c r="AY128" s="686"/>
      <c r="AZ128" s="686"/>
      <c r="BA128" s="686"/>
      <c r="BB128" s="686"/>
      <c r="BC128" s="686"/>
      <c r="BD128" s="686"/>
      <c r="BE128" s="686"/>
      <c r="BF128" s="686"/>
      <c r="BG128" s="686"/>
      <c r="BH128" s="686"/>
    </row>
    <row r="129" spans="1:60" s="44" customFormat="1">
      <c r="A129" s="690"/>
      <c r="B129" s="690"/>
      <c r="C129" s="686"/>
      <c r="D129" s="686"/>
      <c r="E129" s="686"/>
      <c r="F129" s="686"/>
      <c r="G129" s="686"/>
      <c r="H129" s="686"/>
      <c r="I129" s="825"/>
      <c r="J129" s="686"/>
      <c r="K129" s="686"/>
      <c r="L129" s="686"/>
      <c r="M129" s="686"/>
      <c r="N129" s="686"/>
      <c r="O129" s="686"/>
      <c r="P129" s="686"/>
      <c r="Q129" s="825"/>
      <c r="R129" s="686"/>
      <c r="S129" s="686"/>
      <c r="T129" s="686"/>
      <c r="U129" s="686"/>
      <c r="V129" s="686"/>
      <c r="W129" s="686"/>
      <c r="X129" s="686"/>
      <c r="Y129" s="825"/>
      <c r="Z129" s="686"/>
      <c r="AA129" s="686"/>
      <c r="AB129" s="686"/>
      <c r="AC129" s="686"/>
      <c r="AD129" s="686"/>
      <c r="AE129" s="686"/>
      <c r="AF129" s="686"/>
      <c r="AG129" s="825"/>
      <c r="AH129" s="686"/>
      <c r="AI129" s="686"/>
      <c r="AJ129" s="686"/>
      <c r="AK129" s="686"/>
      <c r="AL129" s="686"/>
      <c r="AM129" s="686"/>
      <c r="AN129" s="686"/>
      <c r="AO129" s="825"/>
      <c r="AP129" s="686"/>
      <c r="AQ129" s="686"/>
      <c r="AR129" s="686"/>
      <c r="AS129" s="686"/>
      <c r="AT129" s="686"/>
      <c r="AU129" s="686"/>
      <c r="AV129" s="686"/>
      <c r="AW129" s="686"/>
      <c r="AX129" s="686"/>
      <c r="AY129" s="686"/>
      <c r="AZ129" s="686"/>
      <c r="BA129" s="686"/>
      <c r="BB129" s="686"/>
      <c r="BC129" s="686"/>
      <c r="BD129" s="686"/>
      <c r="BE129" s="686"/>
      <c r="BF129" s="686"/>
      <c r="BG129" s="686"/>
      <c r="BH129" s="686"/>
    </row>
    <row r="130" spans="1:60" s="44" customFormat="1">
      <c r="A130" s="690"/>
      <c r="B130" s="690"/>
      <c r="C130" s="686"/>
      <c r="D130" s="686"/>
      <c r="E130" s="686"/>
      <c r="F130" s="686"/>
      <c r="G130" s="686"/>
      <c r="H130" s="686"/>
      <c r="I130" s="825"/>
      <c r="J130" s="686"/>
      <c r="K130" s="686"/>
      <c r="L130" s="686"/>
      <c r="M130" s="686"/>
      <c r="N130" s="686"/>
      <c r="O130" s="686"/>
      <c r="P130" s="686"/>
      <c r="Q130" s="825"/>
      <c r="R130" s="686"/>
      <c r="S130" s="686"/>
      <c r="T130" s="686"/>
      <c r="U130" s="686"/>
      <c r="V130" s="686"/>
      <c r="W130" s="686"/>
      <c r="X130" s="686"/>
      <c r="Y130" s="825"/>
      <c r="Z130" s="686"/>
      <c r="AA130" s="686"/>
      <c r="AB130" s="686"/>
      <c r="AC130" s="686"/>
      <c r="AD130" s="686"/>
      <c r="AE130" s="686"/>
      <c r="AF130" s="686"/>
      <c r="AG130" s="825"/>
      <c r="AH130" s="686"/>
      <c r="AI130" s="686"/>
      <c r="AJ130" s="686"/>
      <c r="AK130" s="686"/>
      <c r="AL130" s="686"/>
      <c r="AM130" s="686"/>
      <c r="AN130" s="686"/>
      <c r="AO130" s="825"/>
      <c r="AP130" s="686"/>
      <c r="AQ130" s="686"/>
      <c r="AR130" s="686"/>
      <c r="AS130" s="686"/>
      <c r="AT130" s="686"/>
      <c r="AU130" s="686"/>
      <c r="AV130" s="686"/>
      <c r="AW130" s="686"/>
      <c r="AX130" s="686"/>
      <c r="AY130" s="686"/>
      <c r="AZ130" s="686"/>
      <c r="BA130" s="686"/>
      <c r="BB130" s="686"/>
      <c r="BC130" s="686"/>
      <c r="BD130" s="686"/>
      <c r="BE130" s="686"/>
      <c r="BF130" s="686"/>
      <c r="BG130" s="686"/>
      <c r="BH130" s="686"/>
    </row>
    <row r="131" spans="1:60" s="44" customFormat="1">
      <c r="A131" s="690"/>
      <c r="B131" s="690"/>
      <c r="C131" s="686"/>
      <c r="D131" s="686"/>
      <c r="E131" s="686"/>
      <c r="F131" s="686"/>
      <c r="G131" s="686"/>
      <c r="H131" s="686"/>
      <c r="I131" s="825"/>
      <c r="J131" s="686"/>
      <c r="K131" s="686"/>
      <c r="L131" s="686"/>
      <c r="M131" s="686"/>
      <c r="N131" s="686"/>
      <c r="O131" s="686"/>
      <c r="P131" s="686"/>
      <c r="Q131" s="825"/>
      <c r="R131" s="686"/>
      <c r="S131" s="686"/>
      <c r="T131" s="686"/>
      <c r="U131" s="686"/>
      <c r="V131" s="686"/>
      <c r="W131" s="686"/>
      <c r="X131" s="686"/>
      <c r="Y131" s="825"/>
      <c r="Z131" s="686"/>
      <c r="AA131" s="686"/>
      <c r="AB131" s="686"/>
      <c r="AC131" s="686"/>
      <c r="AD131" s="686"/>
      <c r="AE131" s="686"/>
      <c r="AF131" s="686"/>
      <c r="AG131" s="825"/>
      <c r="AH131" s="686"/>
      <c r="AI131" s="686"/>
      <c r="AJ131" s="686"/>
      <c r="AK131" s="686"/>
      <c r="AL131" s="686"/>
      <c r="AM131" s="686"/>
      <c r="AN131" s="686"/>
      <c r="AO131" s="825"/>
      <c r="AP131" s="686"/>
      <c r="AQ131" s="686"/>
      <c r="AR131" s="686"/>
      <c r="AS131" s="686"/>
      <c r="AT131" s="686"/>
      <c r="AU131" s="686"/>
      <c r="AV131" s="686"/>
      <c r="AW131" s="686"/>
      <c r="AX131" s="686"/>
      <c r="AY131" s="686"/>
      <c r="AZ131" s="686"/>
      <c r="BA131" s="686"/>
      <c r="BB131" s="686"/>
      <c r="BC131" s="686"/>
      <c r="BD131" s="686"/>
      <c r="BE131" s="686"/>
      <c r="BF131" s="686"/>
      <c r="BG131" s="686"/>
      <c r="BH131" s="686"/>
    </row>
    <row r="132" spans="1:60" s="44" customFormat="1">
      <c r="A132" s="690"/>
      <c r="B132" s="690"/>
      <c r="C132" s="686"/>
      <c r="D132" s="686"/>
      <c r="E132" s="686"/>
      <c r="F132" s="686"/>
      <c r="G132" s="686"/>
      <c r="H132" s="686"/>
      <c r="I132" s="825"/>
      <c r="J132" s="686"/>
      <c r="K132" s="686"/>
      <c r="L132" s="686"/>
      <c r="M132" s="686"/>
      <c r="N132" s="686"/>
      <c r="O132" s="686"/>
      <c r="P132" s="686"/>
      <c r="Q132" s="825"/>
      <c r="R132" s="686"/>
      <c r="S132" s="686"/>
      <c r="T132" s="686"/>
      <c r="U132" s="686"/>
      <c r="V132" s="686"/>
      <c r="W132" s="686"/>
      <c r="X132" s="686"/>
      <c r="Y132" s="825"/>
      <c r="Z132" s="686"/>
      <c r="AA132" s="686"/>
      <c r="AB132" s="686"/>
      <c r="AC132" s="686"/>
      <c r="AD132" s="686"/>
      <c r="AE132" s="686"/>
      <c r="AF132" s="686"/>
      <c r="AG132" s="825"/>
      <c r="AH132" s="686"/>
      <c r="AI132" s="686"/>
      <c r="AJ132" s="686"/>
      <c r="AK132" s="686"/>
      <c r="AL132" s="686"/>
      <c r="AM132" s="686"/>
      <c r="AN132" s="686"/>
      <c r="AO132" s="825"/>
      <c r="AP132" s="686"/>
      <c r="AQ132" s="686"/>
      <c r="AR132" s="686"/>
      <c r="AS132" s="686"/>
      <c r="AT132" s="686"/>
      <c r="AU132" s="686"/>
      <c r="AV132" s="686"/>
      <c r="AW132" s="686"/>
      <c r="AX132" s="686"/>
      <c r="AY132" s="686"/>
      <c r="AZ132" s="686"/>
      <c r="BA132" s="686"/>
      <c r="BB132" s="686"/>
      <c r="BC132" s="686"/>
      <c r="BD132" s="686"/>
      <c r="BE132" s="686"/>
      <c r="BF132" s="686"/>
      <c r="BG132" s="686"/>
      <c r="BH132" s="686"/>
    </row>
    <row r="133" spans="1:60" s="44" customFormat="1">
      <c r="A133" s="690"/>
      <c r="B133" s="690"/>
      <c r="C133" s="686"/>
      <c r="D133" s="686"/>
      <c r="E133" s="686"/>
      <c r="F133" s="686"/>
      <c r="G133" s="686"/>
      <c r="H133" s="686"/>
      <c r="I133" s="825"/>
      <c r="J133" s="686"/>
      <c r="K133" s="686"/>
      <c r="L133" s="686"/>
      <c r="M133" s="686"/>
      <c r="N133" s="686"/>
      <c r="O133" s="686"/>
      <c r="P133" s="686"/>
      <c r="Q133" s="825"/>
      <c r="R133" s="686"/>
      <c r="S133" s="686"/>
      <c r="T133" s="686"/>
      <c r="U133" s="686"/>
      <c r="V133" s="686"/>
      <c r="W133" s="686"/>
      <c r="X133" s="686"/>
      <c r="Y133" s="825"/>
      <c r="Z133" s="686"/>
      <c r="AA133" s="686"/>
      <c r="AB133" s="686"/>
      <c r="AC133" s="686"/>
      <c r="AD133" s="686"/>
      <c r="AE133" s="686"/>
      <c r="AF133" s="686"/>
      <c r="AG133" s="825"/>
      <c r="AH133" s="686"/>
      <c r="AI133" s="686"/>
      <c r="AJ133" s="686"/>
      <c r="AK133" s="686"/>
      <c r="AL133" s="686"/>
      <c r="AM133" s="686"/>
      <c r="AN133" s="686"/>
      <c r="AO133" s="825"/>
      <c r="AP133" s="686"/>
      <c r="AQ133" s="686"/>
      <c r="AR133" s="686"/>
      <c r="AS133" s="686"/>
      <c r="AT133" s="686"/>
      <c r="AU133" s="686"/>
      <c r="AV133" s="686"/>
      <c r="AW133" s="686"/>
      <c r="AX133" s="686"/>
      <c r="AY133" s="686"/>
      <c r="AZ133" s="686"/>
      <c r="BA133" s="686"/>
      <c r="BB133" s="686"/>
      <c r="BC133" s="686"/>
      <c r="BD133" s="686"/>
      <c r="BE133" s="686"/>
      <c r="BF133" s="686"/>
      <c r="BG133" s="686"/>
      <c r="BH133" s="686"/>
    </row>
    <row r="134" spans="1:60" s="44" customFormat="1">
      <c r="A134" s="690"/>
      <c r="B134" s="690"/>
      <c r="C134" s="686"/>
      <c r="D134" s="686"/>
      <c r="E134" s="686"/>
      <c r="F134" s="686"/>
      <c r="G134" s="686"/>
      <c r="H134" s="686"/>
      <c r="I134" s="825"/>
      <c r="J134" s="686"/>
      <c r="K134" s="686"/>
      <c r="L134" s="686"/>
      <c r="M134" s="686"/>
      <c r="N134" s="686"/>
      <c r="O134" s="686"/>
      <c r="P134" s="686"/>
      <c r="Q134" s="825"/>
      <c r="R134" s="686"/>
      <c r="S134" s="686"/>
      <c r="T134" s="686"/>
      <c r="U134" s="686"/>
      <c r="V134" s="686"/>
      <c r="W134" s="686"/>
      <c r="X134" s="686"/>
      <c r="Y134" s="825"/>
      <c r="Z134" s="686"/>
      <c r="AA134" s="686"/>
      <c r="AB134" s="686"/>
      <c r="AC134" s="686"/>
      <c r="AD134" s="686"/>
      <c r="AE134" s="686"/>
      <c r="AF134" s="686"/>
      <c r="AG134" s="825"/>
      <c r="AH134" s="686"/>
      <c r="AI134" s="686"/>
      <c r="AJ134" s="686"/>
      <c r="AK134" s="686"/>
      <c r="AL134" s="686"/>
      <c r="AM134" s="686"/>
      <c r="AN134" s="686"/>
      <c r="AO134" s="825"/>
      <c r="AP134" s="686"/>
      <c r="AQ134" s="686"/>
      <c r="AR134" s="686"/>
      <c r="AS134" s="686"/>
      <c r="AT134" s="686"/>
      <c r="AU134" s="686"/>
      <c r="AV134" s="686"/>
      <c r="AW134" s="686"/>
      <c r="AX134" s="686"/>
      <c r="AY134" s="686"/>
      <c r="AZ134" s="686"/>
      <c r="BA134" s="686"/>
      <c r="BB134" s="686"/>
      <c r="BC134" s="686"/>
      <c r="BD134" s="686"/>
      <c r="BE134" s="686"/>
      <c r="BF134" s="686"/>
      <c r="BG134" s="686"/>
      <c r="BH134" s="686"/>
    </row>
    <row r="135" spans="1:60" s="44" customFormat="1">
      <c r="A135" s="690"/>
      <c r="B135" s="690"/>
      <c r="C135" s="686"/>
      <c r="D135" s="686"/>
      <c r="E135" s="686"/>
      <c r="F135" s="686"/>
      <c r="G135" s="686"/>
      <c r="H135" s="686"/>
      <c r="I135" s="825"/>
      <c r="J135" s="686"/>
      <c r="K135" s="686"/>
      <c r="L135" s="686"/>
      <c r="M135" s="686"/>
      <c r="N135" s="686"/>
      <c r="O135" s="686"/>
      <c r="P135" s="686"/>
      <c r="Q135" s="825"/>
      <c r="R135" s="686"/>
      <c r="S135" s="686"/>
      <c r="T135" s="686"/>
      <c r="U135" s="686"/>
      <c r="V135" s="686"/>
      <c r="W135" s="686"/>
      <c r="X135" s="686"/>
      <c r="Y135" s="825"/>
      <c r="Z135" s="686"/>
      <c r="AA135" s="686"/>
      <c r="AB135" s="686"/>
      <c r="AC135" s="686"/>
      <c r="AD135" s="686"/>
      <c r="AE135" s="686"/>
      <c r="AF135" s="686"/>
      <c r="AG135" s="825"/>
      <c r="AH135" s="686"/>
      <c r="AI135" s="686"/>
      <c r="AJ135" s="686"/>
      <c r="AK135" s="686"/>
      <c r="AL135" s="686"/>
      <c r="AM135" s="686"/>
      <c r="AN135" s="686"/>
      <c r="AO135" s="825"/>
      <c r="AP135" s="686"/>
      <c r="AQ135" s="686"/>
      <c r="AR135" s="686"/>
      <c r="AS135" s="686"/>
      <c r="AT135" s="686"/>
      <c r="AU135" s="686"/>
      <c r="AV135" s="686"/>
      <c r="AW135" s="686"/>
      <c r="AX135" s="686"/>
      <c r="AY135" s="686"/>
      <c r="AZ135" s="686"/>
      <c r="BA135" s="686"/>
      <c r="BB135" s="686"/>
      <c r="BC135" s="686"/>
      <c r="BD135" s="686"/>
      <c r="BE135" s="686"/>
      <c r="BF135" s="686"/>
      <c r="BG135" s="686"/>
      <c r="BH135" s="686"/>
    </row>
    <row r="136" spans="1:60" s="44" customFormat="1">
      <c r="A136" s="690"/>
      <c r="B136" s="690"/>
      <c r="C136" s="686"/>
      <c r="D136" s="686"/>
      <c r="E136" s="686"/>
      <c r="F136" s="686"/>
      <c r="G136" s="686"/>
      <c r="H136" s="686"/>
      <c r="I136" s="825"/>
      <c r="J136" s="686"/>
      <c r="K136" s="686"/>
      <c r="L136" s="686"/>
      <c r="M136" s="686"/>
      <c r="N136" s="686"/>
      <c r="O136" s="686"/>
      <c r="P136" s="686"/>
      <c r="Q136" s="825"/>
      <c r="R136" s="686"/>
      <c r="S136" s="686"/>
      <c r="T136" s="686"/>
      <c r="U136" s="686"/>
      <c r="V136" s="686"/>
      <c r="W136" s="686"/>
      <c r="X136" s="686"/>
      <c r="Y136" s="825"/>
      <c r="Z136" s="686"/>
      <c r="AA136" s="686"/>
      <c r="AB136" s="686"/>
      <c r="AC136" s="686"/>
      <c r="AD136" s="686"/>
      <c r="AE136" s="686"/>
      <c r="AF136" s="686"/>
      <c r="AG136" s="825"/>
      <c r="AH136" s="686"/>
      <c r="AI136" s="686"/>
      <c r="AJ136" s="686"/>
      <c r="AK136" s="686"/>
      <c r="AL136" s="686"/>
      <c r="AM136" s="686"/>
      <c r="AN136" s="686"/>
      <c r="AO136" s="825"/>
      <c r="AP136" s="686"/>
      <c r="AQ136" s="686"/>
      <c r="AR136" s="686"/>
      <c r="AS136" s="686"/>
      <c r="AT136" s="686"/>
      <c r="AU136" s="686"/>
      <c r="AV136" s="686"/>
      <c r="AW136" s="686"/>
      <c r="AX136" s="686"/>
      <c r="AY136" s="686"/>
      <c r="AZ136" s="686"/>
      <c r="BA136" s="686"/>
      <c r="BB136" s="686"/>
      <c r="BC136" s="686"/>
      <c r="BD136" s="686"/>
      <c r="BE136" s="686"/>
      <c r="BF136" s="686"/>
      <c r="BG136" s="686"/>
      <c r="BH136" s="686"/>
    </row>
    <row r="137" spans="1:60" s="44" customFormat="1">
      <c r="A137" s="690"/>
      <c r="B137" s="690"/>
      <c r="C137" s="686"/>
      <c r="D137" s="686"/>
      <c r="E137" s="686"/>
      <c r="F137" s="686"/>
      <c r="G137" s="686"/>
      <c r="H137" s="686"/>
      <c r="I137" s="825"/>
      <c r="J137" s="686"/>
      <c r="K137" s="686"/>
      <c r="L137" s="686"/>
      <c r="M137" s="686"/>
      <c r="N137" s="686"/>
      <c r="O137" s="686"/>
      <c r="P137" s="686"/>
      <c r="Q137" s="825"/>
      <c r="R137" s="686"/>
      <c r="S137" s="686"/>
      <c r="T137" s="686"/>
      <c r="U137" s="686"/>
      <c r="V137" s="686"/>
      <c r="W137" s="686"/>
      <c r="X137" s="686"/>
      <c r="Y137" s="825"/>
      <c r="Z137" s="686"/>
      <c r="AA137" s="686"/>
      <c r="AB137" s="686"/>
      <c r="AC137" s="686"/>
      <c r="AD137" s="686"/>
      <c r="AE137" s="686"/>
      <c r="AF137" s="686"/>
      <c r="AG137" s="825"/>
      <c r="AH137" s="686"/>
      <c r="AI137" s="686"/>
      <c r="AJ137" s="686"/>
      <c r="AK137" s="686"/>
      <c r="AL137" s="686"/>
      <c r="AM137" s="686"/>
      <c r="AN137" s="686"/>
      <c r="AO137" s="825"/>
      <c r="AP137" s="686"/>
      <c r="AQ137" s="686"/>
      <c r="AR137" s="686"/>
      <c r="AS137" s="686"/>
      <c r="AT137" s="686"/>
      <c r="AU137" s="686"/>
      <c r="AV137" s="686"/>
      <c r="AW137" s="686"/>
      <c r="AX137" s="686"/>
      <c r="AY137" s="686"/>
      <c r="AZ137" s="686"/>
      <c r="BA137" s="686"/>
      <c r="BB137" s="686"/>
      <c r="BC137" s="686"/>
      <c r="BD137" s="686"/>
      <c r="BE137" s="686"/>
      <c r="BF137" s="686"/>
      <c r="BG137" s="686"/>
      <c r="BH137" s="686"/>
    </row>
    <row r="138" spans="1:60" s="44" customFormat="1">
      <c r="A138" s="690"/>
      <c r="B138" s="690"/>
      <c r="C138" s="686"/>
      <c r="D138" s="686"/>
      <c r="E138" s="686"/>
      <c r="F138" s="686"/>
      <c r="G138" s="686"/>
      <c r="H138" s="686"/>
      <c r="I138" s="825"/>
      <c r="J138" s="686"/>
      <c r="K138" s="686"/>
      <c r="L138" s="686"/>
      <c r="M138" s="686"/>
      <c r="N138" s="686"/>
      <c r="O138" s="686"/>
      <c r="P138" s="686"/>
      <c r="Q138" s="825"/>
      <c r="R138" s="686"/>
      <c r="S138" s="686"/>
      <c r="T138" s="686"/>
      <c r="U138" s="686"/>
      <c r="V138" s="686"/>
      <c r="W138" s="686"/>
      <c r="X138" s="686"/>
      <c r="Y138" s="825"/>
      <c r="Z138" s="686"/>
      <c r="AA138" s="686"/>
      <c r="AB138" s="686"/>
      <c r="AC138" s="686"/>
      <c r="AD138" s="686"/>
      <c r="AE138" s="686"/>
      <c r="AF138" s="686"/>
      <c r="AG138" s="825"/>
      <c r="AH138" s="686"/>
      <c r="AI138" s="686"/>
      <c r="AJ138" s="686"/>
      <c r="AK138" s="686"/>
      <c r="AL138" s="686"/>
      <c r="AM138" s="686"/>
      <c r="AN138" s="686"/>
      <c r="AO138" s="825"/>
      <c r="AP138" s="686"/>
      <c r="AQ138" s="686"/>
      <c r="AR138" s="686"/>
      <c r="AS138" s="686"/>
      <c r="AT138" s="686"/>
      <c r="AU138" s="686"/>
      <c r="AV138" s="686"/>
      <c r="AW138" s="686"/>
      <c r="AX138" s="686"/>
      <c r="AY138" s="686"/>
      <c r="AZ138" s="686"/>
      <c r="BA138" s="686"/>
      <c r="BB138" s="686"/>
      <c r="BC138" s="686"/>
      <c r="BD138" s="686"/>
      <c r="BE138" s="686"/>
      <c r="BF138" s="686"/>
      <c r="BG138" s="686"/>
      <c r="BH138" s="686"/>
    </row>
    <row r="139" spans="1:60" s="44" customFormat="1">
      <c r="A139" s="690"/>
      <c r="B139" s="690"/>
      <c r="C139" s="686"/>
      <c r="D139" s="686"/>
      <c r="E139" s="686"/>
      <c r="F139" s="686"/>
      <c r="G139" s="686"/>
      <c r="H139" s="686"/>
      <c r="I139" s="825"/>
      <c r="J139" s="686"/>
      <c r="K139" s="686"/>
      <c r="L139" s="686"/>
      <c r="M139" s="686"/>
      <c r="N139" s="686"/>
      <c r="O139" s="686"/>
      <c r="P139" s="686"/>
      <c r="Q139" s="825"/>
      <c r="R139" s="686"/>
      <c r="S139" s="686"/>
      <c r="T139" s="686"/>
      <c r="U139" s="686"/>
      <c r="V139" s="686"/>
      <c r="W139" s="686"/>
      <c r="X139" s="686"/>
      <c r="Y139" s="825"/>
      <c r="Z139" s="686"/>
      <c r="AA139" s="686"/>
      <c r="AB139" s="686"/>
      <c r="AC139" s="686"/>
      <c r="AD139" s="686"/>
      <c r="AE139" s="686"/>
      <c r="AF139" s="686"/>
      <c r="AG139" s="825"/>
      <c r="AH139" s="686"/>
      <c r="AI139" s="686"/>
      <c r="AJ139" s="686"/>
      <c r="AK139" s="686"/>
      <c r="AL139" s="686"/>
      <c r="AM139" s="686"/>
      <c r="AN139" s="686"/>
      <c r="AO139" s="825"/>
      <c r="AP139" s="686"/>
      <c r="AQ139" s="686"/>
      <c r="AR139" s="686"/>
      <c r="AS139" s="686"/>
      <c r="AT139" s="686"/>
      <c r="AU139" s="686"/>
      <c r="AV139" s="686"/>
      <c r="AW139" s="686"/>
      <c r="AX139" s="686"/>
      <c r="AY139" s="686"/>
      <c r="AZ139" s="686"/>
      <c r="BA139" s="686"/>
      <c r="BB139" s="686"/>
      <c r="BC139" s="686"/>
      <c r="BD139" s="686"/>
      <c r="BE139" s="686"/>
      <c r="BF139" s="686"/>
      <c r="BG139" s="686"/>
      <c r="BH139" s="686"/>
    </row>
    <row r="140" spans="1:60" s="44" customFormat="1">
      <c r="A140" s="690"/>
      <c r="B140" s="690"/>
      <c r="C140" s="686"/>
      <c r="D140" s="686"/>
      <c r="E140" s="686"/>
      <c r="F140" s="686"/>
      <c r="G140" s="686"/>
      <c r="H140" s="686"/>
      <c r="I140" s="825"/>
      <c r="J140" s="686"/>
      <c r="K140" s="686"/>
      <c r="L140" s="686"/>
      <c r="M140" s="686"/>
      <c r="N140" s="686"/>
      <c r="O140" s="686"/>
      <c r="P140" s="686"/>
      <c r="Q140" s="825"/>
      <c r="R140" s="686"/>
      <c r="S140" s="686"/>
      <c r="T140" s="686"/>
      <c r="U140" s="686"/>
      <c r="V140" s="686"/>
      <c r="W140" s="686"/>
      <c r="X140" s="686"/>
      <c r="Y140" s="825"/>
      <c r="Z140" s="686"/>
      <c r="AA140" s="686"/>
      <c r="AB140" s="686"/>
      <c r="AC140" s="686"/>
      <c r="AD140" s="686"/>
      <c r="AE140" s="686"/>
      <c r="AF140" s="686"/>
      <c r="AG140" s="825"/>
      <c r="AH140" s="686"/>
      <c r="AI140" s="686"/>
      <c r="AJ140" s="686"/>
      <c r="AK140" s="686"/>
      <c r="AL140" s="686"/>
      <c r="AM140" s="686"/>
      <c r="AN140" s="686"/>
      <c r="AO140" s="825"/>
      <c r="AP140" s="686"/>
      <c r="AQ140" s="686"/>
      <c r="AR140" s="686"/>
      <c r="AS140" s="686"/>
      <c r="AT140" s="686"/>
      <c r="AU140" s="686"/>
      <c r="AV140" s="686"/>
      <c r="AW140" s="686"/>
      <c r="AX140" s="686"/>
      <c r="AY140" s="686"/>
      <c r="AZ140" s="686"/>
      <c r="BA140" s="686"/>
      <c r="BB140" s="686"/>
      <c r="BC140" s="686"/>
      <c r="BD140" s="686"/>
      <c r="BE140" s="686"/>
      <c r="BF140" s="686"/>
      <c r="BG140" s="686"/>
      <c r="BH140" s="686"/>
    </row>
    <row r="141" spans="1:60" s="44" customFormat="1">
      <c r="A141" s="690"/>
      <c r="B141" s="690"/>
      <c r="C141" s="686"/>
      <c r="D141" s="686"/>
      <c r="E141" s="686"/>
      <c r="F141" s="686"/>
      <c r="G141" s="686"/>
      <c r="H141" s="686"/>
      <c r="I141" s="825"/>
      <c r="J141" s="686"/>
      <c r="K141" s="686"/>
      <c r="L141" s="686"/>
      <c r="M141" s="686"/>
      <c r="N141" s="686"/>
      <c r="O141" s="686"/>
      <c r="P141" s="686"/>
      <c r="Q141" s="825"/>
      <c r="R141" s="686"/>
      <c r="S141" s="686"/>
      <c r="T141" s="686"/>
      <c r="U141" s="686"/>
      <c r="V141" s="686"/>
      <c r="W141" s="686"/>
      <c r="X141" s="686"/>
      <c r="Y141" s="825"/>
      <c r="Z141" s="686"/>
      <c r="AA141" s="686"/>
      <c r="AB141" s="686"/>
      <c r="AC141" s="686"/>
      <c r="AD141" s="686"/>
      <c r="AE141" s="686"/>
      <c r="AF141" s="686"/>
      <c r="AG141" s="825"/>
      <c r="AH141" s="686"/>
      <c r="AI141" s="686"/>
      <c r="AJ141" s="686"/>
      <c r="AK141" s="686"/>
      <c r="AL141" s="686"/>
      <c r="AM141" s="686"/>
      <c r="AN141" s="686"/>
      <c r="AO141" s="825"/>
      <c r="AP141" s="686"/>
      <c r="AQ141" s="686"/>
      <c r="AR141" s="686"/>
      <c r="AS141" s="686"/>
      <c r="AT141" s="686"/>
      <c r="AU141" s="686"/>
      <c r="AV141" s="686"/>
      <c r="AW141" s="686"/>
      <c r="AX141" s="686"/>
      <c r="AY141" s="686"/>
      <c r="AZ141" s="686"/>
      <c r="BA141" s="686"/>
      <c r="BB141" s="686"/>
      <c r="BC141" s="686"/>
      <c r="BD141" s="686"/>
      <c r="BE141" s="686"/>
      <c r="BF141" s="686"/>
      <c r="BG141" s="686"/>
      <c r="BH141" s="686"/>
    </row>
    <row r="142" spans="1:60" s="44" customFormat="1">
      <c r="A142" s="690"/>
      <c r="B142" s="690"/>
      <c r="C142" s="686"/>
      <c r="D142" s="686"/>
      <c r="E142" s="686"/>
      <c r="F142" s="686"/>
      <c r="G142" s="686"/>
      <c r="H142" s="686"/>
      <c r="I142" s="825"/>
      <c r="J142" s="686"/>
      <c r="K142" s="686"/>
      <c r="L142" s="686"/>
      <c r="M142" s="686"/>
      <c r="N142" s="686"/>
      <c r="O142" s="686"/>
      <c r="P142" s="686"/>
      <c r="Q142" s="825"/>
      <c r="R142" s="686"/>
      <c r="S142" s="686"/>
      <c r="T142" s="686"/>
      <c r="U142" s="686"/>
      <c r="V142" s="686"/>
      <c r="W142" s="686"/>
      <c r="X142" s="686"/>
      <c r="Y142" s="825"/>
      <c r="Z142" s="686"/>
      <c r="AA142" s="686"/>
      <c r="AB142" s="686"/>
      <c r="AC142" s="686"/>
      <c r="AD142" s="686"/>
      <c r="AE142" s="686"/>
      <c r="AF142" s="686"/>
      <c r="AG142" s="825"/>
      <c r="AH142" s="686"/>
      <c r="AI142" s="686"/>
      <c r="AJ142" s="686"/>
      <c r="AK142" s="686"/>
      <c r="AL142" s="686"/>
      <c r="AM142" s="686"/>
      <c r="AN142" s="686"/>
      <c r="AO142" s="825"/>
      <c r="AP142" s="686"/>
      <c r="AQ142" s="686"/>
      <c r="AR142" s="686"/>
      <c r="AS142" s="686"/>
      <c r="AT142" s="686"/>
      <c r="AU142" s="686"/>
      <c r="AV142" s="686"/>
      <c r="AW142" s="686"/>
      <c r="AX142" s="686"/>
      <c r="AY142" s="686"/>
      <c r="AZ142" s="686"/>
      <c r="BA142" s="686"/>
      <c r="BB142" s="686"/>
      <c r="BC142" s="686"/>
      <c r="BD142" s="686"/>
      <c r="BE142" s="686"/>
      <c r="BF142" s="686"/>
      <c r="BG142" s="686"/>
      <c r="BH142" s="686"/>
    </row>
    <row r="143" spans="1:60" s="44" customFormat="1">
      <c r="A143" s="690"/>
      <c r="B143" s="690"/>
      <c r="C143" s="686"/>
      <c r="D143" s="686"/>
      <c r="E143" s="686"/>
      <c r="F143" s="686"/>
      <c r="G143" s="686"/>
      <c r="H143" s="686"/>
      <c r="I143" s="825"/>
      <c r="J143" s="686"/>
      <c r="K143" s="686"/>
      <c r="L143" s="686"/>
      <c r="M143" s="686"/>
      <c r="N143" s="686"/>
      <c r="O143" s="686"/>
      <c r="P143" s="686"/>
      <c r="Q143" s="825"/>
      <c r="R143" s="686"/>
      <c r="S143" s="686"/>
      <c r="T143" s="686"/>
      <c r="U143" s="686"/>
      <c r="V143" s="686"/>
      <c r="W143" s="686"/>
      <c r="X143" s="686"/>
      <c r="Y143" s="825"/>
      <c r="Z143" s="686"/>
      <c r="AA143" s="686"/>
      <c r="AB143" s="686"/>
      <c r="AC143" s="686"/>
      <c r="AD143" s="686"/>
      <c r="AE143" s="686"/>
      <c r="AF143" s="686"/>
      <c r="AG143" s="825"/>
      <c r="AH143" s="686"/>
      <c r="AI143" s="686"/>
      <c r="AJ143" s="686"/>
      <c r="AK143" s="686"/>
      <c r="AL143" s="686"/>
      <c r="AM143" s="686"/>
      <c r="AN143" s="686"/>
      <c r="AO143" s="825"/>
      <c r="AP143" s="686"/>
      <c r="AQ143" s="686"/>
      <c r="AR143" s="686"/>
      <c r="AS143" s="686"/>
      <c r="AT143" s="686"/>
      <c r="AU143" s="686"/>
      <c r="AV143" s="686"/>
      <c r="AW143" s="686"/>
      <c r="AX143" s="686"/>
      <c r="AY143" s="686"/>
      <c r="AZ143" s="686"/>
      <c r="BA143" s="686"/>
      <c r="BB143" s="686"/>
      <c r="BC143" s="686"/>
      <c r="BD143" s="686"/>
      <c r="BE143" s="686"/>
      <c r="BF143" s="686"/>
      <c r="BG143" s="686"/>
      <c r="BH143" s="686"/>
    </row>
    <row r="144" spans="1:60" s="44" customFormat="1">
      <c r="A144" s="690"/>
      <c r="B144" s="690"/>
      <c r="C144" s="686"/>
      <c r="D144" s="686"/>
      <c r="E144" s="686"/>
      <c r="F144" s="686"/>
      <c r="G144" s="686"/>
      <c r="H144" s="686"/>
      <c r="I144" s="825"/>
      <c r="J144" s="686"/>
      <c r="K144" s="686"/>
      <c r="L144" s="686"/>
      <c r="M144" s="686"/>
      <c r="N144" s="686"/>
      <c r="O144" s="686"/>
      <c r="P144" s="686"/>
      <c r="Q144" s="825"/>
      <c r="R144" s="686"/>
      <c r="S144" s="686"/>
      <c r="T144" s="686"/>
      <c r="U144" s="686"/>
      <c r="V144" s="686"/>
      <c r="W144" s="686"/>
      <c r="X144" s="686"/>
      <c r="Y144" s="825"/>
      <c r="Z144" s="686"/>
      <c r="AA144" s="686"/>
      <c r="AB144" s="686"/>
      <c r="AC144" s="686"/>
      <c r="AD144" s="686"/>
      <c r="AE144" s="686"/>
      <c r="AF144" s="686"/>
      <c r="AG144" s="825"/>
      <c r="AH144" s="686"/>
      <c r="AI144" s="686"/>
      <c r="AJ144" s="686"/>
      <c r="AK144" s="686"/>
      <c r="AL144" s="686"/>
      <c r="AM144" s="686"/>
      <c r="AN144" s="686"/>
      <c r="AO144" s="825"/>
      <c r="AP144" s="686"/>
      <c r="AQ144" s="686"/>
      <c r="AR144" s="686"/>
      <c r="AS144" s="686"/>
      <c r="AT144" s="686"/>
      <c r="AU144" s="686"/>
      <c r="AV144" s="686"/>
      <c r="AW144" s="686"/>
      <c r="AX144" s="686"/>
      <c r="AY144" s="686"/>
      <c r="AZ144" s="686"/>
      <c r="BA144" s="686"/>
      <c r="BB144" s="686"/>
      <c r="BC144" s="686"/>
      <c r="BD144" s="686"/>
      <c r="BE144" s="686"/>
      <c r="BF144" s="686"/>
      <c r="BG144" s="686"/>
      <c r="BH144" s="686"/>
    </row>
    <row r="145" spans="1:60" s="44" customFormat="1">
      <c r="A145" s="690"/>
      <c r="B145" s="690"/>
      <c r="C145" s="686"/>
      <c r="D145" s="686"/>
      <c r="E145" s="686"/>
      <c r="F145" s="686"/>
      <c r="G145" s="686"/>
      <c r="H145" s="686"/>
      <c r="I145" s="825"/>
      <c r="J145" s="686"/>
      <c r="K145" s="686"/>
      <c r="L145" s="686"/>
      <c r="M145" s="686"/>
      <c r="N145" s="686"/>
      <c r="O145" s="686"/>
      <c r="P145" s="686"/>
      <c r="Q145" s="825"/>
      <c r="R145" s="686"/>
      <c r="S145" s="686"/>
      <c r="T145" s="686"/>
      <c r="U145" s="686"/>
      <c r="V145" s="686"/>
      <c r="W145" s="686"/>
      <c r="X145" s="686"/>
      <c r="Y145" s="825"/>
      <c r="Z145" s="686"/>
      <c r="AA145" s="686"/>
      <c r="AB145" s="686"/>
      <c r="AC145" s="686"/>
      <c r="AD145" s="686"/>
      <c r="AE145" s="686"/>
      <c r="AF145" s="686"/>
      <c r="AG145" s="825"/>
      <c r="AH145" s="686"/>
      <c r="AI145" s="686"/>
      <c r="AJ145" s="686"/>
      <c r="AK145" s="686"/>
      <c r="AL145" s="686"/>
      <c r="AM145" s="686"/>
      <c r="AN145" s="686"/>
      <c r="AO145" s="825"/>
      <c r="AP145" s="686"/>
      <c r="AQ145" s="686"/>
      <c r="AR145" s="686"/>
      <c r="AS145" s="686"/>
      <c r="AT145" s="686"/>
      <c r="AU145" s="686"/>
      <c r="AV145" s="686"/>
      <c r="AW145" s="686"/>
      <c r="AX145" s="686"/>
      <c r="AY145" s="686"/>
      <c r="AZ145" s="686"/>
      <c r="BA145" s="686"/>
      <c r="BB145" s="686"/>
      <c r="BC145" s="686"/>
      <c r="BD145" s="686"/>
      <c r="BE145" s="686"/>
      <c r="BF145" s="686"/>
      <c r="BG145" s="686"/>
      <c r="BH145" s="686"/>
    </row>
    <row r="146" spans="1:60" s="44" customFormat="1">
      <c r="A146" s="690"/>
      <c r="B146" s="690"/>
      <c r="C146" s="686"/>
      <c r="D146" s="686"/>
      <c r="E146" s="686"/>
      <c r="F146" s="686"/>
      <c r="G146" s="686"/>
      <c r="H146" s="686"/>
      <c r="I146" s="825"/>
      <c r="J146" s="686"/>
      <c r="K146" s="686"/>
      <c r="L146" s="686"/>
      <c r="M146" s="686"/>
      <c r="N146" s="686"/>
      <c r="O146" s="686"/>
      <c r="P146" s="686"/>
      <c r="Q146" s="825"/>
      <c r="R146" s="686"/>
      <c r="S146" s="686"/>
      <c r="T146" s="686"/>
      <c r="U146" s="686"/>
      <c r="V146" s="686"/>
      <c r="W146" s="686"/>
      <c r="X146" s="686"/>
      <c r="Y146" s="825"/>
      <c r="Z146" s="686"/>
      <c r="AA146" s="686"/>
      <c r="AB146" s="686"/>
      <c r="AC146" s="686"/>
      <c r="AD146" s="686"/>
      <c r="AE146" s="686"/>
      <c r="AF146" s="686"/>
      <c r="AG146" s="825"/>
      <c r="AH146" s="686"/>
      <c r="AI146" s="686"/>
      <c r="AJ146" s="686"/>
      <c r="AK146" s="686"/>
      <c r="AL146" s="686"/>
      <c r="AM146" s="686"/>
      <c r="AN146" s="686"/>
      <c r="AO146" s="825"/>
      <c r="AP146" s="686"/>
      <c r="AQ146" s="686"/>
      <c r="AR146" s="686"/>
      <c r="AS146" s="686"/>
      <c r="AT146" s="686"/>
      <c r="AU146" s="686"/>
      <c r="AV146" s="686"/>
      <c r="AW146" s="686"/>
      <c r="AX146" s="686"/>
      <c r="AY146" s="686"/>
      <c r="AZ146" s="686"/>
      <c r="BA146" s="686"/>
      <c r="BB146" s="686"/>
      <c r="BC146" s="686"/>
      <c r="BD146" s="686"/>
      <c r="BE146" s="686"/>
      <c r="BF146" s="686"/>
      <c r="BG146" s="686"/>
      <c r="BH146" s="686"/>
    </row>
    <row r="147" spans="1:60" s="44" customFormat="1">
      <c r="A147" s="690"/>
      <c r="B147" s="690"/>
      <c r="C147" s="686"/>
      <c r="D147" s="686"/>
      <c r="E147" s="686"/>
      <c r="F147" s="686"/>
      <c r="G147" s="686"/>
      <c r="H147" s="686"/>
      <c r="I147" s="825"/>
      <c r="J147" s="686"/>
      <c r="K147" s="686"/>
      <c r="L147" s="686"/>
      <c r="M147" s="686"/>
      <c r="N147" s="686"/>
      <c r="O147" s="686"/>
      <c r="P147" s="686"/>
      <c r="Q147" s="825"/>
      <c r="R147" s="686"/>
      <c r="S147" s="686"/>
      <c r="T147" s="686"/>
      <c r="U147" s="686"/>
      <c r="V147" s="686"/>
      <c r="W147" s="686"/>
      <c r="X147" s="686"/>
      <c r="Y147" s="825"/>
      <c r="Z147" s="686"/>
      <c r="AA147" s="686"/>
      <c r="AB147" s="686"/>
      <c r="AC147" s="686"/>
      <c r="AD147" s="686"/>
      <c r="AE147" s="686"/>
      <c r="AF147" s="686"/>
      <c r="AG147" s="825"/>
      <c r="AH147" s="686"/>
      <c r="AI147" s="686"/>
      <c r="AJ147" s="686"/>
      <c r="AK147" s="686"/>
      <c r="AL147" s="686"/>
      <c r="AM147" s="686"/>
      <c r="AN147" s="686"/>
      <c r="AO147" s="825"/>
      <c r="AP147" s="686"/>
      <c r="AQ147" s="686"/>
      <c r="AR147" s="686"/>
      <c r="AS147" s="686"/>
      <c r="AT147" s="686"/>
      <c r="AU147" s="686"/>
      <c r="AV147" s="686"/>
      <c r="AW147" s="686"/>
      <c r="AX147" s="686"/>
      <c r="AY147" s="686"/>
      <c r="AZ147" s="686"/>
      <c r="BA147" s="686"/>
      <c r="BB147" s="686"/>
      <c r="BC147" s="686"/>
      <c r="BD147" s="686"/>
      <c r="BE147" s="686"/>
      <c r="BF147" s="686"/>
      <c r="BG147" s="686"/>
      <c r="BH147" s="686"/>
    </row>
    <row r="148" spans="1:60" s="44" customFormat="1">
      <c r="A148" s="690"/>
      <c r="B148" s="690"/>
      <c r="C148" s="686"/>
      <c r="D148" s="686"/>
      <c r="E148" s="686"/>
      <c r="F148" s="686"/>
      <c r="G148" s="686"/>
      <c r="H148" s="686"/>
      <c r="I148" s="825"/>
      <c r="J148" s="686"/>
      <c r="K148" s="686"/>
      <c r="L148" s="686"/>
      <c r="M148" s="686"/>
      <c r="N148" s="686"/>
      <c r="O148" s="686"/>
      <c r="P148" s="686"/>
      <c r="Q148" s="825"/>
      <c r="R148" s="686"/>
      <c r="S148" s="686"/>
      <c r="T148" s="686"/>
      <c r="U148" s="686"/>
      <c r="V148" s="686"/>
      <c r="W148" s="686"/>
      <c r="X148" s="686"/>
      <c r="Y148" s="825"/>
      <c r="Z148" s="686"/>
      <c r="AA148" s="686"/>
      <c r="AB148" s="686"/>
      <c r="AC148" s="686"/>
      <c r="AD148" s="686"/>
      <c r="AE148" s="686"/>
      <c r="AF148" s="686"/>
      <c r="AG148" s="825"/>
      <c r="AH148" s="686"/>
      <c r="AI148" s="686"/>
      <c r="AJ148" s="686"/>
      <c r="AK148" s="686"/>
      <c r="AL148" s="686"/>
      <c r="AM148" s="686"/>
      <c r="AN148" s="686"/>
      <c r="AO148" s="825"/>
      <c r="AP148" s="686"/>
      <c r="AQ148" s="686"/>
      <c r="AR148" s="686"/>
      <c r="AS148" s="686"/>
      <c r="AT148" s="686"/>
      <c r="AU148" s="686"/>
      <c r="AV148" s="686"/>
      <c r="AW148" s="686"/>
      <c r="AX148" s="686"/>
      <c r="AY148" s="686"/>
      <c r="AZ148" s="686"/>
      <c r="BA148" s="686"/>
      <c r="BB148" s="686"/>
      <c r="BC148" s="686"/>
      <c r="BD148" s="686"/>
      <c r="BE148" s="686"/>
      <c r="BF148" s="686"/>
      <c r="BG148" s="686"/>
      <c r="BH148" s="686"/>
    </row>
    <row r="149" spans="1:60" s="44" customFormat="1">
      <c r="A149" s="690"/>
      <c r="B149" s="690"/>
      <c r="C149" s="686"/>
      <c r="D149" s="686"/>
      <c r="E149" s="686"/>
      <c r="F149" s="686"/>
      <c r="G149" s="686"/>
      <c r="H149" s="686"/>
      <c r="I149" s="825"/>
      <c r="J149" s="686"/>
      <c r="K149" s="686"/>
      <c r="L149" s="686"/>
      <c r="M149" s="686"/>
      <c r="N149" s="686"/>
      <c r="O149" s="686"/>
      <c r="P149" s="686"/>
      <c r="Q149" s="825"/>
      <c r="R149" s="686"/>
      <c r="S149" s="686"/>
      <c r="T149" s="686"/>
      <c r="U149" s="686"/>
      <c r="V149" s="686"/>
      <c r="W149" s="686"/>
      <c r="X149" s="686"/>
      <c r="Y149" s="825"/>
      <c r="Z149" s="686"/>
      <c r="AA149" s="686"/>
      <c r="AB149" s="686"/>
      <c r="AC149" s="686"/>
      <c r="AD149" s="686"/>
      <c r="AE149" s="686"/>
      <c r="AF149" s="686"/>
      <c r="AG149" s="825"/>
      <c r="AH149" s="686"/>
      <c r="AI149" s="686"/>
      <c r="AJ149" s="686"/>
      <c r="AK149" s="686"/>
      <c r="AL149" s="686"/>
      <c r="AM149" s="686"/>
      <c r="AN149" s="686"/>
      <c r="AO149" s="825"/>
      <c r="AP149" s="686"/>
      <c r="AQ149" s="686"/>
      <c r="AR149" s="686"/>
      <c r="AS149" s="686"/>
      <c r="AT149" s="686"/>
      <c r="AU149" s="686"/>
      <c r="AV149" s="686"/>
      <c r="AW149" s="686"/>
      <c r="AX149" s="686"/>
      <c r="AY149" s="686"/>
      <c r="AZ149" s="686"/>
      <c r="BA149" s="686"/>
      <c r="BB149" s="686"/>
      <c r="BC149" s="686"/>
      <c r="BD149" s="686"/>
      <c r="BE149" s="686"/>
      <c r="BF149" s="686"/>
      <c r="BG149" s="686"/>
      <c r="BH149" s="686"/>
    </row>
    <row r="150" spans="1:60" s="44" customFormat="1">
      <c r="A150" s="690"/>
      <c r="B150" s="690"/>
      <c r="C150" s="686"/>
      <c r="D150" s="686"/>
      <c r="E150" s="686"/>
      <c r="F150" s="686"/>
      <c r="G150" s="686"/>
      <c r="H150" s="686"/>
      <c r="I150" s="825"/>
      <c r="J150" s="686"/>
      <c r="K150" s="686"/>
      <c r="L150" s="686"/>
      <c r="M150" s="686"/>
      <c r="N150" s="686"/>
      <c r="O150" s="686"/>
      <c r="P150" s="686"/>
      <c r="Q150" s="825"/>
      <c r="R150" s="686"/>
      <c r="S150" s="686"/>
      <c r="T150" s="686"/>
      <c r="U150" s="686"/>
      <c r="V150" s="686"/>
      <c r="W150" s="686"/>
      <c r="X150" s="686"/>
      <c r="Y150" s="825"/>
      <c r="Z150" s="686"/>
      <c r="AA150" s="686"/>
      <c r="AB150" s="686"/>
      <c r="AC150" s="686"/>
      <c r="AD150" s="686"/>
      <c r="AE150" s="686"/>
      <c r="AF150" s="686"/>
      <c r="AG150" s="825"/>
      <c r="AH150" s="686"/>
      <c r="AI150" s="686"/>
      <c r="AJ150" s="686"/>
      <c r="AK150" s="686"/>
      <c r="AL150" s="686"/>
      <c r="AM150" s="686"/>
      <c r="AN150" s="686"/>
      <c r="AO150" s="825"/>
      <c r="AP150" s="686"/>
      <c r="AQ150" s="686"/>
      <c r="AR150" s="686"/>
      <c r="AS150" s="686"/>
      <c r="AT150" s="686"/>
      <c r="AU150" s="686"/>
      <c r="AV150" s="686"/>
      <c r="AW150" s="686"/>
      <c r="AX150" s="686"/>
      <c r="AY150" s="686"/>
      <c r="AZ150" s="686"/>
      <c r="BA150" s="686"/>
      <c r="BB150" s="686"/>
      <c r="BC150" s="686"/>
      <c r="BD150" s="686"/>
      <c r="BE150" s="686"/>
      <c r="BF150" s="686"/>
      <c r="BG150" s="686"/>
      <c r="BH150" s="686"/>
    </row>
    <row r="151" spans="1:60" s="44" customFormat="1">
      <c r="A151" s="690"/>
      <c r="B151" s="690"/>
      <c r="C151" s="686"/>
      <c r="D151" s="686"/>
      <c r="E151" s="686"/>
      <c r="F151" s="686"/>
      <c r="G151" s="686"/>
      <c r="H151" s="686"/>
      <c r="I151" s="825"/>
      <c r="J151" s="686"/>
      <c r="K151" s="686"/>
      <c r="L151" s="686"/>
      <c r="M151" s="686"/>
      <c r="N151" s="686"/>
      <c r="O151" s="686"/>
      <c r="P151" s="686"/>
      <c r="Q151" s="825"/>
      <c r="R151" s="686"/>
      <c r="S151" s="686"/>
      <c r="T151" s="686"/>
      <c r="U151" s="686"/>
      <c r="V151" s="686"/>
      <c r="W151" s="686"/>
      <c r="X151" s="686"/>
      <c r="Y151" s="825"/>
      <c r="Z151" s="686"/>
      <c r="AA151" s="686"/>
      <c r="AB151" s="686"/>
      <c r="AC151" s="686"/>
      <c r="AD151" s="686"/>
      <c r="AE151" s="686"/>
      <c r="AF151" s="686"/>
      <c r="AG151" s="825"/>
      <c r="AH151" s="686"/>
      <c r="AI151" s="686"/>
      <c r="AJ151" s="686"/>
      <c r="AK151" s="686"/>
      <c r="AL151" s="686"/>
      <c r="AM151" s="686"/>
      <c r="AN151" s="686"/>
      <c r="AO151" s="825"/>
      <c r="AP151" s="686"/>
      <c r="AQ151" s="686"/>
      <c r="AR151" s="686"/>
      <c r="AS151" s="686"/>
      <c r="AT151" s="686"/>
      <c r="AU151" s="686"/>
      <c r="AV151" s="686"/>
      <c r="AW151" s="686"/>
      <c r="AX151" s="686"/>
      <c r="AY151" s="686"/>
      <c r="AZ151" s="686"/>
      <c r="BA151" s="686"/>
      <c r="BB151" s="686"/>
      <c r="BC151" s="686"/>
      <c r="BD151" s="686"/>
      <c r="BE151" s="686"/>
      <c r="BF151" s="686"/>
      <c r="BG151" s="686"/>
      <c r="BH151" s="686"/>
    </row>
    <row r="152" spans="1:60" s="44" customFormat="1">
      <c r="A152" s="690"/>
      <c r="B152" s="690"/>
      <c r="C152" s="686"/>
      <c r="D152" s="686"/>
      <c r="E152" s="686"/>
      <c r="F152" s="686"/>
      <c r="G152" s="686"/>
      <c r="H152" s="686"/>
      <c r="I152" s="825"/>
      <c r="J152" s="686"/>
      <c r="K152" s="686"/>
      <c r="L152" s="686"/>
      <c r="M152" s="686"/>
      <c r="N152" s="686"/>
      <c r="O152" s="686"/>
      <c r="P152" s="686"/>
      <c r="Q152" s="825"/>
      <c r="R152" s="686"/>
      <c r="S152" s="686"/>
      <c r="T152" s="686"/>
      <c r="U152" s="686"/>
      <c r="V152" s="686"/>
      <c r="W152" s="686"/>
      <c r="X152" s="686"/>
      <c r="Y152" s="825"/>
      <c r="Z152" s="686"/>
      <c r="AA152" s="686"/>
      <c r="AB152" s="686"/>
      <c r="AC152" s="686"/>
      <c r="AD152" s="686"/>
      <c r="AE152" s="686"/>
      <c r="AF152" s="686"/>
      <c r="AG152" s="825"/>
      <c r="AH152" s="686"/>
      <c r="AI152" s="686"/>
      <c r="AJ152" s="686"/>
      <c r="AK152" s="686"/>
      <c r="AL152" s="686"/>
      <c r="AM152" s="686"/>
      <c r="AN152" s="686"/>
      <c r="AO152" s="825"/>
      <c r="AP152" s="686"/>
      <c r="AQ152" s="686"/>
      <c r="AR152" s="686"/>
      <c r="AS152" s="686"/>
      <c r="AT152" s="686"/>
      <c r="AU152" s="686"/>
      <c r="AV152" s="686"/>
      <c r="AW152" s="686"/>
      <c r="AX152" s="686"/>
      <c r="AY152" s="686"/>
      <c r="AZ152" s="686"/>
      <c r="BA152" s="686"/>
      <c r="BB152" s="686"/>
      <c r="BC152" s="686"/>
      <c r="BD152" s="686"/>
      <c r="BE152" s="686"/>
      <c r="BF152" s="686"/>
      <c r="BG152" s="686"/>
      <c r="BH152" s="686"/>
    </row>
    <row r="153" spans="1:60" s="44" customFormat="1">
      <c r="A153" s="690"/>
      <c r="B153" s="690"/>
      <c r="C153" s="686"/>
      <c r="D153" s="686"/>
      <c r="E153" s="686"/>
      <c r="F153" s="686"/>
      <c r="G153" s="686"/>
      <c r="H153" s="686"/>
      <c r="I153" s="825"/>
      <c r="J153" s="686"/>
      <c r="K153" s="686"/>
      <c r="L153" s="686"/>
      <c r="M153" s="686"/>
      <c r="N153" s="686"/>
      <c r="O153" s="686"/>
      <c r="P153" s="686"/>
      <c r="Q153" s="825"/>
      <c r="R153" s="686"/>
      <c r="S153" s="686"/>
      <c r="T153" s="686"/>
      <c r="U153" s="686"/>
      <c r="V153" s="686"/>
      <c r="W153" s="686"/>
      <c r="X153" s="686"/>
      <c r="Y153" s="825"/>
      <c r="Z153" s="686"/>
      <c r="AA153" s="686"/>
      <c r="AB153" s="686"/>
      <c r="AC153" s="686"/>
      <c r="AD153" s="686"/>
      <c r="AE153" s="686"/>
      <c r="AF153" s="686"/>
      <c r="AG153" s="825"/>
      <c r="AH153" s="686"/>
      <c r="AI153" s="686"/>
      <c r="AJ153" s="686"/>
      <c r="AK153" s="686"/>
      <c r="AL153" s="686"/>
      <c r="AM153" s="686"/>
      <c r="AN153" s="686"/>
      <c r="AO153" s="825"/>
      <c r="AP153" s="686"/>
      <c r="AQ153" s="686"/>
      <c r="AR153" s="686"/>
      <c r="AS153" s="686"/>
      <c r="AT153" s="686"/>
      <c r="AU153" s="686"/>
      <c r="AV153" s="686"/>
      <c r="AW153" s="686"/>
      <c r="AX153" s="686"/>
      <c r="AY153" s="686"/>
      <c r="AZ153" s="686"/>
      <c r="BA153" s="686"/>
      <c r="BB153" s="686"/>
      <c r="BC153" s="686"/>
      <c r="BD153" s="686"/>
      <c r="BE153" s="686"/>
      <c r="BF153" s="686"/>
      <c r="BG153" s="686"/>
      <c r="BH153" s="686"/>
    </row>
    <row r="154" spans="1:60" s="44" customFormat="1">
      <c r="A154" s="690"/>
      <c r="B154" s="690"/>
      <c r="C154" s="686"/>
      <c r="D154" s="686"/>
      <c r="E154" s="686"/>
      <c r="F154" s="686"/>
      <c r="G154" s="686"/>
      <c r="H154" s="686"/>
      <c r="I154" s="825"/>
      <c r="J154" s="686"/>
      <c r="K154" s="686"/>
      <c r="L154" s="686"/>
      <c r="M154" s="686"/>
      <c r="N154" s="686"/>
      <c r="O154" s="686"/>
      <c r="P154" s="686"/>
      <c r="Q154" s="825"/>
      <c r="R154" s="686"/>
      <c r="S154" s="686"/>
      <c r="T154" s="686"/>
      <c r="U154" s="686"/>
      <c r="V154" s="686"/>
      <c r="W154" s="686"/>
      <c r="X154" s="686"/>
      <c r="Y154" s="825"/>
      <c r="Z154" s="686"/>
      <c r="AA154" s="686"/>
      <c r="AB154" s="686"/>
      <c r="AC154" s="686"/>
      <c r="AD154" s="686"/>
      <c r="AE154" s="686"/>
      <c r="AF154" s="686"/>
      <c r="AG154" s="825"/>
      <c r="AH154" s="686"/>
      <c r="AI154" s="686"/>
      <c r="AJ154" s="686"/>
      <c r="AK154" s="686"/>
      <c r="AL154" s="686"/>
      <c r="AM154" s="686"/>
      <c r="AN154" s="686"/>
      <c r="AO154" s="825"/>
      <c r="AP154" s="686"/>
      <c r="AQ154" s="686"/>
      <c r="AR154" s="686"/>
      <c r="AS154" s="686"/>
      <c r="AT154" s="686"/>
      <c r="AU154" s="686"/>
      <c r="AV154" s="686"/>
      <c r="AW154" s="686"/>
      <c r="AX154" s="686"/>
      <c r="AY154" s="686"/>
      <c r="AZ154" s="686"/>
      <c r="BA154" s="686"/>
      <c r="BB154" s="686"/>
      <c r="BC154" s="686"/>
      <c r="BD154" s="686"/>
      <c r="BE154" s="686"/>
      <c r="BF154" s="686"/>
      <c r="BG154" s="686"/>
      <c r="BH154" s="686"/>
    </row>
    <row r="155" spans="1:60" s="44" customFormat="1">
      <c r="A155" s="690"/>
      <c r="B155" s="690"/>
      <c r="C155" s="686"/>
      <c r="D155" s="686"/>
      <c r="E155" s="686"/>
      <c r="F155" s="686"/>
      <c r="G155" s="686"/>
      <c r="H155" s="686"/>
      <c r="I155" s="825"/>
      <c r="J155" s="686"/>
      <c r="K155" s="686"/>
      <c r="L155" s="686"/>
      <c r="M155" s="686"/>
      <c r="N155" s="686"/>
      <c r="O155" s="686"/>
      <c r="P155" s="686"/>
      <c r="Q155" s="825"/>
      <c r="R155" s="686"/>
      <c r="S155" s="686"/>
      <c r="T155" s="686"/>
      <c r="U155" s="686"/>
      <c r="V155" s="686"/>
      <c r="W155" s="686"/>
      <c r="X155" s="686"/>
      <c r="Y155" s="825"/>
      <c r="Z155" s="686"/>
      <c r="AA155" s="686"/>
      <c r="AB155" s="686"/>
      <c r="AC155" s="686"/>
      <c r="AD155" s="686"/>
      <c r="AE155" s="686"/>
      <c r="AF155" s="686"/>
      <c r="AG155" s="825"/>
      <c r="AH155" s="686"/>
      <c r="AI155" s="686"/>
      <c r="AJ155" s="686"/>
      <c r="AK155" s="686"/>
      <c r="AL155" s="686"/>
      <c r="AM155" s="686"/>
      <c r="AN155" s="686"/>
      <c r="AO155" s="825"/>
      <c r="AP155" s="686"/>
      <c r="AQ155" s="686"/>
      <c r="AR155" s="686"/>
      <c r="AS155" s="686"/>
      <c r="AT155" s="686"/>
      <c r="AU155" s="686"/>
      <c r="AV155" s="686"/>
      <c r="AW155" s="686"/>
      <c r="AX155" s="686"/>
      <c r="AY155" s="686"/>
      <c r="AZ155" s="686"/>
      <c r="BA155" s="686"/>
      <c r="BB155" s="686"/>
      <c r="BC155" s="686"/>
      <c r="BD155" s="686"/>
      <c r="BE155" s="686"/>
      <c r="BF155" s="686"/>
      <c r="BG155" s="686"/>
      <c r="BH155" s="686"/>
    </row>
    <row r="156" spans="1:60" s="44" customFormat="1">
      <c r="A156" s="690"/>
      <c r="B156" s="690"/>
      <c r="C156" s="686"/>
      <c r="D156" s="686"/>
      <c r="E156" s="686"/>
      <c r="F156" s="686"/>
      <c r="G156" s="686"/>
      <c r="H156" s="686"/>
      <c r="I156" s="825"/>
      <c r="J156" s="686"/>
      <c r="K156" s="686"/>
      <c r="L156" s="686"/>
      <c r="M156" s="686"/>
      <c r="N156" s="686"/>
      <c r="O156" s="686"/>
      <c r="P156" s="686"/>
      <c r="Q156" s="825"/>
      <c r="R156" s="686"/>
      <c r="S156" s="686"/>
      <c r="T156" s="686"/>
      <c r="U156" s="686"/>
      <c r="V156" s="686"/>
      <c r="W156" s="686"/>
      <c r="X156" s="686"/>
      <c r="Y156" s="825"/>
      <c r="Z156" s="686"/>
      <c r="AA156" s="686"/>
      <c r="AB156" s="686"/>
      <c r="AC156" s="686"/>
      <c r="AD156" s="686"/>
      <c r="AE156" s="686"/>
      <c r="AF156" s="686"/>
      <c r="AG156" s="825"/>
      <c r="AH156" s="686"/>
      <c r="AI156" s="686"/>
      <c r="AJ156" s="686"/>
      <c r="AK156" s="686"/>
      <c r="AL156" s="686"/>
      <c r="AM156" s="686"/>
      <c r="AN156" s="686"/>
      <c r="AO156" s="825"/>
      <c r="AP156" s="686"/>
      <c r="AQ156" s="686"/>
      <c r="AR156" s="686"/>
      <c r="AS156" s="686"/>
      <c r="AT156" s="686"/>
      <c r="AU156" s="686"/>
      <c r="AV156" s="686"/>
      <c r="AW156" s="686"/>
      <c r="AX156" s="686"/>
      <c r="AY156" s="686"/>
      <c r="AZ156" s="686"/>
      <c r="BA156" s="686"/>
      <c r="BB156" s="686"/>
      <c r="BC156" s="686"/>
      <c r="BD156" s="686"/>
      <c r="BE156" s="686"/>
      <c r="BF156" s="686"/>
      <c r="BG156" s="686"/>
      <c r="BH156" s="686"/>
    </row>
    <row r="157" spans="1:60" s="44" customFormat="1">
      <c r="A157" s="690"/>
      <c r="B157" s="690"/>
      <c r="C157" s="686"/>
      <c r="D157" s="686"/>
      <c r="E157" s="686"/>
      <c r="F157" s="686"/>
      <c r="G157" s="686"/>
      <c r="H157" s="686"/>
      <c r="I157" s="825"/>
      <c r="J157" s="686"/>
      <c r="K157" s="686"/>
      <c r="L157" s="686"/>
      <c r="M157" s="686"/>
      <c r="N157" s="686"/>
      <c r="O157" s="686"/>
      <c r="P157" s="686"/>
      <c r="Q157" s="825"/>
      <c r="R157" s="686"/>
      <c r="S157" s="686"/>
      <c r="T157" s="686"/>
      <c r="U157" s="686"/>
      <c r="V157" s="686"/>
      <c r="W157" s="686"/>
      <c r="X157" s="686"/>
      <c r="Y157" s="825"/>
      <c r="Z157" s="686"/>
      <c r="AA157" s="686"/>
      <c r="AB157" s="686"/>
      <c r="AC157" s="686"/>
      <c r="AD157" s="686"/>
      <c r="AE157" s="686"/>
      <c r="AF157" s="686"/>
      <c r="AG157" s="825"/>
      <c r="AH157" s="686"/>
      <c r="AI157" s="686"/>
      <c r="AJ157" s="686"/>
      <c r="AK157" s="686"/>
      <c r="AL157" s="686"/>
      <c r="AM157" s="686"/>
      <c r="AN157" s="686"/>
      <c r="AO157" s="825"/>
      <c r="AP157" s="686"/>
      <c r="AQ157" s="686"/>
      <c r="AR157" s="686"/>
      <c r="AS157" s="686"/>
      <c r="AT157" s="686"/>
      <c r="AU157" s="686"/>
      <c r="AV157" s="686"/>
      <c r="AW157" s="686"/>
      <c r="AX157" s="686"/>
      <c r="AY157" s="686"/>
      <c r="AZ157" s="686"/>
      <c r="BA157" s="686"/>
      <c r="BB157" s="686"/>
      <c r="BC157" s="686"/>
      <c r="BD157" s="686"/>
      <c r="BE157" s="686"/>
      <c r="BF157" s="686"/>
      <c r="BG157" s="686"/>
      <c r="BH157" s="686"/>
    </row>
    <row r="158" spans="1:60" s="44" customFormat="1">
      <c r="A158" s="690"/>
      <c r="B158" s="690"/>
      <c r="C158" s="686"/>
      <c r="D158" s="686"/>
      <c r="E158" s="686"/>
      <c r="F158" s="686"/>
      <c r="G158" s="686"/>
      <c r="H158" s="686"/>
      <c r="I158" s="825"/>
      <c r="J158" s="686"/>
      <c r="K158" s="686"/>
      <c r="L158" s="686"/>
      <c r="M158" s="686"/>
      <c r="N158" s="686"/>
      <c r="O158" s="686"/>
      <c r="P158" s="686"/>
      <c r="Q158" s="825"/>
      <c r="R158" s="686"/>
      <c r="S158" s="686"/>
      <c r="T158" s="686"/>
      <c r="U158" s="686"/>
      <c r="V158" s="686"/>
      <c r="W158" s="686"/>
      <c r="X158" s="686"/>
      <c r="Y158" s="825"/>
      <c r="Z158" s="686"/>
      <c r="AA158" s="686"/>
      <c r="AB158" s="686"/>
      <c r="AC158" s="686"/>
      <c r="AD158" s="686"/>
      <c r="AE158" s="686"/>
      <c r="AF158" s="686"/>
      <c r="AG158" s="825"/>
      <c r="AH158" s="686"/>
      <c r="AI158" s="686"/>
      <c r="AJ158" s="686"/>
      <c r="AK158" s="686"/>
      <c r="AL158" s="686"/>
      <c r="AM158" s="686"/>
      <c r="AN158" s="686"/>
      <c r="AO158" s="825"/>
      <c r="AP158" s="686"/>
      <c r="AQ158" s="686"/>
      <c r="AR158" s="686"/>
      <c r="AS158" s="686"/>
      <c r="AT158" s="686"/>
      <c r="AU158" s="686"/>
      <c r="AV158" s="686"/>
      <c r="AW158" s="686"/>
      <c r="AX158" s="686"/>
      <c r="AY158" s="686"/>
      <c r="AZ158" s="686"/>
      <c r="BA158" s="686"/>
      <c r="BB158" s="686"/>
      <c r="BC158" s="686"/>
      <c r="BD158" s="686"/>
      <c r="BE158" s="686"/>
      <c r="BF158" s="686"/>
      <c r="BG158" s="686"/>
      <c r="BH158" s="686"/>
    </row>
    <row r="159" spans="1:60" s="44" customFormat="1">
      <c r="A159" s="690"/>
      <c r="B159" s="690"/>
      <c r="C159" s="686"/>
      <c r="D159" s="686"/>
      <c r="E159" s="686"/>
      <c r="F159" s="686"/>
      <c r="G159" s="686"/>
      <c r="H159" s="686"/>
      <c r="I159" s="825"/>
      <c r="J159" s="686"/>
      <c r="K159" s="686"/>
      <c r="L159" s="686"/>
      <c r="M159" s="686"/>
      <c r="N159" s="686"/>
      <c r="O159" s="686"/>
      <c r="P159" s="686"/>
      <c r="Q159" s="825"/>
      <c r="R159" s="686"/>
      <c r="S159" s="686"/>
      <c r="T159" s="686"/>
      <c r="U159" s="686"/>
      <c r="V159" s="686"/>
      <c r="W159" s="686"/>
      <c r="X159" s="686"/>
      <c r="Y159" s="825"/>
      <c r="Z159" s="686"/>
      <c r="AA159" s="686"/>
      <c r="AB159" s="686"/>
      <c r="AC159" s="686"/>
      <c r="AD159" s="686"/>
      <c r="AE159" s="686"/>
      <c r="AF159" s="686"/>
      <c r="AG159" s="825"/>
      <c r="AH159" s="686"/>
      <c r="AI159" s="686"/>
      <c r="AJ159" s="686"/>
      <c r="AK159" s="686"/>
      <c r="AL159" s="686"/>
      <c r="AM159" s="686"/>
      <c r="AN159" s="686"/>
      <c r="AO159" s="825"/>
      <c r="AP159" s="686"/>
      <c r="AQ159" s="686"/>
      <c r="AR159" s="686"/>
      <c r="AS159" s="686"/>
      <c r="AT159" s="686"/>
      <c r="AU159" s="686"/>
      <c r="AV159" s="686"/>
      <c r="AW159" s="686"/>
      <c r="AX159" s="686"/>
      <c r="AY159" s="686"/>
      <c r="AZ159" s="686"/>
      <c r="BA159" s="686"/>
      <c r="BB159" s="686"/>
      <c r="BC159" s="686"/>
      <c r="BD159" s="686"/>
      <c r="BE159" s="686"/>
      <c r="BF159" s="686"/>
      <c r="BG159" s="686"/>
      <c r="BH159" s="686"/>
    </row>
    <row r="160" spans="1:60" s="44" customFormat="1">
      <c r="A160" s="690"/>
      <c r="B160" s="690"/>
      <c r="C160" s="686"/>
      <c r="D160" s="686"/>
      <c r="E160" s="686"/>
      <c r="F160" s="686"/>
      <c r="G160" s="686"/>
      <c r="H160" s="686"/>
      <c r="I160" s="825"/>
      <c r="J160" s="686"/>
      <c r="K160" s="686"/>
      <c r="L160" s="686"/>
      <c r="M160" s="686"/>
      <c r="N160" s="686"/>
      <c r="O160" s="686"/>
      <c r="P160" s="686"/>
      <c r="Q160" s="825"/>
      <c r="R160" s="686"/>
      <c r="S160" s="686"/>
      <c r="T160" s="686"/>
      <c r="U160" s="686"/>
      <c r="V160" s="686"/>
      <c r="W160" s="686"/>
      <c r="X160" s="686"/>
      <c r="Y160" s="825"/>
      <c r="Z160" s="686"/>
      <c r="AA160" s="686"/>
      <c r="AB160" s="686"/>
      <c r="AC160" s="686"/>
      <c r="AD160" s="686"/>
      <c r="AE160" s="686"/>
      <c r="AF160" s="686"/>
      <c r="AG160" s="825"/>
      <c r="AH160" s="686"/>
      <c r="AI160" s="686"/>
      <c r="AJ160" s="686"/>
      <c r="AK160" s="686"/>
      <c r="AL160" s="686"/>
      <c r="AM160" s="686"/>
      <c r="AN160" s="686"/>
      <c r="AO160" s="825"/>
      <c r="AP160" s="686"/>
      <c r="AQ160" s="686"/>
      <c r="AR160" s="686"/>
      <c r="AS160" s="686"/>
      <c r="AT160" s="686"/>
      <c r="AU160" s="686"/>
      <c r="AV160" s="686"/>
      <c r="AW160" s="686"/>
      <c r="AX160" s="686"/>
      <c r="AY160" s="686"/>
      <c r="AZ160" s="686"/>
      <c r="BA160" s="686"/>
      <c r="BB160" s="686"/>
      <c r="BC160" s="686"/>
      <c r="BD160" s="686"/>
      <c r="BE160" s="686"/>
      <c r="BF160" s="686"/>
      <c r="BG160" s="686"/>
      <c r="BH160" s="686"/>
    </row>
    <row r="161" spans="1:60" s="44" customFormat="1">
      <c r="A161" s="690"/>
      <c r="B161" s="690"/>
      <c r="C161" s="686"/>
      <c r="D161" s="686"/>
      <c r="E161" s="686"/>
      <c r="F161" s="686"/>
      <c r="G161" s="686"/>
      <c r="H161" s="686"/>
      <c r="I161" s="825"/>
      <c r="J161" s="686"/>
      <c r="K161" s="686"/>
      <c r="L161" s="686"/>
      <c r="M161" s="686"/>
      <c r="N161" s="686"/>
      <c r="O161" s="686"/>
      <c r="P161" s="686"/>
      <c r="Q161" s="825"/>
      <c r="R161" s="686"/>
      <c r="S161" s="686"/>
      <c r="T161" s="686"/>
      <c r="U161" s="686"/>
      <c r="V161" s="686"/>
      <c r="W161" s="686"/>
      <c r="X161" s="686"/>
      <c r="Y161" s="825"/>
      <c r="Z161" s="686"/>
      <c r="AA161" s="686"/>
      <c r="AB161" s="686"/>
      <c r="AC161" s="686"/>
      <c r="AD161" s="686"/>
      <c r="AE161" s="686"/>
      <c r="AF161" s="686"/>
      <c r="AG161" s="825"/>
      <c r="AH161" s="686"/>
      <c r="AI161" s="686"/>
      <c r="AJ161" s="686"/>
      <c r="AK161" s="686"/>
      <c r="AL161" s="686"/>
      <c r="AM161" s="686"/>
      <c r="AN161" s="686"/>
      <c r="AO161" s="825"/>
      <c r="AP161" s="686"/>
      <c r="AQ161" s="686"/>
      <c r="AR161" s="686"/>
      <c r="AS161" s="686"/>
      <c r="AT161" s="686"/>
      <c r="AU161" s="686"/>
      <c r="AV161" s="686"/>
      <c r="AW161" s="686"/>
      <c r="AX161" s="686"/>
      <c r="AY161" s="686"/>
      <c r="AZ161" s="686"/>
      <c r="BA161" s="686"/>
      <c r="BB161" s="686"/>
      <c r="BC161" s="686"/>
      <c r="BD161" s="686"/>
      <c r="BE161" s="686"/>
      <c r="BF161" s="686"/>
      <c r="BG161" s="686"/>
      <c r="BH161" s="686"/>
    </row>
    <row r="162" spans="1:60" s="44" customFormat="1">
      <c r="A162" s="690"/>
      <c r="B162" s="690"/>
      <c r="C162" s="686"/>
      <c r="D162" s="686"/>
      <c r="E162" s="686"/>
      <c r="F162" s="686"/>
      <c r="G162" s="686"/>
      <c r="H162" s="686"/>
      <c r="I162" s="825"/>
      <c r="J162" s="686"/>
      <c r="K162" s="686"/>
      <c r="L162" s="686"/>
      <c r="M162" s="686"/>
      <c r="N162" s="686"/>
      <c r="O162" s="686"/>
      <c r="P162" s="686"/>
      <c r="Q162" s="825"/>
      <c r="R162" s="686"/>
      <c r="S162" s="686"/>
      <c r="T162" s="686"/>
      <c r="U162" s="686"/>
      <c r="V162" s="686"/>
      <c r="W162" s="686"/>
      <c r="X162" s="686"/>
      <c r="Y162" s="825"/>
      <c r="Z162" s="686"/>
      <c r="AA162" s="686"/>
      <c r="AB162" s="686"/>
      <c r="AC162" s="686"/>
      <c r="AD162" s="686"/>
      <c r="AE162" s="686"/>
      <c r="AF162" s="686"/>
      <c r="AG162" s="825"/>
      <c r="AH162" s="686"/>
      <c r="AI162" s="686"/>
      <c r="AJ162" s="686"/>
      <c r="AK162" s="686"/>
      <c r="AL162" s="686"/>
      <c r="AM162" s="686"/>
      <c r="AN162" s="686"/>
      <c r="AO162" s="825"/>
      <c r="AP162" s="686"/>
      <c r="AQ162" s="686"/>
      <c r="AR162" s="686"/>
      <c r="AS162" s="686"/>
      <c r="AT162" s="686"/>
      <c r="AU162" s="686"/>
      <c r="AV162" s="686"/>
      <c r="AW162" s="686"/>
      <c r="AX162" s="686"/>
      <c r="AY162" s="686"/>
      <c r="AZ162" s="686"/>
      <c r="BA162" s="686"/>
      <c r="BB162" s="686"/>
      <c r="BC162" s="686"/>
      <c r="BD162" s="686"/>
      <c r="BE162" s="686"/>
      <c r="BF162" s="686"/>
      <c r="BG162" s="686"/>
      <c r="BH162" s="686"/>
    </row>
    <row r="163" spans="1:60" s="44" customFormat="1">
      <c r="A163" s="690"/>
      <c r="B163" s="690"/>
      <c r="C163" s="686"/>
      <c r="D163" s="686"/>
      <c r="E163" s="686"/>
      <c r="F163" s="686"/>
      <c r="G163" s="686"/>
      <c r="H163" s="686"/>
      <c r="I163" s="825"/>
      <c r="J163" s="686"/>
      <c r="K163" s="686"/>
      <c r="L163" s="686"/>
      <c r="M163" s="686"/>
      <c r="N163" s="686"/>
      <c r="O163" s="686"/>
      <c r="P163" s="686"/>
      <c r="Q163" s="825"/>
      <c r="R163" s="686"/>
      <c r="S163" s="686"/>
      <c r="T163" s="686"/>
      <c r="U163" s="686"/>
      <c r="V163" s="686"/>
      <c r="W163" s="686"/>
      <c r="X163" s="686"/>
      <c r="Y163" s="825"/>
      <c r="Z163" s="686"/>
      <c r="AA163" s="686"/>
      <c r="AB163" s="686"/>
      <c r="AC163" s="686"/>
      <c r="AD163" s="686"/>
      <c r="AE163" s="686"/>
      <c r="AF163" s="686"/>
      <c r="AG163" s="825"/>
      <c r="AH163" s="686"/>
      <c r="AI163" s="686"/>
      <c r="AJ163" s="686"/>
      <c r="AK163" s="686"/>
      <c r="AL163" s="686"/>
      <c r="AM163" s="686"/>
      <c r="AN163" s="686"/>
      <c r="AO163" s="825"/>
      <c r="AP163" s="686"/>
      <c r="AQ163" s="686"/>
      <c r="AR163" s="686"/>
      <c r="AS163" s="686"/>
      <c r="AT163" s="686"/>
      <c r="AU163" s="686"/>
      <c r="AV163" s="686"/>
      <c r="AW163" s="686"/>
      <c r="AX163" s="686"/>
      <c r="AY163" s="686"/>
      <c r="AZ163" s="686"/>
      <c r="BA163" s="686"/>
      <c r="BB163" s="686"/>
      <c r="BC163" s="686"/>
      <c r="BD163" s="686"/>
      <c r="BE163" s="686"/>
      <c r="BF163" s="686"/>
      <c r="BG163" s="686"/>
      <c r="BH163" s="686"/>
    </row>
    <row r="164" spans="1:60" s="44" customFormat="1">
      <c r="A164" s="690"/>
      <c r="B164" s="690"/>
      <c r="C164" s="686"/>
      <c r="D164" s="686"/>
      <c r="E164" s="686"/>
      <c r="F164" s="686"/>
      <c r="G164" s="686"/>
      <c r="H164" s="686"/>
      <c r="I164" s="825"/>
      <c r="J164" s="686"/>
      <c r="K164" s="686"/>
      <c r="L164" s="686"/>
      <c r="M164" s="686"/>
      <c r="N164" s="686"/>
      <c r="O164" s="686"/>
      <c r="P164" s="686"/>
      <c r="Q164" s="825"/>
      <c r="R164" s="686"/>
      <c r="S164" s="686"/>
      <c r="T164" s="686"/>
      <c r="U164" s="686"/>
      <c r="V164" s="686"/>
      <c r="W164" s="686"/>
      <c r="X164" s="686"/>
      <c r="Y164" s="825"/>
      <c r="Z164" s="686"/>
      <c r="AA164" s="686"/>
      <c r="AB164" s="686"/>
      <c r="AC164" s="686"/>
      <c r="AD164" s="686"/>
      <c r="AE164" s="686"/>
      <c r="AF164" s="686"/>
      <c r="AG164" s="825"/>
      <c r="AH164" s="686"/>
      <c r="AI164" s="686"/>
      <c r="AJ164" s="686"/>
      <c r="AK164" s="686"/>
      <c r="AL164" s="686"/>
      <c r="AM164" s="686"/>
      <c r="AN164" s="686"/>
      <c r="AO164" s="825"/>
      <c r="AP164" s="686"/>
      <c r="AQ164" s="686"/>
      <c r="AR164" s="686"/>
      <c r="AS164" s="686"/>
      <c r="AT164" s="686"/>
      <c r="AU164" s="686"/>
      <c r="AV164" s="686"/>
      <c r="AW164" s="686"/>
      <c r="AX164" s="686"/>
      <c r="AY164" s="686"/>
      <c r="AZ164" s="686"/>
      <c r="BA164" s="686"/>
      <c r="BB164" s="686"/>
      <c r="BC164" s="686"/>
      <c r="BD164" s="686"/>
      <c r="BE164" s="686"/>
      <c r="BF164" s="686"/>
      <c r="BG164" s="686"/>
      <c r="BH164" s="686"/>
    </row>
    <row r="165" spans="1:60" s="44" customFormat="1">
      <c r="A165" s="690"/>
      <c r="B165" s="690"/>
      <c r="C165" s="686"/>
      <c r="D165" s="686"/>
      <c r="E165" s="686"/>
      <c r="F165" s="686"/>
      <c r="G165" s="686"/>
      <c r="H165" s="686"/>
      <c r="I165" s="825"/>
      <c r="J165" s="686"/>
      <c r="K165" s="686"/>
      <c r="L165" s="686"/>
      <c r="M165" s="686"/>
      <c r="N165" s="686"/>
      <c r="O165" s="686"/>
      <c r="P165" s="686"/>
      <c r="Q165" s="825"/>
      <c r="R165" s="686"/>
      <c r="S165" s="686"/>
      <c r="T165" s="686"/>
      <c r="U165" s="686"/>
      <c r="V165" s="686"/>
      <c r="W165" s="686"/>
      <c r="X165" s="686"/>
      <c r="Y165" s="825"/>
      <c r="Z165" s="686"/>
      <c r="AA165" s="686"/>
      <c r="AB165" s="686"/>
      <c r="AC165" s="686"/>
      <c r="AD165" s="686"/>
      <c r="AE165" s="686"/>
      <c r="AF165" s="686"/>
      <c r="AG165" s="825"/>
      <c r="AH165" s="686"/>
      <c r="AI165" s="686"/>
      <c r="AJ165" s="686"/>
      <c r="AK165" s="686"/>
      <c r="AL165" s="686"/>
      <c r="AM165" s="686"/>
      <c r="AN165" s="686"/>
      <c r="AO165" s="825"/>
      <c r="AP165" s="686"/>
      <c r="AQ165" s="686"/>
      <c r="AR165" s="686"/>
      <c r="AS165" s="686"/>
      <c r="AT165" s="686"/>
      <c r="AU165" s="686"/>
      <c r="AV165" s="686"/>
      <c r="AW165" s="686"/>
      <c r="AX165" s="686"/>
      <c r="AY165" s="686"/>
      <c r="AZ165" s="686"/>
      <c r="BA165" s="686"/>
      <c r="BB165" s="686"/>
      <c r="BC165" s="686"/>
      <c r="BD165" s="686"/>
      <c r="BE165" s="686"/>
      <c r="BF165" s="686"/>
      <c r="BG165" s="686"/>
      <c r="BH165" s="686"/>
    </row>
    <row r="166" spans="1:60" s="44" customFormat="1">
      <c r="A166" s="690"/>
      <c r="B166" s="690"/>
      <c r="C166" s="686"/>
      <c r="D166" s="686"/>
      <c r="E166" s="686"/>
      <c r="F166" s="686"/>
      <c r="G166" s="686"/>
      <c r="H166" s="686"/>
      <c r="I166" s="825"/>
      <c r="J166" s="686"/>
      <c r="K166" s="686"/>
      <c r="L166" s="686"/>
      <c r="M166" s="686"/>
      <c r="N166" s="686"/>
      <c r="O166" s="686"/>
      <c r="P166" s="686"/>
      <c r="Q166" s="825"/>
      <c r="R166" s="686"/>
      <c r="S166" s="686"/>
      <c r="T166" s="686"/>
      <c r="U166" s="686"/>
      <c r="V166" s="686"/>
      <c r="W166" s="686"/>
      <c r="X166" s="686"/>
      <c r="Y166" s="825"/>
      <c r="Z166" s="686"/>
      <c r="AA166" s="686"/>
      <c r="AB166" s="686"/>
      <c r="AC166" s="686"/>
      <c r="AD166" s="686"/>
      <c r="AE166" s="686"/>
      <c r="AF166" s="686"/>
      <c r="AG166" s="825"/>
      <c r="AH166" s="686"/>
      <c r="AI166" s="686"/>
      <c r="AJ166" s="686"/>
      <c r="AK166" s="686"/>
      <c r="AL166" s="686"/>
      <c r="AM166" s="686"/>
      <c r="AN166" s="686"/>
      <c r="AO166" s="825"/>
      <c r="AP166" s="686"/>
      <c r="AQ166" s="686"/>
      <c r="AR166" s="686"/>
      <c r="AS166" s="686"/>
      <c r="AT166" s="686"/>
      <c r="AU166" s="686"/>
      <c r="AV166" s="686"/>
      <c r="AW166" s="686"/>
      <c r="AX166" s="686"/>
      <c r="AY166" s="686"/>
      <c r="AZ166" s="686"/>
      <c r="BA166" s="686"/>
      <c r="BB166" s="686"/>
      <c r="BC166" s="686"/>
      <c r="BD166" s="686"/>
      <c r="BE166" s="686"/>
      <c r="BF166" s="686"/>
      <c r="BG166" s="686"/>
      <c r="BH166" s="686"/>
    </row>
    <row r="167" spans="1:60" s="44" customFormat="1">
      <c r="A167" s="690"/>
      <c r="B167" s="690"/>
      <c r="C167" s="686"/>
      <c r="D167" s="686"/>
      <c r="E167" s="686"/>
      <c r="F167" s="686"/>
      <c r="G167" s="686"/>
      <c r="H167" s="686"/>
      <c r="I167" s="825"/>
      <c r="J167" s="686"/>
      <c r="K167" s="686"/>
      <c r="L167" s="686"/>
      <c r="M167" s="686"/>
      <c r="N167" s="686"/>
      <c r="O167" s="686"/>
      <c r="P167" s="686"/>
      <c r="Q167" s="825"/>
      <c r="R167" s="686"/>
      <c r="S167" s="686"/>
      <c r="T167" s="686"/>
      <c r="U167" s="686"/>
      <c r="V167" s="686"/>
      <c r="W167" s="686"/>
      <c r="X167" s="686"/>
      <c r="Y167" s="825"/>
      <c r="Z167" s="686"/>
      <c r="AA167" s="686"/>
      <c r="AB167" s="686"/>
      <c r="AC167" s="686"/>
      <c r="AD167" s="686"/>
      <c r="AE167" s="686"/>
      <c r="AF167" s="686"/>
      <c r="AG167" s="825"/>
      <c r="AH167" s="686"/>
      <c r="AI167" s="686"/>
      <c r="AJ167" s="686"/>
      <c r="AK167" s="686"/>
      <c r="AL167" s="686"/>
      <c r="AM167" s="686"/>
      <c r="AN167" s="686"/>
      <c r="AO167" s="825"/>
      <c r="AP167" s="686"/>
      <c r="AQ167" s="686"/>
      <c r="AR167" s="686"/>
      <c r="AS167" s="686"/>
      <c r="AT167" s="686"/>
      <c r="AU167" s="686"/>
      <c r="AV167" s="686"/>
      <c r="AW167" s="686"/>
      <c r="AX167" s="686"/>
      <c r="AY167" s="686"/>
      <c r="AZ167" s="686"/>
      <c r="BA167" s="686"/>
      <c r="BB167" s="686"/>
      <c r="BC167" s="686"/>
      <c r="BD167" s="686"/>
      <c r="BE167" s="686"/>
      <c r="BF167" s="686"/>
      <c r="BG167" s="686"/>
      <c r="BH167" s="686"/>
    </row>
    <row r="168" spans="1:60" s="44" customFormat="1">
      <c r="A168" s="690"/>
      <c r="B168" s="690"/>
      <c r="C168" s="686"/>
      <c r="D168" s="686"/>
      <c r="E168" s="686"/>
      <c r="F168" s="686"/>
      <c r="G168" s="686"/>
      <c r="H168" s="686"/>
      <c r="I168" s="825"/>
      <c r="J168" s="686"/>
      <c r="K168" s="686"/>
      <c r="L168" s="686"/>
      <c r="M168" s="686"/>
      <c r="N168" s="686"/>
      <c r="O168" s="686"/>
      <c r="P168" s="686"/>
      <c r="Q168" s="825"/>
      <c r="R168" s="686"/>
      <c r="S168" s="686"/>
      <c r="T168" s="686"/>
      <c r="U168" s="686"/>
      <c r="V168" s="686"/>
      <c r="W168" s="686"/>
      <c r="X168" s="686"/>
      <c r="Y168" s="825"/>
      <c r="Z168" s="686"/>
      <c r="AA168" s="686"/>
      <c r="AB168" s="686"/>
      <c r="AC168" s="686"/>
      <c r="AD168" s="686"/>
      <c r="AE168" s="686"/>
      <c r="AF168" s="686"/>
      <c r="AG168" s="825"/>
      <c r="AH168" s="686"/>
      <c r="AI168" s="686"/>
      <c r="AJ168" s="686"/>
      <c r="AK168" s="686"/>
      <c r="AL168" s="686"/>
      <c r="AM168" s="686"/>
      <c r="AN168" s="686"/>
      <c r="AO168" s="825"/>
      <c r="AP168" s="686"/>
      <c r="AQ168" s="686"/>
      <c r="AR168" s="686"/>
      <c r="AS168" s="686"/>
      <c r="AT168" s="686"/>
      <c r="AU168" s="686"/>
      <c r="AV168" s="686"/>
      <c r="AW168" s="686"/>
      <c r="AX168" s="686"/>
      <c r="AY168" s="686"/>
      <c r="AZ168" s="686"/>
      <c r="BA168" s="686"/>
      <c r="BB168" s="686"/>
      <c r="BC168" s="686"/>
      <c r="BD168" s="686"/>
      <c r="BE168" s="686"/>
      <c r="BF168" s="686"/>
      <c r="BG168" s="686"/>
      <c r="BH168" s="686"/>
    </row>
    <row r="169" spans="1:60" s="44" customFormat="1">
      <c r="A169" s="690"/>
      <c r="B169" s="690"/>
      <c r="C169" s="686"/>
      <c r="D169" s="686"/>
      <c r="E169" s="686"/>
      <c r="F169" s="686"/>
      <c r="G169" s="686"/>
      <c r="H169" s="686"/>
      <c r="I169" s="825"/>
      <c r="J169" s="686"/>
      <c r="K169" s="686"/>
      <c r="L169" s="686"/>
      <c r="M169" s="686"/>
      <c r="N169" s="686"/>
      <c r="O169" s="686"/>
      <c r="P169" s="686"/>
      <c r="Q169" s="825"/>
      <c r="R169" s="686"/>
      <c r="S169" s="686"/>
      <c r="T169" s="686"/>
      <c r="U169" s="686"/>
      <c r="V169" s="686"/>
      <c r="W169" s="686"/>
      <c r="X169" s="686"/>
      <c r="Y169" s="825"/>
      <c r="Z169" s="686"/>
      <c r="AA169" s="686"/>
      <c r="AB169" s="686"/>
      <c r="AC169" s="686"/>
      <c r="AD169" s="686"/>
      <c r="AE169" s="686"/>
      <c r="AF169" s="686"/>
      <c r="AG169" s="825"/>
      <c r="AH169" s="686"/>
      <c r="AI169" s="686"/>
      <c r="AJ169" s="686"/>
      <c r="AK169" s="686"/>
      <c r="AL169" s="686"/>
      <c r="AM169" s="686"/>
      <c r="AN169" s="686"/>
      <c r="AO169" s="825"/>
      <c r="AP169" s="686"/>
      <c r="AQ169" s="686"/>
      <c r="AR169" s="686"/>
      <c r="AS169" s="686"/>
      <c r="AT169" s="686"/>
      <c r="AU169" s="686"/>
      <c r="AV169" s="686"/>
      <c r="AW169" s="686"/>
      <c r="AX169" s="686"/>
      <c r="AY169" s="686"/>
      <c r="AZ169" s="686"/>
      <c r="BA169" s="686"/>
      <c r="BB169" s="686"/>
      <c r="BC169" s="686"/>
      <c r="BD169" s="686"/>
      <c r="BE169" s="686"/>
      <c r="BF169" s="686"/>
      <c r="BG169" s="686"/>
      <c r="BH169" s="686"/>
    </row>
    <row r="170" spans="1:60" s="44" customFormat="1">
      <c r="A170" s="690"/>
      <c r="B170" s="690"/>
      <c r="C170" s="686"/>
      <c r="D170" s="686"/>
      <c r="E170" s="686"/>
      <c r="F170" s="686"/>
      <c r="G170" s="686"/>
      <c r="H170" s="686"/>
      <c r="I170" s="825"/>
      <c r="J170" s="686"/>
      <c r="K170" s="686"/>
      <c r="L170" s="686"/>
      <c r="M170" s="686"/>
      <c r="N170" s="686"/>
      <c r="O170" s="686"/>
      <c r="P170" s="686"/>
      <c r="Q170" s="825"/>
      <c r="R170" s="686"/>
      <c r="S170" s="686"/>
      <c r="T170" s="686"/>
      <c r="U170" s="686"/>
      <c r="V170" s="686"/>
      <c r="W170" s="686"/>
      <c r="X170" s="686"/>
      <c r="Y170" s="825"/>
      <c r="Z170" s="686"/>
      <c r="AA170" s="686"/>
      <c r="AB170" s="686"/>
      <c r="AC170" s="686"/>
      <c r="AD170" s="686"/>
      <c r="AE170" s="686"/>
      <c r="AF170" s="686"/>
      <c r="AG170" s="825"/>
      <c r="AH170" s="686"/>
      <c r="AI170" s="686"/>
      <c r="AJ170" s="686"/>
      <c r="AK170" s="686"/>
      <c r="AL170" s="686"/>
      <c r="AM170" s="686"/>
      <c r="AN170" s="686"/>
      <c r="AO170" s="825"/>
      <c r="AP170" s="686"/>
      <c r="AQ170" s="686"/>
      <c r="AR170" s="686"/>
      <c r="AS170" s="686"/>
      <c r="AT170" s="686"/>
      <c r="AU170" s="686"/>
      <c r="AV170" s="686"/>
      <c r="AW170" s="686"/>
      <c r="AX170" s="686"/>
      <c r="AY170" s="686"/>
      <c r="AZ170" s="686"/>
      <c r="BA170" s="686"/>
      <c r="BB170" s="686"/>
      <c r="BC170" s="686"/>
      <c r="BD170" s="686"/>
      <c r="BE170" s="686"/>
      <c r="BF170" s="686"/>
      <c r="BG170" s="686"/>
      <c r="BH170" s="686"/>
    </row>
    <row r="171" spans="1:60" s="44" customFormat="1">
      <c r="A171" s="690"/>
      <c r="B171" s="690"/>
      <c r="C171" s="686"/>
      <c r="D171" s="686"/>
      <c r="E171" s="686"/>
      <c r="F171" s="686"/>
      <c r="G171" s="686"/>
      <c r="H171" s="686"/>
      <c r="I171" s="825"/>
      <c r="J171" s="686"/>
      <c r="K171" s="686"/>
      <c r="L171" s="686"/>
      <c r="M171" s="686"/>
      <c r="N171" s="686"/>
      <c r="O171" s="686"/>
      <c r="P171" s="686"/>
      <c r="Q171" s="825"/>
      <c r="R171" s="686"/>
      <c r="S171" s="686"/>
      <c r="T171" s="686"/>
      <c r="U171" s="686"/>
      <c r="V171" s="686"/>
      <c r="W171" s="686"/>
      <c r="X171" s="686"/>
      <c r="Y171" s="825"/>
      <c r="Z171" s="686"/>
      <c r="AA171" s="686"/>
      <c r="AB171" s="686"/>
      <c r="AC171" s="686"/>
      <c r="AD171" s="686"/>
      <c r="AE171" s="686"/>
      <c r="AF171" s="686"/>
      <c r="AG171" s="825"/>
      <c r="AH171" s="686"/>
      <c r="AI171" s="686"/>
      <c r="AJ171" s="686"/>
      <c r="AK171" s="686"/>
      <c r="AL171" s="686"/>
      <c r="AM171" s="686"/>
      <c r="AN171" s="686"/>
      <c r="AO171" s="825"/>
      <c r="AP171" s="686"/>
      <c r="AQ171" s="686"/>
      <c r="AR171" s="686"/>
      <c r="AS171" s="686"/>
      <c r="AT171" s="686"/>
      <c r="AU171" s="686"/>
      <c r="AV171" s="686"/>
      <c r="AW171" s="686"/>
      <c r="AX171" s="686"/>
      <c r="AY171" s="686"/>
      <c r="AZ171" s="686"/>
      <c r="BA171" s="686"/>
      <c r="BB171" s="686"/>
      <c r="BC171" s="686"/>
      <c r="BD171" s="686"/>
      <c r="BE171" s="686"/>
      <c r="BF171" s="686"/>
      <c r="BG171" s="686"/>
      <c r="BH171" s="686"/>
    </row>
    <row r="172" spans="1:60" s="44" customFormat="1">
      <c r="A172" s="690"/>
      <c r="B172" s="690"/>
      <c r="C172" s="686"/>
      <c r="D172" s="686"/>
      <c r="E172" s="686"/>
      <c r="F172" s="686"/>
      <c r="G172" s="686"/>
      <c r="H172" s="686"/>
      <c r="I172" s="825"/>
      <c r="J172" s="686"/>
      <c r="K172" s="686"/>
      <c r="L172" s="686"/>
      <c r="M172" s="686"/>
      <c r="N172" s="686"/>
      <c r="O172" s="686"/>
      <c r="P172" s="686"/>
      <c r="Q172" s="825"/>
      <c r="R172" s="686"/>
      <c r="S172" s="686"/>
      <c r="T172" s="686"/>
      <c r="U172" s="686"/>
      <c r="V172" s="686"/>
      <c r="W172" s="686"/>
      <c r="X172" s="686"/>
      <c r="Y172" s="825"/>
      <c r="Z172" s="686"/>
      <c r="AA172" s="686"/>
      <c r="AB172" s="686"/>
      <c r="AC172" s="686"/>
      <c r="AD172" s="686"/>
      <c r="AE172" s="686"/>
      <c r="AF172" s="686"/>
      <c r="AG172" s="825"/>
      <c r="AH172" s="686"/>
      <c r="AI172" s="686"/>
      <c r="AJ172" s="686"/>
      <c r="AK172" s="686"/>
      <c r="AL172" s="686"/>
      <c r="AM172" s="686"/>
      <c r="AN172" s="686"/>
      <c r="AO172" s="825"/>
      <c r="AP172" s="686"/>
      <c r="AQ172" s="686"/>
      <c r="AR172" s="686"/>
      <c r="AS172" s="686"/>
      <c r="AT172" s="686"/>
      <c r="AU172" s="686"/>
      <c r="AV172" s="686"/>
      <c r="AW172" s="686"/>
      <c r="AX172" s="686"/>
      <c r="AY172" s="686"/>
      <c r="AZ172" s="686"/>
      <c r="BA172" s="686"/>
      <c r="BB172" s="686"/>
      <c r="BC172" s="686"/>
      <c r="BD172" s="686"/>
      <c r="BE172" s="686"/>
      <c r="BF172" s="686"/>
      <c r="BG172" s="686"/>
      <c r="BH172" s="686"/>
    </row>
    <row r="173" spans="1:60" s="44" customFormat="1">
      <c r="A173" s="690"/>
      <c r="B173" s="690"/>
      <c r="C173" s="686"/>
      <c r="D173" s="686"/>
      <c r="E173" s="686"/>
      <c r="F173" s="686"/>
      <c r="G173" s="686"/>
      <c r="H173" s="686"/>
      <c r="I173" s="825"/>
      <c r="J173" s="686"/>
      <c r="K173" s="686"/>
      <c r="L173" s="686"/>
      <c r="M173" s="686"/>
      <c r="N173" s="686"/>
      <c r="O173" s="686"/>
      <c r="P173" s="686"/>
      <c r="Q173" s="825"/>
      <c r="R173" s="686"/>
      <c r="S173" s="686"/>
      <c r="T173" s="686"/>
      <c r="U173" s="686"/>
      <c r="V173" s="686"/>
      <c r="W173" s="686"/>
      <c r="X173" s="686"/>
      <c r="Y173" s="825"/>
      <c r="Z173" s="686"/>
      <c r="AA173" s="686"/>
      <c r="AB173" s="686"/>
      <c r="AC173" s="686"/>
      <c r="AD173" s="686"/>
      <c r="AE173" s="686"/>
      <c r="AF173" s="686"/>
      <c r="AG173" s="825"/>
      <c r="AH173" s="686"/>
      <c r="AI173" s="686"/>
      <c r="AJ173" s="686"/>
      <c r="AK173" s="686"/>
      <c r="AL173" s="686"/>
      <c r="AM173" s="686"/>
      <c r="AN173" s="686"/>
      <c r="AO173" s="825"/>
      <c r="AP173" s="686"/>
      <c r="AQ173" s="686"/>
      <c r="AR173" s="686"/>
      <c r="AS173" s="686"/>
      <c r="AT173" s="686"/>
      <c r="AU173" s="686"/>
      <c r="AV173" s="686"/>
      <c r="AW173" s="686"/>
      <c r="AX173" s="686"/>
      <c r="AY173" s="686"/>
      <c r="AZ173" s="686"/>
      <c r="BA173" s="686"/>
      <c r="BB173" s="686"/>
      <c r="BC173" s="686"/>
      <c r="BD173" s="686"/>
      <c r="BE173" s="686"/>
      <c r="BF173" s="686"/>
      <c r="BG173" s="686"/>
      <c r="BH173" s="686"/>
    </row>
    <row r="174" spans="1:60" s="44" customFormat="1">
      <c r="A174" s="690"/>
      <c r="B174" s="690"/>
      <c r="C174" s="686"/>
      <c r="D174" s="686"/>
      <c r="E174" s="686"/>
      <c r="F174" s="686"/>
      <c r="G174" s="686"/>
      <c r="H174" s="686"/>
      <c r="I174" s="825"/>
      <c r="J174" s="686"/>
      <c r="K174" s="686"/>
      <c r="L174" s="686"/>
      <c r="M174" s="686"/>
      <c r="N174" s="686"/>
      <c r="O174" s="686"/>
      <c r="P174" s="686"/>
      <c r="Q174" s="825"/>
      <c r="R174" s="686"/>
      <c r="S174" s="686"/>
      <c r="T174" s="686"/>
      <c r="U174" s="686"/>
      <c r="V174" s="686"/>
      <c r="W174" s="686"/>
      <c r="X174" s="686"/>
      <c r="Y174" s="825"/>
      <c r="Z174" s="686"/>
      <c r="AA174" s="686"/>
      <c r="AB174" s="686"/>
      <c r="AC174" s="686"/>
      <c r="AD174" s="686"/>
      <c r="AE174" s="686"/>
      <c r="AF174" s="686"/>
      <c r="AG174" s="825"/>
      <c r="AH174" s="686"/>
      <c r="AI174" s="686"/>
      <c r="AJ174" s="686"/>
      <c r="AK174" s="686"/>
      <c r="AL174" s="686"/>
      <c r="AM174" s="686"/>
      <c r="AN174" s="686"/>
      <c r="AO174" s="825"/>
      <c r="AP174" s="686"/>
      <c r="AQ174" s="686"/>
      <c r="AR174" s="686"/>
      <c r="AS174" s="686"/>
      <c r="AT174" s="686"/>
      <c r="AU174" s="686"/>
      <c r="AV174" s="686"/>
      <c r="AW174" s="686"/>
      <c r="AX174" s="686"/>
      <c r="AY174" s="686"/>
      <c r="AZ174" s="686"/>
      <c r="BA174" s="686"/>
      <c r="BB174" s="686"/>
      <c r="BC174" s="686"/>
      <c r="BD174" s="686"/>
      <c r="BE174" s="686"/>
      <c r="BF174" s="686"/>
      <c r="BG174" s="686"/>
      <c r="BH174" s="686"/>
    </row>
    <row r="175" spans="1:60" s="44" customFormat="1">
      <c r="A175" s="690"/>
      <c r="B175" s="690"/>
      <c r="C175" s="686"/>
      <c r="D175" s="686"/>
      <c r="E175" s="686"/>
      <c r="F175" s="686"/>
      <c r="G175" s="686"/>
      <c r="H175" s="686"/>
      <c r="I175" s="825"/>
      <c r="J175" s="686"/>
      <c r="K175" s="686"/>
      <c r="L175" s="686"/>
      <c r="M175" s="686"/>
      <c r="N175" s="686"/>
      <c r="O175" s="686"/>
      <c r="P175" s="686"/>
      <c r="Q175" s="825"/>
      <c r="R175" s="686"/>
      <c r="S175" s="686"/>
      <c r="T175" s="686"/>
      <c r="U175" s="686"/>
      <c r="V175" s="686"/>
      <c r="W175" s="686"/>
      <c r="X175" s="686"/>
      <c r="Y175" s="825"/>
      <c r="Z175" s="686"/>
      <c r="AA175" s="686"/>
      <c r="AB175" s="686"/>
      <c r="AC175" s="686"/>
      <c r="AD175" s="686"/>
      <c r="AE175" s="686"/>
      <c r="AF175" s="686"/>
      <c r="AG175" s="825"/>
      <c r="AH175" s="686"/>
      <c r="AI175" s="686"/>
      <c r="AJ175" s="686"/>
      <c r="AK175" s="686"/>
      <c r="AL175" s="686"/>
      <c r="AM175" s="686"/>
      <c r="AN175" s="686"/>
      <c r="AO175" s="825"/>
      <c r="AP175" s="686"/>
      <c r="AQ175" s="686"/>
      <c r="AR175" s="686"/>
      <c r="AS175" s="686"/>
      <c r="AT175" s="686"/>
      <c r="AU175" s="686"/>
      <c r="AV175" s="686"/>
      <c r="AW175" s="686"/>
      <c r="AX175" s="686"/>
      <c r="AY175" s="686"/>
      <c r="AZ175" s="686"/>
      <c r="BA175" s="686"/>
      <c r="BB175" s="686"/>
      <c r="BC175" s="686"/>
      <c r="BD175" s="686"/>
      <c r="BE175" s="686"/>
      <c r="BF175" s="686"/>
      <c r="BG175" s="686"/>
      <c r="BH175" s="686"/>
    </row>
    <row r="176" spans="1:60" s="44" customFormat="1">
      <c r="A176" s="690"/>
      <c r="B176" s="690"/>
      <c r="C176" s="686"/>
      <c r="D176" s="686"/>
      <c r="E176" s="686"/>
      <c r="F176" s="686"/>
      <c r="G176" s="686"/>
      <c r="H176" s="686"/>
      <c r="I176" s="825"/>
      <c r="J176" s="686"/>
      <c r="K176" s="686"/>
      <c r="L176" s="686"/>
      <c r="M176" s="686"/>
      <c r="N176" s="686"/>
      <c r="O176" s="686"/>
      <c r="P176" s="686"/>
      <c r="Q176" s="825"/>
      <c r="R176" s="686"/>
      <c r="S176" s="686"/>
      <c r="T176" s="686"/>
      <c r="U176" s="686"/>
      <c r="V176" s="686"/>
      <c r="W176" s="686"/>
      <c r="X176" s="686"/>
      <c r="Y176" s="825"/>
      <c r="Z176" s="686"/>
      <c r="AA176" s="686"/>
      <c r="AB176" s="686"/>
      <c r="AC176" s="686"/>
      <c r="AD176" s="686"/>
      <c r="AE176" s="686"/>
      <c r="AF176" s="686"/>
      <c r="AG176" s="825"/>
      <c r="AH176" s="686"/>
      <c r="AI176" s="686"/>
      <c r="AJ176" s="686"/>
      <c r="AK176" s="686"/>
      <c r="AL176" s="686"/>
      <c r="AM176" s="686"/>
      <c r="AN176" s="686"/>
      <c r="AO176" s="825"/>
      <c r="AP176" s="686"/>
      <c r="AQ176" s="686"/>
      <c r="AR176" s="686"/>
      <c r="AS176" s="686"/>
      <c r="AT176" s="686"/>
      <c r="AU176" s="686"/>
      <c r="AV176" s="686"/>
      <c r="AW176" s="686"/>
      <c r="AX176" s="686"/>
      <c r="AY176" s="686"/>
      <c r="AZ176" s="686"/>
      <c r="BA176" s="686"/>
      <c r="BB176" s="686"/>
      <c r="BC176" s="686"/>
      <c r="BD176" s="686"/>
      <c r="BE176" s="686"/>
      <c r="BF176" s="686"/>
      <c r="BG176" s="686"/>
      <c r="BH176" s="686"/>
    </row>
    <row r="177" spans="1:60" s="44" customFormat="1">
      <c r="A177" s="690"/>
      <c r="B177" s="690"/>
      <c r="C177" s="686"/>
      <c r="D177" s="686"/>
      <c r="E177" s="686"/>
      <c r="F177" s="686"/>
      <c r="G177" s="686"/>
      <c r="H177" s="686"/>
      <c r="I177" s="825"/>
      <c r="J177" s="686"/>
      <c r="K177" s="686"/>
      <c r="L177" s="686"/>
      <c r="M177" s="686"/>
      <c r="N177" s="686"/>
      <c r="O177" s="686"/>
      <c r="P177" s="686"/>
      <c r="Q177" s="825"/>
      <c r="R177" s="686"/>
      <c r="S177" s="686"/>
      <c r="T177" s="686"/>
      <c r="U177" s="686"/>
      <c r="V177" s="686"/>
      <c r="W177" s="686"/>
      <c r="X177" s="686"/>
      <c r="Y177" s="825"/>
      <c r="Z177" s="686"/>
      <c r="AA177" s="686"/>
      <c r="AB177" s="686"/>
      <c r="AC177" s="686"/>
      <c r="AD177" s="686"/>
      <c r="AE177" s="686"/>
      <c r="AF177" s="686"/>
      <c r="AG177" s="825"/>
      <c r="AH177" s="686"/>
      <c r="AI177" s="686"/>
      <c r="AJ177" s="686"/>
      <c r="AK177" s="686"/>
      <c r="AL177" s="686"/>
      <c r="AM177" s="686"/>
      <c r="AN177" s="686"/>
      <c r="AO177" s="825"/>
      <c r="AP177" s="686"/>
      <c r="AQ177" s="686"/>
      <c r="AR177" s="686"/>
      <c r="AS177" s="686"/>
      <c r="AT177" s="686"/>
      <c r="AU177" s="686"/>
      <c r="AV177" s="686"/>
      <c r="AW177" s="686"/>
      <c r="AX177" s="686"/>
      <c r="AY177" s="686"/>
      <c r="AZ177" s="686"/>
      <c r="BA177" s="686"/>
      <c r="BB177" s="686"/>
      <c r="BC177" s="686"/>
      <c r="BD177" s="686"/>
      <c r="BE177" s="686"/>
      <c r="BF177" s="686"/>
      <c r="BG177" s="686"/>
      <c r="BH177" s="686"/>
    </row>
    <row r="178" spans="1:60" s="44" customFormat="1">
      <c r="A178" s="690"/>
      <c r="B178" s="690"/>
      <c r="C178" s="686"/>
      <c r="D178" s="686"/>
      <c r="E178" s="686"/>
      <c r="F178" s="686"/>
      <c r="G178" s="686"/>
      <c r="H178" s="686"/>
      <c r="I178" s="825"/>
      <c r="J178" s="686"/>
      <c r="K178" s="686"/>
      <c r="L178" s="686"/>
      <c r="M178" s="686"/>
      <c r="N178" s="686"/>
      <c r="O178" s="686"/>
      <c r="P178" s="686"/>
      <c r="Q178" s="825"/>
      <c r="R178" s="686"/>
      <c r="S178" s="686"/>
      <c r="T178" s="686"/>
      <c r="U178" s="686"/>
      <c r="V178" s="686"/>
      <c r="W178" s="686"/>
      <c r="X178" s="686"/>
      <c r="Y178" s="825"/>
      <c r="Z178" s="686"/>
      <c r="AA178" s="686"/>
      <c r="AB178" s="686"/>
      <c r="AC178" s="686"/>
      <c r="AD178" s="686"/>
      <c r="AE178" s="686"/>
      <c r="AF178" s="686"/>
      <c r="AG178" s="825"/>
      <c r="AH178" s="686"/>
      <c r="AI178" s="686"/>
      <c r="AJ178" s="686"/>
      <c r="AK178" s="686"/>
      <c r="AL178" s="686"/>
      <c r="AM178" s="686"/>
      <c r="AN178" s="686"/>
      <c r="AO178" s="825"/>
      <c r="AP178" s="686"/>
      <c r="AQ178" s="686"/>
      <c r="AR178" s="686"/>
      <c r="AS178" s="686"/>
      <c r="AT178" s="686"/>
      <c r="AU178" s="686"/>
      <c r="AV178" s="686"/>
      <c r="AW178" s="686"/>
      <c r="AX178" s="686"/>
      <c r="AY178" s="686"/>
      <c r="AZ178" s="686"/>
      <c r="BA178" s="686"/>
      <c r="BB178" s="686"/>
      <c r="BC178" s="686"/>
      <c r="BD178" s="686"/>
      <c r="BE178" s="686"/>
      <c r="BF178" s="686"/>
      <c r="BG178" s="686"/>
      <c r="BH178" s="686"/>
    </row>
    <row r="179" spans="1:60" s="44" customFormat="1">
      <c r="A179" s="690"/>
      <c r="B179" s="690"/>
      <c r="C179" s="686"/>
      <c r="D179" s="686"/>
      <c r="E179" s="686"/>
      <c r="F179" s="686"/>
      <c r="G179" s="686"/>
      <c r="H179" s="686"/>
      <c r="I179" s="825"/>
      <c r="J179" s="686"/>
      <c r="K179" s="686"/>
      <c r="L179" s="686"/>
      <c r="M179" s="686"/>
      <c r="N179" s="686"/>
      <c r="O179" s="686"/>
      <c r="P179" s="686"/>
      <c r="Q179" s="825"/>
      <c r="R179" s="686"/>
      <c r="S179" s="686"/>
      <c r="T179" s="686"/>
      <c r="U179" s="686"/>
      <c r="V179" s="686"/>
      <c r="W179" s="686"/>
      <c r="X179" s="686"/>
      <c r="Y179" s="825"/>
      <c r="Z179" s="686"/>
      <c r="AA179" s="686"/>
      <c r="AB179" s="686"/>
      <c r="AC179" s="686"/>
      <c r="AD179" s="686"/>
      <c r="AE179" s="686"/>
      <c r="AF179" s="686"/>
      <c r="AG179" s="825"/>
      <c r="AH179" s="686"/>
      <c r="AI179" s="686"/>
      <c r="AJ179" s="686"/>
      <c r="AK179" s="686"/>
      <c r="AL179" s="686"/>
      <c r="AM179" s="686"/>
      <c r="AN179" s="686"/>
      <c r="AO179" s="825"/>
      <c r="AP179" s="686"/>
      <c r="AQ179" s="686"/>
      <c r="AR179" s="686"/>
      <c r="AS179" s="686"/>
      <c r="AT179" s="686"/>
      <c r="AU179" s="686"/>
      <c r="AV179" s="686"/>
      <c r="AW179" s="686"/>
      <c r="AX179" s="686"/>
      <c r="AY179" s="686"/>
      <c r="AZ179" s="686"/>
      <c r="BA179" s="686"/>
      <c r="BB179" s="686"/>
      <c r="BC179" s="686"/>
      <c r="BD179" s="686"/>
      <c r="BE179" s="686"/>
      <c r="BF179" s="686"/>
      <c r="BG179" s="686"/>
      <c r="BH179" s="686"/>
    </row>
    <row r="180" spans="1:60" s="44" customFormat="1">
      <c r="A180" s="690"/>
      <c r="B180" s="690"/>
      <c r="C180" s="686"/>
      <c r="D180" s="686"/>
      <c r="E180" s="686"/>
      <c r="F180" s="686"/>
      <c r="G180" s="686"/>
      <c r="H180" s="686"/>
      <c r="I180" s="825"/>
      <c r="J180" s="686"/>
      <c r="K180" s="686"/>
      <c r="L180" s="686"/>
      <c r="M180" s="686"/>
      <c r="N180" s="686"/>
      <c r="O180" s="686"/>
      <c r="P180" s="686"/>
      <c r="Q180" s="825"/>
      <c r="R180" s="686"/>
      <c r="S180" s="686"/>
      <c r="T180" s="686"/>
      <c r="U180" s="686"/>
      <c r="V180" s="686"/>
      <c r="W180" s="686"/>
      <c r="X180" s="686"/>
      <c r="Y180" s="825"/>
      <c r="Z180" s="686"/>
      <c r="AA180" s="686"/>
      <c r="AB180" s="686"/>
      <c r="AC180" s="686"/>
      <c r="AD180" s="686"/>
      <c r="AE180" s="686"/>
      <c r="AF180" s="686"/>
      <c r="AG180" s="825"/>
      <c r="AH180" s="686"/>
      <c r="AI180" s="686"/>
      <c r="AJ180" s="686"/>
      <c r="AK180" s="686"/>
      <c r="AL180" s="686"/>
      <c r="AM180" s="686"/>
      <c r="AN180" s="686"/>
      <c r="AO180" s="825"/>
      <c r="AP180" s="686"/>
      <c r="AQ180" s="686"/>
      <c r="AR180" s="686"/>
      <c r="AS180" s="686"/>
      <c r="AT180" s="686"/>
      <c r="AU180" s="686"/>
      <c r="AV180" s="686"/>
      <c r="AW180" s="686"/>
      <c r="AX180" s="686"/>
      <c r="AY180" s="686"/>
      <c r="AZ180" s="686"/>
      <c r="BA180" s="686"/>
      <c r="BB180" s="686"/>
      <c r="BC180" s="686"/>
      <c r="BD180" s="686"/>
      <c r="BE180" s="686"/>
      <c r="BF180" s="686"/>
      <c r="BG180" s="686"/>
      <c r="BH180" s="686"/>
    </row>
    <row r="181" spans="1:60" s="44" customFormat="1">
      <c r="A181" s="690"/>
      <c r="B181" s="690"/>
      <c r="C181" s="686"/>
      <c r="D181" s="686"/>
      <c r="E181" s="686"/>
      <c r="F181" s="686"/>
      <c r="G181" s="686"/>
      <c r="H181" s="686"/>
      <c r="I181" s="825"/>
      <c r="J181" s="686"/>
      <c r="K181" s="686"/>
      <c r="L181" s="686"/>
      <c r="M181" s="686"/>
      <c r="N181" s="686"/>
      <c r="O181" s="686"/>
      <c r="P181" s="686"/>
      <c r="Q181" s="825"/>
      <c r="R181" s="686"/>
      <c r="S181" s="686"/>
      <c r="T181" s="686"/>
      <c r="U181" s="686"/>
      <c r="V181" s="686"/>
      <c r="W181" s="686"/>
      <c r="X181" s="686"/>
      <c r="Y181" s="825"/>
      <c r="Z181" s="686"/>
      <c r="AA181" s="686"/>
      <c r="AB181" s="686"/>
      <c r="AC181" s="686"/>
      <c r="AD181" s="686"/>
      <c r="AE181" s="686"/>
      <c r="AF181" s="686"/>
      <c r="AG181" s="825"/>
      <c r="AH181" s="686"/>
      <c r="AI181" s="686"/>
      <c r="AJ181" s="686"/>
      <c r="AK181" s="686"/>
      <c r="AL181" s="686"/>
      <c r="AM181" s="686"/>
      <c r="AN181" s="686"/>
      <c r="AO181" s="825"/>
      <c r="AP181" s="686"/>
      <c r="AQ181" s="686"/>
      <c r="AR181" s="686"/>
      <c r="AS181" s="686"/>
      <c r="AT181" s="686"/>
      <c r="AU181" s="686"/>
      <c r="AV181" s="686"/>
      <c r="AW181" s="686"/>
      <c r="AX181" s="686"/>
      <c r="AY181" s="686"/>
      <c r="AZ181" s="686"/>
      <c r="BA181" s="686"/>
      <c r="BB181" s="686"/>
      <c r="BC181" s="686"/>
      <c r="BD181" s="686"/>
      <c r="BE181" s="686"/>
      <c r="BF181" s="686"/>
      <c r="BG181" s="686"/>
      <c r="BH181" s="686"/>
    </row>
    <row r="182" spans="1:60" s="44" customFormat="1">
      <c r="A182" s="690"/>
      <c r="B182" s="690"/>
      <c r="C182" s="686"/>
      <c r="D182" s="686"/>
      <c r="E182" s="686"/>
      <c r="F182" s="686"/>
      <c r="G182" s="686"/>
      <c r="H182" s="686"/>
      <c r="I182" s="825"/>
      <c r="J182" s="686"/>
      <c r="K182" s="686"/>
      <c r="L182" s="686"/>
      <c r="M182" s="686"/>
      <c r="N182" s="686"/>
      <c r="O182" s="686"/>
      <c r="P182" s="686"/>
      <c r="Q182" s="825"/>
      <c r="R182" s="686"/>
      <c r="S182" s="686"/>
      <c r="T182" s="686"/>
      <c r="U182" s="686"/>
      <c r="V182" s="686"/>
      <c r="W182" s="686"/>
      <c r="X182" s="686"/>
      <c r="Y182" s="825"/>
      <c r="Z182" s="686"/>
      <c r="AA182" s="686"/>
      <c r="AB182" s="686"/>
      <c r="AC182" s="686"/>
      <c r="AD182" s="686"/>
      <c r="AE182" s="686"/>
      <c r="AF182" s="686"/>
      <c r="AG182" s="825"/>
      <c r="AH182" s="686"/>
      <c r="AI182" s="686"/>
      <c r="AJ182" s="686"/>
      <c r="AK182" s="686"/>
      <c r="AL182" s="686"/>
      <c r="AM182" s="686"/>
      <c r="AN182" s="686"/>
      <c r="AO182" s="825"/>
      <c r="AP182" s="686"/>
      <c r="AQ182" s="686"/>
      <c r="AR182" s="686"/>
      <c r="AS182" s="686"/>
      <c r="AT182" s="686"/>
      <c r="AU182" s="686"/>
      <c r="AV182" s="686"/>
      <c r="AW182" s="686"/>
      <c r="AX182" s="686"/>
      <c r="AY182" s="686"/>
      <c r="AZ182" s="686"/>
      <c r="BA182" s="686"/>
      <c r="BB182" s="686"/>
      <c r="BC182" s="686"/>
      <c r="BD182" s="686"/>
      <c r="BE182" s="686"/>
      <c r="BF182" s="686"/>
      <c r="BG182" s="686"/>
      <c r="BH182" s="686"/>
    </row>
    <row r="183" spans="1:60" s="44" customFormat="1">
      <c r="A183" s="690"/>
      <c r="B183" s="690"/>
      <c r="C183" s="686"/>
      <c r="D183" s="686"/>
      <c r="E183" s="686"/>
      <c r="F183" s="686"/>
      <c r="G183" s="686"/>
      <c r="H183" s="686"/>
      <c r="I183" s="825"/>
      <c r="J183" s="686"/>
      <c r="K183" s="686"/>
      <c r="L183" s="686"/>
      <c r="M183" s="686"/>
      <c r="N183" s="686"/>
      <c r="O183" s="686"/>
      <c r="P183" s="686"/>
      <c r="Q183" s="825"/>
      <c r="R183" s="686"/>
      <c r="S183" s="686"/>
      <c r="T183" s="686"/>
      <c r="U183" s="686"/>
      <c r="V183" s="686"/>
      <c r="W183" s="686"/>
      <c r="X183" s="686"/>
      <c r="Y183" s="825"/>
      <c r="Z183" s="686"/>
      <c r="AA183" s="686"/>
      <c r="AB183" s="686"/>
      <c r="AC183" s="686"/>
      <c r="AD183" s="686"/>
      <c r="AE183" s="686"/>
      <c r="AF183" s="686"/>
      <c r="AG183" s="825"/>
      <c r="AH183" s="686"/>
      <c r="AI183" s="686"/>
      <c r="AJ183" s="686"/>
      <c r="AK183" s="686"/>
      <c r="AL183" s="686"/>
      <c r="AM183" s="686"/>
      <c r="AN183" s="686"/>
      <c r="AO183" s="825"/>
      <c r="AP183" s="686"/>
      <c r="AQ183" s="686"/>
      <c r="AR183" s="686"/>
      <c r="AS183" s="686"/>
      <c r="AT183" s="686"/>
      <c r="AU183" s="686"/>
      <c r="AV183" s="686"/>
      <c r="AW183" s="686"/>
      <c r="AX183" s="686"/>
      <c r="AY183" s="686"/>
      <c r="AZ183" s="686"/>
      <c r="BA183" s="686"/>
      <c r="BB183" s="686"/>
      <c r="BC183" s="686"/>
      <c r="BD183" s="686"/>
      <c r="BE183" s="686"/>
      <c r="BF183" s="686"/>
      <c r="BG183" s="686"/>
      <c r="BH183" s="686"/>
    </row>
    <row r="184" spans="1:60" s="44" customFormat="1">
      <c r="A184" s="690"/>
      <c r="B184" s="690"/>
      <c r="C184" s="686"/>
      <c r="D184" s="686"/>
      <c r="E184" s="686"/>
      <c r="F184" s="686"/>
      <c r="G184" s="686"/>
      <c r="H184" s="686"/>
      <c r="I184" s="825"/>
      <c r="J184" s="686"/>
      <c r="K184" s="686"/>
      <c r="L184" s="686"/>
      <c r="M184" s="686"/>
      <c r="N184" s="686"/>
      <c r="O184" s="686"/>
      <c r="P184" s="686"/>
      <c r="Q184" s="825"/>
      <c r="R184" s="686"/>
      <c r="S184" s="686"/>
      <c r="T184" s="686"/>
      <c r="U184" s="686"/>
      <c r="V184" s="686"/>
      <c r="W184" s="686"/>
      <c r="X184" s="686"/>
      <c r="Y184" s="825"/>
      <c r="Z184" s="686"/>
      <c r="AA184" s="686"/>
      <c r="AB184" s="686"/>
      <c r="AC184" s="686"/>
      <c r="AD184" s="686"/>
      <c r="AE184" s="686"/>
      <c r="AF184" s="686"/>
      <c r="AG184" s="825"/>
      <c r="AH184" s="686"/>
      <c r="AI184" s="686"/>
      <c r="AJ184" s="686"/>
      <c r="AK184" s="686"/>
      <c r="AL184" s="686"/>
      <c r="AM184" s="686"/>
      <c r="AN184" s="686"/>
      <c r="AO184" s="825"/>
      <c r="AP184" s="686"/>
      <c r="AQ184" s="686"/>
      <c r="AR184" s="686"/>
      <c r="AS184" s="686"/>
      <c r="AT184" s="686"/>
      <c r="AU184" s="686"/>
      <c r="AV184" s="686"/>
      <c r="AW184" s="686"/>
      <c r="AX184" s="686"/>
      <c r="AY184" s="686"/>
      <c r="AZ184" s="686"/>
      <c r="BA184" s="686"/>
      <c r="BB184" s="686"/>
      <c r="BC184" s="686"/>
      <c r="BD184" s="686"/>
      <c r="BE184" s="686"/>
      <c r="BF184" s="686"/>
      <c r="BG184" s="686"/>
      <c r="BH184" s="686"/>
    </row>
    <row r="185" spans="1:60" s="44" customFormat="1">
      <c r="A185" s="690"/>
      <c r="B185" s="690"/>
      <c r="C185" s="686"/>
      <c r="D185" s="686"/>
      <c r="E185" s="686"/>
      <c r="F185" s="686"/>
      <c r="G185" s="686"/>
      <c r="H185" s="686"/>
      <c r="I185" s="825"/>
      <c r="J185" s="686"/>
      <c r="K185" s="686"/>
      <c r="L185" s="686"/>
      <c r="M185" s="686"/>
      <c r="N185" s="686"/>
      <c r="O185" s="686"/>
      <c r="P185" s="686"/>
      <c r="Q185" s="825"/>
      <c r="R185" s="686"/>
      <c r="S185" s="686"/>
      <c r="T185" s="686"/>
      <c r="U185" s="686"/>
      <c r="V185" s="686"/>
      <c r="W185" s="686"/>
      <c r="X185" s="686"/>
      <c r="Y185" s="825"/>
      <c r="Z185" s="686"/>
      <c r="AA185" s="686"/>
      <c r="AB185" s="686"/>
      <c r="AC185" s="686"/>
      <c r="AD185" s="686"/>
      <c r="AE185" s="686"/>
      <c r="AF185" s="686"/>
      <c r="AG185" s="825"/>
      <c r="AH185" s="686"/>
      <c r="AI185" s="686"/>
      <c r="AJ185" s="686"/>
      <c r="AK185" s="686"/>
      <c r="AL185" s="686"/>
      <c r="AM185" s="686"/>
      <c r="AN185" s="686"/>
      <c r="AO185" s="825"/>
      <c r="AP185" s="686"/>
      <c r="AQ185" s="686"/>
      <c r="AR185" s="686"/>
      <c r="AS185" s="686"/>
      <c r="AT185" s="686"/>
      <c r="AU185" s="686"/>
      <c r="AV185" s="686"/>
      <c r="AW185" s="686"/>
      <c r="AX185" s="686"/>
      <c r="AY185" s="686"/>
      <c r="AZ185" s="686"/>
      <c r="BA185" s="686"/>
      <c r="BB185" s="686"/>
      <c r="BC185" s="686"/>
      <c r="BD185" s="686"/>
      <c r="BE185" s="686"/>
      <c r="BF185" s="686"/>
      <c r="BG185" s="686"/>
      <c r="BH185" s="686"/>
    </row>
    <row r="186" spans="1:60" s="44" customFormat="1">
      <c r="A186" s="690"/>
      <c r="B186" s="690"/>
      <c r="C186" s="686"/>
      <c r="D186" s="686"/>
      <c r="E186" s="686"/>
      <c r="F186" s="686"/>
      <c r="G186" s="686"/>
      <c r="H186" s="686"/>
      <c r="I186" s="825"/>
      <c r="J186" s="686"/>
      <c r="K186" s="686"/>
      <c r="L186" s="686"/>
      <c r="M186" s="686"/>
      <c r="N186" s="686"/>
      <c r="O186" s="686"/>
      <c r="P186" s="686"/>
      <c r="Q186" s="825"/>
      <c r="R186" s="686"/>
      <c r="S186" s="686"/>
      <c r="T186" s="686"/>
      <c r="U186" s="686"/>
      <c r="V186" s="686"/>
      <c r="W186" s="686"/>
      <c r="X186" s="686"/>
      <c r="Y186" s="825"/>
      <c r="Z186" s="686"/>
      <c r="AA186" s="686"/>
      <c r="AB186" s="686"/>
      <c r="AC186" s="686"/>
      <c r="AD186" s="686"/>
      <c r="AE186" s="686"/>
      <c r="AF186" s="686"/>
      <c r="AG186" s="825"/>
      <c r="AH186" s="686"/>
      <c r="AI186" s="686"/>
      <c r="AJ186" s="686"/>
      <c r="AK186" s="686"/>
      <c r="AL186" s="686"/>
      <c r="AM186" s="686"/>
      <c r="AN186" s="686"/>
      <c r="AO186" s="825"/>
      <c r="AP186" s="686"/>
      <c r="AQ186" s="686"/>
      <c r="AR186" s="686"/>
      <c r="AS186" s="686"/>
      <c r="AT186" s="686"/>
      <c r="AU186" s="686"/>
      <c r="AV186" s="686"/>
      <c r="AW186" s="686"/>
      <c r="AX186" s="686"/>
      <c r="AY186" s="686"/>
      <c r="AZ186" s="686"/>
      <c r="BA186" s="686"/>
      <c r="BB186" s="686"/>
      <c r="BC186" s="686"/>
      <c r="BD186" s="686"/>
      <c r="BE186" s="686"/>
      <c r="BF186" s="686"/>
      <c r="BG186" s="686"/>
      <c r="BH186" s="686"/>
    </row>
    <row r="187" spans="1:60" s="44" customFormat="1">
      <c r="A187" s="690"/>
      <c r="B187" s="690"/>
      <c r="C187" s="686"/>
      <c r="D187" s="686"/>
      <c r="E187" s="686"/>
      <c r="F187" s="686"/>
      <c r="G187" s="686"/>
      <c r="H187" s="686"/>
      <c r="I187" s="825"/>
      <c r="J187" s="686"/>
      <c r="K187" s="686"/>
      <c r="L187" s="686"/>
      <c r="M187" s="686"/>
      <c r="N187" s="686"/>
      <c r="O187" s="686"/>
      <c r="P187" s="686"/>
      <c r="Q187" s="825"/>
      <c r="R187" s="686"/>
      <c r="S187" s="686"/>
      <c r="T187" s="686"/>
      <c r="U187" s="686"/>
      <c r="V187" s="686"/>
      <c r="W187" s="686"/>
      <c r="X187" s="686"/>
      <c r="Y187" s="825"/>
      <c r="Z187" s="686"/>
      <c r="AA187" s="686"/>
      <c r="AB187" s="686"/>
      <c r="AC187" s="686"/>
      <c r="AD187" s="686"/>
      <c r="AE187" s="686"/>
      <c r="AF187" s="686"/>
      <c r="AG187" s="825"/>
      <c r="AH187" s="686"/>
      <c r="AI187" s="686"/>
      <c r="AJ187" s="686"/>
      <c r="AK187" s="686"/>
      <c r="AL187" s="686"/>
      <c r="AM187" s="686"/>
      <c r="AN187" s="686"/>
      <c r="AO187" s="825"/>
      <c r="AP187" s="686"/>
      <c r="AQ187" s="686"/>
      <c r="AR187" s="686"/>
      <c r="AS187" s="686"/>
      <c r="AT187" s="686"/>
      <c r="AU187" s="686"/>
      <c r="AV187" s="686"/>
      <c r="AW187" s="686"/>
      <c r="AX187" s="686"/>
      <c r="AY187" s="686"/>
      <c r="AZ187" s="686"/>
      <c r="BA187" s="686"/>
      <c r="BB187" s="686"/>
      <c r="BC187" s="686"/>
      <c r="BD187" s="686"/>
      <c r="BE187" s="686"/>
      <c r="BF187" s="686"/>
      <c r="BG187" s="686"/>
      <c r="BH187" s="686"/>
    </row>
    <row r="188" spans="1:60" s="44" customFormat="1">
      <c r="A188" s="690"/>
      <c r="B188" s="690"/>
      <c r="C188" s="686"/>
      <c r="D188" s="686"/>
      <c r="E188" s="686"/>
      <c r="F188" s="686"/>
      <c r="G188" s="686"/>
      <c r="H188" s="686"/>
      <c r="I188" s="825"/>
      <c r="J188" s="686"/>
      <c r="K188" s="686"/>
      <c r="L188" s="686"/>
      <c r="M188" s="686"/>
      <c r="N188" s="686"/>
      <c r="O188" s="686"/>
      <c r="P188" s="686"/>
      <c r="Q188" s="825"/>
      <c r="R188" s="686"/>
      <c r="S188" s="686"/>
      <c r="T188" s="686"/>
      <c r="U188" s="686"/>
      <c r="V188" s="686"/>
      <c r="W188" s="686"/>
      <c r="X188" s="686"/>
      <c r="Y188" s="825"/>
      <c r="Z188" s="686"/>
      <c r="AA188" s="686"/>
      <c r="AB188" s="686"/>
      <c r="AC188" s="686"/>
      <c r="AD188" s="686"/>
      <c r="AE188" s="686"/>
      <c r="AF188" s="686"/>
      <c r="AG188" s="825"/>
      <c r="AH188" s="686"/>
      <c r="AI188" s="686"/>
      <c r="AJ188" s="686"/>
      <c r="AK188" s="686"/>
      <c r="AL188" s="686"/>
      <c r="AM188" s="686"/>
      <c r="AN188" s="686"/>
      <c r="AO188" s="825"/>
      <c r="AP188" s="686"/>
      <c r="AQ188" s="686"/>
      <c r="AR188" s="686"/>
      <c r="AS188" s="686"/>
      <c r="AT188" s="686"/>
      <c r="AU188" s="686"/>
      <c r="AV188" s="686"/>
      <c r="AW188" s="686"/>
      <c r="AX188" s="686"/>
      <c r="AY188" s="686"/>
      <c r="AZ188" s="686"/>
      <c r="BA188" s="686"/>
      <c r="BB188" s="686"/>
      <c r="BC188" s="686"/>
      <c r="BD188" s="686"/>
      <c r="BE188" s="686"/>
      <c r="BF188" s="686"/>
      <c r="BG188" s="686"/>
      <c r="BH188" s="686"/>
    </row>
    <row r="189" spans="1:60" s="44" customFormat="1">
      <c r="A189" s="690"/>
      <c r="B189" s="690"/>
      <c r="C189" s="686"/>
      <c r="D189" s="686"/>
      <c r="E189" s="686"/>
      <c r="F189" s="686"/>
      <c r="G189" s="686"/>
      <c r="H189" s="686"/>
      <c r="I189" s="825"/>
      <c r="J189" s="686"/>
      <c r="K189" s="686"/>
      <c r="L189" s="686"/>
      <c r="M189" s="686"/>
      <c r="N189" s="686"/>
      <c r="O189" s="686"/>
      <c r="P189" s="686"/>
      <c r="Q189" s="825"/>
      <c r="R189" s="686"/>
      <c r="S189" s="686"/>
      <c r="T189" s="686"/>
      <c r="U189" s="686"/>
      <c r="V189" s="686"/>
      <c r="W189" s="686"/>
      <c r="X189" s="686"/>
      <c r="Y189" s="825"/>
      <c r="Z189" s="686"/>
      <c r="AA189" s="686"/>
      <c r="AB189" s="686"/>
      <c r="AC189" s="686"/>
      <c r="AD189" s="686"/>
      <c r="AE189" s="686"/>
      <c r="AF189" s="686"/>
      <c r="AG189" s="825"/>
      <c r="AH189" s="686"/>
      <c r="AI189" s="686"/>
      <c r="AJ189" s="686"/>
      <c r="AK189" s="686"/>
      <c r="AL189" s="686"/>
      <c r="AM189" s="686"/>
      <c r="AN189" s="686"/>
      <c r="AO189" s="825"/>
      <c r="AP189" s="686"/>
      <c r="AQ189" s="686"/>
      <c r="AR189" s="686"/>
      <c r="AS189" s="686"/>
      <c r="AT189" s="686"/>
      <c r="AU189" s="686"/>
      <c r="AV189" s="686"/>
      <c r="AW189" s="686"/>
      <c r="AX189" s="686"/>
      <c r="AY189" s="686"/>
      <c r="AZ189" s="686"/>
      <c r="BA189" s="686"/>
      <c r="BB189" s="686"/>
      <c r="BC189" s="686"/>
      <c r="BD189" s="686"/>
      <c r="BE189" s="686"/>
      <c r="BF189" s="686"/>
      <c r="BG189" s="686"/>
      <c r="BH189" s="686"/>
    </row>
    <row r="190" spans="1:60" s="44" customFormat="1">
      <c r="A190" s="690"/>
      <c r="B190" s="690"/>
      <c r="C190" s="686"/>
      <c r="D190" s="686"/>
      <c r="E190" s="686"/>
      <c r="F190" s="686"/>
      <c r="G190" s="686"/>
      <c r="H190" s="686"/>
      <c r="I190" s="825"/>
      <c r="J190" s="686"/>
      <c r="K190" s="686"/>
      <c r="L190" s="686"/>
      <c r="M190" s="686"/>
      <c r="N190" s="686"/>
      <c r="O190" s="686"/>
      <c r="P190" s="686"/>
      <c r="Q190" s="825"/>
      <c r="R190" s="686"/>
      <c r="S190" s="686"/>
      <c r="T190" s="686"/>
      <c r="U190" s="686"/>
      <c r="V190" s="686"/>
      <c r="W190" s="686"/>
      <c r="X190" s="686"/>
      <c r="Y190" s="825"/>
      <c r="Z190" s="686"/>
      <c r="AA190" s="686"/>
      <c r="AB190" s="686"/>
      <c r="AC190" s="686"/>
      <c r="AD190" s="686"/>
      <c r="AE190" s="686"/>
      <c r="AF190" s="686"/>
      <c r="AG190" s="825"/>
      <c r="AH190" s="686"/>
      <c r="AI190" s="686"/>
      <c r="AJ190" s="686"/>
      <c r="AK190" s="686"/>
      <c r="AL190" s="686"/>
      <c r="AM190" s="686"/>
      <c r="AN190" s="686"/>
      <c r="AO190" s="825"/>
      <c r="AP190" s="686"/>
      <c r="AQ190" s="686"/>
      <c r="AR190" s="686"/>
      <c r="AS190" s="686"/>
      <c r="AT190" s="686"/>
      <c r="AU190" s="686"/>
      <c r="AV190" s="686"/>
      <c r="AW190" s="686"/>
      <c r="AX190" s="686"/>
      <c r="AY190" s="686"/>
      <c r="AZ190" s="686"/>
      <c r="BA190" s="686"/>
      <c r="BB190" s="686"/>
      <c r="BC190" s="686"/>
      <c r="BD190" s="686"/>
      <c r="BE190" s="686"/>
      <c r="BF190" s="686"/>
      <c r="BG190" s="686"/>
      <c r="BH190" s="686"/>
    </row>
    <row r="191" spans="1:60" s="44" customFormat="1">
      <c r="A191" s="690"/>
      <c r="B191" s="690"/>
      <c r="C191" s="686"/>
      <c r="D191" s="686"/>
      <c r="E191" s="686"/>
      <c r="F191" s="686"/>
      <c r="G191" s="686"/>
      <c r="H191" s="686"/>
      <c r="I191" s="825"/>
      <c r="J191" s="686"/>
      <c r="K191" s="686"/>
      <c r="L191" s="686"/>
      <c r="M191" s="686"/>
      <c r="N191" s="686"/>
      <c r="O191" s="686"/>
      <c r="P191" s="686"/>
      <c r="Q191" s="825"/>
      <c r="R191" s="686"/>
      <c r="S191" s="686"/>
      <c r="T191" s="686"/>
      <c r="U191" s="686"/>
      <c r="V191" s="686"/>
      <c r="W191" s="686"/>
      <c r="X191" s="686"/>
      <c r="Y191" s="825"/>
      <c r="Z191" s="686"/>
      <c r="AA191" s="686"/>
      <c r="AB191" s="686"/>
      <c r="AC191" s="686"/>
      <c r="AD191" s="686"/>
      <c r="AE191" s="686"/>
      <c r="AF191" s="686"/>
      <c r="AG191" s="825"/>
      <c r="AH191" s="686"/>
      <c r="AI191" s="686"/>
      <c r="AJ191" s="686"/>
      <c r="AK191" s="686"/>
      <c r="AL191" s="686"/>
      <c r="AM191" s="686"/>
      <c r="AN191" s="686"/>
      <c r="AO191" s="825"/>
      <c r="AP191" s="686"/>
      <c r="AQ191" s="686"/>
      <c r="AR191" s="686"/>
      <c r="AS191" s="686"/>
      <c r="AT191" s="686"/>
      <c r="AU191" s="686"/>
      <c r="AV191" s="686"/>
      <c r="AW191" s="686"/>
      <c r="AX191" s="686"/>
      <c r="AY191" s="686"/>
      <c r="AZ191" s="686"/>
      <c r="BA191" s="686"/>
      <c r="BB191" s="686"/>
      <c r="BC191" s="686"/>
      <c r="BD191" s="686"/>
      <c r="BE191" s="686"/>
      <c r="BF191" s="686"/>
      <c r="BG191" s="686"/>
      <c r="BH191" s="686"/>
    </row>
    <row r="192" spans="1:60" s="44" customFormat="1">
      <c r="A192" s="690"/>
      <c r="B192" s="690"/>
      <c r="C192" s="686"/>
      <c r="D192" s="686"/>
      <c r="E192" s="686"/>
      <c r="F192" s="686"/>
      <c r="G192" s="686"/>
      <c r="H192" s="686"/>
      <c r="I192" s="825"/>
      <c r="J192" s="686"/>
      <c r="K192" s="686"/>
      <c r="L192" s="686"/>
      <c r="M192" s="686"/>
      <c r="N192" s="686"/>
      <c r="O192" s="686"/>
      <c r="P192" s="686"/>
      <c r="Q192" s="825"/>
      <c r="R192" s="686"/>
      <c r="S192" s="686"/>
      <c r="T192" s="686"/>
      <c r="U192" s="686"/>
      <c r="V192" s="686"/>
      <c r="W192" s="686"/>
      <c r="X192" s="686"/>
      <c r="Y192" s="825"/>
      <c r="Z192" s="686"/>
      <c r="AA192" s="686"/>
      <c r="AB192" s="686"/>
      <c r="AC192" s="686"/>
      <c r="AD192" s="686"/>
      <c r="AE192" s="686"/>
      <c r="AF192" s="686"/>
      <c r="AG192" s="825"/>
      <c r="AH192" s="686"/>
      <c r="AI192" s="686"/>
      <c r="AJ192" s="686"/>
      <c r="AK192" s="686"/>
      <c r="AL192" s="686"/>
      <c r="AM192" s="686"/>
      <c r="AN192" s="686"/>
      <c r="AO192" s="825"/>
      <c r="AP192" s="686"/>
      <c r="AQ192" s="686"/>
      <c r="AR192" s="686"/>
      <c r="AS192" s="686"/>
      <c r="AT192" s="686"/>
      <c r="AU192" s="686"/>
      <c r="AV192" s="686"/>
      <c r="AW192" s="686"/>
      <c r="AX192" s="686"/>
      <c r="AY192" s="686"/>
      <c r="AZ192" s="686"/>
      <c r="BA192" s="686"/>
      <c r="BB192" s="686"/>
      <c r="BC192" s="686"/>
      <c r="BD192" s="686"/>
      <c r="BE192" s="686"/>
      <c r="BF192" s="686"/>
      <c r="BG192" s="686"/>
      <c r="BH192" s="686"/>
    </row>
    <row r="193" spans="1:60" s="44" customFormat="1">
      <c r="A193" s="690"/>
      <c r="B193" s="690"/>
      <c r="C193" s="686"/>
      <c r="D193" s="686"/>
      <c r="E193" s="686"/>
      <c r="F193" s="686"/>
      <c r="G193" s="686"/>
      <c r="H193" s="686"/>
      <c r="I193" s="825"/>
      <c r="J193" s="686"/>
      <c r="K193" s="686"/>
      <c r="L193" s="686"/>
      <c r="M193" s="686"/>
      <c r="N193" s="686"/>
      <c r="O193" s="686"/>
      <c r="P193" s="686"/>
      <c r="Q193" s="825"/>
      <c r="R193" s="686"/>
      <c r="S193" s="686"/>
      <c r="T193" s="686"/>
      <c r="U193" s="686"/>
      <c r="V193" s="686"/>
      <c r="W193" s="686"/>
      <c r="X193" s="686"/>
      <c r="Y193" s="825"/>
      <c r="Z193" s="686"/>
      <c r="AA193" s="686"/>
      <c r="AB193" s="686"/>
      <c r="AC193" s="686"/>
      <c r="AD193" s="686"/>
      <c r="AE193" s="686"/>
      <c r="AF193" s="686"/>
      <c r="AG193" s="825"/>
      <c r="AH193" s="686"/>
      <c r="AI193" s="686"/>
      <c r="AJ193" s="686"/>
      <c r="AK193" s="686"/>
      <c r="AL193" s="686"/>
      <c r="AM193" s="686"/>
      <c r="AN193" s="686"/>
      <c r="AO193" s="825"/>
      <c r="AP193" s="686"/>
      <c r="AQ193" s="686"/>
      <c r="AR193" s="686"/>
      <c r="AS193" s="686"/>
      <c r="AT193" s="686"/>
      <c r="AU193" s="686"/>
      <c r="AV193" s="686"/>
      <c r="AW193" s="686"/>
      <c r="AX193" s="686"/>
      <c r="AY193" s="686"/>
      <c r="AZ193" s="686"/>
      <c r="BA193" s="686"/>
      <c r="BB193" s="686"/>
      <c r="BC193" s="686"/>
      <c r="BD193" s="686"/>
      <c r="BE193" s="686"/>
      <c r="BF193" s="686"/>
      <c r="BG193" s="686"/>
      <c r="BH193" s="686"/>
    </row>
    <row r="194" spans="1:60" s="44" customFormat="1">
      <c r="A194" s="690"/>
      <c r="B194" s="690"/>
      <c r="C194" s="686"/>
      <c r="D194" s="686"/>
      <c r="E194" s="686"/>
      <c r="F194" s="686"/>
      <c r="G194" s="686"/>
      <c r="H194" s="686"/>
      <c r="I194" s="825"/>
      <c r="J194" s="686"/>
      <c r="K194" s="686"/>
      <c r="L194" s="686"/>
      <c r="M194" s="686"/>
      <c r="N194" s="686"/>
      <c r="O194" s="686"/>
      <c r="P194" s="686"/>
      <c r="Q194" s="825"/>
      <c r="R194" s="686"/>
      <c r="S194" s="686"/>
      <c r="T194" s="686"/>
      <c r="U194" s="686"/>
      <c r="V194" s="686"/>
      <c r="W194" s="686"/>
      <c r="X194" s="686"/>
      <c r="Y194" s="825"/>
      <c r="Z194" s="686"/>
      <c r="AA194" s="686"/>
      <c r="AB194" s="686"/>
      <c r="AC194" s="686"/>
      <c r="AD194" s="686"/>
      <c r="AE194" s="686"/>
      <c r="AF194" s="686"/>
      <c r="AG194" s="825"/>
      <c r="AH194" s="686"/>
      <c r="AI194" s="686"/>
      <c r="AJ194" s="686"/>
      <c r="AK194" s="686"/>
      <c r="AL194" s="686"/>
      <c r="AM194" s="686"/>
      <c r="AN194" s="686"/>
      <c r="AO194" s="825"/>
      <c r="AP194" s="686"/>
      <c r="AQ194" s="686"/>
      <c r="AR194" s="686"/>
      <c r="AS194" s="686"/>
      <c r="AT194" s="686"/>
      <c r="AU194" s="686"/>
      <c r="AV194" s="686"/>
      <c r="AW194" s="686"/>
      <c r="AX194" s="686"/>
      <c r="AY194" s="686"/>
      <c r="AZ194" s="686"/>
      <c r="BA194" s="686"/>
      <c r="BB194" s="686"/>
      <c r="BC194" s="686"/>
      <c r="BD194" s="686"/>
      <c r="BE194" s="686"/>
      <c r="BF194" s="686"/>
      <c r="BG194" s="686"/>
      <c r="BH194" s="686"/>
    </row>
    <row r="195" spans="1:60" s="44" customFormat="1">
      <c r="A195" s="690"/>
      <c r="B195" s="690"/>
      <c r="C195" s="686"/>
      <c r="D195" s="686"/>
      <c r="E195" s="686"/>
      <c r="F195" s="686"/>
      <c r="G195" s="686"/>
      <c r="H195" s="686"/>
      <c r="I195" s="825"/>
      <c r="J195" s="686"/>
      <c r="K195" s="686"/>
      <c r="L195" s="686"/>
      <c r="M195" s="686"/>
      <c r="N195" s="686"/>
      <c r="O195" s="686"/>
      <c r="P195" s="686"/>
      <c r="Q195" s="825"/>
      <c r="R195" s="686"/>
      <c r="S195" s="686"/>
      <c r="T195" s="686"/>
      <c r="U195" s="686"/>
      <c r="V195" s="686"/>
      <c r="W195" s="686"/>
      <c r="X195" s="686"/>
      <c r="Y195" s="825"/>
      <c r="Z195" s="686"/>
      <c r="AA195" s="686"/>
      <c r="AB195" s="686"/>
      <c r="AC195" s="686"/>
      <c r="AD195" s="686"/>
      <c r="AE195" s="686"/>
      <c r="AF195" s="686"/>
      <c r="AG195" s="825"/>
      <c r="AH195" s="686"/>
      <c r="AI195" s="686"/>
      <c r="AJ195" s="686"/>
      <c r="AK195" s="686"/>
      <c r="AL195" s="686"/>
      <c r="AM195" s="686"/>
      <c r="AN195" s="686"/>
      <c r="AO195" s="825"/>
      <c r="AP195" s="686"/>
      <c r="AQ195" s="686"/>
      <c r="AR195" s="686"/>
      <c r="AS195" s="686"/>
      <c r="AT195" s="686"/>
      <c r="AU195" s="686"/>
      <c r="AV195" s="686"/>
      <c r="AW195" s="686"/>
      <c r="AX195" s="686"/>
      <c r="AY195" s="686"/>
      <c r="AZ195" s="686"/>
      <c r="BA195" s="686"/>
      <c r="BB195" s="686"/>
      <c r="BC195" s="686"/>
      <c r="BD195" s="686"/>
      <c r="BE195" s="686"/>
      <c r="BF195" s="686"/>
      <c r="BG195" s="686"/>
      <c r="BH195" s="686"/>
    </row>
    <row r="196" spans="1:60" s="44" customFormat="1">
      <c r="A196" s="690"/>
      <c r="B196" s="690"/>
      <c r="C196" s="686"/>
      <c r="D196" s="686"/>
      <c r="E196" s="686"/>
      <c r="F196" s="686"/>
      <c r="G196" s="686"/>
      <c r="H196" s="686"/>
      <c r="I196" s="825"/>
      <c r="J196" s="686"/>
      <c r="K196" s="686"/>
      <c r="L196" s="686"/>
      <c r="M196" s="686"/>
      <c r="N196" s="686"/>
      <c r="O196" s="686"/>
      <c r="P196" s="686"/>
      <c r="Q196" s="825"/>
      <c r="R196" s="686"/>
      <c r="S196" s="686"/>
      <c r="T196" s="686"/>
      <c r="U196" s="686"/>
      <c r="V196" s="686"/>
      <c r="W196" s="686"/>
      <c r="X196" s="686"/>
      <c r="Y196" s="825"/>
      <c r="Z196" s="686"/>
      <c r="AA196" s="686"/>
      <c r="AB196" s="686"/>
      <c r="AC196" s="686"/>
      <c r="AD196" s="686"/>
      <c r="AE196" s="686"/>
      <c r="AF196" s="686"/>
      <c r="AG196" s="825"/>
      <c r="AH196" s="686"/>
      <c r="AI196" s="686"/>
      <c r="AJ196" s="686"/>
      <c r="AK196" s="686"/>
      <c r="AL196" s="686"/>
      <c r="AM196" s="686"/>
      <c r="AN196" s="686"/>
      <c r="AO196" s="825"/>
      <c r="AP196" s="686"/>
      <c r="AQ196" s="686"/>
      <c r="AR196" s="686"/>
      <c r="AS196" s="686"/>
      <c r="AT196" s="686"/>
      <c r="AU196" s="686"/>
      <c r="AV196" s="686"/>
      <c r="AW196" s="686"/>
      <c r="AX196" s="686"/>
      <c r="AY196" s="686"/>
      <c r="AZ196" s="686"/>
      <c r="BA196" s="686"/>
      <c r="BB196" s="686"/>
      <c r="BC196" s="686"/>
      <c r="BD196" s="686"/>
      <c r="BE196" s="686"/>
      <c r="BF196" s="686"/>
      <c r="BG196" s="686"/>
      <c r="BH196" s="686"/>
    </row>
    <row r="197" spans="1:60" s="44" customFormat="1">
      <c r="A197" s="690"/>
      <c r="B197" s="690"/>
      <c r="C197" s="686"/>
      <c r="D197" s="686"/>
      <c r="E197" s="686"/>
      <c r="F197" s="686"/>
      <c r="G197" s="686"/>
      <c r="H197" s="686"/>
      <c r="I197" s="825"/>
      <c r="J197" s="686"/>
      <c r="K197" s="686"/>
      <c r="L197" s="686"/>
      <c r="M197" s="686"/>
      <c r="N197" s="686"/>
      <c r="O197" s="686"/>
      <c r="P197" s="686"/>
      <c r="Q197" s="825"/>
      <c r="R197" s="686"/>
      <c r="S197" s="686"/>
      <c r="T197" s="686"/>
      <c r="U197" s="686"/>
      <c r="V197" s="686"/>
      <c r="W197" s="686"/>
      <c r="X197" s="686"/>
      <c r="Y197" s="825"/>
      <c r="Z197" s="686"/>
      <c r="AA197" s="686"/>
      <c r="AB197" s="686"/>
      <c r="AC197" s="686"/>
      <c r="AD197" s="686"/>
      <c r="AE197" s="686"/>
      <c r="AF197" s="686"/>
      <c r="AG197" s="825"/>
      <c r="AH197" s="686"/>
      <c r="AI197" s="686"/>
      <c r="AJ197" s="686"/>
      <c r="AK197" s="686"/>
      <c r="AL197" s="686"/>
      <c r="AM197" s="686"/>
      <c r="AN197" s="686"/>
      <c r="AO197" s="825"/>
      <c r="AP197" s="686"/>
      <c r="AQ197" s="686"/>
      <c r="AR197" s="686"/>
      <c r="AS197" s="686"/>
      <c r="AT197" s="686"/>
      <c r="AU197" s="686"/>
      <c r="AV197" s="686"/>
      <c r="AW197" s="686"/>
      <c r="AX197" s="686"/>
      <c r="AY197" s="686"/>
      <c r="AZ197" s="686"/>
      <c r="BA197" s="686"/>
      <c r="BB197" s="686"/>
      <c r="BC197" s="686"/>
      <c r="BD197" s="686"/>
      <c r="BE197" s="686"/>
      <c r="BF197" s="686"/>
      <c r="BG197" s="686"/>
      <c r="BH197" s="686"/>
    </row>
    <row r="198" spans="1:60" s="44" customFormat="1">
      <c r="A198" s="690"/>
      <c r="B198" s="690"/>
      <c r="C198" s="686"/>
      <c r="D198" s="686"/>
      <c r="E198" s="686"/>
      <c r="F198" s="686"/>
      <c r="G198" s="686"/>
      <c r="H198" s="686"/>
      <c r="I198" s="825"/>
      <c r="J198" s="686"/>
      <c r="K198" s="686"/>
      <c r="L198" s="686"/>
      <c r="M198" s="686"/>
      <c r="N198" s="686"/>
      <c r="O198" s="686"/>
      <c r="P198" s="686"/>
      <c r="Q198" s="825"/>
      <c r="R198" s="686"/>
      <c r="S198" s="686"/>
      <c r="T198" s="686"/>
      <c r="U198" s="686"/>
      <c r="V198" s="686"/>
      <c r="W198" s="686"/>
      <c r="X198" s="686"/>
      <c r="Y198" s="825"/>
      <c r="Z198" s="686"/>
      <c r="AA198" s="686"/>
      <c r="AB198" s="686"/>
      <c r="AC198" s="686"/>
      <c r="AD198" s="686"/>
      <c r="AE198" s="686"/>
      <c r="AF198" s="686"/>
      <c r="AG198" s="825"/>
      <c r="AH198" s="686"/>
      <c r="AI198" s="686"/>
      <c r="AJ198" s="686"/>
      <c r="AK198" s="686"/>
      <c r="AL198" s="686"/>
      <c r="AM198" s="686"/>
      <c r="AN198" s="686"/>
      <c r="AO198" s="825"/>
      <c r="AP198" s="686"/>
      <c r="AQ198" s="686"/>
      <c r="AR198" s="686"/>
      <c r="AS198" s="686"/>
      <c r="AT198" s="686"/>
      <c r="AU198" s="686"/>
      <c r="AV198" s="686"/>
      <c r="AW198" s="686"/>
      <c r="AX198" s="686"/>
      <c r="AY198" s="686"/>
      <c r="AZ198" s="686"/>
      <c r="BA198" s="686"/>
      <c r="BB198" s="686"/>
      <c r="BC198" s="686"/>
      <c r="BD198" s="686"/>
      <c r="BE198" s="686"/>
      <c r="BF198" s="686"/>
      <c r="BG198" s="686"/>
      <c r="BH198" s="686"/>
    </row>
    <row r="199" spans="1:60" s="44" customFormat="1">
      <c r="A199" s="690"/>
      <c r="B199" s="690"/>
      <c r="C199" s="686"/>
      <c r="D199" s="686"/>
      <c r="E199" s="686"/>
      <c r="F199" s="686"/>
      <c r="G199" s="686"/>
      <c r="H199" s="686"/>
      <c r="I199" s="825"/>
      <c r="J199" s="686"/>
      <c r="K199" s="686"/>
      <c r="L199" s="686"/>
      <c r="M199" s="686"/>
      <c r="N199" s="686"/>
      <c r="O199" s="686"/>
      <c r="P199" s="686"/>
      <c r="Q199" s="825"/>
      <c r="R199" s="686"/>
      <c r="S199" s="686"/>
      <c r="T199" s="686"/>
      <c r="U199" s="686"/>
      <c r="V199" s="686"/>
      <c r="W199" s="686"/>
      <c r="X199" s="686"/>
      <c r="Y199" s="825"/>
      <c r="Z199" s="686"/>
      <c r="AA199" s="686"/>
      <c r="AB199" s="686"/>
      <c r="AC199" s="686"/>
      <c r="AD199" s="686"/>
      <c r="AE199" s="686"/>
      <c r="AF199" s="686"/>
      <c r="AG199" s="825"/>
      <c r="AH199" s="686"/>
      <c r="AI199" s="686"/>
      <c r="AJ199" s="686"/>
      <c r="AK199" s="686"/>
      <c r="AL199" s="686"/>
      <c r="AM199" s="686"/>
      <c r="AN199" s="686"/>
      <c r="AO199" s="825"/>
      <c r="AP199" s="686"/>
      <c r="AQ199" s="686"/>
      <c r="AR199" s="686"/>
      <c r="AS199" s="686"/>
      <c r="AT199" s="686"/>
      <c r="AU199" s="686"/>
      <c r="AV199" s="686"/>
      <c r="AW199" s="686"/>
      <c r="AX199" s="686"/>
      <c r="AY199" s="686"/>
      <c r="AZ199" s="686"/>
      <c r="BA199" s="686"/>
      <c r="BB199" s="686"/>
      <c r="BC199" s="686"/>
      <c r="BD199" s="686"/>
      <c r="BE199" s="686"/>
      <c r="BF199" s="686"/>
      <c r="BG199" s="686"/>
      <c r="BH199" s="686"/>
    </row>
    <row r="200" spans="1:60" s="44" customFormat="1">
      <c r="A200" s="690"/>
      <c r="B200" s="690"/>
      <c r="C200" s="686"/>
      <c r="D200" s="686"/>
      <c r="E200" s="686"/>
      <c r="F200" s="686"/>
      <c r="G200" s="686"/>
      <c r="H200" s="686"/>
      <c r="I200" s="825"/>
      <c r="J200" s="686"/>
      <c r="K200" s="686"/>
      <c r="L200" s="686"/>
      <c r="M200" s="686"/>
      <c r="N200" s="686"/>
      <c r="O200" s="686"/>
      <c r="P200" s="686"/>
      <c r="Q200" s="825"/>
      <c r="R200" s="686"/>
      <c r="S200" s="686"/>
      <c r="T200" s="686"/>
      <c r="U200" s="686"/>
      <c r="V200" s="686"/>
      <c r="W200" s="686"/>
      <c r="X200" s="686"/>
      <c r="Y200" s="825"/>
      <c r="Z200" s="686"/>
      <c r="AA200" s="686"/>
      <c r="AB200" s="686"/>
      <c r="AC200" s="686"/>
      <c r="AD200" s="686"/>
      <c r="AE200" s="686"/>
      <c r="AF200" s="686"/>
      <c r="AG200" s="825"/>
      <c r="AH200" s="686"/>
      <c r="AI200" s="686"/>
      <c r="AJ200" s="686"/>
      <c r="AK200" s="686"/>
      <c r="AL200" s="686"/>
      <c r="AM200" s="686"/>
      <c r="AN200" s="686"/>
      <c r="AO200" s="825"/>
      <c r="AP200" s="686"/>
      <c r="AQ200" s="686"/>
      <c r="AR200" s="686"/>
      <c r="AS200" s="686"/>
      <c r="AT200" s="686"/>
      <c r="AU200" s="686"/>
      <c r="AV200" s="686"/>
      <c r="AW200" s="686"/>
      <c r="AX200" s="686"/>
      <c r="AY200" s="686"/>
      <c r="AZ200" s="686"/>
      <c r="BA200" s="686"/>
      <c r="BB200" s="686"/>
      <c r="BC200" s="686"/>
      <c r="BD200" s="686"/>
      <c r="BE200" s="686"/>
      <c r="BF200" s="686"/>
      <c r="BG200" s="686"/>
      <c r="BH200" s="686"/>
    </row>
    <row r="201" spans="1:60" s="44" customFormat="1">
      <c r="A201" s="690"/>
      <c r="B201" s="690"/>
      <c r="C201" s="686"/>
      <c r="D201" s="686"/>
      <c r="E201" s="686"/>
      <c r="F201" s="686"/>
      <c r="G201" s="686"/>
      <c r="H201" s="686"/>
      <c r="I201" s="825"/>
      <c r="J201" s="686"/>
      <c r="K201" s="686"/>
      <c r="L201" s="686"/>
      <c r="M201" s="686"/>
      <c r="N201" s="686"/>
      <c r="O201" s="686"/>
      <c r="P201" s="686"/>
      <c r="Q201" s="825"/>
      <c r="R201" s="686"/>
      <c r="S201" s="686"/>
      <c r="T201" s="686"/>
      <c r="U201" s="686"/>
      <c r="V201" s="686"/>
      <c r="W201" s="686"/>
      <c r="X201" s="686"/>
      <c r="Y201" s="825"/>
      <c r="Z201" s="686"/>
      <c r="AA201" s="686"/>
      <c r="AB201" s="686"/>
      <c r="AC201" s="686"/>
      <c r="AD201" s="686"/>
      <c r="AE201" s="686"/>
      <c r="AF201" s="686"/>
      <c r="AG201" s="825"/>
      <c r="AH201" s="686"/>
      <c r="AI201" s="686"/>
      <c r="AJ201" s="686"/>
      <c r="AK201" s="686"/>
      <c r="AL201" s="686"/>
      <c r="AM201" s="686"/>
      <c r="AN201" s="686"/>
      <c r="AO201" s="825"/>
      <c r="AP201" s="686"/>
      <c r="AQ201" s="686"/>
      <c r="AR201" s="686"/>
      <c r="AS201" s="686"/>
      <c r="AT201" s="686"/>
      <c r="AU201" s="686"/>
      <c r="AV201" s="686"/>
      <c r="AW201" s="686"/>
      <c r="AX201" s="686"/>
      <c r="AY201" s="686"/>
      <c r="AZ201" s="686"/>
      <c r="BA201" s="686"/>
      <c r="BB201" s="686"/>
      <c r="BC201" s="686"/>
      <c r="BD201" s="686"/>
      <c r="BE201" s="686"/>
      <c r="BF201" s="686"/>
      <c r="BG201" s="686"/>
      <c r="BH201" s="686"/>
    </row>
    <row r="202" spans="1:60" s="44" customFormat="1">
      <c r="A202" s="690"/>
      <c r="B202" s="690"/>
      <c r="C202" s="686"/>
      <c r="D202" s="686"/>
      <c r="E202" s="686"/>
      <c r="F202" s="686"/>
      <c r="G202" s="686"/>
      <c r="H202" s="686"/>
      <c r="I202" s="825"/>
      <c r="J202" s="686"/>
      <c r="K202" s="686"/>
      <c r="L202" s="686"/>
      <c r="M202" s="686"/>
      <c r="N202" s="686"/>
      <c r="O202" s="686"/>
      <c r="P202" s="686"/>
      <c r="Q202" s="825"/>
      <c r="R202" s="686"/>
      <c r="S202" s="686"/>
      <c r="T202" s="686"/>
      <c r="U202" s="686"/>
      <c r="V202" s="686"/>
      <c r="W202" s="686"/>
      <c r="X202" s="686"/>
      <c r="Y202" s="825"/>
      <c r="Z202" s="686"/>
      <c r="AA202" s="686"/>
      <c r="AB202" s="686"/>
      <c r="AC202" s="686"/>
      <c r="AD202" s="686"/>
      <c r="AE202" s="686"/>
      <c r="AF202" s="686"/>
      <c r="AG202" s="825"/>
      <c r="AH202" s="686"/>
      <c r="AI202" s="686"/>
      <c r="AJ202" s="686"/>
      <c r="AK202" s="686"/>
      <c r="AL202" s="686"/>
      <c r="AM202" s="686"/>
      <c r="AN202" s="686"/>
      <c r="AO202" s="825"/>
      <c r="AP202" s="686"/>
      <c r="AQ202" s="686"/>
      <c r="AR202" s="686"/>
      <c r="AS202" s="686"/>
      <c r="AT202" s="686"/>
      <c r="AU202" s="686"/>
      <c r="AV202" s="686"/>
      <c r="AW202" s="686"/>
      <c r="AX202" s="686"/>
      <c r="AY202" s="686"/>
      <c r="AZ202" s="686"/>
      <c r="BA202" s="686"/>
      <c r="BB202" s="686"/>
      <c r="BC202" s="686"/>
      <c r="BD202" s="686"/>
      <c r="BE202" s="686"/>
      <c r="BF202" s="686"/>
      <c r="BG202" s="686"/>
      <c r="BH202" s="686"/>
    </row>
    <row r="203" spans="1:60" s="44" customFormat="1">
      <c r="A203" s="690"/>
      <c r="B203" s="690"/>
      <c r="C203" s="686"/>
      <c r="D203" s="686"/>
      <c r="E203" s="686"/>
      <c r="F203" s="686"/>
      <c r="G203" s="686"/>
      <c r="H203" s="686"/>
      <c r="I203" s="825"/>
      <c r="J203" s="686"/>
      <c r="K203" s="686"/>
      <c r="L203" s="686"/>
      <c r="M203" s="686"/>
      <c r="N203" s="686"/>
      <c r="O203" s="686"/>
      <c r="P203" s="686"/>
      <c r="Q203" s="825"/>
      <c r="R203" s="686"/>
      <c r="S203" s="686"/>
      <c r="T203" s="686"/>
      <c r="U203" s="686"/>
      <c r="V203" s="686"/>
      <c r="W203" s="686"/>
      <c r="X203" s="686"/>
      <c r="Y203" s="825"/>
      <c r="Z203" s="686"/>
      <c r="AA203" s="686"/>
      <c r="AB203" s="686"/>
      <c r="AC203" s="686"/>
      <c r="AD203" s="686"/>
      <c r="AE203" s="686"/>
      <c r="AF203" s="686"/>
      <c r="AG203" s="825"/>
      <c r="AH203" s="686"/>
      <c r="AI203" s="686"/>
      <c r="AJ203" s="686"/>
      <c r="AK203" s="686"/>
      <c r="AL203" s="686"/>
      <c r="AM203" s="686"/>
      <c r="AN203" s="686"/>
      <c r="AO203" s="825"/>
      <c r="AP203" s="686"/>
      <c r="AQ203" s="686"/>
      <c r="AR203" s="686"/>
      <c r="AS203" s="686"/>
      <c r="AT203" s="686"/>
      <c r="AU203" s="686"/>
      <c r="AV203" s="686"/>
      <c r="AW203" s="686"/>
      <c r="AX203" s="686"/>
      <c r="AY203" s="686"/>
      <c r="AZ203" s="686"/>
      <c r="BA203" s="686"/>
      <c r="BB203" s="686"/>
      <c r="BC203" s="686"/>
      <c r="BD203" s="686"/>
      <c r="BE203" s="686"/>
      <c r="BF203" s="686"/>
      <c r="BG203" s="686"/>
      <c r="BH203" s="686"/>
    </row>
    <row r="204" spans="1:60" s="44" customFormat="1">
      <c r="A204" s="690"/>
      <c r="B204" s="690"/>
      <c r="C204" s="686"/>
      <c r="D204" s="686"/>
      <c r="E204" s="686"/>
      <c r="F204" s="686"/>
      <c r="G204" s="686"/>
      <c r="H204" s="686"/>
      <c r="I204" s="825"/>
      <c r="J204" s="686"/>
      <c r="K204" s="686"/>
      <c r="L204" s="686"/>
      <c r="M204" s="686"/>
      <c r="N204" s="686"/>
      <c r="O204" s="686"/>
      <c r="P204" s="686"/>
      <c r="Q204" s="825"/>
      <c r="R204" s="686"/>
      <c r="S204" s="686"/>
      <c r="T204" s="686"/>
      <c r="U204" s="686"/>
      <c r="V204" s="686"/>
      <c r="W204" s="686"/>
      <c r="X204" s="686"/>
      <c r="Y204" s="825"/>
      <c r="Z204" s="686"/>
      <c r="AA204" s="686"/>
      <c r="AB204" s="686"/>
      <c r="AC204" s="686"/>
      <c r="AD204" s="686"/>
      <c r="AE204" s="686"/>
      <c r="AF204" s="686"/>
      <c r="AG204" s="825"/>
      <c r="AH204" s="686"/>
      <c r="AI204" s="686"/>
      <c r="AJ204" s="686"/>
      <c r="AK204" s="686"/>
      <c r="AL204" s="686"/>
      <c r="AM204" s="686"/>
      <c r="AN204" s="686"/>
      <c r="AO204" s="825"/>
      <c r="AP204" s="686"/>
      <c r="AQ204" s="686"/>
      <c r="AR204" s="686"/>
      <c r="AS204" s="686"/>
      <c r="AT204" s="686"/>
      <c r="AU204" s="686"/>
      <c r="AV204" s="686"/>
      <c r="AW204" s="686"/>
      <c r="AX204" s="686"/>
      <c r="AY204" s="686"/>
      <c r="AZ204" s="686"/>
      <c r="BA204" s="686"/>
      <c r="BB204" s="686"/>
      <c r="BC204" s="686"/>
      <c r="BD204" s="686"/>
      <c r="BE204" s="686"/>
      <c r="BF204" s="686"/>
      <c r="BG204" s="686"/>
      <c r="BH204" s="686"/>
    </row>
    <row r="205" spans="1:60" s="44" customFormat="1">
      <c r="A205" s="690"/>
      <c r="B205" s="690"/>
      <c r="C205" s="686"/>
      <c r="D205" s="686"/>
      <c r="E205" s="686"/>
      <c r="F205" s="686"/>
      <c r="G205" s="686"/>
      <c r="H205" s="686"/>
      <c r="I205" s="825"/>
      <c r="J205" s="686"/>
      <c r="K205" s="686"/>
      <c r="L205" s="686"/>
      <c r="M205" s="686"/>
      <c r="N205" s="686"/>
      <c r="O205" s="686"/>
      <c r="P205" s="686"/>
      <c r="Q205" s="825"/>
      <c r="R205" s="686"/>
      <c r="S205" s="686"/>
      <c r="T205" s="686"/>
      <c r="U205" s="686"/>
      <c r="V205" s="686"/>
      <c r="W205" s="686"/>
      <c r="X205" s="686"/>
      <c r="Y205" s="825"/>
      <c r="Z205" s="686"/>
      <c r="AA205" s="686"/>
      <c r="AB205" s="686"/>
      <c r="AC205" s="686"/>
      <c r="AD205" s="686"/>
      <c r="AE205" s="686"/>
      <c r="AF205" s="686"/>
      <c r="AG205" s="825"/>
      <c r="AH205" s="686"/>
      <c r="AI205" s="686"/>
      <c r="AJ205" s="686"/>
      <c r="AK205" s="686"/>
      <c r="AL205" s="686"/>
      <c r="AM205" s="686"/>
      <c r="AN205" s="686"/>
      <c r="AO205" s="825"/>
      <c r="AP205" s="686"/>
      <c r="AQ205" s="686"/>
      <c r="AR205" s="686"/>
      <c r="AS205" s="686"/>
      <c r="AT205" s="686"/>
      <c r="AU205" s="686"/>
      <c r="AV205" s="686"/>
      <c r="AW205" s="686"/>
      <c r="AX205" s="686"/>
      <c r="AY205" s="686"/>
      <c r="AZ205" s="686"/>
      <c r="BA205" s="686"/>
      <c r="BB205" s="686"/>
      <c r="BC205" s="686"/>
      <c r="BD205" s="686"/>
      <c r="BE205" s="686"/>
      <c r="BF205" s="686"/>
      <c r="BG205" s="686"/>
      <c r="BH205" s="686"/>
    </row>
    <row r="206" spans="1:60" s="44" customFormat="1">
      <c r="A206" s="690"/>
      <c r="B206" s="690"/>
      <c r="C206" s="686"/>
      <c r="D206" s="686"/>
      <c r="E206" s="686"/>
      <c r="F206" s="686"/>
      <c r="G206" s="686"/>
      <c r="H206" s="686"/>
      <c r="I206" s="825"/>
      <c r="J206" s="686"/>
      <c r="K206" s="686"/>
      <c r="L206" s="686"/>
      <c r="M206" s="686"/>
      <c r="N206" s="686"/>
      <c r="O206" s="686"/>
      <c r="P206" s="686"/>
      <c r="Q206" s="825"/>
      <c r="R206" s="686"/>
      <c r="S206" s="686"/>
      <c r="T206" s="686"/>
      <c r="U206" s="686"/>
      <c r="V206" s="686"/>
      <c r="W206" s="686"/>
      <c r="X206" s="686"/>
      <c r="Y206" s="825"/>
      <c r="Z206" s="686"/>
      <c r="AA206" s="686"/>
      <c r="AB206" s="686"/>
      <c r="AC206" s="686"/>
      <c r="AD206" s="686"/>
      <c r="AE206" s="686"/>
      <c r="AF206" s="686"/>
      <c r="AG206" s="825"/>
      <c r="AH206" s="686"/>
      <c r="AI206" s="686"/>
      <c r="AJ206" s="686"/>
      <c r="AK206" s="686"/>
      <c r="AL206" s="686"/>
      <c r="AM206" s="686"/>
      <c r="AN206" s="686"/>
      <c r="AO206" s="825"/>
      <c r="AP206" s="686"/>
      <c r="AQ206" s="686"/>
      <c r="AR206" s="686"/>
      <c r="AS206" s="686"/>
      <c r="AT206" s="686"/>
      <c r="AU206" s="686"/>
      <c r="AV206" s="686"/>
      <c r="AW206" s="686"/>
      <c r="AX206" s="686"/>
      <c r="AY206" s="686"/>
      <c r="AZ206" s="686"/>
      <c r="BA206" s="686"/>
      <c r="BB206" s="686"/>
      <c r="BC206" s="686"/>
      <c r="BD206" s="686"/>
      <c r="BE206" s="686"/>
      <c r="BF206" s="686"/>
      <c r="BG206" s="686"/>
      <c r="BH206" s="686"/>
    </row>
    <row r="207" spans="1:60" s="44" customFormat="1">
      <c r="A207" s="690"/>
      <c r="B207" s="690"/>
      <c r="C207" s="686"/>
      <c r="D207" s="686"/>
      <c r="E207" s="686"/>
      <c r="F207" s="686"/>
      <c r="G207" s="686"/>
      <c r="H207" s="686"/>
      <c r="I207" s="825"/>
      <c r="J207" s="686"/>
      <c r="K207" s="686"/>
      <c r="L207" s="686"/>
      <c r="M207" s="686"/>
      <c r="N207" s="686"/>
      <c r="O207" s="686"/>
      <c r="P207" s="686"/>
      <c r="Q207" s="825"/>
      <c r="R207" s="686"/>
      <c r="S207" s="686"/>
      <c r="T207" s="686"/>
      <c r="U207" s="686"/>
      <c r="V207" s="686"/>
      <c r="W207" s="686"/>
      <c r="X207" s="686"/>
      <c r="Y207" s="825"/>
      <c r="Z207" s="686"/>
      <c r="AA207" s="686"/>
      <c r="AB207" s="686"/>
      <c r="AC207" s="686"/>
      <c r="AD207" s="686"/>
      <c r="AE207" s="686"/>
      <c r="AF207" s="686"/>
      <c r="AG207" s="825"/>
      <c r="AH207" s="686"/>
      <c r="AI207" s="686"/>
      <c r="AJ207" s="686"/>
      <c r="AK207" s="686"/>
      <c r="AL207" s="686"/>
      <c r="AM207" s="686"/>
      <c r="AN207" s="686"/>
      <c r="AO207" s="825"/>
      <c r="AP207" s="686"/>
      <c r="AQ207" s="686"/>
      <c r="AR207" s="686"/>
      <c r="AS207" s="686"/>
      <c r="AT207" s="686"/>
      <c r="AU207" s="686"/>
      <c r="AV207" s="686"/>
      <c r="AW207" s="686"/>
      <c r="AX207" s="686"/>
      <c r="AY207" s="686"/>
      <c r="AZ207" s="686"/>
      <c r="BA207" s="686"/>
      <c r="BB207" s="686"/>
      <c r="BC207" s="686"/>
      <c r="BD207" s="686"/>
      <c r="BE207" s="686"/>
      <c r="BF207" s="686"/>
      <c r="BG207" s="686"/>
      <c r="BH207" s="686"/>
    </row>
    <row r="208" spans="1:60" s="44" customFormat="1">
      <c r="A208" s="690"/>
      <c r="B208" s="690"/>
      <c r="C208" s="686"/>
      <c r="D208" s="686"/>
      <c r="E208" s="686"/>
      <c r="F208" s="686"/>
      <c r="G208" s="686"/>
      <c r="H208" s="686"/>
      <c r="I208" s="825"/>
      <c r="J208" s="686"/>
      <c r="K208" s="686"/>
      <c r="L208" s="686"/>
      <c r="M208" s="686"/>
      <c r="N208" s="686"/>
      <c r="O208" s="686"/>
      <c r="P208" s="686"/>
      <c r="Q208" s="825"/>
      <c r="R208" s="686"/>
      <c r="S208" s="686"/>
      <c r="T208" s="686"/>
      <c r="U208" s="686"/>
      <c r="V208" s="686"/>
      <c r="W208" s="686"/>
      <c r="X208" s="686"/>
      <c r="Y208" s="825"/>
      <c r="Z208" s="686"/>
      <c r="AA208" s="686"/>
      <c r="AB208" s="686"/>
      <c r="AC208" s="686"/>
      <c r="AD208" s="686"/>
      <c r="AE208" s="686"/>
      <c r="AF208" s="686"/>
      <c r="AG208" s="825"/>
      <c r="AH208" s="686"/>
      <c r="AI208" s="686"/>
      <c r="AJ208" s="686"/>
      <c r="AK208" s="686"/>
      <c r="AL208" s="686"/>
      <c r="AM208" s="686"/>
      <c r="AN208" s="686"/>
      <c r="AO208" s="825"/>
      <c r="AP208" s="686"/>
      <c r="AQ208" s="686"/>
      <c r="AR208" s="686"/>
      <c r="AS208" s="686"/>
      <c r="AT208" s="686"/>
      <c r="AU208" s="686"/>
      <c r="AV208" s="686"/>
      <c r="AW208" s="686"/>
      <c r="AX208" s="686"/>
      <c r="AY208" s="686"/>
      <c r="AZ208" s="686"/>
      <c r="BA208" s="686"/>
      <c r="BB208" s="686"/>
      <c r="BC208" s="686"/>
      <c r="BD208" s="686"/>
      <c r="BE208" s="686"/>
      <c r="BF208" s="686"/>
      <c r="BG208" s="686"/>
      <c r="BH208" s="686"/>
    </row>
    <row r="209" spans="1:60" s="44" customFormat="1">
      <c r="A209" s="690"/>
      <c r="B209" s="690"/>
      <c r="C209" s="686"/>
      <c r="D209" s="686"/>
      <c r="E209" s="686"/>
      <c r="F209" s="686"/>
      <c r="G209" s="686"/>
      <c r="H209" s="686"/>
      <c r="I209" s="825"/>
      <c r="J209" s="686"/>
      <c r="K209" s="686"/>
      <c r="L209" s="686"/>
      <c r="M209" s="686"/>
      <c r="N209" s="686"/>
      <c r="O209" s="686"/>
      <c r="P209" s="686"/>
      <c r="Q209" s="825"/>
      <c r="R209" s="686"/>
      <c r="S209" s="686"/>
      <c r="T209" s="686"/>
      <c r="U209" s="686"/>
      <c r="V209" s="686"/>
      <c r="W209" s="686"/>
      <c r="X209" s="686"/>
      <c r="Y209" s="825"/>
      <c r="Z209" s="686"/>
      <c r="AA209" s="686"/>
      <c r="AB209" s="686"/>
      <c r="AC209" s="686"/>
      <c r="AD209" s="686"/>
      <c r="AE209" s="686"/>
      <c r="AF209" s="686"/>
      <c r="AG209" s="825"/>
      <c r="AH209" s="686"/>
      <c r="AI209" s="686"/>
      <c r="AJ209" s="686"/>
      <c r="AK209" s="686"/>
      <c r="AL209" s="686"/>
      <c r="AM209" s="686"/>
      <c r="AN209" s="686"/>
      <c r="AO209" s="825"/>
      <c r="AP209" s="686"/>
      <c r="AQ209" s="686"/>
      <c r="AR209" s="686"/>
      <c r="AS209" s="686"/>
      <c r="AT209" s="686"/>
      <c r="AU209" s="686"/>
      <c r="AV209" s="686"/>
      <c r="AW209" s="686"/>
      <c r="AX209" s="686"/>
      <c r="AY209" s="686"/>
      <c r="AZ209" s="686"/>
      <c r="BA209" s="686"/>
      <c r="BB209" s="686"/>
      <c r="BC209" s="686"/>
      <c r="BD209" s="686"/>
      <c r="BE209" s="686"/>
      <c r="BF209" s="686"/>
      <c r="BG209" s="686"/>
      <c r="BH209" s="686"/>
    </row>
    <row r="210" spans="1:60" s="44" customFormat="1">
      <c r="A210" s="690"/>
      <c r="B210" s="690"/>
      <c r="C210" s="686"/>
      <c r="D210" s="686"/>
      <c r="E210" s="686"/>
      <c r="F210" s="686"/>
      <c r="G210" s="686"/>
      <c r="H210" s="686"/>
      <c r="I210" s="825"/>
      <c r="J210" s="686"/>
      <c r="K210" s="686"/>
      <c r="L210" s="686"/>
      <c r="M210" s="686"/>
      <c r="N210" s="686"/>
      <c r="O210" s="686"/>
      <c r="P210" s="686"/>
      <c r="Q210" s="825"/>
      <c r="R210" s="686"/>
      <c r="S210" s="686"/>
      <c r="T210" s="686"/>
      <c r="U210" s="686"/>
      <c r="V210" s="686"/>
      <c r="W210" s="686"/>
      <c r="X210" s="686"/>
      <c r="Y210" s="825"/>
      <c r="Z210" s="686"/>
      <c r="AA210" s="686"/>
      <c r="AB210" s="686"/>
      <c r="AC210" s="686"/>
      <c r="AD210" s="686"/>
      <c r="AE210" s="686"/>
      <c r="AF210" s="686"/>
      <c r="AG210" s="825"/>
      <c r="AH210" s="686"/>
      <c r="AI210" s="686"/>
      <c r="AJ210" s="686"/>
      <c r="AK210" s="686"/>
      <c r="AL210" s="686"/>
      <c r="AM210" s="686"/>
      <c r="AN210" s="686"/>
      <c r="AO210" s="825"/>
      <c r="AP210" s="686"/>
      <c r="AQ210" s="686"/>
      <c r="AR210" s="686"/>
      <c r="AS210" s="686"/>
      <c r="AT210" s="686"/>
      <c r="AU210" s="686"/>
      <c r="AV210" s="686"/>
      <c r="AW210" s="686"/>
      <c r="AX210" s="686"/>
      <c r="AY210" s="686"/>
      <c r="AZ210" s="686"/>
      <c r="BA210" s="686"/>
      <c r="BB210" s="686"/>
      <c r="BC210" s="686"/>
      <c r="BD210" s="686"/>
      <c r="BE210" s="686"/>
      <c r="BF210" s="686"/>
      <c r="BG210" s="686"/>
      <c r="BH210" s="686"/>
    </row>
    <row r="211" spans="1:60" s="44" customFormat="1">
      <c r="A211" s="690"/>
      <c r="B211" s="690"/>
      <c r="C211" s="686"/>
      <c r="D211" s="686"/>
      <c r="E211" s="686"/>
      <c r="F211" s="686"/>
      <c r="G211" s="686"/>
      <c r="H211" s="686"/>
      <c r="I211" s="825"/>
      <c r="J211" s="686"/>
      <c r="K211" s="686"/>
      <c r="L211" s="686"/>
      <c r="M211" s="686"/>
      <c r="N211" s="686"/>
      <c r="O211" s="686"/>
      <c r="P211" s="686"/>
      <c r="Q211" s="825"/>
      <c r="R211" s="686"/>
      <c r="S211" s="686"/>
      <c r="T211" s="686"/>
      <c r="U211" s="686"/>
      <c r="V211" s="686"/>
      <c r="W211" s="686"/>
      <c r="X211" s="686"/>
      <c r="Y211" s="825"/>
      <c r="Z211" s="686"/>
      <c r="AA211" s="686"/>
      <c r="AB211" s="686"/>
      <c r="AC211" s="686"/>
      <c r="AD211" s="686"/>
      <c r="AE211" s="686"/>
      <c r="AF211" s="686"/>
      <c r="AG211" s="825"/>
      <c r="AH211" s="686"/>
      <c r="AI211" s="686"/>
      <c r="AJ211" s="686"/>
      <c r="AK211" s="686"/>
      <c r="AL211" s="686"/>
      <c r="AM211" s="686"/>
      <c r="AN211" s="686"/>
      <c r="AO211" s="825"/>
      <c r="AP211" s="686"/>
      <c r="AQ211" s="686"/>
      <c r="AR211" s="686"/>
      <c r="AS211" s="686"/>
      <c r="AT211" s="686"/>
      <c r="AU211" s="686"/>
      <c r="AV211" s="686"/>
      <c r="AW211" s="686"/>
      <c r="AX211" s="686"/>
      <c r="AY211" s="686"/>
      <c r="AZ211" s="686"/>
      <c r="BA211" s="686"/>
      <c r="BB211" s="686"/>
      <c r="BC211" s="686"/>
      <c r="BD211" s="686"/>
      <c r="BE211" s="686"/>
      <c r="BF211" s="686"/>
      <c r="BG211" s="686"/>
      <c r="BH211" s="686"/>
    </row>
    <row r="212" spans="1:60" s="44" customFormat="1">
      <c r="A212" s="690"/>
      <c r="B212" s="690"/>
      <c r="C212" s="686"/>
      <c r="D212" s="686"/>
      <c r="E212" s="686"/>
      <c r="F212" s="686"/>
      <c r="G212" s="686"/>
      <c r="H212" s="686"/>
      <c r="I212" s="825"/>
      <c r="J212" s="686"/>
      <c r="K212" s="686"/>
      <c r="L212" s="686"/>
      <c r="M212" s="686"/>
      <c r="N212" s="686"/>
      <c r="O212" s="686"/>
      <c r="P212" s="686"/>
      <c r="Q212" s="825"/>
      <c r="R212" s="686"/>
      <c r="S212" s="686"/>
      <c r="T212" s="686"/>
      <c r="U212" s="686"/>
      <c r="V212" s="686"/>
      <c r="W212" s="686"/>
      <c r="X212" s="686"/>
      <c r="Y212" s="825"/>
      <c r="Z212" s="686"/>
      <c r="AA212" s="686"/>
      <c r="AB212" s="686"/>
      <c r="AC212" s="686"/>
      <c r="AD212" s="686"/>
      <c r="AE212" s="686"/>
      <c r="AF212" s="686"/>
      <c r="AG212" s="825"/>
      <c r="AH212" s="686"/>
      <c r="AI212" s="686"/>
      <c r="AJ212" s="686"/>
      <c r="AK212" s="686"/>
      <c r="AL212" s="686"/>
      <c r="AM212" s="686"/>
      <c r="AN212" s="686"/>
      <c r="AO212" s="825"/>
      <c r="AP212" s="686"/>
      <c r="AQ212" s="686"/>
      <c r="AR212" s="686"/>
      <c r="AS212" s="686"/>
      <c r="AT212" s="686"/>
      <c r="AU212" s="686"/>
      <c r="AV212" s="686"/>
      <c r="AW212" s="686"/>
      <c r="AX212" s="686"/>
      <c r="AY212" s="686"/>
      <c r="AZ212" s="686"/>
      <c r="BA212" s="686"/>
      <c r="BB212" s="686"/>
      <c r="BC212" s="686"/>
      <c r="BD212" s="686"/>
      <c r="BE212" s="686"/>
      <c r="BF212" s="686"/>
      <c r="BG212" s="686"/>
      <c r="BH212" s="686"/>
    </row>
    <row r="213" spans="1:60" s="44" customFormat="1">
      <c r="A213" s="690"/>
      <c r="B213" s="690"/>
      <c r="C213" s="686"/>
      <c r="D213" s="686"/>
      <c r="E213" s="686"/>
      <c r="F213" s="686"/>
      <c r="G213" s="686"/>
      <c r="H213" s="686"/>
      <c r="I213" s="825"/>
      <c r="J213" s="686"/>
      <c r="K213" s="686"/>
      <c r="L213" s="686"/>
      <c r="M213" s="686"/>
      <c r="N213" s="686"/>
      <c r="O213" s="686"/>
      <c r="P213" s="686"/>
      <c r="Q213" s="825"/>
      <c r="R213" s="686"/>
      <c r="S213" s="686"/>
      <c r="T213" s="686"/>
      <c r="U213" s="686"/>
      <c r="V213" s="686"/>
      <c r="W213" s="686"/>
      <c r="X213" s="686"/>
      <c r="Y213" s="825"/>
      <c r="Z213" s="686"/>
      <c r="AA213" s="686"/>
      <c r="AB213" s="686"/>
      <c r="AC213" s="686"/>
      <c r="AD213" s="686"/>
      <c r="AE213" s="686"/>
      <c r="AF213" s="686"/>
      <c r="AG213" s="825"/>
      <c r="AH213" s="686"/>
      <c r="AI213" s="686"/>
      <c r="AJ213" s="686"/>
      <c r="AK213" s="686"/>
      <c r="AL213" s="686"/>
      <c r="AM213" s="686"/>
      <c r="AN213" s="686"/>
      <c r="AO213" s="825"/>
      <c r="AP213" s="686"/>
      <c r="AQ213" s="686"/>
      <c r="AR213" s="686"/>
      <c r="AS213" s="686"/>
      <c r="AT213" s="686"/>
      <c r="AU213" s="686"/>
      <c r="AV213" s="686"/>
      <c r="AW213" s="686"/>
      <c r="AX213" s="686"/>
      <c r="AY213" s="686"/>
      <c r="AZ213" s="686"/>
      <c r="BA213" s="686"/>
      <c r="BB213" s="686"/>
      <c r="BC213" s="686"/>
      <c r="BD213" s="686"/>
      <c r="BE213" s="686"/>
      <c r="BF213" s="686"/>
      <c r="BG213" s="686"/>
      <c r="BH213" s="686"/>
    </row>
    <row r="214" spans="1:60" s="44" customFormat="1">
      <c r="A214" s="690"/>
      <c r="B214" s="690"/>
      <c r="C214" s="686"/>
      <c r="D214" s="686"/>
      <c r="E214" s="686"/>
      <c r="F214" s="686"/>
      <c r="G214" s="686"/>
      <c r="H214" s="686"/>
      <c r="I214" s="825"/>
      <c r="J214" s="686"/>
      <c r="K214" s="686"/>
      <c r="L214" s="686"/>
      <c r="M214" s="686"/>
      <c r="N214" s="686"/>
      <c r="O214" s="686"/>
      <c r="P214" s="686"/>
      <c r="Q214" s="825"/>
      <c r="R214" s="686"/>
      <c r="S214" s="686"/>
      <c r="T214" s="686"/>
      <c r="U214" s="686"/>
      <c r="V214" s="686"/>
      <c r="W214" s="686"/>
      <c r="X214" s="686"/>
      <c r="Y214" s="825"/>
      <c r="Z214" s="686"/>
      <c r="AA214" s="686"/>
      <c r="AB214" s="686"/>
      <c r="AC214" s="686"/>
      <c r="AD214" s="686"/>
      <c r="AE214" s="686"/>
      <c r="AF214" s="686"/>
      <c r="AG214" s="825"/>
      <c r="AH214" s="686"/>
      <c r="AI214" s="686"/>
      <c r="AJ214" s="686"/>
      <c r="AK214" s="686"/>
      <c r="AL214" s="686"/>
      <c r="AM214" s="686"/>
      <c r="AN214" s="686"/>
      <c r="AO214" s="825"/>
      <c r="AP214" s="686"/>
      <c r="AQ214" s="686"/>
      <c r="AR214" s="686"/>
      <c r="AS214" s="686"/>
      <c r="AT214" s="686"/>
      <c r="AU214" s="686"/>
      <c r="AV214" s="686"/>
      <c r="AW214" s="686"/>
      <c r="AX214" s="686"/>
      <c r="AY214" s="686"/>
      <c r="AZ214" s="686"/>
      <c r="BA214" s="686"/>
      <c r="BB214" s="686"/>
      <c r="BC214" s="686"/>
      <c r="BD214" s="686"/>
      <c r="BE214" s="686"/>
      <c r="BF214" s="686"/>
      <c r="BG214" s="686"/>
      <c r="BH214" s="686"/>
    </row>
    <row r="215" spans="1:60" s="44" customFormat="1">
      <c r="A215" s="690"/>
      <c r="B215" s="690"/>
      <c r="C215" s="686"/>
      <c r="D215" s="686"/>
      <c r="E215" s="686"/>
      <c r="F215" s="686"/>
      <c r="G215" s="686"/>
      <c r="H215" s="686"/>
      <c r="I215" s="825"/>
      <c r="J215" s="686"/>
      <c r="K215" s="686"/>
      <c r="L215" s="686"/>
      <c r="M215" s="686"/>
      <c r="N215" s="686"/>
      <c r="O215" s="686"/>
      <c r="P215" s="686"/>
      <c r="Q215" s="825"/>
      <c r="R215" s="686"/>
      <c r="S215" s="686"/>
      <c r="T215" s="686"/>
      <c r="U215" s="686"/>
      <c r="V215" s="686"/>
      <c r="W215" s="686"/>
      <c r="X215" s="686"/>
      <c r="Y215" s="825"/>
      <c r="Z215" s="686"/>
      <c r="AA215" s="686"/>
      <c r="AB215" s="686"/>
      <c r="AC215" s="686"/>
      <c r="AD215" s="686"/>
      <c r="AE215" s="686"/>
      <c r="AF215" s="686"/>
      <c r="AG215" s="825"/>
      <c r="AH215" s="686"/>
      <c r="AI215" s="686"/>
      <c r="AJ215" s="686"/>
      <c r="AK215" s="686"/>
      <c r="AL215" s="686"/>
      <c r="AM215" s="686"/>
      <c r="AN215" s="686"/>
      <c r="AO215" s="825"/>
      <c r="AP215" s="686"/>
      <c r="AQ215" s="686"/>
      <c r="AR215" s="686"/>
      <c r="AS215" s="686"/>
      <c r="AT215" s="686"/>
      <c r="AU215" s="686"/>
      <c r="AV215" s="686"/>
      <c r="AW215" s="686"/>
      <c r="AX215" s="686"/>
      <c r="AY215" s="686"/>
      <c r="AZ215" s="686"/>
      <c r="BA215" s="686"/>
      <c r="BB215" s="686"/>
      <c r="BC215" s="686"/>
      <c r="BD215" s="686"/>
      <c r="BE215" s="686"/>
      <c r="BF215" s="686"/>
      <c r="BG215" s="686"/>
      <c r="BH215" s="686"/>
    </row>
    <row r="216" spans="1:60" s="44" customFormat="1">
      <c r="A216" s="690"/>
      <c r="B216" s="690"/>
      <c r="C216" s="686"/>
      <c r="D216" s="686"/>
      <c r="E216" s="686"/>
      <c r="F216" s="686"/>
      <c r="G216" s="686"/>
      <c r="H216" s="686"/>
      <c r="I216" s="825"/>
      <c r="J216" s="686"/>
      <c r="K216" s="686"/>
      <c r="L216" s="686"/>
      <c r="M216" s="686"/>
      <c r="N216" s="686"/>
      <c r="O216" s="686"/>
      <c r="P216" s="686"/>
      <c r="Q216" s="825"/>
      <c r="R216" s="686"/>
      <c r="S216" s="686"/>
      <c r="T216" s="686"/>
      <c r="U216" s="686"/>
      <c r="V216" s="686"/>
      <c r="W216" s="686"/>
      <c r="X216" s="686"/>
      <c r="Y216" s="825"/>
      <c r="Z216" s="686"/>
      <c r="AA216" s="686"/>
      <c r="AB216" s="686"/>
      <c r="AC216" s="686"/>
      <c r="AD216" s="686"/>
      <c r="AE216" s="686"/>
      <c r="AF216" s="686"/>
      <c r="AG216" s="825"/>
      <c r="AH216" s="686"/>
      <c r="AI216" s="686"/>
      <c r="AJ216" s="686"/>
      <c r="AK216" s="686"/>
      <c r="AL216" s="686"/>
      <c r="AM216" s="686"/>
      <c r="AN216" s="686"/>
      <c r="AO216" s="825"/>
      <c r="AP216" s="686"/>
      <c r="AQ216" s="686"/>
      <c r="AR216" s="686"/>
      <c r="AS216" s="686"/>
      <c r="AT216" s="686"/>
      <c r="AU216" s="686"/>
      <c r="AV216" s="686"/>
      <c r="AW216" s="686"/>
      <c r="AX216" s="686"/>
      <c r="AY216" s="686"/>
      <c r="AZ216" s="686"/>
      <c r="BA216" s="686"/>
      <c r="BB216" s="686"/>
      <c r="BC216" s="686"/>
      <c r="BD216" s="686"/>
      <c r="BE216" s="686"/>
      <c r="BF216" s="686"/>
      <c r="BG216" s="686"/>
      <c r="BH216" s="686"/>
    </row>
    <row r="217" spans="1:60" s="44" customFormat="1">
      <c r="A217" s="690"/>
      <c r="B217" s="690"/>
      <c r="C217" s="686"/>
      <c r="D217" s="686"/>
      <c r="E217" s="686"/>
      <c r="F217" s="686"/>
      <c r="G217" s="686"/>
      <c r="H217" s="686"/>
      <c r="I217" s="825"/>
      <c r="J217" s="686"/>
      <c r="K217" s="686"/>
      <c r="L217" s="686"/>
      <c r="M217" s="686"/>
      <c r="N217" s="686"/>
      <c r="O217" s="686"/>
      <c r="P217" s="686"/>
      <c r="Q217" s="825"/>
      <c r="R217" s="686"/>
      <c r="S217" s="686"/>
      <c r="T217" s="686"/>
      <c r="U217" s="686"/>
      <c r="V217" s="686"/>
      <c r="W217" s="686"/>
      <c r="X217" s="686"/>
      <c r="Y217" s="825"/>
      <c r="Z217" s="686"/>
      <c r="AA217" s="686"/>
      <c r="AB217" s="686"/>
      <c r="AC217" s="686"/>
      <c r="AD217" s="686"/>
      <c r="AE217" s="686"/>
      <c r="AF217" s="686"/>
      <c r="AG217" s="825"/>
      <c r="AH217" s="686"/>
      <c r="AI217" s="686"/>
      <c r="AJ217" s="686"/>
      <c r="AK217" s="686"/>
      <c r="AL217" s="686"/>
      <c r="AM217" s="686"/>
      <c r="AN217" s="686"/>
      <c r="AO217" s="825"/>
      <c r="AP217" s="686"/>
      <c r="AQ217" s="686"/>
      <c r="AR217" s="686"/>
      <c r="AS217" s="686"/>
      <c r="AT217" s="686"/>
      <c r="AU217" s="686"/>
      <c r="AV217" s="686"/>
      <c r="AW217" s="686"/>
      <c r="AX217" s="686"/>
      <c r="AY217" s="686"/>
      <c r="AZ217" s="686"/>
      <c r="BA217" s="686"/>
      <c r="BB217" s="686"/>
      <c r="BC217" s="686"/>
      <c r="BD217" s="686"/>
      <c r="BE217" s="686"/>
      <c r="BF217" s="686"/>
      <c r="BG217" s="686"/>
      <c r="BH217" s="686"/>
    </row>
    <row r="218" spans="1:60" s="44" customFormat="1">
      <c r="A218" s="690"/>
      <c r="B218" s="690"/>
      <c r="C218" s="686"/>
      <c r="D218" s="686"/>
      <c r="E218" s="686"/>
      <c r="F218" s="686"/>
      <c r="G218" s="686"/>
      <c r="H218" s="686"/>
      <c r="I218" s="825"/>
      <c r="J218" s="686"/>
      <c r="K218" s="686"/>
      <c r="L218" s="686"/>
      <c r="M218" s="686"/>
      <c r="N218" s="686"/>
      <c r="O218" s="686"/>
      <c r="P218" s="686"/>
      <c r="Q218" s="825"/>
      <c r="R218" s="686"/>
      <c r="S218" s="686"/>
      <c r="T218" s="686"/>
      <c r="U218" s="686"/>
      <c r="V218" s="686"/>
      <c r="W218" s="686"/>
      <c r="X218" s="686"/>
      <c r="Y218" s="825"/>
      <c r="Z218" s="686"/>
      <c r="AA218" s="686"/>
      <c r="AB218" s="686"/>
      <c r="AC218" s="686"/>
      <c r="AD218" s="686"/>
      <c r="AE218" s="686"/>
      <c r="AF218" s="686"/>
      <c r="AG218" s="825"/>
      <c r="AH218" s="686"/>
      <c r="AI218" s="686"/>
      <c r="AJ218" s="686"/>
      <c r="AK218" s="686"/>
      <c r="AL218" s="686"/>
      <c r="AM218" s="686"/>
      <c r="AN218" s="686"/>
      <c r="AO218" s="825"/>
      <c r="AP218" s="686"/>
      <c r="AQ218" s="686"/>
      <c r="AR218" s="686"/>
      <c r="AS218" s="686"/>
      <c r="AT218" s="686"/>
      <c r="AU218" s="686"/>
      <c r="AV218" s="686"/>
      <c r="AW218" s="686"/>
      <c r="AX218" s="686"/>
      <c r="AY218" s="686"/>
      <c r="AZ218" s="686"/>
      <c r="BA218" s="686"/>
      <c r="BB218" s="686"/>
      <c r="BC218" s="686"/>
      <c r="BD218" s="686"/>
      <c r="BE218" s="686"/>
      <c r="BF218" s="686"/>
      <c r="BG218" s="686"/>
      <c r="BH218" s="686"/>
    </row>
    <row r="219" spans="1:60" s="44" customFormat="1">
      <c r="A219" s="690"/>
      <c r="B219" s="690"/>
      <c r="C219" s="686"/>
      <c r="D219" s="686"/>
      <c r="E219" s="686"/>
      <c r="F219" s="686"/>
      <c r="G219" s="686"/>
      <c r="H219" s="686"/>
      <c r="I219" s="825"/>
      <c r="J219" s="686"/>
      <c r="K219" s="686"/>
      <c r="L219" s="686"/>
      <c r="M219" s="686"/>
      <c r="N219" s="686"/>
      <c r="O219" s="686"/>
      <c r="P219" s="686"/>
      <c r="Q219" s="825"/>
      <c r="R219" s="686"/>
      <c r="S219" s="686"/>
      <c r="T219" s="686"/>
      <c r="U219" s="686"/>
      <c r="V219" s="686"/>
      <c r="W219" s="686"/>
      <c r="X219" s="686"/>
      <c r="Y219" s="825"/>
      <c r="Z219" s="686"/>
      <c r="AA219" s="686"/>
      <c r="AB219" s="686"/>
      <c r="AC219" s="686"/>
      <c r="AD219" s="686"/>
      <c r="AE219" s="686"/>
      <c r="AF219" s="686"/>
      <c r="AG219" s="825"/>
      <c r="AH219" s="686"/>
      <c r="AI219" s="686"/>
      <c r="AJ219" s="686"/>
      <c r="AK219" s="686"/>
      <c r="AL219" s="686"/>
      <c r="AM219" s="686"/>
      <c r="AN219" s="686"/>
      <c r="AO219" s="825"/>
      <c r="AP219" s="686"/>
      <c r="AQ219" s="686"/>
      <c r="AR219" s="686"/>
      <c r="AS219" s="686"/>
      <c r="AT219" s="686"/>
      <c r="AU219" s="686"/>
      <c r="AV219" s="686"/>
      <c r="AW219" s="686"/>
      <c r="AX219" s="686"/>
      <c r="AY219" s="686"/>
      <c r="AZ219" s="686"/>
      <c r="BA219" s="686"/>
      <c r="BB219" s="686"/>
      <c r="BC219" s="686"/>
      <c r="BD219" s="686"/>
      <c r="BE219" s="686"/>
      <c r="BF219" s="686"/>
      <c r="BG219" s="686"/>
      <c r="BH219" s="686"/>
    </row>
    <row r="220" spans="1:60" s="44" customFormat="1">
      <c r="A220" s="690"/>
      <c r="B220" s="690"/>
      <c r="C220" s="686"/>
      <c r="D220" s="686"/>
      <c r="E220" s="686"/>
      <c r="F220" s="686"/>
      <c r="G220" s="686"/>
      <c r="H220" s="686"/>
      <c r="I220" s="825"/>
      <c r="J220" s="686"/>
      <c r="K220" s="686"/>
      <c r="L220" s="686"/>
      <c r="M220" s="686"/>
      <c r="N220" s="686"/>
      <c r="O220" s="686"/>
      <c r="P220" s="686"/>
      <c r="Q220" s="825"/>
      <c r="R220" s="686"/>
      <c r="S220" s="686"/>
      <c r="T220" s="686"/>
      <c r="U220" s="686"/>
      <c r="V220" s="686"/>
      <c r="W220" s="686"/>
      <c r="X220" s="686"/>
      <c r="Y220" s="825"/>
      <c r="Z220" s="686"/>
      <c r="AA220" s="686"/>
      <c r="AB220" s="686"/>
      <c r="AC220" s="686"/>
      <c r="AD220" s="686"/>
      <c r="AE220" s="686"/>
      <c r="AF220" s="686"/>
      <c r="AG220" s="825"/>
      <c r="AH220" s="686"/>
      <c r="AI220" s="686"/>
      <c r="AJ220" s="686"/>
      <c r="AK220" s="686"/>
      <c r="AL220" s="686"/>
      <c r="AM220" s="686"/>
      <c r="AN220" s="686"/>
      <c r="AO220" s="825"/>
      <c r="AP220" s="686"/>
      <c r="AQ220" s="686"/>
      <c r="AR220" s="686"/>
      <c r="AS220" s="686"/>
      <c r="AT220" s="686"/>
      <c r="AU220" s="686"/>
      <c r="AV220" s="686"/>
      <c r="AW220" s="686"/>
      <c r="AX220" s="686"/>
      <c r="AY220" s="686"/>
      <c r="AZ220" s="686"/>
      <c r="BA220" s="686"/>
      <c r="BB220" s="686"/>
      <c r="BC220" s="686"/>
      <c r="BD220" s="686"/>
      <c r="BE220" s="686"/>
      <c r="BF220" s="686"/>
      <c r="BG220" s="686"/>
      <c r="BH220" s="686"/>
    </row>
    <row r="221" spans="1:60" s="44" customFormat="1">
      <c r="A221" s="690"/>
      <c r="B221" s="690"/>
      <c r="C221" s="686"/>
      <c r="D221" s="686"/>
      <c r="E221" s="686"/>
      <c r="F221" s="686"/>
      <c r="G221" s="686"/>
      <c r="H221" s="686"/>
      <c r="I221" s="825"/>
      <c r="J221" s="686"/>
      <c r="K221" s="686"/>
      <c r="L221" s="686"/>
      <c r="M221" s="686"/>
      <c r="N221" s="686"/>
      <c r="O221" s="686"/>
      <c r="P221" s="686"/>
      <c r="Q221" s="825"/>
      <c r="R221" s="686"/>
      <c r="S221" s="686"/>
      <c r="T221" s="686"/>
      <c r="U221" s="686"/>
      <c r="V221" s="686"/>
      <c r="W221" s="686"/>
      <c r="X221" s="686"/>
      <c r="Y221" s="825"/>
      <c r="Z221" s="686"/>
      <c r="AA221" s="686"/>
      <c r="AB221" s="686"/>
      <c r="AC221" s="686"/>
      <c r="AD221" s="686"/>
      <c r="AE221" s="686"/>
      <c r="AF221" s="686"/>
      <c r="AG221" s="825"/>
      <c r="AH221" s="686"/>
      <c r="AI221" s="686"/>
      <c r="AJ221" s="686"/>
      <c r="AK221" s="686"/>
      <c r="AL221" s="686"/>
      <c r="AM221" s="686"/>
      <c r="AN221" s="686"/>
      <c r="AO221" s="825"/>
      <c r="AP221" s="686"/>
      <c r="AQ221" s="686"/>
      <c r="AR221" s="686"/>
      <c r="AS221" s="686"/>
      <c r="AT221" s="686"/>
      <c r="AU221" s="686"/>
      <c r="AV221" s="686"/>
      <c r="AW221" s="686"/>
      <c r="AX221" s="686"/>
      <c r="AY221" s="686"/>
      <c r="AZ221" s="686"/>
      <c r="BA221" s="686"/>
      <c r="BB221" s="686"/>
      <c r="BC221" s="686"/>
      <c r="BD221" s="686"/>
      <c r="BE221" s="686"/>
      <c r="BF221" s="686"/>
      <c r="BG221" s="686"/>
      <c r="BH221" s="686"/>
    </row>
    <row r="222" spans="1:60" s="44" customFormat="1">
      <c r="A222" s="690"/>
      <c r="B222" s="690"/>
      <c r="C222" s="686"/>
      <c r="D222" s="686"/>
      <c r="E222" s="686"/>
      <c r="F222" s="686"/>
      <c r="G222" s="686"/>
      <c r="H222" s="686"/>
      <c r="I222" s="825"/>
      <c r="J222" s="686"/>
      <c r="K222" s="686"/>
      <c r="L222" s="686"/>
      <c r="M222" s="686"/>
      <c r="N222" s="686"/>
      <c r="O222" s="686"/>
      <c r="P222" s="686"/>
      <c r="Q222" s="825"/>
      <c r="R222" s="686"/>
      <c r="S222" s="686"/>
      <c r="T222" s="686"/>
      <c r="U222" s="686"/>
      <c r="V222" s="686"/>
      <c r="W222" s="686"/>
      <c r="X222" s="686"/>
      <c r="Y222" s="825"/>
      <c r="Z222" s="686"/>
      <c r="AA222" s="686"/>
      <c r="AB222" s="686"/>
      <c r="AC222" s="686"/>
      <c r="AD222" s="686"/>
      <c r="AE222" s="686"/>
      <c r="AF222" s="686"/>
      <c r="AG222" s="825"/>
      <c r="AH222" s="686"/>
      <c r="AI222" s="686"/>
      <c r="AJ222" s="686"/>
      <c r="AK222" s="686"/>
      <c r="AL222" s="686"/>
      <c r="AM222" s="686"/>
      <c r="AN222" s="686"/>
      <c r="AO222" s="825"/>
      <c r="AP222" s="686"/>
      <c r="AQ222" s="686"/>
      <c r="AR222" s="686"/>
      <c r="AS222" s="686"/>
      <c r="AT222" s="686"/>
      <c r="AU222" s="686"/>
      <c r="AV222" s="686"/>
      <c r="AW222" s="686"/>
      <c r="AX222" s="686"/>
      <c r="AY222" s="686"/>
      <c r="AZ222" s="686"/>
      <c r="BA222" s="686"/>
      <c r="BB222" s="686"/>
      <c r="BC222" s="686"/>
      <c r="BD222" s="686"/>
      <c r="BE222" s="686"/>
      <c r="BF222" s="686"/>
      <c r="BG222" s="686"/>
      <c r="BH222" s="686"/>
    </row>
    <row r="223" spans="1:60" s="44" customFormat="1">
      <c r="A223" s="690"/>
      <c r="B223" s="690"/>
      <c r="C223" s="686"/>
      <c r="D223" s="686"/>
      <c r="E223" s="686"/>
      <c r="F223" s="686"/>
      <c r="G223" s="686"/>
      <c r="H223" s="686"/>
      <c r="I223" s="825"/>
      <c r="J223" s="686"/>
      <c r="K223" s="686"/>
      <c r="L223" s="686"/>
      <c r="M223" s="686"/>
      <c r="N223" s="686"/>
      <c r="O223" s="686"/>
      <c r="P223" s="686"/>
      <c r="Q223" s="825"/>
      <c r="R223" s="686"/>
      <c r="S223" s="686"/>
      <c r="T223" s="686"/>
      <c r="U223" s="686"/>
      <c r="V223" s="686"/>
      <c r="W223" s="686"/>
      <c r="X223" s="686"/>
      <c r="Y223" s="825"/>
      <c r="Z223" s="686"/>
      <c r="AA223" s="686"/>
      <c r="AB223" s="686"/>
      <c r="AC223" s="686"/>
      <c r="AD223" s="686"/>
      <c r="AE223" s="686"/>
      <c r="AF223" s="686"/>
      <c r="AG223" s="825"/>
      <c r="AH223" s="686"/>
      <c r="AI223" s="686"/>
      <c r="AJ223" s="686"/>
      <c r="AK223" s="686"/>
      <c r="AL223" s="686"/>
      <c r="AM223" s="686"/>
      <c r="AN223" s="686"/>
      <c r="AO223" s="825"/>
      <c r="AP223" s="686"/>
      <c r="AQ223" s="686"/>
      <c r="AR223" s="686"/>
      <c r="AS223" s="686"/>
      <c r="AT223" s="686"/>
      <c r="AU223" s="686"/>
      <c r="AV223" s="686"/>
      <c r="AW223" s="686"/>
      <c r="AX223" s="686"/>
      <c r="AY223" s="686"/>
      <c r="AZ223" s="686"/>
      <c r="BA223" s="686"/>
      <c r="BB223" s="686"/>
      <c r="BC223" s="686"/>
      <c r="BD223" s="686"/>
      <c r="BE223" s="686"/>
      <c r="BF223" s="686"/>
      <c r="BG223" s="686"/>
      <c r="BH223" s="686"/>
    </row>
    <row r="224" spans="1:60" s="44" customFormat="1">
      <c r="A224" s="690"/>
      <c r="B224" s="690"/>
      <c r="C224" s="686"/>
      <c r="D224" s="686"/>
      <c r="E224" s="686"/>
      <c r="F224" s="686"/>
      <c r="G224" s="686"/>
      <c r="H224" s="686"/>
      <c r="I224" s="825"/>
      <c r="J224" s="686"/>
      <c r="K224" s="686"/>
      <c r="L224" s="686"/>
      <c r="M224" s="686"/>
      <c r="N224" s="686"/>
      <c r="O224" s="686"/>
      <c r="P224" s="686"/>
      <c r="Q224" s="825"/>
      <c r="R224" s="686"/>
      <c r="S224" s="686"/>
      <c r="T224" s="686"/>
      <c r="U224" s="686"/>
      <c r="V224" s="686"/>
      <c r="W224" s="686"/>
      <c r="X224" s="686"/>
      <c r="Y224" s="825"/>
      <c r="Z224" s="686"/>
      <c r="AA224" s="686"/>
      <c r="AB224" s="686"/>
      <c r="AC224" s="686"/>
      <c r="AD224" s="686"/>
      <c r="AE224" s="686"/>
      <c r="AF224" s="686"/>
      <c r="AG224" s="825"/>
      <c r="AH224" s="686"/>
      <c r="AI224" s="686"/>
      <c r="AJ224" s="686"/>
      <c r="AK224" s="686"/>
      <c r="AL224" s="686"/>
      <c r="AM224" s="686"/>
      <c r="AN224" s="686"/>
      <c r="AO224" s="825"/>
      <c r="AP224" s="686"/>
      <c r="AQ224" s="686"/>
      <c r="AR224" s="686"/>
      <c r="AS224" s="686"/>
      <c r="AT224" s="686"/>
      <c r="AU224" s="686"/>
      <c r="AV224" s="686"/>
      <c r="AW224" s="686"/>
      <c r="AX224" s="686"/>
      <c r="AY224" s="686"/>
      <c r="AZ224" s="686"/>
      <c r="BA224" s="686"/>
      <c r="BB224" s="686"/>
      <c r="BC224" s="686"/>
      <c r="BD224" s="686"/>
      <c r="BE224" s="686"/>
      <c r="BF224" s="686"/>
      <c r="BG224" s="686"/>
      <c r="BH224" s="686"/>
    </row>
    <row r="225" spans="1:60" s="44" customFormat="1">
      <c r="A225" s="690"/>
      <c r="B225" s="690"/>
      <c r="C225" s="686"/>
      <c r="D225" s="686"/>
      <c r="E225" s="686"/>
      <c r="F225" s="686"/>
      <c r="G225" s="686"/>
      <c r="H225" s="686"/>
      <c r="I225" s="825"/>
      <c r="J225" s="686"/>
      <c r="K225" s="686"/>
      <c r="L225" s="686"/>
      <c r="M225" s="686"/>
      <c r="N225" s="686"/>
      <c r="O225" s="686"/>
      <c r="P225" s="686"/>
      <c r="Q225" s="825"/>
      <c r="R225" s="686"/>
      <c r="S225" s="686"/>
      <c r="T225" s="686"/>
      <c r="U225" s="686"/>
      <c r="V225" s="686"/>
      <c r="W225" s="686"/>
      <c r="X225" s="686"/>
      <c r="Y225" s="825"/>
      <c r="Z225" s="686"/>
      <c r="AA225" s="686"/>
      <c r="AB225" s="686"/>
      <c r="AC225" s="686"/>
      <c r="AD225" s="686"/>
      <c r="AE225" s="686"/>
      <c r="AF225" s="686"/>
      <c r="AG225" s="825"/>
      <c r="AH225" s="686"/>
      <c r="AI225" s="686"/>
      <c r="AJ225" s="686"/>
      <c r="AK225" s="686"/>
      <c r="AL225" s="686"/>
      <c r="AM225" s="686"/>
      <c r="AN225" s="686"/>
      <c r="AO225" s="825"/>
      <c r="AP225" s="686"/>
      <c r="AQ225" s="686"/>
      <c r="AR225" s="686"/>
      <c r="AS225" s="686"/>
      <c r="AT225" s="686"/>
      <c r="AU225" s="686"/>
      <c r="AV225" s="686"/>
      <c r="AW225" s="686"/>
      <c r="AX225" s="686"/>
      <c r="AY225" s="686"/>
      <c r="AZ225" s="686"/>
      <c r="BA225" s="686"/>
      <c r="BB225" s="686"/>
      <c r="BC225" s="686"/>
      <c r="BD225" s="686"/>
      <c r="BE225" s="686"/>
      <c r="BF225" s="686"/>
      <c r="BG225" s="686"/>
      <c r="BH225" s="686"/>
    </row>
    <row r="226" spans="1:60" s="44" customFormat="1">
      <c r="A226" s="690"/>
      <c r="B226" s="690"/>
      <c r="C226" s="686"/>
      <c r="D226" s="686"/>
      <c r="E226" s="686"/>
      <c r="F226" s="686"/>
      <c r="G226" s="686"/>
      <c r="H226" s="686"/>
      <c r="I226" s="825"/>
      <c r="J226" s="686"/>
      <c r="K226" s="686"/>
      <c r="L226" s="686"/>
      <c r="M226" s="686"/>
      <c r="N226" s="686"/>
      <c r="O226" s="686"/>
      <c r="P226" s="686"/>
      <c r="Q226" s="825"/>
      <c r="R226" s="686"/>
      <c r="S226" s="686"/>
      <c r="T226" s="686"/>
      <c r="U226" s="686"/>
      <c r="V226" s="686"/>
      <c r="W226" s="686"/>
      <c r="X226" s="686"/>
      <c r="Y226" s="825"/>
      <c r="Z226" s="686"/>
      <c r="AA226" s="686"/>
      <c r="AB226" s="686"/>
      <c r="AC226" s="686"/>
      <c r="AD226" s="686"/>
      <c r="AE226" s="686"/>
      <c r="AF226" s="686"/>
      <c r="AG226" s="825"/>
      <c r="AH226" s="686"/>
      <c r="AI226" s="686"/>
      <c r="AJ226" s="686"/>
      <c r="AK226" s="686"/>
      <c r="AL226" s="686"/>
      <c r="AM226" s="686"/>
      <c r="AN226" s="686"/>
      <c r="AO226" s="825"/>
      <c r="AP226" s="686"/>
      <c r="AQ226" s="686"/>
      <c r="AR226" s="686"/>
      <c r="AS226" s="686"/>
      <c r="AT226" s="686"/>
      <c r="AU226" s="686"/>
      <c r="AV226" s="686"/>
      <c r="AW226" s="686"/>
      <c r="AX226" s="686"/>
      <c r="AY226" s="686"/>
      <c r="AZ226" s="686"/>
      <c r="BA226" s="686"/>
      <c r="BB226" s="686"/>
      <c r="BC226" s="686"/>
      <c r="BD226" s="686"/>
      <c r="BE226" s="686"/>
      <c r="BF226" s="686"/>
      <c r="BG226" s="686"/>
      <c r="BH226" s="686"/>
    </row>
    <row r="227" spans="1:60" s="44" customFormat="1">
      <c r="A227" s="690"/>
      <c r="B227" s="690"/>
      <c r="C227" s="686"/>
      <c r="D227" s="686"/>
      <c r="E227" s="686"/>
      <c r="F227" s="686"/>
      <c r="G227" s="686"/>
      <c r="H227" s="686"/>
      <c r="I227" s="825"/>
      <c r="J227" s="686"/>
      <c r="K227" s="686"/>
      <c r="L227" s="686"/>
      <c r="M227" s="686"/>
      <c r="N227" s="686"/>
      <c r="O227" s="686"/>
      <c r="P227" s="686"/>
      <c r="Q227" s="825"/>
      <c r="R227" s="686"/>
      <c r="S227" s="686"/>
      <c r="T227" s="686"/>
      <c r="U227" s="686"/>
      <c r="V227" s="686"/>
      <c r="W227" s="686"/>
      <c r="X227" s="686"/>
      <c r="Y227" s="825"/>
      <c r="Z227" s="686"/>
      <c r="AA227" s="686"/>
      <c r="AB227" s="686"/>
      <c r="AC227" s="686"/>
      <c r="AD227" s="686"/>
      <c r="AE227" s="686"/>
      <c r="AF227" s="686"/>
      <c r="AG227" s="825"/>
      <c r="AH227" s="686"/>
      <c r="AI227" s="686"/>
      <c r="AJ227" s="686"/>
      <c r="AK227" s="686"/>
      <c r="AL227" s="686"/>
      <c r="AM227" s="686"/>
      <c r="AN227" s="686"/>
      <c r="AO227" s="825"/>
      <c r="AP227" s="686"/>
      <c r="AQ227" s="686"/>
      <c r="AR227" s="686"/>
      <c r="AS227" s="686"/>
      <c r="AT227" s="686"/>
      <c r="AU227" s="686"/>
      <c r="AV227" s="686"/>
      <c r="AW227" s="686"/>
      <c r="AX227" s="686"/>
      <c r="AY227" s="686"/>
      <c r="AZ227" s="686"/>
      <c r="BA227" s="686"/>
      <c r="BB227" s="686"/>
      <c r="BC227" s="686"/>
      <c r="BD227" s="686"/>
      <c r="BE227" s="686"/>
      <c r="BF227" s="686"/>
      <c r="BG227" s="686"/>
      <c r="BH227" s="686"/>
    </row>
    <row r="228" spans="1:60" s="44" customFormat="1">
      <c r="A228" s="690"/>
      <c r="B228" s="690"/>
      <c r="C228" s="686"/>
      <c r="D228" s="686"/>
      <c r="E228" s="686"/>
      <c r="F228" s="686"/>
      <c r="G228" s="686"/>
      <c r="H228" s="686"/>
      <c r="I228" s="825"/>
      <c r="J228" s="686"/>
      <c r="K228" s="686"/>
      <c r="L228" s="686"/>
      <c r="M228" s="686"/>
      <c r="N228" s="686"/>
      <c r="O228" s="686"/>
      <c r="P228" s="686"/>
      <c r="Q228" s="825"/>
      <c r="R228" s="686"/>
      <c r="S228" s="686"/>
      <c r="T228" s="686"/>
      <c r="U228" s="686"/>
      <c r="V228" s="686"/>
      <c r="W228" s="686"/>
      <c r="X228" s="686"/>
      <c r="Y228" s="825"/>
      <c r="Z228" s="686"/>
      <c r="AA228" s="686"/>
      <c r="AB228" s="686"/>
      <c r="AC228" s="686"/>
      <c r="AD228" s="686"/>
      <c r="AE228" s="686"/>
      <c r="AF228" s="686"/>
      <c r="AG228" s="825"/>
      <c r="AH228" s="686"/>
      <c r="AI228" s="686"/>
      <c r="AJ228" s="686"/>
      <c r="AK228" s="686"/>
      <c r="AL228" s="686"/>
      <c r="AM228" s="686"/>
      <c r="AN228" s="686"/>
      <c r="AO228" s="825"/>
      <c r="AP228" s="686"/>
      <c r="AQ228" s="686"/>
      <c r="AR228" s="686"/>
      <c r="AS228" s="686"/>
      <c r="AT228" s="686"/>
      <c r="AU228" s="686"/>
      <c r="AV228" s="686"/>
      <c r="AW228" s="686"/>
      <c r="AX228" s="686"/>
      <c r="AY228" s="686"/>
      <c r="AZ228" s="686"/>
      <c r="BA228" s="686"/>
      <c r="BB228" s="686"/>
      <c r="BC228" s="686"/>
      <c r="BD228" s="686"/>
      <c r="BE228" s="686"/>
      <c r="BF228" s="686"/>
      <c r="BG228" s="686"/>
      <c r="BH228" s="686"/>
    </row>
    <row r="229" spans="1:60" s="44" customFormat="1">
      <c r="A229" s="690"/>
      <c r="B229" s="690"/>
      <c r="C229" s="686"/>
      <c r="D229" s="686"/>
      <c r="E229" s="686"/>
      <c r="F229" s="686"/>
      <c r="G229" s="686"/>
      <c r="H229" s="686"/>
      <c r="I229" s="825"/>
      <c r="J229" s="686"/>
      <c r="K229" s="686"/>
      <c r="L229" s="686"/>
      <c r="M229" s="686"/>
      <c r="N229" s="686"/>
      <c r="O229" s="686"/>
      <c r="P229" s="686"/>
      <c r="Q229" s="825"/>
      <c r="R229" s="686"/>
      <c r="S229" s="686"/>
      <c r="T229" s="686"/>
      <c r="U229" s="686"/>
      <c r="V229" s="686"/>
      <c r="W229" s="686"/>
      <c r="X229" s="686"/>
      <c r="Y229" s="825"/>
      <c r="Z229" s="686"/>
      <c r="AA229" s="686"/>
      <c r="AB229" s="686"/>
      <c r="AC229" s="686"/>
      <c r="AD229" s="686"/>
      <c r="AE229" s="686"/>
      <c r="AF229" s="686"/>
      <c r="AG229" s="825"/>
      <c r="AH229" s="686"/>
      <c r="AI229" s="686"/>
      <c r="AJ229" s="686"/>
      <c r="AK229" s="686"/>
      <c r="AL229" s="686"/>
      <c r="AM229" s="686"/>
      <c r="AN229" s="686"/>
      <c r="AO229" s="825"/>
      <c r="AP229" s="686"/>
      <c r="AQ229" s="686"/>
      <c r="AR229" s="686"/>
      <c r="AS229" s="686"/>
      <c r="AT229" s="686"/>
      <c r="AU229" s="686"/>
      <c r="AV229" s="686"/>
      <c r="AW229" s="686"/>
      <c r="AX229" s="686"/>
      <c r="AY229" s="686"/>
      <c r="AZ229" s="686"/>
      <c r="BA229" s="686"/>
      <c r="BB229" s="686"/>
      <c r="BC229" s="686"/>
      <c r="BD229" s="686"/>
      <c r="BE229" s="686"/>
      <c r="BF229" s="686"/>
      <c r="BG229" s="686"/>
      <c r="BH229" s="686"/>
    </row>
    <row r="230" spans="1:60" s="44" customFormat="1">
      <c r="A230" s="690"/>
      <c r="B230" s="690"/>
      <c r="C230" s="686"/>
      <c r="D230" s="686"/>
      <c r="E230" s="686"/>
      <c r="F230" s="686"/>
      <c r="G230" s="686"/>
      <c r="H230" s="686"/>
      <c r="I230" s="825"/>
      <c r="J230" s="686"/>
      <c r="K230" s="686"/>
      <c r="L230" s="686"/>
      <c r="M230" s="686"/>
      <c r="N230" s="686"/>
      <c r="O230" s="686"/>
      <c r="P230" s="686"/>
      <c r="Q230" s="825"/>
      <c r="R230" s="686"/>
      <c r="S230" s="686"/>
      <c r="T230" s="686"/>
      <c r="U230" s="686"/>
      <c r="V230" s="686"/>
      <c r="W230" s="686"/>
      <c r="X230" s="686"/>
      <c r="Y230" s="825"/>
      <c r="Z230" s="686"/>
      <c r="AA230" s="686"/>
      <c r="AB230" s="686"/>
      <c r="AC230" s="686"/>
      <c r="AD230" s="686"/>
      <c r="AE230" s="686"/>
      <c r="AF230" s="686"/>
      <c r="AG230" s="825"/>
      <c r="AH230" s="686"/>
      <c r="AI230" s="686"/>
      <c r="AJ230" s="686"/>
      <c r="AK230" s="686"/>
      <c r="AL230" s="686"/>
      <c r="AM230" s="686"/>
      <c r="AN230" s="686"/>
      <c r="AO230" s="825"/>
      <c r="AP230" s="686"/>
      <c r="AQ230" s="686"/>
      <c r="AR230" s="686"/>
      <c r="AS230" s="686"/>
      <c r="AT230" s="686"/>
      <c r="AU230" s="686"/>
      <c r="AV230" s="686"/>
      <c r="AW230" s="686"/>
      <c r="AX230" s="686"/>
      <c r="AY230" s="686"/>
      <c r="AZ230" s="686"/>
      <c r="BA230" s="686"/>
      <c r="BB230" s="686"/>
      <c r="BC230" s="686"/>
      <c r="BD230" s="686"/>
      <c r="BE230" s="686"/>
      <c r="BF230" s="686"/>
      <c r="BG230" s="686"/>
      <c r="BH230" s="686"/>
    </row>
    <row r="231" spans="1:60" s="44" customFormat="1">
      <c r="A231" s="690"/>
      <c r="B231" s="690"/>
      <c r="C231" s="686"/>
      <c r="D231" s="686"/>
      <c r="E231" s="686"/>
      <c r="F231" s="686"/>
      <c r="G231" s="686"/>
      <c r="H231" s="686"/>
      <c r="I231" s="825"/>
      <c r="J231" s="686"/>
      <c r="K231" s="686"/>
      <c r="L231" s="686"/>
      <c r="M231" s="686"/>
      <c r="N231" s="686"/>
      <c r="O231" s="686"/>
      <c r="P231" s="686"/>
      <c r="Q231" s="825"/>
      <c r="R231" s="686"/>
      <c r="S231" s="686"/>
      <c r="T231" s="686"/>
      <c r="U231" s="686"/>
      <c r="V231" s="686"/>
      <c r="W231" s="686"/>
      <c r="X231" s="686"/>
      <c r="Y231" s="825"/>
      <c r="Z231" s="686"/>
      <c r="AA231" s="686"/>
      <c r="AB231" s="686"/>
      <c r="AC231" s="686"/>
      <c r="AD231" s="686"/>
      <c r="AE231" s="686"/>
      <c r="AF231" s="686"/>
      <c r="AG231" s="825"/>
      <c r="AH231" s="686"/>
      <c r="AI231" s="686"/>
      <c r="AJ231" s="686"/>
      <c r="AK231" s="686"/>
      <c r="AL231" s="686"/>
      <c r="AM231" s="686"/>
      <c r="AN231" s="686"/>
      <c r="AO231" s="825"/>
      <c r="AP231" s="686"/>
      <c r="AQ231" s="686"/>
      <c r="AR231" s="686"/>
      <c r="AS231" s="686"/>
      <c r="AT231" s="686"/>
      <c r="AU231" s="686"/>
      <c r="AV231" s="686"/>
      <c r="AW231" s="686"/>
      <c r="AX231" s="686"/>
      <c r="AY231" s="686"/>
      <c r="AZ231" s="686"/>
      <c r="BA231" s="686"/>
      <c r="BB231" s="686"/>
      <c r="BC231" s="686"/>
      <c r="BD231" s="686"/>
      <c r="BE231" s="686"/>
      <c r="BF231" s="686"/>
      <c r="BG231" s="686"/>
      <c r="BH231" s="686"/>
    </row>
    <row r="232" spans="1:60" s="44" customFormat="1">
      <c r="A232" s="690"/>
      <c r="B232" s="690"/>
      <c r="C232" s="686"/>
      <c r="D232" s="686"/>
      <c r="E232" s="686"/>
      <c r="F232" s="686"/>
      <c r="G232" s="686"/>
      <c r="H232" s="686"/>
      <c r="I232" s="825"/>
      <c r="J232" s="686"/>
      <c r="K232" s="686"/>
      <c r="L232" s="686"/>
      <c r="M232" s="686"/>
      <c r="N232" s="686"/>
      <c r="O232" s="686"/>
      <c r="P232" s="686"/>
      <c r="Q232" s="825"/>
      <c r="R232" s="686"/>
      <c r="S232" s="686"/>
      <c r="T232" s="686"/>
      <c r="U232" s="686"/>
      <c r="V232" s="686"/>
      <c r="W232" s="686"/>
      <c r="X232" s="686"/>
      <c r="Y232" s="825"/>
      <c r="Z232" s="686"/>
      <c r="AA232" s="686"/>
      <c r="AB232" s="686"/>
      <c r="AC232" s="686"/>
      <c r="AD232" s="686"/>
      <c r="AE232" s="686"/>
      <c r="AF232" s="686"/>
      <c r="AG232" s="825"/>
      <c r="AH232" s="686"/>
      <c r="AI232" s="686"/>
      <c r="AJ232" s="686"/>
      <c r="AK232" s="686"/>
      <c r="AL232" s="686"/>
      <c r="AM232" s="686"/>
      <c r="AN232" s="686"/>
      <c r="AO232" s="825"/>
      <c r="AP232" s="686"/>
      <c r="AQ232" s="686"/>
      <c r="AR232" s="686"/>
      <c r="AS232" s="686"/>
      <c r="AT232" s="686"/>
      <c r="AU232" s="686"/>
      <c r="AV232" s="686"/>
      <c r="AW232" s="686"/>
      <c r="AX232" s="686"/>
      <c r="AY232" s="686"/>
      <c r="AZ232" s="686"/>
      <c r="BA232" s="686"/>
      <c r="BB232" s="686"/>
      <c r="BC232" s="686"/>
      <c r="BD232" s="686"/>
      <c r="BE232" s="686"/>
      <c r="BF232" s="686"/>
      <c r="BG232" s="686"/>
      <c r="BH232" s="686"/>
    </row>
    <row r="233" spans="1:60" s="44" customFormat="1">
      <c r="A233" s="690"/>
      <c r="B233" s="690"/>
      <c r="C233" s="686"/>
      <c r="D233" s="686"/>
      <c r="E233" s="686"/>
      <c r="F233" s="686"/>
      <c r="G233" s="686"/>
      <c r="H233" s="686"/>
      <c r="I233" s="825"/>
      <c r="J233" s="686"/>
      <c r="K233" s="686"/>
      <c r="L233" s="686"/>
      <c r="M233" s="686"/>
      <c r="N233" s="686"/>
      <c r="O233" s="686"/>
      <c r="P233" s="686"/>
      <c r="Q233" s="825"/>
      <c r="R233" s="686"/>
      <c r="S233" s="686"/>
      <c r="T233" s="686"/>
      <c r="U233" s="686"/>
      <c r="V233" s="686"/>
      <c r="W233" s="686"/>
      <c r="X233" s="686"/>
      <c r="Y233" s="825"/>
      <c r="Z233" s="686"/>
      <c r="AA233" s="686"/>
      <c r="AB233" s="686"/>
      <c r="AC233" s="686"/>
      <c r="AD233" s="686"/>
      <c r="AE233" s="686"/>
      <c r="AF233" s="686"/>
      <c r="AG233" s="825"/>
      <c r="AH233" s="686"/>
      <c r="AI233" s="686"/>
      <c r="AJ233" s="686"/>
      <c r="AK233" s="686"/>
      <c r="AL233" s="686"/>
      <c r="AM233" s="686"/>
      <c r="AN233" s="686"/>
      <c r="AO233" s="825"/>
      <c r="AP233" s="686"/>
      <c r="AQ233" s="686"/>
      <c r="AR233" s="686"/>
      <c r="AS233" s="686"/>
      <c r="AT233" s="686"/>
      <c r="AU233" s="686"/>
      <c r="AV233" s="686"/>
      <c r="AW233" s="686"/>
      <c r="AX233" s="686"/>
      <c r="AY233" s="686"/>
      <c r="AZ233" s="686"/>
      <c r="BA233" s="686"/>
      <c r="BB233" s="686"/>
      <c r="BC233" s="686"/>
      <c r="BD233" s="686"/>
      <c r="BE233" s="686"/>
      <c r="BF233" s="686"/>
      <c r="BG233" s="686"/>
      <c r="BH233" s="686"/>
    </row>
    <row r="234" spans="1:60" s="44" customFormat="1">
      <c r="A234" s="690"/>
      <c r="B234" s="690"/>
      <c r="C234" s="686"/>
      <c r="D234" s="686"/>
      <c r="E234" s="686"/>
      <c r="F234" s="686"/>
      <c r="G234" s="686"/>
      <c r="H234" s="686"/>
      <c r="I234" s="825"/>
      <c r="J234" s="686"/>
      <c r="K234" s="686"/>
      <c r="L234" s="686"/>
      <c r="M234" s="686"/>
      <c r="N234" s="686"/>
      <c r="O234" s="686"/>
      <c r="P234" s="686"/>
      <c r="Q234" s="825"/>
      <c r="R234" s="686"/>
      <c r="S234" s="686"/>
      <c r="T234" s="686"/>
      <c r="U234" s="686"/>
      <c r="V234" s="686"/>
      <c r="W234" s="686"/>
      <c r="X234" s="686"/>
      <c r="Y234" s="825"/>
      <c r="Z234" s="686"/>
      <c r="AA234" s="686"/>
      <c r="AB234" s="686"/>
      <c r="AC234" s="686"/>
      <c r="AD234" s="686"/>
      <c r="AE234" s="686"/>
      <c r="AF234" s="686"/>
      <c r="AG234" s="825"/>
      <c r="AH234" s="686"/>
      <c r="AI234" s="686"/>
      <c r="AJ234" s="686"/>
      <c r="AK234" s="686"/>
      <c r="AL234" s="686"/>
      <c r="AM234" s="686"/>
      <c r="AN234" s="686"/>
      <c r="AO234" s="825"/>
      <c r="AP234" s="686"/>
      <c r="AQ234" s="686"/>
      <c r="AR234" s="686"/>
      <c r="AS234" s="686"/>
      <c r="AT234" s="686"/>
      <c r="AU234" s="686"/>
      <c r="AV234" s="686"/>
      <c r="AW234" s="686"/>
      <c r="AX234" s="686"/>
      <c r="AY234" s="686"/>
      <c r="AZ234" s="686"/>
      <c r="BA234" s="686"/>
      <c r="BB234" s="686"/>
      <c r="BC234" s="686"/>
      <c r="BD234" s="686"/>
      <c r="BE234" s="686"/>
      <c r="BF234" s="686"/>
      <c r="BG234" s="686"/>
      <c r="BH234" s="686"/>
    </row>
    <row r="235" spans="1:60" s="44" customFormat="1">
      <c r="A235" s="690"/>
      <c r="B235" s="690"/>
      <c r="C235" s="686"/>
      <c r="D235" s="686"/>
      <c r="E235" s="686"/>
      <c r="F235" s="686"/>
      <c r="G235" s="686"/>
      <c r="H235" s="686"/>
      <c r="I235" s="825"/>
      <c r="J235" s="686"/>
      <c r="K235" s="686"/>
      <c r="L235" s="686"/>
      <c r="M235" s="686"/>
      <c r="N235" s="686"/>
      <c r="O235" s="686"/>
      <c r="P235" s="686"/>
      <c r="Q235" s="825"/>
      <c r="R235" s="686"/>
      <c r="S235" s="686"/>
      <c r="T235" s="686"/>
      <c r="U235" s="686"/>
      <c r="V235" s="686"/>
      <c r="W235" s="686"/>
      <c r="X235" s="686"/>
      <c r="Y235" s="825"/>
      <c r="Z235" s="686"/>
      <c r="AA235" s="686"/>
      <c r="AB235" s="686"/>
      <c r="AC235" s="686"/>
      <c r="AD235" s="686"/>
      <c r="AE235" s="686"/>
      <c r="AF235" s="686"/>
      <c r="AG235" s="825"/>
      <c r="AH235" s="686"/>
      <c r="AI235" s="686"/>
      <c r="AJ235" s="686"/>
      <c r="AK235" s="686"/>
      <c r="AL235" s="686"/>
      <c r="AM235" s="686"/>
      <c r="AN235" s="686"/>
      <c r="AO235" s="825"/>
      <c r="AP235" s="686"/>
      <c r="AQ235" s="686"/>
      <c r="AR235" s="686"/>
      <c r="AS235" s="686"/>
      <c r="AT235" s="686"/>
      <c r="AU235" s="686"/>
      <c r="AV235" s="686"/>
      <c r="AW235" s="686"/>
      <c r="AX235" s="686"/>
      <c r="AY235" s="686"/>
      <c r="AZ235" s="686"/>
      <c r="BA235" s="686"/>
      <c r="BB235" s="686"/>
      <c r="BC235" s="686"/>
      <c r="BD235" s="686"/>
      <c r="BE235" s="686"/>
      <c r="BF235" s="686"/>
      <c r="BG235" s="686"/>
      <c r="BH235" s="686"/>
    </row>
    <row r="236" spans="1:60" s="44" customFormat="1">
      <c r="A236" s="690"/>
      <c r="B236" s="690"/>
      <c r="C236" s="686"/>
      <c r="D236" s="686"/>
      <c r="E236" s="686"/>
      <c r="F236" s="686"/>
      <c r="G236" s="686"/>
      <c r="H236" s="686"/>
      <c r="I236" s="825"/>
      <c r="J236" s="686"/>
      <c r="K236" s="686"/>
      <c r="L236" s="686"/>
      <c r="M236" s="686"/>
      <c r="N236" s="686"/>
      <c r="O236" s="686"/>
      <c r="P236" s="686"/>
      <c r="Q236" s="825"/>
      <c r="R236" s="686"/>
      <c r="S236" s="686"/>
      <c r="T236" s="686"/>
      <c r="U236" s="686"/>
      <c r="V236" s="686"/>
      <c r="W236" s="686"/>
      <c r="X236" s="686"/>
      <c r="Y236" s="825"/>
      <c r="Z236" s="686"/>
      <c r="AA236" s="686"/>
      <c r="AB236" s="686"/>
      <c r="AC236" s="686"/>
      <c r="AD236" s="686"/>
      <c r="AE236" s="686"/>
      <c r="AF236" s="686"/>
      <c r="AG236" s="825"/>
      <c r="AH236" s="686"/>
      <c r="AI236" s="686"/>
      <c r="AJ236" s="686"/>
      <c r="AK236" s="686"/>
      <c r="AL236" s="686"/>
      <c r="AM236" s="686"/>
      <c r="AN236" s="686"/>
      <c r="AO236" s="825"/>
      <c r="AP236" s="686"/>
      <c r="AQ236" s="686"/>
      <c r="AR236" s="686"/>
      <c r="AS236" s="686"/>
      <c r="AT236" s="686"/>
      <c r="AU236" s="686"/>
      <c r="AV236" s="686"/>
      <c r="AW236" s="686"/>
      <c r="AX236" s="686"/>
      <c r="AY236" s="686"/>
      <c r="AZ236" s="686"/>
      <c r="BA236" s="686"/>
      <c r="BB236" s="686"/>
      <c r="BC236" s="686"/>
      <c r="BD236" s="686"/>
      <c r="BE236" s="686"/>
      <c r="BF236" s="686"/>
      <c r="BG236" s="686"/>
      <c r="BH236" s="686"/>
    </row>
    <row r="237" spans="1:60" s="44" customFormat="1">
      <c r="A237" s="690"/>
      <c r="B237" s="690"/>
      <c r="C237" s="686"/>
      <c r="D237" s="686"/>
      <c r="E237" s="686"/>
      <c r="F237" s="686"/>
      <c r="G237" s="686"/>
      <c r="H237" s="686"/>
      <c r="I237" s="825"/>
      <c r="J237" s="686"/>
      <c r="K237" s="686"/>
      <c r="L237" s="686"/>
      <c r="M237" s="686"/>
      <c r="N237" s="686"/>
      <c r="O237" s="686"/>
      <c r="P237" s="686"/>
      <c r="Q237" s="825"/>
      <c r="R237" s="686"/>
      <c r="S237" s="686"/>
      <c r="T237" s="686"/>
      <c r="U237" s="686"/>
      <c r="V237" s="686"/>
      <c r="W237" s="686"/>
      <c r="X237" s="686"/>
      <c r="Y237" s="825"/>
      <c r="Z237" s="686"/>
      <c r="AA237" s="686"/>
      <c r="AB237" s="686"/>
      <c r="AC237" s="686"/>
      <c r="AD237" s="686"/>
      <c r="AE237" s="686"/>
      <c r="AF237" s="686"/>
      <c r="AG237" s="825"/>
      <c r="AH237" s="686"/>
      <c r="AI237" s="686"/>
      <c r="AJ237" s="686"/>
      <c r="AK237" s="686"/>
      <c r="AL237" s="686"/>
      <c r="AM237" s="686"/>
      <c r="AN237" s="686"/>
      <c r="AO237" s="825"/>
      <c r="AP237" s="686"/>
      <c r="AQ237" s="686"/>
      <c r="AR237" s="686"/>
      <c r="AS237" s="686"/>
      <c r="AT237" s="686"/>
      <c r="AU237" s="686"/>
      <c r="AV237" s="686"/>
      <c r="AW237" s="686"/>
      <c r="AX237" s="686"/>
      <c r="AY237" s="686"/>
      <c r="AZ237" s="686"/>
      <c r="BA237" s="686"/>
      <c r="BB237" s="686"/>
      <c r="BC237" s="686"/>
      <c r="BD237" s="686"/>
      <c r="BE237" s="686"/>
      <c r="BF237" s="686"/>
      <c r="BG237" s="686"/>
      <c r="BH237" s="686"/>
    </row>
    <row r="238" spans="1:60" s="44" customFormat="1">
      <c r="A238" s="690"/>
      <c r="B238" s="690"/>
      <c r="C238" s="686"/>
      <c r="D238" s="686"/>
      <c r="E238" s="686"/>
      <c r="F238" s="686"/>
      <c r="G238" s="686"/>
      <c r="H238" s="686"/>
      <c r="I238" s="825"/>
      <c r="J238" s="686"/>
      <c r="K238" s="686"/>
      <c r="L238" s="686"/>
      <c r="M238" s="686"/>
      <c r="N238" s="686"/>
      <c r="O238" s="686"/>
      <c r="P238" s="686"/>
      <c r="Q238" s="825"/>
      <c r="R238" s="686"/>
      <c r="S238" s="686"/>
      <c r="T238" s="686"/>
      <c r="U238" s="686"/>
      <c r="V238" s="686"/>
      <c r="W238" s="686"/>
      <c r="X238" s="686"/>
      <c r="Y238" s="825"/>
      <c r="Z238" s="686"/>
      <c r="AA238" s="686"/>
      <c r="AB238" s="686"/>
      <c r="AC238" s="686"/>
      <c r="AD238" s="686"/>
      <c r="AE238" s="686"/>
      <c r="AF238" s="686"/>
      <c r="AG238" s="825"/>
      <c r="AH238" s="686"/>
      <c r="AI238" s="686"/>
      <c r="AJ238" s="686"/>
      <c r="AK238" s="686"/>
      <c r="AL238" s="686"/>
      <c r="AM238" s="686"/>
      <c r="AN238" s="686"/>
      <c r="AO238" s="825"/>
      <c r="AP238" s="686"/>
      <c r="AQ238" s="686"/>
      <c r="AR238" s="686"/>
      <c r="AS238" s="686"/>
      <c r="AT238" s="686"/>
      <c r="AU238" s="686"/>
      <c r="AV238" s="686"/>
      <c r="AW238" s="686"/>
      <c r="AX238" s="686"/>
      <c r="AY238" s="686"/>
      <c r="AZ238" s="686"/>
      <c r="BA238" s="686"/>
      <c r="BB238" s="686"/>
      <c r="BC238" s="686"/>
      <c r="BD238" s="686"/>
      <c r="BE238" s="686"/>
      <c r="BF238" s="686"/>
      <c r="BG238" s="686"/>
      <c r="BH238" s="686"/>
    </row>
    <row r="239" spans="1:60" s="44" customFormat="1">
      <c r="A239" s="690"/>
      <c r="B239" s="690"/>
      <c r="C239" s="686"/>
      <c r="D239" s="686"/>
      <c r="E239" s="686"/>
      <c r="F239" s="686"/>
      <c r="G239" s="686"/>
      <c r="H239" s="686"/>
      <c r="I239" s="825"/>
      <c r="J239" s="686"/>
      <c r="K239" s="686"/>
      <c r="L239" s="686"/>
      <c r="M239" s="686"/>
      <c r="N239" s="686"/>
      <c r="O239" s="686"/>
      <c r="P239" s="686"/>
      <c r="Q239" s="825"/>
      <c r="R239" s="686"/>
      <c r="S239" s="686"/>
      <c r="T239" s="686"/>
      <c r="U239" s="686"/>
      <c r="V239" s="686"/>
      <c r="W239" s="686"/>
      <c r="X239" s="686"/>
      <c r="Y239" s="825"/>
      <c r="Z239" s="686"/>
      <c r="AA239" s="686"/>
      <c r="AB239" s="686"/>
      <c r="AC239" s="686"/>
      <c r="AD239" s="686"/>
      <c r="AE239" s="686"/>
      <c r="AF239" s="686"/>
      <c r="AG239" s="825"/>
      <c r="AH239" s="686"/>
      <c r="AI239" s="686"/>
      <c r="AJ239" s="686"/>
      <c r="AK239" s="686"/>
      <c r="AL239" s="686"/>
      <c r="AM239" s="686"/>
      <c r="AN239" s="686"/>
      <c r="AO239" s="825"/>
      <c r="AP239" s="686"/>
      <c r="AQ239" s="686"/>
      <c r="AR239" s="686"/>
      <c r="AS239" s="686"/>
      <c r="AT239" s="686"/>
      <c r="AU239" s="686"/>
      <c r="AV239" s="686"/>
      <c r="AW239" s="686"/>
      <c r="AX239" s="686"/>
      <c r="AY239" s="686"/>
      <c r="AZ239" s="686"/>
      <c r="BA239" s="686"/>
      <c r="BB239" s="686"/>
      <c r="BC239" s="686"/>
      <c r="BD239" s="686"/>
      <c r="BE239" s="686"/>
      <c r="BF239" s="686"/>
      <c r="BG239" s="686"/>
      <c r="BH239" s="686"/>
    </row>
    <row r="240" spans="1:60" s="44" customFormat="1">
      <c r="A240" s="690"/>
      <c r="B240" s="690"/>
      <c r="C240" s="686"/>
      <c r="D240" s="686"/>
      <c r="E240" s="686"/>
      <c r="F240" s="686"/>
      <c r="G240" s="686"/>
      <c r="H240" s="686"/>
      <c r="I240" s="825"/>
      <c r="J240" s="686"/>
      <c r="K240" s="686"/>
      <c r="L240" s="686"/>
      <c r="M240" s="686"/>
      <c r="N240" s="686"/>
      <c r="O240" s="686"/>
      <c r="P240" s="686"/>
      <c r="Q240" s="825"/>
      <c r="R240" s="686"/>
      <c r="S240" s="686"/>
      <c r="T240" s="686"/>
      <c r="U240" s="686"/>
      <c r="V240" s="686"/>
      <c r="W240" s="686"/>
      <c r="X240" s="686"/>
      <c r="Y240" s="825"/>
      <c r="Z240" s="686"/>
      <c r="AA240" s="686"/>
      <c r="AB240" s="686"/>
      <c r="AC240" s="686"/>
      <c r="AD240" s="686"/>
      <c r="AE240" s="686"/>
      <c r="AF240" s="686"/>
      <c r="AG240" s="825"/>
      <c r="AH240" s="686"/>
      <c r="AI240" s="686"/>
      <c r="AJ240" s="686"/>
      <c r="AK240" s="686"/>
      <c r="AL240" s="686"/>
      <c r="AM240" s="686"/>
      <c r="AN240" s="686"/>
      <c r="AO240" s="825"/>
      <c r="AP240" s="686"/>
      <c r="AQ240" s="686"/>
      <c r="AR240" s="686"/>
      <c r="AS240" s="686"/>
      <c r="AT240" s="686"/>
      <c r="AU240" s="686"/>
      <c r="AV240" s="686"/>
      <c r="AW240" s="686"/>
      <c r="AX240" s="686"/>
      <c r="AY240" s="686"/>
      <c r="AZ240" s="686"/>
      <c r="BA240" s="686"/>
      <c r="BB240" s="686"/>
      <c r="BC240" s="686"/>
      <c r="BD240" s="686"/>
      <c r="BE240" s="686"/>
      <c r="BF240" s="686"/>
      <c r="BG240" s="686"/>
      <c r="BH240" s="686"/>
    </row>
    <row r="241" spans="1:60" s="44" customFormat="1">
      <c r="A241" s="690"/>
      <c r="B241" s="690"/>
      <c r="C241" s="686"/>
      <c r="D241" s="686"/>
      <c r="E241" s="686"/>
      <c r="F241" s="686"/>
      <c r="G241" s="686"/>
      <c r="H241" s="686"/>
      <c r="I241" s="825"/>
      <c r="J241" s="686"/>
      <c r="K241" s="686"/>
      <c r="L241" s="686"/>
      <c r="M241" s="686"/>
      <c r="N241" s="686"/>
      <c r="O241" s="686"/>
      <c r="P241" s="686"/>
      <c r="Q241" s="825"/>
      <c r="R241" s="686"/>
      <c r="S241" s="686"/>
      <c r="T241" s="686"/>
      <c r="U241" s="686"/>
      <c r="V241" s="686"/>
      <c r="W241" s="686"/>
      <c r="X241" s="686"/>
      <c r="Y241" s="825"/>
      <c r="Z241" s="686"/>
      <c r="AA241" s="686"/>
      <c r="AB241" s="686"/>
      <c r="AC241" s="686"/>
      <c r="AD241" s="686"/>
      <c r="AE241" s="686"/>
      <c r="AF241" s="686"/>
      <c r="AG241" s="825"/>
      <c r="AH241" s="686"/>
      <c r="AI241" s="686"/>
      <c r="AJ241" s="686"/>
      <c r="AK241" s="686"/>
      <c r="AL241" s="686"/>
      <c r="AM241" s="686"/>
      <c r="AN241" s="686"/>
      <c r="AO241" s="825"/>
      <c r="AP241" s="686"/>
      <c r="AQ241" s="686"/>
      <c r="AR241" s="686"/>
      <c r="AS241" s="686"/>
      <c r="AT241" s="686"/>
      <c r="AU241" s="686"/>
      <c r="AV241" s="686"/>
      <c r="AW241" s="686"/>
      <c r="AX241" s="686"/>
      <c r="AY241" s="686"/>
      <c r="AZ241" s="686"/>
      <c r="BA241" s="686"/>
      <c r="BB241" s="686"/>
      <c r="BC241" s="686"/>
      <c r="BD241" s="686"/>
      <c r="BE241" s="686"/>
      <c r="BF241" s="686"/>
      <c r="BG241" s="686"/>
      <c r="BH241" s="686"/>
    </row>
    <row r="242" spans="1:60" s="44" customFormat="1">
      <c r="A242" s="690"/>
      <c r="B242" s="690"/>
      <c r="C242" s="686"/>
      <c r="D242" s="686"/>
      <c r="E242" s="686"/>
      <c r="F242" s="686"/>
      <c r="G242" s="686"/>
      <c r="H242" s="686"/>
      <c r="I242" s="825"/>
      <c r="J242" s="686"/>
      <c r="K242" s="686"/>
      <c r="L242" s="686"/>
      <c r="M242" s="686"/>
      <c r="N242" s="686"/>
      <c r="O242" s="686"/>
      <c r="P242" s="686"/>
      <c r="Q242" s="825"/>
      <c r="R242" s="686"/>
      <c r="S242" s="686"/>
      <c r="T242" s="686"/>
      <c r="U242" s="686"/>
      <c r="V242" s="686"/>
      <c r="W242" s="686"/>
      <c r="X242" s="686"/>
      <c r="Y242" s="825"/>
      <c r="Z242" s="686"/>
      <c r="AA242" s="686"/>
      <c r="AB242" s="686"/>
      <c r="AC242" s="686"/>
      <c r="AD242" s="686"/>
      <c r="AE242" s="686"/>
      <c r="AF242" s="686"/>
      <c r="AG242" s="825"/>
      <c r="AH242" s="686"/>
      <c r="AI242" s="686"/>
      <c r="AJ242" s="686"/>
      <c r="AK242" s="686"/>
      <c r="AL242" s="686"/>
      <c r="AM242" s="686"/>
      <c r="AN242" s="686"/>
      <c r="AO242" s="825"/>
      <c r="AP242" s="686"/>
      <c r="AQ242" s="686"/>
      <c r="AR242" s="686"/>
      <c r="AS242" s="686"/>
      <c r="AT242" s="686"/>
      <c r="AU242" s="686"/>
      <c r="AV242" s="686"/>
      <c r="AW242" s="686"/>
      <c r="AX242" s="686"/>
      <c r="AY242" s="686"/>
      <c r="AZ242" s="686"/>
      <c r="BA242" s="686"/>
      <c r="BB242" s="686"/>
      <c r="BC242" s="686"/>
      <c r="BD242" s="686"/>
      <c r="BE242" s="686"/>
      <c r="BF242" s="686"/>
      <c r="BG242" s="686"/>
      <c r="BH242" s="686"/>
    </row>
    <row r="243" spans="1:60" s="44" customFormat="1">
      <c r="A243" s="690"/>
      <c r="B243" s="690"/>
      <c r="C243" s="686"/>
      <c r="D243" s="686"/>
      <c r="E243" s="686"/>
      <c r="F243" s="686"/>
      <c r="G243" s="686"/>
      <c r="H243" s="686"/>
      <c r="I243" s="825"/>
      <c r="J243" s="686"/>
      <c r="K243" s="686"/>
      <c r="L243" s="686"/>
      <c r="M243" s="686"/>
      <c r="N243" s="686"/>
      <c r="O243" s="686"/>
      <c r="P243" s="686"/>
      <c r="Q243" s="825"/>
      <c r="R243" s="686"/>
      <c r="S243" s="686"/>
      <c r="T243" s="686"/>
      <c r="U243" s="686"/>
      <c r="V243" s="686"/>
      <c r="W243" s="686"/>
      <c r="X243" s="686"/>
      <c r="Y243" s="825"/>
      <c r="Z243" s="686"/>
      <c r="AA243" s="686"/>
      <c r="AB243" s="686"/>
      <c r="AC243" s="686"/>
      <c r="AD243" s="686"/>
      <c r="AE243" s="686"/>
      <c r="AF243" s="686"/>
      <c r="AG243" s="825"/>
      <c r="AH243" s="686"/>
      <c r="AI243" s="686"/>
      <c r="AJ243" s="686"/>
      <c r="AK243" s="686"/>
      <c r="AL243" s="686"/>
      <c r="AM243" s="686"/>
      <c r="AN243" s="686"/>
      <c r="AO243" s="825"/>
      <c r="AP243" s="686"/>
      <c r="AQ243" s="686"/>
      <c r="AR243" s="686"/>
      <c r="AS243" s="686"/>
      <c r="AT243" s="686"/>
      <c r="AU243" s="686"/>
      <c r="AV243" s="686"/>
      <c r="AW243" s="686"/>
      <c r="AX243" s="686"/>
      <c r="AY243" s="686"/>
      <c r="AZ243" s="686"/>
      <c r="BA243" s="686"/>
      <c r="BB243" s="686"/>
      <c r="BC243" s="686"/>
      <c r="BD243" s="686"/>
      <c r="BE243" s="686"/>
      <c r="BF243" s="686"/>
      <c r="BG243" s="686"/>
      <c r="BH243" s="686"/>
    </row>
    <row r="244" spans="1:60" s="44" customFormat="1">
      <c r="A244" s="690"/>
      <c r="B244" s="690"/>
      <c r="C244" s="686"/>
      <c r="D244" s="686"/>
      <c r="E244" s="686"/>
      <c r="F244" s="686"/>
      <c r="G244" s="686"/>
      <c r="H244" s="686"/>
      <c r="I244" s="825"/>
      <c r="J244" s="686"/>
      <c r="K244" s="686"/>
      <c r="L244" s="686"/>
      <c r="M244" s="686"/>
      <c r="N244" s="686"/>
      <c r="O244" s="686"/>
      <c r="P244" s="686"/>
      <c r="Q244" s="825"/>
      <c r="R244" s="686"/>
      <c r="S244" s="686"/>
      <c r="T244" s="686"/>
      <c r="U244" s="686"/>
      <c r="V244" s="686"/>
      <c r="W244" s="686"/>
      <c r="X244" s="686"/>
      <c r="Y244" s="825"/>
      <c r="Z244" s="686"/>
      <c r="AA244" s="686"/>
      <c r="AB244" s="686"/>
      <c r="AC244" s="686"/>
      <c r="AD244" s="686"/>
      <c r="AE244" s="686"/>
      <c r="AF244" s="686"/>
      <c r="AG244" s="825"/>
      <c r="AH244" s="686"/>
      <c r="AI244" s="686"/>
      <c r="AJ244" s="686"/>
      <c r="AK244" s="686"/>
      <c r="AL244" s="686"/>
      <c r="AM244" s="686"/>
      <c r="AN244" s="686"/>
      <c r="AO244" s="825"/>
      <c r="AP244" s="686"/>
      <c r="AQ244" s="686"/>
      <c r="AR244" s="686"/>
      <c r="AS244" s="686"/>
      <c r="AT244" s="686"/>
      <c r="AU244" s="686"/>
      <c r="AV244" s="686"/>
      <c r="AW244" s="686"/>
      <c r="AX244" s="686"/>
      <c r="AY244" s="686"/>
      <c r="AZ244" s="686"/>
      <c r="BA244" s="686"/>
      <c r="BB244" s="686"/>
      <c r="BC244" s="686"/>
      <c r="BD244" s="686"/>
      <c r="BE244" s="686"/>
      <c r="BF244" s="686"/>
      <c r="BG244" s="686"/>
      <c r="BH244" s="686"/>
    </row>
    <row r="245" spans="1:60" s="44" customFormat="1">
      <c r="A245" s="690"/>
      <c r="B245" s="690"/>
      <c r="C245" s="686"/>
      <c r="D245" s="686"/>
      <c r="E245" s="686"/>
      <c r="F245" s="686"/>
      <c r="G245" s="686"/>
      <c r="H245" s="686"/>
      <c r="I245" s="825"/>
      <c r="J245" s="686"/>
      <c r="K245" s="686"/>
      <c r="L245" s="686"/>
      <c r="M245" s="686"/>
      <c r="N245" s="686"/>
      <c r="O245" s="686"/>
      <c r="P245" s="686"/>
      <c r="Q245" s="825"/>
      <c r="R245" s="686"/>
      <c r="S245" s="686"/>
      <c r="T245" s="686"/>
      <c r="U245" s="686"/>
      <c r="V245" s="686"/>
      <c r="W245" s="686"/>
      <c r="X245" s="686"/>
      <c r="Y245" s="825"/>
      <c r="Z245" s="686"/>
      <c r="AA245" s="686"/>
      <c r="AB245" s="686"/>
      <c r="AC245" s="686"/>
      <c r="AD245" s="686"/>
      <c r="AE245" s="686"/>
      <c r="AF245" s="686"/>
      <c r="AG245" s="825"/>
      <c r="AH245" s="686"/>
      <c r="AI245" s="686"/>
      <c r="AJ245" s="686"/>
      <c r="AK245" s="686"/>
      <c r="AL245" s="686"/>
      <c r="AM245" s="686"/>
      <c r="AN245" s="686"/>
      <c r="AO245" s="825"/>
      <c r="AP245" s="686"/>
      <c r="AQ245" s="686"/>
      <c r="AR245" s="686"/>
      <c r="AS245" s="686"/>
      <c r="AT245" s="686"/>
      <c r="AU245" s="686"/>
      <c r="AV245" s="686"/>
      <c r="AW245" s="686"/>
      <c r="AX245" s="686"/>
      <c r="AY245" s="686"/>
      <c r="AZ245" s="686"/>
      <c r="BA245" s="686"/>
      <c r="BB245" s="686"/>
      <c r="BC245" s="686"/>
      <c r="BD245" s="686"/>
      <c r="BE245" s="686"/>
      <c r="BF245" s="686"/>
      <c r="BG245" s="686"/>
      <c r="BH245" s="686"/>
    </row>
    <row r="246" spans="1:60" s="44" customFormat="1">
      <c r="A246" s="690"/>
      <c r="B246" s="690"/>
      <c r="C246" s="686"/>
      <c r="D246" s="686"/>
      <c r="E246" s="686"/>
      <c r="F246" s="686"/>
      <c r="G246" s="686"/>
      <c r="H246" s="686"/>
      <c r="I246" s="825"/>
      <c r="J246" s="686"/>
      <c r="K246" s="686"/>
      <c r="L246" s="686"/>
      <c r="M246" s="686"/>
      <c r="N246" s="686"/>
      <c r="O246" s="686"/>
      <c r="P246" s="686"/>
      <c r="Q246" s="825"/>
      <c r="R246" s="686"/>
      <c r="S246" s="686"/>
      <c r="T246" s="686"/>
      <c r="U246" s="686"/>
      <c r="V246" s="686"/>
      <c r="W246" s="686"/>
      <c r="X246" s="686"/>
      <c r="Y246" s="825"/>
      <c r="Z246" s="686"/>
      <c r="AA246" s="686"/>
      <c r="AB246" s="686"/>
      <c r="AC246" s="686"/>
      <c r="AD246" s="686"/>
      <c r="AE246" s="686"/>
      <c r="AF246" s="686"/>
      <c r="AG246" s="825"/>
      <c r="AH246" s="686"/>
      <c r="AI246" s="686"/>
      <c r="AJ246" s="686"/>
      <c r="AK246" s="686"/>
      <c r="AL246" s="686"/>
      <c r="AM246" s="686"/>
      <c r="AN246" s="686"/>
      <c r="AO246" s="825"/>
      <c r="AP246" s="686"/>
      <c r="AQ246" s="686"/>
      <c r="AR246" s="686"/>
      <c r="AS246" s="686"/>
      <c r="AT246" s="686"/>
      <c r="AU246" s="686"/>
      <c r="AV246" s="686"/>
      <c r="AW246" s="686"/>
      <c r="AX246" s="686"/>
      <c r="AY246" s="686"/>
      <c r="AZ246" s="686"/>
      <c r="BA246" s="686"/>
      <c r="BB246" s="686"/>
      <c r="BC246" s="686"/>
      <c r="BD246" s="686"/>
      <c r="BE246" s="686"/>
      <c r="BF246" s="686"/>
      <c r="BG246" s="686"/>
      <c r="BH246" s="686"/>
    </row>
    <row r="247" spans="1:60" s="44" customFormat="1">
      <c r="A247" s="690"/>
      <c r="B247" s="690"/>
      <c r="C247" s="686"/>
      <c r="D247" s="686"/>
      <c r="E247" s="686"/>
      <c r="F247" s="686"/>
      <c r="G247" s="686"/>
      <c r="H247" s="686"/>
      <c r="I247" s="825"/>
      <c r="J247" s="686"/>
      <c r="K247" s="686"/>
      <c r="L247" s="686"/>
      <c r="M247" s="686"/>
      <c r="N247" s="686"/>
      <c r="O247" s="686"/>
      <c r="P247" s="686"/>
      <c r="Q247" s="825"/>
      <c r="R247" s="686"/>
      <c r="S247" s="686"/>
      <c r="T247" s="686"/>
      <c r="U247" s="686"/>
      <c r="V247" s="686"/>
      <c r="W247" s="686"/>
      <c r="X247" s="686"/>
      <c r="Y247" s="825"/>
      <c r="Z247" s="686"/>
      <c r="AA247" s="686"/>
      <c r="AB247" s="686"/>
      <c r="AC247" s="686"/>
      <c r="AD247" s="686"/>
      <c r="AE247" s="686"/>
      <c r="AF247" s="686"/>
      <c r="AG247" s="825"/>
      <c r="AH247" s="686"/>
      <c r="AI247" s="686"/>
      <c r="AJ247" s="686"/>
      <c r="AK247" s="686"/>
      <c r="AL247" s="686"/>
      <c r="AM247" s="686"/>
      <c r="AN247" s="686"/>
      <c r="AO247" s="825"/>
      <c r="AP247" s="686"/>
      <c r="AQ247" s="686"/>
      <c r="AR247" s="686"/>
      <c r="AS247" s="686"/>
      <c r="AT247" s="686"/>
      <c r="AU247" s="686"/>
      <c r="AV247" s="686"/>
      <c r="AW247" s="686"/>
      <c r="AX247" s="686"/>
      <c r="AY247" s="686"/>
      <c r="AZ247" s="686"/>
      <c r="BA247" s="686"/>
      <c r="BB247" s="686"/>
      <c r="BC247" s="686"/>
      <c r="BD247" s="686"/>
      <c r="BE247" s="686"/>
      <c r="BF247" s="686"/>
      <c r="BG247" s="686"/>
      <c r="BH247" s="686"/>
    </row>
    <row r="248" spans="1:60" s="44" customFormat="1">
      <c r="A248" s="690"/>
      <c r="B248" s="690"/>
      <c r="C248" s="686"/>
      <c r="D248" s="686"/>
      <c r="E248" s="686"/>
      <c r="F248" s="686"/>
      <c r="G248" s="686"/>
      <c r="H248" s="686"/>
      <c r="I248" s="825"/>
      <c r="J248" s="686"/>
      <c r="K248" s="686"/>
      <c r="L248" s="686"/>
      <c r="M248" s="686"/>
      <c r="N248" s="686"/>
      <c r="O248" s="686"/>
      <c r="P248" s="686"/>
      <c r="Q248" s="825"/>
      <c r="R248" s="686"/>
      <c r="S248" s="686"/>
      <c r="T248" s="686"/>
      <c r="U248" s="686"/>
      <c r="V248" s="686"/>
      <c r="W248" s="686"/>
      <c r="X248" s="686"/>
      <c r="Y248" s="825"/>
      <c r="Z248" s="686"/>
      <c r="AA248" s="686"/>
      <c r="AB248" s="686"/>
      <c r="AC248" s="686"/>
      <c r="AD248" s="686"/>
      <c r="AE248" s="686"/>
      <c r="AF248" s="686"/>
      <c r="AG248" s="825"/>
      <c r="AH248" s="686"/>
      <c r="AI248" s="686"/>
      <c r="AJ248" s="686"/>
      <c r="AK248" s="686"/>
      <c r="AL248" s="686"/>
      <c r="AM248" s="686"/>
      <c r="AN248" s="686"/>
      <c r="AO248" s="825"/>
      <c r="AP248" s="686"/>
      <c r="AQ248" s="686"/>
      <c r="AR248" s="686"/>
      <c r="AS248" s="686"/>
      <c r="AT248" s="686"/>
      <c r="AU248" s="686"/>
      <c r="AV248" s="686"/>
      <c r="AW248" s="686"/>
      <c r="AX248" s="686"/>
      <c r="AY248" s="686"/>
      <c r="AZ248" s="686"/>
      <c r="BA248" s="686"/>
      <c r="BB248" s="686"/>
      <c r="BC248" s="686"/>
      <c r="BD248" s="686"/>
      <c r="BE248" s="686"/>
      <c r="BF248" s="686"/>
      <c r="BG248" s="686"/>
      <c r="BH248" s="686"/>
    </row>
    <row r="249" spans="1:60" s="44" customFormat="1">
      <c r="A249" s="690"/>
      <c r="B249" s="690"/>
      <c r="C249" s="686"/>
      <c r="D249" s="686"/>
      <c r="E249" s="686"/>
      <c r="F249" s="686"/>
      <c r="G249" s="686"/>
      <c r="H249" s="686"/>
      <c r="I249" s="825"/>
      <c r="J249" s="686"/>
      <c r="K249" s="686"/>
      <c r="L249" s="686"/>
      <c r="M249" s="686"/>
      <c r="N249" s="686"/>
      <c r="O249" s="686"/>
      <c r="P249" s="686"/>
      <c r="Q249" s="825"/>
      <c r="R249" s="686"/>
      <c r="S249" s="686"/>
      <c r="T249" s="686"/>
      <c r="U249" s="686"/>
      <c r="V249" s="686"/>
      <c r="W249" s="686"/>
      <c r="X249" s="686"/>
      <c r="Y249" s="825"/>
      <c r="Z249" s="686"/>
      <c r="AA249" s="686"/>
      <c r="AB249" s="686"/>
      <c r="AC249" s="686"/>
      <c r="AD249" s="686"/>
      <c r="AE249" s="686"/>
      <c r="AF249" s="686"/>
      <c r="AG249" s="825"/>
      <c r="AH249" s="686"/>
      <c r="AI249" s="686"/>
      <c r="AJ249" s="686"/>
      <c r="AK249" s="686"/>
      <c r="AL249" s="686"/>
      <c r="AM249" s="686"/>
      <c r="AN249" s="686"/>
      <c r="AO249" s="825"/>
      <c r="AP249" s="686"/>
      <c r="AQ249" s="686"/>
      <c r="AR249" s="686"/>
      <c r="AS249" s="686"/>
      <c r="AT249" s="686"/>
      <c r="AU249" s="686"/>
      <c r="AV249" s="686"/>
      <c r="AW249" s="686"/>
      <c r="AX249" s="686"/>
      <c r="AY249" s="686"/>
      <c r="AZ249" s="686"/>
      <c r="BA249" s="686"/>
      <c r="BB249" s="686"/>
      <c r="BC249" s="686"/>
      <c r="BD249" s="686"/>
      <c r="BE249" s="686"/>
      <c r="BF249" s="686"/>
      <c r="BG249" s="686"/>
      <c r="BH249" s="686"/>
    </row>
    <row r="250" spans="1:60" s="44" customFormat="1">
      <c r="A250" s="690"/>
      <c r="B250" s="690"/>
      <c r="C250" s="686"/>
      <c r="D250" s="686"/>
      <c r="E250" s="686"/>
      <c r="F250" s="686"/>
      <c r="G250" s="686"/>
      <c r="H250" s="686"/>
      <c r="I250" s="825"/>
      <c r="J250" s="686"/>
      <c r="K250" s="686"/>
      <c r="L250" s="686"/>
      <c r="M250" s="686"/>
      <c r="N250" s="686"/>
      <c r="O250" s="686"/>
      <c r="P250" s="686"/>
      <c r="Q250" s="825"/>
      <c r="R250" s="686"/>
      <c r="S250" s="686"/>
      <c r="T250" s="686"/>
      <c r="U250" s="686"/>
      <c r="V250" s="686"/>
      <c r="W250" s="686"/>
      <c r="X250" s="686"/>
      <c r="Y250" s="825"/>
      <c r="Z250" s="686"/>
      <c r="AA250" s="686"/>
      <c r="AB250" s="686"/>
      <c r="AC250" s="686"/>
      <c r="AD250" s="686"/>
      <c r="AE250" s="686"/>
      <c r="AF250" s="686"/>
      <c r="AG250" s="825"/>
      <c r="AH250" s="686"/>
      <c r="AI250" s="686"/>
      <c r="AJ250" s="686"/>
      <c r="AK250" s="686"/>
      <c r="AL250" s="686"/>
      <c r="AM250" s="686"/>
      <c r="AN250" s="686"/>
      <c r="AO250" s="825"/>
      <c r="AP250" s="686"/>
      <c r="AQ250" s="686"/>
      <c r="AR250" s="686"/>
      <c r="AS250" s="686"/>
      <c r="AT250" s="686"/>
      <c r="AU250" s="686"/>
      <c r="AV250" s="686"/>
      <c r="AW250" s="686"/>
      <c r="AX250" s="686"/>
      <c r="AY250" s="686"/>
      <c r="AZ250" s="686"/>
      <c r="BA250" s="686"/>
      <c r="BB250" s="686"/>
      <c r="BC250" s="686"/>
      <c r="BD250" s="686"/>
      <c r="BE250" s="686"/>
      <c r="BF250" s="686"/>
      <c r="BG250" s="686"/>
      <c r="BH250" s="686"/>
    </row>
    <row r="251" spans="1:60" s="44" customFormat="1">
      <c r="A251" s="690"/>
      <c r="B251" s="690"/>
      <c r="C251" s="686"/>
      <c r="D251" s="686"/>
      <c r="E251" s="686"/>
      <c r="F251" s="686"/>
      <c r="G251" s="686"/>
      <c r="H251" s="686"/>
      <c r="I251" s="825"/>
      <c r="J251" s="686"/>
      <c r="K251" s="686"/>
      <c r="L251" s="686"/>
      <c r="M251" s="686"/>
      <c r="N251" s="686"/>
      <c r="O251" s="686"/>
      <c r="P251" s="686"/>
      <c r="Q251" s="825"/>
      <c r="R251" s="686"/>
      <c r="S251" s="686"/>
      <c r="T251" s="686"/>
      <c r="U251" s="686"/>
      <c r="V251" s="686"/>
      <c r="W251" s="686"/>
      <c r="X251" s="686"/>
      <c r="Y251" s="825"/>
      <c r="Z251" s="686"/>
      <c r="AA251" s="686"/>
      <c r="AB251" s="686"/>
      <c r="AC251" s="686"/>
      <c r="AD251" s="686"/>
      <c r="AE251" s="686"/>
      <c r="AF251" s="686"/>
      <c r="AG251" s="825"/>
      <c r="AH251" s="686"/>
      <c r="AI251" s="686"/>
      <c r="AJ251" s="686"/>
      <c r="AK251" s="686"/>
      <c r="AL251" s="686"/>
      <c r="AM251" s="686"/>
      <c r="AN251" s="686"/>
      <c r="AO251" s="825"/>
      <c r="AP251" s="686"/>
      <c r="AQ251" s="686"/>
      <c r="AR251" s="686"/>
      <c r="AS251" s="686"/>
      <c r="AT251" s="686"/>
      <c r="AU251" s="686"/>
      <c r="AV251" s="686"/>
      <c r="AW251" s="686"/>
      <c r="AX251" s="686"/>
      <c r="AY251" s="686"/>
      <c r="AZ251" s="686"/>
      <c r="BA251" s="686"/>
      <c r="BB251" s="686"/>
      <c r="BC251" s="686"/>
      <c r="BD251" s="686"/>
      <c r="BE251" s="686"/>
      <c r="BF251" s="686"/>
      <c r="BG251" s="686"/>
      <c r="BH251" s="686"/>
    </row>
    <row r="252" spans="1:60" s="44" customFormat="1">
      <c r="A252" s="690"/>
      <c r="B252" s="690"/>
      <c r="C252" s="686"/>
      <c r="D252" s="686"/>
      <c r="E252" s="686"/>
      <c r="F252" s="686"/>
      <c r="G252" s="686"/>
      <c r="H252" s="686"/>
      <c r="I252" s="825"/>
      <c r="J252" s="686"/>
      <c r="K252" s="686"/>
      <c r="L252" s="686"/>
      <c r="M252" s="686"/>
      <c r="N252" s="686"/>
      <c r="O252" s="686"/>
      <c r="P252" s="686"/>
      <c r="Q252" s="825"/>
      <c r="R252" s="686"/>
      <c r="S252" s="686"/>
      <c r="T252" s="686"/>
      <c r="U252" s="686"/>
      <c r="V252" s="686"/>
      <c r="W252" s="686"/>
      <c r="X252" s="686"/>
      <c r="Y252" s="825"/>
      <c r="Z252" s="686"/>
      <c r="AA252" s="686"/>
      <c r="AB252" s="686"/>
      <c r="AC252" s="686"/>
      <c r="AD252" s="686"/>
      <c r="AE252" s="686"/>
      <c r="AF252" s="686"/>
      <c r="AG252" s="825"/>
      <c r="AH252" s="686"/>
      <c r="AI252" s="686"/>
      <c r="AJ252" s="686"/>
      <c r="AK252" s="686"/>
      <c r="AL252" s="686"/>
      <c r="AM252" s="686"/>
      <c r="AN252" s="686"/>
      <c r="AO252" s="825"/>
      <c r="AP252" s="686"/>
      <c r="AQ252" s="686"/>
      <c r="AR252" s="686"/>
      <c r="AS252" s="686"/>
      <c r="AT252" s="686"/>
      <c r="AU252" s="686"/>
      <c r="AV252" s="686"/>
      <c r="AW252" s="686"/>
      <c r="AX252" s="686"/>
      <c r="AY252" s="686"/>
      <c r="AZ252" s="686"/>
      <c r="BA252" s="686"/>
      <c r="BB252" s="686"/>
      <c r="BC252" s="686"/>
      <c r="BD252" s="686"/>
      <c r="BE252" s="686"/>
      <c r="BF252" s="686"/>
      <c r="BG252" s="686"/>
      <c r="BH252" s="686"/>
    </row>
    <row r="253" spans="1:60" s="44" customFormat="1">
      <c r="A253" s="690"/>
      <c r="B253" s="690"/>
      <c r="C253" s="686"/>
      <c r="D253" s="686"/>
      <c r="E253" s="686"/>
      <c r="F253" s="686"/>
      <c r="G253" s="686"/>
      <c r="H253" s="686"/>
      <c r="I253" s="825"/>
      <c r="J253" s="686"/>
      <c r="K253" s="686"/>
      <c r="L253" s="686"/>
      <c r="M253" s="686"/>
      <c r="N253" s="686"/>
      <c r="O253" s="686"/>
      <c r="P253" s="686"/>
      <c r="Q253" s="825"/>
      <c r="R253" s="686"/>
      <c r="S253" s="686"/>
      <c r="T253" s="686"/>
      <c r="U253" s="686"/>
      <c r="V253" s="686"/>
      <c r="W253" s="686"/>
      <c r="X253" s="686"/>
      <c r="Y253" s="825"/>
      <c r="Z253" s="686"/>
      <c r="AA253" s="686"/>
      <c r="AB253" s="686"/>
      <c r="AC253" s="686"/>
      <c r="AD253" s="686"/>
      <c r="AE253" s="686"/>
      <c r="AF253" s="686"/>
      <c r="AG253" s="825"/>
      <c r="AH253" s="686"/>
      <c r="AI253" s="686"/>
      <c r="AJ253" s="686"/>
      <c r="AK253" s="686"/>
      <c r="AL253" s="686"/>
      <c r="AM253" s="686"/>
      <c r="AN253" s="686"/>
      <c r="AO253" s="825"/>
      <c r="AP253" s="686"/>
      <c r="AQ253" s="686"/>
      <c r="AR253" s="686"/>
      <c r="AS253" s="686"/>
      <c r="AT253" s="686"/>
      <c r="AU253" s="686"/>
      <c r="AV253" s="686"/>
      <c r="AW253" s="686"/>
      <c r="AX253" s="686"/>
      <c r="AY253" s="686"/>
      <c r="AZ253" s="686"/>
      <c r="BA253" s="686"/>
      <c r="BB253" s="686"/>
      <c r="BC253" s="686"/>
      <c r="BD253" s="686"/>
      <c r="BE253" s="686"/>
      <c r="BF253" s="686"/>
      <c r="BG253" s="686"/>
      <c r="BH253" s="686"/>
    </row>
    <row r="254" spans="1:60" s="44" customFormat="1">
      <c r="A254" s="690"/>
      <c r="B254" s="690"/>
      <c r="C254" s="686"/>
      <c r="D254" s="686"/>
      <c r="E254" s="686"/>
      <c r="F254" s="686"/>
      <c r="G254" s="686"/>
      <c r="H254" s="686"/>
      <c r="I254" s="825"/>
      <c r="J254" s="686"/>
      <c r="K254" s="686"/>
      <c r="L254" s="686"/>
      <c r="M254" s="686"/>
      <c r="N254" s="686"/>
      <c r="O254" s="686"/>
      <c r="P254" s="686"/>
      <c r="Q254" s="825"/>
      <c r="R254" s="686"/>
      <c r="S254" s="686"/>
      <c r="T254" s="686"/>
      <c r="U254" s="686"/>
      <c r="V254" s="686"/>
      <c r="W254" s="686"/>
      <c r="X254" s="686"/>
      <c r="Y254" s="825"/>
      <c r="Z254" s="686"/>
      <c r="AA254" s="686"/>
      <c r="AB254" s="686"/>
      <c r="AC254" s="686"/>
      <c r="AD254" s="686"/>
      <c r="AE254" s="686"/>
      <c r="AF254" s="686"/>
      <c r="AG254" s="825"/>
      <c r="AH254" s="686"/>
      <c r="AI254" s="686"/>
      <c r="AJ254" s="686"/>
      <c r="AK254" s="686"/>
      <c r="AL254" s="686"/>
      <c r="AM254" s="686"/>
      <c r="AN254" s="686"/>
      <c r="AO254" s="825"/>
      <c r="AP254" s="686"/>
      <c r="AQ254" s="686"/>
      <c r="AR254" s="686"/>
      <c r="AS254" s="686"/>
      <c r="AT254" s="686"/>
      <c r="AU254" s="686"/>
      <c r="AV254" s="686"/>
      <c r="AW254" s="686"/>
      <c r="AX254" s="686"/>
      <c r="AY254" s="686"/>
      <c r="AZ254" s="686"/>
      <c r="BA254" s="686"/>
      <c r="BB254" s="686"/>
      <c r="BC254" s="686"/>
      <c r="BD254" s="686"/>
      <c r="BE254" s="686"/>
      <c r="BF254" s="686"/>
      <c r="BG254" s="686"/>
      <c r="BH254" s="686"/>
    </row>
    <row r="255" spans="1:60" s="44" customFormat="1">
      <c r="A255" s="690"/>
      <c r="B255" s="690"/>
      <c r="C255" s="686"/>
      <c r="D255" s="686"/>
      <c r="E255" s="686"/>
      <c r="F255" s="686"/>
      <c r="G255" s="686"/>
      <c r="H255" s="686"/>
      <c r="I255" s="825"/>
      <c r="J255" s="686"/>
      <c r="K255" s="686"/>
      <c r="L255" s="686"/>
      <c r="M255" s="686"/>
      <c r="N255" s="686"/>
      <c r="O255" s="686"/>
      <c r="P255" s="686"/>
      <c r="Q255" s="825"/>
      <c r="R255" s="686"/>
      <c r="S255" s="686"/>
      <c r="T255" s="686"/>
      <c r="U255" s="686"/>
      <c r="V255" s="686"/>
      <c r="W255" s="686"/>
      <c r="X255" s="686"/>
      <c r="Y255" s="825"/>
      <c r="Z255" s="686"/>
      <c r="AA255" s="686"/>
      <c r="AB255" s="686"/>
      <c r="AC255" s="686"/>
      <c r="AD255" s="686"/>
      <c r="AE255" s="686"/>
      <c r="AF255" s="686"/>
      <c r="AG255" s="825"/>
      <c r="AH255" s="686"/>
      <c r="AI255" s="686"/>
      <c r="AJ255" s="686"/>
      <c r="AK255" s="686"/>
      <c r="AL255" s="686"/>
      <c r="AM255" s="686"/>
      <c r="AN255" s="686"/>
      <c r="AO255" s="825"/>
      <c r="AP255" s="686"/>
      <c r="AQ255" s="686"/>
      <c r="AR255" s="686"/>
      <c r="AS255" s="686"/>
      <c r="AT255" s="686"/>
      <c r="AU255" s="686"/>
      <c r="AV255" s="686"/>
      <c r="AW255" s="686"/>
      <c r="AX255" s="686"/>
      <c r="AY255" s="686"/>
      <c r="AZ255" s="686"/>
      <c r="BA255" s="686"/>
      <c r="BB255" s="686"/>
      <c r="BC255" s="686"/>
      <c r="BD255" s="686"/>
      <c r="BE255" s="686"/>
      <c r="BF255" s="686"/>
      <c r="BG255" s="686"/>
      <c r="BH255" s="686"/>
    </row>
    <row r="256" spans="1:60" s="44" customFormat="1">
      <c r="A256" s="690"/>
      <c r="B256" s="690"/>
      <c r="C256" s="686"/>
      <c r="D256" s="686"/>
      <c r="E256" s="686"/>
      <c r="F256" s="686"/>
      <c r="G256" s="686"/>
      <c r="H256" s="686"/>
      <c r="I256" s="825"/>
      <c r="J256" s="686"/>
      <c r="K256" s="686"/>
      <c r="L256" s="686"/>
      <c r="M256" s="686"/>
      <c r="N256" s="686"/>
      <c r="O256" s="686"/>
      <c r="P256" s="686"/>
      <c r="Q256" s="825"/>
      <c r="R256" s="686"/>
      <c r="S256" s="686"/>
      <c r="T256" s="686"/>
      <c r="U256" s="686"/>
      <c r="V256" s="686"/>
      <c r="W256" s="686"/>
      <c r="X256" s="686"/>
      <c r="Y256" s="825"/>
      <c r="Z256" s="686"/>
      <c r="AA256" s="686"/>
      <c r="AB256" s="686"/>
      <c r="AC256" s="686"/>
      <c r="AD256" s="686"/>
      <c r="AE256" s="686"/>
      <c r="AF256" s="686"/>
      <c r="AG256" s="825"/>
      <c r="AH256" s="686"/>
      <c r="AI256" s="686"/>
      <c r="AJ256" s="686"/>
      <c r="AK256" s="686"/>
      <c r="AL256" s="686"/>
      <c r="AM256" s="686"/>
      <c r="AN256" s="686"/>
      <c r="AO256" s="825"/>
      <c r="AP256" s="686"/>
      <c r="AQ256" s="686"/>
      <c r="AR256" s="686"/>
      <c r="AS256" s="686"/>
      <c r="AT256" s="686"/>
      <c r="AU256" s="686"/>
      <c r="AV256" s="686"/>
      <c r="AW256" s="686"/>
      <c r="AX256" s="686"/>
      <c r="AY256" s="686"/>
      <c r="AZ256" s="686"/>
      <c r="BA256" s="686"/>
      <c r="BB256" s="686"/>
      <c r="BC256" s="686"/>
      <c r="BD256" s="686"/>
      <c r="BE256" s="686"/>
      <c r="BF256" s="686"/>
      <c r="BG256" s="686"/>
      <c r="BH256" s="686"/>
    </row>
    <row r="257" spans="1:60" s="44" customFormat="1">
      <c r="A257" s="690"/>
      <c r="B257" s="690"/>
      <c r="C257" s="686"/>
      <c r="D257" s="686"/>
      <c r="E257" s="686"/>
      <c r="F257" s="686"/>
      <c r="G257" s="686"/>
      <c r="H257" s="686"/>
      <c r="I257" s="825"/>
      <c r="J257" s="686"/>
      <c r="K257" s="686"/>
      <c r="L257" s="686"/>
      <c r="M257" s="686"/>
      <c r="N257" s="686"/>
      <c r="O257" s="686"/>
      <c r="P257" s="686"/>
      <c r="Q257" s="825"/>
      <c r="R257" s="686"/>
      <c r="S257" s="686"/>
      <c r="T257" s="686"/>
      <c r="U257" s="686"/>
      <c r="V257" s="686"/>
      <c r="W257" s="686"/>
      <c r="X257" s="686"/>
      <c r="Y257" s="825"/>
      <c r="Z257" s="686"/>
      <c r="AA257" s="686"/>
      <c r="AB257" s="686"/>
      <c r="AC257" s="686"/>
      <c r="AD257" s="686"/>
      <c r="AE257" s="686"/>
      <c r="AF257" s="686"/>
      <c r="AG257" s="825"/>
      <c r="AH257" s="686"/>
      <c r="AI257" s="686"/>
      <c r="AJ257" s="686"/>
      <c r="AK257" s="686"/>
      <c r="AL257" s="686"/>
      <c r="AM257" s="686"/>
      <c r="AN257" s="686"/>
      <c r="AO257" s="825"/>
      <c r="AP257" s="686"/>
      <c r="AQ257" s="686"/>
      <c r="AR257" s="686"/>
      <c r="AS257" s="686"/>
      <c r="AT257" s="686"/>
      <c r="AU257" s="686"/>
      <c r="AV257" s="686"/>
      <c r="AW257" s="686"/>
      <c r="AX257" s="686"/>
      <c r="AY257" s="686"/>
      <c r="AZ257" s="686"/>
      <c r="BA257" s="686"/>
      <c r="BB257" s="686"/>
      <c r="BC257" s="686"/>
      <c r="BD257" s="686"/>
      <c r="BE257" s="686"/>
      <c r="BF257" s="686"/>
      <c r="BG257" s="686"/>
      <c r="BH257" s="686"/>
    </row>
    <row r="258" spans="1:60" s="44" customFormat="1">
      <c r="A258" s="690"/>
      <c r="B258" s="690"/>
      <c r="C258" s="686"/>
      <c r="D258" s="686"/>
      <c r="E258" s="686"/>
      <c r="F258" s="686"/>
      <c r="G258" s="686"/>
      <c r="H258" s="686"/>
      <c r="I258" s="825"/>
      <c r="J258" s="686"/>
      <c r="K258" s="686"/>
      <c r="L258" s="686"/>
      <c r="M258" s="686"/>
      <c r="N258" s="686"/>
      <c r="O258" s="686"/>
      <c r="P258" s="686"/>
      <c r="Q258" s="825"/>
      <c r="R258" s="686"/>
      <c r="S258" s="686"/>
      <c r="T258" s="686"/>
      <c r="U258" s="686"/>
      <c r="V258" s="686"/>
      <c r="W258" s="686"/>
      <c r="X258" s="686"/>
      <c r="Y258" s="825"/>
      <c r="Z258" s="686"/>
      <c r="AA258" s="686"/>
      <c r="AB258" s="686"/>
      <c r="AC258" s="686"/>
      <c r="AD258" s="686"/>
      <c r="AE258" s="686"/>
      <c r="AF258" s="686"/>
      <c r="AG258" s="825"/>
      <c r="AH258" s="686"/>
      <c r="AI258" s="686"/>
      <c r="AJ258" s="686"/>
      <c r="AK258" s="686"/>
      <c r="AL258" s="686"/>
      <c r="AM258" s="686"/>
      <c r="AN258" s="686"/>
      <c r="AO258" s="825"/>
      <c r="AP258" s="686"/>
      <c r="AQ258" s="686"/>
      <c r="AR258" s="686"/>
      <c r="AS258" s="686"/>
      <c r="AT258" s="686"/>
      <c r="AU258" s="686"/>
      <c r="AV258" s="686"/>
      <c r="AW258" s="686"/>
      <c r="AX258" s="686"/>
      <c r="AY258" s="686"/>
      <c r="AZ258" s="686"/>
      <c r="BA258" s="686"/>
      <c r="BB258" s="686"/>
      <c r="BC258" s="686"/>
      <c r="BD258" s="686"/>
      <c r="BE258" s="686"/>
      <c r="BF258" s="686"/>
      <c r="BG258" s="686"/>
      <c r="BH258" s="686"/>
    </row>
    <row r="259" spans="1:60" s="44" customFormat="1">
      <c r="A259" s="690"/>
      <c r="B259" s="690"/>
      <c r="C259" s="686"/>
      <c r="D259" s="686"/>
      <c r="E259" s="686"/>
      <c r="F259" s="686"/>
      <c r="G259" s="686"/>
      <c r="H259" s="686"/>
      <c r="I259" s="825"/>
      <c r="J259" s="686"/>
      <c r="K259" s="686"/>
      <c r="L259" s="686"/>
      <c r="M259" s="686"/>
      <c r="N259" s="686"/>
      <c r="O259" s="686"/>
      <c r="P259" s="686"/>
      <c r="Q259" s="825"/>
      <c r="R259" s="686"/>
      <c r="S259" s="686"/>
      <c r="T259" s="686"/>
      <c r="U259" s="686"/>
      <c r="V259" s="686"/>
      <c r="W259" s="686"/>
      <c r="X259" s="686"/>
      <c r="Y259" s="825"/>
      <c r="Z259" s="686"/>
      <c r="AA259" s="686"/>
      <c r="AB259" s="686"/>
      <c r="AC259" s="686"/>
      <c r="AD259" s="686"/>
      <c r="AE259" s="686"/>
      <c r="AF259" s="686"/>
      <c r="AG259" s="825"/>
      <c r="AH259" s="686"/>
      <c r="AI259" s="686"/>
      <c r="AJ259" s="686"/>
      <c r="AK259" s="686"/>
      <c r="AL259" s="686"/>
      <c r="AM259" s="686"/>
      <c r="AN259" s="686"/>
      <c r="AO259" s="825"/>
      <c r="AP259" s="686"/>
      <c r="AQ259" s="686"/>
      <c r="AR259" s="686"/>
      <c r="AS259" s="686"/>
      <c r="AT259" s="686"/>
      <c r="AU259" s="686"/>
      <c r="AV259" s="686"/>
      <c r="AW259" s="686"/>
      <c r="AX259" s="686"/>
      <c r="AY259" s="686"/>
      <c r="AZ259" s="686"/>
      <c r="BA259" s="686"/>
      <c r="BB259" s="686"/>
      <c r="BC259" s="686"/>
      <c r="BD259" s="686"/>
      <c r="BE259" s="686"/>
      <c r="BF259" s="686"/>
      <c r="BG259" s="686"/>
      <c r="BH259" s="686"/>
    </row>
    <row r="260" spans="1:60" s="44" customFormat="1">
      <c r="A260" s="690"/>
      <c r="B260" s="690"/>
      <c r="C260" s="686"/>
      <c r="D260" s="686"/>
      <c r="E260" s="686"/>
      <c r="F260" s="686"/>
      <c r="G260" s="686"/>
      <c r="H260" s="686"/>
      <c r="I260" s="825"/>
      <c r="J260" s="686"/>
      <c r="K260" s="686"/>
      <c r="L260" s="686"/>
      <c r="M260" s="686"/>
      <c r="N260" s="686"/>
      <c r="O260" s="686"/>
      <c r="P260" s="686"/>
      <c r="Q260" s="825"/>
      <c r="R260" s="686"/>
      <c r="S260" s="686"/>
      <c r="T260" s="686"/>
      <c r="U260" s="686"/>
      <c r="V260" s="686"/>
      <c r="W260" s="686"/>
      <c r="X260" s="686"/>
      <c r="Y260" s="825"/>
      <c r="Z260" s="686"/>
      <c r="AA260" s="686"/>
      <c r="AB260" s="686"/>
      <c r="AC260" s="686"/>
      <c r="AD260" s="686"/>
      <c r="AE260" s="686"/>
      <c r="AF260" s="686"/>
      <c r="AG260" s="825"/>
      <c r="AH260" s="686"/>
      <c r="AI260" s="686"/>
      <c r="AJ260" s="686"/>
      <c r="AK260" s="686"/>
      <c r="AL260" s="686"/>
      <c r="AM260" s="686"/>
      <c r="AN260" s="686"/>
      <c r="AO260" s="825"/>
      <c r="AP260" s="686"/>
      <c r="AQ260" s="686"/>
      <c r="AR260" s="686"/>
      <c r="AS260" s="686"/>
      <c r="AT260" s="686"/>
      <c r="AU260" s="686"/>
      <c r="AV260" s="686"/>
      <c r="AW260" s="686"/>
      <c r="AX260" s="686"/>
      <c r="AY260" s="686"/>
      <c r="AZ260" s="686"/>
      <c r="BA260" s="686"/>
      <c r="BB260" s="686"/>
      <c r="BC260" s="686"/>
      <c r="BD260" s="686"/>
      <c r="BE260" s="686"/>
      <c r="BF260" s="686"/>
      <c r="BG260" s="686"/>
      <c r="BH260" s="686"/>
    </row>
    <row r="261" spans="1:60" s="44" customFormat="1">
      <c r="A261" s="690"/>
      <c r="B261" s="690"/>
      <c r="C261" s="686"/>
      <c r="D261" s="686"/>
      <c r="E261" s="686"/>
      <c r="F261" s="686"/>
      <c r="G261" s="686"/>
      <c r="H261" s="686"/>
      <c r="I261" s="825"/>
      <c r="J261" s="686"/>
      <c r="K261" s="686"/>
      <c r="L261" s="686"/>
      <c r="M261" s="686"/>
      <c r="N261" s="686"/>
      <c r="O261" s="686"/>
      <c r="P261" s="686"/>
      <c r="Q261" s="825"/>
      <c r="R261" s="686"/>
      <c r="S261" s="686"/>
      <c r="T261" s="686"/>
      <c r="U261" s="686"/>
      <c r="V261" s="686"/>
      <c r="W261" s="686"/>
      <c r="X261" s="686"/>
      <c r="Y261" s="825"/>
      <c r="Z261" s="686"/>
      <c r="AA261" s="686"/>
      <c r="AB261" s="686"/>
      <c r="AC261" s="686"/>
      <c r="AD261" s="686"/>
      <c r="AE261" s="686"/>
      <c r="AF261" s="686"/>
      <c r="AG261" s="825"/>
      <c r="AH261" s="686"/>
      <c r="AI261" s="686"/>
      <c r="AJ261" s="686"/>
      <c r="AK261" s="686"/>
      <c r="AL261" s="686"/>
      <c r="AM261" s="686"/>
      <c r="AN261" s="686"/>
      <c r="AO261" s="825"/>
      <c r="AP261" s="686"/>
      <c r="AQ261" s="686"/>
      <c r="AR261" s="686"/>
      <c r="AS261" s="686"/>
      <c r="AT261" s="686"/>
      <c r="AU261" s="686"/>
      <c r="AV261" s="686"/>
      <c r="AW261" s="686"/>
      <c r="AX261" s="686"/>
      <c r="AY261" s="686"/>
      <c r="AZ261" s="686"/>
      <c r="BA261" s="686"/>
      <c r="BB261" s="686"/>
      <c r="BC261" s="686"/>
      <c r="BD261" s="686"/>
      <c r="BE261" s="686"/>
      <c r="BF261" s="686"/>
      <c r="BG261" s="686"/>
      <c r="BH261" s="686"/>
    </row>
    <row r="262" spans="1:60" s="44" customFormat="1">
      <c r="A262" s="690"/>
      <c r="B262" s="690"/>
      <c r="C262" s="686"/>
      <c r="D262" s="686"/>
      <c r="E262" s="686"/>
      <c r="F262" s="686"/>
      <c r="G262" s="686"/>
      <c r="H262" s="686"/>
      <c r="I262" s="825"/>
      <c r="J262" s="686"/>
      <c r="K262" s="686"/>
      <c r="L262" s="686"/>
      <c r="M262" s="686"/>
      <c r="N262" s="686"/>
      <c r="O262" s="686"/>
      <c r="P262" s="686"/>
      <c r="Q262" s="825"/>
      <c r="R262" s="686"/>
      <c r="S262" s="686"/>
      <c r="T262" s="686"/>
      <c r="U262" s="686"/>
      <c r="V262" s="686"/>
      <c r="W262" s="686"/>
      <c r="X262" s="686"/>
      <c r="Y262" s="825"/>
      <c r="Z262" s="686"/>
      <c r="AA262" s="686"/>
      <c r="AB262" s="686"/>
      <c r="AC262" s="686"/>
      <c r="AD262" s="686"/>
      <c r="AE262" s="686"/>
      <c r="AF262" s="686"/>
      <c r="AG262" s="825"/>
      <c r="AH262" s="686"/>
      <c r="AI262" s="686"/>
      <c r="AJ262" s="686"/>
      <c r="AK262" s="686"/>
      <c r="AL262" s="686"/>
      <c r="AM262" s="686"/>
      <c r="AN262" s="686"/>
      <c r="AO262" s="825"/>
      <c r="AP262" s="686"/>
      <c r="AQ262" s="686"/>
      <c r="AR262" s="686"/>
      <c r="AS262" s="686"/>
      <c r="AT262" s="686"/>
      <c r="AU262" s="686"/>
      <c r="AV262" s="686"/>
      <c r="AW262" s="686"/>
      <c r="AX262" s="686"/>
      <c r="AY262" s="686"/>
      <c r="AZ262" s="686"/>
      <c r="BA262" s="686"/>
      <c r="BB262" s="686"/>
      <c r="BC262" s="686"/>
      <c r="BD262" s="686"/>
      <c r="BE262" s="686"/>
      <c r="BF262" s="686"/>
      <c r="BG262" s="686"/>
      <c r="BH262" s="686"/>
    </row>
    <row r="263" spans="1:60" s="44" customFormat="1">
      <c r="A263" s="690"/>
      <c r="B263" s="690"/>
      <c r="C263" s="686"/>
      <c r="D263" s="686"/>
      <c r="E263" s="686"/>
      <c r="F263" s="686"/>
      <c r="G263" s="686"/>
      <c r="H263" s="686"/>
      <c r="I263" s="825"/>
      <c r="J263" s="686"/>
      <c r="K263" s="686"/>
      <c r="L263" s="686"/>
      <c r="M263" s="686"/>
      <c r="N263" s="686"/>
      <c r="O263" s="686"/>
      <c r="P263" s="686"/>
      <c r="Q263" s="825"/>
      <c r="R263" s="686"/>
      <c r="S263" s="686"/>
      <c r="T263" s="686"/>
      <c r="U263" s="686"/>
      <c r="V263" s="686"/>
      <c r="W263" s="686"/>
      <c r="X263" s="686"/>
      <c r="Y263" s="825"/>
      <c r="Z263" s="686"/>
      <c r="AA263" s="686"/>
      <c r="AB263" s="686"/>
      <c r="AC263" s="686"/>
      <c r="AD263" s="686"/>
      <c r="AE263" s="686"/>
      <c r="AF263" s="686"/>
      <c r="AG263" s="825"/>
      <c r="AH263" s="686"/>
      <c r="AI263" s="686"/>
      <c r="AJ263" s="686"/>
      <c r="AK263" s="686"/>
      <c r="AL263" s="686"/>
      <c r="AM263" s="686"/>
      <c r="AN263" s="686"/>
      <c r="AO263" s="825"/>
      <c r="AP263" s="686"/>
      <c r="AQ263" s="686"/>
      <c r="AR263" s="686"/>
      <c r="AS263" s="686"/>
      <c r="AT263" s="686"/>
      <c r="AU263" s="686"/>
      <c r="AV263" s="686"/>
      <c r="AW263" s="686"/>
      <c r="AX263" s="686"/>
      <c r="AY263" s="686"/>
      <c r="AZ263" s="686"/>
      <c r="BA263" s="686"/>
      <c r="BB263" s="686"/>
      <c r="BC263" s="686"/>
      <c r="BD263" s="686"/>
      <c r="BE263" s="686"/>
      <c r="BF263" s="686"/>
      <c r="BG263" s="686"/>
      <c r="BH263" s="686"/>
    </row>
    <row r="264" spans="1:60" s="44" customFormat="1">
      <c r="A264" s="690"/>
      <c r="B264" s="690"/>
      <c r="C264" s="686"/>
      <c r="D264" s="686"/>
      <c r="E264" s="686"/>
      <c r="F264" s="686"/>
      <c r="G264" s="686"/>
      <c r="H264" s="686"/>
      <c r="I264" s="825"/>
      <c r="J264" s="686"/>
      <c r="K264" s="686"/>
      <c r="L264" s="686"/>
      <c r="M264" s="686"/>
      <c r="N264" s="686"/>
      <c r="O264" s="686"/>
      <c r="P264" s="686"/>
      <c r="Q264" s="825"/>
      <c r="R264" s="686"/>
      <c r="S264" s="686"/>
      <c r="T264" s="686"/>
      <c r="U264" s="686"/>
      <c r="V264" s="686"/>
      <c r="W264" s="686"/>
      <c r="X264" s="686"/>
      <c r="Y264" s="825"/>
      <c r="Z264" s="686"/>
      <c r="AA264" s="686"/>
      <c r="AB264" s="686"/>
      <c r="AC264" s="686"/>
      <c r="AD264" s="686"/>
      <c r="AE264" s="686"/>
      <c r="AF264" s="686"/>
      <c r="AG264" s="825"/>
      <c r="AH264" s="686"/>
      <c r="AI264" s="686"/>
      <c r="AJ264" s="686"/>
      <c r="AK264" s="686"/>
      <c r="AL264" s="686"/>
      <c r="AM264" s="686"/>
      <c r="AN264" s="686"/>
      <c r="AO264" s="825"/>
      <c r="AP264" s="686"/>
      <c r="AQ264" s="686"/>
      <c r="AR264" s="686"/>
      <c r="AS264" s="686"/>
      <c r="AT264" s="686"/>
      <c r="AU264" s="686"/>
      <c r="AV264" s="686"/>
      <c r="AW264" s="686"/>
      <c r="AX264" s="686"/>
      <c r="AY264" s="686"/>
      <c r="AZ264" s="686"/>
      <c r="BA264" s="686"/>
      <c r="BB264" s="686"/>
      <c r="BC264" s="686"/>
      <c r="BD264" s="686"/>
      <c r="BE264" s="686"/>
      <c r="BF264" s="686"/>
      <c r="BG264" s="686"/>
      <c r="BH264" s="686"/>
    </row>
    <row r="265" spans="1:60" s="44" customFormat="1">
      <c r="A265" s="690"/>
      <c r="B265" s="690"/>
      <c r="C265" s="686"/>
      <c r="D265" s="686"/>
      <c r="E265" s="686"/>
      <c r="F265" s="686"/>
      <c r="G265" s="686"/>
      <c r="H265" s="686"/>
      <c r="I265" s="825"/>
      <c r="J265" s="686"/>
      <c r="K265" s="686"/>
      <c r="L265" s="686"/>
      <c r="M265" s="686"/>
      <c r="N265" s="686"/>
      <c r="O265" s="686"/>
      <c r="P265" s="686"/>
      <c r="Q265" s="825"/>
      <c r="R265" s="686"/>
      <c r="S265" s="686"/>
      <c r="T265" s="686"/>
      <c r="U265" s="686"/>
      <c r="V265" s="686"/>
      <c r="W265" s="686"/>
      <c r="X265" s="686"/>
      <c r="Y265" s="825"/>
      <c r="Z265" s="686"/>
      <c r="AA265" s="686"/>
      <c r="AB265" s="686"/>
      <c r="AC265" s="686"/>
      <c r="AD265" s="686"/>
      <c r="AE265" s="686"/>
      <c r="AF265" s="686"/>
      <c r="AG265" s="825"/>
      <c r="AH265" s="686"/>
      <c r="AI265" s="686"/>
      <c r="AJ265" s="686"/>
      <c r="AK265" s="686"/>
      <c r="AL265" s="686"/>
      <c r="AM265" s="686"/>
      <c r="AN265" s="686"/>
      <c r="AO265" s="825"/>
      <c r="AP265" s="686"/>
      <c r="AQ265" s="686"/>
      <c r="AR265" s="686"/>
      <c r="AS265" s="686"/>
      <c r="AT265" s="686"/>
      <c r="AU265" s="686"/>
      <c r="AV265" s="686"/>
      <c r="AW265" s="686"/>
      <c r="AX265" s="686"/>
      <c r="AY265" s="686"/>
      <c r="AZ265" s="686"/>
      <c r="BA265" s="686"/>
      <c r="BB265" s="686"/>
      <c r="BC265" s="686"/>
      <c r="BD265" s="686"/>
      <c r="BE265" s="686"/>
      <c r="BF265" s="686"/>
      <c r="BG265" s="686"/>
      <c r="BH265" s="686"/>
    </row>
    <row r="266" spans="1:60" s="44" customFormat="1">
      <c r="A266" s="690"/>
      <c r="B266" s="690"/>
      <c r="C266" s="686"/>
      <c r="D266" s="686"/>
      <c r="E266" s="686"/>
      <c r="F266" s="686"/>
      <c r="G266" s="686"/>
      <c r="H266" s="686"/>
      <c r="I266" s="825"/>
      <c r="J266" s="686"/>
      <c r="K266" s="686"/>
      <c r="L266" s="686"/>
      <c r="M266" s="686"/>
      <c r="N266" s="686"/>
      <c r="O266" s="686"/>
      <c r="P266" s="686"/>
      <c r="Q266" s="825"/>
      <c r="R266" s="686"/>
      <c r="S266" s="686"/>
      <c r="T266" s="686"/>
      <c r="U266" s="686"/>
      <c r="V266" s="686"/>
      <c r="W266" s="686"/>
      <c r="X266" s="686"/>
      <c r="Y266" s="825"/>
      <c r="Z266" s="686"/>
      <c r="AA266" s="686"/>
      <c r="AB266" s="686"/>
      <c r="AC266" s="686"/>
      <c r="AD266" s="686"/>
      <c r="AE266" s="686"/>
      <c r="AF266" s="686"/>
      <c r="AG266" s="825"/>
      <c r="AH266" s="686"/>
      <c r="AI266" s="686"/>
      <c r="AJ266" s="686"/>
      <c r="AK266" s="686"/>
      <c r="AL266" s="686"/>
      <c r="AM266" s="686"/>
      <c r="AN266" s="686"/>
      <c r="AO266" s="825"/>
      <c r="AP266" s="686"/>
      <c r="AQ266" s="686"/>
      <c r="AR266" s="686"/>
      <c r="AS266" s="686"/>
      <c r="AT266" s="686"/>
      <c r="AU266" s="686"/>
      <c r="AV266" s="686"/>
      <c r="AW266" s="686"/>
      <c r="AX266" s="686"/>
      <c r="AY266" s="686"/>
      <c r="AZ266" s="686"/>
      <c r="BA266" s="686"/>
      <c r="BB266" s="686"/>
      <c r="BC266" s="686"/>
      <c r="BD266" s="686"/>
      <c r="BE266" s="686"/>
      <c r="BF266" s="686"/>
      <c r="BG266" s="686"/>
      <c r="BH266" s="686"/>
    </row>
    <row r="267" spans="1:60" s="44" customFormat="1">
      <c r="A267" s="690"/>
      <c r="B267" s="690"/>
      <c r="C267" s="686"/>
      <c r="D267" s="686"/>
      <c r="E267" s="686"/>
      <c r="F267" s="686"/>
      <c r="G267" s="686"/>
      <c r="H267" s="686"/>
      <c r="I267" s="825"/>
      <c r="J267" s="686"/>
      <c r="K267" s="686"/>
      <c r="L267" s="686"/>
      <c r="M267" s="686"/>
      <c r="N267" s="686"/>
      <c r="O267" s="686"/>
      <c r="P267" s="686"/>
      <c r="Q267" s="825"/>
      <c r="R267" s="686"/>
      <c r="S267" s="686"/>
      <c r="T267" s="686"/>
      <c r="U267" s="686"/>
      <c r="V267" s="686"/>
      <c r="W267" s="686"/>
      <c r="X267" s="686"/>
      <c r="Y267" s="825"/>
      <c r="Z267" s="686"/>
      <c r="AA267" s="686"/>
      <c r="AB267" s="686"/>
      <c r="AC267" s="686"/>
      <c r="AD267" s="686"/>
      <c r="AE267" s="686"/>
      <c r="AF267" s="686"/>
      <c r="AG267" s="825"/>
      <c r="AH267" s="686"/>
      <c r="AI267" s="686"/>
      <c r="AJ267" s="686"/>
      <c r="AK267" s="686"/>
      <c r="AL267" s="686"/>
      <c r="AM267" s="686"/>
      <c r="AN267" s="686"/>
      <c r="AO267" s="825"/>
      <c r="AP267" s="686"/>
      <c r="AQ267" s="686"/>
      <c r="AR267" s="686"/>
      <c r="AS267" s="686"/>
      <c r="AT267" s="686"/>
      <c r="AU267" s="686"/>
      <c r="AV267" s="686"/>
      <c r="AW267" s="686"/>
      <c r="AX267" s="686"/>
      <c r="AY267" s="686"/>
      <c r="AZ267" s="686"/>
      <c r="BA267" s="686"/>
      <c r="BB267" s="686"/>
      <c r="BC267" s="686"/>
      <c r="BD267" s="686"/>
      <c r="BE267" s="686"/>
      <c r="BF267" s="686"/>
      <c r="BG267" s="686"/>
      <c r="BH267" s="686"/>
    </row>
    <row r="268" spans="1:60" s="44" customFormat="1">
      <c r="A268" s="690"/>
      <c r="B268" s="690"/>
      <c r="C268" s="686"/>
      <c r="D268" s="686"/>
      <c r="E268" s="686"/>
      <c r="F268" s="686"/>
      <c r="G268" s="686"/>
      <c r="H268" s="686"/>
      <c r="I268" s="825"/>
      <c r="J268" s="686"/>
      <c r="K268" s="686"/>
      <c r="L268" s="686"/>
      <c r="M268" s="686"/>
      <c r="N268" s="686"/>
      <c r="O268" s="686"/>
      <c r="P268" s="686"/>
      <c r="Q268" s="825"/>
      <c r="R268" s="686"/>
      <c r="S268" s="686"/>
      <c r="T268" s="686"/>
      <c r="U268" s="686"/>
      <c r="V268" s="686"/>
      <c r="W268" s="686"/>
      <c r="X268" s="686"/>
      <c r="Y268" s="825"/>
      <c r="Z268" s="686"/>
      <c r="AA268" s="686"/>
      <c r="AB268" s="686"/>
      <c r="AC268" s="686"/>
      <c r="AD268" s="686"/>
      <c r="AE268" s="686"/>
      <c r="AF268" s="686"/>
      <c r="AG268" s="825"/>
      <c r="AH268" s="686"/>
      <c r="AI268" s="686"/>
      <c r="AJ268" s="686"/>
      <c r="AK268" s="686"/>
      <c r="AL268" s="686"/>
      <c r="AM268" s="686"/>
      <c r="AN268" s="686"/>
      <c r="AO268" s="825"/>
      <c r="AP268" s="686"/>
      <c r="AQ268" s="686"/>
      <c r="AR268" s="686"/>
      <c r="AS268" s="686"/>
      <c r="AT268" s="686"/>
      <c r="AU268" s="686"/>
      <c r="AV268" s="686"/>
      <c r="AW268" s="686"/>
      <c r="AX268" s="686"/>
      <c r="AY268" s="686"/>
      <c r="AZ268" s="686"/>
      <c r="BA268" s="686"/>
      <c r="BB268" s="686"/>
      <c r="BC268" s="686"/>
      <c r="BD268" s="686"/>
      <c r="BE268" s="686"/>
      <c r="BF268" s="686"/>
      <c r="BG268" s="686"/>
      <c r="BH268" s="686"/>
    </row>
    <row r="269" spans="1:60" s="44" customFormat="1">
      <c r="A269" s="690"/>
      <c r="B269" s="690"/>
      <c r="C269" s="686"/>
      <c r="D269" s="686"/>
      <c r="E269" s="686"/>
      <c r="F269" s="686"/>
      <c r="G269" s="686"/>
      <c r="H269" s="686"/>
      <c r="I269" s="825"/>
      <c r="J269" s="686"/>
      <c r="K269" s="686"/>
      <c r="L269" s="686"/>
      <c r="M269" s="686"/>
      <c r="N269" s="686"/>
      <c r="O269" s="686"/>
      <c r="P269" s="686"/>
      <c r="Q269" s="825"/>
      <c r="R269" s="686"/>
      <c r="S269" s="686"/>
      <c r="T269" s="686"/>
      <c r="U269" s="686"/>
      <c r="V269" s="686"/>
      <c r="W269" s="686"/>
      <c r="X269" s="686"/>
      <c r="Y269" s="825"/>
      <c r="Z269" s="686"/>
      <c r="AA269" s="686"/>
      <c r="AB269" s="686"/>
      <c r="AC269" s="686"/>
      <c r="AD269" s="686"/>
      <c r="AE269" s="686"/>
      <c r="AF269" s="686"/>
      <c r="AG269" s="825"/>
      <c r="AH269" s="686"/>
      <c r="AI269" s="686"/>
      <c r="AJ269" s="686"/>
      <c r="AK269" s="686"/>
      <c r="AL269" s="686"/>
      <c r="AM269" s="686"/>
      <c r="AN269" s="686"/>
      <c r="AO269" s="825"/>
      <c r="AP269" s="686"/>
      <c r="AQ269" s="686"/>
      <c r="AR269" s="686"/>
      <c r="AS269" s="686"/>
      <c r="AT269" s="686"/>
      <c r="AU269" s="686"/>
      <c r="AV269" s="686"/>
      <c r="AW269" s="686"/>
      <c r="AX269" s="686"/>
      <c r="AY269" s="686"/>
      <c r="AZ269" s="686"/>
      <c r="BA269" s="686"/>
      <c r="BB269" s="686"/>
      <c r="BC269" s="686"/>
      <c r="BD269" s="686"/>
      <c r="BE269" s="686"/>
      <c r="BF269" s="686"/>
      <c r="BG269" s="686"/>
      <c r="BH269" s="686"/>
    </row>
    <row r="270" spans="1:60" s="44" customFormat="1">
      <c r="A270" s="690"/>
      <c r="B270" s="690"/>
      <c r="C270" s="686"/>
      <c r="D270" s="686"/>
      <c r="E270" s="686"/>
      <c r="F270" s="686"/>
      <c r="G270" s="686"/>
      <c r="H270" s="686"/>
      <c r="I270" s="825"/>
      <c r="J270" s="686"/>
      <c r="K270" s="686"/>
      <c r="L270" s="686"/>
      <c r="M270" s="686"/>
      <c r="N270" s="686"/>
      <c r="O270" s="686"/>
      <c r="P270" s="686"/>
      <c r="Q270" s="825"/>
      <c r="R270" s="686"/>
      <c r="S270" s="686"/>
      <c r="T270" s="686"/>
      <c r="U270" s="686"/>
      <c r="V270" s="686"/>
      <c r="W270" s="686"/>
      <c r="X270" s="686"/>
      <c r="Y270" s="825"/>
      <c r="Z270" s="686"/>
      <c r="AA270" s="686"/>
      <c r="AB270" s="686"/>
      <c r="AC270" s="686"/>
      <c r="AD270" s="686"/>
      <c r="AE270" s="686"/>
      <c r="AF270" s="686"/>
      <c r="AG270" s="825"/>
      <c r="AH270" s="686"/>
      <c r="AI270" s="686"/>
      <c r="AJ270" s="686"/>
      <c r="AK270" s="686"/>
      <c r="AL270" s="686"/>
      <c r="AM270" s="686"/>
      <c r="AN270" s="686"/>
      <c r="AO270" s="825"/>
      <c r="AP270" s="686"/>
      <c r="AQ270" s="686"/>
      <c r="AR270" s="686"/>
      <c r="AS270" s="686"/>
      <c r="AT270" s="686"/>
      <c r="AU270" s="686"/>
      <c r="AV270" s="686"/>
      <c r="AW270" s="686"/>
      <c r="AX270" s="686"/>
      <c r="AY270" s="686"/>
      <c r="AZ270" s="686"/>
      <c r="BA270" s="686"/>
      <c r="BB270" s="686"/>
      <c r="BC270" s="686"/>
      <c r="BD270" s="686"/>
      <c r="BE270" s="686"/>
      <c r="BF270" s="686"/>
      <c r="BG270" s="686"/>
      <c r="BH270" s="686"/>
    </row>
    <row r="271" spans="1:60" s="44" customFormat="1">
      <c r="A271" s="690"/>
      <c r="B271" s="690"/>
      <c r="C271" s="686"/>
      <c r="D271" s="686"/>
      <c r="E271" s="686"/>
      <c r="F271" s="686"/>
      <c r="G271" s="686"/>
      <c r="H271" s="686"/>
      <c r="I271" s="825"/>
      <c r="J271" s="686"/>
      <c r="K271" s="686"/>
      <c r="L271" s="686"/>
      <c r="M271" s="686"/>
      <c r="N271" s="686"/>
      <c r="O271" s="686"/>
      <c r="P271" s="686"/>
      <c r="Q271" s="825"/>
      <c r="R271" s="686"/>
      <c r="S271" s="686"/>
      <c r="T271" s="686"/>
      <c r="U271" s="686"/>
      <c r="V271" s="686"/>
      <c r="W271" s="686"/>
      <c r="X271" s="686"/>
      <c r="Y271" s="825"/>
      <c r="Z271" s="686"/>
      <c r="AA271" s="686"/>
      <c r="AB271" s="686"/>
      <c r="AC271" s="686"/>
      <c r="AD271" s="686"/>
      <c r="AE271" s="686"/>
      <c r="AF271" s="686"/>
      <c r="AG271" s="825"/>
      <c r="AH271" s="686"/>
      <c r="AI271" s="686"/>
      <c r="AJ271" s="686"/>
      <c r="AK271" s="686"/>
      <c r="AL271" s="686"/>
      <c r="AM271" s="686"/>
      <c r="AN271" s="686"/>
      <c r="AO271" s="825"/>
      <c r="AP271" s="686"/>
      <c r="AQ271" s="686"/>
      <c r="AR271" s="686"/>
      <c r="AS271" s="686"/>
      <c r="AT271" s="686"/>
      <c r="AU271" s="686"/>
      <c r="AV271" s="686"/>
      <c r="AW271" s="686"/>
      <c r="AX271" s="686"/>
      <c r="AY271" s="686"/>
      <c r="AZ271" s="686"/>
      <c r="BA271" s="686"/>
      <c r="BB271" s="686"/>
      <c r="BC271" s="686"/>
      <c r="BD271" s="686"/>
      <c r="BE271" s="686"/>
      <c r="BF271" s="686"/>
      <c r="BG271" s="686"/>
      <c r="BH271" s="686"/>
    </row>
    <row r="272" spans="1:60" s="44" customFormat="1">
      <c r="A272" s="690"/>
      <c r="B272" s="690"/>
      <c r="C272" s="686"/>
      <c r="D272" s="686"/>
      <c r="E272" s="686"/>
      <c r="F272" s="686"/>
      <c r="G272" s="686"/>
      <c r="H272" s="686"/>
      <c r="I272" s="825"/>
      <c r="J272" s="686"/>
      <c r="K272" s="686"/>
      <c r="L272" s="686"/>
      <c r="M272" s="686"/>
      <c r="N272" s="686"/>
      <c r="O272" s="686"/>
      <c r="P272" s="686"/>
      <c r="Q272" s="825"/>
      <c r="R272" s="686"/>
      <c r="S272" s="686"/>
      <c r="T272" s="686"/>
      <c r="U272" s="686"/>
      <c r="V272" s="686"/>
      <c r="W272" s="686"/>
      <c r="X272" s="686"/>
      <c r="Y272" s="825"/>
      <c r="Z272" s="686"/>
      <c r="AA272" s="686"/>
      <c r="AB272" s="686"/>
      <c r="AC272" s="686"/>
      <c r="AD272" s="686"/>
      <c r="AE272" s="686"/>
      <c r="AF272" s="686"/>
      <c r="AG272" s="825"/>
      <c r="AH272" s="686"/>
      <c r="AI272" s="686"/>
      <c r="AJ272" s="686"/>
      <c r="AK272" s="686"/>
      <c r="AL272" s="686"/>
      <c r="AM272" s="686"/>
      <c r="AN272" s="686"/>
      <c r="AO272" s="825"/>
      <c r="AP272" s="686"/>
      <c r="AQ272" s="686"/>
      <c r="AR272" s="686"/>
      <c r="AS272" s="686"/>
      <c r="AT272" s="686"/>
      <c r="AU272" s="686"/>
      <c r="AV272" s="686"/>
      <c r="AW272" s="686"/>
      <c r="AX272" s="686"/>
      <c r="AY272" s="686"/>
      <c r="AZ272" s="686"/>
      <c r="BA272" s="686"/>
      <c r="BB272" s="686"/>
      <c r="BC272" s="686"/>
      <c r="BD272" s="686"/>
      <c r="BE272" s="686"/>
      <c r="BF272" s="686"/>
      <c r="BG272" s="686"/>
      <c r="BH272" s="686"/>
    </row>
    <row r="273" spans="1:60" s="44" customFormat="1">
      <c r="A273" s="690"/>
      <c r="B273" s="690"/>
      <c r="C273" s="686"/>
      <c r="D273" s="686"/>
      <c r="E273" s="686"/>
      <c r="F273" s="686"/>
      <c r="G273" s="686"/>
      <c r="H273" s="686"/>
      <c r="I273" s="825"/>
      <c r="J273" s="686"/>
      <c r="K273" s="686"/>
      <c r="L273" s="686"/>
      <c r="M273" s="686"/>
      <c r="N273" s="686"/>
      <c r="O273" s="686"/>
      <c r="P273" s="686"/>
      <c r="Q273" s="825"/>
      <c r="R273" s="686"/>
      <c r="S273" s="686"/>
      <c r="T273" s="686"/>
      <c r="U273" s="686"/>
      <c r="V273" s="686"/>
      <c r="W273" s="686"/>
      <c r="X273" s="686"/>
      <c r="Y273" s="825"/>
      <c r="Z273" s="686"/>
      <c r="AA273" s="686"/>
      <c r="AB273" s="686"/>
      <c r="AC273" s="686"/>
      <c r="AD273" s="686"/>
      <c r="AE273" s="686"/>
      <c r="AF273" s="686"/>
      <c r="AG273" s="825"/>
      <c r="AH273" s="686"/>
      <c r="AI273" s="686"/>
      <c r="AJ273" s="686"/>
      <c r="AK273" s="686"/>
      <c r="AL273" s="686"/>
      <c r="AM273" s="686"/>
      <c r="AN273" s="686"/>
      <c r="AO273" s="825"/>
      <c r="AP273" s="686"/>
      <c r="AQ273" s="686"/>
      <c r="AR273" s="686"/>
      <c r="AS273" s="686"/>
      <c r="AT273" s="686"/>
      <c r="AU273" s="686"/>
      <c r="AV273" s="686"/>
      <c r="AW273" s="686"/>
      <c r="AX273" s="686"/>
      <c r="AY273" s="686"/>
      <c r="AZ273" s="686"/>
      <c r="BA273" s="686"/>
      <c r="BB273" s="686"/>
      <c r="BC273" s="686"/>
      <c r="BD273" s="686"/>
      <c r="BE273" s="686"/>
      <c r="BF273" s="686"/>
      <c r="BG273" s="686"/>
      <c r="BH273" s="686"/>
    </row>
    <row r="274" spans="1:60" s="44" customFormat="1">
      <c r="A274" s="690"/>
      <c r="B274" s="690"/>
      <c r="C274" s="686"/>
      <c r="D274" s="686"/>
      <c r="E274" s="686"/>
      <c r="F274" s="686"/>
      <c r="G274" s="686"/>
      <c r="H274" s="686"/>
      <c r="I274" s="825"/>
      <c r="J274" s="686"/>
      <c r="K274" s="686"/>
      <c r="L274" s="686"/>
      <c r="M274" s="686"/>
      <c r="N274" s="686"/>
      <c r="O274" s="686"/>
      <c r="P274" s="686"/>
      <c r="Q274" s="825"/>
      <c r="R274" s="686"/>
      <c r="S274" s="686"/>
      <c r="T274" s="686"/>
      <c r="U274" s="686"/>
      <c r="V274" s="686"/>
      <c r="W274" s="686"/>
      <c r="X274" s="686"/>
      <c r="Y274" s="825"/>
      <c r="Z274" s="686"/>
      <c r="AA274" s="686"/>
      <c r="AB274" s="686"/>
      <c r="AC274" s="686"/>
      <c r="AD274" s="686"/>
      <c r="AE274" s="686"/>
      <c r="AF274" s="686"/>
      <c r="AG274" s="825"/>
      <c r="AH274" s="686"/>
      <c r="AI274" s="686"/>
      <c r="AJ274" s="686"/>
      <c r="AK274" s="686"/>
      <c r="AL274" s="686"/>
      <c r="AM274" s="686"/>
      <c r="AN274" s="686"/>
      <c r="AO274" s="825"/>
      <c r="AP274" s="686"/>
      <c r="AQ274" s="686"/>
      <c r="AR274" s="686"/>
      <c r="AS274" s="686"/>
      <c r="AT274" s="686"/>
      <c r="AU274" s="686"/>
      <c r="AV274" s="686"/>
      <c r="AW274" s="686"/>
      <c r="AX274" s="686"/>
      <c r="AY274" s="686"/>
      <c r="AZ274" s="686"/>
      <c r="BA274" s="686"/>
      <c r="BB274" s="686"/>
      <c r="BC274" s="686"/>
      <c r="BD274" s="686"/>
      <c r="BE274" s="686"/>
      <c r="BF274" s="686"/>
      <c r="BG274" s="686"/>
      <c r="BH274" s="686"/>
    </row>
    <row r="275" spans="1:60" s="44" customFormat="1">
      <c r="A275" s="690"/>
      <c r="B275" s="690"/>
      <c r="C275" s="686"/>
      <c r="D275" s="686"/>
      <c r="E275" s="686"/>
      <c r="F275" s="686"/>
      <c r="G275" s="686"/>
      <c r="H275" s="686"/>
      <c r="I275" s="825"/>
      <c r="J275" s="686"/>
      <c r="K275" s="686"/>
      <c r="L275" s="686"/>
      <c r="M275" s="686"/>
      <c r="N275" s="686"/>
      <c r="O275" s="686"/>
      <c r="P275" s="686"/>
      <c r="Q275" s="825"/>
      <c r="R275" s="686"/>
      <c r="S275" s="686"/>
      <c r="T275" s="686"/>
      <c r="U275" s="686"/>
      <c r="V275" s="686"/>
      <c r="W275" s="686"/>
      <c r="X275" s="686"/>
      <c r="Y275" s="825"/>
      <c r="Z275" s="686"/>
      <c r="AA275" s="686"/>
      <c r="AB275" s="686"/>
      <c r="AC275" s="686"/>
      <c r="AD275" s="686"/>
      <c r="AE275" s="686"/>
      <c r="AF275" s="686"/>
      <c r="AG275" s="825"/>
      <c r="AH275" s="686"/>
      <c r="AI275" s="686"/>
      <c r="AJ275" s="686"/>
      <c r="AK275" s="686"/>
      <c r="AL275" s="686"/>
      <c r="AM275" s="686"/>
      <c r="AN275" s="686"/>
      <c r="AO275" s="825"/>
      <c r="AP275" s="686"/>
      <c r="AQ275" s="686"/>
      <c r="AR275" s="686"/>
      <c r="AS275" s="686"/>
      <c r="AT275" s="686"/>
      <c r="AU275" s="686"/>
      <c r="AV275" s="686"/>
      <c r="AW275" s="686"/>
      <c r="AX275" s="686"/>
      <c r="AY275" s="686"/>
      <c r="AZ275" s="686"/>
      <c r="BA275" s="686"/>
      <c r="BB275" s="686"/>
      <c r="BC275" s="686"/>
      <c r="BD275" s="686"/>
      <c r="BE275" s="686"/>
      <c r="BF275" s="686"/>
      <c r="BG275" s="686"/>
      <c r="BH275" s="686"/>
    </row>
    <row r="276" spans="1:60" s="44" customFormat="1">
      <c r="A276" s="690"/>
      <c r="B276" s="690"/>
      <c r="C276" s="686"/>
      <c r="D276" s="686"/>
      <c r="E276" s="686"/>
      <c r="F276" s="686"/>
      <c r="G276" s="686"/>
      <c r="H276" s="686"/>
      <c r="I276" s="825"/>
      <c r="J276" s="686"/>
      <c r="K276" s="686"/>
      <c r="L276" s="686"/>
      <c r="M276" s="686"/>
      <c r="N276" s="686"/>
      <c r="O276" s="686"/>
      <c r="P276" s="686"/>
      <c r="Q276" s="825"/>
      <c r="R276" s="686"/>
      <c r="S276" s="686"/>
      <c r="T276" s="686"/>
      <c r="U276" s="686"/>
      <c r="V276" s="686"/>
      <c r="W276" s="686"/>
      <c r="X276" s="686"/>
      <c r="Y276" s="825"/>
      <c r="Z276" s="686"/>
      <c r="AA276" s="686"/>
      <c r="AB276" s="686"/>
      <c r="AC276" s="686"/>
      <c r="AD276" s="686"/>
      <c r="AE276" s="686"/>
      <c r="AF276" s="686"/>
      <c r="AG276" s="825"/>
      <c r="AH276" s="686"/>
      <c r="AI276" s="686"/>
      <c r="AJ276" s="686"/>
      <c r="AK276" s="686"/>
      <c r="AL276" s="686"/>
      <c r="AM276" s="686"/>
      <c r="AN276" s="686"/>
      <c r="AO276" s="825"/>
      <c r="AP276" s="686"/>
      <c r="AQ276" s="686"/>
      <c r="AR276" s="686"/>
      <c r="AS276" s="686"/>
      <c r="AT276" s="686"/>
      <c r="AU276" s="686"/>
      <c r="AV276" s="686"/>
      <c r="AW276" s="686"/>
      <c r="AX276" s="686"/>
      <c r="AY276" s="686"/>
      <c r="AZ276" s="686"/>
      <c r="BA276" s="686"/>
      <c r="BB276" s="686"/>
      <c r="BC276" s="686"/>
      <c r="BD276" s="686"/>
      <c r="BE276" s="686"/>
      <c r="BF276" s="686"/>
      <c r="BG276" s="686"/>
      <c r="BH276" s="686"/>
    </row>
    <row r="277" spans="1:60" s="44" customFormat="1">
      <c r="A277" s="690"/>
      <c r="B277" s="690"/>
      <c r="C277" s="686"/>
      <c r="D277" s="686"/>
      <c r="E277" s="686"/>
      <c r="F277" s="686"/>
      <c r="G277" s="686"/>
      <c r="H277" s="686"/>
      <c r="I277" s="825"/>
      <c r="J277" s="686"/>
      <c r="K277" s="686"/>
      <c r="L277" s="686"/>
      <c r="M277" s="686"/>
      <c r="N277" s="686"/>
      <c r="O277" s="686"/>
      <c r="P277" s="686"/>
      <c r="Q277" s="825"/>
      <c r="R277" s="686"/>
      <c r="S277" s="686"/>
      <c r="T277" s="686"/>
      <c r="U277" s="686"/>
      <c r="V277" s="686"/>
      <c r="W277" s="686"/>
      <c r="X277" s="686"/>
      <c r="Y277" s="825"/>
      <c r="Z277" s="686"/>
      <c r="AA277" s="686"/>
      <c r="AB277" s="686"/>
      <c r="AC277" s="686"/>
      <c r="AD277" s="686"/>
      <c r="AE277" s="686"/>
      <c r="AF277" s="686"/>
      <c r="AG277" s="825"/>
      <c r="AH277" s="686"/>
      <c r="AI277" s="686"/>
      <c r="AJ277" s="686"/>
      <c r="AK277" s="686"/>
      <c r="AL277" s="686"/>
      <c r="AM277" s="686"/>
      <c r="AN277" s="686"/>
      <c r="AO277" s="825"/>
      <c r="AP277" s="686"/>
      <c r="AQ277" s="686"/>
      <c r="AR277" s="686"/>
      <c r="AS277" s="686"/>
      <c r="AT277" s="686"/>
      <c r="AU277" s="686"/>
      <c r="AV277" s="686"/>
      <c r="AW277" s="686"/>
      <c r="AX277" s="686"/>
      <c r="AY277" s="686"/>
      <c r="AZ277" s="686"/>
      <c r="BA277" s="686"/>
      <c r="BB277" s="686"/>
      <c r="BC277" s="686"/>
      <c r="BD277" s="686"/>
      <c r="BE277" s="686"/>
      <c r="BF277" s="686"/>
      <c r="BG277" s="686"/>
      <c r="BH277" s="686"/>
    </row>
    <row r="278" spans="1:60" s="44" customFormat="1">
      <c r="A278" s="690"/>
      <c r="B278" s="690"/>
      <c r="C278" s="686"/>
      <c r="D278" s="686"/>
      <c r="E278" s="686"/>
      <c r="F278" s="686"/>
      <c r="G278" s="686"/>
      <c r="H278" s="686"/>
      <c r="I278" s="825"/>
      <c r="J278" s="686"/>
      <c r="K278" s="686"/>
      <c r="L278" s="686"/>
      <c r="M278" s="686"/>
      <c r="N278" s="686"/>
      <c r="O278" s="686"/>
      <c r="P278" s="686"/>
      <c r="Q278" s="825"/>
      <c r="R278" s="686"/>
      <c r="S278" s="686"/>
      <c r="T278" s="686"/>
      <c r="U278" s="686"/>
      <c r="V278" s="686"/>
      <c r="W278" s="686"/>
      <c r="X278" s="686"/>
      <c r="Y278" s="825"/>
      <c r="Z278" s="686"/>
      <c r="AA278" s="686"/>
      <c r="AB278" s="686"/>
      <c r="AC278" s="686"/>
      <c r="AD278" s="686"/>
      <c r="AE278" s="686"/>
      <c r="AF278" s="686"/>
      <c r="AG278" s="825"/>
      <c r="AH278" s="686"/>
      <c r="AI278" s="686"/>
      <c r="AJ278" s="686"/>
      <c r="AK278" s="686"/>
      <c r="AL278" s="686"/>
      <c r="AM278" s="686"/>
      <c r="AN278" s="686"/>
      <c r="AO278" s="825"/>
      <c r="AP278" s="686"/>
      <c r="AQ278" s="686"/>
      <c r="AR278" s="686"/>
      <c r="AS278" s="686"/>
      <c r="AT278" s="686"/>
      <c r="AU278" s="686"/>
      <c r="AV278" s="686"/>
      <c r="AW278" s="686"/>
      <c r="AX278" s="686"/>
      <c r="AY278" s="686"/>
      <c r="AZ278" s="686"/>
      <c r="BA278" s="686"/>
      <c r="BB278" s="686"/>
      <c r="BC278" s="686"/>
      <c r="BD278" s="686"/>
      <c r="BE278" s="686"/>
      <c r="BF278" s="686"/>
      <c r="BG278" s="686"/>
      <c r="BH278" s="686"/>
    </row>
    <row r="279" spans="1:60" s="44" customFormat="1">
      <c r="A279" s="690"/>
      <c r="B279" s="690"/>
      <c r="C279" s="686"/>
      <c r="D279" s="686"/>
      <c r="E279" s="686"/>
      <c r="F279" s="686"/>
      <c r="G279" s="686"/>
      <c r="H279" s="686"/>
      <c r="I279" s="825"/>
      <c r="J279" s="686"/>
      <c r="K279" s="686"/>
      <c r="L279" s="686"/>
      <c r="M279" s="686"/>
      <c r="N279" s="686"/>
      <c r="O279" s="686"/>
      <c r="P279" s="686"/>
      <c r="Q279" s="825"/>
      <c r="R279" s="686"/>
      <c r="S279" s="686"/>
      <c r="T279" s="686"/>
      <c r="U279" s="686"/>
      <c r="V279" s="686"/>
      <c r="W279" s="686"/>
      <c r="X279" s="686"/>
      <c r="Y279" s="825"/>
      <c r="Z279" s="686"/>
      <c r="AA279" s="686"/>
      <c r="AB279" s="686"/>
      <c r="AC279" s="686"/>
      <c r="AD279" s="686"/>
      <c r="AE279" s="686"/>
      <c r="AF279" s="686"/>
      <c r="AG279" s="825"/>
      <c r="AH279" s="686"/>
      <c r="AI279" s="686"/>
      <c r="AJ279" s="686"/>
      <c r="AK279" s="686"/>
      <c r="AL279" s="686"/>
      <c r="AM279" s="686"/>
      <c r="AN279" s="686"/>
      <c r="AO279" s="825"/>
      <c r="AP279" s="686"/>
      <c r="AQ279" s="686"/>
      <c r="AR279" s="686"/>
      <c r="AS279" s="686"/>
      <c r="AT279" s="686"/>
      <c r="AU279" s="686"/>
      <c r="AV279" s="686"/>
      <c r="AW279" s="686"/>
      <c r="AX279" s="686"/>
      <c r="AY279" s="686"/>
      <c r="AZ279" s="686"/>
      <c r="BA279" s="686"/>
      <c r="BB279" s="686"/>
      <c r="BC279" s="686"/>
      <c r="BD279" s="686"/>
      <c r="BE279" s="686"/>
      <c r="BF279" s="686"/>
      <c r="BG279" s="686"/>
      <c r="BH279" s="686"/>
    </row>
    <row r="280" spans="1:60" s="44" customFormat="1">
      <c r="A280" s="690"/>
      <c r="B280" s="690"/>
      <c r="C280" s="686"/>
      <c r="D280" s="686"/>
      <c r="E280" s="686"/>
      <c r="F280" s="686"/>
      <c r="G280" s="686"/>
      <c r="H280" s="686"/>
      <c r="I280" s="825"/>
      <c r="J280" s="686"/>
      <c r="K280" s="686"/>
      <c r="L280" s="686"/>
      <c r="M280" s="686"/>
      <c r="N280" s="686"/>
      <c r="O280" s="686"/>
      <c r="P280" s="686"/>
      <c r="Q280" s="825"/>
      <c r="R280" s="686"/>
      <c r="S280" s="686"/>
      <c r="T280" s="686"/>
      <c r="U280" s="686"/>
      <c r="V280" s="686"/>
      <c r="W280" s="686"/>
      <c r="X280" s="686"/>
      <c r="Y280" s="825"/>
      <c r="Z280" s="686"/>
      <c r="AA280" s="686"/>
      <c r="AB280" s="686"/>
      <c r="AC280" s="686"/>
      <c r="AD280" s="686"/>
      <c r="AE280" s="686"/>
      <c r="AF280" s="686"/>
      <c r="AG280" s="825"/>
      <c r="AH280" s="686"/>
      <c r="AI280" s="686"/>
      <c r="AJ280" s="686"/>
      <c r="AK280" s="686"/>
      <c r="AL280" s="686"/>
      <c r="AM280" s="686"/>
      <c r="AN280" s="686"/>
      <c r="AO280" s="825"/>
      <c r="AP280" s="686"/>
      <c r="AQ280" s="686"/>
      <c r="AR280" s="686"/>
      <c r="AS280" s="686"/>
      <c r="AT280" s="686"/>
      <c r="AU280" s="686"/>
      <c r="AV280" s="686"/>
      <c r="AW280" s="686"/>
      <c r="AX280" s="686"/>
      <c r="AY280" s="686"/>
      <c r="AZ280" s="686"/>
      <c r="BA280" s="686"/>
      <c r="BB280" s="686"/>
      <c r="BC280" s="686"/>
      <c r="BD280" s="686"/>
      <c r="BE280" s="686"/>
      <c r="BF280" s="686"/>
      <c r="BG280" s="686"/>
      <c r="BH280" s="686"/>
    </row>
    <row r="281" spans="1:60" s="44" customFormat="1">
      <c r="A281" s="690"/>
      <c r="B281" s="690"/>
      <c r="C281" s="686"/>
      <c r="D281" s="686"/>
      <c r="E281" s="686"/>
      <c r="F281" s="686"/>
      <c r="G281" s="686"/>
      <c r="H281" s="686"/>
      <c r="I281" s="825"/>
      <c r="J281" s="686"/>
      <c r="K281" s="686"/>
      <c r="L281" s="686"/>
      <c r="M281" s="686"/>
      <c r="N281" s="686"/>
      <c r="O281" s="686"/>
      <c r="P281" s="686"/>
      <c r="Q281" s="825"/>
      <c r="R281" s="686"/>
      <c r="S281" s="686"/>
      <c r="T281" s="686"/>
      <c r="U281" s="686"/>
      <c r="V281" s="686"/>
      <c r="W281" s="686"/>
      <c r="X281" s="686"/>
      <c r="Y281" s="825"/>
      <c r="Z281" s="686"/>
      <c r="AA281" s="686"/>
      <c r="AB281" s="686"/>
      <c r="AC281" s="686"/>
      <c r="AD281" s="686"/>
      <c r="AE281" s="686"/>
      <c r="AF281" s="686"/>
      <c r="AG281" s="825"/>
      <c r="AH281" s="686"/>
      <c r="AI281" s="686"/>
      <c r="AJ281" s="686"/>
      <c r="AK281" s="686"/>
      <c r="AL281" s="686"/>
      <c r="AM281" s="686"/>
      <c r="AN281" s="686"/>
      <c r="AO281" s="825"/>
      <c r="AP281" s="686"/>
      <c r="AQ281" s="686"/>
      <c r="AR281" s="686"/>
      <c r="AS281" s="686"/>
      <c r="AT281" s="686"/>
      <c r="AU281" s="686"/>
      <c r="AV281" s="686"/>
      <c r="AW281" s="686"/>
      <c r="AX281" s="686"/>
      <c r="AY281" s="686"/>
      <c r="AZ281" s="686"/>
      <c r="BA281" s="686"/>
      <c r="BB281" s="686"/>
      <c r="BC281" s="686"/>
      <c r="BD281" s="686"/>
      <c r="BE281" s="686"/>
      <c r="BF281" s="686"/>
      <c r="BG281" s="686"/>
      <c r="BH281" s="686"/>
    </row>
    <row r="282" spans="1:60" s="44" customFormat="1">
      <c r="A282" s="690"/>
      <c r="B282" s="690"/>
      <c r="C282" s="686"/>
      <c r="D282" s="686"/>
      <c r="E282" s="686"/>
      <c r="F282" s="686"/>
      <c r="G282" s="686"/>
      <c r="H282" s="686"/>
      <c r="I282" s="825"/>
      <c r="J282" s="686"/>
      <c r="K282" s="686"/>
      <c r="L282" s="686"/>
      <c r="M282" s="686"/>
      <c r="N282" s="686"/>
      <c r="O282" s="686"/>
      <c r="P282" s="686"/>
      <c r="Q282" s="825"/>
      <c r="R282" s="686"/>
      <c r="S282" s="686"/>
      <c r="T282" s="686"/>
      <c r="U282" s="686"/>
      <c r="V282" s="686"/>
      <c r="W282" s="686"/>
      <c r="X282" s="686"/>
      <c r="Y282" s="825"/>
      <c r="Z282" s="686"/>
      <c r="AA282" s="686"/>
      <c r="AB282" s="686"/>
      <c r="AC282" s="686"/>
      <c r="AD282" s="686"/>
      <c r="AE282" s="686"/>
      <c r="AF282" s="686"/>
      <c r="AG282" s="825"/>
      <c r="AH282" s="686"/>
      <c r="AI282" s="686"/>
      <c r="AJ282" s="686"/>
      <c r="AK282" s="686"/>
      <c r="AL282" s="686"/>
      <c r="AM282" s="686"/>
      <c r="AN282" s="686"/>
      <c r="AO282" s="825"/>
      <c r="AP282" s="686"/>
      <c r="AQ282" s="686"/>
      <c r="AR282" s="686"/>
      <c r="AS282" s="686"/>
      <c r="AT282" s="686"/>
      <c r="AU282" s="686"/>
      <c r="AV282" s="686"/>
      <c r="AW282" s="686"/>
      <c r="AX282" s="686"/>
      <c r="AY282" s="686"/>
      <c r="AZ282" s="686"/>
      <c r="BA282" s="686"/>
      <c r="BB282" s="686"/>
      <c r="BC282" s="686"/>
      <c r="BD282" s="686"/>
      <c r="BE282" s="686"/>
      <c r="BF282" s="686"/>
      <c r="BG282" s="686"/>
      <c r="BH282" s="686"/>
    </row>
    <row r="283" spans="1:60" s="44" customFormat="1">
      <c r="A283" s="690"/>
      <c r="B283" s="690"/>
      <c r="C283" s="686"/>
      <c r="D283" s="686"/>
      <c r="E283" s="686"/>
      <c r="F283" s="686"/>
      <c r="G283" s="686"/>
      <c r="H283" s="686"/>
      <c r="I283" s="825"/>
      <c r="J283" s="686"/>
      <c r="K283" s="686"/>
      <c r="L283" s="686"/>
      <c r="M283" s="686"/>
      <c r="N283" s="686"/>
      <c r="O283" s="686"/>
      <c r="P283" s="686"/>
      <c r="Q283" s="825"/>
      <c r="R283" s="686"/>
      <c r="S283" s="686"/>
      <c r="T283" s="686"/>
      <c r="U283" s="686"/>
      <c r="V283" s="686"/>
      <c r="W283" s="686"/>
      <c r="X283" s="686"/>
      <c r="Y283" s="825"/>
      <c r="Z283" s="686"/>
      <c r="AA283" s="686"/>
      <c r="AB283" s="686"/>
      <c r="AC283" s="686"/>
      <c r="AD283" s="686"/>
      <c r="AE283" s="686"/>
      <c r="AF283" s="686"/>
      <c r="AG283" s="825"/>
      <c r="AH283" s="686"/>
      <c r="AI283" s="686"/>
      <c r="AJ283" s="686"/>
      <c r="AK283" s="686"/>
      <c r="AL283" s="686"/>
      <c r="AM283" s="686"/>
      <c r="AN283" s="686"/>
      <c r="AO283" s="825"/>
      <c r="AP283" s="686"/>
      <c r="AQ283" s="686"/>
      <c r="AR283" s="686"/>
      <c r="AS283" s="686"/>
      <c r="AT283" s="686"/>
      <c r="AU283" s="686"/>
      <c r="AV283" s="686"/>
      <c r="AW283" s="686"/>
      <c r="AX283" s="686"/>
      <c r="AY283" s="686"/>
      <c r="AZ283" s="686"/>
      <c r="BA283" s="686"/>
      <c r="BB283" s="686"/>
      <c r="BC283" s="686"/>
      <c r="BD283" s="686"/>
      <c r="BE283" s="686"/>
      <c r="BF283" s="686"/>
      <c r="BG283" s="686"/>
      <c r="BH283" s="686"/>
    </row>
    <row r="284" spans="1:60" s="44" customFormat="1">
      <c r="A284" s="690"/>
      <c r="B284" s="690"/>
      <c r="C284" s="686"/>
      <c r="D284" s="686"/>
      <c r="E284" s="686"/>
      <c r="F284" s="686"/>
      <c r="G284" s="686"/>
      <c r="H284" s="686"/>
      <c r="I284" s="825"/>
      <c r="J284" s="686"/>
      <c r="K284" s="686"/>
      <c r="L284" s="686"/>
      <c r="M284" s="686"/>
      <c r="N284" s="686"/>
      <c r="O284" s="686"/>
      <c r="P284" s="686"/>
      <c r="Q284" s="825"/>
      <c r="R284" s="686"/>
      <c r="S284" s="686"/>
      <c r="T284" s="686"/>
      <c r="U284" s="686"/>
      <c r="V284" s="686"/>
      <c r="W284" s="686"/>
      <c r="X284" s="686"/>
      <c r="Y284" s="825"/>
      <c r="Z284" s="686"/>
      <c r="AA284" s="686"/>
      <c r="AB284" s="686"/>
      <c r="AC284" s="686"/>
      <c r="AD284" s="686"/>
      <c r="AE284" s="686"/>
      <c r="AF284" s="686"/>
      <c r="AG284" s="825"/>
      <c r="AH284" s="686"/>
      <c r="AI284" s="686"/>
      <c r="AJ284" s="686"/>
      <c r="AK284" s="686"/>
      <c r="AL284" s="686"/>
      <c r="AM284" s="686"/>
      <c r="AN284" s="686"/>
      <c r="AO284" s="825"/>
      <c r="AP284" s="686"/>
      <c r="AQ284" s="686"/>
      <c r="AR284" s="686"/>
      <c r="AS284" s="686"/>
      <c r="AT284" s="686"/>
      <c r="AU284" s="686"/>
      <c r="AV284" s="686"/>
      <c r="AW284" s="686"/>
      <c r="AX284" s="686"/>
      <c r="AY284" s="686"/>
      <c r="AZ284" s="686"/>
      <c r="BA284" s="686"/>
      <c r="BB284" s="686"/>
      <c r="BC284" s="686"/>
      <c r="BD284" s="686"/>
      <c r="BE284" s="686"/>
      <c r="BF284" s="686"/>
      <c r="BG284" s="686"/>
      <c r="BH284" s="686"/>
    </row>
    <row r="285" spans="1:60" s="44" customFormat="1">
      <c r="A285" s="690"/>
      <c r="B285" s="690"/>
      <c r="C285" s="686"/>
      <c r="D285" s="686"/>
      <c r="E285" s="686"/>
      <c r="F285" s="686"/>
      <c r="G285" s="686"/>
      <c r="H285" s="686"/>
      <c r="I285" s="825"/>
      <c r="J285" s="686"/>
      <c r="K285" s="686"/>
      <c r="L285" s="686"/>
      <c r="M285" s="686"/>
      <c r="N285" s="686"/>
      <c r="O285" s="686"/>
      <c r="P285" s="686"/>
      <c r="Q285" s="825"/>
      <c r="R285" s="686"/>
      <c r="S285" s="686"/>
      <c r="T285" s="686"/>
      <c r="U285" s="686"/>
      <c r="V285" s="686"/>
      <c r="W285" s="686"/>
      <c r="X285" s="686"/>
      <c r="Y285" s="825"/>
      <c r="Z285" s="686"/>
      <c r="AA285" s="686"/>
      <c r="AB285" s="686"/>
      <c r="AC285" s="686"/>
      <c r="AD285" s="686"/>
      <c r="AE285" s="686"/>
      <c r="AF285" s="686"/>
      <c r="AG285" s="825"/>
      <c r="AH285" s="686"/>
      <c r="AI285" s="686"/>
      <c r="AJ285" s="686"/>
      <c r="AK285" s="686"/>
      <c r="AL285" s="686"/>
      <c r="AM285" s="686"/>
      <c r="AN285" s="686"/>
      <c r="AO285" s="825"/>
      <c r="AP285" s="686"/>
      <c r="AQ285" s="686"/>
      <c r="AR285" s="686"/>
      <c r="AS285" s="686"/>
      <c r="AT285" s="686"/>
      <c r="AU285" s="686"/>
      <c r="AV285" s="686"/>
      <c r="AW285" s="686"/>
      <c r="AX285" s="686"/>
      <c r="AY285" s="686"/>
      <c r="AZ285" s="686"/>
      <c r="BA285" s="686"/>
      <c r="BB285" s="686"/>
      <c r="BC285" s="686"/>
      <c r="BD285" s="686"/>
      <c r="BE285" s="686"/>
      <c r="BF285" s="686"/>
      <c r="BG285" s="686"/>
      <c r="BH285" s="686"/>
    </row>
    <row r="286" spans="1:60" s="44" customFormat="1">
      <c r="A286" s="690"/>
      <c r="B286" s="690"/>
      <c r="C286" s="686"/>
      <c r="D286" s="686"/>
      <c r="E286" s="686"/>
      <c r="F286" s="686"/>
      <c r="G286" s="686"/>
      <c r="H286" s="686"/>
      <c r="I286" s="825"/>
      <c r="J286" s="686"/>
      <c r="K286" s="686"/>
      <c r="L286" s="686"/>
      <c r="M286" s="686"/>
      <c r="N286" s="686"/>
      <c r="O286" s="686"/>
      <c r="P286" s="686"/>
      <c r="Q286" s="825"/>
      <c r="R286" s="686"/>
      <c r="S286" s="686"/>
      <c r="T286" s="686"/>
      <c r="U286" s="686"/>
      <c r="V286" s="686"/>
      <c r="W286" s="686"/>
      <c r="X286" s="686"/>
      <c r="Y286" s="825"/>
      <c r="Z286" s="686"/>
      <c r="AA286" s="686"/>
      <c r="AB286" s="686"/>
      <c r="AC286" s="686"/>
      <c r="AD286" s="686"/>
      <c r="AE286" s="686"/>
      <c r="AF286" s="686"/>
      <c r="AG286" s="825"/>
      <c r="AH286" s="686"/>
      <c r="AI286" s="686"/>
      <c r="AJ286" s="686"/>
      <c r="AK286" s="686"/>
      <c r="AL286" s="686"/>
      <c r="AM286" s="686"/>
      <c r="AN286" s="686"/>
      <c r="AO286" s="825"/>
      <c r="AP286" s="686"/>
      <c r="AQ286" s="686"/>
      <c r="AR286" s="686"/>
      <c r="AS286" s="686"/>
      <c r="AT286" s="686"/>
      <c r="AU286" s="686"/>
      <c r="AV286" s="686"/>
      <c r="AW286" s="686"/>
      <c r="AX286" s="686"/>
      <c r="AY286" s="686"/>
      <c r="AZ286" s="686"/>
      <c r="BA286" s="686"/>
      <c r="BB286" s="686"/>
      <c r="BC286" s="686"/>
      <c r="BD286" s="686"/>
      <c r="BE286" s="686"/>
      <c r="BF286" s="686"/>
      <c r="BG286" s="686"/>
      <c r="BH286" s="686"/>
    </row>
    <row r="287" spans="1:60" s="44" customFormat="1">
      <c r="A287" s="690"/>
      <c r="B287" s="690"/>
      <c r="C287" s="686"/>
      <c r="D287" s="686"/>
      <c r="E287" s="686"/>
      <c r="F287" s="686"/>
      <c r="G287" s="686"/>
      <c r="H287" s="686"/>
      <c r="I287" s="825"/>
      <c r="J287" s="686"/>
      <c r="K287" s="686"/>
      <c r="L287" s="686"/>
      <c r="M287" s="686"/>
      <c r="N287" s="686"/>
      <c r="O287" s="686"/>
      <c r="P287" s="686"/>
      <c r="Q287" s="825"/>
      <c r="R287" s="686"/>
      <c r="S287" s="686"/>
      <c r="T287" s="686"/>
      <c r="U287" s="686"/>
      <c r="V287" s="686"/>
      <c r="W287" s="686"/>
      <c r="X287" s="686"/>
      <c r="Y287" s="825"/>
      <c r="Z287" s="686"/>
      <c r="AA287" s="686"/>
      <c r="AB287" s="686"/>
      <c r="AC287" s="686"/>
      <c r="AD287" s="686"/>
      <c r="AE287" s="686"/>
      <c r="AF287" s="686"/>
      <c r="AG287" s="825"/>
      <c r="AH287" s="686"/>
      <c r="AI287" s="686"/>
      <c r="AJ287" s="686"/>
      <c r="AK287" s="686"/>
      <c r="AL287" s="686"/>
      <c r="AM287" s="686"/>
      <c r="AN287" s="686"/>
      <c r="AO287" s="825"/>
      <c r="AP287" s="686"/>
      <c r="AQ287" s="686"/>
      <c r="AR287" s="686"/>
      <c r="AS287" s="686"/>
      <c r="AT287" s="686"/>
      <c r="AU287" s="686"/>
      <c r="AV287" s="686"/>
      <c r="AW287" s="686"/>
      <c r="AX287" s="686"/>
      <c r="AY287" s="686"/>
      <c r="AZ287" s="686"/>
      <c r="BA287" s="686"/>
      <c r="BB287" s="686"/>
      <c r="BC287" s="686"/>
      <c r="BD287" s="686"/>
      <c r="BE287" s="686"/>
      <c r="BF287" s="686"/>
      <c r="BG287" s="686"/>
      <c r="BH287" s="686"/>
    </row>
    <row r="288" spans="1:60" s="44" customFormat="1">
      <c r="A288" s="690"/>
      <c r="B288" s="690"/>
      <c r="C288" s="686"/>
      <c r="D288" s="686"/>
      <c r="E288" s="686"/>
      <c r="F288" s="686"/>
      <c r="G288" s="686"/>
      <c r="H288" s="686"/>
      <c r="I288" s="825"/>
      <c r="J288" s="686"/>
      <c r="K288" s="686"/>
      <c r="L288" s="686"/>
      <c r="M288" s="686"/>
      <c r="N288" s="686"/>
      <c r="O288" s="686"/>
      <c r="P288" s="686"/>
      <c r="Q288" s="825"/>
      <c r="R288" s="686"/>
      <c r="S288" s="686"/>
      <c r="T288" s="686"/>
      <c r="U288" s="686"/>
      <c r="V288" s="686"/>
      <c r="W288" s="686"/>
      <c r="X288" s="686"/>
      <c r="Y288" s="825"/>
      <c r="Z288" s="686"/>
      <c r="AA288" s="686"/>
      <c r="AB288" s="686"/>
      <c r="AC288" s="686"/>
      <c r="AD288" s="686"/>
      <c r="AE288" s="686"/>
      <c r="AF288" s="686"/>
      <c r="AG288" s="825"/>
      <c r="AH288" s="686"/>
      <c r="AI288" s="686"/>
      <c r="AJ288" s="686"/>
      <c r="AK288" s="686"/>
      <c r="AL288" s="686"/>
      <c r="AM288" s="686"/>
      <c r="AN288" s="686"/>
      <c r="AO288" s="825"/>
      <c r="AP288" s="686"/>
      <c r="AQ288" s="686"/>
      <c r="AR288" s="686"/>
      <c r="AS288" s="686"/>
      <c r="AT288" s="686"/>
      <c r="AU288" s="686"/>
      <c r="AV288" s="686"/>
      <c r="AW288" s="686"/>
      <c r="AX288" s="686"/>
      <c r="AY288" s="686"/>
      <c r="AZ288" s="686"/>
      <c r="BA288" s="686"/>
      <c r="BB288" s="686"/>
      <c r="BC288" s="686"/>
      <c r="BD288" s="686"/>
      <c r="BE288" s="686"/>
      <c r="BF288" s="686"/>
      <c r="BG288" s="686"/>
      <c r="BH288" s="686"/>
    </row>
    <row r="289" spans="1:60" s="44" customFormat="1">
      <c r="A289" s="690"/>
      <c r="B289" s="690"/>
      <c r="C289" s="686"/>
      <c r="D289" s="686"/>
      <c r="E289" s="686"/>
      <c r="F289" s="686"/>
      <c r="G289" s="686"/>
      <c r="H289" s="686"/>
      <c r="I289" s="825"/>
      <c r="J289" s="686"/>
      <c r="K289" s="686"/>
      <c r="L289" s="686"/>
      <c r="M289" s="686"/>
      <c r="N289" s="686"/>
      <c r="O289" s="686"/>
      <c r="P289" s="686"/>
      <c r="Q289" s="825"/>
      <c r="R289" s="686"/>
      <c r="S289" s="686"/>
      <c r="T289" s="686"/>
      <c r="U289" s="686"/>
      <c r="V289" s="686"/>
      <c r="W289" s="686"/>
      <c r="X289" s="686"/>
      <c r="Y289" s="825"/>
      <c r="Z289" s="686"/>
      <c r="AA289" s="686"/>
      <c r="AB289" s="686"/>
      <c r="AC289" s="686"/>
      <c r="AD289" s="686"/>
      <c r="AE289" s="686"/>
      <c r="AF289" s="686"/>
      <c r="AG289" s="825"/>
      <c r="AH289" s="686"/>
      <c r="AI289" s="686"/>
      <c r="AJ289" s="686"/>
      <c r="AK289" s="686"/>
      <c r="AL289" s="686"/>
      <c r="AM289" s="686"/>
      <c r="AN289" s="686"/>
      <c r="AO289" s="825"/>
      <c r="AP289" s="686"/>
      <c r="AQ289" s="686"/>
      <c r="AR289" s="686"/>
      <c r="AS289" s="686"/>
      <c r="AT289" s="686"/>
      <c r="AU289" s="686"/>
      <c r="AV289" s="686"/>
      <c r="AW289" s="686"/>
      <c r="AX289" s="686"/>
      <c r="AY289" s="686"/>
      <c r="AZ289" s="686"/>
      <c r="BA289" s="686"/>
      <c r="BB289" s="686"/>
      <c r="BC289" s="686"/>
      <c r="BD289" s="686"/>
      <c r="BE289" s="686"/>
      <c r="BF289" s="686"/>
      <c r="BG289" s="686"/>
      <c r="BH289" s="686"/>
    </row>
    <row r="290" spans="1:60" s="44" customFormat="1">
      <c r="A290" s="690"/>
      <c r="B290" s="690"/>
      <c r="C290" s="686"/>
      <c r="D290" s="686"/>
      <c r="E290" s="686"/>
      <c r="F290" s="686"/>
      <c r="G290" s="686"/>
      <c r="H290" s="686"/>
      <c r="I290" s="825"/>
      <c r="J290" s="686"/>
      <c r="K290" s="686"/>
      <c r="L290" s="686"/>
      <c r="M290" s="686"/>
      <c r="N290" s="686"/>
      <c r="O290" s="686"/>
      <c r="P290" s="686"/>
      <c r="Q290" s="825"/>
      <c r="R290" s="686"/>
      <c r="S290" s="686"/>
      <c r="T290" s="686"/>
      <c r="U290" s="686"/>
      <c r="V290" s="686"/>
      <c r="W290" s="686"/>
      <c r="X290" s="686"/>
      <c r="Y290" s="825"/>
      <c r="Z290" s="686"/>
      <c r="AA290" s="686"/>
      <c r="AB290" s="686"/>
      <c r="AC290" s="686"/>
      <c r="AD290" s="686"/>
      <c r="AE290" s="686"/>
      <c r="AF290" s="686"/>
      <c r="AG290" s="825"/>
      <c r="AH290" s="686"/>
      <c r="AI290" s="686"/>
      <c r="AJ290" s="686"/>
      <c r="AK290" s="686"/>
      <c r="AL290" s="686"/>
      <c r="AM290" s="686"/>
      <c r="AN290" s="686"/>
      <c r="AO290" s="825"/>
      <c r="AP290" s="686"/>
      <c r="AQ290" s="686"/>
      <c r="AR290" s="686"/>
      <c r="AS290" s="686"/>
      <c r="AT290" s="686"/>
      <c r="AU290" s="686"/>
      <c r="AV290" s="686"/>
      <c r="AW290" s="686"/>
      <c r="AX290" s="686"/>
      <c r="AY290" s="686"/>
      <c r="AZ290" s="686"/>
      <c r="BA290" s="686"/>
      <c r="BB290" s="686"/>
      <c r="BC290" s="686"/>
      <c r="BD290" s="686"/>
      <c r="BE290" s="686"/>
      <c r="BF290" s="686"/>
      <c r="BG290" s="686"/>
      <c r="BH290" s="686"/>
    </row>
    <row r="291" spans="1:60" s="44" customFormat="1">
      <c r="A291" s="690"/>
      <c r="B291" s="690"/>
      <c r="C291" s="686"/>
      <c r="D291" s="686"/>
      <c r="E291" s="686"/>
      <c r="F291" s="686"/>
      <c r="G291" s="686"/>
      <c r="H291" s="686"/>
      <c r="I291" s="825"/>
      <c r="J291" s="686"/>
      <c r="K291" s="686"/>
      <c r="L291" s="686"/>
      <c r="M291" s="686"/>
      <c r="N291" s="686"/>
      <c r="O291" s="686"/>
      <c r="P291" s="686"/>
      <c r="Q291" s="825"/>
      <c r="R291" s="686"/>
      <c r="S291" s="686"/>
      <c r="T291" s="686"/>
      <c r="U291" s="686"/>
      <c r="V291" s="686"/>
      <c r="W291" s="686"/>
      <c r="X291" s="686"/>
      <c r="Y291" s="825"/>
      <c r="Z291" s="686"/>
      <c r="AA291" s="686"/>
      <c r="AB291" s="686"/>
      <c r="AC291" s="686"/>
      <c r="AD291" s="686"/>
      <c r="AE291" s="686"/>
      <c r="AF291" s="686"/>
      <c r="AG291" s="825"/>
      <c r="AH291" s="686"/>
      <c r="AI291" s="686"/>
      <c r="AJ291" s="686"/>
      <c r="AK291" s="686"/>
      <c r="AL291" s="686"/>
      <c r="AM291" s="686"/>
      <c r="AN291" s="686"/>
      <c r="AO291" s="825"/>
      <c r="AP291" s="686"/>
      <c r="AQ291" s="686"/>
      <c r="AR291" s="686"/>
      <c r="AS291" s="686"/>
      <c r="AT291" s="686"/>
      <c r="AU291" s="686"/>
      <c r="AV291" s="686"/>
      <c r="AW291" s="686"/>
      <c r="AX291" s="686"/>
      <c r="AY291" s="686"/>
      <c r="AZ291" s="686"/>
      <c r="BA291" s="686"/>
      <c r="BB291" s="686"/>
      <c r="BC291" s="686"/>
      <c r="BD291" s="686"/>
      <c r="BE291" s="686"/>
      <c r="BF291" s="686"/>
      <c r="BG291" s="686"/>
      <c r="BH291" s="686"/>
    </row>
    <row r="292" spans="1:60" s="44" customFormat="1">
      <c r="A292" s="690"/>
      <c r="B292" s="690"/>
      <c r="C292" s="686"/>
      <c r="D292" s="686"/>
      <c r="E292" s="686"/>
      <c r="F292" s="686"/>
      <c r="G292" s="686"/>
      <c r="H292" s="686"/>
      <c r="I292" s="825"/>
      <c r="J292" s="686"/>
      <c r="K292" s="686"/>
      <c r="L292" s="686"/>
      <c r="M292" s="686"/>
      <c r="N292" s="686"/>
      <c r="O292" s="686"/>
      <c r="P292" s="686"/>
      <c r="Q292" s="825"/>
      <c r="R292" s="686"/>
      <c r="S292" s="686"/>
      <c r="T292" s="686"/>
      <c r="U292" s="686"/>
      <c r="V292" s="686"/>
      <c r="W292" s="686"/>
      <c r="X292" s="686"/>
      <c r="Y292" s="825"/>
      <c r="Z292" s="686"/>
      <c r="AA292" s="686"/>
      <c r="AB292" s="686"/>
      <c r="AC292" s="686"/>
      <c r="AD292" s="686"/>
      <c r="AE292" s="686"/>
      <c r="AF292" s="686"/>
      <c r="AG292" s="825"/>
      <c r="AH292" s="686"/>
      <c r="AI292" s="686"/>
      <c r="AJ292" s="686"/>
      <c r="AK292" s="686"/>
      <c r="AL292" s="686"/>
      <c r="AM292" s="686"/>
      <c r="AN292" s="686"/>
      <c r="AO292" s="825"/>
      <c r="AP292" s="686"/>
      <c r="AQ292" s="686"/>
      <c r="AR292" s="686"/>
      <c r="AS292" s="686"/>
      <c r="AT292" s="686"/>
      <c r="AU292" s="686"/>
      <c r="AV292" s="686"/>
      <c r="AW292" s="686"/>
      <c r="AX292" s="686"/>
      <c r="AY292" s="686"/>
      <c r="AZ292" s="686"/>
      <c r="BA292" s="686"/>
      <c r="BB292" s="686"/>
      <c r="BC292" s="686"/>
      <c r="BD292" s="686"/>
      <c r="BE292" s="686"/>
      <c r="BF292" s="686"/>
      <c r="BG292" s="686"/>
      <c r="BH292" s="686"/>
    </row>
    <row r="293" spans="1:60" s="44" customFormat="1">
      <c r="A293" s="690"/>
      <c r="B293" s="690"/>
      <c r="C293" s="686"/>
      <c r="D293" s="686"/>
      <c r="E293" s="686"/>
      <c r="F293" s="686"/>
      <c r="G293" s="686"/>
      <c r="H293" s="686"/>
      <c r="I293" s="825"/>
      <c r="J293" s="686"/>
      <c r="K293" s="686"/>
      <c r="L293" s="686"/>
      <c r="M293" s="686"/>
      <c r="N293" s="686"/>
      <c r="O293" s="686"/>
      <c r="P293" s="686"/>
      <c r="Q293" s="825"/>
      <c r="R293" s="686"/>
      <c r="S293" s="686"/>
      <c r="T293" s="686"/>
      <c r="U293" s="686"/>
      <c r="V293" s="686"/>
      <c r="W293" s="686"/>
      <c r="X293" s="686"/>
      <c r="Y293" s="825"/>
      <c r="Z293" s="686"/>
      <c r="AA293" s="686"/>
      <c r="AB293" s="686"/>
      <c r="AC293" s="686"/>
      <c r="AD293" s="686"/>
      <c r="AE293" s="686"/>
      <c r="AF293" s="686"/>
      <c r="AG293" s="825"/>
      <c r="AH293" s="686"/>
      <c r="AI293" s="686"/>
      <c r="AJ293" s="686"/>
      <c r="AK293" s="686"/>
      <c r="AL293" s="686"/>
      <c r="AM293" s="686"/>
      <c r="AN293" s="686"/>
      <c r="AO293" s="825"/>
      <c r="AP293" s="686"/>
      <c r="AQ293" s="686"/>
      <c r="AR293" s="686"/>
      <c r="AS293" s="686"/>
      <c r="AT293" s="686"/>
      <c r="AU293" s="686"/>
      <c r="AV293" s="686"/>
      <c r="AW293" s="686"/>
      <c r="AX293" s="686"/>
      <c r="AY293" s="686"/>
      <c r="AZ293" s="686"/>
      <c r="BA293" s="686"/>
      <c r="BB293" s="686"/>
      <c r="BC293" s="686"/>
      <c r="BD293" s="686"/>
      <c r="BE293" s="686"/>
      <c r="BF293" s="686"/>
      <c r="BG293" s="686"/>
      <c r="BH293" s="686"/>
    </row>
    <row r="294" spans="1:60" s="44" customFormat="1">
      <c r="A294" s="690"/>
      <c r="B294" s="690"/>
      <c r="C294" s="686"/>
      <c r="D294" s="686"/>
      <c r="E294" s="686"/>
      <c r="F294" s="686"/>
      <c r="G294" s="686"/>
      <c r="H294" s="686"/>
      <c r="I294" s="825"/>
      <c r="J294" s="686"/>
      <c r="K294" s="686"/>
      <c r="L294" s="686"/>
      <c r="M294" s="686"/>
      <c r="N294" s="686"/>
      <c r="O294" s="686"/>
      <c r="P294" s="686"/>
      <c r="Q294" s="825"/>
      <c r="R294" s="686"/>
      <c r="S294" s="686"/>
      <c r="T294" s="686"/>
      <c r="U294" s="686"/>
      <c r="V294" s="686"/>
      <c r="W294" s="686"/>
      <c r="X294" s="686"/>
      <c r="Y294" s="825"/>
      <c r="Z294" s="686"/>
      <c r="AA294" s="686"/>
      <c r="AB294" s="686"/>
      <c r="AC294" s="686"/>
      <c r="AD294" s="686"/>
      <c r="AE294" s="686"/>
      <c r="AF294" s="686"/>
      <c r="AG294" s="825"/>
      <c r="AH294" s="686"/>
      <c r="AI294" s="686"/>
      <c r="AJ294" s="686"/>
      <c r="AK294" s="686"/>
      <c r="AL294" s="686"/>
      <c r="AM294" s="686"/>
      <c r="AN294" s="686"/>
      <c r="AO294" s="825"/>
      <c r="AP294" s="686"/>
      <c r="AQ294" s="686"/>
      <c r="AR294" s="686"/>
      <c r="AS294" s="686"/>
      <c r="AT294" s="686"/>
      <c r="AU294" s="686"/>
      <c r="AV294" s="686"/>
      <c r="AW294" s="686"/>
      <c r="AX294" s="686"/>
      <c r="AY294" s="686"/>
      <c r="AZ294" s="686"/>
      <c r="BA294" s="686"/>
      <c r="BB294" s="686"/>
      <c r="BC294" s="686"/>
      <c r="BD294" s="686"/>
      <c r="BE294" s="686"/>
      <c r="BF294" s="686"/>
      <c r="BG294" s="686"/>
      <c r="BH294" s="686"/>
    </row>
    <row r="295" spans="1:60" s="44" customFormat="1">
      <c r="A295" s="690"/>
      <c r="B295" s="690"/>
      <c r="C295" s="686"/>
      <c r="D295" s="686"/>
      <c r="E295" s="686"/>
      <c r="F295" s="686"/>
      <c r="G295" s="686"/>
      <c r="H295" s="686"/>
      <c r="I295" s="825"/>
      <c r="J295" s="686"/>
      <c r="K295" s="686"/>
      <c r="L295" s="686"/>
      <c r="M295" s="686"/>
      <c r="N295" s="686"/>
      <c r="O295" s="686"/>
      <c r="P295" s="686"/>
      <c r="Q295" s="825"/>
      <c r="R295" s="686"/>
      <c r="S295" s="686"/>
      <c r="T295" s="686"/>
      <c r="U295" s="686"/>
      <c r="V295" s="686"/>
      <c r="W295" s="686"/>
      <c r="X295" s="686"/>
      <c r="Y295" s="825"/>
      <c r="Z295" s="686"/>
      <c r="AA295" s="686"/>
      <c r="AB295" s="686"/>
      <c r="AC295" s="686"/>
      <c r="AD295" s="686"/>
      <c r="AE295" s="686"/>
      <c r="AF295" s="686"/>
      <c r="AG295" s="825"/>
      <c r="AH295" s="686"/>
      <c r="AI295" s="686"/>
      <c r="AJ295" s="686"/>
      <c r="AK295" s="686"/>
      <c r="AL295" s="686"/>
      <c r="AM295" s="686"/>
      <c r="AN295" s="686"/>
      <c r="AO295" s="825"/>
      <c r="AP295" s="686"/>
      <c r="AQ295" s="686"/>
      <c r="AR295" s="686"/>
      <c r="AS295" s="686"/>
      <c r="AT295" s="686"/>
      <c r="AU295" s="686"/>
      <c r="AV295" s="686"/>
      <c r="AW295" s="686"/>
      <c r="AX295" s="686"/>
      <c r="AY295" s="686"/>
      <c r="AZ295" s="686"/>
      <c r="BA295" s="686"/>
      <c r="BB295" s="686"/>
      <c r="BC295" s="686"/>
      <c r="BD295" s="686"/>
      <c r="BE295" s="686"/>
      <c r="BF295" s="686"/>
      <c r="BG295" s="686"/>
      <c r="BH295" s="686"/>
    </row>
    <row r="296" spans="1:60" s="44" customFormat="1">
      <c r="A296" s="690"/>
      <c r="B296" s="690"/>
      <c r="C296" s="686"/>
      <c r="D296" s="686"/>
      <c r="E296" s="686"/>
      <c r="F296" s="686"/>
      <c r="G296" s="686"/>
      <c r="H296" s="686"/>
      <c r="I296" s="825"/>
      <c r="J296" s="686"/>
      <c r="K296" s="686"/>
      <c r="L296" s="686"/>
      <c r="M296" s="686"/>
      <c r="N296" s="686"/>
      <c r="O296" s="686"/>
      <c r="P296" s="686"/>
      <c r="Q296" s="825"/>
      <c r="R296" s="686"/>
      <c r="S296" s="686"/>
      <c r="T296" s="686"/>
      <c r="U296" s="686"/>
      <c r="V296" s="686"/>
      <c r="W296" s="686"/>
      <c r="X296" s="686"/>
      <c r="Y296" s="825"/>
      <c r="Z296" s="686"/>
      <c r="AA296" s="686"/>
      <c r="AB296" s="686"/>
      <c r="AC296" s="686"/>
      <c r="AD296" s="686"/>
      <c r="AE296" s="686"/>
      <c r="AF296" s="686"/>
      <c r="AG296" s="825"/>
      <c r="AH296" s="686"/>
      <c r="AI296" s="686"/>
      <c r="AJ296" s="686"/>
      <c r="AK296" s="686"/>
      <c r="AL296" s="686"/>
      <c r="AM296" s="686"/>
      <c r="AN296" s="686"/>
      <c r="AO296" s="825"/>
      <c r="AP296" s="686"/>
      <c r="AQ296" s="686"/>
      <c r="AR296" s="686"/>
      <c r="AS296" s="686"/>
      <c r="AT296" s="686"/>
      <c r="AU296" s="686"/>
      <c r="AV296" s="686"/>
      <c r="AW296" s="686"/>
      <c r="AX296" s="686"/>
      <c r="AY296" s="686"/>
      <c r="AZ296" s="686"/>
      <c r="BA296" s="686"/>
      <c r="BB296" s="686"/>
      <c r="BC296" s="686"/>
      <c r="BD296" s="686"/>
      <c r="BE296" s="686"/>
      <c r="BF296" s="686"/>
      <c r="BG296" s="686"/>
      <c r="BH296" s="686"/>
    </row>
    <row r="297" spans="1:60" s="44" customFormat="1">
      <c r="A297" s="690"/>
      <c r="B297" s="690"/>
      <c r="C297" s="686"/>
      <c r="D297" s="686"/>
      <c r="E297" s="686"/>
      <c r="F297" s="686"/>
      <c r="G297" s="686"/>
      <c r="H297" s="686"/>
      <c r="I297" s="825"/>
      <c r="J297" s="686"/>
      <c r="K297" s="686"/>
      <c r="L297" s="686"/>
      <c r="M297" s="686"/>
      <c r="N297" s="686"/>
      <c r="O297" s="686"/>
      <c r="P297" s="686"/>
      <c r="Q297" s="825"/>
      <c r="R297" s="686"/>
      <c r="S297" s="686"/>
      <c r="T297" s="686"/>
      <c r="U297" s="686"/>
      <c r="V297" s="686"/>
      <c r="W297" s="686"/>
      <c r="X297" s="686"/>
      <c r="Y297" s="825"/>
      <c r="Z297" s="686"/>
      <c r="AA297" s="686"/>
      <c r="AB297" s="686"/>
      <c r="AC297" s="686"/>
      <c r="AD297" s="686"/>
      <c r="AE297" s="686"/>
      <c r="AF297" s="686"/>
      <c r="AG297" s="825"/>
      <c r="AH297" s="686"/>
      <c r="AI297" s="686"/>
      <c r="AJ297" s="686"/>
      <c r="AK297" s="686"/>
      <c r="AL297" s="686"/>
      <c r="AM297" s="686"/>
      <c r="AN297" s="686"/>
      <c r="AO297" s="825"/>
      <c r="AP297" s="686"/>
      <c r="AQ297" s="686"/>
      <c r="AR297" s="686"/>
      <c r="AS297" s="686"/>
      <c r="AT297" s="686"/>
      <c r="AU297" s="686"/>
      <c r="AV297" s="686"/>
      <c r="AW297" s="686"/>
      <c r="AX297" s="686"/>
      <c r="AY297" s="686"/>
      <c r="AZ297" s="686"/>
      <c r="BA297" s="686"/>
      <c r="BB297" s="686"/>
      <c r="BC297" s="686"/>
      <c r="BD297" s="686"/>
      <c r="BE297" s="686"/>
      <c r="BF297" s="686"/>
      <c r="BG297" s="686"/>
      <c r="BH297" s="686"/>
    </row>
    <row r="298" spans="1:60" s="44" customFormat="1">
      <c r="A298" s="690"/>
      <c r="B298" s="690"/>
      <c r="C298" s="686"/>
      <c r="D298" s="686"/>
      <c r="E298" s="686"/>
      <c r="F298" s="686"/>
      <c r="G298" s="686"/>
      <c r="H298" s="686"/>
      <c r="I298" s="825"/>
      <c r="J298" s="686"/>
      <c r="K298" s="686"/>
      <c r="L298" s="686"/>
      <c r="M298" s="686"/>
      <c r="N298" s="686"/>
      <c r="O298" s="686"/>
      <c r="P298" s="686"/>
      <c r="Q298" s="825"/>
      <c r="R298" s="686"/>
      <c r="S298" s="686"/>
      <c r="T298" s="686"/>
      <c r="U298" s="686"/>
      <c r="V298" s="686"/>
      <c r="W298" s="686"/>
      <c r="X298" s="686"/>
      <c r="Y298" s="825"/>
      <c r="Z298" s="686"/>
      <c r="AA298" s="686"/>
      <c r="AB298" s="686"/>
      <c r="AC298" s="686"/>
      <c r="AD298" s="686"/>
      <c r="AE298" s="686"/>
      <c r="AF298" s="686"/>
      <c r="AG298" s="825"/>
      <c r="AH298" s="686"/>
      <c r="AI298" s="686"/>
      <c r="AJ298" s="686"/>
      <c r="AK298" s="686"/>
      <c r="AL298" s="686"/>
      <c r="AM298" s="686"/>
      <c r="AN298" s="686"/>
      <c r="AO298" s="825"/>
      <c r="AP298" s="686"/>
      <c r="AQ298" s="686"/>
      <c r="AR298" s="686"/>
      <c r="AS298" s="686"/>
      <c r="AT298" s="686"/>
      <c r="AU298" s="686"/>
      <c r="AV298" s="686"/>
      <c r="AW298" s="686"/>
      <c r="AX298" s="686"/>
      <c r="AY298" s="686"/>
      <c r="AZ298" s="686"/>
      <c r="BA298" s="686"/>
      <c r="BB298" s="686"/>
      <c r="BC298" s="686"/>
      <c r="BD298" s="686"/>
      <c r="BE298" s="686"/>
      <c r="BF298" s="686"/>
      <c r="BG298" s="686"/>
      <c r="BH298" s="686"/>
    </row>
    <row r="299" spans="1:60" s="44" customFormat="1">
      <c r="A299" s="690"/>
      <c r="B299" s="690"/>
      <c r="C299" s="686"/>
      <c r="D299" s="686"/>
      <c r="E299" s="686"/>
      <c r="F299" s="686"/>
      <c r="G299" s="686"/>
      <c r="H299" s="686"/>
      <c r="I299" s="825"/>
      <c r="J299" s="686"/>
      <c r="K299" s="686"/>
      <c r="L299" s="686"/>
      <c r="M299" s="686"/>
      <c r="N299" s="686"/>
      <c r="O299" s="686"/>
      <c r="P299" s="686"/>
      <c r="Q299" s="825"/>
      <c r="R299" s="686"/>
      <c r="S299" s="686"/>
      <c r="T299" s="686"/>
      <c r="U299" s="686"/>
      <c r="V299" s="686"/>
      <c r="W299" s="686"/>
      <c r="X299" s="686"/>
      <c r="Y299" s="825"/>
      <c r="Z299" s="686"/>
      <c r="AA299" s="686"/>
      <c r="AB299" s="686"/>
      <c r="AC299" s="686"/>
      <c r="AD299" s="686"/>
      <c r="AE299" s="686"/>
      <c r="AF299" s="686"/>
      <c r="AG299" s="825"/>
      <c r="AH299" s="686"/>
      <c r="AI299" s="686"/>
      <c r="AJ299" s="686"/>
      <c r="AK299" s="686"/>
      <c r="AL299" s="686"/>
      <c r="AM299" s="686"/>
      <c r="AN299" s="686"/>
      <c r="AO299" s="825"/>
      <c r="AP299" s="686"/>
      <c r="AQ299" s="686"/>
      <c r="AR299" s="686"/>
      <c r="AS299" s="686"/>
      <c r="AT299" s="686"/>
      <c r="AU299" s="686"/>
      <c r="AV299" s="686"/>
      <c r="AW299" s="686"/>
      <c r="AX299" s="686"/>
      <c r="AY299" s="686"/>
      <c r="AZ299" s="686"/>
      <c r="BA299" s="686"/>
      <c r="BB299" s="686"/>
      <c r="BC299" s="686"/>
      <c r="BD299" s="686"/>
      <c r="BE299" s="686"/>
      <c r="BF299" s="686"/>
      <c r="BG299" s="686"/>
      <c r="BH299" s="686"/>
    </row>
    <row r="300" spans="1:60" s="44" customFormat="1">
      <c r="A300" s="690"/>
      <c r="B300" s="690"/>
      <c r="C300" s="686"/>
      <c r="D300" s="686"/>
      <c r="E300" s="686"/>
      <c r="F300" s="686"/>
      <c r="G300" s="686"/>
      <c r="H300" s="686"/>
      <c r="I300" s="825"/>
      <c r="J300" s="686"/>
      <c r="K300" s="686"/>
      <c r="L300" s="686"/>
      <c r="M300" s="686"/>
      <c r="N300" s="686"/>
      <c r="O300" s="686"/>
      <c r="P300" s="686"/>
      <c r="Q300" s="825"/>
      <c r="R300" s="686"/>
      <c r="S300" s="686"/>
      <c r="T300" s="686"/>
      <c r="U300" s="686"/>
      <c r="V300" s="686"/>
      <c r="W300" s="686"/>
      <c r="X300" s="686"/>
      <c r="Y300" s="825"/>
      <c r="Z300" s="686"/>
      <c r="AA300" s="686"/>
      <c r="AB300" s="686"/>
      <c r="AC300" s="686"/>
      <c r="AD300" s="686"/>
      <c r="AE300" s="686"/>
      <c r="AF300" s="686"/>
      <c r="AG300" s="825"/>
      <c r="AH300" s="686"/>
      <c r="AI300" s="686"/>
      <c r="AJ300" s="686"/>
      <c r="AK300" s="686"/>
      <c r="AL300" s="686"/>
      <c r="AM300" s="686"/>
      <c r="AN300" s="686"/>
      <c r="AO300" s="825"/>
      <c r="AP300" s="686"/>
      <c r="AQ300" s="686"/>
      <c r="AR300" s="686"/>
      <c r="AS300" s="686"/>
      <c r="AT300" s="686"/>
      <c r="AU300" s="686"/>
      <c r="AV300" s="686"/>
      <c r="AW300" s="686"/>
      <c r="AX300" s="686"/>
      <c r="AY300" s="686"/>
      <c r="AZ300" s="686"/>
      <c r="BA300" s="686"/>
      <c r="BB300" s="686"/>
      <c r="BC300" s="686"/>
      <c r="BD300" s="686"/>
      <c r="BE300" s="686"/>
      <c r="BF300" s="686"/>
      <c r="BG300" s="686"/>
      <c r="BH300" s="686"/>
    </row>
    <row r="301" spans="1:60" s="44" customFormat="1">
      <c r="A301" s="690"/>
      <c r="B301" s="690"/>
      <c r="C301" s="686"/>
      <c r="D301" s="686"/>
      <c r="E301" s="686"/>
      <c r="F301" s="686"/>
      <c r="G301" s="686"/>
      <c r="H301" s="686"/>
      <c r="I301" s="825"/>
      <c r="J301" s="686"/>
      <c r="K301" s="686"/>
      <c r="L301" s="686"/>
      <c r="M301" s="686"/>
      <c r="N301" s="686"/>
      <c r="O301" s="686"/>
      <c r="P301" s="686"/>
      <c r="Q301" s="825"/>
      <c r="R301" s="686"/>
      <c r="S301" s="686"/>
      <c r="T301" s="686"/>
      <c r="U301" s="686"/>
      <c r="V301" s="686"/>
      <c r="W301" s="686"/>
      <c r="X301" s="686"/>
      <c r="Y301" s="825"/>
      <c r="Z301" s="686"/>
      <c r="AA301" s="686"/>
      <c r="AB301" s="686"/>
      <c r="AC301" s="686"/>
      <c r="AD301" s="686"/>
      <c r="AE301" s="686"/>
      <c r="AF301" s="686"/>
      <c r="AG301" s="825"/>
      <c r="AH301" s="686"/>
      <c r="AI301" s="686"/>
      <c r="AJ301" s="686"/>
      <c r="AK301" s="686"/>
      <c r="AL301" s="686"/>
      <c r="AM301" s="686"/>
      <c r="AN301" s="686"/>
      <c r="AO301" s="825"/>
      <c r="AP301" s="686"/>
      <c r="AQ301" s="686"/>
      <c r="AR301" s="686"/>
      <c r="AS301" s="686"/>
      <c r="AT301" s="686"/>
      <c r="AU301" s="686"/>
      <c r="AV301" s="686"/>
      <c r="AW301" s="686"/>
      <c r="AX301" s="686"/>
      <c r="AY301" s="686"/>
      <c r="AZ301" s="686"/>
      <c r="BA301" s="686"/>
      <c r="BB301" s="686"/>
      <c r="BC301" s="686"/>
      <c r="BD301" s="686"/>
      <c r="BE301" s="686"/>
      <c r="BF301" s="686"/>
      <c r="BG301" s="686"/>
      <c r="BH301" s="686"/>
    </row>
    <row r="302" spans="1:60" s="44" customFormat="1">
      <c r="A302" s="690"/>
      <c r="B302" s="690"/>
      <c r="C302" s="686"/>
      <c r="D302" s="686"/>
      <c r="E302" s="686"/>
      <c r="F302" s="686"/>
      <c r="G302" s="686"/>
      <c r="H302" s="686"/>
      <c r="I302" s="825"/>
      <c r="J302" s="686"/>
      <c r="K302" s="686"/>
      <c r="L302" s="686"/>
      <c r="M302" s="686"/>
      <c r="N302" s="686"/>
      <c r="O302" s="686"/>
      <c r="P302" s="686"/>
      <c r="Q302" s="825"/>
      <c r="R302" s="686"/>
      <c r="S302" s="686"/>
      <c r="T302" s="686"/>
      <c r="U302" s="686"/>
      <c r="V302" s="686"/>
      <c r="W302" s="686"/>
      <c r="X302" s="686"/>
      <c r="Y302" s="825"/>
      <c r="Z302" s="686"/>
      <c r="AA302" s="686"/>
      <c r="AB302" s="686"/>
      <c r="AC302" s="686"/>
      <c r="AD302" s="686"/>
      <c r="AE302" s="686"/>
      <c r="AF302" s="686"/>
      <c r="AG302" s="825"/>
      <c r="AH302" s="686"/>
      <c r="AI302" s="686"/>
      <c r="AJ302" s="686"/>
      <c r="AK302" s="686"/>
      <c r="AL302" s="686"/>
      <c r="AM302" s="686"/>
      <c r="AN302" s="686"/>
      <c r="AO302" s="825"/>
      <c r="AP302" s="686"/>
      <c r="AQ302" s="686"/>
      <c r="AR302" s="686"/>
      <c r="AS302" s="686"/>
      <c r="AT302" s="686"/>
      <c r="AU302" s="686"/>
      <c r="AV302" s="686"/>
      <c r="AW302" s="686"/>
      <c r="AX302" s="686"/>
      <c r="AY302" s="686"/>
      <c r="AZ302" s="686"/>
      <c r="BA302" s="686"/>
      <c r="BB302" s="686"/>
      <c r="BC302" s="686"/>
      <c r="BD302" s="686"/>
      <c r="BE302" s="686"/>
      <c r="BF302" s="686"/>
      <c r="BG302" s="686"/>
      <c r="BH302" s="686"/>
    </row>
    <row r="303" spans="1:60" s="44" customFormat="1">
      <c r="A303" s="690"/>
      <c r="B303" s="690"/>
      <c r="C303" s="686"/>
      <c r="D303" s="686"/>
      <c r="E303" s="686"/>
      <c r="F303" s="686"/>
      <c r="G303" s="686"/>
      <c r="H303" s="686"/>
      <c r="I303" s="825"/>
      <c r="J303" s="686"/>
      <c r="K303" s="686"/>
      <c r="L303" s="686"/>
      <c r="M303" s="686"/>
      <c r="N303" s="686"/>
      <c r="O303" s="686"/>
      <c r="P303" s="686"/>
      <c r="Q303" s="825"/>
      <c r="R303" s="686"/>
      <c r="S303" s="686"/>
      <c r="T303" s="686"/>
      <c r="U303" s="686"/>
      <c r="V303" s="686"/>
      <c r="W303" s="686"/>
      <c r="X303" s="686"/>
      <c r="Y303" s="825"/>
      <c r="Z303" s="686"/>
      <c r="AA303" s="686"/>
      <c r="AB303" s="686"/>
      <c r="AC303" s="686"/>
      <c r="AD303" s="686"/>
      <c r="AE303" s="686"/>
      <c r="AF303" s="686"/>
      <c r="AG303" s="825"/>
      <c r="AH303" s="686"/>
      <c r="AI303" s="686"/>
      <c r="AJ303" s="686"/>
      <c r="AK303" s="686"/>
      <c r="AL303" s="686"/>
      <c r="AM303" s="686"/>
      <c r="AN303" s="686"/>
      <c r="AO303" s="825"/>
      <c r="AP303" s="686"/>
      <c r="AQ303" s="686"/>
      <c r="AR303" s="686"/>
      <c r="AS303" s="686"/>
      <c r="AT303" s="686"/>
      <c r="AU303" s="686"/>
      <c r="AV303" s="686"/>
      <c r="AW303" s="686"/>
      <c r="AX303" s="686"/>
      <c r="AY303" s="686"/>
      <c r="AZ303" s="686"/>
      <c r="BA303" s="686"/>
      <c r="BB303" s="686"/>
      <c r="BC303" s="686"/>
      <c r="BD303" s="686"/>
      <c r="BE303" s="686"/>
      <c r="BF303" s="686"/>
      <c r="BG303" s="686"/>
      <c r="BH303" s="686"/>
    </row>
    <row r="304" spans="1:60" s="44" customFormat="1">
      <c r="A304" s="690"/>
      <c r="B304" s="690"/>
      <c r="C304" s="686"/>
      <c r="D304" s="686"/>
      <c r="E304" s="686"/>
      <c r="F304" s="686"/>
      <c r="G304" s="686"/>
      <c r="H304" s="686"/>
      <c r="I304" s="825"/>
      <c r="J304" s="686"/>
      <c r="K304" s="686"/>
      <c r="L304" s="686"/>
      <c r="M304" s="686"/>
      <c r="N304" s="686"/>
      <c r="O304" s="686"/>
      <c r="P304" s="686"/>
      <c r="Q304" s="825"/>
      <c r="R304" s="686"/>
      <c r="S304" s="686"/>
      <c r="T304" s="686"/>
      <c r="U304" s="686"/>
      <c r="V304" s="686"/>
      <c r="W304" s="686"/>
      <c r="X304" s="686"/>
      <c r="Y304" s="825"/>
      <c r="Z304" s="686"/>
      <c r="AA304" s="686"/>
      <c r="AB304" s="686"/>
      <c r="AC304" s="686"/>
      <c r="AD304" s="686"/>
      <c r="AE304" s="686"/>
      <c r="AF304" s="686"/>
      <c r="AG304" s="825"/>
      <c r="AH304" s="686"/>
      <c r="AI304" s="686"/>
      <c r="AJ304" s="686"/>
      <c r="AK304" s="686"/>
      <c r="AL304" s="686"/>
      <c r="AM304" s="686"/>
      <c r="AN304" s="686"/>
      <c r="AO304" s="825"/>
      <c r="AP304" s="686"/>
      <c r="AQ304" s="686"/>
      <c r="AR304" s="686"/>
      <c r="AS304" s="686"/>
      <c r="AT304" s="686"/>
      <c r="AU304" s="686"/>
      <c r="AV304" s="686"/>
      <c r="AW304" s="686"/>
      <c r="AX304" s="686"/>
      <c r="AY304" s="686"/>
      <c r="AZ304" s="686"/>
      <c r="BA304" s="686"/>
      <c r="BB304" s="686"/>
      <c r="BC304" s="686"/>
      <c r="BD304" s="686"/>
      <c r="BE304" s="686"/>
      <c r="BF304" s="686"/>
      <c r="BG304" s="686"/>
      <c r="BH304" s="686"/>
    </row>
    <row r="305" spans="1:60" s="44" customFormat="1">
      <c r="A305" s="690"/>
      <c r="B305" s="690"/>
      <c r="C305" s="686"/>
      <c r="D305" s="686"/>
      <c r="E305" s="686"/>
      <c r="F305" s="686"/>
      <c r="G305" s="686"/>
      <c r="H305" s="686"/>
      <c r="I305" s="825"/>
      <c r="J305" s="686"/>
      <c r="K305" s="686"/>
      <c r="L305" s="686"/>
      <c r="M305" s="686"/>
      <c r="N305" s="686"/>
      <c r="O305" s="686"/>
      <c r="P305" s="686"/>
      <c r="Q305" s="825"/>
      <c r="R305" s="686"/>
      <c r="S305" s="686"/>
      <c r="T305" s="686"/>
      <c r="U305" s="686"/>
      <c r="V305" s="686"/>
      <c r="W305" s="686"/>
      <c r="X305" s="686"/>
      <c r="Y305" s="825"/>
      <c r="Z305" s="686"/>
      <c r="AA305" s="686"/>
      <c r="AB305" s="686"/>
      <c r="AC305" s="686"/>
      <c r="AD305" s="686"/>
      <c r="AE305" s="686"/>
      <c r="AF305" s="686"/>
      <c r="AG305" s="825"/>
      <c r="AH305" s="686"/>
      <c r="AI305" s="686"/>
      <c r="AJ305" s="686"/>
      <c r="AK305" s="686"/>
      <c r="AL305" s="686"/>
      <c r="AM305" s="686"/>
      <c r="AN305" s="686"/>
      <c r="AO305" s="825"/>
      <c r="AP305" s="686"/>
      <c r="AQ305" s="686"/>
      <c r="AR305" s="686"/>
      <c r="AS305" s="686"/>
      <c r="AT305" s="686"/>
      <c r="AU305" s="686"/>
      <c r="AV305" s="686"/>
      <c r="AW305" s="686"/>
      <c r="AX305" s="686"/>
      <c r="AY305" s="686"/>
      <c r="AZ305" s="686"/>
      <c r="BA305" s="686"/>
      <c r="BB305" s="686"/>
      <c r="BC305" s="686"/>
      <c r="BD305" s="686"/>
      <c r="BE305" s="686"/>
      <c r="BF305" s="686"/>
      <c r="BG305" s="686"/>
      <c r="BH305" s="686"/>
    </row>
    <row r="306" spans="1:60" s="44" customFormat="1">
      <c r="A306" s="690"/>
      <c r="B306" s="690"/>
      <c r="C306" s="686"/>
      <c r="D306" s="686"/>
      <c r="E306" s="686"/>
      <c r="F306" s="686"/>
      <c r="G306" s="686"/>
      <c r="H306" s="686"/>
      <c r="I306" s="825"/>
      <c r="J306" s="686"/>
      <c r="K306" s="686"/>
      <c r="L306" s="686"/>
      <c r="M306" s="686"/>
      <c r="N306" s="686"/>
      <c r="O306" s="686"/>
      <c r="P306" s="686"/>
      <c r="Q306" s="825"/>
      <c r="R306" s="686"/>
      <c r="S306" s="686"/>
      <c r="T306" s="686"/>
      <c r="U306" s="686"/>
      <c r="V306" s="686"/>
      <c r="W306" s="686"/>
      <c r="X306" s="686"/>
      <c r="Y306" s="825"/>
      <c r="Z306" s="686"/>
      <c r="AA306" s="686"/>
      <c r="AB306" s="686"/>
      <c r="AC306" s="686"/>
      <c r="AD306" s="686"/>
      <c r="AE306" s="686"/>
      <c r="AF306" s="686"/>
      <c r="AG306" s="825"/>
      <c r="AH306" s="686"/>
      <c r="AI306" s="686"/>
      <c r="AJ306" s="686"/>
      <c r="AK306" s="686"/>
      <c r="AL306" s="686"/>
      <c r="AM306" s="686"/>
      <c r="AN306" s="686"/>
      <c r="AO306" s="825"/>
      <c r="AP306" s="686"/>
      <c r="AQ306" s="686"/>
      <c r="AR306" s="686"/>
      <c r="AS306" s="686"/>
      <c r="AT306" s="686"/>
      <c r="AU306" s="686"/>
      <c r="AV306" s="686"/>
      <c r="AW306" s="686"/>
      <c r="AX306" s="686"/>
      <c r="AY306" s="686"/>
      <c r="AZ306" s="686"/>
      <c r="BA306" s="686"/>
      <c r="BB306" s="686"/>
      <c r="BC306" s="686"/>
      <c r="BD306" s="686"/>
      <c r="BE306" s="686"/>
      <c r="BF306" s="686"/>
      <c r="BG306" s="686"/>
      <c r="BH306" s="686"/>
    </row>
    <row r="307" spans="1:60" s="44" customFormat="1">
      <c r="A307" s="690"/>
      <c r="B307" s="690"/>
      <c r="C307" s="686"/>
      <c r="D307" s="686"/>
      <c r="E307" s="686"/>
      <c r="F307" s="686"/>
      <c r="G307" s="686"/>
      <c r="H307" s="686"/>
      <c r="I307" s="825"/>
      <c r="J307" s="686"/>
      <c r="K307" s="686"/>
      <c r="L307" s="686"/>
      <c r="M307" s="686"/>
      <c r="N307" s="686"/>
      <c r="O307" s="686"/>
      <c r="P307" s="686"/>
      <c r="Q307" s="825"/>
      <c r="R307" s="686"/>
      <c r="S307" s="686"/>
      <c r="T307" s="686"/>
      <c r="U307" s="686"/>
      <c r="V307" s="686"/>
      <c r="W307" s="686"/>
      <c r="X307" s="686"/>
      <c r="Y307" s="825"/>
      <c r="Z307" s="686"/>
      <c r="AA307" s="686"/>
      <c r="AB307" s="686"/>
      <c r="AC307" s="686"/>
      <c r="AD307" s="686"/>
      <c r="AE307" s="686"/>
      <c r="AF307" s="686"/>
      <c r="AG307" s="825"/>
      <c r="AH307" s="686"/>
      <c r="AI307" s="686"/>
      <c r="AJ307" s="686"/>
      <c r="AK307" s="686"/>
      <c r="AL307" s="686"/>
      <c r="AM307" s="686"/>
      <c r="AN307" s="686"/>
      <c r="AO307" s="825"/>
      <c r="AP307" s="686"/>
      <c r="AQ307" s="686"/>
      <c r="AR307" s="686"/>
      <c r="AS307" s="686"/>
      <c r="AT307" s="686"/>
      <c r="AU307" s="686"/>
      <c r="AV307" s="686"/>
      <c r="AW307" s="686"/>
      <c r="AX307" s="686"/>
      <c r="AY307" s="686"/>
      <c r="AZ307" s="686"/>
      <c r="BA307" s="686"/>
      <c r="BB307" s="686"/>
      <c r="BC307" s="686"/>
      <c r="BD307" s="686"/>
      <c r="BE307" s="686"/>
      <c r="BF307" s="686"/>
      <c r="BG307" s="686"/>
      <c r="BH307" s="686"/>
    </row>
    <row r="308" spans="1:60" s="44" customFormat="1">
      <c r="A308" s="690"/>
      <c r="B308" s="690"/>
      <c r="C308" s="686"/>
      <c r="D308" s="686"/>
      <c r="E308" s="686"/>
      <c r="F308" s="686"/>
      <c r="G308" s="686"/>
      <c r="H308" s="686"/>
      <c r="I308" s="825"/>
      <c r="J308" s="686"/>
      <c r="K308" s="686"/>
      <c r="L308" s="686"/>
      <c r="M308" s="686"/>
      <c r="N308" s="686"/>
      <c r="O308" s="686"/>
      <c r="P308" s="686"/>
      <c r="Q308" s="825"/>
      <c r="R308" s="686"/>
      <c r="S308" s="686"/>
      <c r="T308" s="686"/>
      <c r="U308" s="686"/>
      <c r="V308" s="686"/>
      <c r="W308" s="686"/>
      <c r="X308" s="686"/>
      <c r="Y308" s="825"/>
      <c r="Z308" s="686"/>
      <c r="AA308" s="686"/>
      <c r="AB308" s="686"/>
      <c r="AC308" s="686"/>
      <c r="AD308" s="686"/>
      <c r="AE308" s="686"/>
      <c r="AF308" s="686"/>
      <c r="AG308" s="825"/>
      <c r="AH308" s="686"/>
      <c r="AI308" s="686"/>
      <c r="AJ308" s="686"/>
      <c r="AK308" s="686"/>
      <c r="AL308" s="686"/>
      <c r="AM308" s="686"/>
      <c r="AN308" s="686"/>
      <c r="AO308" s="825"/>
      <c r="AP308" s="686"/>
      <c r="AQ308" s="686"/>
      <c r="AR308" s="686"/>
      <c r="AS308" s="686"/>
      <c r="AT308" s="686"/>
      <c r="AU308" s="686"/>
      <c r="AV308" s="686"/>
      <c r="AW308" s="686"/>
      <c r="AX308" s="686"/>
      <c r="AY308" s="686"/>
      <c r="AZ308" s="686"/>
      <c r="BA308" s="686"/>
      <c r="BB308" s="686"/>
      <c r="BC308" s="686"/>
      <c r="BD308" s="686"/>
      <c r="BE308" s="686"/>
      <c r="BF308" s="686"/>
      <c r="BG308" s="686"/>
      <c r="BH308" s="686"/>
    </row>
    <row r="309" spans="1:60" s="44" customFormat="1">
      <c r="A309" s="690"/>
      <c r="B309" s="690"/>
      <c r="C309" s="686"/>
      <c r="D309" s="686"/>
      <c r="E309" s="686"/>
      <c r="F309" s="686"/>
      <c r="G309" s="686"/>
      <c r="H309" s="686"/>
      <c r="I309" s="825"/>
      <c r="J309" s="686"/>
      <c r="K309" s="686"/>
      <c r="L309" s="686"/>
      <c r="M309" s="686"/>
      <c r="N309" s="686"/>
      <c r="O309" s="686"/>
      <c r="P309" s="686"/>
      <c r="Q309" s="825"/>
      <c r="R309" s="686"/>
      <c r="S309" s="686"/>
      <c r="T309" s="686"/>
      <c r="U309" s="686"/>
      <c r="V309" s="686"/>
      <c r="W309" s="686"/>
      <c r="X309" s="686"/>
      <c r="Y309" s="825"/>
      <c r="Z309" s="686"/>
      <c r="AA309" s="686"/>
      <c r="AB309" s="686"/>
      <c r="AC309" s="686"/>
      <c r="AD309" s="686"/>
      <c r="AE309" s="686"/>
      <c r="AF309" s="686"/>
      <c r="AG309" s="825"/>
      <c r="AH309" s="686"/>
      <c r="AI309" s="686"/>
      <c r="AJ309" s="686"/>
      <c r="AK309" s="686"/>
      <c r="AL309" s="686"/>
      <c r="AM309" s="686"/>
      <c r="AN309" s="686"/>
      <c r="AO309" s="825"/>
      <c r="AP309" s="686"/>
      <c r="AQ309" s="686"/>
      <c r="AR309" s="686"/>
      <c r="AS309" s="686"/>
      <c r="AT309" s="686"/>
      <c r="AU309" s="686"/>
      <c r="AV309" s="686"/>
      <c r="AW309" s="686"/>
      <c r="AX309" s="686"/>
      <c r="AY309" s="686"/>
      <c r="AZ309" s="686"/>
      <c r="BA309" s="686"/>
      <c r="BB309" s="686"/>
      <c r="BC309" s="686"/>
      <c r="BD309" s="686"/>
      <c r="BE309" s="686"/>
      <c r="BF309" s="686"/>
      <c r="BG309" s="686"/>
      <c r="BH309" s="686"/>
    </row>
    <row r="310" spans="1:60" s="44" customFormat="1">
      <c r="A310" s="690"/>
      <c r="B310" s="690"/>
      <c r="C310" s="686"/>
      <c r="D310" s="686"/>
      <c r="E310" s="686"/>
      <c r="F310" s="686"/>
      <c r="G310" s="686"/>
      <c r="H310" s="686"/>
      <c r="I310" s="825"/>
      <c r="J310" s="686"/>
      <c r="K310" s="686"/>
      <c r="L310" s="686"/>
      <c r="M310" s="686"/>
      <c r="N310" s="686"/>
      <c r="O310" s="686"/>
      <c r="P310" s="686"/>
      <c r="Q310" s="825"/>
      <c r="R310" s="686"/>
      <c r="S310" s="686"/>
      <c r="T310" s="686"/>
      <c r="U310" s="686"/>
      <c r="V310" s="686"/>
      <c r="W310" s="686"/>
      <c r="X310" s="686"/>
      <c r="Y310" s="825"/>
      <c r="Z310" s="686"/>
      <c r="AA310" s="686"/>
      <c r="AB310" s="686"/>
      <c r="AC310" s="686"/>
      <c r="AD310" s="686"/>
      <c r="AE310" s="686"/>
      <c r="AF310" s="686"/>
      <c r="AG310" s="825"/>
      <c r="AH310" s="686"/>
      <c r="AI310" s="686"/>
      <c r="AJ310" s="686"/>
      <c r="AK310" s="686"/>
      <c r="AL310" s="686"/>
      <c r="AM310" s="686"/>
      <c r="AN310" s="686"/>
      <c r="AO310" s="825"/>
      <c r="AP310" s="686"/>
      <c r="AQ310" s="686"/>
      <c r="AR310" s="686"/>
      <c r="AS310" s="686"/>
      <c r="AT310" s="686"/>
      <c r="AU310" s="686"/>
      <c r="AV310" s="686"/>
      <c r="AW310" s="686"/>
      <c r="AX310" s="686"/>
      <c r="AY310" s="686"/>
      <c r="AZ310" s="686"/>
      <c r="BA310" s="686"/>
      <c r="BB310" s="686"/>
      <c r="BC310" s="686"/>
      <c r="BD310" s="686"/>
      <c r="BE310" s="686"/>
      <c r="BF310" s="686"/>
      <c r="BG310" s="686"/>
      <c r="BH310" s="686"/>
    </row>
    <row r="311" spans="1:60" s="44" customFormat="1">
      <c r="A311" s="690"/>
      <c r="B311" s="690"/>
      <c r="C311" s="686"/>
      <c r="D311" s="686"/>
      <c r="E311" s="686"/>
      <c r="F311" s="686"/>
      <c r="G311" s="686"/>
      <c r="H311" s="686"/>
      <c r="I311" s="825"/>
      <c r="J311" s="686"/>
      <c r="K311" s="686"/>
      <c r="L311" s="686"/>
      <c r="M311" s="686"/>
      <c r="N311" s="686"/>
      <c r="O311" s="686"/>
      <c r="P311" s="686"/>
      <c r="Q311" s="825"/>
      <c r="R311" s="686"/>
      <c r="S311" s="686"/>
      <c r="T311" s="686"/>
      <c r="U311" s="686"/>
      <c r="V311" s="686"/>
      <c r="W311" s="686"/>
      <c r="X311" s="686"/>
      <c r="Y311" s="825"/>
      <c r="Z311" s="686"/>
      <c r="AA311" s="686"/>
      <c r="AB311" s="686"/>
      <c r="AC311" s="686"/>
      <c r="AD311" s="686"/>
      <c r="AE311" s="686"/>
      <c r="AF311" s="686"/>
      <c r="AG311" s="825"/>
      <c r="AH311" s="686"/>
      <c r="AI311" s="686"/>
      <c r="AJ311" s="686"/>
      <c r="AK311" s="686"/>
      <c r="AL311" s="686"/>
      <c r="AM311" s="686"/>
      <c r="AN311" s="686"/>
      <c r="AO311" s="825"/>
      <c r="AP311" s="686"/>
      <c r="AQ311" s="686"/>
      <c r="AR311" s="686"/>
      <c r="AS311" s="686"/>
      <c r="AT311" s="686"/>
      <c r="AU311" s="686"/>
      <c r="AV311" s="686"/>
      <c r="AW311" s="686"/>
      <c r="AX311" s="686"/>
      <c r="AY311" s="686"/>
      <c r="AZ311" s="686"/>
      <c r="BA311" s="686"/>
      <c r="BB311" s="686"/>
      <c r="BC311" s="686"/>
      <c r="BD311" s="686"/>
      <c r="BE311" s="686"/>
      <c r="BF311" s="686"/>
      <c r="BG311" s="686"/>
      <c r="BH311" s="686"/>
    </row>
    <row r="312" spans="1:60" s="44" customFormat="1">
      <c r="A312" s="690"/>
      <c r="B312" s="690"/>
      <c r="C312" s="686"/>
      <c r="D312" s="686"/>
      <c r="E312" s="686"/>
      <c r="F312" s="686"/>
      <c r="G312" s="686"/>
      <c r="H312" s="686"/>
      <c r="I312" s="825"/>
      <c r="J312" s="686"/>
      <c r="K312" s="686"/>
      <c r="L312" s="686"/>
      <c r="M312" s="686"/>
      <c r="N312" s="686"/>
      <c r="O312" s="686"/>
      <c r="P312" s="686"/>
      <c r="Q312" s="825"/>
      <c r="R312" s="686"/>
      <c r="S312" s="686"/>
      <c r="T312" s="686"/>
      <c r="U312" s="686"/>
      <c r="V312" s="686"/>
      <c r="W312" s="686"/>
      <c r="X312" s="686"/>
      <c r="Y312" s="825"/>
      <c r="Z312" s="686"/>
      <c r="AA312" s="686"/>
      <c r="AB312" s="686"/>
      <c r="AC312" s="686"/>
      <c r="AD312" s="686"/>
      <c r="AE312" s="686"/>
      <c r="AF312" s="686"/>
      <c r="AG312" s="825"/>
      <c r="AH312" s="686"/>
      <c r="AI312" s="686"/>
      <c r="AJ312" s="686"/>
      <c r="AK312" s="686"/>
      <c r="AL312" s="686"/>
      <c r="AM312" s="686"/>
      <c r="AN312" s="686"/>
      <c r="AO312" s="825"/>
      <c r="AP312" s="686"/>
      <c r="AQ312" s="686"/>
      <c r="AR312" s="686"/>
      <c r="AS312" s="686"/>
      <c r="AT312" s="686"/>
      <c r="AU312" s="686"/>
      <c r="AV312" s="686"/>
      <c r="AW312" s="686"/>
      <c r="AX312" s="686"/>
      <c r="AY312" s="686"/>
      <c r="AZ312" s="686"/>
      <c r="BA312" s="686"/>
      <c r="BB312" s="686"/>
      <c r="BC312" s="686"/>
      <c r="BD312" s="686"/>
      <c r="BE312" s="686"/>
      <c r="BF312" s="686"/>
      <c r="BG312" s="686"/>
      <c r="BH312" s="686"/>
    </row>
    <row r="313" spans="1:60" s="44" customFormat="1">
      <c r="A313" s="690"/>
      <c r="B313" s="690"/>
      <c r="C313" s="686"/>
      <c r="D313" s="686"/>
      <c r="E313" s="686"/>
      <c r="F313" s="686"/>
      <c r="G313" s="686"/>
      <c r="H313" s="686"/>
      <c r="I313" s="825"/>
      <c r="J313" s="686"/>
      <c r="K313" s="686"/>
      <c r="L313" s="686"/>
      <c r="M313" s="686"/>
      <c r="N313" s="686"/>
      <c r="O313" s="686"/>
      <c r="P313" s="686"/>
      <c r="Q313" s="825"/>
      <c r="R313" s="686"/>
      <c r="S313" s="686"/>
      <c r="T313" s="686"/>
      <c r="U313" s="686"/>
      <c r="V313" s="686"/>
      <c r="W313" s="686"/>
      <c r="X313" s="686"/>
      <c r="Y313" s="825"/>
      <c r="Z313" s="686"/>
      <c r="AA313" s="686"/>
      <c r="AB313" s="686"/>
      <c r="AC313" s="686"/>
      <c r="AD313" s="686"/>
      <c r="AE313" s="686"/>
      <c r="AF313" s="686"/>
      <c r="AG313" s="825"/>
      <c r="AH313" s="686"/>
      <c r="AI313" s="686"/>
      <c r="AJ313" s="686"/>
      <c r="AK313" s="686"/>
      <c r="AL313" s="686"/>
      <c r="AM313" s="686"/>
      <c r="AN313" s="686"/>
      <c r="AO313" s="825"/>
      <c r="AP313" s="686"/>
      <c r="AQ313" s="686"/>
      <c r="AR313" s="686"/>
      <c r="AS313" s="686"/>
      <c r="AT313" s="686"/>
      <c r="AU313" s="686"/>
      <c r="AV313" s="686"/>
      <c r="AW313" s="686"/>
      <c r="AX313" s="686"/>
      <c r="AY313" s="686"/>
      <c r="AZ313" s="686"/>
      <c r="BA313" s="686"/>
      <c r="BB313" s="686"/>
      <c r="BC313" s="686"/>
      <c r="BD313" s="686"/>
      <c r="BE313" s="686"/>
      <c r="BF313" s="686"/>
      <c r="BG313" s="686"/>
      <c r="BH313" s="686"/>
    </row>
    <row r="314" spans="1:60" s="44" customFormat="1">
      <c r="A314" s="690"/>
      <c r="B314" s="690"/>
      <c r="C314" s="686"/>
      <c r="D314" s="686"/>
      <c r="E314" s="686"/>
      <c r="F314" s="686"/>
      <c r="G314" s="686"/>
      <c r="H314" s="686"/>
      <c r="I314" s="825"/>
      <c r="J314" s="686"/>
      <c r="K314" s="686"/>
      <c r="L314" s="686"/>
      <c r="M314" s="686"/>
      <c r="N314" s="686"/>
      <c r="O314" s="686"/>
      <c r="P314" s="686"/>
      <c r="Q314" s="825"/>
      <c r="R314" s="686"/>
      <c r="S314" s="686"/>
      <c r="T314" s="686"/>
      <c r="U314" s="686"/>
      <c r="V314" s="686"/>
      <c r="W314" s="686"/>
      <c r="X314" s="686"/>
      <c r="Y314" s="825"/>
      <c r="Z314" s="686"/>
      <c r="AA314" s="686"/>
      <c r="AB314" s="686"/>
      <c r="AC314" s="686"/>
      <c r="AD314" s="686"/>
      <c r="AE314" s="686"/>
      <c r="AF314" s="686"/>
      <c r="AG314" s="825"/>
      <c r="AH314" s="686"/>
      <c r="AI314" s="686"/>
      <c r="AJ314" s="686"/>
      <c r="AK314" s="686"/>
      <c r="AL314" s="686"/>
      <c r="AM314" s="686"/>
      <c r="AN314" s="686"/>
      <c r="AO314" s="825"/>
      <c r="AP314" s="686"/>
      <c r="AQ314" s="686"/>
      <c r="AR314" s="686"/>
      <c r="AS314" s="686"/>
      <c r="AT314" s="686"/>
      <c r="AU314" s="686"/>
      <c r="AV314" s="686"/>
      <c r="AW314" s="686"/>
      <c r="AX314" s="686"/>
      <c r="AY314" s="686"/>
      <c r="AZ314" s="686"/>
      <c r="BA314" s="686"/>
      <c r="BB314" s="686"/>
      <c r="BC314" s="686"/>
      <c r="BD314" s="686"/>
      <c r="BE314" s="686"/>
      <c r="BF314" s="686"/>
      <c r="BG314" s="686"/>
      <c r="BH314" s="686"/>
    </row>
    <row r="315" spans="1:60" s="44" customFormat="1">
      <c r="A315" s="690"/>
      <c r="B315" s="690"/>
      <c r="C315" s="686"/>
      <c r="D315" s="686"/>
      <c r="E315" s="686"/>
      <c r="F315" s="686"/>
      <c r="G315" s="686"/>
      <c r="H315" s="686"/>
      <c r="I315" s="825"/>
      <c r="J315" s="686"/>
      <c r="K315" s="686"/>
      <c r="L315" s="686"/>
      <c r="M315" s="686"/>
      <c r="N315" s="686"/>
      <c r="O315" s="686"/>
      <c r="P315" s="686"/>
      <c r="Q315" s="825"/>
      <c r="R315" s="686"/>
      <c r="S315" s="686"/>
      <c r="T315" s="686"/>
      <c r="U315" s="686"/>
      <c r="V315" s="686"/>
      <c r="W315" s="686"/>
      <c r="X315" s="686"/>
      <c r="Y315" s="825"/>
      <c r="Z315" s="686"/>
      <c r="AA315" s="686"/>
      <c r="AB315" s="686"/>
      <c r="AC315" s="686"/>
      <c r="AD315" s="686"/>
      <c r="AE315" s="686"/>
      <c r="AF315" s="686"/>
      <c r="AG315" s="825"/>
      <c r="AH315" s="686"/>
      <c r="AI315" s="686"/>
      <c r="AJ315" s="686"/>
      <c r="AK315" s="686"/>
      <c r="AL315" s="686"/>
      <c r="AM315" s="686"/>
      <c r="AN315" s="686"/>
      <c r="AO315" s="825"/>
      <c r="AP315" s="686"/>
      <c r="AQ315" s="686"/>
      <c r="AR315" s="686"/>
      <c r="AS315" s="686"/>
      <c r="AT315" s="686"/>
      <c r="AU315" s="686"/>
      <c r="AV315" s="686"/>
      <c r="AW315" s="686"/>
      <c r="AX315" s="686"/>
      <c r="AY315" s="686"/>
      <c r="AZ315" s="686"/>
      <c r="BA315" s="686"/>
      <c r="BB315" s="686"/>
      <c r="BC315" s="686"/>
      <c r="BD315" s="686"/>
      <c r="BE315" s="686"/>
      <c r="BF315" s="686"/>
      <c r="BG315" s="686"/>
      <c r="BH315" s="686"/>
    </row>
    <row r="316" spans="1:60" s="44" customFormat="1">
      <c r="A316" s="690"/>
      <c r="B316" s="690"/>
      <c r="C316" s="686"/>
      <c r="D316" s="686"/>
      <c r="E316" s="686"/>
      <c r="F316" s="686"/>
      <c r="G316" s="686"/>
      <c r="H316" s="686"/>
      <c r="I316" s="825"/>
      <c r="J316" s="686"/>
      <c r="K316" s="686"/>
      <c r="L316" s="686"/>
      <c r="M316" s="686"/>
      <c r="N316" s="686"/>
      <c r="O316" s="686"/>
      <c r="P316" s="686"/>
      <c r="Q316" s="825"/>
      <c r="R316" s="686"/>
      <c r="S316" s="686"/>
      <c r="T316" s="686"/>
      <c r="U316" s="686"/>
      <c r="V316" s="686"/>
      <c r="W316" s="686"/>
      <c r="X316" s="686"/>
      <c r="Y316" s="825"/>
      <c r="Z316" s="686"/>
      <c r="AA316" s="686"/>
      <c r="AB316" s="686"/>
      <c r="AC316" s="686"/>
      <c r="AD316" s="686"/>
      <c r="AE316" s="686"/>
      <c r="AF316" s="686"/>
      <c r="AG316" s="825"/>
      <c r="AH316" s="686"/>
      <c r="AI316" s="686"/>
      <c r="AJ316" s="686"/>
      <c r="AK316" s="686"/>
      <c r="AL316" s="686"/>
      <c r="AM316" s="686"/>
      <c r="AN316" s="686"/>
      <c r="AO316" s="825"/>
      <c r="AP316" s="686"/>
      <c r="AQ316" s="686"/>
      <c r="AR316" s="686"/>
      <c r="AS316" s="686"/>
      <c r="AT316" s="686"/>
      <c r="AU316" s="686"/>
      <c r="AV316" s="686"/>
      <c r="AW316" s="686"/>
      <c r="AX316" s="686"/>
      <c r="AY316" s="686"/>
      <c r="AZ316" s="686"/>
      <c r="BA316" s="686"/>
      <c r="BB316" s="686"/>
      <c r="BC316" s="686"/>
      <c r="BD316" s="686"/>
      <c r="BE316" s="686"/>
      <c r="BF316" s="686"/>
      <c r="BG316" s="686"/>
      <c r="BH316" s="686"/>
    </row>
    <row r="317" spans="1:60" s="44" customFormat="1">
      <c r="A317" s="690"/>
      <c r="B317" s="690"/>
      <c r="C317" s="686"/>
      <c r="D317" s="686"/>
      <c r="E317" s="686"/>
      <c r="F317" s="686"/>
      <c r="G317" s="686"/>
      <c r="H317" s="686"/>
      <c r="I317" s="825"/>
      <c r="J317" s="686"/>
      <c r="K317" s="686"/>
      <c r="L317" s="686"/>
      <c r="M317" s="686"/>
      <c r="N317" s="686"/>
      <c r="O317" s="686"/>
      <c r="P317" s="686"/>
      <c r="Q317" s="825"/>
      <c r="R317" s="686"/>
      <c r="S317" s="686"/>
      <c r="T317" s="686"/>
      <c r="U317" s="686"/>
      <c r="V317" s="686"/>
      <c r="W317" s="686"/>
      <c r="X317" s="686"/>
      <c r="Y317" s="825"/>
      <c r="Z317" s="686"/>
      <c r="AA317" s="686"/>
      <c r="AB317" s="686"/>
      <c r="AC317" s="686"/>
      <c r="AD317" s="686"/>
      <c r="AE317" s="686"/>
      <c r="AF317" s="686"/>
      <c r="AG317" s="825"/>
      <c r="AH317" s="686"/>
      <c r="AI317" s="686"/>
      <c r="AJ317" s="686"/>
      <c r="AK317" s="686"/>
      <c r="AL317" s="686"/>
      <c r="AM317" s="686"/>
      <c r="AN317" s="686"/>
      <c r="AO317" s="825"/>
      <c r="AP317" s="686"/>
      <c r="AQ317" s="686"/>
      <c r="AR317" s="686"/>
      <c r="AS317" s="686"/>
      <c r="AT317" s="686"/>
      <c r="AU317" s="686"/>
      <c r="AV317" s="686"/>
      <c r="AW317" s="686"/>
      <c r="AX317" s="686"/>
      <c r="AY317" s="686"/>
      <c r="AZ317" s="686"/>
      <c r="BA317" s="686"/>
      <c r="BB317" s="686"/>
      <c r="BC317" s="686"/>
      <c r="BD317" s="686"/>
      <c r="BE317" s="686"/>
      <c r="BF317" s="686"/>
      <c r="BG317" s="686"/>
      <c r="BH317" s="686"/>
    </row>
    <row r="318" spans="1:60" s="44" customFormat="1">
      <c r="A318" s="690"/>
      <c r="B318" s="690"/>
      <c r="C318" s="686"/>
      <c r="D318" s="686"/>
      <c r="E318" s="686"/>
      <c r="F318" s="686"/>
      <c r="G318" s="686"/>
      <c r="H318" s="686"/>
      <c r="I318" s="825"/>
      <c r="J318" s="686"/>
      <c r="K318" s="686"/>
      <c r="L318" s="686"/>
      <c r="M318" s="686"/>
      <c r="N318" s="686"/>
      <c r="O318" s="686"/>
      <c r="P318" s="686"/>
      <c r="Q318" s="825"/>
      <c r="R318" s="686"/>
      <c r="S318" s="686"/>
      <c r="T318" s="686"/>
      <c r="U318" s="686"/>
      <c r="V318" s="686"/>
      <c r="W318" s="686"/>
      <c r="X318" s="686"/>
      <c r="Y318" s="825"/>
      <c r="Z318" s="686"/>
      <c r="AA318" s="686"/>
      <c r="AB318" s="686"/>
      <c r="AC318" s="686"/>
      <c r="AD318" s="686"/>
      <c r="AE318" s="686"/>
      <c r="AF318" s="686"/>
      <c r="AG318" s="825"/>
      <c r="AH318" s="686"/>
      <c r="AI318" s="686"/>
      <c r="AJ318" s="686"/>
      <c r="AK318" s="686"/>
      <c r="AL318" s="686"/>
      <c r="AM318" s="686"/>
      <c r="AN318" s="686"/>
      <c r="AO318" s="825"/>
      <c r="AP318" s="686"/>
      <c r="AQ318" s="686"/>
      <c r="AR318" s="686"/>
      <c r="AS318" s="686"/>
      <c r="AT318" s="686"/>
      <c r="AU318" s="686"/>
      <c r="AV318" s="686"/>
      <c r="AW318" s="686"/>
      <c r="AX318" s="686"/>
      <c r="AY318" s="686"/>
      <c r="AZ318" s="686"/>
      <c r="BA318" s="686"/>
      <c r="BB318" s="686"/>
      <c r="BC318" s="686"/>
      <c r="BD318" s="686"/>
      <c r="BE318" s="686"/>
      <c r="BF318" s="686"/>
      <c r="BG318" s="686"/>
      <c r="BH318" s="686"/>
    </row>
    <row r="319" spans="1:60" s="44" customFormat="1">
      <c r="A319" s="690"/>
      <c r="B319" s="690"/>
      <c r="C319" s="686"/>
      <c r="D319" s="686"/>
      <c r="E319" s="686"/>
      <c r="F319" s="686"/>
      <c r="G319" s="686"/>
      <c r="H319" s="686"/>
      <c r="I319" s="825"/>
      <c r="J319" s="686"/>
      <c r="K319" s="686"/>
      <c r="L319" s="686"/>
      <c r="M319" s="686"/>
      <c r="N319" s="686"/>
      <c r="O319" s="686"/>
      <c r="P319" s="686"/>
      <c r="Q319" s="825"/>
      <c r="R319" s="686"/>
      <c r="S319" s="686"/>
      <c r="T319" s="686"/>
      <c r="U319" s="686"/>
      <c r="V319" s="686"/>
      <c r="W319" s="686"/>
      <c r="X319" s="686"/>
      <c r="Y319" s="825"/>
      <c r="Z319" s="686"/>
      <c r="AA319" s="686"/>
      <c r="AB319" s="686"/>
      <c r="AC319" s="686"/>
      <c r="AD319" s="686"/>
      <c r="AE319" s="686"/>
      <c r="AF319" s="686"/>
      <c r="AG319" s="825"/>
      <c r="AH319" s="686"/>
      <c r="AI319" s="686"/>
      <c r="AJ319" s="686"/>
      <c r="AK319" s="686"/>
      <c r="AL319" s="686"/>
      <c r="AM319" s="686"/>
      <c r="AN319" s="686"/>
      <c r="AO319" s="825"/>
      <c r="AP319" s="686"/>
      <c r="AQ319" s="686"/>
      <c r="AR319" s="686"/>
      <c r="AS319" s="686"/>
      <c r="AT319" s="686"/>
      <c r="AU319" s="686"/>
      <c r="AV319" s="686"/>
      <c r="AW319" s="686"/>
      <c r="AX319" s="686"/>
      <c r="AY319" s="686"/>
      <c r="AZ319" s="686"/>
      <c r="BA319" s="686"/>
      <c r="BB319" s="686"/>
      <c r="BC319" s="686"/>
      <c r="BD319" s="686"/>
      <c r="BE319" s="686"/>
      <c r="BF319" s="686"/>
      <c r="BG319" s="686"/>
      <c r="BH319" s="686"/>
    </row>
    <row r="320" spans="1:60" s="44" customFormat="1">
      <c r="A320" s="690"/>
      <c r="B320" s="690"/>
      <c r="C320" s="686"/>
      <c r="D320" s="686"/>
      <c r="E320" s="686"/>
      <c r="F320" s="686"/>
      <c r="G320" s="686"/>
      <c r="H320" s="686"/>
      <c r="I320" s="825"/>
      <c r="J320" s="686"/>
      <c r="K320" s="686"/>
      <c r="L320" s="686"/>
      <c r="M320" s="686"/>
      <c r="N320" s="686"/>
      <c r="O320" s="686"/>
      <c r="P320" s="686"/>
      <c r="Q320" s="825"/>
      <c r="R320" s="686"/>
      <c r="S320" s="686"/>
      <c r="T320" s="686"/>
      <c r="U320" s="686"/>
      <c r="V320" s="686"/>
      <c r="W320" s="686"/>
      <c r="X320" s="686"/>
      <c r="Y320" s="825"/>
      <c r="Z320" s="686"/>
      <c r="AA320" s="686"/>
      <c r="AB320" s="686"/>
      <c r="AC320" s="686"/>
      <c r="AD320" s="686"/>
      <c r="AE320" s="686"/>
      <c r="AF320" s="686"/>
      <c r="AG320" s="825"/>
      <c r="AH320" s="686"/>
      <c r="AI320" s="686"/>
      <c r="AJ320" s="686"/>
      <c r="AK320" s="686"/>
      <c r="AL320" s="686"/>
      <c r="AM320" s="686"/>
      <c r="AN320" s="686"/>
      <c r="AO320" s="825"/>
      <c r="AP320" s="686"/>
      <c r="AQ320" s="686"/>
      <c r="AR320" s="686"/>
      <c r="AS320" s="686"/>
      <c r="AT320" s="686"/>
      <c r="AU320" s="686"/>
      <c r="AV320" s="686"/>
      <c r="AW320" s="686"/>
      <c r="AX320" s="686"/>
      <c r="AY320" s="686"/>
      <c r="AZ320" s="686"/>
      <c r="BA320" s="686"/>
      <c r="BB320" s="686"/>
      <c r="BC320" s="686"/>
      <c r="BD320" s="686"/>
      <c r="BE320" s="686"/>
      <c r="BF320" s="686"/>
      <c r="BG320" s="686"/>
      <c r="BH320" s="686"/>
    </row>
    <row r="321" spans="1:60" s="44" customFormat="1">
      <c r="A321" s="690"/>
      <c r="B321" s="690"/>
      <c r="C321" s="686"/>
      <c r="D321" s="686"/>
      <c r="E321" s="686"/>
      <c r="F321" s="686"/>
      <c r="G321" s="686"/>
      <c r="H321" s="686"/>
      <c r="I321" s="825"/>
      <c r="J321" s="686"/>
      <c r="K321" s="686"/>
      <c r="L321" s="686"/>
      <c r="M321" s="686"/>
      <c r="N321" s="686"/>
      <c r="O321" s="686"/>
      <c r="P321" s="686"/>
      <c r="Q321" s="825"/>
      <c r="R321" s="686"/>
      <c r="S321" s="686"/>
      <c r="T321" s="686"/>
      <c r="U321" s="686"/>
      <c r="V321" s="686"/>
      <c r="W321" s="686"/>
      <c r="X321" s="686"/>
      <c r="Y321" s="825"/>
      <c r="Z321" s="686"/>
      <c r="AA321" s="686"/>
      <c r="AB321" s="686"/>
      <c r="AC321" s="686"/>
      <c r="AD321" s="686"/>
      <c r="AE321" s="686"/>
      <c r="AF321" s="686"/>
      <c r="AG321" s="825"/>
      <c r="AH321" s="686"/>
      <c r="AI321" s="686"/>
      <c r="AJ321" s="686"/>
      <c r="AK321" s="686"/>
      <c r="AL321" s="686"/>
      <c r="AM321" s="686"/>
      <c r="AN321" s="686"/>
      <c r="AO321" s="825"/>
      <c r="AP321" s="686"/>
      <c r="AQ321" s="686"/>
      <c r="AR321" s="686"/>
      <c r="AS321" s="686"/>
      <c r="AT321" s="686"/>
      <c r="AU321" s="686"/>
      <c r="AV321" s="686"/>
      <c r="AW321" s="686"/>
      <c r="AX321" s="686"/>
      <c r="AY321" s="686"/>
      <c r="AZ321" s="686"/>
      <c r="BA321" s="686"/>
      <c r="BB321" s="686"/>
      <c r="BC321" s="686"/>
      <c r="BD321" s="686"/>
      <c r="BE321" s="686"/>
      <c r="BF321" s="686"/>
      <c r="BG321" s="686"/>
      <c r="BH321" s="686"/>
    </row>
    <row r="322" spans="1:60" s="44" customFormat="1">
      <c r="A322" s="690"/>
      <c r="B322" s="690"/>
      <c r="C322" s="686"/>
      <c r="D322" s="686"/>
      <c r="E322" s="686"/>
      <c r="F322" s="686"/>
      <c r="G322" s="686"/>
      <c r="H322" s="686"/>
      <c r="I322" s="825"/>
      <c r="J322" s="686"/>
      <c r="K322" s="686"/>
      <c r="L322" s="686"/>
      <c r="M322" s="686"/>
      <c r="N322" s="686"/>
      <c r="O322" s="686"/>
      <c r="P322" s="686"/>
      <c r="Q322" s="825"/>
      <c r="R322" s="686"/>
      <c r="S322" s="686"/>
      <c r="T322" s="686"/>
      <c r="U322" s="686"/>
      <c r="V322" s="686"/>
      <c r="W322" s="686"/>
      <c r="X322" s="686"/>
      <c r="Y322" s="825"/>
      <c r="Z322" s="686"/>
      <c r="AA322" s="686"/>
      <c r="AB322" s="686"/>
      <c r="AC322" s="686"/>
      <c r="AD322" s="686"/>
      <c r="AE322" s="686"/>
      <c r="AF322" s="686"/>
      <c r="AG322" s="825"/>
      <c r="AH322" s="686"/>
      <c r="AI322" s="686"/>
      <c r="AJ322" s="686"/>
      <c r="AK322" s="686"/>
      <c r="AL322" s="686"/>
      <c r="AM322" s="686"/>
      <c r="AN322" s="686"/>
      <c r="AO322" s="825"/>
      <c r="AP322" s="686"/>
      <c r="AQ322" s="686"/>
      <c r="AR322" s="686"/>
      <c r="AS322" s="686"/>
      <c r="AT322" s="686"/>
      <c r="AU322" s="686"/>
      <c r="AV322" s="686"/>
      <c r="AW322" s="686"/>
      <c r="AX322" s="686"/>
      <c r="AY322" s="686"/>
      <c r="AZ322" s="686"/>
      <c r="BA322" s="686"/>
      <c r="BB322" s="686"/>
      <c r="BC322" s="686"/>
      <c r="BD322" s="686"/>
      <c r="BE322" s="686"/>
      <c r="BF322" s="686"/>
      <c r="BG322" s="686"/>
      <c r="BH322" s="686"/>
    </row>
    <row r="323" spans="1:60" s="44" customFormat="1">
      <c r="A323" s="690"/>
      <c r="B323" s="690"/>
      <c r="C323" s="686"/>
      <c r="D323" s="686"/>
      <c r="E323" s="686"/>
      <c r="F323" s="686"/>
      <c r="G323" s="686"/>
      <c r="H323" s="686"/>
      <c r="I323" s="825"/>
      <c r="J323" s="686"/>
      <c r="K323" s="686"/>
      <c r="L323" s="686"/>
      <c r="M323" s="686"/>
      <c r="N323" s="686"/>
      <c r="O323" s="686"/>
      <c r="P323" s="686"/>
      <c r="Q323" s="825"/>
      <c r="R323" s="686"/>
      <c r="S323" s="686"/>
      <c r="T323" s="686"/>
      <c r="U323" s="686"/>
      <c r="V323" s="686"/>
      <c r="W323" s="686"/>
      <c r="X323" s="686"/>
      <c r="Y323" s="825"/>
      <c r="Z323" s="686"/>
      <c r="AA323" s="686"/>
      <c r="AB323" s="686"/>
      <c r="AC323" s="686"/>
      <c r="AD323" s="686"/>
      <c r="AE323" s="686"/>
      <c r="AF323" s="686"/>
      <c r="AG323" s="825"/>
      <c r="AH323" s="686"/>
      <c r="AI323" s="686"/>
      <c r="AJ323" s="686"/>
      <c r="AK323" s="686"/>
      <c r="AL323" s="686"/>
      <c r="AM323" s="686"/>
      <c r="AN323" s="686"/>
      <c r="AO323" s="825"/>
      <c r="AP323" s="686"/>
      <c r="AQ323" s="686"/>
      <c r="AR323" s="686"/>
      <c r="AS323" s="686"/>
      <c r="AT323" s="686"/>
      <c r="AU323" s="686"/>
      <c r="AV323" s="686"/>
      <c r="AW323" s="686"/>
      <c r="AX323" s="686"/>
      <c r="AY323" s="686"/>
      <c r="AZ323" s="686"/>
      <c r="BA323" s="686"/>
      <c r="BB323" s="686"/>
      <c r="BC323" s="686"/>
      <c r="BD323" s="686"/>
      <c r="BE323" s="686"/>
      <c r="BF323" s="686"/>
      <c r="BG323" s="686"/>
      <c r="BH323" s="686"/>
    </row>
    <row r="324" spans="1:60" s="44" customFormat="1">
      <c r="A324" s="690"/>
      <c r="B324" s="690"/>
      <c r="C324" s="686"/>
      <c r="D324" s="686"/>
      <c r="E324" s="686"/>
      <c r="F324" s="686"/>
      <c r="G324" s="686"/>
      <c r="H324" s="686"/>
      <c r="I324" s="825"/>
      <c r="J324" s="686"/>
      <c r="K324" s="686"/>
      <c r="L324" s="686"/>
      <c r="M324" s="686"/>
      <c r="N324" s="686"/>
      <c r="O324" s="686"/>
      <c r="P324" s="686"/>
      <c r="Q324" s="825"/>
      <c r="R324" s="686"/>
      <c r="S324" s="686"/>
      <c r="T324" s="686"/>
      <c r="U324" s="686"/>
      <c r="V324" s="686"/>
      <c r="W324" s="686"/>
      <c r="X324" s="686"/>
      <c r="Y324" s="825"/>
      <c r="Z324" s="686"/>
      <c r="AA324" s="686"/>
      <c r="AB324" s="686"/>
      <c r="AC324" s="686"/>
      <c r="AD324" s="686"/>
      <c r="AE324" s="686"/>
      <c r="AF324" s="686"/>
      <c r="AG324" s="825"/>
      <c r="AH324" s="686"/>
      <c r="AI324" s="686"/>
      <c r="AJ324" s="686"/>
      <c r="AK324" s="686"/>
      <c r="AL324" s="686"/>
      <c r="AM324" s="686"/>
      <c r="AN324" s="686"/>
      <c r="AO324" s="825"/>
      <c r="AP324" s="686"/>
      <c r="AQ324" s="686"/>
      <c r="AR324" s="686"/>
      <c r="AS324" s="686"/>
      <c r="AT324" s="686"/>
      <c r="AU324" s="686"/>
      <c r="AV324" s="686"/>
      <c r="AW324" s="686"/>
      <c r="AX324" s="686"/>
      <c r="AY324" s="686"/>
      <c r="AZ324" s="686"/>
      <c r="BA324" s="686"/>
      <c r="BB324" s="686"/>
      <c r="BC324" s="686"/>
      <c r="BD324" s="686"/>
      <c r="BE324" s="686"/>
      <c r="BF324" s="686"/>
      <c r="BG324" s="686"/>
      <c r="BH324" s="686"/>
    </row>
    <row r="325" spans="1:60" s="44" customFormat="1">
      <c r="A325" s="690"/>
      <c r="B325" s="690"/>
      <c r="C325" s="686"/>
      <c r="D325" s="686"/>
      <c r="E325" s="686"/>
      <c r="F325" s="686"/>
      <c r="G325" s="686"/>
      <c r="H325" s="686"/>
      <c r="I325" s="825"/>
      <c r="J325" s="686"/>
      <c r="K325" s="686"/>
      <c r="L325" s="686"/>
      <c r="M325" s="686"/>
      <c r="N325" s="686"/>
      <c r="O325" s="686"/>
      <c r="P325" s="686"/>
      <c r="Q325" s="825"/>
      <c r="R325" s="686"/>
      <c r="S325" s="686"/>
      <c r="T325" s="686"/>
      <c r="U325" s="686"/>
      <c r="V325" s="686"/>
      <c r="W325" s="686"/>
      <c r="X325" s="686"/>
      <c r="Y325" s="825"/>
      <c r="Z325" s="686"/>
      <c r="AA325" s="686"/>
      <c r="AB325" s="686"/>
      <c r="AC325" s="686"/>
      <c r="AD325" s="686"/>
      <c r="AE325" s="686"/>
      <c r="AF325" s="686"/>
      <c r="AG325" s="825"/>
      <c r="AH325" s="686"/>
      <c r="AI325" s="686"/>
      <c r="AJ325" s="686"/>
      <c r="AK325" s="686"/>
      <c r="AL325" s="686"/>
      <c r="AM325" s="686"/>
      <c r="AN325" s="686"/>
      <c r="AO325" s="825"/>
      <c r="AP325" s="686"/>
      <c r="AQ325" s="686"/>
      <c r="AR325" s="686"/>
      <c r="AS325" s="686"/>
      <c r="AT325" s="686"/>
      <c r="AU325" s="686"/>
      <c r="AV325" s="686"/>
      <c r="AW325" s="686"/>
      <c r="AX325" s="686"/>
      <c r="AY325" s="686"/>
      <c r="AZ325" s="686"/>
      <c r="BA325" s="686"/>
      <c r="BB325" s="686"/>
      <c r="BC325" s="686"/>
      <c r="BD325" s="686"/>
      <c r="BE325" s="686"/>
      <c r="BF325" s="686"/>
      <c r="BG325" s="686"/>
      <c r="BH325" s="686"/>
    </row>
    <row r="326" spans="1:60" s="44" customFormat="1">
      <c r="A326" s="690"/>
      <c r="B326" s="690"/>
      <c r="C326" s="686"/>
      <c r="D326" s="686"/>
      <c r="E326" s="686"/>
      <c r="F326" s="686"/>
      <c r="G326" s="686"/>
      <c r="H326" s="686"/>
      <c r="I326" s="825"/>
      <c r="J326" s="686"/>
      <c r="K326" s="686"/>
      <c r="L326" s="686"/>
      <c r="M326" s="686"/>
      <c r="N326" s="686"/>
      <c r="O326" s="686"/>
      <c r="P326" s="686"/>
      <c r="Q326" s="825"/>
      <c r="R326" s="686"/>
      <c r="S326" s="686"/>
      <c r="T326" s="686"/>
      <c r="U326" s="686"/>
      <c r="V326" s="686"/>
      <c r="W326" s="686"/>
      <c r="X326" s="686"/>
      <c r="Y326" s="825"/>
      <c r="Z326" s="686"/>
      <c r="AA326" s="686"/>
      <c r="AB326" s="686"/>
      <c r="AC326" s="686"/>
      <c r="AD326" s="686"/>
      <c r="AE326" s="686"/>
      <c r="AF326" s="686"/>
      <c r="AG326" s="825"/>
      <c r="AH326" s="686"/>
      <c r="AI326" s="686"/>
      <c r="AJ326" s="686"/>
      <c r="AK326" s="686"/>
      <c r="AL326" s="686"/>
      <c r="AM326" s="686"/>
      <c r="AN326" s="686"/>
      <c r="AO326" s="825"/>
      <c r="AP326" s="686"/>
      <c r="AQ326" s="686"/>
      <c r="AR326" s="686"/>
      <c r="AS326" s="686"/>
      <c r="AT326" s="686"/>
      <c r="AU326" s="686"/>
      <c r="AV326" s="686"/>
      <c r="AW326" s="686"/>
      <c r="AX326" s="686"/>
      <c r="AY326" s="686"/>
      <c r="AZ326" s="686"/>
      <c r="BA326" s="686"/>
      <c r="BB326" s="686"/>
      <c r="BC326" s="686"/>
      <c r="BD326" s="686"/>
      <c r="BE326" s="686"/>
      <c r="BF326" s="686"/>
      <c r="BG326" s="686"/>
      <c r="BH326" s="686"/>
    </row>
    <row r="327" spans="1:60" s="44" customFormat="1">
      <c r="A327" s="690"/>
      <c r="B327" s="690"/>
      <c r="C327" s="686"/>
      <c r="D327" s="686"/>
      <c r="E327" s="686"/>
      <c r="F327" s="686"/>
      <c r="G327" s="686"/>
      <c r="H327" s="686"/>
      <c r="I327" s="825"/>
      <c r="J327" s="686"/>
      <c r="K327" s="686"/>
      <c r="L327" s="686"/>
      <c r="M327" s="686"/>
      <c r="N327" s="686"/>
      <c r="O327" s="686"/>
      <c r="P327" s="686"/>
      <c r="Q327" s="825"/>
      <c r="R327" s="686"/>
      <c r="S327" s="686"/>
      <c r="T327" s="686"/>
      <c r="U327" s="686"/>
      <c r="V327" s="686"/>
      <c r="W327" s="686"/>
      <c r="X327" s="686"/>
      <c r="Y327" s="825"/>
      <c r="Z327" s="686"/>
      <c r="AA327" s="686"/>
      <c r="AB327" s="686"/>
      <c r="AC327" s="686"/>
      <c r="AD327" s="686"/>
      <c r="AE327" s="686"/>
      <c r="AF327" s="686"/>
      <c r="AG327" s="825"/>
      <c r="AH327" s="686"/>
      <c r="AI327" s="686"/>
      <c r="AJ327" s="686"/>
      <c r="AK327" s="686"/>
      <c r="AL327" s="686"/>
      <c r="AM327" s="686"/>
      <c r="AN327" s="686"/>
      <c r="AO327" s="825"/>
      <c r="AP327" s="686"/>
      <c r="AQ327" s="686"/>
      <c r="AR327" s="686"/>
      <c r="AS327" s="686"/>
      <c r="AT327" s="686"/>
      <c r="AU327" s="686"/>
      <c r="AV327" s="686"/>
      <c r="AW327" s="686"/>
      <c r="AX327" s="686"/>
      <c r="AY327" s="686"/>
      <c r="AZ327" s="686"/>
      <c r="BA327" s="686"/>
      <c r="BB327" s="686"/>
      <c r="BC327" s="686"/>
      <c r="BD327" s="686"/>
      <c r="BE327" s="686"/>
      <c r="BF327" s="686"/>
      <c r="BG327" s="686"/>
      <c r="BH327" s="686"/>
    </row>
    <row r="328" spans="1:60" s="44" customFormat="1">
      <c r="A328" s="690"/>
      <c r="B328" s="690"/>
      <c r="C328" s="686"/>
      <c r="D328" s="686"/>
      <c r="E328" s="686"/>
      <c r="F328" s="686"/>
      <c r="G328" s="686"/>
      <c r="H328" s="686"/>
      <c r="I328" s="825"/>
      <c r="J328" s="686"/>
      <c r="K328" s="686"/>
      <c r="L328" s="686"/>
      <c r="M328" s="686"/>
      <c r="N328" s="686"/>
      <c r="O328" s="686"/>
      <c r="P328" s="686"/>
      <c r="Q328" s="825"/>
      <c r="R328" s="686"/>
      <c r="S328" s="686"/>
      <c r="T328" s="686"/>
      <c r="U328" s="686"/>
      <c r="V328" s="686"/>
      <c r="W328" s="686"/>
      <c r="X328" s="686"/>
      <c r="Y328" s="825"/>
      <c r="Z328" s="686"/>
      <c r="AA328" s="686"/>
      <c r="AB328" s="686"/>
      <c r="AC328" s="686"/>
      <c r="AD328" s="686"/>
      <c r="AE328" s="686"/>
      <c r="AF328" s="686"/>
      <c r="AG328" s="825"/>
      <c r="AH328" s="686"/>
      <c r="AI328" s="686"/>
      <c r="AJ328" s="686"/>
      <c r="AK328" s="686"/>
      <c r="AL328" s="686"/>
      <c r="AM328" s="686"/>
      <c r="AN328" s="686"/>
      <c r="AO328" s="825"/>
      <c r="AP328" s="686"/>
      <c r="AQ328" s="686"/>
      <c r="AR328" s="686"/>
      <c r="AS328" s="686"/>
      <c r="AT328" s="686"/>
      <c r="AU328" s="686"/>
      <c r="AV328" s="686"/>
      <c r="AW328" s="686"/>
      <c r="AX328" s="686"/>
      <c r="AY328" s="686"/>
      <c r="AZ328" s="686"/>
      <c r="BA328" s="686"/>
      <c r="BB328" s="686"/>
      <c r="BC328" s="686"/>
      <c r="BD328" s="686"/>
      <c r="BE328" s="686"/>
      <c r="BF328" s="686"/>
      <c r="BG328" s="686"/>
      <c r="BH328" s="686"/>
    </row>
    <row r="329" spans="1:60" s="44" customFormat="1">
      <c r="A329" s="690"/>
      <c r="B329" s="690"/>
      <c r="C329" s="686"/>
      <c r="D329" s="686"/>
      <c r="E329" s="686"/>
      <c r="F329" s="686"/>
      <c r="G329" s="686"/>
      <c r="H329" s="686"/>
      <c r="I329" s="825"/>
      <c r="J329" s="686"/>
      <c r="K329" s="686"/>
      <c r="L329" s="686"/>
      <c r="M329" s="686"/>
      <c r="N329" s="686"/>
      <c r="O329" s="686"/>
      <c r="P329" s="686"/>
      <c r="Q329" s="825"/>
      <c r="R329" s="686"/>
      <c r="S329" s="686"/>
      <c r="T329" s="686"/>
      <c r="U329" s="686"/>
      <c r="V329" s="686"/>
      <c r="W329" s="686"/>
      <c r="X329" s="686"/>
      <c r="Y329" s="825"/>
      <c r="Z329" s="686"/>
      <c r="AA329" s="686"/>
      <c r="AB329" s="686"/>
      <c r="AC329" s="686"/>
      <c r="AD329" s="686"/>
      <c r="AE329" s="686"/>
      <c r="AF329" s="686"/>
      <c r="AG329" s="825"/>
      <c r="AH329" s="686"/>
      <c r="AI329" s="686"/>
      <c r="AJ329" s="686"/>
      <c r="AK329" s="686"/>
      <c r="AL329" s="686"/>
      <c r="AM329" s="686"/>
      <c r="AN329" s="686"/>
      <c r="AO329" s="825"/>
      <c r="AP329" s="686"/>
      <c r="AQ329" s="686"/>
      <c r="AR329" s="686"/>
      <c r="AS329" s="686"/>
      <c r="AT329" s="686"/>
      <c r="AU329" s="686"/>
      <c r="AV329" s="686"/>
      <c r="AW329" s="686"/>
      <c r="AX329" s="686"/>
      <c r="AY329" s="686"/>
      <c r="AZ329" s="686"/>
      <c r="BA329" s="686"/>
      <c r="BB329" s="686"/>
      <c r="BC329" s="686"/>
      <c r="BD329" s="686"/>
      <c r="BE329" s="686"/>
      <c r="BF329" s="686"/>
      <c r="BG329" s="686"/>
      <c r="BH329" s="686"/>
    </row>
    <row r="330" spans="1:60" s="44" customFormat="1">
      <c r="A330" s="690"/>
      <c r="B330" s="690"/>
      <c r="C330" s="686"/>
      <c r="D330" s="686"/>
      <c r="E330" s="686"/>
      <c r="F330" s="686"/>
      <c r="G330" s="686"/>
      <c r="H330" s="686"/>
      <c r="I330" s="825"/>
      <c r="J330" s="686"/>
      <c r="K330" s="686"/>
      <c r="L330" s="686"/>
      <c r="M330" s="686"/>
      <c r="N330" s="686"/>
      <c r="O330" s="686"/>
      <c r="P330" s="686"/>
      <c r="Q330" s="825"/>
      <c r="R330" s="686"/>
      <c r="S330" s="686"/>
      <c r="T330" s="686"/>
      <c r="U330" s="686"/>
      <c r="V330" s="686"/>
      <c r="W330" s="686"/>
      <c r="X330" s="686"/>
      <c r="Y330" s="825"/>
      <c r="Z330" s="686"/>
      <c r="AA330" s="686"/>
      <c r="AB330" s="686"/>
      <c r="AC330" s="686"/>
      <c r="AD330" s="686"/>
      <c r="AE330" s="686"/>
      <c r="AF330" s="686"/>
      <c r="AG330" s="825"/>
      <c r="AH330" s="686"/>
      <c r="AI330" s="686"/>
      <c r="AJ330" s="686"/>
      <c r="AK330" s="686"/>
      <c r="AL330" s="686"/>
      <c r="AM330" s="686"/>
      <c r="AN330" s="686"/>
      <c r="AO330" s="825"/>
      <c r="AP330" s="686"/>
      <c r="AQ330" s="686"/>
      <c r="AR330" s="686"/>
      <c r="AS330" s="686"/>
      <c r="AT330" s="686"/>
      <c r="AU330" s="686"/>
      <c r="AV330" s="686"/>
      <c r="AW330" s="686"/>
      <c r="AX330" s="686"/>
      <c r="AY330" s="686"/>
      <c r="AZ330" s="686"/>
      <c r="BA330" s="686"/>
      <c r="BB330" s="686"/>
      <c r="BC330" s="686"/>
      <c r="BD330" s="686"/>
      <c r="BE330" s="686"/>
      <c r="BF330" s="686"/>
      <c r="BG330" s="686"/>
      <c r="BH330" s="686"/>
    </row>
    <row r="331" spans="1:60" s="44" customFormat="1">
      <c r="A331" s="690"/>
      <c r="B331" s="690"/>
      <c r="C331" s="686"/>
      <c r="D331" s="686"/>
      <c r="E331" s="686"/>
      <c r="F331" s="686"/>
      <c r="G331" s="686"/>
      <c r="H331" s="686"/>
      <c r="I331" s="825"/>
      <c r="J331" s="686"/>
      <c r="K331" s="686"/>
      <c r="L331" s="686"/>
      <c r="M331" s="686"/>
      <c r="N331" s="686"/>
      <c r="O331" s="686"/>
      <c r="P331" s="686"/>
      <c r="Q331" s="825"/>
      <c r="R331" s="686"/>
      <c r="S331" s="686"/>
      <c r="T331" s="686"/>
      <c r="U331" s="686"/>
      <c r="V331" s="686"/>
      <c r="W331" s="686"/>
      <c r="X331" s="686"/>
      <c r="Y331" s="825"/>
      <c r="Z331" s="686"/>
      <c r="AA331" s="686"/>
      <c r="AB331" s="686"/>
      <c r="AC331" s="686"/>
      <c r="AD331" s="686"/>
      <c r="AE331" s="686"/>
      <c r="AF331" s="686"/>
      <c r="AG331" s="825"/>
      <c r="AH331" s="686"/>
      <c r="AI331" s="686"/>
      <c r="AJ331" s="686"/>
      <c r="AK331" s="686"/>
      <c r="AL331" s="686"/>
      <c r="AM331" s="686"/>
      <c r="AN331" s="686"/>
      <c r="AO331" s="825"/>
      <c r="AP331" s="686"/>
      <c r="AQ331" s="686"/>
      <c r="AR331" s="686"/>
      <c r="AS331" s="686"/>
      <c r="AT331" s="686"/>
      <c r="AU331" s="686"/>
      <c r="AV331" s="686"/>
      <c r="AW331" s="686"/>
      <c r="AX331" s="686"/>
      <c r="AY331" s="686"/>
      <c r="AZ331" s="686"/>
      <c r="BA331" s="686"/>
      <c r="BB331" s="686"/>
      <c r="BC331" s="686"/>
      <c r="BD331" s="686"/>
      <c r="BE331" s="686"/>
      <c r="BF331" s="686"/>
      <c r="BG331" s="686"/>
      <c r="BH331" s="686"/>
    </row>
    <row r="332" spans="1:60" s="44" customFormat="1">
      <c r="A332" s="690"/>
      <c r="B332" s="690"/>
      <c r="C332" s="686"/>
      <c r="D332" s="686"/>
      <c r="E332" s="686"/>
      <c r="F332" s="686"/>
      <c r="G332" s="686"/>
      <c r="H332" s="686"/>
      <c r="I332" s="825"/>
      <c r="J332" s="686"/>
      <c r="K332" s="686"/>
      <c r="L332" s="686"/>
      <c r="M332" s="686"/>
      <c r="N332" s="686"/>
      <c r="O332" s="686"/>
      <c r="P332" s="686"/>
      <c r="Q332" s="825"/>
      <c r="R332" s="686"/>
      <c r="S332" s="686"/>
      <c r="T332" s="686"/>
      <c r="U332" s="686"/>
      <c r="V332" s="686"/>
      <c r="W332" s="686"/>
      <c r="X332" s="686"/>
      <c r="Y332" s="825"/>
      <c r="Z332" s="686"/>
      <c r="AA332" s="686"/>
      <c r="AB332" s="686"/>
      <c r="AC332" s="686"/>
      <c r="AD332" s="686"/>
      <c r="AE332" s="686"/>
      <c r="AF332" s="686"/>
      <c r="AG332" s="825"/>
      <c r="AH332" s="686"/>
      <c r="AI332" s="686"/>
      <c r="AJ332" s="686"/>
      <c r="AK332" s="686"/>
      <c r="AL332" s="686"/>
      <c r="AM332" s="686"/>
      <c r="AN332" s="686"/>
      <c r="AO332" s="825"/>
      <c r="AP332" s="686"/>
      <c r="AQ332" s="686"/>
      <c r="AR332" s="686"/>
      <c r="AS332" s="686"/>
      <c r="AT332" s="686"/>
      <c r="AU332" s="686"/>
      <c r="AV332" s="686"/>
      <c r="AW332" s="686"/>
      <c r="AX332" s="686"/>
      <c r="AY332" s="686"/>
      <c r="AZ332" s="686"/>
      <c r="BA332" s="686"/>
      <c r="BB332" s="686"/>
      <c r="BC332" s="686"/>
      <c r="BD332" s="686"/>
      <c r="BE332" s="686"/>
      <c r="BF332" s="686"/>
      <c r="BG332" s="686"/>
      <c r="BH332" s="686"/>
    </row>
    <row r="333" spans="1:60" s="44" customFormat="1">
      <c r="A333" s="690"/>
      <c r="B333" s="690"/>
      <c r="C333" s="686"/>
      <c r="D333" s="686"/>
      <c r="E333" s="686"/>
      <c r="F333" s="686"/>
      <c r="G333" s="686"/>
      <c r="H333" s="686"/>
      <c r="I333" s="825"/>
      <c r="J333" s="686"/>
      <c r="K333" s="686"/>
      <c r="L333" s="686"/>
      <c r="M333" s="686"/>
      <c r="N333" s="686"/>
      <c r="O333" s="686"/>
      <c r="P333" s="686"/>
      <c r="Q333" s="825"/>
      <c r="R333" s="686"/>
      <c r="S333" s="686"/>
      <c r="T333" s="686"/>
      <c r="U333" s="686"/>
      <c r="V333" s="686"/>
      <c r="W333" s="686"/>
      <c r="X333" s="686"/>
      <c r="Y333" s="825"/>
      <c r="Z333" s="686"/>
      <c r="AA333" s="686"/>
      <c r="AB333" s="686"/>
      <c r="AC333" s="686"/>
      <c r="AD333" s="686"/>
      <c r="AE333" s="686"/>
      <c r="AF333" s="686"/>
      <c r="AG333" s="825"/>
      <c r="AH333" s="686"/>
      <c r="AI333" s="686"/>
      <c r="AJ333" s="686"/>
      <c r="AK333" s="686"/>
      <c r="AL333" s="686"/>
      <c r="AM333" s="686"/>
      <c r="AN333" s="686"/>
      <c r="AO333" s="825"/>
      <c r="AP333" s="686"/>
      <c r="AQ333" s="686"/>
      <c r="AR333" s="686"/>
      <c r="AS333" s="686"/>
      <c r="AT333" s="686"/>
      <c r="AU333" s="686"/>
      <c r="AV333" s="686"/>
      <c r="AW333" s="686"/>
      <c r="AX333" s="686"/>
      <c r="AY333" s="686"/>
      <c r="AZ333" s="686"/>
      <c r="BA333" s="686"/>
      <c r="BB333" s="686"/>
      <c r="BC333" s="686"/>
      <c r="BD333" s="686"/>
      <c r="BE333" s="686"/>
      <c r="BF333" s="686"/>
      <c r="BG333" s="686"/>
      <c r="BH333" s="686"/>
    </row>
    <row r="334" spans="1:60" s="44" customFormat="1">
      <c r="A334" s="690"/>
      <c r="B334" s="690"/>
      <c r="C334" s="686"/>
      <c r="D334" s="686"/>
      <c r="E334" s="686"/>
      <c r="F334" s="686"/>
      <c r="G334" s="686"/>
      <c r="H334" s="686"/>
      <c r="I334" s="825"/>
      <c r="J334" s="686"/>
      <c r="K334" s="686"/>
      <c r="L334" s="686"/>
      <c r="M334" s="686"/>
      <c r="N334" s="686"/>
      <c r="O334" s="686"/>
      <c r="P334" s="686"/>
      <c r="Q334" s="825"/>
      <c r="R334" s="686"/>
      <c r="S334" s="686"/>
      <c r="T334" s="686"/>
      <c r="U334" s="686"/>
      <c r="V334" s="686"/>
      <c r="W334" s="686"/>
      <c r="X334" s="686"/>
      <c r="Y334" s="825"/>
      <c r="Z334" s="686"/>
      <c r="AA334" s="686"/>
      <c r="AB334" s="686"/>
      <c r="AC334" s="686"/>
      <c r="AD334" s="686"/>
      <c r="AE334" s="686"/>
      <c r="AF334" s="686"/>
      <c r="AG334" s="825"/>
      <c r="AH334" s="686"/>
      <c r="AI334" s="686"/>
      <c r="AJ334" s="686"/>
      <c r="AK334" s="686"/>
      <c r="AL334" s="686"/>
      <c r="AM334" s="686"/>
      <c r="AN334" s="686"/>
      <c r="AO334" s="825"/>
      <c r="AP334" s="686"/>
      <c r="AQ334" s="686"/>
      <c r="AR334" s="686"/>
      <c r="AS334" s="686"/>
      <c r="AT334" s="686"/>
      <c r="AU334" s="686"/>
      <c r="AV334" s="686"/>
      <c r="AW334" s="686"/>
      <c r="AX334" s="686"/>
      <c r="AY334" s="686"/>
      <c r="AZ334" s="686"/>
      <c r="BA334" s="686"/>
      <c r="BB334" s="686"/>
      <c r="BC334" s="686"/>
      <c r="BD334" s="686"/>
      <c r="BE334" s="686"/>
      <c r="BF334" s="686"/>
      <c r="BG334" s="686"/>
      <c r="BH334" s="686"/>
    </row>
    <row r="335" spans="1:60" s="44" customFormat="1">
      <c r="A335" s="690"/>
      <c r="B335" s="690"/>
      <c r="C335" s="686"/>
      <c r="D335" s="686"/>
      <c r="E335" s="686"/>
      <c r="F335" s="686"/>
      <c r="G335" s="686"/>
      <c r="H335" s="686"/>
      <c r="I335" s="825"/>
      <c r="J335" s="686"/>
      <c r="K335" s="686"/>
      <c r="L335" s="686"/>
      <c r="M335" s="686"/>
      <c r="N335" s="686"/>
      <c r="O335" s="686"/>
      <c r="P335" s="686"/>
      <c r="Q335" s="825"/>
      <c r="R335" s="686"/>
      <c r="S335" s="686"/>
      <c r="T335" s="686"/>
      <c r="U335" s="686"/>
      <c r="V335" s="686"/>
      <c r="W335" s="686"/>
      <c r="X335" s="686"/>
      <c r="Y335" s="825"/>
      <c r="Z335" s="686"/>
      <c r="AA335" s="686"/>
      <c r="AB335" s="686"/>
      <c r="AC335" s="686"/>
      <c r="AD335" s="686"/>
      <c r="AE335" s="686"/>
      <c r="AF335" s="686"/>
      <c r="AG335" s="825"/>
      <c r="AH335" s="686"/>
      <c r="AI335" s="686"/>
      <c r="AJ335" s="686"/>
      <c r="AK335" s="686"/>
      <c r="AL335" s="686"/>
      <c r="AM335" s="686"/>
      <c r="AN335" s="686"/>
      <c r="AO335" s="825"/>
      <c r="AP335" s="686"/>
      <c r="AQ335" s="686"/>
      <c r="AR335" s="686"/>
      <c r="AS335" s="686"/>
      <c r="AT335" s="686"/>
      <c r="AU335" s="686"/>
      <c r="AV335" s="686"/>
      <c r="AW335" s="686"/>
      <c r="AX335" s="686"/>
      <c r="AY335" s="686"/>
      <c r="AZ335" s="686"/>
      <c r="BA335" s="686"/>
      <c r="BB335" s="686"/>
      <c r="BC335" s="686"/>
      <c r="BD335" s="686"/>
      <c r="BE335" s="686"/>
      <c r="BF335" s="686"/>
      <c r="BG335" s="686"/>
      <c r="BH335" s="686"/>
    </row>
    <row r="336" spans="1:60" s="44" customFormat="1">
      <c r="A336" s="690"/>
      <c r="B336" s="690"/>
      <c r="C336" s="686"/>
      <c r="D336" s="686"/>
      <c r="E336" s="686"/>
      <c r="F336" s="686"/>
      <c r="G336" s="686"/>
      <c r="H336" s="686"/>
      <c r="I336" s="825"/>
      <c r="J336" s="686"/>
      <c r="K336" s="686"/>
      <c r="L336" s="686"/>
      <c r="M336" s="686"/>
      <c r="N336" s="686"/>
      <c r="O336" s="686"/>
      <c r="P336" s="686"/>
      <c r="Q336" s="825"/>
      <c r="R336" s="686"/>
      <c r="S336" s="686"/>
      <c r="T336" s="686"/>
      <c r="U336" s="686"/>
      <c r="V336" s="686"/>
      <c r="W336" s="686"/>
      <c r="X336" s="686"/>
      <c r="Y336" s="825"/>
      <c r="Z336" s="686"/>
      <c r="AA336" s="686"/>
      <c r="AB336" s="686"/>
      <c r="AC336" s="686"/>
      <c r="AD336" s="686"/>
      <c r="AE336" s="686"/>
      <c r="AF336" s="686"/>
      <c r="AG336" s="825"/>
      <c r="AH336" s="686"/>
      <c r="AI336" s="686"/>
      <c r="AJ336" s="686"/>
      <c r="AK336" s="686"/>
      <c r="AL336" s="686"/>
      <c r="AM336" s="686"/>
      <c r="AN336" s="686"/>
      <c r="AO336" s="825"/>
      <c r="AP336" s="686"/>
      <c r="AQ336" s="686"/>
      <c r="AR336" s="686"/>
      <c r="AS336" s="686"/>
      <c r="AT336" s="686"/>
      <c r="AU336" s="686"/>
      <c r="AV336" s="686"/>
      <c r="AW336" s="686"/>
      <c r="AX336" s="686"/>
      <c r="AY336" s="686"/>
      <c r="AZ336" s="686"/>
      <c r="BA336" s="686"/>
      <c r="BB336" s="686"/>
      <c r="BC336" s="686"/>
      <c r="BD336" s="686"/>
      <c r="BE336" s="686"/>
      <c r="BF336" s="686"/>
      <c r="BG336" s="686"/>
      <c r="BH336" s="686"/>
    </row>
    <row r="337" spans="1:60" s="44" customFormat="1">
      <c r="A337" s="690"/>
      <c r="B337" s="690"/>
      <c r="C337" s="686"/>
      <c r="D337" s="686"/>
      <c r="E337" s="686"/>
      <c r="F337" s="686"/>
      <c r="G337" s="686"/>
      <c r="H337" s="686"/>
      <c r="I337" s="825"/>
      <c r="J337" s="686"/>
      <c r="K337" s="686"/>
      <c r="L337" s="686"/>
      <c r="M337" s="686"/>
      <c r="N337" s="686"/>
      <c r="O337" s="686"/>
      <c r="P337" s="686"/>
      <c r="Q337" s="825"/>
      <c r="R337" s="686"/>
      <c r="S337" s="686"/>
      <c r="T337" s="686"/>
      <c r="U337" s="686"/>
      <c r="V337" s="686"/>
      <c r="W337" s="686"/>
      <c r="X337" s="686"/>
      <c r="Y337" s="825"/>
      <c r="Z337" s="686"/>
      <c r="AA337" s="686"/>
      <c r="AB337" s="686"/>
      <c r="AC337" s="686"/>
      <c r="AD337" s="686"/>
      <c r="AE337" s="686"/>
      <c r="AF337" s="686"/>
      <c r="AG337" s="825"/>
      <c r="AH337" s="686"/>
      <c r="AI337" s="686"/>
      <c r="AJ337" s="686"/>
      <c r="AK337" s="686"/>
      <c r="AL337" s="686"/>
      <c r="AM337" s="686"/>
      <c r="AN337" s="686"/>
      <c r="AO337" s="825"/>
      <c r="AP337" s="686"/>
      <c r="AQ337" s="686"/>
      <c r="AR337" s="686"/>
      <c r="AS337" s="686"/>
      <c r="AT337" s="686"/>
      <c r="AU337" s="686"/>
      <c r="AV337" s="686"/>
      <c r="AW337" s="686"/>
      <c r="AX337" s="686"/>
      <c r="AY337" s="686"/>
      <c r="AZ337" s="686"/>
      <c r="BA337" s="686"/>
      <c r="BB337" s="686"/>
      <c r="BC337" s="686"/>
      <c r="BD337" s="686"/>
      <c r="BE337" s="686"/>
      <c r="BF337" s="686"/>
      <c r="BG337" s="686"/>
      <c r="BH337" s="686"/>
    </row>
    <row r="338" spans="1:60" s="44" customFormat="1">
      <c r="A338" s="690"/>
      <c r="B338" s="690"/>
      <c r="C338" s="686"/>
      <c r="D338" s="686"/>
      <c r="E338" s="686"/>
      <c r="F338" s="686"/>
      <c r="G338" s="686"/>
      <c r="H338" s="686"/>
      <c r="I338" s="825"/>
      <c r="J338" s="686"/>
      <c r="K338" s="686"/>
      <c r="L338" s="686"/>
      <c r="M338" s="686"/>
      <c r="N338" s="686"/>
      <c r="O338" s="686"/>
      <c r="P338" s="686"/>
      <c r="Q338" s="825"/>
      <c r="R338" s="686"/>
      <c r="S338" s="686"/>
      <c r="T338" s="686"/>
      <c r="U338" s="686"/>
      <c r="V338" s="686"/>
      <c r="W338" s="686"/>
      <c r="X338" s="686"/>
      <c r="Y338" s="825"/>
      <c r="Z338" s="686"/>
      <c r="AA338" s="686"/>
      <c r="AB338" s="686"/>
      <c r="AC338" s="686"/>
      <c r="AD338" s="686"/>
      <c r="AE338" s="686"/>
      <c r="AF338" s="686"/>
      <c r="AG338" s="825"/>
      <c r="AH338" s="686"/>
      <c r="AI338" s="686"/>
      <c r="AJ338" s="686"/>
      <c r="AK338" s="686"/>
      <c r="AL338" s="686"/>
      <c r="AM338" s="686"/>
      <c r="AN338" s="686"/>
      <c r="AO338" s="825"/>
      <c r="AP338" s="686"/>
      <c r="AQ338" s="686"/>
      <c r="AR338" s="686"/>
      <c r="AS338" s="686"/>
      <c r="AT338" s="686"/>
      <c r="AU338" s="686"/>
      <c r="AV338" s="686"/>
      <c r="AW338" s="686"/>
      <c r="AX338" s="686"/>
      <c r="AY338" s="686"/>
      <c r="AZ338" s="686"/>
      <c r="BA338" s="686"/>
      <c r="BB338" s="686"/>
      <c r="BC338" s="686"/>
      <c r="BD338" s="686"/>
      <c r="BE338" s="686"/>
      <c r="BF338" s="686"/>
      <c r="BG338" s="686"/>
      <c r="BH338" s="686"/>
    </row>
    <row r="339" spans="1:60" s="44" customFormat="1">
      <c r="A339" s="690"/>
      <c r="B339" s="690"/>
      <c r="C339" s="686"/>
      <c r="D339" s="686"/>
      <c r="E339" s="686"/>
      <c r="F339" s="686"/>
      <c r="G339" s="686"/>
      <c r="H339" s="686"/>
      <c r="I339" s="825"/>
      <c r="J339" s="686"/>
      <c r="K339" s="686"/>
      <c r="L339" s="686"/>
      <c r="M339" s="686"/>
      <c r="N339" s="686"/>
      <c r="O339" s="686"/>
      <c r="P339" s="686"/>
      <c r="Q339" s="825"/>
      <c r="R339" s="686"/>
      <c r="S339" s="686"/>
      <c r="T339" s="686"/>
      <c r="U339" s="686"/>
      <c r="V339" s="686"/>
      <c r="W339" s="686"/>
      <c r="X339" s="686"/>
      <c r="Y339" s="825"/>
      <c r="Z339" s="686"/>
      <c r="AA339" s="686"/>
      <c r="AB339" s="686"/>
      <c r="AC339" s="686"/>
      <c r="AD339" s="686"/>
      <c r="AE339" s="686"/>
      <c r="AF339" s="686"/>
      <c r="AG339" s="825"/>
      <c r="AH339" s="686"/>
      <c r="AI339" s="686"/>
      <c r="AJ339" s="686"/>
      <c r="AK339" s="686"/>
      <c r="AL339" s="686"/>
      <c r="AM339" s="686"/>
      <c r="AN339" s="686"/>
      <c r="AO339" s="825"/>
      <c r="AP339" s="686"/>
      <c r="AQ339" s="686"/>
      <c r="AR339" s="686"/>
      <c r="AS339" s="686"/>
      <c r="AT339" s="686"/>
      <c r="AU339" s="686"/>
      <c r="AV339" s="686"/>
      <c r="AW339" s="686"/>
      <c r="AX339" s="686"/>
      <c r="AY339" s="686"/>
      <c r="AZ339" s="686"/>
      <c r="BA339" s="686"/>
      <c r="BB339" s="686"/>
      <c r="BC339" s="686"/>
      <c r="BD339" s="686"/>
      <c r="BE339" s="686"/>
      <c r="BF339" s="686"/>
      <c r="BG339" s="686"/>
      <c r="BH339" s="686"/>
    </row>
    <row r="340" spans="1:60" s="44" customFormat="1">
      <c r="A340" s="690"/>
      <c r="B340" s="690"/>
      <c r="C340" s="686"/>
      <c r="D340" s="686"/>
      <c r="E340" s="686"/>
      <c r="F340" s="686"/>
      <c r="G340" s="686"/>
      <c r="H340" s="686"/>
      <c r="I340" s="825"/>
      <c r="J340" s="686"/>
      <c r="K340" s="686"/>
      <c r="L340" s="686"/>
      <c r="M340" s="686"/>
      <c r="N340" s="686"/>
      <c r="O340" s="686"/>
      <c r="P340" s="686"/>
      <c r="Q340" s="825"/>
      <c r="R340" s="686"/>
      <c r="S340" s="686"/>
      <c r="T340" s="686"/>
      <c r="U340" s="686"/>
      <c r="V340" s="686"/>
      <c r="W340" s="686"/>
      <c r="X340" s="686"/>
      <c r="Y340" s="825"/>
      <c r="Z340" s="686"/>
      <c r="AA340" s="686"/>
      <c r="AB340" s="686"/>
      <c r="AC340" s="686"/>
      <c r="AD340" s="686"/>
      <c r="AE340" s="686"/>
      <c r="AF340" s="686"/>
      <c r="AG340" s="825"/>
      <c r="AH340" s="686"/>
      <c r="AI340" s="686"/>
      <c r="AJ340" s="686"/>
      <c r="AK340" s="686"/>
      <c r="AL340" s="686"/>
      <c r="AM340" s="686"/>
      <c r="AN340" s="686"/>
      <c r="AO340" s="825"/>
      <c r="AP340" s="686"/>
      <c r="AQ340" s="686"/>
      <c r="AR340" s="686"/>
      <c r="AS340" s="686"/>
      <c r="AT340" s="686"/>
      <c r="AU340" s="686"/>
      <c r="AV340" s="686"/>
      <c r="AW340" s="686"/>
      <c r="AX340" s="686"/>
      <c r="AY340" s="686"/>
      <c r="AZ340" s="686"/>
      <c r="BA340" s="686"/>
      <c r="BB340" s="686"/>
      <c r="BC340" s="686"/>
      <c r="BD340" s="686"/>
      <c r="BE340" s="686"/>
      <c r="BF340" s="686"/>
      <c r="BG340" s="686"/>
      <c r="BH340" s="686"/>
    </row>
    <row r="341" spans="1:60" s="44" customFormat="1">
      <c r="A341" s="690"/>
      <c r="B341" s="690"/>
      <c r="C341" s="686"/>
      <c r="D341" s="686"/>
      <c r="E341" s="686"/>
      <c r="F341" s="686"/>
      <c r="G341" s="686"/>
      <c r="H341" s="686"/>
      <c r="I341" s="825"/>
      <c r="J341" s="686"/>
      <c r="K341" s="686"/>
      <c r="L341" s="686"/>
      <c r="M341" s="686"/>
      <c r="N341" s="686"/>
      <c r="O341" s="686"/>
      <c r="P341" s="686"/>
      <c r="Q341" s="825"/>
      <c r="R341" s="686"/>
      <c r="S341" s="686"/>
      <c r="T341" s="686"/>
      <c r="U341" s="686"/>
      <c r="V341" s="686"/>
      <c r="W341" s="686"/>
      <c r="X341" s="686"/>
      <c r="Y341" s="825"/>
      <c r="Z341" s="686"/>
      <c r="AA341" s="686"/>
      <c r="AB341" s="686"/>
      <c r="AC341" s="686"/>
      <c r="AD341" s="686"/>
      <c r="AE341" s="686"/>
      <c r="AF341" s="686"/>
      <c r="AG341" s="825"/>
      <c r="AH341" s="686"/>
      <c r="AI341" s="686"/>
      <c r="AJ341" s="686"/>
      <c r="AK341" s="686"/>
      <c r="AL341" s="686"/>
      <c r="AM341" s="686"/>
      <c r="AN341" s="686"/>
      <c r="AO341" s="825"/>
      <c r="AP341" s="686"/>
      <c r="AQ341" s="686"/>
      <c r="AR341" s="686"/>
      <c r="AS341" s="686"/>
      <c r="AT341" s="686"/>
      <c r="AU341" s="686"/>
      <c r="AV341" s="686"/>
      <c r="AW341" s="686"/>
      <c r="AX341" s="686"/>
      <c r="AY341" s="686"/>
      <c r="AZ341" s="686"/>
      <c r="BA341" s="686"/>
      <c r="BB341" s="686"/>
      <c r="BC341" s="686"/>
      <c r="BD341" s="686"/>
      <c r="BE341" s="686"/>
      <c r="BF341" s="686"/>
      <c r="BG341" s="686"/>
      <c r="BH341" s="686"/>
    </row>
    <row r="342" spans="1:60" s="44" customFormat="1">
      <c r="A342" s="690"/>
      <c r="B342" s="690"/>
      <c r="C342" s="686"/>
      <c r="D342" s="686"/>
      <c r="E342" s="686"/>
      <c r="F342" s="686"/>
      <c r="G342" s="686"/>
      <c r="H342" s="686"/>
      <c r="I342" s="825"/>
      <c r="J342" s="686"/>
      <c r="K342" s="686"/>
      <c r="L342" s="686"/>
      <c r="M342" s="686"/>
      <c r="N342" s="686"/>
      <c r="O342" s="686"/>
      <c r="P342" s="686"/>
      <c r="Q342" s="825"/>
      <c r="R342" s="686"/>
      <c r="S342" s="686"/>
      <c r="T342" s="686"/>
      <c r="U342" s="686"/>
      <c r="V342" s="686"/>
      <c r="W342" s="686"/>
      <c r="X342" s="686"/>
      <c r="Y342" s="825"/>
      <c r="Z342" s="686"/>
      <c r="AA342" s="686"/>
      <c r="AB342" s="686"/>
      <c r="AC342" s="686"/>
      <c r="AD342" s="686"/>
      <c r="AE342" s="686"/>
      <c r="AF342" s="686"/>
      <c r="AG342" s="825"/>
      <c r="AH342" s="686"/>
      <c r="AI342" s="686"/>
      <c r="AJ342" s="686"/>
      <c r="AK342" s="686"/>
      <c r="AL342" s="686"/>
      <c r="AM342" s="686"/>
      <c r="AN342" s="686"/>
      <c r="AO342" s="825"/>
      <c r="AP342" s="686"/>
      <c r="AQ342" s="686"/>
      <c r="AR342" s="686"/>
      <c r="AS342" s="686"/>
      <c r="AT342" s="686"/>
      <c r="AU342" s="686"/>
      <c r="AV342" s="686"/>
      <c r="AW342" s="686"/>
      <c r="AX342" s="686"/>
      <c r="AY342" s="686"/>
      <c r="AZ342" s="686"/>
      <c r="BA342" s="686"/>
      <c r="BB342" s="686"/>
      <c r="BC342" s="686"/>
      <c r="BD342" s="686"/>
      <c r="BE342" s="686"/>
      <c r="BF342" s="686"/>
      <c r="BG342" s="686"/>
      <c r="BH342" s="686"/>
    </row>
    <row r="343" spans="1:60" s="44" customFormat="1">
      <c r="A343" s="690"/>
      <c r="B343" s="690"/>
      <c r="C343" s="686"/>
      <c r="D343" s="686"/>
      <c r="E343" s="686"/>
      <c r="F343" s="686"/>
      <c r="G343" s="686"/>
      <c r="H343" s="686"/>
      <c r="I343" s="825"/>
      <c r="J343" s="686"/>
      <c r="K343" s="686"/>
      <c r="L343" s="686"/>
      <c r="M343" s="686"/>
      <c r="N343" s="686"/>
      <c r="O343" s="686"/>
      <c r="P343" s="686"/>
      <c r="Q343" s="825"/>
      <c r="R343" s="686"/>
      <c r="S343" s="686"/>
      <c r="T343" s="686"/>
      <c r="U343" s="686"/>
      <c r="V343" s="686"/>
      <c r="W343" s="686"/>
      <c r="X343" s="686"/>
      <c r="Y343" s="825"/>
      <c r="Z343" s="686"/>
      <c r="AA343" s="686"/>
      <c r="AB343" s="686"/>
      <c r="AC343" s="686"/>
      <c r="AD343" s="686"/>
      <c r="AE343" s="686"/>
      <c r="AF343" s="686"/>
      <c r="AG343" s="825"/>
      <c r="AH343" s="686"/>
      <c r="AI343" s="686"/>
      <c r="AJ343" s="686"/>
      <c r="AK343" s="686"/>
      <c r="AL343" s="686"/>
      <c r="AM343" s="686"/>
      <c r="AN343" s="686"/>
      <c r="AO343" s="825"/>
      <c r="AP343" s="686"/>
      <c r="AQ343" s="686"/>
      <c r="AR343" s="686"/>
      <c r="AS343" s="686"/>
      <c r="AT343" s="686"/>
      <c r="AU343" s="686"/>
      <c r="AV343" s="686"/>
      <c r="AW343" s="686"/>
      <c r="AX343" s="686"/>
      <c r="AY343" s="686"/>
      <c r="AZ343" s="686"/>
      <c r="BA343" s="686"/>
      <c r="BB343" s="686"/>
      <c r="BC343" s="686"/>
      <c r="BD343" s="686"/>
      <c r="BE343" s="686"/>
      <c r="BF343" s="686"/>
      <c r="BG343" s="686"/>
      <c r="BH343" s="686"/>
    </row>
    <row r="344" spans="1:60" s="44" customFormat="1">
      <c r="A344" s="690"/>
      <c r="B344" s="690"/>
      <c r="C344" s="686"/>
      <c r="D344" s="686"/>
      <c r="E344" s="686"/>
      <c r="F344" s="686"/>
      <c r="G344" s="686"/>
      <c r="H344" s="686"/>
      <c r="I344" s="825"/>
      <c r="J344" s="686"/>
      <c r="K344" s="686"/>
      <c r="L344" s="686"/>
      <c r="M344" s="686"/>
      <c r="N344" s="686"/>
      <c r="O344" s="686"/>
      <c r="P344" s="686"/>
      <c r="Q344" s="825"/>
      <c r="R344" s="686"/>
      <c r="S344" s="686"/>
      <c r="T344" s="686"/>
      <c r="U344" s="686"/>
      <c r="V344" s="686"/>
      <c r="W344" s="686"/>
      <c r="X344" s="686"/>
      <c r="Y344" s="825"/>
      <c r="Z344" s="686"/>
      <c r="AA344" s="686"/>
      <c r="AB344" s="686"/>
      <c r="AC344" s="686"/>
      <c r="AD344" s="686"/>
      <c r="AE344" s="686"/>
      <c r="AF344" s="686"/>
      <c r="AG344" s="825"/>
      <c r="AH344" s="686"/>
      <c r="AI344" s="686"/>
      <c r="AJ344" s="686"/>
      <c r="AK344" s="686"/>
      <c r="AL344" s="686"/>
      <c r="AM344" s="686"/>
      <c r="AN344" s="686"/>
      <c r="AO344" s="825"/>
      <c r="AP344" s="686"/>
      <c r="AQ344" s="686"/>
      <c r="AR344" s="686"/>
      <c r="AS344" s="686"/>
      <c r="AT344" s="686"/>
      <c r="AU344" s="686"/>
      <c r="AV344" s="686"/>
      <c r="AW344" s="686"/>
      <c r="AX344" s="686"/>
      <c r="AY344" s="686"/>
      <c r="AZ344" s="686"/>
      <c r="BA344" s="686"/>
      <c r="BB344" s="686"/>
      <c r="BC344" s="686"/>
      <c r="BD344" s="686"/>
      <c r="BE344" s="686"/>
      <c r="BF344" s="686"/>
      <c r="BG344" s="686"/>
      <c r="BH344" s="686"/>
    </row>
    <row r="345" spans="1:60" s="44" customFormat="1">
      <c r="A345" s="690"/>
      <c r="B345" s="690"/>
      <c r="C345" s="686"/>
      <c r="D345" s="686"/>
      <c r="E345" s="686"/>
      <c r="F345" s="686"/>
      <c r="G345" s="686"/>
      <c r="H345" s="686"/>
      <c r="I345" s="825"/>
      <c r="J345" s="686"/>
      <c r="K345" s="686"/>
      <c r="L345" s="686"/>
      <c r="M345" s="686"/>
      <c r="N345" s="686"/>
      <c r="O345" s="686"/>
      <c r="P345" s="686"/>
      <c r="Q345" s="825"/>
      <c r="R345" s="686"/>
      <c r="S345" s="686"/>
      <c r="T345" s="686"/>
      <c r="U345" s="686"/>
      <c r="V345" s="686"/>
      <c r="W345" s="686"/>
      <c r="X345" s="686"/>
      <c r="Y345" s="825"/>
      <c r="Z345" s="686"/>
      <c r="AA345" s="686"/>
      <c r="AB345" s="686"/>
      <c r="AC345" s="686"/>
      <c r="AD345" s="686"/>
      <c r="AE345" s="686"/>
      <c r="AF345" s="686"/>
      <c r="AG345" s="825"/>
      <c r="AH345" s="686"/>
      <c r="AI345" s="686"/>
      <c r="AJ345" s="686"/>
      <c r="AK345" s="686"/>
      <c r="AL345" s="686"/>
      <c r="AM345" s="686"/>
      <c r="AN345" s="686"/>
      <c r="AO345" s="825"/>
      <c r="AP345" s="686"/>
      <c r="AQ345" s="686"/>
      <c r="AR345" s="686"/>
      <c r="AS345" s="686"/>
      <c r="AT345" s="686"/>
      <c r="AU345" s="686"/>
      <c r="AV345" s="686"/>
      <c r="AW345" s="686"/>
      <c r="AX345" s="686"/>
      <c r="AY345" s="686"/>
      <c r="AZ345" s="686"/>
      <c r="BA345" s="686"/>
      <c r="BB345" s="686"/>
      <c r="BC345" s="686"/>
      <c r="BD345" s="686"/>
      <c r="BE345" s="686"/>
      <c r="BF345" s="686"/>
      <c r="BG345" s="686"/>
      <c r="BH345" s="686"/>
    </row>
    <row r="346" spans="1:60" s="44" customFormat="1">
      <c r="A346" s="690"/>
      <c r="B346" s="690"/>
      <c r="C346" s="686"/>
      <c r="D346" s="686"/>
      <c r="E346" s="686"/>
      <c r="F346" s="686"/>
      <c r="G346" s="686"/>
      <c r="H346" s="686"/>
      <c r="I346" s="825"/>
      <c r="J346" s="686"/>
      <c r="K346" s="686"/>
      <c r="L346" s="686"/>
      <c r="M346" s="686"/>
      <c r="N346" s="686"/>
      <c r="O346" s="686"/>
      <c r="P346" s="686"/>
      <c r="Q346" s="825"/>
      <c r="R346" s="686"/>
      <c r="S346" s="686"/>
      <c r="T346" s="686"/>
      <c r="U346" s="686"/>
      <c r="V346" s="686"/>
      <c r="W346" s="686"/>
      <c r="X346" s="686"/>
      <c r="Y346" s="825"/>
      <c r="Z346" s="686"/>
      <c r="AA346" s="686"/>
      <c r="AB346" s="686"/>
      <c r="AC346" s="686"/>
      <c r="AD346" s="686"/>
      <c r="AE346" s="686"/>
      <c r="AF346" s="686"/>
      <c r="AG346" s="825"/>
      <c r="AH346" s="686"/>
      <c r="AI346" s="686"/>
      <c r="AJ346" s="686"/>
      <c r="AK346" s="686"/>
      <c r="AL346" s="686"/>
      <c r="AM346" s="686"/>
      <c r="AN346" s="686"/>
      <c r="AO346" s="825"/>
      <c r="AP346" s="686"/>
      <c r="AQ346" s="686"/>
      <c r="AR346" s="686"/>
      <c r="AS346" s="686"/>
      <c r="AT346" s="686"/>
      <c r="AU346" s="686"/>
      <c r="AV346" s="686"/>
      <c r="AW346" s="686"/>
      <c r="AX346" s="686"/>
      <c r="AY346" s="686"/>
      <c r="AZ346" s="686"/>
      <c r="BA346" s="686"/>
      <c r="BB346" s="686"/>
      <c r="BC346" s="686"/>
      <c r="BD346" s="686"/>
      <c r="BE346" s="686"/>
      <c r="BF346" s="686"/>
      <c r="BG346" s="686"/>
      <c r="BH346" s="686"/>
    </row>
    <row r="347" spans="1:60" s="44" customFormat="1">
      <c r="A347" s="690"/>
      <c r="B347" s="690"/>
      <c r="C347" s="686"/>
      <c r="D347" s="686"/>
      <c r="E347" s="686"/>
      <c r="F347" s="686"/>
      <c r="G347" s="686"/>
      <c r="H347" s="686"/>
      <c r="I347" s="825"/>
      <c r="J347" s="686"/>
      <c r="K347" s="686"/>
      <c r="L347" s="686"/>
      <c r="M347" s="686"/>
      <c r="N347" s="686"/>
      <c r="O347" s="686"/>
      <c r="P347" s="686"/>
      <c r="Q347" s="825"/>
      <c r="R347" s="686"/>
      <c r="S347" s="686"/>
      <c r="T347" s="686"/>
      <c r="U347" s="686"/>
      <c r="V347" s="686"/>
      <c r="W347" s="686"/>
      <c r="X347" s="686"/>
      <c r="Y347" s="825"/>
      <c r="Z347" s="686"/>
      <c r="AA347" s="686"/>
      <c r="AB347" s="686"/>
      <c r="AC347" s="686"/>
      <c r="AD347" s="686"/>
      <c r="AE347" s="686"/>
      <c r="AF347" s="686"/>
      <c r="AG347" s="825"/>
      <c r="AH347" s="686"/>
      <c r="AI347" s="686"/>
      <c r="AJ347" s="686"/>
      <c r="AK347" s="686"/>
      <c r="AL347" s="686"/>
      <c r="AM347" s="686"/>
      <c r="AN347" s="686"/>
      <c r="AO347" s="825"/>
      <c r="AP347" s="686"/>
      <c r="AQ347" s="686"/>
      <c r="AR347" s="686"/>
      <c r="AS347" s="686"/>
      <c r="AT347" s="686"/>
      <c r="AU347" s="686"/>
      <c r="AV347" s="686"/>
      <c r="AW347" s="686"/>
      <c r="AX347" s="686"/>
      <c r="AY347" s="686"/>
      <c r="AZ347" s="686"/>
      <c r="BA347" s="686"/>
      <c r="BB347" s="686"/>
      <c r="BC347" s="686"/>
      <c r="BD347" s="686"/>
      <c r="BE347" s="686"/>
      <c r="BF347" s="686"/>
      <c r="BG347" s="686"/>
      <c r="BH347" s="686"/>
    </row>
    <row r="348" spans="1:60" s="44" customFormat="1">
      <c r="A348" s="690"/>
      <c r="B348" s="690"/>
      <c r="C348" s="686"/>
      <c r="D348" s="686"/>
      <c r="E348" s="686"/>
      <c r="F348" s="686"/>
      <c r="G348" s="686"/>
      <c r="H348" s="686"/>
      <c r="I348" s="825"/>
      <c r="J348" s="686"/>
      <c r="K348" s="686"/>
      <c r="L348" s="686"/>
      <c r="M348" s="686"/>
      <c r="N348" s="686"/>
      <c r="O348" s="686"/>
      <c r="P348" s="686"/>
      <c r="Q348" s="825"/>
      <c r="R348" s="686"/>
      <c r="S348" s="686"/>
      <c r="T348" s="686"/>
      <c r="U348" s="686"/>
      <c r="V348" s="686"/>
      <c r="W348" s="686"/>
      <c r="X348" s="686"/>
      <c r="Y348" s="825"/>
      <c r="Z348" s="686"/>
      <c r="AA348" s="686"/>
      <c r="AB348" s="686"/>
      <c r="AC348" s="686"/>
      <c r="AD348" s="686"/>
      <c r="AE348" s="686"/>
      <c r="AF348" s="686"/>
      <c r="AG348" s="825"/>
      <c r="AH348" s="686"/>
      <c r="AI348" s="686"/>
      <c r="AJ348" s="686"/>
      <c r="AK348" s="686"/>
      <c r="AL348" s="686"/>
      <c r="AM348" s="686"/>
      <c r="AN348" s="686"/>
      <c r="AO348" s="825"/>
      <c r="AP348" s="686"/>
      <c r="AQ348" s="686"/>
      <c r="AR348" s="686"/>
      <c r="AS348" s="686"/>
      <c r="AT348" s="686"/>
      <c r="AU348" s="686"/>
      <c r="AV348" s="686"/>
      <c r="AW348" s="686"/>
      <c r="AX348" s="686"/>
      <c r="AY348" s="686"/>
      <c r="AZ348" s="686"/>
      <c r="BA348" s="686"/>
      <c r="BB348" s="686"/>
      <c r="BC348" s="686"/>
      <c r="BD348" s="686"/>
      <c r="BE348" s="686"/>
      <c r="BF348" s="686"/>
      <c r="BG348" s="686"/>
      <c r="BH348" s="686"/>
    </row>
    <row r="349" spans="1:60" s="44" customFormat="1">
      <c r="A349" s="690"/>
      <c r="B349" s="690"/>
      <c r="C349" s="686"/>
      <c r="D349" s="686"/>
      <c r="E349" s="686"/>
      <c r="F349" s="686"/>
      <c r="G349" s="686"/>
      <c r="H349" s="686"/>
      <c r="I349" s="825"/>
      <c r="J349" s="686"/>
      <c r="K349" s="686"/>
      <c r="L349" s="686"/>
      <c r="M349" s="686"/>
      <c r="N349" s="686"/>
      <c r="O349" s="686"/>
      <c r="P349" s="686"/>
      <c r="Q349" s="825"/>
      <c r="R349" s="686"/>
      <c r="S349" s="686"/>
      <c r="T349" s="686"/>
      <c r="U349" s="686"/>
      <c r="V349" s="686"/>
      <c r="W349" s="686"/>
      <c r="X349" s="686"/>
      <c r="Y349" s="825"/>
      <c r="Z349" s="686"/>
      <c r="AA349" s="686"/>
      <c r="AB349" s="686"/>
      <c r="AC349" s="686"/>
      <c r="AD349" s="686"/>
      <c r="AE349" s="686"/>
      <c r="AF349" s="686"/>
      <c r="AG349" s="825"/>
      <c r="AH349" s="686"/>
      <c r="AI349" s="686"/>
      <c r="AJ349" s="686"/>
      <c r="AK349" s="686"/>
      <c r="AL349" s="686"/>
      <c r="AM349" s="686"/>
      <c r="AN349" s="686"/>
      <c r="AO349" s="825"/>
      <c r="AP349" s="686"/>
      <c r="AQ349" s="686"/>
      <c r="AR349" s="686"/>
      <c r="AS349" s="686"/>
      <c r="AT349" s="686"/>
      <c r="AU349" s="686"/>
      <c r="AV349" s="686"/>
      <c r="AW349" s="686"/>
      <c r="AX349" s="686"/>
      <c r="AY349" s="686"/>
      <c r="AZ349" s="686"/>
      <c r="BA349" s="686"/>
      <c r="BB349" s="686"/>
      <c r="BC349" s="686"/>
      <c r="BD349" s="686"/>
      <c r="BE349" s="686"/>
      <c r="BF349" s="686"/>
      <c r="BG349" s="686"/>
      <c r="BH349" s="686"/>
    </row>
    <row r="350" spans="1:60" s="44" customFormat="1">
      <c r="A350" s="690"/>
      <c r="B350" s="690"/>
      <c r="C350" s="686"/>
      <c r="D350" s="686"/>
      <c r="E350" s="686"/>
      <c r="F350" s="686"/>
      <c r="G350" s="686"/>
      <c r="H350" s="686"/>
      <c r="I350" s="825"/>
      <c r="J350" s="686"/>
      <c r="K350" s="686"/>
      <c r="L350" s="686"/>
      <c r="M350" s="686"/>
      <c r="N350" s="686"/>
      <c r="O350" s="686"/>
      <c r="P350" s="686"/>
      <c r="Q350" s="825"/>
      <c r="R350" s="686"/>
      <c r="S350" s="686"/>
      <c r="T350" s="686"/>
      <c r="U350" s="686"/>
      <c r="V350" s="686"/>
      <c r="W350" s="686"/>
      <c r="X350" s="686"/>
      <c r="Y350" s="825"/>
      <c r="Z350" s="686"/>
      <c r="AA350" s="686"/>
      <c r="AB350" s="686"/>
      <c r="AC350" s="686"/>
      <c r="AD350" s="686"/>
      <c r="AE350" s="686"/>
      <c r="AF350" s="686"/>
      <c r="AG350" s="825"/>
      <c r="AH350" s="686"/>
      <c r="AI350" s="686"/>
      <c r="AJ350" s="686"/>
      <c r="AK350" s="686"/>
      <c r="AL350" s="686"/>
      <c r="AM350" s="686"/>
      <c r="AN350" s="686"/>
      <c r="AO350" s="825"/>
      <c r="AP350" s="686"/>
      <c r="AQ350" s="686"/>
      <c r="AR350" s="686"/>
      <c r="AS350" s="686"/>
      <c r="AT350" s="686"/>
      <c r="AU350" s="686"/>
      <c r="AV350" s="686"/>
      <c r="AW350" s="686"/>
      <c r="AX350" s="686"/>
      <c r="AY350" s="686"/>
      <c r="AZ350" s="686"/>
      <c r="BA350" s="686"/>
      <c r="BB350" s="686"/>
      <c r="BC350" s="686"/>
      <c r="BD350" s="686"/>
      <c r="BE350" s="686"/>
      <c r="BF350" s="686"/>
      <c r="BG350" s="686"/>
      <c r="BH350" s="686"/>
    </row>
    <row r="351" spans="1:60" s="44" customFormat="1">
      <c r="A351" s="690"/>
      <c r="B351" s="690"/>
      <c r="C351" s="686"/>
      <c r="D351" s="686"/>
      <c r="E351" s="686"/>
      <c r="F351" s="686"/>
      <c r="G351" s="686"/>
      <c r="H351" s="686"/>
      <c r="I351" s="825"/>
      <c r="J351" s="686"/>
      <c r="K351" s="686"/>
      <c r="L351" s="686"/>
      <c r="M351" s="686"/>
      <c r="N351" s="686"/>
      <c r="O351" s="686"/>
      <c r="P351" s="686"/>
      <c r="Q351" s="825"/>
      <c r="R351" s="686"/>
      <c r="S351" s="686"/>
      <c r="T351" s="686"/>
      <c r="U351" s="686"/>
      <c r="V351" s="686"/>
      <c r="W351" s="686"/>
      <c r="X351" s="686"/>
      <c r="Y351" s="825"/>
      <c r="Z351" s="686"/>
      <c r="AA351" s="686"/>
      <c r="AB351" s="686"/>
      <c r="AC351" s="686"/>
      <c r="AD351" s="686"/>
      <c r="AE351" s="686"/>
      <c r="AF351" s="686"/>
      <c r="AG351" s="825"/>
      <c r="AH351" s="686"/>
      <c r="AI351" s="686"/>
      <c r="AJ351" s="686"/>
      <c r="AK351" s="686"/>
      <c r="AL351" s="686"/>
      <c r="AM351" s="686"/>
      <c r="AN351" s="686"/>
      <c r="AO351" s="825"/>
      <c r="AP351" s="686"/>
      <c r="AQ351" s="686"/>
      <c r="AR351" s="686"/>
      <c r="AS351" s="686"/>
      <c r="AT351" s="686"/>
      <c r="AU351" s="686"/>
      <c r="AV351" s="686"/>
      <c r="AW351" s="686"/>
      <c r="AX351" s="686"/>
      <c r="AY351" s="686"/>
      <c r="AZ351" s="686"/>
      <c r="BA351" s="686"/>
      <c r="BB351" s="686"/>
      <c r="BC351" s="686"/>
      <c r="BD351" s="686"/>
      <c r="BE351" s="686"/>
      <c r="BF351" s="686"/>
      <c r="BG351" s="686"/>
      <c r="BH351" s="686"/>
    </row>
    <row r="352" spans="1:60" s="44" customFormat="1">
      <c r="A352" s="690"/>
      <c r="B352" s="690"/>
      <c r="C352" s="686"/>
      <c r="D352" s="686"/>
      <c r="E352" s="686"/>
      <c r="F352" s="686"/>
      <c r="G352" s="686"/>
      <c r="H352" s="686"/>
      <c r="I352" s="825"/>
      <c r="J352" s="686"/>
      <c r="K352" s="686"/>
      <c r="L352" s="686"/>
      <c r="M352" s="686"/>
      <c r="N352" s="686"/>
      <c r="O352" s="686"/>
      <c r="P352" s="686"/>
      <c r="Q352" s="825"/>
      <c r="R352" s="686"/>
      <c r="S352" s="686"/>
      <c r="T352" s="686"/>
      <c r="U352" s="686"/>
      <c r="V352" s="686"/>
      <c r="W352" s="686"/>
      <c r="X352" s="686"/>
      <c r="Y352" s="825"/>
      <c r="Z352" s="686"/>
      <c r="AA352" s="686"/>
      <c r="AB352" s="686"/>
      <c r="AC352" s="686"/>
      <c r="AD352" s="686"/>
      <c r="AE352" s="686"/>
      <c r="AF352" s="686"/>
      <c r="AG352" s="825"/>
      <c r="AH352" s="686"/>
      <c r="AI352" s="686"/>
      <c r="AJ352" s="686"/>
      <c r="AK352" s="686"/>
      <c r="AL352" s="686"/>
      <c r="AM352" s="686"/>
      <c r="AN352" s="686"/>
      <c r="AO352" s="825"/>
      <c r="AP352" s="686"/>
      <c r="AQ352" s="686"/>
      <c r="AR352" s="686"/>
      <c r="AS352" s="686"/>
      <c r="AT352" s="686"/>
      <c r="AU352" s="686"/>
      <c r="AV352" s="686"/>
      <c r="AW352" s="686"/>
      <c r="AX352" s="686"/>
      <c r="AY352" s="686"/>
      <c r="AZ352" s="686"/>
      <c r="BA352" s="686"/>
      <c r="BB352" s="686"/>
      <c r="BC352" s="686"/>
      <c r="BD352" s="686"/>
      <c r="BE352" s="686"/>
      <c r="BF352" s="686"/>
      <c r="BG352" s="686"/>
      <c r="BH352" s="686"/>
    </row>
    <row r="353" spans="1:60" s="44" customFormat="1">
      <c r="A353" s="690"/>
      <c r="B353" s="690"/>
      <c r="C353" s="686"/>
      <c r="D353" s="686"/>
      <c r="E353" s="686"/>
      <c r="F353" s="686"/>
      <c r="G353" s="686"/>
      <c r="H353" s="686"/>
      <c r="I353" s="825"/>
      <c r="J353" s="686"/>
      <c r="K353" s="686"/>
      <c r="L353" s="686"/>
      <c r="M353" s="686"/>
      <c r="N353" s="686"/>
      <c r="O353" s="686"/>
      <c r="P353" s="686"/>
      <c r="Q353" s="825"/>
      <c r="R353" s="686"/>
      <c r="S353" s="686"/>
      <c r="T353" s="686"/>
      <c r="U353" s="686"/>
      <c r="V353" s="686"/>
      <c r="W353" s="686"/>
      <c r="X353" s="686"/>
      <c r="Y353" s="825"/>
      <c r="Z353" s="686"/>
      <c r="AA353" s="686"/>
      <c r="AB353" s="686"/>
      <c r="AC353" s="686"/>
      <c r="AD353" s="686"/>
      <c r="AE353" s="686"/>
      <c r="AF353" s="686"/>
      <c r="AG353" s="825"/>
      <c r="AH353" s="686"/>
      <c r="AI353" s="686"/>
      <c r="AJ353" s="686"/>
      <c r="AK353" s="686"/>
      <c r="AL353" s="686"/>
      <c r="AM353" s="686"/>
      <c r="AN353" s="686"/>
      <c r="AO353" s="825"/>
      <c r="AP353" s="686"/>
      <c r="AQ353" s="686"/>
      <c r="AR353" s="686"/>
      <c r="AS353" s="686"/>
      <c r="AT353" s="686"/>
      <c r="AU353" s="686"/>
      <c r="AV353" s="686"/>
      <c r="AW353" s="686"/>
      <c r="AX353" s="686"/>
      <c r="AY353" s="686"/>
      <c r="AZ353" s="686"/>
      <c r="BA353" s="686"/>
      <c r="BB353" s="686"/>
      <c r="BC353" s="686"/>
      <c r="BD353" s="686"/>
      <c r="BE353" s="686"/>
      <c r="BF353" s="686"/>
      <c r="BG353" s="686"/>
      <c r="BH353" s="686"/>
    </row>
    <row r="354" spans="1:60" s="44" customFormat="1">
      <c r="A354" s="690"/>
      <c r="B354" s="690"/>
      <c r="C354" s="686"/>
      <c r="D354" s="686"/>
      <c r="E354" s="686"/>
      <c r="F354" s="686"/>
      <c r="G354" s="686"/>
      <c r="H354" s="686"/>
      <c r="I354" s="825"/>
      <c r="J354" s="686"/>
      <c r="K354" s="686"/>
      <c r="L354" s="686"/>
      <c r="M354" s="686"/>
      <c r="N354" s="686"/>
      <c r="O354" s="686"/>
      <c r="P354" s="686"/>
      <c r="Q354" s="825"/>
      <c r="R354" s="686"/>
      <c r="S354" s="686"/>
      <c r="T354" s="686"/>
      <c r="U354" s="686"/>
      <c r="V354" s="686"/>
      <c r="W354" s="686"/>
      <c r="X354" s="686"/>
      <c r="Y354" s="825"/>
      <c r="Z354" s="686"/>
      <c r="AA354" s="686"/>
      <c r="AB354" s="686"/>
      <c r="AC354" s="686"/>
      <c r="AD354" s="686"/>
      <c r="AE354" s="686"/>
      <c r="AF354" s="686"/>
      <c r="AG354" s="825"/>
      <c r="AH354" s="686"/>
      <c r="AI354" s="686"/>
      <c r="AJ354" s="686"/>
      <c r="AK354" s="686"/>
      <c r="AL354" s="686"/>
      <c r="AM354" s="686"/>
      <c r="AN354" s="686"/>
      <c r="AO354" s="825"/>
      <c r="AP354" s="686"/>
      <c r="AQ354" s="686"/>
      <c r="AR354" s="686"/>
      <c r="AS354" s="686"/>
      <c r="AT354" s="686"/>
      <c r="AU354" s="686"/>
      <c r="AV354" s="686"/>
      <c r="AW354" s="686"/>
      <c r="AX354" s="686"/>
      <c r="AY354" s="686"/>
      <c r="AZ354" s="686"/>
      <c r="BA354" s="686"/>
      <c r="BB354" s="686"/>
      <c r="BC354" s="686"/>
      <c r="BD354" s="686"/>
      <c r="BE354" s="686"/>
      <c r="BF354" s="686"/>
      <c r="BG354" s="686"/>
      <c r="BH354" s="686"/>
    </row>
    <row r="355" spans="1:60" s="44" customFormat="1">
      <c r="A355" s="690"/>
      <c r="B355" s="690"/>
      <c r="C355" s="686"/>
      <c r="D355" s="686"/>
      <c r="E355" s="686"/>
      <c r="F355" s="686"/>
      <c r="G355" s="686"/>
      <c r="H355" s="686"/>
      <c r="I355" s="825"/>
      <c r="J355" s="686"/>
      <c r="K355" s="686"/>
      <c r="L355" s="686"/>
      <c r="M355" s="686"/>
      <c r="N355" s="686"/>
      <c r="O355" s="686"/>
      <c r="P355" s="686"/>
      <c r="Q355" s="825"/>
      <c r="R355" s="686"/>
      <c r="S355" s="686"/>
      <c r="T355" s="686"/>
      <c r="U355" s="686"/>
      <c r="V355" s="686"/>
      <c r="W355" s="686"/>
      <c r="X355" s="686"/>
      <c r="Y355" s="825"/>
      <c r="Z355" s="686"/>
      <c r="AA355" s="686"/>
      <c r="AB355" s="686"/>
      <c r="AC355" s="686"/>
      <c r="AD355" s="686"/>
      <c r="AE355" s="686"/>
      <c r="AF355" s="686"/>
      <c r="AG355" s="825"/>
      <c r="AH355" s="686"/>
      <c r="AI355" s="686"/>
      <c r="AJ355" s="686"/>
      <c r="AK355" s="686"/>
      <c r="AL355" s="686"/>
      <c r="AM355" s="686"/>
      <c r="AN355" s="686"/>
      <c r="AO355" s="825"/>
      <c r="AP355" s="686"/>
      <c r="AQ355" s="686"/>
      <c r="AR355" s="686"/>
      <c r="AS355" s="686"/>
      <c r="AT355" s="686"/>
      <c r="AU355" s="686"/>
      <c r="AV355" s="686"/>
      <c r="AW355" s="686"/>
      <c r="AX355" s="686"/>
      <c r="AY355" s="686"/>
      <c r="AZ355" s="686"/>
      <c r="BA355" s="686"/>
      <c r="BB355" s="686"/>
      <c r="BC355" s="686"/>
      <c r="BD355" s="686"/>
      <c r="BE355" s="686"/>
      <c r="BF355" s="686"/>
      <c r="BG355" s="686"/>
      <c r="BH355" s="686"/>
    </row>
    <row r="356" spans="1:60" s="44" customFormat="1">
      <c r="A356" s="690"/>
      <c r="B356" s="690"/>
      <c r="C356" s="686"/>
      <c r="D356" s="686"/>
      <c r="E356" s="686"/>
      <c r="F356" s="686"/>
      <c r="G356" s="686"/>
      <c r="H356" s="686"/>
      <c r="I356" s="825"/>
      <c r="J356" s="686"/>
      <c r="K356" s="686"/>
      <c r="L356" s="686"/>
      <c r="M356" s="686"/>
      <c r="N356" s="686"/>
      <c r="O356" s="686"/>
      <c r="P356" s="686"/>
      <c r="Q356" s="825"/>
      <c r="R356" s="686"/>
      <c r="S356" s="686"/>
      <c r="T356" s="686"/>
      <c r="U356" s="686"/>
      <c r="V356" s="686"/>
      <c r="W356" s="686"/>
      <c r="X356" s="686"/>
      <c r="Y356" s="825"/>
      <c r="Z356" s="686"/>
      <c r="AA356" s="686"/>
      <c r="AB356" s="686"/>
      <c r="AC356" s="686"/>
      <c r="AD356" s="686"/>
      <c r="AE356" s="686"/>
      <c r="AF356" s="686"/>
      <c r="AG356" s="825"/>
      <c r="AH356" s="686"/>
      <c r="AI356" s="686"/>
      <c r="AJ356" s="686"/>
      <c r="AK356" s="686"/>
      <c r="AL356" s="686"/>
      <c r="AM356" s="686"/>
      <c r="AN356" s="686"/>
      <c r="AO356" s="825"/>
      <c r="AP356" s="686"/>
      <c r="AQ356" s="686"/>
      <c r="AR356" s="686"/>
      <c r="AS356" s="686"/>
      <c r="AT356" s="686"/>
      <c r="AU356" s="686"/>
      <c r="AV356" s="686"/>
      <c r="AW356" s="686"/>
      <c r="AX356" s="686"/>
      <c r="AY356" s="686"/>
      <c r="AZ356" s="686"/>
      <c r="BA356" s="686"/>
      <c r="BB356" s="686"/>
      <c r="BC356" s="686"/>
      <c r="BD356" s="686"/>
      <c r="BE356" s="686"/>
      <c r="BF356" s="686"/>
      <c r="BG356" s="686"/>
      <c r="BH356" s="686"/>
    </row>
    <row r="357" spans="1:60" s="44" customFormat="1">
      <c r="A357" s="690"/>
      <c r="B357" s="690"/>
      <c r="C357" s="686"/>
      <c r="D357" s="686"/>
      <c r="E357" s="686"/>
      <c r="F357" s="686"/>
      <c r="G357" s="686"/>
      <c r="H357" s="686"/>
      <c r="I357" s="825"/>
      <c r="J357" s="686"/>
      <c r="K357" s="686"/>
      <c r="L357" s="686"/>
      <c r="M357" s="686"/>
      <c r="N357" s="686"/>
      <c r="O357" s="686"/>
      <c r="P357" s="686"/>
      <c r="Q357" s="825"/>
      <c r="R357" s="686"/>
      <c r="S357" s="686"/>
      <c r="T357" s="686"/>
      <c r="U357" s="686"/>
      <c r="V357" s="686"/>
      <c r="W357" s="686"/>
      <c r="X357" s="686"/>
      <c r="Y357" s="825"/>
      <c r="Z357" s="686"/>
      <c r="AA357" s="686"/>
      <c r="AB357" s="686"/>
      <c r="AC357" s="686"/>
      <c r="AD357" s="686"/>
      <c r="AE357" s="686"/>
      <c r="AF357" s="686"/>
      <c r="AG357" s="825"/>
      <c r="AH357" s="686"/>
      <c r="AI357" s="686"/>
      <c r="AJ357" s="686"/>
      <c r="AK357" s="686"/>
      <c r="AL357" s="686"/>
      <c r="AM357" s="686"/>
      <c r="AN357" s="686"/>
      <c r="AO357" s="825"/>
      <c r="AP357" s="686"/>
      <c r="AQ357" s="686"/>
      <c r="AR357" s="686"/>
      <c r="AS357" s="686"/>
      <c r="AT357" s="686"/>
      <c r="AU357" s="686"/>
      <c r="AV357" s="686"/>
      <c r="AW357" s="686"/>
      <c r="AX357" s="686"/>
      <c r="AY357" s="686"/>
      <c r="AZ357" s="686"/>
      <c r="BA357" s="686"/>
      <c r="BB357" s="686"/>
      <c r="BC357" s="686"/>
      <c r="BD357" s="686"/>
      <c r="BE357" s="686"/>
      <c r="BF357" s="686"/>
      <c r="BG357" s="686"/>
      <c r="BH357" s="686"/>
    </row>
    <row r="358" spans="1:60" s="44" customFormat="1">
      <c r="A358" s="690"/>
      <c r="B358" s="690"/>
      <c r="C358" s="686"/>
      <c r="D358" s="686"/>
      <c r="E358" s="686"/>
      <c r="F358" s="686"/>
      <c r="G358" s="686"/>
      <c r="H358" s="686"/>
      <c r="I358" s="825"/>
      <c r="J358" s="686"/>
      <c r="K358" s="686"/>
      <c r="L358" s="686"/>
      <c r="M358" s="686"/>
      <c r="N358" s="686"/>
      <c r="O358" s="686"/>
      <c r="P358" s="686"/>
      <c r="Q358" s="825"/>
      <c r="R358" s="686"/>
      <c r="S358" s="686"/>
      <c r="T358" s="686"/>
      <c r="U358" s="686"/>
      <c r="V358" s="686"/>
      <c r="W358" s="686"/>
      <c r="X358" s="686"/>
      <c r="Y358" s="825"/>
      <c r="Z358" s="686"/>
      <c r="AA358" s="686"/>
      <c r="AB358" s="686"/>
      <c r="AC358" s="686"/>
      <c r="AD358" s="686"/>
      <c r="AE358" s="686"/>
      <c r="AF358" s="686"/>
      <c r="AG358" s="825"/>
      <c r="AH358" s="686"/>
      <c r="AI358" s="686"/>
      <c r="AJ358" s="686"/>
      <c r="AK358" s="686"/>
      <c r="AL358" s="686"/>
      <c r="AM358" s="686"/>
      <c r="AN358" s="686"/>
      <c r="AO358" s="825"/>
      <c r="AP358" s="686"/>
      <c r="AQ358" s="686"/>
      <c r="AR358" s="686"/>
      <c r="AS358" s="686"/>
      <c r="AT358" s="686"/>
      <c r="AU358" s="686"/>
      <c r="AV358" s="686"/>
      <c r="AW358" s="686"/>
      <c r="AX358" s="686"/>
      <c r="AY358" s="686"/>
      <c r="AZ358" s="686"/>
      <c r="BA358" s="686"/>
      <c r="BB358" s="686"/>
      <c r="BC358" s="686"/>
      <c r="BD358" s="686"/>
      <c r="BE358" s="686"/>
      <c r="BF358" s="686"/>
      <c r="BG358" s="686"/>
      <c r="BH358" s="686"/>
    </row>
    <row r="359" spans="1:60" s="44" customFormat="1">
      <c r="A359" s="690"/>
      <c r="B359" s="690"/>
      <c r="C359" s="686"/>
      <c r="D359" s="686"/>
      <c r="E359" s="686"/>
      <c r="F359" s="686"/>
      <c r="G359" s="686"/>
      <c r="H359" s="686"/>
      <c r="I359" s="825"/>
      <c r="J359" s="686"/>
      <c r="K359" s="686"/>
      <c r="L359" s="686"/>
      <c r="M359" s="686"/>
      <c r="N359" s="686"/>
      <c r="O359" s="686"/>
      <c r="P359" s="686"/>
      <c r="Q359" s="825"/>
      <c r="R359" s="686"/>
      <c r="S359" s="686"/>
      <c r="T359" s="686"/>
      <c r="U359" s="686"/>
      <c r="V359" s="686"/>
      <c r="W359" s="686"/>
      <c r="X359" s="686"/>
      <c r="Y359" s="825"/>
      <c r="Z359" s="686"/>
      <c r="AA359" s="686"/>
      <c r="AB359" s="686"/>
      <c r="AC359" s="686"/>
      <c r="AD359" s="686"/>
      <c r="AE359" s="686"/>
      <c r="AF359" s="686"/>
      <c r="AG359" s="825"/>
      <c r="AH359" s="686"/>
      <c r="AI359" s="686"/>
      <c r="AJ359" s="686"/>
      <c r="AK359" s="686"/>
      <c r="AL359" s="686"/>
      <c r="AM359" s="686"/>
      <c r="AN359" s="686"/>
      <c r="AO359" s="825"/>
      <c r="AP359" s="686"/>
      <c r="AQ359" s="686"/>
      <c r="AR359" s="686"/>
      <c r="AS359" s="686"/>
      <c r="AT359" s="686"/>
      <c r="AU359" s="686"/>
      <c r="AV359" s="686"/>
      <c r="AW359" s="686"/>
      <c r="AX359" s="686"/>
      <c r="AY359" s="686"/>
      <c r="AZ359" s="686"/>
      <c r="BA359" s="686"/>
      <c r="BB359" s="686"/>
      <c r="BC359" s="686"/>
      <c r="BD359" s="686"/>
      <c r="BE359" s="686"/>
      <c r="BF359" s="686"/>
      <c r="BG359" s="686"/>
      <c r="BH359" s="686"/>
    </row>
    <row r="360" spans="1:60" s="44" customFormat="1">
      <c r="A360" s="690"/>
      <c r="B360" s="690"/>
      <c r="C360" s="686"/>
      <c r="D360" s="686"/>
      <c r="E360" s="686"/>
      <c r="F360" s="686"/>
      <c r="G360" s="686"/>
      <c r="H360" s="686"/>
      <c r="I360" s="825"/>
      <c r="J360" s="686"/>
      <c r="K360" s="686"/>
      <c r="L360" s="686"/>
      <c r="M360" s="686"/>
      <c r="N360" s="686"/>
      <c r="O360" s="686"/>
      <c r="P360" s="686"/>
      <c r="Q360" s="825"/>
      <c r="R360" s="686"/>
      <c r="S360" s="686"/>
      <c r="T360" s="686"/>
      <c r="U360" s="686"/>
      <c r="V360" s="686"/>
      <c r="W360" s="686"/>
      <c r="X360" s="686"/>
      <c r="Y360" s="825"/>
      <c r="Z360" s="686"/>
      <c r="AA360" s="686"/>
      <c r="AB360" s="686"/>
      <c r="AC360" s="686"/>
      <c r="AD360" s="686"/>
      <c r="AE360" s="686"/>
      <c r="AF360" s="686"/>
      <c r="AG360" s="825"/>
      <c r="AH360" s="686"/>
      <c r="AI360" s="686"/>
      <c r="AJ360" s="686"/>
      <c r="AK360" s="686"/>
      <c r="AL360" s="686"/>
      <c r="AM360" s="686"/>
      <c r="AN360" s="686"/>
      <c r="AO360" s="825"/>
      <c r="AP360" s="686"/>
      <c r="AQ360" s="686"/>
      <c r="AR360" s="686"/>
      <c r="AS360" s="686"/>
      <c r="AT360" s="686"/>
      <c r="AU360" s="686"/>
      <c r="AV360" s="686"/>
      <c r="AW360" s="686"/>
      <c r="AX360" s="686"/>
      <c r="AY360" s="686"/>
      <c r="AZ360" s="686"/>
      <c r="BA360" s="686"/>
      <c r="BB360" s="686"/>
      <c r="BC360" s="686"/>
      <c r="BD360" s="686"/>
      <c r="BE360" s="686"/>
      <c r="BF360" s="686"/>
      <c r="BG360" s="686"/>
      <c r="BH360" s="686"/>
    </row>
    <row r="361" spans="1:60" s="44" customFormat="1">
      <c r="A361" s="690"/>
      <c r="B361" s="690"/>
      <c r="C361" s="686"/>
      <c r="D361" s="686"/>
      <c r="E361" s="686"/>
      <c r="F361" s="686"/>
      <c r="G361" s="686"/>
      <c r="H361" s="686"/>
      <c r="I361" s="825"/>
      <c r="J361" s="686"/>
      <c r="K361" s="686"/>
      <c r="L361" s="686"/>
      <c r="M361" s="686"/>
      <c r="N361" s="686"/>
      <c r="O361" s="686"/>
      <c r="P361" s="686"/>
      <c r="Q361" s="825"/>
      <c r="R361" s="686"/>
      <c r="S361" s="686"/>
      <c r="T361" s="686"/>
      <c r="U361" s="686"/>
      <c r="V361" s="686"/>
      <c r="W361" s="686"/>
      <c r="X361" s="686"/>
      <c r="Y361" s="825"/>
      <c r="Z361" s="686"/>
      <c r="AA361" s="686"/>
      <c r="AB361" s="686"/>
      <c r="AC361" s="686"/>
      <c r="AD361" s="686"/>
      <c r="AE361" s="686"/>
      <c r="AF361" s="686"/>
      <c r="AG361" s="825"/>
      <c r="AH361" s="686"/>
      <c r="AI361" s="686"/>
      <c r="AJ361" s="686"/>
      <c r="AK361" s="686"/>
      <c r="AL361" s="686"/>
      <c r="AM361" s="686"/>
      <c r="AN361" s="686"/>
      <c r="AO361" s="825"/>
      <c r="AP361" s="686"/>
      <c r="AQ361" s="686"/>
      <c r="AR361" s="686"/>
      <c r="AS361" s="686"/>
      <c r="AT361" s="686"/>
      <c r="AU361" s="686"/>
      <c r="AV361" s="686"/>
      <c r="AW361" s="686"/>
      <c r="AX361" s="686"/>
      <c r="AY361" s="686"/>
      <c r="AZ361" s="686"/>
      <c r="BA361" s="686"/>
      <c r="BB361" s="686"/>
      <c r="BC361" s="686"/>
      <c r="BD361" s="686"/>
      <c r="BE361" s="686"/>
      <c r="BF361" s="686"/>
      <c r="BG361" s="686"/>
      <c r="BH361" s="686"/>
    </row>
    <row r="362" spans="1:60" s="44" customFormat="1">
      <c r="A362" s="690"/>
      <c r="B362" s="690"/>
      <c r="C362" s="686"/>
      <c r="D362" s="686"/>
      <c r="E362" s="686"/>
      <c r="F362" s="686"/>
      <c r="G362" s="686"/>
      <c r="H362" s="686"/>
      <c r="I362" s="825"/>
      <c r="J362" s="686"/>
      <c r="K362" s="686"/>
      <c r="L362" s="686"/>
      <c r="M362" s="686"/>
      <c r="N362" s="686"/>
      <c r="O362" s="686"/>
      <c r="P362" s="686"/>
      <c r="Q362" s="825"/>
      <c r="R362" s="686"/>
      <c r="S362" s="686"/>
      <c r="T362" s="686"/>
      <c r="U362" s="686"/>
      <c r="V362" s="686"/>
      <c r="W362" s="686"/>
      <c r="X362" s="686"/>
      <c r="Y362" s="825"/>
      <c r="Z362" s="686"/>
      <c r="AA362" s="686"/>
      <c r="AB362" s="686"/>
      <c r="AC362" s="686"/>
      <c r="AD362" s="686"/>
      <c r="AE362" s="686"/>
      <c r="AF362" s="686"/>
      <c r="AG362" s="825"/>
      <c r="AH362" s="686"/>
      <c r="AI362" s="686"/>
      <c r="AJ362" s="686"/>
      <c r="AK362" s="686"/>
      <c r="AL362" s="686"/>
      <c r="AM362" s="686"/>
      <c r="AN362" s="686"/>
      <c r="AO362" s="825"/>
      <c r="AP362" s="686"/>
      <c r="AQ362" s="686"/>
      <c r="AR362" s="686"/>
      <c r="AS362" s="686"/>
      <c r="AT362" s="686"/>
      <c r="AU362" s="686"/>
      <c r="AV362" s="686"/>
      <c r="AW362" s="686"/>
      <c r="AX362" s="686"/>
      <c r="AY362" s="686"/>
      <c r="AZ362" s="686"/>
      <c r="BA362" s="686"/>
      <c r="BB362" s="686"/>
      <c r="BC362" s="686"/>
      <c r="BD362" s="686"/>
      <c r="BE362" s="686"/>
      <c r="BF362" s="686"/>
      <c r="BG362" s="686"/>
      <c r="BH362" s="686"/>
    </row>
    <row r="363" spans="1:60" s="44" customFormat="1">
      <c r="A363" s="690"/>
      <c r="B363" s="690"/>
      <c r="C363" s="686"/>
      <c r="D363" s="686"/>
      <c r="E363" s="686"/>
      <c r="F363" s="686"/>
      <c r="G363" s="686"/>
      <c r="H363" s="686"/>
      <c r="I363" s="825"/>
      <c r="J363" s="686"/>
      <c r="K363" s="686"/>
      <c r="L363" s="686"/>
      <c r="M363" s="686"/>
      <c r="N363" s="686"/>
      <c r="O363" s="686"/>
      <c r="P363" s="686"/>
      <c r="Q363" s="825"/>
      <c r="R363" s="686"/>
      <c r="S363" s="686"/>
      <c r="T363" s="686"/>
      <c r="U363" s="686"/>
      <c r="V363" s="686"/>
      <c r="W363" s="686"/>
      <c r="X363" s="686"/>
      <c r="Y363" s="825"/>
      <c r="Z363" s="686"/>
      <c r="AA363" s="686"/>
      <c r="AB363" s="686"/>
      <c r="AC363" s="686"/>
      <c r="AD363" s="686"/>
      <c r="AE363" s="686"/>
      <c r="AF363" s="686"/>
      <c r="AG363" s="825"/>
      <c r="AH363" s="686"/>
      <c r="AI363" s="686"/>
      <c r="AJ363" s="686"/>
      <c r="AK363" s="686"/>
      <c r="AL363" s="686"/>
      <c r="AM363" s="686"/>
      <c r="AN363" s="686"/>
      <c r="AO363" s="825"/>
      <c r="AP363" s="686"/>
      <c r="AQ363" s="686"/>
      <c r="AR363" s="686"/>
      <c r="AS363" s="686"/>
      <c r="AT363" s="686"/>
      <c r="AU363" s="686"/>
      <c r="AV363" s="686"/>
      <c r="AW363" s="686"/>
      <c r="AX363" s="686"/>
      <c r="AY363" s="686"/>
      <c r="AZ363" s="686"/>
      <c r="BA363" s="686"/>
      <c r="BB363" s="686"/>
      <c r="BC363" s="686"/>
      <c r="BD363" s="686"/>
      <c r="BE363" s="686"/>
      <c r="BF363" s="686"/>
      <c r="BG363" s="686"/>
      <c r="BH363" s="686"/>
    </row>
    <row r="364" spans="1:60" s="44" customFormat="1">
      <c r="A364" s="690"/>
      <c r="B364" s="690"/>
      <c r="C364" s="686"/>
      <c r="D364" s="686"/>
      <c r="E364" s="686"/>
      <c r="F364" s="686"/>
      <c r="G364" s="686"/>
      <c r="H364" s="686"/>
      <c r="I364" s="825"/>
      <c r="J364" s="686"/>
      <c r="K364" s="686"/>
      <c r="L364" s="686"/>
      <c r="M364" s="686"/>
      <c r="N364" s="686"/>
      <c r="O364" s="686"/>
      <c r="P364" s="686"/>
      <c r="Q364" s="825"/>
      <c r="R364" s="686"/>
      <c r="S364" s="686"/>
      <c r="T364" s="686"/>
      <c r="U364" s="686"/>
      <c r="V364" s="686"/>
      <c r="W364" s="686"/>
      <c r="X364" s="686"/>
      <c r="Y364" s="825"/>
      <c r="Z364" s="686"/>
      <c r="AA364" s="686"/>
      <c r="AB364" s="686"/>
      <c r="AC364" s="686"/>
      <c r="AD364" s="686"/>
      <c r="AE364" s="686"/>
      <c r="AF364" s="686"/>
      <c r="AG364" s="825"/>
      <c r="AH364" s="686"/>
      <c r="AI364" s="686"/>
      <c r="AJ364" s="686"/>
      <c r="AK364" s="686"/>
      <c r="AL364" s="686"/>
      <c r="AM364" s="686"/>
      <c r="AN364" s="686"/>
      <c r="AO364" s="825"/>
      <c r="AP364" s="686"/>
      <c r="AQ364" s="686"/>
      <c r="AR364" s="686"/>
      <c r="AS364" s="686"/>
      <c r="AT364" s="686"/>
      <c r="AU364" s="686"/>
      <c r="AV364" s="686"/>
      <c r="AW364" s="686"/>
      <c r="AX364" s="686"/>
      <c r="AY364" s="686"/>
      <c r="AZ364" s="686"/>
      <c r="BA364" s="686"/>
      <c r="BB364" s="686"/>
      <c r="BC364" s="686"/>
      <c r="BD364" s="686"/>
      <c r="BE364" s="686"/>
      <c r="BF364" s="686"/>
      <c r="BG364" s="686"/>
      <c r="BH364" s="686"/>
    </row>
    <row r="365" spans="1:60" s="44" customFormat="1">
      <c r="A365" s="690"/>
      <c r="B365" s="690"/>
      <c r="C365" s="686"/>
      <c r="D365" s="686"/>
      <c r="E365" s="686"/>
      <c r="F365" s="686"/>
      <c r="G365" s="686"/>
      <c r="H365" s="686"/>
      <c r="I365" s="825"/>
      <c r="J365" s="686"/>
      <c r="K365" s="686"/>
      <c r="L365" s="686"/>
      <c r="M365" s="686"/>
      <c r="N365" s="686"/>
      <c r="O365" s="686"/>
      <c r="P365" s="686"/>
      <c r="Q365" s="825"/>
      <c r="R365" s="686"/>
      <c r="S365" s="686"/>
      <c r="T365" s="686"/>
      <c r="U365" s="686"/>
      <c r="V365" s="686"/>
      <c r="W365" s="686"/>
      <c r="X365" s="686"/>
      <c r="Y365" s="825"/>
      <c r="Z365" s="686"/>
      <c r="AA365" s="686"/>
      <c r="AB365" s="686"/>
      <c r="AC365" s="686"/>
      <c r="AD365" s="686"/>
      <c r="AE365" s="686"/>
      <c r="AF365" s="686"/>
      <c r="AG365" s="825"/>
      <c r="AH365" s="686"/>
      <c r="AI365" s="686"/>
      <c r="AJ365" s="686"/>
      <c r="AK365" s="686"/>
      <c r="AL365" s="686"/>
      <c r="AM365" s="686"/>
      <c r="AN365" s="686"/>
      <c r="AO365" s="825"/>
      <c r="AP365" s="686"/>
      <c r="AQ365" s="686"/>
      <c r="AR365" s="686"/>
      <c r="AS365" s="686"/>
      <c r="AT365" s="686"/>
      <c r="AU365" s="686"/>
      <c r="AV365" s="686"/>
      <c r="AW365" s="686"/>
      <c r="AX365" s="686"/>
      <c r="AY365" s="686"/>
      <c r="AZ365" s="686"/>
      <c r="BA365" s="686"/>
      <c r="BB365" s="686"/>
      <c r="BC365" s="686"/>
      <c r="BD365" s="686"/>
      <c r="BE365" s="686"/>
      <c r="BF365" s="686"/>
      <c r="BG365" s="686"/>
      <c r="BH365" s="686"/>
    </row>
    <row r="366" spans="1:60" s="44" customFormat="1">
      <c r="A366" s="690"/>
      <c r="B366" s="690"/>
      <c r="C366" s="686"/>
      <c r="D366" s="686"/>
      <c r="E366" s="686"/>
      <c r="F366" s="686"/>
      <c r="G366" s="686"/>
      <c r="H366" s="686"/>
      <c r="I366" s="825"/>
      <c r="J366" s="686"/>
      <c r="K366" s="686"/>
      <c r="L366" s="686"/>
      <c r="M366" s="686"/>
      <c r="N366" s="686"/>
      <c r="O366" s="686"/>
      <c r="P366" s="686"/>
      <c r="Q366" s="825"/>
      <c r="R366" s="686"/>
      <c r="S366" s="686"/>
      <c r="T366" s="686"/>
      <c r="U366" s="686"/>
      <c r="V366" s="686"/>
      <c r="W366" s="686"/>
      <c r="X366" s="686"/>
      <c r="Y366" s="825"/>
      <c r="Z366" s="686"/>
      <c r="AA366" s="686"/>
      <c r="AB366" s="686"/>
      <c r="AC366" s="686"/>
      <c r="AD366" s="686"/>
      <c r="AE366" s="686"/>
      <c r="AF366" s="686"/>
      <c r="AG366" s="825"/>
      <c r="AH366" s="686"/>
      <c r="AI366" s="686"/>
      <c r="AJ366" s="686"/>
      <c r="AK366" s="686"/>
      <c r="AL366" s="686"/>
      <c r="AM366" s="686"/>
      <c r="AN366" s="686"/>
      <c r="AO366" s="825"/>
      <c r="AP366" s="686"/>
      <c r="AQ366" s="686"/>
      <c r="AR366" s="686"/>
      <c r="AS366" s="686"/>
      <c r="AT366" s="686"/>
      <c r="AU366" s="686"/>
      <c r="AV366" s="686"/>
      <c r="AW366" s="686"/>
      <c r="AX366" s="686"/>
      <c r="AY366" s="686"/>
      <c r="AZ366" s="686"/>
      <c r="BA366" s="686"/>
      <c r="BB366" s="686"/>
      <c r="BC366" s="686"/>
      <c r="BD366" s="686"/>
      <c r="BE366" s="686"/>
      <c r="BF366" s="686"/>
      <c r="BG366" s="686"/>
      <c r="BH366" s="686"/>
    </row>
    <row r="367" spans="1:60" s="44" customFormat="1">
      <c r="A367" s="690"/>
      <c r="B367" s="690"/>
      <c r="C367" s="686"/>
      <c r="D367" s="686"/>
      <c r="E367" s="686"/>
      <c r="F367" s="686"/>
      <c r="G367" s="686"/>
      <c r="H367" s="686"/>
      <c r="I367" s="825"/>
      <c r="J367" s="686"/>
      <c r="K367" s="686"/>
      <c r="L367" s="686"/>
      <c r="M367" s="686"/>
      <c r="N367" s="686"/>
      <c r="O367" s="686"/>
      <c r="P367" s="686"/>
      <c r="Q367" s="825"/>
      <c r="R367" s="686"/>
      <c r="S367" s="686"/>
      <c r="T367" s="686"/>
      <c r="U367" s="686"/>
      <c r="V367" s="686"/>
      <c r="W367" s="686"/>
      <c r="X367" s="686"/>
      <c r="Y367" s="825"/>
      <c r="Z367" s="686"/>
      <c r="AA367" s="686"/>
      <c r="AB367" s="686"/>
      <c r="AC367" s="686"/>
      <c r="AD367" s="686"/>
      <c r="AE367" s="686"/>
      <c r="AF367" s="686"/>
      <c r="AG367" s="825"/>
      <c r="AH367" s="686"/>
      <c r="AI367" s="686"/>
      <c r="AJ367" s="686"/>
      <c r="AK367" s="686"/>
      <c r="AL367" s="686"/>
      <c r="AM367" s="686"/>
      <c r="AN367" s="686"/>
      <c r="AO367" s="825"/>
      <c r="AP367" s="686"/>
      <c r="AQ367" s="686"/>
      <c r="AR367" s="686"/>
      <c r="AS367" s="686"/>
      <c r="AT367" s="686"/>
      <c r="AU367" s="686"/>
      <c r="AV367" s="686"/>
      <c r="AW367" s="686"/>
      <c r="AX367" s="686"/>
      <c r="AY367" s="686"/>
      <c r="AZ367" s="686"/>
      <c r="BA367" s="686"/>
      <c r="BB367" s="686"/>
      <c r="BC367" s="686"/>
      <c r="BD367" s="686"/>
      <c r="BE367" s="686"/>
      <c r="BF367" s="686"/>
      <c r="BG367" s="686"/>
      <c r="BH367" s="686"/>
    </row>
    <row r="368" spans="1:60" s="44" customFormat="1">
      <c r="A368" s="690"/>
      <c r="B368" s="690"/>
      <c r="C368" s="686"/>
      <c r="D368" s="686"/>
      <c r="E368" s="686"/>
      <c r="F368" s="686"/>
      <c r="G368" s="686"/>
      <c r="H368" s="686"/>
      <c r="I368" s="825"/>
      <c r="J368" s="686"/>
      <c r="K368" s="686"/>
      <c r="L368" s="686"/>
      <c r="M368" s="686"/>
      <c r="N368" s="686"/>
      <c r="O368" s="686"/>
      <c r="P368" s="686"/>
      <c r="Q368" s="825"/>
      <c r="R368" s="686"/>
      <c r="S368" s="686"/>
      <c r="T368" s="686"/>
      <c r="U368" s="686"/>
      <c r="V368" s="686"/>
      <c r="W368" s="686"/>
      <c r="X368" s="686"/>
      <c r="Y368" s="825"/>
      <c r="Z368" s="686"/>
      <c r="AA368" s="686"/>
      <c r="AB368" s="686"/>
      <c r="AC368" s="686"/>
      <c r="AD368" s="686"/>
      <c r="AE368" s="686"/>
      <c r="AF368" s="686"/>
      <c r="AG368" s="825"/>
      <c r="AH368" s="686"/>
      <c r="AI368" s="686"/>
      <c r="AJ368" s="686"/>
      <c r="AK368" s="686"/>
      <c r="AL368" s="686"/>
      <c r="AM368" s="686"/>
      <c r="AN368" s="686"/>
      <c r="AO368" s="825"/>
      <c r="AP368" s="686"/>
      <c r="AQ368" s="686"/>
      <c r="AR368" s="686"/>
      <c r="AS368" s="686"/>
      <c r="AT368" s="686"/>
      <c r="AU368" s="686"/>
      <c r="AV368" s="686"/>
      <c r="AW368" s="686"/>
      <c r="AX368" s="686"/>
      <c r="AY368" s="686"/>
      <c r="AZ368" s="686"/>
      <c r="BA368" s="686"/>
      <c r="BB368" s="686"/>
      <c r="BC368" s="686"/>
      <c r="BD368" s="686"/>
      <c r="BE368" s="686"/>
      <c r="BF368" s="686"/>
      <c r="BG368" s="686"/>
      <c r="BH368" s="686"/>
    </row>
    <row r="369" spans="1:60" s="44" customFormat="1">
      <c r="A369" s="690"/>
      <c r="B369" s="690"/>
      <c r="C369" s="686"/>
      <c r="D369" s="686"/>
      <c r="E369" s="686"/>
      <c r="F369" s="686"/>
      <c r="G369" s="686"/>
      <c r="H369" s="686"/>
      <c r="I369" s="825"/>
      <c r="J369" s="686"/>
      <c r="K369" s="686"/>
      <c r="L369" s="686"/>
      <c r="M369" s="686"/>
      <c r="N369" s="686"/>
      <c r="O369" s="686"/>
      <c r="P369" s="686"/>
      <c r="Q369" s="825"/>
      <c r="R369" s="686"/>
      <c r="S369" s="686"/>
      <c r="T369" s="686"/>
      <c r="U369" s="686"/>
      <c r="V369" s="686"/>
      <c r="W369" s="686"/>
      <c r="X369" s="686"/>
      <c r="Y369" s="825"/>
      <c r="Z369" s="686"/>
      <c r="AA369" s="686"/>
      <c r="AB369" s="686"/>
      <c r="AC369" s="686"/>
      <c r="AD369" s="686"/>
      <c r="AE369" s="686"/>
      <c r="AF369" s="686"/>
      <c r="AG369" s="825"/>
      <c r="AH369" s="686"/>
      <c r="AI369" s="686"/>
      <c r="AJ369" s="686"/>
      <c r="AK369" s="686"/>
      <c r="AL369" s="686"/>
      <c r="AM369" s="686"/>
      <c r="AN369" s="686"/>
      <c r="AO369" s="825"/>
      <c r="AP369" s="686"/>
      <c r="AQ369" s="686"/>
      <c r="AR369" s="686"/>
      <c r="AS369" s="686"/>
      <c r="AT369" s="686"/>
      <c r="AU369" s="686"/>
      <c r="AV369" s="686"/>
      <c r="AW369" s="686"/>
      <c r="AX369" s="686"/>
      <c r="AY369" s="686"/>
      <c r="AZ369" s="686"/>
      <c r="BA369" s="686"/>
      <c r="BB369" s="686"/>
      <c r="BC369" s="686"/>
      <c r="BD369" s="686"/>
      <c r="BE369" s="686"/>
      <c r="BF369" s="686"/>
      <c r="BG369" s="686"/>
      <c r="BH369" s="686"/>
    </row>
    <row r="370" spans="1:60" s="44" customFormat="1">
      <c r="A370" s="690"/>
      <c r="B370" s="690"/>
      <c r="C370" s="686"/>
      <c r="D370" s="686"/>
      <c r="E370" s="686"/>
      <c r="F370" s="686"/>
      <c r="G370" s="686"/>
      <c r="H370" s="686"/>
      <c r="I370" s="825"/>
      <c r="J370" s="686"/>
      <c r="K370" s="686"/>
      <c r="L370" s="686"/>
      <c r="M370" s="686"/>
      <c r="N370" s="686"/>
      <c r="O370" s="686"/>
      <c r="P370" s="686"/>
      <c r="Q370" s="825"/>
      <c r="R370" s="686"/>
      <c r="S370" s="686"/>
      <c r="T370" s="686"/>
      <c r="U370" s="686"/>
      <c r="V370" s="686"/>
      <c r="W370" s="686"/>
      <c r="X370" s="686"/>
      <c r="Y370" s="825"/>
      <c r="Z370" s="686"/>
      <c r="AA370" s="686"/>
      <c r="AB370" s="686"/>
      <c r="AC370" s="686"/>
      <c r="AD370" s="686"/>
      <c r="AE370" s="686"/>
      <c r="AF370" s="686"/>
      <c r="AG370" s="825"/>
      <c r="AH370" s="686"/>
      <c r="AI370" s="686"/>
      <c r="AJ370" s="686"/>
      <c r="AK370" s="686"/>
      <c r="AL370" s="686"/>
      <c r="AM370" s="686"/>
      <c r="AN370" s="686"/>
      <c r="AO370" s="825"/>
      <c r="AP370" s="686"/>
      <c r="AQ370" s="686"/>
      <c r="AR370" s="686"/>
      <c r="AS370" s="686"/>
      <c r="AT370" s="686"/>
      <c r="AU370" s="686"/>
      <c r="AV370" s="686"/>
      <c r="AW370" s="686"/>
      <c r="AX370" s="686"/>
      <c r="AY370" s="686"/>
      <c r="AZ370" s="686"/>
      <c r="BA370" s="686"/>
      <c r="BB370" s="686"/>
      <c r="BC370" s="686"/>
      <c r="BD370" s="686"/>
      <c r="BE370" s="686"/>
      <c r="BF370" s="686"/>
      <c r="BG370" s="686"/>
      <c r="BH370" s="686"/>
    </row>
    <row r="371" spans="1:60" s="44" customFormat="1">
      <c r="A371" s="690"/>
      <c r="B371" s="690"/>
      <c r="C371" s="686"/>
      <c r="D371" s="686"/>
      <c r="E371" s="686"/>
      <c r="F371" s="686"/>
      <c r="G371" s="686"/>
      <c r="H371" s="686"/>
      <c r="I371" s="825"/>
      <c r="J371" s="686"/>
      <c r="K371" s="686"/>
      <c r="L371" s="686"/>
      <c r="M371" s="686"/>
      <c r="N371" s="686"/>
      <c r="O371" s="686"/>
      <c r="P371" s="686"/>
      <c r="Q371" s="825"/>
      <c r="R371" s="686"/>
      <c r="S371" s="686"/>
      <c r="T371" s="686"/>
      <c r="U371" s="686"/>
      <c r="V371" s="686"/>
      <c r="W371" s="686"/>
      <c r="X371" s="686"/>
      <c r="Y371" s="825"/>
      <c r="Z371" s="686"/>
      <c r="AA371" s="686"/>
      <c r="AB371" s="686"/>
      <c r="AC371" s="686"/>
      <c r="AD371" s="686"/>
      <c r="AE371" s="686"/>
      <c r="AF371" s="686"/>
      <c r="AG371" s="825"/>
      <c r="AH371" s="686"/>
      <c r="AI371" s="686"/>
      <c r="AJ371" s="686"/>
      <c r="AK371" s="686"/>
      <c r="AL371" s="686"/>
      <c r="AM371" s="686"/>
      <c r="AN371" s="686"/>
      <c r="AO371" s="825"/>
      <c r="AP371" s="686"/>
      <c r="AQ371" s="686"/>
      <c r="AR371" s="686"/>
      <c r="AS371" s="686"/>
      <c r="AT371" s="686"/>
      <c r="AU371" s="686"/>
      <c r="AV371" s="686"/>
      <c r="AW371" s="686"/>
      <c r="AX371" s="686"/>
      <c r="AY371" s="686"/>
      <c r="AZ371" s="686"/>
      <c r="BA371" s="686"/>
      <c r="BB371" s="686"/>
      <c r="BC371" s="686"/>
      <c r="BD371" s="686"/>
      <c r="BE371" s="686"/>
      <c r="BF371" s="686"/>
      <c r="BG371" s="686"/>
      <c r="BH371" s="686"/>
    </row>
    <row r="372" spans="1:60" s="44" customFormat="1">
      <c r="A372" s="690"/>
      <c r="B372" s="690"/>
      <c r="C372" s="686"/>
      <c r="D372" s="686"/>
      <c r="E372" s="686"/>
      <c r="F372" s="686"/>
      <c r="G372" s="686"/>
      <c r="H372" s="686"/>
      <c r="I372" s="825"/>
      <c r="J372" s="686"/>
      <c r="K372" s="686"/>
      <c r="L372" s="686"/>
      <c r="M372" s="686"/>
      <c r="N372" s="686"/>
      <c r="O372" s="686"/>
      <c r="P372" s="686"/>
      <c r="Q372" s="825"/>
      <c r="R372" s="686"/>
      <c r="S372" s="686"/>
      <c r="T372" s="686"/>
      <c r="U372" s="686"/>
      <c r="V372" s="686"/>
      <c r="W372" s="686"/>
      <c r="X372" s="686"/>
      <c r="Y372" s="825"/>
      <c r="Z372" s="686"/>
      <c r="AA372" s="686"/>
      <c r="AB372" s="686"/>
      <c r="AC372" s="686"/>
      <c r="AD372" s="686"/>
      <c r="AE372" s="686"/>
      <c r="AF372" s="686"/>
      <c r="AG372" s="825"/>
      <c r="AH372" s="686"/>
      <c r="AI372" s="686"/>
      <c r="AJ372" s="686"/>
      <c r="AK372" s="686"/>
      <c r="AL372" s="686"/>
      <c r="AM372" s="686"/>
      <c r="AN372" s="686"/>
      <c r="AO372" s="825"/>
      <c r="AP372" s="686"/>
      <c r="AQ372" s="686"/>
      <c r="AR372" s="686"/>
      <c r="AS372" s="686"/>
      <c r="AT372" s="686"/>
      <c r="AU372" s="686"/>
      <c r="AV372" s="686"/>
      <c r="AW372" s="686"/>
      <c r="AX372" s="686"/>
      <c r="AY372" s="686"/>
      <c r="AZ372" s="686"/>
      <c r="BA372" s="686"/>
      <c r="BB372" s="686"/>
      <c r="BC372" s="686"/>
      <c r="BD372" s="686"/>
      <c r="BE372" s="686"/>
      <c r="BF372" s="686"/>
      <c r="BG372" s="686"/>
      <c r="BH372" s="686"/>
    </row>
    <row r="373" spans="1:60" s="44" customFormat="1">
      <c r="A373" s="690"/>
      <c r="B373" s="690"/>
      <c r="C373" s="686"/>
      <c r="D373" s="686"/>
      <c r="E373" s="686"/>
      <c r="F373" s="686"/>
      <c r="G373" s="686"/>
      <c r="H373" s="686"/>
      <c r="I373" s="825"/>
      <c r="J373" s="686"/>
      <c r="K373" s="686"/>
      <c r="L373" s="686"/>
      <c r="M373" s="686"/>
      <c r="N373" s="686"/>
      <c r="O373" s="686"/>
      <c r="P373" s="686"/>
      <c r="Q373" s="825"/>
      <c r="R373" s="686"/>
      <c r="S373" s="686"/>
      <c r="T373" s="686"/>
      <c r="U373" s="686"/>
      <c r="V373" s="686"/>
      <c r="W373" s="686"/>
      <c r="X373" s="686"/>
      <c r="Y373" s="825"/>
      <c r="Z373" s="686"/>
      <c r="AA373" s="686"/>
      <c r="AB373" s="686"/>
      <c r="AC373" s="686"/>
      <c r="AD373" s="686"/>
      <c r="AE373" s="686"/>
      <c r="AF373" s="686"/>
      <c r="AG373" s="825"/>
      <c r="AH373" s="686"/>
      <c r="AI373" s="686"/>
      <c r="AJ373" s="686"/>
      <c r="AK373" s="686"/>
      <c r="AL373" s="686"/>
      <c r="AM373" s="686"/>
      <c r="AN373" s="686"/>
      <c r="AO373" s="825"/>
      <c r="AP373" s="686"/>
      <c r="AQ373" s="686"/>
      <c r="AR373" s="686"/>
      <c r="AS373" s="686"/>
      <c r="AT373" s="686"/>
      <c r="AU373" s="686"/>
      <c r="AV373" s="686"/>
      <c r="AW373" s="686"/>
      <c r="AX373" s="686"/>
      <c r="AY373" s="686"/>
      <c r="AZ373" s="686"/>
      <c r="BA373" s="686"/>
      <c r="BB373" s="686"/>
      <c r="BC373" s="686"/>
      <c r="BD373" s="686"/>
      <c r="BE373" s="686"/>
      <c r="BF373" s="686"/>
      <c r="BG373" s="686"/>
      <c r="BH373" s="686"/>
    </row>
    <row r="374" spans="1:60" s="44" customFormat="1">
      <c r="A374" s="690"/>
      <c r="B374" s="690"/>
      <c r="C374" s="686"/>
      <c r="D374" s="686"/>
      <c r="E374" s="686"/>
      <c r="F374" s="686"/>
      <c r="G374" s="686"/>
      <c r="H374" s="686"/>
      <c r="I374" s="825"/>
      <c r="J374" s="686"/>
      <c r="K374" s="686"/>
      <c r="L374" s="686"/>
      <c r="M374" s="686"/>
      <c r="N374" s="686"/>
      <c r="O374" s="686"/>
      <c r="P374" s="686"/>
      <c r="Q374" s="825"/>
      <c r="R374" s="686"/>
      <c r="S374" s="686"/>
      <c r="T374" s="686"/>
      <c r="U374" s="686"/>
      <c r="V374" s="686"/>
      <c r="W374" s="686"/>
      <c r="X374" s="686"/>
      <c r="Y374" s="825"/>
      <c r="Z374" s="686"/>
      <c r="AA374" s="686"/>
      <c r="AB374" s="686"/>
      <c r="AC374" s="686"/>
      <c r="AD374" s="686"/>
      <c r="AE374" s="686"/>
      <c r="AF374" s="686"/>
      <c r="AG374" s="825"/>
      <c r="AH374" s="686"/>
      <c r="AI374" s="686"/>
      <c r="AJ374" s="686"/>
      <c r="AK374" s="686"/>
      <c r="AL374" s="686"/>
      <c r="AM374" s="686"/>
      <c r="AN374" s="686"/>
      <c r="AO374" s="825"/>
      <c r="AP374" s="686"/>
      <c r="AQ374" s="686"/>
      <c r="AR374" s="686"/>
      <c r="AS374" s="686"/>
      <c r="AT374" s="686"/>
      <c r="AU374" s="686"/>
      <c r="AV374" s="686"/>
      <c r="AW374" s="686"/>
      <c r="AX374" s="686"/>
      <c r="AY374" s="686"/>
      <c r="AZ374" s="686"/>
      <c r="BA374" s="686"/>
      <c r="BB374" s="686"/>
      <c r="BC374" s="686"/>
      <c r="BD374" s="686"/>
      <c r="BE374" s="686"/>
      <c r="BF374" s="686"/>
      <c r="BG374" s="686"/>
      <c r="BH374" s="686"/>
    </row>
    <row r="375" spans="1:60" s="44" customFormat="1">
      <c r="A375" s="690"/>
      <c r="B375" s="690"/>
      <c r="C375" s="686"/>
      <c r="D375" s="686"/>
      <c r="E375" s="686"/>
      <c r="F375" s="686"/>
      <c r="G375" s="686"/>
      <c r="H375" s="686"/>
      <c r="I375" s="825"/>
      <c r="J375" s="686"/>
      <c r="K375" s="686"/>
      <c r="L375" s="686"/>
      <c r="M375" s="686"/>
      <c r="N375" s="686"/>
      <c r="O375" s="686"/>
      <c r="P375" s="686"/>
      <c r="Q375" s="825"/>
      <c r="R375" s="686"/>
      <c r="S375" s="686"/>
      <c r="T375" s="686"/>
      <c r="U375" s="686"/>
      <c r="V375" s="686"/>
      <c r="W375" s="686"/>
      <c r="X375" s="686"/>
      <c r="Y375" s="825"/>
      <c r="Z375" s="686"/>
      <c r="AA375" s="686"/>
      <c r="AB375" s="686"/>
      <c r="AC375" s="686"/>
      <c r="AD375" s="686"/>
      <c r="AE375" s="686"/>
      <c r="AF375" s="686"/>
      <c r="AG375" s="825"/>
      <c r="AH375" s="686"/>
      <c r="AI375" s="686"/>
      <c r="AJ375" s="686"/>
      <c r="AK375" s="686"/>
      <c r="AL375" s="686"/>
      <c r="AM375" s="686"/>
      <c r="AN375" s="686"/>
      <c r="AO375" s="825"/>
      <c r="AP375" s="686"/>
      <c r="AQ375" s="686"/>
      <c r="AR375" s="686"/>
      <c r="AS375" s="686"/>
      <c r="AT375" s="686"/>
      <c r="AU375" s="686"/>
      <c r="AV375" s="686"/>
      <c r="AW375" s="686"/>
      <c r="AX375" s="686"/>
      <c r="AY375" s="686"/>
      <c r="AZ375" s="686"/>
      <c r="BA375" s="686"/>
      <c r="BB375" s="686"/>
      <c r="BC375" s="686"/>
      <c r="BD375" s="686"/>
      <c r="BE375" s="686"/>
      <c r="BF375" s="686"/>
      <c r="BG375" s="686"/>
      <c r="BH375" s="686"/>
    </row>
    <row r="376" spans="1:60" s="44" customFormat="1">
      <c r="A376" s="690"/>
      <c r="B376" s="690"/>
      <c r="C376" s="686"/>
      <c r="D376" s="686"/>
      <c r="E376" s="686"/>
      <c r="F376" s="686"/>
      <c r="G376" s="686"/>
      <c r="H376" s="686"/>
      <c r="I376" s="825"/>
      <c r="J376" s="686"/>
      <c r="K376" s="686"/>
      <c r="L376" s="686"/>
      <c r="M376" s="686"/>
      <c r="N376" s="686"/>
      <c r="O376" s="686"/>
      <c r="P376" s="686"/>
      <c r="Q376" s="825"/>
      <c r="R376" s="686"/>
      <c r="S376" s="686"/>
      <c r="T376" s="686"/>
      <c r="U376" s="686"/>
      <c r="V376" s="686"/>
      <c r="W376" s="686"/>
      <c r="X376" s="686"/>
      <c r="Y376" s="825"/>
      <c r="Z376" s="686"/>
      <c r="AA376" s="686"/>
      <c r="AB376" s="686"/>
      <c r="AC376" s="686"/>
      <c r="AD376" s="686"/>
      <c r="AE376" s="686"/>
      <c r="AF376" s="686"/>
      <c r="AG376" s="825"/>
      <c r="AH376" s="686"/>
      <c r="AI376" s="686"/>
      <c r="AJ376" s="686"/>
      <c r="AK376" s="686"/>
      <c r="AL376" s="686"/>
      <c r="AM376" s="686"/>
      <c r="AN376" s="686"/>
      <c r="AO376" s="825"/>
      <c r="AP376" s="686"/>
      <c r="AQ376" s="686"/>
      <c r="AR376" s="686"/>
      <c r="AS376" s="686"/>
      <c r="AT376" s="686"/>
      <c r="AU376" s="686"/>
      <c r="AV376" s="686"/>
      <c r="AW376" s="686"/>
      <c r="AX376" s="686"/>
      <c r="AY376" s="686"/>
      <c r="AZ376" s="686"/>
      <c r="BA376" s="686"/>
      <c r="BB376" s="686"/>
      <c r="BC376" s="686"/>
      <c r="BD376" s="686"/>
      <c r="BE376" s="686"/>
      <c r="BF376" s="686"/>
      <c r="BG376" s="686"/>
      <c r="BH376" s="686"/>
    </row>
    <row r="377" spans="1:60" s="44" customFormat="1">
      <c r="A377" s="690"/>
      <c r="B377" s="690"/>
      <c r="C377" s="686"/>
      <c r="D377" s="686"/>
      <c r="E377" s="686"/>
      <c r="F377" s="686"/>
      <c r="G377" s="686"/>
      <c r="H377" s="686"/>
      <c r="I377" s="825"/>
      <c r="J377" s="686"/>
      <c r="K377" s="686"/>
      <c r="L377" s="686"/>
      <c r="M377" s="686"/>
      <c r="N377" s="686"/>
      <c r="O377" s="686"/>
      <c r="P377" s="686"/>
      <c r="Q377" s="825"/>
      <c r="R377" s="686"/>
      <c r="S377" s="686"/>
      <c r="T377" s="686"/>
      <c r="U377" s="686"/>
      <c r="V377" s="686"/>
      <c r="W377" s="686"/>
      <c r="X377" s="686"/>
      <c r="Y377" s="825"/>
      <c r="Z377" s="686"/>
      <c r="AA377" s="686"/>
      <c r="AB377" s="686"/>
      <c r="AC377" s="686"/>
      <c r="AD377" s="686"/>
      <c r="AE377" s="686"/>
      <c r="AF377" s="686"/>
      <c r="AG377" s="825"/>
      <c r="AH377" s="686"/>
      <c r="AI377" s="686"/>
      <c r="AJ377" s="686"/>
      <c r="AK377" s="686"/>
      <c r="AL377" s="686"/>
      <c r="AM377" s="686"/>
      <c r="AN377" s="686"/>
      <c r="AO377" s="825"/>
      <c r="AP377" s="686"/>
      <c r="AQ377" s="686"/>
      <c r="AR377" s="686"/>
      <c r="AS377" s="686"/>
      <c r="AT377" s="686"/>
      <c r="AU377" s="686"/>
      <c r="AV377" s="686"/>
      <c r="AW377" s="686"/>
      <c r="AX377" s="686"/>
      <c r="AY377" s="686"/>
      <c r="AZ377" s="686"/>
      <c r="BA377" s="686"/>
      <c r="BB377" s="686"/>
      <c r="BC377" s="686"/>
      <c r="BD377" s="686"/>
      <c r="BE377" s="686"/>
      <c r="BF377" s="686"/>
      <c r="BG377" s="686"/>
      <c r="BH377" s="686"/>
    </row>
    <row r="378" spans="1:60" s="44" customFormat="1">
      <c r="A378" s="690"/>
      <c r="B378" s="690"/>
      <c r="C378" s="686"/>
      <c r="D378" s="686"/>
      <c r="E378" s="686"/>
      <c r="F378" s="686"/>
      <c r="G378" s="686"/>
      <c r="H378" s="686"/>
      <c r="I378" s="825"/>
      <c r="J378" s="686"/>
      <c r="K378" s="686"/>
      <c r="L378" s="686"/>
      <c r="M378" s="686"/>
      <c r="N378" s="686"/>
      <c r="O378" s="686"/>
      <c r="P378" s="686"/>
      <c r="Q378" s="825"/>
      <c r="R378" s="686"/>
      <c r="S378" s="686"/>
      <c r="T378" s="686"/>
      <c r="U378" s="686"/>
      <c r="V378" s="686"/>
      <c r="W378" s="686"/>
      <c r="X378" s="686"/>
      <c r="Y378" s="825"/>
      <c r="Z378" s="686"/>
      <c r="AA378" s="686"/>
      <c r="AB378" s="686"/>
      <c r="AC378" s="686"/>
      <c r="AD378" s="686"/>
      <c r="AE378" s="686"/>
      <c r="AF378" s="686"/>
      <c r="AG378" s="825"/>
      <c r="AH378" s="686"/>
      <c r="AI378" s="686"/>
      <c r="AJ378" s="686"/>
      <c r="AK378" s="686"/>
      <c r="AL378" s="686"/>
      <c r="AM378" s="686"/>
      <c r="AN378" s="686"/>
      <c r="AO378" s="825"/>
      <c r="AP378" s="686"/>
      <c r="AQ378" s="686"/>
      <c r="AR378" s="686"/>
      <c r="AS378" s="686"/>
      <c r="AT378" s="686"/>
      <c r="AU378" s="686"/>
      <c r="AV378" s="686"/>
      <c r="AW378" s="686"/>
      <c r="AX378" s="686"/>
      <c r="AY378" s="686"/>
      <c r="AZ378" s="686"/>
      <c r="BA378" s="686"/>
      <c r="BB378" s="686"/>
      <c r="BC378" s="686"/>
      <c r="BD378" s="686"/>
      <c r="BE378" s="686"/>
      <c r="BF378" s="686"/>
      <c r="BG378" s="686"/>
      <c r="BH378" s="686"/>
    </row>
    <row r="379" spans="1:60" s="44" customFormat="1">
      <c r="A379" s="690"/>
      <c r="B379" s="690"/>
      <c r="C379" s="686"/>
      <c r="D379" s="686"/>
      <c r="E379" s="686"/>
      <c r="F379" s="686"/>
      <c r="G379" s="686"/>
      <c r="H379" s="686"/>
      <c r="I379" s="825"/>
      <c r="J379" s="686"/>
      <c r="K379" s="686"/>
      <c r="L379" s="686"/>
      <c r="M379" s="686"/>
      <c r="N379" s="686"/>
      <c r="O379" s="686"/>
      <c r="P379" s="686"/>
      <c r="Q379" s="825"/>
      <c r="R379" s="686"/>
      <c r="S379" s="686"/>
      <c r="T379" s="686"/>
      <c r="U379" s="686"/>
      <c r="V379" s="686"/>
      <c r="W379" s="686"/>
      <c r="X379" s="686"/>
      <c r="Y379" s="825"/>
      <c r="Z379" s="686"/>
      <c r="AA379" s="686"/>
      <c r="AB379" s="686"/>
      <c r="AC379" s="686"/>
      <c r="AD379" s="686"/>
      <c r="AE379" s="686"/>
      <c r="AF379" s="686"/>
      <c r="AG379" s="825"/>
      <c r="AH379" s="686"/>
      <c r="AI379" s="686"/>
      <c r="AJ379" s="686"/>
      <c r="AK379" s="686"/>
      <c r="AL379" s="686"/>
      <c r="AM379" s="686"/>
      <c r="AN379" s="686"/>
      <c r="AO379" s="825"/>
      <c r="AP379" s="686"/>
      <c r="AQ379" s="686"/>
      <c r="AR379" s="686"/>
      <c r="AS379" s="686"/>
      <c r="AT379" s="686"/>
      <c r="AU379" s="686"/>
      <c r="AV379" s="686"/>
      <c r="AW379" s="686"/>
      <c r="AX379" s="686"/>
      <c r="AY379" s="686"/>
      <c r="AZ379" s="686"/>
      <c r="BA379" s="686"/>
      <c r="BB379" s="686"/>
      <c r="BC379" s="686"/>
      <c r="BD379" s="686"/>
      <c r="BE379" s="686"/>
      <c r="BF379" s="686"/>
      <c r="BG379" s="686"/>
      <c r="BH379" s="686"/>
    </row>
    <row r="380" spans="1:60" s="44" customFormat="1">
      <c r="A380" s="690"/>
      <c r="B380" s="690"/>
      <c r="C380" s="686"/>
      <c r="D380" s="686"/>
      <c r="E380" s="686"/>
      <c r="F380" s="686"/>
      <c r="G380" s="686"/>
      <c r="H380" s="686"/>
      <c r="I380" s="825"/>
      <c r="J380" s="686"/>
      <c r="K380" s="686"/>
      <c r="L380" s="686"/>
      <c r="M380" s="686"/>
      <c r="N380" s="686"/>
      <c r="O380" s="686"/>
      <c r="P380" s="686"/>
      <c r="Q380" s="825"/>
      <c r="R380" s="686"/>
      <c r="S380" s="686"/>
      <c r="T380" s="686"/>
      <c r="U380" s="686"/>
      <c r="V380" s="686"/>
      <c r="W380" s="686"/>
      <c r="X380" s="686"/>
      <c r="Y380" s="825"/>
      <c r="Z380" s="686"/>
      <c r="AA380" s="686"/>
      <c r="AB380" s="686"/>
      <c r="AC380" s="686"/>
      <c r="AD380" s="686"/>
      <c r="AE380" s="686"/>
      <c r="AF380" s="686"/>
      <c r="AG380" s="825"/>
      <c r="AH380" s="686"/>
      <c r="AI380" s="686"/>
      <c r="AJ380" s="686"/>
      <c r="AK380" s="686"/>
      <c r="AL380" s="686"/>
      <c r="AM380" s="686"/>
      <c r="AN380" s="686"/>
      <c r="AO380" s="825"/>
      <c r="AP380" s="686"/>
      <c r="AQ380" s="686"/>
      <c r="AR380" s="686"/>
      <c r="AS380" s="686"/>
      <c r="AT380" s="686"/>
      <c r="AU380" s="686"/>
      <c r="AV380" s="686"/>
      <c r="AW380" s="686"/>
      <c r="AX380" s="686"/>
      <c r="AY380" s="686"/>
      <c r="AZ380" s="686"/>
      <c r="BA380" s="686"/>
      <c r="BB380" s="686"/>
      <c r="BC380" s="686"/>
      <c r="BD380" s="686"/>
      <c r="BE380" s="686"/>
      <c r="BF380" s="686"/>
      <c r="BG380" s="686"/>
      <c r="BH380" s="686"/>
    </row>
    <row r="381" spans="1:60" s="44" customFormat="1">
      <c r="A381" s="690"/>
      <c r="B381" s="690"/>
      <c r="C381" s="686"/>
      <c r="D381" s="686"/>
      <c r="E381" s="686"/>
      <c r="F381" s="686"/>
      <c r="G381" s="686"/>
      <c r="H381" s="686"/>
      <c r="I381" s="825"/>
      <c r="J381" s="686"/>
      <c r="K381" s="686"/>
      <c r="L381" s="686"/>
      <c r="M381" s="686"/>
      <c r="N381" s="686"/>
      <c r="O381" s="686"/>
      <c r="P381" s="686"/>
      <c r="Q381" s="825"/>
      <c r="R381" s="686"/>
      <c r="S381" s="686"/>
      <c r="T381" s="686"/>
      <c r="U381" s="686"/>
      <c r="V381" s="686"/>
      <c r="W381" s="686"/>
      <c r="X381" s="686"/>
      <c r="Y381" s="825"/>
      <c r="Z381" s="686"/>
      <c r="AA381" s="686"/>
      <c r="AB381" s="686"/>
      <c r="AC381" s="686"/>
      <c r="AD381" s="686"/>
      <c r="AE381" s="686"/>
      <c r="AF381" s="686"/>
      <c r="AG381" s="825"/>
      <c r="AH381" s="686"/>
      <c r="AI381" s="686"/>
      <c r="AJ381" s="686"/>
      <c r="AK381" s="686"/>
      <c r="AL381" s="686"/>
      <c r="AM381" s="686"/>
      <c r="AN381" s="686"/>
      <c r="AO381" s="825"/>
      <c r="AP381" s="686"/>
      <c r="AQ381" s="686"/>
      <c r="AR381" s="686"/>
      <c r="AS381" s="686"/>
      <c r="AT381" s="686"/>
      <c r="AU381" s="686"/>
      <c r="AV381" s="686"/>
      <c r="AW381" s="686"/>
      <c r="AX381" s="686"/>
      <c r="AY381" s="686"/>
      <c r="AZ381" s="686"/>
      <c r="BA381" s="686"/>
      <c r="BB381" s="686"/>
      <c r="BC381" s="686"/>
      <c r="BD381" s="686"/>
      <c r="BE381" s="686"/>
      <c r="BF381" s="686"/>
      <c r="BG381" s="686"/>
      <c r="BH381" s="686"/>
    </row>
    <row r="382" spans="1:60" s="44" customFormat="1">
      <c r="A382" s="690"/>
      <c r="B382" s="690"/>
      <c r="C382" s="686"/>
      <c r="D382" s="686"/>
      <c r="E382" s="686"/>
      <c r="F382" s="686"/>
      <c r="G382" s="686"/>
      <c r="H382" s="686"/>
      <c r="I382" s="825"/>
      <c r="J382" s="686"/>
      <c r="K382" s="686"/>
      <c r="L382" s="686"/>
      <c r="M382" s="686"/>
      <c r="N382" s="686"/>
      <c r="O382" s="686"/>
      <c r="P382" s="686"/>
      <c r="Q382" s="825"/>
      <c r="R382" s="686"/>
      <c r="S382" s="686"/>
      <c r="T382" s="686"/>
      <c r="U382" s="686"/>
      <c r="V382" s="686"/>
      <c r="W382" s="686"/>
      <c r="X382" s="686"/>
      <c r="Y382" s="825"/>
      <c r="Z382" s="686"/>
      <c r="AA382" s="686"/>
      <c r="AB382" s="686"/>
      <c r="AC382" s="686"/>
      <c r="AD382" s="686"/>
      <c r="AE382" s="686"/>
      <c r="AF382" s="686"/>
      <c r="AG382" s="825"/>
      <c r="AH382" s="686"/>
      <c r="AI382" s="686"/>
      <c r="AJ382" s="686"/>
      <c r="AK382" s="686"/>
      <c r="AL382" s="686"/>
      <c r="AM382" s="686"/>
      <c r="AN382" s="686"/>
      <c r="AO382" s="825"/>
      <c r="AP382" s="686"/>
      <c r="AQ382" s="686"/>
      <c r="AR382" s="686"/>
      <c r="AS382" s="686"/>
      <c r="AT382" s="686"/>
      <c r="AU382" s="686"/>
      <c r="AV382" s="686"/>
      <c r="AW382" s="686"/>
      <c r="AX382" s="686"/>
      <c r="AY382" s="686"/>
      <c r="AZ382" s="686"/>
      <c r="BA382" s="686"/>
      <c r="BB382" s="686"/>
      <c r="BC382" s="686"/>
      <c r="BD382" s="686"/>
      <c r="BE382" s="686"/>
      <c r="BF382" s="686"/>
      <c r="BG382" s="686"/>
      <c r="BH382" s="686"/>
    </row>
    <row r="383" spans="1:60" s="44" customFormat="1">
      <c r="A383" s="690"/>
      <c r="B383" s="690"/>
      <c r="C383" s="686"/>
      <c r="D383" s="686"/>
      <c r="E383" s="686"/>
      <c r="F383" s="686"/>
      <c r="G383" s="686"/>
      <c r="H383" s="686"/>
      <c r="I383" s="825"/>
      <c r="J383" s="686"/>
      <c r="K383" s="686"/>
      <c r="L383" s="686"/>
      <c r="M383" s="686"/>
      <c r="N383" s="686"/>
      <c r="O383" s="686"/>
      <c r="P383" s="686"/>
      <c r="Q383" s="825"/>
      <c r="R383" s="686"/>
      <c r="S383" s="686"/>
      <c r="T383" s="686"/>
      <c r="U383" s="686"/>
      <c r="V383" s="686"/>
      <c r="W383" s="686"/>
      <c r="X383" s="686"/>
      <c r="Y383" s="825"/>
      <c r="Z383" s="686"/>
      <c r="AA383" s="686"/>
      <c r="AB383" s="686"/>
      <c r="AC383" s="686"/>
      <c r="AD383" s="686"/>
      <c r="AE383" s="686"/>
      <c r="AF383" s="686"/>
      <c r="AG383" s="825"/>
      <c r="AH383" s="686"/>
      <c r="AI383" s="686"/>
      <c r="AJ383" s="686"/>
      <c r="AK383" s="686"/>
      <c r="AL383" s="686"/>
      <c r="AM383" s="686"/>
      <c r="AN383" s="686"/>
      <c r="AO383" s="825"/>
      <c r="AP383" s="686"/>
      <c r="AQ383" s="686"/>
      <c r="AR383" s="686"/>
      <c r="AS383" s="686"/>
      <c r="AT383" s="686"/>
      <c r="AU383" s="686"/>
      <c r="AV383" s="686"/>
      <c r="AW383" s="686"/>
      <c r="AX383" s="686"/>
      <c r="AY383" s="686"/>
      <c r="AZ383" s="686"/>
      <c r="BA383" s="686"/>
      <c r="BB383" s="686"/>
      <c r="BC383" s="686"/>
      <c r="BD383" s="686"/>
      <c r="BE383" s="686"/>
      <c r="BF383" s="686"/>
      <c r="BG383" s="686"/>
      <c r="BH383" s="686"/>
    </row>
    <row r="384" spans="1:60" s="44" customFormat="1">
      <c r="A384" s="690"/>
      <c r="B384" s="690"/>
      <c r="C384" s="686"/>
      <c r="D384" s="686"/>
      <c r="E384" s="686"/>
      <c r="F384" s="686"/>
      <c r="G384" s="686"/>
      <c r="H384" s="686"/>
      <c r="I384" s="825"/>
      <c r="J384" s="686"/>
      <c r="K384" s="686"/>
      <c r="L384" s="686"/>
      <c r="M384" s="686"/>
      <c r="N384" s="686"/>
      <c r="O384" s="686"/>
      <c r="P384" s="686"/>
      <c r="Q384" s="825"/>
      <c r="R384" s="686"/>
      <c r="S384" s="686"/>
      <c r="T384" s="686"/>
      <c r="U384" s="686"/>
      <c r="V384" s="686"/>
      <c r="W384" s="686"/>
      <c r="X384" s="686"/>
      <c r="Y384" s="825"/>
      <c r="Z384" s="686"/>
      <c r="AA384" s="686"/>
      <c r="AB384" s="686"/>
      <c r="AC384" s="686"/>
      <c r="AD384" s="686"/>
      <c r="AE384" s="686"/>
      <c r="AF384" s="686"/>
      <c r="AG384" s="825"/>
      <c r="AH384" s="686"/>
      <c r="AI384" s="686"/>
      <c r="AJ384" s="686"/>
      <c r="AK384" s="686"/>
      <c r="AL384" s="686"/>
      <c r="AM384" s="686"/>
      <c r="AN384" s="686"/>
      <c r="AO384" s="825"/>
      <c r="AP384" s="686"/>
      <c r="AQ384" s="686"/>
      <c r="AR384" s="686"/>
      <c r="AS384" s="686"/>
      <c r="AT384" s="686"/>
      <c r="AU384" s="686"/>
      <c r="AV384" s="686"/>
      <c r="AW384" s="686"/>
      <c r="AX384" s="686"/>
      <c r="AY384" s="686"/>
      <c r="AZ384" s="686"/>
      <c r="BA384" s="686"/>
      <c r="BB384" s="686"/>
      <c r="BC384" s="686"/>
      <c r="BD384" s="686"/>
      <c r="BE384" s="686"/>
      <c r="BF384" s="686"/>
      <c r="BG384" s="686"/>
      <c r="BH384" s="686"/>
    </row>
    <row r="385" spans="1:60" s="44" customFormat="1">
      <c r="A385" s="690"/>
      <c r="B385" s="690"/>
      <c r="C385" s="686"/>
      <c r="D385" s="686"/>
      <c r="E385" s="686"/>
      <c r="F385" s="686"/>
      <c r="G385" s="686"/>
      <c r="H385" s="686"/>
      <c r="I385" s="825"/>
      <c r="J385" s="686"/>
      <c r="K385" s="686"/>
      <c r="L385" s="686"/>
      <c r="M385" s="686"/>
      <c r="N385" s="686"/>
      <c r="O385" s="686"/>
      <c r="P385" s="686"/>
      <c r="Q385" s="825"/>
      <c r="R385" s="686"/>
      <c r="S385" s="686"/>
      <c r="T385" s="686"/>
      <c r="U385" s="686"/>
      <c r="V385" s="686"/>
      <c r="W385" s="686"/>
      <c r="X385" s="686"/>
      <c r="Y385" s="825"/>
      <c r="Z385" s="686"/>
      <c r="AA385" s="686"/>
      <c r="AB385" s="686"/>
      <c r="AC385" s="686"/>
      <c r="AD385" s="686"/>
      <c r="AE385" s="686"/>
      <c r="AF385" s="686"/>
      <c r="AG385" s="825"/>
      <c r="AH385" s="686"/>
      <c r="AI385" s="686"/>
      <c r="AJ385" s="686"/>
      <c r="AK385" s="686"/>
      <c r="AL385" s="686"/>
      <c r="AM385" s="686"/>
      <c r="AN385" s="686"/>
      <c r="AO385" s="825"/>
      <c r="AP385" s="686"/>
      <c r="AQ385" s="686"/>
      <c r="AR385" s="686"/>
      <c r="AS385" s="686"/>
      <c r="AT385" s="686"/>
      <c r="AU385" s="686"/>
      <c r="AV385" s="686"/>
      <c r="AW385" s="686"/>
      <c r="AX385" s="686"/>
      <c r="AY385" s="686"/>
      <c r="AZ385" s="686"/>
      <c r="BA385" s="686"/>
      <c r="BB385" s="686"/>
      <c r="BC385" s="686"/>
      <c r="BD385" s="686"/>
      <c r="BE385" s="686"/>
      <c r="BF385" s="686"/>
      <c r="BG385" s="686"/>
      <c r="BH385" s="686"/>
    </row>
    <row r="386" spans="1:60" s="44" customFormat="1">
      <c r="A386" s="690"/>
      <c r="B386" s="690"/>
      <c r="C386" s="686"/>
      <c r="D386" s="686"/>
      <c r="E386" s="686"/>
      <c r="F386" s="686"/>
      <c r="G386" s="686"/>
      <c r="H386" s="686"/>
      <c r="I386" s="825"/>
      <c r="J386" s="686"/>
      <c r="K386" s="686"/>
      <c r="L386" s="686"/>
      <c r="M386" s="686"/>
      <c r="N386" s="686"/>
      <c r="O386" s="686"/>
      <c r="P386" s="686"/>
      <c r="Q386" s="825"/>
      <c r="R386" s="686"/>
      <c r="S386" s="686"/>
      <c r="T386" s="686"/>
      <c r="U386" s="686"/>
      <c r="V386" s="686"/>
      <c r="W386" s="686"/>
      <c r="X386" s="686"/>
      <c r="Y386" s="825"/>
      <c r="Z386" s="686"/>
      <c r="AA386" s="686"/>
      <c r="AB386" s="686"/>
      <c r="AC386" s="686"/>
      <c r="AD386" s="686"/>
      <c r="AE386" s="686"/>
      <c r="AF386" s="686"/>
      <c r="AG386" s="825"/>
      <c r="AH386" s="686"/>
      <c r="AI386" s="686"/>
      <c r="AJ386" s="686"/>
      <c r="AK386" s="686"/>
      <c r="AL386" s="686"/>
      <c r="AM386" s="686"/>
      <c r="AN386" s="686"/>
      <c r="AO386" s="825"/>
      <c r="AP386" s="686"/>
      <c r="AQ386" s="686"/>
      <c r="AR386" s="686"/>
      <c r="AS386" s="686"/>
      <c r="AT386" s="686"/>
      <c r="AU386" s="686"/>
      <c r="AV386" s="686"/>
      <c r="AW386" s="686"/>
      <c r="AX386" s="686"/>
      <c r="AY386" s="686"/>
      <c r="AZ386" s="686"/>
      <c r="BA386" s="686"/>
      <c r="BB386" s="686"/>
      <c r="BC386" s="686"/>
      <c r="BD386" s="686"/>
      <c r="BE386" s="686"/>
      <c r="BF386" s="686"/>
      <c r="BG386" s="686"/>
      <c r="BH386" s="686"/>
    </row>
    <row r="387" spans="1:60" s="44" customFormat="1">
      <c r="A387" s="690"/>
      <c r="B387" s="690"/>
      <c r="C387" s="686"/>
      <c r="D387" s="686"/>
      <c r="E387" s="686"/>
      <c r="F387" s="686"/>
      <c r="G387" s="686"/>
      <c r="H387" s="686"/>
      <c r="I387" s="825"/>
      <c r="J387" s="686"/>
      <c r="K387" s="686"/>
      <c r="L387" s="686"/>
      <c r="M387" s="686"/>
      <c r="N387" s="686"/>
      <c r="O387" s="686"/>
      <c r="P387" s="686"/>
      <c r="Q387" s="825"/>
      <c r="R387" s="686"/>
      <c r="S387" s="686"/>
      <c r="T387" s="686"/>
      <c r="U387" s="686"/>
      <c r="V387" s="686"/>
      <c r="W387" s="686"/>
      <c r="X387" s="686"/>
      <c r="Y387" s="825"/>
      <c r="Z387" s="686"/>
      <c r="AA387" s="686"/>
      <c r="AB387" s="686"/>
      <c r="AC387" s="686"/>
      <c r="AD387" s="686"/>
      <c r="AE387" s="686"/>
      <c r="AF387" s="686"/>
      <c r="AG387" s="825"/>
      <c r="AH387" s="686"/>
      <c r="AI387" s="686"/>
      <c r="AJ387" s="686"/>
      <c r="AK387" s="686"/>
      <c r="AL387" s="686"/>
      <c r="AM387" s="686"/>
      <c r="AN387" s="686"/>
      <c r="AO387" s="825"/>
      <c r="AP387" s="686"/>
      <c r="AQ387" s="686"/>
      <c r="AR387" s="686"/>
      <c r="AS387" s="686"/>
      <c r="AT387" s="686"/>
      <c r="AU387" s="686"/>
      <c r="AV387" s="686"/>
      <c r="AW387" s="686"/>
      <c r="AX387" s="686"/>
      <c r="AY387" s="686"/>
      <c r="AZ387" s="686"/>
      <c r="BA387" s="686"/>
      <c r="BB387" s="686"/>
      <c r="BC387" s="686"/>
      <c r="BD387" s="686"/>
      <c r="BE387" s="686"/>
      <c r="BF387" s="686"/>
      <c r="BG387" s="686"/>
      <c r="BH387" s="686"/>
    </row>
    <row r="388" spans="1:60" s="44" customFormat="1">
      <c r="A388" s="690"/>
      <c r="B388" s="690"/>
      <c r="C388" s="686"/>
      <c r="D388" s="686"/>
      <c r="E388" s="686"/>
      <c r="F388" s="686"/>
      <c r="G388" s="686"/>
      <c r="H388" s="686"/>
      <c r="I388" s="825"/>
      <c r="J388" s="686"/>
      <c r="K388" s="686"/>
      <c r="L388" s="686"/>
      <c r="M388" s="686"/>
      <c r="N388" s="686"/>
      <c r="O388" s="686"/>
      <c r="P388" s="686"/>
      <c r="Q388" s="825"/>
      <c r="R388" s="686"/>
      <c r="S388" s="686"/>
      <c r="T388" s="686"/>
      <c r="U388" s="686"/>
      <c r="V388" s="686"/>
      <c r="W388" s="686"/>
      <c r="X388" s="686"/>
      <c r="Y388" s="825"/>
      <c r="Z388" s="686"/>
      <c r="AA388" s="686"/>
      <c r="AB388" s="686"/>
      <c r="AC388" s="686"/>
      <c r="AD388" s="686"/>
      <c r="AE388" s="686"/>
      <c r="AF388" s="686"/>
      <c r="AG388" s="825"/>
      <c r="AH388" s="686"/>
      <c r="AI388" s="686"/>
      <c r="AJ388" s="686"/>
      <c r="AK388" s="686"/>
      <c r="AL388" s="686"/>
      <c r="AM388" s="686"/>
      <c r="AN388" s="686"/>
      <c r="AO388" s="825"/>
      <c r="AP388" s="686"/>
      <c r="AQ388" s="686"/>
      <c r="AR388" s="686"/>
      <c r="AS388" s="686"/>
      <c r="AT388" s="686"/>
      <c r="AU388" s="686"/>
      <c r="AV388" s="686"/>
      <c r="AW388" s="686"/>
      <c r="AX388" s="686"/>
      <c r="AY388" s="686"/>
      <c r="AZ388" s="686"/>
      <c r="BA388" s="686"/>
      <c r="BB388" s="686"/>
      <c r="BC388" s="686"/>
      <c r="BD388" s="686"/>
      <c r="BE388" s="686"/>
      <c r="BF388" s="686"/>
      <c r="BG388" s="686"/>
      <c r="BH388" s="686"/>
    </row>
    <row r="389" spans="1:60" s="44" customFormat="1">
      <c r="A389" s="690"/>
      <c r="B389" s="690"/>
      <c r="C389" s="686"/>
      <c r="D389" s="686"/>
      <c r="E389" s="686"/>
      <c r="F389" s="686"/>
      <c r="G389" s="686"/>
      <c r="H389" s="686"/>
      <c r="I389" s="825"/>
      <c r="J389" s="686"/>
      <c r="K389" s="686"/>
      <c r="L389" s="686"/>
      <c r="M389" s="686"/>
      <c r="N389" s="686"/>
      <c r="O389" s="686"/>
      <c r="P389" s="686"/>
      <c r="Q389" s="825"/>
      <c r="R389" s="686"/>
      <c r="S389" s="686"/>
      <c r="T389" s="686"/>
      <c r="U389" s="686"/>
      <c r="V389" s="686"/>
      <c r="W389" s="686"/>
      <c r="X389" s="686"/>
      <c r="Y389" s="825"/>
      <c r="Z389" s="686"/>
      <c r="AA389" s="686"/>
      <c r="AB389" s="686"/>
      <c r="AC389" s="686"/>
      <c r="AD389" s="686"/>
      <c r="AE389" s="686"/>
      <c r="AF389" s="686"/>
      <c r="AG389" s="825"/>
      <c r="AH389" s="686"/>
      <c r="AI389" s="686"/>
      <c r="AJ389" s="686"/>
      <c r="AK389" s="686"/>
      <c r="AL389" s="686"/>
      <c r="AM389" s="686"/>
      <c r="AN389" s="686"/>
      <c r="AO389" s="825"/>
      <c r="AP389" s="686"/>
      <c r="AQ389" s="686"/>
      <c r="AR389" s="686"/>
      <c r="AS389" s="686"/>
      <c r="AT389" s="686"/>
      <c r="AU389" s="686"/>
      <c r="AV389" s="686"/>
      <c r="AW389" s="686"/>
      <c r="AX389" s="686"/>
      <c r="AY389" s="686"/>
      <c r="AZ389" s="686"/>
      <c r="BA389" s="686"/>
      <c r="BB389" s="686"/>
      <c r="BC389" s="686"/>
      <c r="BD389" s="686"/>
      <c r="BE389" s="686"/>
      <c r="BF389" s="686"/>
      <c r="BG389" s="686"/>
      <c r="BH389" s="686"/>
    </row>
    <row r="390" spans="1:60" s="44" customFormat="1">
      <c r="A390" s="690"/>
      <c r="B390" s="690"/>
      <c r="C390" s="686"/>
      <c r="D390" s="686"/>
      <c r="E390" s="686"/>
      <c r="F390" s="686"/>
      <c r="G390" s="686"/>
      <c r="H390" s="686"/>
      <c r="I390" s="825"/>
      <c r="J390" s="686"/>
      <c r="K390" s="686"/>
      <c r="L390" s="686"/>
      <c r="M390" s="686"/>
      <c r="N390" s="686"/>
      <c r="O390" s="686"/>
      <c r="P390" s="686"/>
      <c r="Q390" s="825"/>
      <c r="R390" s="686"/>
      <c r="S390" s="686"/>
      <c r="T390" s="686"/>
      <c r="U390" s="686"/>
      <c r="V390" s="686"/>
      <c r="W390" s="686"/>
      <c r="X390" s="686"/>
      <c r="Y390" s="825"/>
      <c r="Z390" s="686"/>
      <c r="AA390" s="686"/>
      <c r="AB390" s="686"/>
      <c r="AC390" s="686"/>
      <c r="AD390" s="686"/>
      <c r="AE390" s="686"/>
      <c r="AF390" s="686"/>
      <c r="AG390" s="825"/>
      <c r="AH390" s="686"/>
      <c r="AI390" s="686"/>
      <c r="AJ390" s="686"/>
      <c r="AK390" s="686"/>
      <c r="AL390" s="686"/>
      <c r="AM390" s="686"/>
      <c r="AN390" s="686"/>
      <c r="AO390" s="825"/>
      <c r="AP390" s="686"/>
      <c r="AQ390" s="686"/>
      <c r="AR390" s="686"/>
      <c r="AS390" s="686"/>
      <c r="AT390" s="686"/>
      <c r="AU390" s="686"/>
      <c r="AV390" s="686"/>
      <c r="AW390" s="686"/>
      <c r="AX390" s="686"/>
      <c r="AY390" s="686"/>
      <c r="AZ390" s="686"/>
      <c r="BA390" s="686"/>
      <c r="BB390" s="686"/>
      <c r="BC390" s="686"/>
      <c r="BD390" s="686"/>
      <c r="BE390" s="686"/>
      <c r="BF390" s="686"/>
      <c r="BG390" s="686"/>
      <c r="BH390" s="686"/>
    </row>
    <row r="391" spans="1:60" s="44" customFormat="1">
      <c r="A391" s="690"/>
      <c r="B391" s="690"/>
      <c r="C391" s="686"/>
      <c r="D391" s="686"/>
      <c r="E391" s="686"/>
      <c r="F391" s="686"/>
      <c r="G391" s="686"/>
      <c r="H391" s="686"/>
      <c r="I391" s="825"/>
      <c r="J391" s="686"/>
      <c r="K391" s="686"/>
      <c r="L391" s="686"/>
      <c r="M391" s="686"/>
      <c r="N391" s="686"/>
      <c r="O391" s="686"/>
      <c r="P391" s="686"/>
      <c r="Q391" s="825"/>
      <c r="R391" s="686"/>
      <c r="S391" s="686"/>
      <c r="T391" s="686"/>
      <c r="U391" s="686"/>
      <c r="V391" s="686"/>
      <c r="W391" s="686"/>
      <c r="X391" s="686"/>
      <c r="Y391" s="825"/>
      <c r="Z391" s="686"/>
      <c r="AA391" s="686"/>
      <c r="AB391" s="686"/>
      <c r="AC391" s="686"/>
      <c r="AD391" s="686"/>
      <c r="AE391" s="686"/>
      <c r="AF391" s="686"/>
      <c r="AG391" s="825"/>
      <c r="AH391" s="686"/>
      <c r="AI391" s="686"/>
      <c r="AJ391" s="686"/>
      <c r="AK391" s="686"/>
      <c r="AL391" s="686"/>
      <c r="AM391" s="686"/>
      <c r="AN391" s="686"/>
      <c r="AO391" s="825"/>
      <c r="AP391" s="686"/>
      <c r="AQ391" s="686"/>
      <c r="AR391" s="686"/>
      <c r="AS391" s="686"/>
      <c r="AT391" s="686"/>
      <c r="AU391" s="686"/>
      <c r="AV391" s="686"/>
      <c r="AW391" s="686"/>
      <c r="AX391" s="686"/>
      <c r="AY391" s="686"/>
      <c r="AZ391" s="686"/>
      <c r="BA391" s="686"/>
      <c r="BB391" s="686"/>
      <c r="BC391" s="686"/>
      <c r="BD391" s="686"/>
      <c r="BE391" s="686"/>
      <c r="BF391" s="686"/>
      <c r="BG391" s="686"/>
      <c r="BH391" s="686"/>
    </row>
    <row r="392" spans="1:60" s="44" customFormat="1">
      <c r="A392" s="690"/>
      <c r="B392" s="690"/>
      <c r="C392" s="686"/>
      <c r="D392" s="686"/>
      <c r="E392" s="686"/>
      <c r="F392" s="686"/>
      <c r="G392" s="686"/>
      <c r="H392" s="686"/>
      <c r="I392" s="825"/>
      <c r="J392" s="686"/>
      <c r="K392" s="686"/>
      <c r="L392" s="686"/>
      <c r="M392" s="686"/>
      <c r="N392" s="686"/>
      <c r="O392" s="686"/>
      <c r="P392" s="686"/>
      <c r="Q392" s="825"/>
      <c r="R392" s="686"/>
      <c r="S392" s="686"/>
      <c r="T392" s="686"/>
      <c r="U392" s="686"/>
      <c r="V392" s="686"/>
      <c r="W392" s="686"/>
      <c r="X392" s="686"/>
      <c r="Y392" s="825"/>
      <c r="Z392" s="686"/>
      <c r="AA392" s="686"/>
      <c r="AB392" s="686"/>
      <c r="AC392" s="686"/>
      <c r="AD392" s="686"/>
      <c r="AE392" s="686"/>
      <c r="AF392" s="686"/>
      <c r="AG392" s="825"/>
      <c r="AH392" s="686"/>
      <c r="AI392" s="686"/>
      <c r="AJ392" s="686"/>
      <c r="AK392" s="686"/>
      <c r="AL392" s="686"/>
      <c r="AM392" s="686"/>
      <c r="AN392" s="686"/>
      <c r="AO392" s="825"/>
      <c r="AP392" s="686"/>
      <c r="AQ392" s="686"/>
      <c r="AR392" s="686"/>
      <c r="AS392" s="686"/>
      <c r="AT392" s="686"/>
      <c r="AU392" s="686"/>
      <c r="AV392" s="686"/>
      <c r="AW392" s="686"/>
      <c r="AX392" s="686"/>
      <c r="AY392" s="686"/>
      <c r="AZ392" s="686"/>
      <c r="BA392" s="686"/>
      <c r="BB392" s="686"/>
      <c r="BC392" s="686"/>
      <c r="BD392" s="686"/>
      <c r="BE392" s="686"/>
      <c r="BF392" s="686"/>
      <c r="BG392" s="686"/>
      <c r="BH392" s="686"/>
    </row>
    <row r="393" spans="1:60" s="44" customFormat="1">
      <c r="A393" s="690"/>
      <c r="B393" s="690"/>
      <c r="C393" s="686"/>
      <c r="D393" s="686"/>
      <c r="E393" s="686"/>
      <c r="F393" s="686"/>
      <c r="G393" s="686"/>
      <c r="H393" s="686"/>
      <c r="I393" s="825"/>
      <c r="J393" s="686"/>
      <c r="K393" s="686"/>
      <c r="L393" s="686"/>
      <c r="M393" s="686"/>
      <c r="N393" s="686"/>
      <c r="O393" s="686"/>
      <c r="P393" s="686"/>
      <c r="Q393" s="825"/>
      <c r="R393" s="686"/>
      <c r="S393" s="686"/>
      <c r="T393" s="686"/>
      <c r="U393" s="686"/>
      <c r="V393" s="686"/>
      <c r="W393" s="686"/>
      <c r="X393" s="686"/>
      <c r="Y393" s="825"/>
      <c r="Z393" s="686"/>
      <c r="AA393" s="686"/>
      <c r="AB393" s="686"/>
      <c r="AC393" s="686"/>
      <c r="AD393" s="686"/>
      <c r="AE393" s="686"/>
      <c r="AF393" s="686"/>
      <c r="AG393" s="825"/>
      <c r="AH393" s="686"/>
      <c r="AI393" s="686"/>
      <c r="AJ393" s="686"/>
      <c r="AK393" s="686"/>
      <c r="AL393" s="686"/>
      <c r="AM393" s="686"/>
      <c r="AN393" s="686"/>
      <c r="AO393" s="825"/>
      <c r="AP393" s="686"/>
      <c r="AQ393" s="686"/>
      <c r="AR393" s="686"/>
      <c r="AS393" s="686"/>
      <c r="AT393" s="686"/>
      <c r="AU393" s="686"/>
      <c r="AV393" s="686"/>
      <c r="AW393" s="686"/>
      <c r="AX393" s="686"/>
      <c r="AY393" s="686"/>
      <c r="AZ393" s="686"/>
      <c r="BA393" s="686"/>
      <c r="BB393" s="686"/>
      <c r="BC393" s="686"/>
      <c r="BD393" s="686"/>
      <c r="BE393" s="686"/>
      <c r="BF393" s="686"/>
      <c r="BG393" s="686"/>
      <c r="BH393" s="686"/>
    </row>
    <row r="394" spans="1:60" s="44" customFormat="1">
      <c r="A394" s="690"/>
      <c r="B394" s="690"/>
      <c r="C394" s="686"/>
      <c r="D394" s="686"/>
      <c r="E394" s="686"/>
      <c r="F394" s="686"/>
      <c r="G394" s="686"/>
      <c r="H394" s="686"/>
      <c r="I394" s="825"/>
      <c r="J394" s="686"/>
      <c r="K394" s="686"/>
      <c r="L394" s="686"/>
      <c r="M394" s="686"/>
      <c r="N394" s="686"/>
      <c r="O394" s="686"/>
      <c r="P394" s="686"/>
      <c r="Q394" s="825"/>
      <c r="R394" s="686"/>
      <c r="S394" s="686"/>
      <c r="T394" s="686"/>
      <c r="U394" s="686"/>
      <c r="V394" s="686"/>
      <c r="W394" s="686"/>
      <c r="X394" s="686"/>
      <c r="Y394" s="825"/>
      <c r="Z394" s="686"/>
      <c r="AA394" s="686"/>
      <c r="AB394" s="686"/>
      <c r="AC394" s="686"/>
      <c r="AD394" s="686"/>
      <c r="AE394" s="686"/>
      <c r="AF394" s="686"/>
      <c r="AG394" s="825"/>
      <c r="AH394" s="686"/>
      <c r="AI394" s="686"/>
      <c r="AJ394" s="686"/>
      <c r="AK394" s="686"/>
      <c r="AL394" s="686"/>
      <c r="AM394" s="686"/>
      <c r="AN394" s="686"/>
      <c r="AO394" s="825"/>
      <c r="AP394" s="686"/>
      <c r="AQ394" s="686"/>
      <c r="AR394" s="686"/>
      <c r="AS394" s="686"/>
      <c r="AT394" s="686"/>
      <c r="AU394" s="686"/>
      <c r="AV394" s="686"/>
      <c r="AW394" s="686"/>
      <c r="AX394" s="686"/>
      <c r="AY394" s="686"/>
      <c r="AZ394" s="686"/>
      <c r="BA394" s="686"/>
      <c r="BB394" s="686"/>
      <c r="BC394" s="686"/>
      <c r="BD394" s="686"/>
      <c r="BE394" s="686"/>
      <c r="BF394" s="686"/>
      <c r="BG394" s="686"/>
      <c r="BH394" s="686"/>
    </row>
    <row r="395" spans="1:60" s="44" customFormat="1">
      <c r="A395" s="690"/>
      <c r="B395" s="690"/>
      <c r="C395" s="686"/>
      <c r="D395" s="686"/>
      <c r="E395" s="686"/>
      <c r="F395" s="686"/>
      <c r="G395" s="686"/>
      <c r="H395" s="686"/>
      <c r="I395" s="825"/>
      <c r="J395" s="686"/>
      <c r="K395" s="686"/>
      <c r="L395" s="686"/>
      <c r="M395" s="686"/>
      <c r="N395" s="686"/>
      <c r="O395" s="686"/>
      <c r="P395" s="686"/>
      <c r="Q395" s="825"/>
      <c r="R395" s="686"/>
      <c r="S395" s="686"/>
      <c r="T395" s="686"/>
      <c r="U395" s="686"/>
      <c r="V395" s="686"/>
      <c r="W395" s="686"/>
      <c r="X395" s="686"/>
      <c r="Y395" s="825"/>
      <c r="Z395" s="686"/>
      <c r="AA395" s="686"/>
      <c r="AB395" s="686"/>
      <c r="AC395" s="686"/>
      <c r="AD395" s="686"/>
      <c r="AE395" s="686"/>
      <c r="AF395" s="686"/>
      <c r="AG395" s="825"/>
      <c r="AH395" s="686"/>
      <c r="AI395" s="686"/>
      <c r="AJ395" s="686"/>
      <c r="AK395" s="686"/>
      <c r="AL395" s="686"/>
      <c r="AM395" s="686"/>
      <c r="AN395" s="686"/>
      <c r="AO395" s="825"/>
      <c r="AP395" s="686"/>
      <c r="AQ395" s="686"/>
      <c r="AR395" s="686"/>
      <c r="AS395" s="686"/>
      <c r="AT395" s="686"/>
      <c r="AU395" s="686"/>
      <c r="AV395" s="686"/>
      <c r="AW395" s="686"/>
      <c r="AX395" s="686"/>
      <c r="AY395" s="686"/>
      <c r="AZ395" s="686"/>
      <c r="BA395" s="686"/>
      <c r="BB395" s="686"/>
      <c r="BC395" s="686"/>
      <c r="BD395" s="686"/>
      <c r="BE395" s="686"/>
      <c r="BF395" s="686"/>
      <c r="BG395" s="686"/>
      <c r="BH395" s="686"/>
    </row>
    <row r="396" spans="1:60" s="44" customFormat="1">
      <c r="A396" s="690"/>
      <c r="B396" s="690"/>
      <c r="C396" s="686"/>
      <c r="D396" s="686"/>
      <c r="E396" s="686"/>
      <c r="F396" s="686"/>
      <c r="G396" s="686"/>
      <c r="H396" s="686"/>
      <c r="I396" s="825"/>
      <c r="J396" s="686"/>
      <c r="K396" s="686"/>
      <c r="L396" s="686"/>
      <c r="M396" s="686"/>
      <c r="N396" s="686"/>
      <c r="O396" s="686"/>
      <c r="P396" s="686"/>
      <c r="Q396" s="825"/>
      <c r="R396" s="686"/>
      <c r="S396" s="686"/>
      <c r="T396" s="686"/>
      <c r="U396" s="686"/>
      <c r="V396" s="686"/>
      <c r="W396" s="686"/>
      <c r="X396" s="686"/>
      <c r="Y396" s="825"/>
      <c r="Z396" s="686"/>
      <c r="AA396" s="686"/>
      <c r="AB396" s="686"/>
      <c r="AC396" s="686"/>
      <c r="AD396" s="686"/>
      <c r="AE396" s="686"/>
      <c r="AF396" s="686"/>
      <c r="AG396" s="825"/>
      <c r="AH396" s="686"/>
      <c r="AI396" s="686"/>
      <c r="AJ396" s="686"/>
      <c r="AK396" s="686"/>
      <c r="AL396" s="686"/>
      <c r="AM396" s="686"/>
      <c r="AN396" s="686"/>
      <c r="AO396" s="825"/>
      <c r="AP396" s="686"/>
      <c r="AQ396" s="686"/>
      <c r="AR396" s="686"/>
      <c r="AS396" s="686"/>
      <c r="AT396" s="686"/>
      <c r="AU396" s="686"/>
      <c r="AV396" s="686"/>
      <c r="AW396" s="686"/>
      <c r="AX396" s="686"/>
      <c r="AY396" s="686"/>
      <c r="AZ396" s="686"/>
      <c r="BA396" s="686"/>
      <c r="BB396" s="686"/>
      <c r="BC396" s="686"/>
      <c r="BD396" s="686"/>
      <c r="BE396" s="686"/>
      <c r="BF396" s="686"/>
      <c r="BG396" s="686"/>
      <c r="BH396" s="686"/>
    </row>
    <row r="397" spans="1:60" s="44" customFormat="1">
      <c r="A397" s="690"/>
      <c r="B397" s="690"/>
      <c r="C397" s="686"/>
      <c r="D397" s="686"/>
      <c r="E397" s="686"/>
      <c r="F397" s="686"/>
      <c r="G397" s="686"/>
      <c r="H397" s="686"/>
      <c r="I397" s="825"/>
      <c r="J397" s="686"/>
      <c r="K397" s="686"/>
      <c r="L397" s="686"/>
      <c r="M397" s="686"/>
      <c r="N397" s="686"/>
      <c r="O397" s="686"/>
      <c r="P397" s="686"/>
      <c r="Q397" s="825"/>
      <c r="R397" s="686"/>
      <c r="S397" s="686"/>
      <c r="T397" s="686"/>
      <c r="U397" s="686"/>
      <c r="V397" s="686"/>
      <c r="W397" s="686"/>
      <c r="X397" s="686"/>
      <c r="Y397" s="825"/>
      <c r="Z397" s="686"/>
      <c r="AA397" s="686"/>
      <c r="AB397" s="686"/>
      <c r="AC397" s="686"/>
      <c r="AD397" s="686"/>
      <c r="AE397" s="686"/>
      <c r="AF397" s="686"/>
      <c r="AG397" s="825"/>
      <c r="AH397" s="686"/>
      <c r="AI397" s="686"/>
      <c r="AJ397" s="686"/>
      <c r="AK397" s="686"/>
      <c r="AL397" s="686"/>
      <c r="AM397" s="686"/>
      <c r="AN397" s="686"/>
      <c r="AO397" s="825"/>
      <c r="AP397" s="686"/>
      <c r="AQ397" s="686"/>
      <c r="AR397" s="686"/>
      <c r="AS397" s="686"/>
      <c r="AT397" s="686"/>
      <c r="AU397" s="686"/>
      <c r="AV397" s="686"/>
      <c r="AW397" s="686"/>
      <c r="AX397" s="686"/>
      <c r="AY397" s="686"/>
      <c r="AZ397" s="686"/>
      <c r="BA397" s="686"/>
      <c r="BB397" s="686"/>
      <c r="BC397" s="686"/>
      <c r="BD397" s="686"/>
      <c r="BE397" s="686"/>
      <c r="BF397" s="686"/>
      <c r="BG397" s="686"/>
      <c r="BH397" s="686"/>
    </row>
    <row r="398" spans="1:60" s="44" customFormat="1">
      <c r="A398" s="690"/>
      <c r="B398" s="690"/>
      <c r="C398" s="686"/>
      <c r="D398" s="686"/>
      <c r="E398" s="686"/>
      <c r="F398" s="686"/>
      <c r="G398" s="686"/>
      <c r="H398" s="686"/>
      <c r="I398" s="825"/>
      <c r="J398" s="686"/>
      <c r="K398" s="686"/>
      <c r="L398" s="686"/>
      <c r="M398" s="686"/>
      <c r="N398" s="686"/>
      <c r="O398" s="686"/>
      <c r="P398" s="686"/>
      <c r="Q398" s="825"/>
      <c r="R398" s="686"/>
      <c r="S398" s="686"/>
      <c r="T398" s="686"/>
      <c r="U398" s="686"/>
      <c r="V398" s="686"/>
      <c r="W398" s="686"/>
      <c r="X398" s="686"/>
      <c r="Y398" s="825"/>
      <c r="Z398" s="686"/>
      <c r="AA398" s="686"/>
      <c r="AB398" s="686"/>
      <c r="AC398" s="686"/>
      <c r="AD398" s="686"/>
      <c r="AE398" s="686"/>
      <c r="AF398" s="686"/>
      <c r="AG398" s="825"/>
      <c r="AH398" s="686"/>
      <c r="AI398" s="686"/>
      <c r="AJ398" s="686"/>
      <c r="AK398" s="686"/>
      <c r="AL398" s="686"/>
      <c r="AM398" s="686"/>
      <c r="AN398" s="686"/>
      <c r="AO398" s="825"/>
      <c r="AP398" s="686"/>
      <c r="AQ398" s="686"/>
      <c r="AR398" s="686"/>
      <c r="AS398" s="686"/>
      <c r="AT398" s="686"/>
      <c r="AU398" s="686"/>
      <c r="AV398" s="686"/>
      <c r="AW398" s="686"/>
      <c r="AX398" s="686"/>
      <c r="AY398" s="686"/>
      <c r="AZ398" s="686"/>
      <c r="BA398" s="686"/>
      <c r="BB398" s="686"/>
      <c r="BC398" s="686"/>
      <c r="BD398" s="686"/>
      <c r="BE398" s="686"/>
      <c r="BF398" s="686"/>
      <c r="BG398" s="686"/>
      <c r="BH398" s="686"/>
    </row>
    <row r="399" spans="1:60" s="44" customFormat="1">
      <c r="A399" s="690"/>
      <c r="B399" s="690"/>
      <c r="C399" s="686"/>
      <c r="D399" s="686"/>
      <c r="E399" s="686"/>
      <c r="F399" s="686"/>
      <c r="G399" s="686"/>
      <c r="H399" s="686"/>
      <c r="I399" s="825"/>
      <c r="J399" s="686"/>
      <c r="K399" s="686"/>
      <c r="L399" s="686"/>
      <c r="M399" s="686"/>
      <c r="N399" s="686"/>
      <c r="O399" s="686"/>
      <c r="P399" s="686"/>
      <c r="Q399" s="825"/>
      <c r="R399" s="686"/>
      <c r="S399" s="686"/>
      <c r="T399" s="686"/>
      <c r="U399" s="686"/>
      <c r="V399" s="686"/>
      <c r="W399" s="686"/>
      <c r="X399" s="686"/>
      <c r="Y399" s="825"/>
      <c r="Z399" s="686"/>
      <c r="AA399" s="686"/>
      <c r="AB399" s="686"/>
      <c r="AC399" s="686"/>
      <c r="AD399" s="686"/>
      <c r="AE399" s="686"/>
      <c r="AF399" s="686"/>
      <c r="AG399" s="825"/>
      <c r="AH399" s="686"/>
      <c r="AI399" s="686"/>
      <c r="AJ399" s="686"/>
      <c r="AK399" s="686"/>
      <c r="AL399" s="686"/>
      <c r="AM399" s="686"/>
      <c r="AN399" s="686"/>
      <c r="AO399" s="825"/>
      <c r="AP399" s="686"/>
      <c r="AQ399" s="686"/>
      <c r="AR399" s="686"/>
      <c r="AS399" s="686"/>
      <c r="AT399" s="686"/>
      <c r="AU399" s="686"/>
      <c r="AV399" s="686"/>
      <c r="AW399" s="686"/>
      <c r="AX399" s="686"/>
      <c r="AY399" s="686"/>
      <c r="AZ399" s="686"/>
      <c r="BA399" s="686"/>
      <c r="BB399" s="686"/>
      <c r="BC399" s="686"/>
      <c r="BD399" s="686"/>
      <c r="BE399" s="686"/>
      <c r="BF399" s="686"/>
      <c r="BG399" s="686"/>
      <c r="BH399" s="686"/>
    </row>
    <row r="400" spans="1:60" s="44" customFormat="1">
      <c r="A400" s="690"/>
      <c r="B400" s="690"/>
      <c r="C400" s="686"/>
      <c r="D400" s="686"/>
      <c r="E400" s="686"/>
      <c r="F400" s="686"/>
      <c r="G400" s="686"/>
      <c r="H400" s="686"/>
      <c r="I400" s="825"/>
      <c r="J400" s="686"/>
      <c r="K400" s="686"/>
      <c r="L400" s="686"/>
      <c r="M400" s="686"/>
      <c r="N400" s="686"/>
      <c r="O400" s="686"/>
      <c r="P400" s="686"/>
      <c r="Q400" s="825"/>
      <c r="R400" s="686"/>
      <c r="S400" s="686"/>
      <c r="T400" s="686"/>
      <c r="U400" s="686"/>
      <c r="V400" s="686"/>
      <c r="W400" s="686"/>
      <c r="X400" s="686"/>
      <c r="Y400" s="825"/>
      <c r="Z400" s="686"/>
      <c r="AA400" s="686"/>
      <c r="AB400" s="686"/>
      <c r="AC400" s="686"/>
      <c r="AD400" s="686"/>
      <c r="AE400" s="686"/>
      <c r="AF400" s="686"/>
      <c r="AG400" s="825"/>
      <c r="AH400" s="686"/>
      <c r="AI400" s="686"/>
      <c r="AJ400" s="686"/>
      <c r="AK400" s="686"/>
      <c r="AL400" s="686"/>
      <c r="AM400" s="686"/>
      <c r="AN400" s="686"/>
      <c r="AO400" s="825"/>
      <c r="AP400" s="686"/>
      <c r="AQ400" s="686"/>
      <c r="AR400" s="686"/>
      <c r="AS400" s="686"/>
      <c r="AT400" s="686"/>
      <c r="AU400" s="686"/>
      <c r="AV400" s="686"/>
      <c r="AW400" s="686"/>
      <c r="AX400" s="686"/>
      <c r="AY400" s="686"/>
      <c r="AZ400" s="686"/>
      <c r="BA400" s="686"/>
      <c r="BB400" s="686"/>
      <c r="BC400" s="686"/>
      <c r="BD400" s="686"/>
      <c r="BE400" s="686"/>
      <c r="BF400" s="686"/>
      <c r="BG400" s="686"/>
      <c r="BH400" s="686"/>
    </row>
    <row r="401" spans="1:60" s="44" customFormat="1">
      <c r="A401" s="690"/>
      <c r="B401" s="690"/>
      <c r="C401" s="686"/>
      <c r="D401" s="686"/>
      <c r="E401" s="686"/>
      <c r="F401" s="686"/>
      <c r="G401" s="686"/>
      <c r="H401" s="686"/>
      <c r="I401" s="825"/>
      <c r="J401" s="686"/>
      <c r="K401" s="686"/>
      <c r="L401" s="686"/>
      <c r="M401" s="686"/>
      <c r="N401" s="686"/>
      <c r="O401" s="686"/>
      <c r="P401" s="686"/>
      <c r="Q401" s="825"/>
      <c r="R401" s="686"/>
      <c r="S401" s="686"/>
      <c r="T401" s="686"/>
      <c r="U401" s="686"/>
      <c r="V401" s="686"/>
      <c r="W401" s="686"/>
      <c r="X401" s="686"/>
      <c r="Y401" s="825"/>
      <c r="Z401" s="686"/>
      <c r="AA401" s="686"/>
      <c r="AB401" s="686"/>
      <c r="AC401" s="686"/>
      <c r="AD401" s="686"/>
      <c r="AE401" s="686"/>
      <c r="AF401" s="686"/>
      <c r="AG401" s="825"/>
      <c r="AH401" s="686"/>
      <c r="AI401" s="686"/>
      <c r="AJ401" s="686"/>
      <c r="AK401" s="686"/>
      <c r="AL401" s="686"/>
      <c r="AM401" s="686"/>
      <c r="AN401" s="686"/>
      <c r="AO401" s="825"/>
      <c r="AP401" s="686"/>
      <c r="AQ401" s="686"/>
      <c r="AR401" s="686"/>
      <c r="AS401" s="686"/>
      <c r="AT401" s="686"/>
      <c r="AU401" s="686"/>
      <c r="AV401" s="686"/>
      <c r="AW401" s="686"/>
      <c r="AX401" s="686"/>
      <c r="AY401" s="686"/>
      <c r="AZ401" s="686"/>
      <c r="BA401" s="686"/>
      <c r="BB401" s="686"/>
      <c r="BC401" s="686"/>
      <c r="BD401" s="686"/>
      <c r="BE401" s="686"/>
      <c r="BF401" s="686"/>
      <c r="BG401" s="686"/>
      <c r="BH401" s="686"/>
    </row>
    <row r="402" spans="1:60" s="44" customFormat="1">
      <c r="A402" s="690"/>
      <c r="B402" s="690"/>
      <c r="C402" s="686"/>
      <c r="D402" s="686"/>
      <c r="E402" s="686"/>
      <c r="F402" s="686"/>
      <c r="G402" s="686"/>
      <c r="H402" s="686"/>
      <c r="I402" s="825"/>
      <c r="J402" s="686"/>
      <c r="K402" s="686"/>
      <c r="L402" s="686"/>
      <c r="M402" s="686"/>
      <c r="N402" s="686"/>
      <c r="O402" s="686"/>
      <c r="P402" s="686"/>
      <c r="Q402" s="825"/>
      <c r="R402" s="686"/>
      <c r="S402" s="686"/>
      <c r="T402" s="686"/>
      <c r="U402" s="686"/>
      <c r="V402" s="686"/>
      <c r="W402" s="686"/>
      <c r="X402" s="686"/>
      <c r="Y402" s="825"/>
      <c r="Z402" s="686"/>
      <c r="AA402" s="686"/>
      <c r="AB402" s="686"/>
      <c r="AC402" s="686"/>
      <c r="AD402" s="686"/>
      <c r="AE402" s="686"/>
      <c r="AF402" s="686"/>
      <c r="AG402" s="825"/>
      <c r="AH402" s="686"/>
      <c r="AI402" s="686"/>
      <c r="AJ402" s="686"/>
      <c r="AK402" s="686"/>
      <c r="AL402" s="686"/>
      <c r="AM402" s="686"/>
      <c r="AN402" s="686"/>
      <c r="AO402" s="825"/>
      <c r="AP402" s="686"/>
      <c r="AQ402" s="686"/>
      <c r="AR402" s="686"/>
      <c r="AS402" s="686"/>
      <c r="AT402" s="686"/>
      <c r="AU402" s="686"/>
      <c r="AV402" s="686"/>
      <c r="AW402" s="686"/>
      <c r="AX402" s="686"/>
      <c r="AY402" s="686"/>
      <c r="AZ402" s="686"/>
      <c r="BA402" s="686"/>
      <c r="BB402" s="686"/>
      <c r="BC402" s="686"/>
      <c r="BD402" s="686"/>
      <c r="BE402" s="686"/>
      <c r="BF402" s="686"/>
      <c r="BG402" s="686"/>
      <c r="BH402" s="686"/>
    </row>
    <row r="403" spans="1:60" s="44" customFormat="1">
      <c r="A403" s="690"/>
      <c r="B403" s="690"/>
      <c r="C403" s="686"/>
      <c r="D403" s="686"/>
      <c r="E403" s="686"/>
      <c r="F403" s="686"/>
      <c r="G403" s="686"/>
      <c r="H403" s="686"/>
      <c r="I403" s="825"/>
      <c r="J403" s="686"/>
      <c r="K403" s="686"/>
      <c r="L403" s="686"/>
      <c r="M403" s="686"/>
      <c r="N403" s="686"/>
      <c r="O403" s="686"/>
      <c r="P403" s="686"/>
      <c r="Q403" s="825"/>
      <c r="R403" s="686"/>
      <c r="S403" s="686"/>
      <c r="T403" s="686"/>
      <c r="U403" s="686"/>
      <c r="V403" s="686"/>
      <c r="W403" s="686"/>
      <c r="X403" s="686"/>
      <c r="Y403" s="825"/>
      <c r="Z403" s="686"/>
      <c r="AA403" s="686"/>
      <c r="AB403" s="686"/>
      <c r="AC403" s="686"/>
      <c r="AD403" s="686"/>
      <c r="AE403" s="686"/>
      <c r="AF403" s="686"/>
      <c r="AG403" s="825"/>
      <c r="AH403" s="686"/>
      <c r="AI403" s="686"/>
      <c r="AJ403" s="686"/>
      <c r="AK403" s="686"/>
      <c r="AL403" s="686"/>
      <c r="AM403" s="686"/>
      <c r="AN403" s="686"/>
      <c r="AO403" s="825"/>
      <c r="AP403" s="686"/>
      <c r="AQ403" s="686"/>
      <c r="AR403" s="686"/>
      <c r="AS403" s="686"/>
      <c r="AT403" s="686"/>
      <c r="AU403" s="686"/>
      <c r="AV403" s="686"/>
      <c r="AW403" s="686"/>
      <c r="AX403" s="686"/>
      <c r="AY403" s="686"/>
      <c r="AZ403" s="686"/>
      <c r="BA403" s="686"/>
      <c r="BB403" s="686"/>
      <c r="BC403" s="686"/>
      <c r="BD403" s="686"/>
      <c r="BE403" s="686"/>
      <c r="BF403" s="686"/>
      <c r="BG403" s="686"/>
      <c r="BH403" s="686"/>
    </row>
    <row r="404" spans="1:60" s="44" customFormat="1">
      <c r="A404" s="690"/>
      <c r="B404" s="690"/>
      <c r="C404" s="686"/>
      <c r="D404" s="686"/>
      <c r="E404" s="686"/>
      <c r="F404" s="686"/>
      <c r="G404" s="686"/>
      <c r="H404" s="686"/>
      <c r="I404" s="825"/>
      <c r="J404" s="686"/>
      <c r="K404" s="686"/>
      <c r="L404" s="686"/>
      <c r="M404" s="686"/>
      <c r="N404" s="686"/>
      <c r="O404" s="686"/>
      <c r="P404" s="686"/>
      <c r="Q404" s="825"/>
      <c r="R404" s="686"/>
      <c r="S404" s="686"/>
      <c r="T404" s="686"/>
      <c r="U404" s="686"/>
      <c r="V404" s="686"/>
      <c r="W404" s="686"/>
      <c r="X404" s="686"/>
      <c r="Y404" s="825"/>
      <c r="Z404" s="686"/>
      <c r="AA404" s="686"/>
      <c r="AB404" s="686"/>
      <c r="AC404" s="686"/>
      <c r="AD404" s="686"/>
      <c r="AE404" s="686"/>
      <c r="AF404" s="686"/>
      <c r="AG404" s="825"/>
      <c r="AH404" s="686"/>
      <c r="AI404" s="686"/>
      <c r="AJ404" s="686"/>
      <c r="AK404" s="686"/>
      <c r="AL404" s="686"/>
      <c r="AM404" s="686"/>
      <c r="AN404" s="686"/>
      <c r="AO404" s="825"/>
      <c r="AP404" s="686"/>
      <c r="AQ404" s="686"/>
      <c r="AR404" s="686"/>
      <c r="AS404" s="686"/>
      <c r="AT404" s="686"/>
      <c r="AU404" s="686"/>
      <c r="AV404" s="686"/>
      <c r="AW404" s="686"/>
      <c r="AX404" s="686"/>
      <c r="AY404" s="686"/>
      <c r="AZ404" s="686"/>
      <c r="BA404" s="686"/>
      <c r="BB404" s="686"/>
      <c r="BC404" s="686"/>
      <c r="BD404" s="686"/>
      <c r="BE404" s="686"/>
      <c r="BF404" s="686"/>
      <c r="BG404" s="686"/>
      <c r="BH404" s="686"/>
    </row>
    <row r="405" spans="1:60" s="44" customFormat="1">
      <c r="A405" s="690"/>
      <c r="B405" s="690"/>
      <c r="C405" s="686"/>
      <c r="D405" s="686"/>
      <c r="E405" s="686"/>
      <c r="F405" s="686"/>
      <c r="G405" s="686"/>
      <c r="H405" s="686"/>
      <c r="I405" s="825"/>
      <c r="J405" s="686"/>
      <c r="K405" s="686"/>
      <c r="L405" s="686"/>
      <c r="M405" s="686"/>
      <c r="N405" s="686"/>
      <c r="O405" s="686"/>
      <c r="P405" s="686"/>
      <c r="Q405" s="825"/>
      <c r="R405" s="686"/>
      <c r="S405" s="686"/>
      <c r="T405" s="686"/>
      <c r="U405" s="686"/>
      <c r="V405" s="686"/>
      <c r="W405" s="686"/>
      <c r="X405" s="686"/>
      <c r="Y405" s="825"/>
      <c r="Z405" s="686"/>
      <c r="AA405" s="686"/>
      <c r="AB405" s="686"/>
      <c r="AC405" s="686"/>
      <c r="AD405" s="686"/>
      <c r="AE405" s="686"/>
      <c r="AF405" s="686"/>
      <c r="AG405" s="825"/>
      <c r="AH405" s="686"/>
      <c r="AI405" s="686"/>
      <c r="AJ405" s="686"/>
      <c r="AK405" s="686"/>
      <c r="AL405" s="686"/>
      <c r="AM405" s="686"/>
      <c r="AN405" s="686"/>
      <c r="AO405" s="825"/>
      <c r="AP405" s="686"/>
      <c r="AQ405" s="686"/>
      <c r="AR405" s="686"/>
      <c r="AS405" s="686"/>
      <c r="AT405" s="686"/>
      <c r="AU405" s="686"/>
      <c r="AV405" s="686"/>
      <c r="AW405" s="686"/>
      <c r="AX405" s="686"/>
      <c r="AY405" s="686"/>
      <c r="AZ405" s="686"/>
      <c r="BA405" s="686"/>
      <c r="BB405" s="686"/>
      <c r="BC405" s="686"/>
      <c r="BD405" s="686"/>
      <c r="BE405" s="686"/>
      <c r="BF405" s="686"/>
      <c r="BG405" s="686"/>
      <c r="BH405" s="686"/>
    </row>
    <row r="406" spans="1:60" s="44" customFormat="1">
      <c r="A406" s="690"/>
      <c r="B406" s="690"/>
      <c r="C406" s="686"/>
      <c r="D406" s="686"/>
      <c r="E406" s="686"/>
      <c r="F406" s="686"/>
      <c r="G406" s="686"/>
      <c r="H406" s="686"/>
      <c r="I406" s="825"/>
      <c r="J406" s="686"/>
      <c r="K406" s="686"/>
      <c r="L406" s="686"/>
      <c r="M406" s="686"/>
      <c r="N406" s="686"/>
      <c r="O406" s="686"/>
      <c r="P406" s="686"/>
      <c r="Q406" s="825"/>
      <c r="R406" s="686"/>
      <c r="S406" s="686"/>
      <c r="T406" s="686"/>
      <c r="U406" s="686"/>
      <c r="V406" s="686"/>
      <c r="W406" s="686"/>
      <c r="X406" s="686"/>
      <c r="Y406" s="825"/>
      <c r="Z406" s="686"/>
      <c r="AA406" s="686"/>
      <c r="AB406" s="686"/>
      <c r="AC406" s="686"/>
      <c r="AD406" s="686"/>
      <c r="AE406" s="686"/>
      <c r="AF406" s="686"/>
      <c r="AG406" s="825"/>
      <c r="AH406" s="686"/>
      <c r="AI406" s="686"/>
      <c r="AJ406" s="686"/>
      <c r="AK406" s="686"/>
      <c r="AL406" s="686"/>
      <c r="AM406" s="686"/>
      <c r="AN406" s="686"/>
      <c r="AO406" s="825"/>
      <c r="AP406" s="686"/>
      <c r="AQ406" s="686"/>
      <c r="AR406" s="686"/>
      <c r="AS406" s="686"/>
      <c r="AT406" s="686"/>
      <c r="AU406" s="686"/>
      <c r="AV406" s="686"/>
      <c r="AW406" s="686"/>
      <c r="AX406" s="686"/>
      <c r="AY406" s="686"/>
      <c r="AZ406" s="686"/>
      <c r="BA406" s="686"/>
      <c r="BB406" s="686"/>
      <c r="BC406" s="686"/>
      <c r="BD406" s="686"/>
      <c r="BE406" s="686"/>
      <c r="BF406" s="686"/>
      <c r="BG406" s="686"/>
      <c r="BH406" s="686"/>
    </row>
    <row r="407" spans="1:60" s="44" customFormat="1">
      <c r="A407" s="690"/>
      <c r="B407" s="690"/>
      <c r="C407" s="686"/>
      <c r="D407" s="686"/>
      <c r="E407" s="686"/>
      <c r="F407" s="686"/>
      <c r="G407" s="686"/>
      <c r="H407" s="686"/>
      <c r="I407" s="825"/>
      <c r="J407" s="686"/>
      <c r="K407" s="686"/>
      <c r="L407" s="686"/>
      <c r="M407" s="686"/>
      <c r="N407" s="686"/>
      <c r="O407" s="686"/>
      <c r="P407" s="686"/>
      <c r="Q407" s="825"/>
      <c r="R407" s="686"/>
      <c r="S407" s="686"/>
      <c r="T407" s="686"/>
      <c r="U407" s="686"/>
      <c r="V407" s="686"/>
      <c r="W407" s="686"/>
      <c r="X407" s="686"/>
      <c r="Y407" s="825"/>
      <c r="Z407" s="686"/>
      <c r="AA407" s="686"/>
      <c r="AB407" s="686"/>
      <c r="AC407" s="686"/>
      <c r="AD407" s="686"/>
      <c r="AE407" s="686"/>
      <c r="AF407" s="686"/>
      <c r="AG407" s="825"/>
      <c r="AH407" s="686"/>
      <c r="AI407" s="686"/>
      <c r="AJ407" s="686"/>
      <c r="AK407" s="686"/>
      <c r="AL407" s="686"/>
      <c r="AM407" s="686"/>
      <c r="AN407" s="686"/>
      <c r="AO407" s="825"/>
      <c r="AP407" s="686"/>
      <c r="AQ407" s="686"/>
      <c r="AR407" s="686"/>
      <c r="AS407" s="686"/>
      <c r="AT407" s="686"/>
      <c r="AU407" s="686"/>
      <c r="AV407" s="686"/>
      <c r="AW407" s="686"/>
      <c r="AX407" s="686"/>
      <c r="AY407" s="686"/>
      <c r="AZ407" s="686"/>
      <c r="BA407" s="686"/>
      <c r="BB407" s="686"/>
      <c r="BC407" s="686"/>
      <c r="BD407" s="686"/>
      <c r="BE407" s="686"/>
      <c r="BF407" s="686"/>
      <c r="BG407" s="686"/>
      <c r="BH407" s="686"/>
    </row>
    <row r="408" spans="1:60" s="44" customFormat="1">
      <c r="A408" s="690"/>
      <c r="B408" s="690"/>
      <c r="C408" s="686"/>
      <c r="D408" s="686"/>
      <c r="E408" s="686"/>
      <c r="F408" s="686"/>
      <c r="G408" s="686"/>
      <c r="H408" s="686"/>
      <c r="I408" s="825"/>
      <c r="J408" s="686"/>
      <c r="K408" s="686"/>
      <c r="L408" s="686"/>
      <c r="M408" s="686"/>
      <c r="N408" s="686"/>
      <c r="O408" s="686"/>
      <c r="P408" s="686"/>
      <c r="Q408" s="825"/>
      <c r="R408" s="686"/>
      <c r="S408" s="686"/>
      <c r="T408" s="686"/>
      <c r="U408" s="686"/>
      <c r="V408" s="686"/>
      <c r="W408" s="686"/>
      <c r="X408" s="686"/>
      <c r="Y408" s="825"/>
      <c r="Z408" s="686"/>
      <c r="AA408" s="686"/>
      <c r="AB408" s="686"/>
      <c r="AC408" s="686"/>
      <c r="AD408" s="686"/>
      <c r="AE408" s="686"/>
      <c r="AF408" s="686"/>
      <c r="AG408" s="825"/>
      <c r="AH408" s="686"/>
      <c r="AI408" s="686"/>
      <c r="AJ408" s="686"/>
      <c r="AK408" s="686"/>
      <c r="AL408" s="686"/>
      <c r="AM408" s="686"/>
      <c r="AN408" s="686"/>
      <c r="AO408" s="825"/>
      <c r="AP408" s="686"/>
      <c r="AQ408" s="686"/>
      <c r="AR408" s="686"/>
      <c r="AS408" s="686"/>
      <c r="AT408" s="686"/>
      <c r="AU408" s="686"/>
      <c r="AV408" s="686"/>
      <c r="AW408" s="686"/>
      <c r="AX408" s="686"/>
      <c r="AY408" s="686"/>
      <c r="AZ408" s="686"/>
      <c r="BA408" s="686"/>
      <c r="BB408" s="686"/>
      <c r="BC408" s="686"/>
      <c r="BD408" s="686"/>
      <c r="BE408" s="686"/>
      <c r="BF408" s="686"/>
      <c r="BG408" s="686"/>
      <c r="BH408" s="686"/>
    </row>
    <row r="409" spans="1:60" s="44" customFormat="1">
      <c r="A409" s="690"/>
      <c r="B409" s="690"/>
      <c r="C409" s="686"/>
      <c r="D409" s="686"/>
      <c r="E409" s="686"/>
      <c r="F409" s="686"/>
      <c r="G409" s="686"/>
      <c r="H409" s="686"/>
      <c r="I409" s="825"/>
      <c r="J409" s="686"/>
      <c r="K409" s="686"/>
      <c r="L409" s="686"/>
      <c r="M409" s="686"/>
      <c r="N409" s="686"/>
      <c r="O409" s="686"/>
      <c r="P409" s="686"/>
      <c r="Q409" s="825"/>
      <c r="R409" s="686"/>
      <c r="S409" s="686"/>
      <c r="T409" s="686"/>
      <c r="U409" s="686"/>
      <c r="V409" s="686"/>
      <c r="W409" s="686"/>
      <c r="X409" s="686"/>
      <c r="Y409" s="825"/>
      <c r="Z409" s="686"/>
      <c r="AA409" s="686"/>
      <c r="AB409" s="686"/>
      <c r="AC409" s="686"/>
      <c r="AD409" s="686"/>
      <c r="AE409" s="686"/>
      <c r="AF409" s="686"/>
      <c r="AG409" s="825"/>
      <c r="AH409" s="686"/>
      <c r="AI409" s="686"/>
      <c r="AJ409" s="686"/>
      <c r="AK409" s="686"/>
      <c r="AL409" s="686"/>
      <c r="AM409" s="686"/>
      <c r="AN409" s="686"/>
      <c r="AO409" s="825"/>
      <c r="AP409" s="686"/>
      <c r="AQ409" s="686"/>
      <c r="AR409" s="686"/>
      <c r="AS409" s="686"/>
      <c r="AT409" s="686"/>
      <c r="AU409" s="686"/>
      <c r="AV409" s="686"/>
      <c r="AW409" s="686"/>
      <c r="AX409" s="686"/>
      <c r="AY409" s="686"/>
      <c r="AZ409" s="686"/>
      <c r="BA409" s="686"/>
      <c r="BB409" s="686"/>
      <c r="BC409" s="686"/>
      <c r="BD409" s="686"/>
      <c r="BE409" s="686"/>
      <c r="BF409" s="686"/>
      <c r="BG409" s="686"/>
      <c r="BH409" s="686"/>
    </row>
    <row r="410" spans="1:60" s="44" customFormat="1">
      <c r="A410" s="690"/>
      <c r="B410" s="690"/>
      <c r="C410" s="686"/>
      <c r="D410" s="686"/>
      <c r="E410" s="686"/>
      <c r="F410" s="686"/>
      <c r="G410" s="686"/>
      <c r="H410" s="686"/>
      <c r="I410" s="825"/>
      <c r="J410" s="686"/>
      <c r="K410" s="686"/>
      <c r="L410" s="686"/>
      <c r="M410" s="686"/>
      <c r="N410" s="686"/>
      <c r="O410" s="686"/>
      <c r="P410" s="686"/>
      <c r="Q410" s="825"/>
      <c r="R410" s="686"/>
      <c r="S410" s="686"/>
      <c r="T410" s="686"/>
      <c r="U410" s="686"/>
      <c r="V410" s="686"/>
      <c r="W410" s="686"/>
      <c r="X410" s="686"/>
      <c r="Y410" s="825"/>
      <c r="Z410" s="686"/>
      <c r="AA410" s="686"/>
      <c r="AB410" s="686"/>
      <c r="AC410" s="686"/>
      <c r="AD410" s="686"/>
      <c r="AE410" s="686"/>
      <c r="AF410" s="686"/>
      <c r="AG410" s="825"/>
      <c r="AH410" s="686"/>
      <c r="AI410" s="686"/>
      <c r="AJ410" s="686"/>
      <c r="AK410" s="686"/>
      <c r="AL410" s="686"/>
      <c r="AM410" s="686"/>
      <c r="AN410" s="686"/>
      <c r="AO410" s="825"/>
      <c r="AP410" s="686"/>
      <c r="AQ410" s="686"/>
      <c r="AR410" s="686"/>
      <c r="AS410" s="686"/>
      <c r="AT410" s="686"/>
      <c r="AU410" s="686"/>
      <c r="AV410" s="686"/>
      <c r="AW410" s="686"/>
      <c r="AX410" s="686"/>
      <c r="AY410" s="686"/>
      <c r="AZ410" s="686"/>
      <c r="BA410" s="686"/>
      <c r="BB410" s="686"/>
      <c r="BC410" s="686"/>
      <c r="BD410" s="686"/>
      <c r="BE410" s="686"/>
      <c r="BF410" s="686"/>
      <c r="BG410" s="686"/>
      <c r="BH410" s="686"/>
    </row>
    <row r="411" spans="1:60" s="44" customFormat="1">
      <c r="A411" s="690"/>
      <c r="B411" s="690"/>
      <c r="C411" s="686"/>
      <c r="D411" s="686"/>
      <c r="E411" s="686"/>
      <c r="F411" s="686"/>
      <c r="G411" s="686"/>
      <c r="H411" s="686"/>
      <c r="I411" s="825"/>
      <c r="J411" s="686"/>
      <c r="K411" s="686"/>
      <c r="L411" s="686"/>
      <c r="M411" s="686"/>
      <c r="N411" s="686"/>
      <c r="O411" s="686"/>
      <c r="P411" s="686"/>
      <c r="Q411" s="825"/>
      <c r="R411" s="686"/>
      <c r="S411" s="686"/>
      <c r="T411" s="686"/>
      <c r="U411" s="686"/>
      <c r="V411" s="686"/>
      <c r="W411" s="686"/>
      <c r="X411" s="686"/>
      <c r="Y411" s="825"/>
      <c r="Z411" s="686"/>
      <c r="AA411" s="686"/>
      <c r="AB411" s="686"/>
      <c r="AC411" s="686"/>
      <c r="AD411" s="686"/>
      <c r="AE411" s="686"/>
      <c r="AF411" s="686"/>
      <c r="AG411" s="825"/>
      <c r="AH411" s="686"/>
      <c r="AI411" s="686"/>
      <c r="AJ411" s="686"/>
      <c r="AK411" s="686"/>
      <c r="AL411" s="686"/>
      <c r="AM411" s="686"/>
      <c r="AN411" s="686"/>
      <c r="AO411" s="825"/>
      <c r="AP411" s="686"/>
      <c r="AQ411" s="686"/>
      <c r="AR411" s="686"/>
      <c r="AS411" s="686"/>
      <c r="AT411" s="686"/>
      <c r="AU411" s="686"/>
      <c r="AV411" s="686"/>
      <c r="AW411" s="686"/>
      <c r="AX411" s="686"/>
      <c r="AY411" s="686"/>
      <c r="AZ411" s="686"/>
      <c r="BA411" s="686"/>
      <c r="BB411" s="686"/>
      <c r="BC411" s="686"/>
      <c r="BD411" s="686"/>
      <c r="BE411" s="686"/>
      <c r="BF411" s="686"/>
      <c r="BG411" s="686"/>
      <c r="BH411" s="686"/>
    </row>
    <row r="412" spans="1:60" s="44" customFormat="1">
      <c r="A412" s="690"/>
      <c r="B412" s="690"/>
      <c r="C412" s="686"/>
      <c r="D412" s="686"/>
      <c r="E412" s="686"/>
      <c r="F412" s="686"/>
      <c r="G412" s="686"/>
      <c r="H412" s="686"/>
      <c r="I412" s="825"/>
      <c r="J412" s="686"/>
      <c r="K412" s="686"/>
      <c r="L412" s="686"/>
      <c r="M412" s="686"/>
      <c r="N412" s="686"/>
      <c r="O412" s="686"/>
      <c r="P412" s="686"/>
      <c r="Q412" s="825"/>
      <c r="R412" s="686"/>
      <c r="S412" s="686"/>
      <c r="T412" s="686"/>
      <c r="U412" s="686"/>
      <c r="V412" s="686"/>
      <c r="W412" s="686"/>
      <c r="X412" s="686"/>
      <c r="Y412" s="825"/>
      <c r="Z412" s="686"/>
      <c r="AA412" s="686"/>
      <c r="AB412" s="686"/>
      <c r="AC412" s="686"/>
      <c r="AD412" s="686"/>
      <c r="AE412" s="686"/>
      <c r="AF412" s="686"/>
      <c r="AG412" s="825"/>
      <c r="AH412" s="686"/>
      <c r="AI412" s="686"/>
      <c r="AJ412" s="686"/>
      <c r="AK412" s="686"/>
      <c r="AL412" s="686"/>
      <c r="AM412" s="686"/>
      <c r="AN412" s="686"/>
      <c r="AO412" s="825"/>
      <c r="AP412" s="686"/>
      <c r="AQ412" s="686"/>
      <c r="AR412" s="686"/>
      <c r="AS412" s="686"/>
      <c r="AT412" s="686"/>
      <c r="AU412" s="686"/>
      <c r="AV412" s="686"/>
      <c r="AW412" s="686"/>
      <c r="AX412" s="686"/>
      <c r="AY412" s="686"/>
      <c r="AZ412" s="686"/>
      <c r="BA412" s="686"/>
      <c r="BB412" s="686"/>
      <c r="BC412" s="686"/>
      <c r="BD412" s="686"/>
      <c r="BE412" s="686"/>
      <c r="BF412" s="686"/>
      <c r="BG412" s="686"/>
      <c r="BH412" s="686"/>
    </row>
    <row r="413" spans="1:60" s="44" customFormat="1">
      <c r="A413" s="690"/>
      <c r="B413" s="690"/>
      <c r="C413" s="686"/>
      <c r="D413" s="686"/>
      <c r="E413" s="686"/>
      <c r="F413" s="686"/>
      <c r="G413" s="686"/>
      <c r="H413" s="686"/>
      <c r="I413" s="825"/>
      <c r="J413" s="686"/>
      <c r="K413" s="686"/>
      <c r="L413" s="686"/>
      <c r="M413" s="686"/>
      <c r="N413" s="686"/>
      <c r="O413" s="686"/>
      <c r="P413" s="686"/>
      <c r="Q413" s="825"/>
      <c r="R413" s="686"/>
      <c r="S413" s="686"/>
      <c r="T413" s="686"/>
      <c r="U413" s="686"/>
      <c r="V413" s="686"/>
      <c r="W413" s="686"/>
      <c r="X413" s="686"/>
      <c r="Y413" s="825"/>
      <c r="Z413" s="686"/>
      <c r="AA413" s="686"/>
      <c r="AB413" s="686"/>
      <c r="AC413" s="686"/>
      <c r="AD413" s="686"/>
      <c r="AE413" s="686"/>
      <c r="AF413" s="686"/>
      <c r="AG413" s="825"/>
      <c r="AH413" s="686"/>
      <c r="AI413" s="686"/>
      <c r="AJ413" s="686"/>
      <c r="AK413" s="686"/>
      <c r="AL413" s="686"/>
      <c r="AM413" s="686"/>
      <c r="AN413" s="686"/>
      <c r="AO413" s="825"/>
      <c r="AP413" s="686"/>
      <c r="AQ413" s="686"/>
      <c r="AR413" s="686"/>
      <c r="AS413" s="686"/>
      <c r="AT413" s="686"/>
      <c r="AU413" s="686"/>
      <c r="AV413" s="686"/>
      <c r="AW413" s="686"/>
      <c r="AX413" s="686"/>
      <c r="AY413" s="686"/>
      <c r="AZ413" s="686"/>
      <c r="BA413" s="686"/>
      <c r="BB413" s="686"/>
      <c r="BC413" s="686"/>
      <c r="BD413" s="686"/>
      <c r="BE413" s="686"/>
      <c r="BF413" s="686"/>
      <c r="BG413" s="686"/>
      <c r="BH413" s="686"/>
    </row>
    <row r="414" spans="1:60" s="44" customFormat="1">
      <c r="A414" s="690"/>
      <c r="B414" s="690"/>
      <c r="C414" s="686"/>
      <c r="D414" s="686"/>
      <c r="E414" s="686"/>
      <c r="F414" s="686"/>
      <c r="G414" s="686"/>
      <c r="H414" s="686"/>
      <c r="I414" s="825"/>
      <c r="J414" s="686"/>
      <c r="K414" s="686"/>
      <c r="L414" s="686"/>
      <c r="M414" s="686"/>
      <c r="N414" s="686"/>
      <c r="O414" s="686"/>
      <c r="P414" s="686"/>
      <c r="Q414" s="825"/>
      <c r="R414" s="686"/>
      <c r="S414" s="686"/>
      <c r="T414" s="686"/>
      <c r="U414" s="686"/>
      <c r="V414" s="686"/>
      <c r="W414" s="686"/>
      <c r="X414" s="686"/>
      <c r="Y414" s="825"/>
      <c r="Z414" s="686"/>
      <c r="AA414" s="686"/>
      <c r="AB414" s="686"/>
      <c r="AC414" s="686"/>
      <c r="AD414" s="686"/>
      <c r="AE414" s="686"/>
      <c r="AF414" s="686"/>
      <c r="AG414" s="825"/>
      <c r="AH414" s="686"/>
      <c r="AI414" s="686"/>
      <c r="AJ414" s="686"/>
      <c r="AK414" s="686"/>
      <c r="AL414" s="686"/>
      <c r="AM414" s="686"/>
      <c r="AN414" s="686"/>
      <c r="AO414" s="825"/>
      <c r="AP414" s="686"/>
      <c r="AQ414" s="686"/>
      <c r="AR414" s="686"/>
      <c r="AS414" s="686"/>
      <c r="AT414" s="686"/>
      <c r="AU414" s="686"/>
      <c r="AV414" s="686"/>
      <c r="AW414" s="686"/>
      <c r="AX414" s="686"/>
      <c r="AY414" s="686"/>
      <c r="AZ414" s="686"/>
      <c r="BA414" s="686"/>
      <c r="BB414" s="686"/>
      <c r="BC414" s="686"/>
      <c r="BD414" s="686"/>
      <c r="BE414" s="686"/>
      <c r="BF414" s="686"/>
      <c r="BG414" s="686"/>
      <c r="BH414" s="686"/>
    </row>
    <row r="415" spans="1:60" s="44" customFormat="1">
      <c r="A415" s="690"/>
      <c r="B415" s="690"/>
      <c r="C415" s="686"/>
      <c r="D415" s="686"/>
      <c r="E415" s="686"/>
      <c r="F415" s="686"/>
      <c r="G415" s="686"/>
      <c r="H415" s="686"/>
      <c r="I415" s="825"/>
      <c r="J415" s="686"/>
      <c r="K415" s="686"/>
      <c r="L415" s="686"/>
      <c r="M415" s="686"/>
      <c r="N415" s="686"/>
      <c r="O415" s="686"/>
      <c r="P415" s="686"/>
      <c r="Q415" s="825"/>
      <c r="R415" s="686"/>
      <c r="S415" s="686"/>
      <c r="T415" s="686"/>
      <c r="U415" s="686"/>
      <c r="V415" s="686"/>
      <c r="W415" s="686"/>
      <c r="X415" s="686"/>
      <c r="Y415" s="825"/>
      <c r="Z415" s="686"/>
      <c r="AA415" s="686"/>
      <c r="AB415" s="686"/>
      <c r="AC415" s="686"/>
      <c r="AD415" s="686"/>
      <c r="AE415" s="686"/>
      <c r="AF415" s="686"/>
      <c r="AG415" s="825"/>
      <c r="AH415" s="686"/>
      <c r="AI415" s="686"/>
      <c r="AJ415" s="686"/>
      <c r="AK415" s="686"/>
      <c r="AL415" s="686"/>
      <c r="AM415" s="686"/>
      <c r="AN415" s="686"/>
      <c r="AO415" s="825"/>
      <c r="AP415" s="686"/>
      <c r="AQ415" s="686"/>
      <c r="AR415" s="686"/>
      <c r="AS415" s="686"/>
      <c r="AT415" s="686"/>
      <c r="AU415" s="686"/>
      <c r="AV415" s="686"/>
      <c r="AW415" s="686"/>
      <c r="AX415" s="686"/>
      <c r="AY415" s="686"/>
      <c r="AZ415" s="686"/>
      <c r="BA415" s="686"/>
      <c r="BB415" s="686"/>
      <c r="BC415" s="686"/>
      <c r="BD415" s="686"/>
      <c r="BE415" s="686"/>
      <c r="BF415" s="686"/>
      <c r="BG415" s="686"/>
      <c r="BH415" s="686"/>
    </row>
    <row r="416" spans="1:60" s="44" customFormat="1">
      <c r="A416" s="690"/>
      <c r="B416" s="690"/>
      <c r="C416" s="686"/>
      <c r="D416" s="686"/>
      <c r="E416" s="686"/>
      <c r="F416" s="686"/>
      <c r="G416" s="686"/>
      <c r="H416" s="686"/>
      <c r="I416" s="825"/>
      <c r="J416" s="686"/>
      <c r="K416" s="686"/>
      <c r="L416" s="686"/>
      <c r="M416" s="686"/>
      <c r="N416" s="686"/>
      <c r="O416" s="686"/>
      <c r="P416" s="686"/>
      <c r="Q416" s="825"/>
      <c r="R416" s="686"/>
      <c r="S416" s="686"/>
      <c r="T416" s="686"/>
      <c r="U416" s="686"/>
      <c r="V416" s="686"/>
      <c r="W416" s="686"/>
      <c r="X416" s="686"/>
      <c r="Y416" s="825"/>
      <c r="Z416" s="686"/>
      <c r="AA416" s="686"/>
      <c r="AB416" s="686"/>
      <c r="AC416" s="686"/>
      <c r="AD416" s="686"/>
      <c r="AE416" s="686"/>
      <c r="AF416" s="686"/>
      <c r="AG416" s="825"/>
      <c r="AH416" s="686"/>
      <c r="AI416" s="686"/>
      <c r="AJ416" s="686"/>
      <c r="AK416" s="686"/>
      <c r="AL416" s="686"/>
      <c r="AM416" s="686"/>
      <c r="AN416" s="686"/>
      <c r="AO416" s="825"/>
      <c r="AP416" s="686"/>
      <c r="AQ416" s="686"/>
      <c r="AR416" s="686"/>
      <c r="AS416" s="686"/>
      <c r="AT416" s="686"/>
      <c r="AU416" s="686"/>
      <c r="AV416" s="686"/>
      <c r="AW416" s="686"/>
      <c r="AX416" s="686"/>
      <c r="AY416" s="686"/>
      <c r="AZ416" s="686"/>
      <c r="BA416" s="686"/>
      <c r="BB416" s="686"/>
      <c r="BC416" s="686"/>
      <c r="BD416" s="686"/>
      <c r="BE416" s="686"/>
      <c r="BF416" s="686"/>
      <c r="BG416" s="686"/>
      <c r="BH416" s="686"/>
    </row>
    <row r="417" spans="1:60" s="44" customFormat="1">
      <c r="A417" s="690"/>
      <c r="B417" s="690"/>
      <c r="C417" s="686"/>
      <c r="D417" s="686"/>
      <c r="E417" s="686"/>
      <c r="F417" s="686"/>
      <c r="G417" s="686"/>
      <c r="H417" s="686"/>
      <c r="I417" s="825"/>
      <c r="J417" s="686"/>
      <c r="K417" s="686"/>
      <c r="L417" s="686"/>
      <c r="M417" s="686"/>
      <c r="N417" s="686"/>
      <c r="O417" s="686"/>
      <c r="P417" s="686"/>
      <c r="Q417" s="825"/>
      <c r="R417" s="686"/>
      <c r="S417" s="686"/>
      <c r="T417" s="686"/>
      <c r="U417" s="686"/>
      <c r="V417" s="686"/>
      <c r="W417" s="686"/>
      <c r="X417" s="686"/>
      <c r="Y417" s="825"/>
      <c r="Z417" s="686"/>
      <c r="AA417" s="686"/>
      <c r="AB417" s="686"/>
      <c r="AC417" s="686"/>
      <c r="AD417" s="686"/>
      <c r="AE417" s="686"/>
      <c r="AF417" s="686"/>
      <c r="AG417" s="825"/>
      <c r="AH417" s="686"/>
      <c r="AI417" s="686"/>
      <c r="AJ417" s="686"/>
      <c r="AK417" s="686"/>
      <c r="AL417" s="686"/>
      <c r="AM417" s="686"/>
      <c r="AN417" s="686"/>
      <c r="AO417" s="825"/>
      <c r="AP417" s="686"/>
      <c r="AQ417" s="686"/>
      <c r="AR417" s="686"/>
      <c r="AS417" s="686"/>
      <c r="AT417" s="686"/>
      <c r="AU417" s="686"/>
      <c r="AV417" s="686"/>
      <c r="AW417" s="686"/>
      <c r="AX417" s="686"/>
      <c r="AY417" s="686"/>
      <c r="AZ417" s="686"/>
      <c r="BA417" s="686"/>
      <c r="BB417" s="686"/>
      <c r="BC417" s="686"/>
      <c r="BD417" s="686"/>
      <c r="BE417" s="686"/>
      <c r="BF417" s="686"/>
      <c r="BG417" s="686"/>
      <c r="BH417" s="686"/>
    </row>
    <row r="418" spans="1:60" s="44" customFormat="1">
      <c r="A418" s="690"/>
      <c r="B418" s="690"/>
      <c r="C418" s="686"/>
      <c r="D418" s="686"/>
      <c r="E418" s="686"/>
      <c r="F418" s="686"/>
      <c r="G418" s="686"/>
      <c r="H418" s="686"/>
      <c r="I418" s="825"/>
      <c r="J418" s="686"/>
      <c r="K418" s="686"/>
      <c r="L418" s="686"/>
      <c r="M418" s="686"/>
      <c r="N418" s="686"/>
      <c r="O418" s="686"/>
      <c r="P418" s="686"/>
      <c r="Q418" s="825"/>
      <c r="R418" s="686"/>
      <c r="S418" s="686"/>
      <c r="T418" s="686"/>
      <c r="U418" s="686"/>
      <c r="V418" s="686"/>
      <c r="W418" s="686"/>
      <c r="X418" s="686"/>
      <c r="Y418" s="825"/>
      <c r="Z418" s="686"/>
      <c r="AA418" s="686"/>
      <c r="AB418" s="686"/>
      <c r="AC418" s="686"/>
      <c r="AD418" s="686"/>
      <c r="AE418" s="686"/>
      <c r="AF418" s="686"/>
      <c r="AG418" s="825"/>
      <c r="AH418" s="686"/>
      <c r="AI418" s="686"/>
      <c r="AJ418" s="686"/>
      <c r="AK418" s="686"/>
      <c r="AL418" s="686"/>
      <c r="AM418" s="686"/>
      <c r="AN418" s="686"/>
      <c r="AO418" s="825"/>
      <c r="AP418" s="686"/>
      <c r="AQ418" s="686"/>
      <c r="AR418" s="686"/>
      <c r="AS418" s="686"/>
      <c r="AT418" s="686"/>
      <c r="AU418" s="686"/>
      <c r="AV418" s="686"/>
      <c r="AW418" s="686"/>
      <c r="AX418" s="686"/>
      <c r="AY418" s="686"/>
      <c r="AZ418" s="686"/>
      <c r="BA418" s="686"/>
      <c r="BB418" s="686"/>
      <c r="BC418" s="686"/>
      <c r="BD418" s="686"/>
      <c r="BE418" s="686"/>
      <c r="BF418" s="686"/>
      <c r="BG418" s="686"/>
      <c r="BH418" s="686"/>
    </row>
    <row r="419" spans="1:60" s="44" customFormat="1">
      <c r="A419" s="690"/>
      <c r="B419" s="690"/>
      <c r="C419" s="686"/>
      <c r="D419" s="686"/>
      <c r="E419" s="686"/>
      <c r="F419" s="686"/>
      <c r="G419" s="686"/>
      <c r="H419" s="686"/>
      <c r="I419" s="825"/>
      <c r="J419" s="686"/>
      <c r="K419" s="686"/>
      <c r="L419" s="686"/>
      <c r="M419" s="686"/>
      <c r="N419" s="686"/>
      <c r="O419" s="686"/>
      <c r="P419" s="686"/>
      <c r="Q419" s="825"/>
      <c r="R419" s="686"/>
      <c r="S419" s="686"/>
      <c r="T419" s="686"/>
      <c r="U419" s="686"/>
      <c r="V419" s="686"/>
      <c r="W419" s="686"/>
      <c r="X419" s="686"/>
      <c r="Y419" s="825"/>
      <c r="Z419" s="686"/>
      <c r="AA419" s="686"/>
      <c r="AB419" s="686"/>
      <c r="AC419" s="686"/>
      <c r="AD419" s="686"/>
      <c r="AE419" s="686"/>
      <c r="AF419" s="686"/>
      <c r="AG419" s="825"/>
      <c r="AH419" s="686"/>
      <c r="AI419" s="686"/>
      <c r="AJ419" s="686"/>
      <c r="AK419" s="686"/>
      <c r="AL419" s="686"/>
      <c r="AM419" s="686"/>
      <c r="AN419" s="686"/>
      <c r="AO419" s="825"/>
      <c r="AP419" s="686"/>
      <c r="AQ419" s="686"/>
      <c r="AR419" s="686"/>
      <c r="AS419" s="686"/>
      <c r="AT419" s="686"/>
      <c r="AU419" s="686"/>
      <c r="AV419" s="686"/>
      <c r="AW419" s="686"/>
      <c r="AX419" s="686"/>
      <c r="AY419" s="686"/>
      <c r="AZ419" s="686"/>
      <c r="BA419" s="686"/>
      <c r="BB419" s="686"/>
      <c r="BC419" s="686"/>
      <c r="BD419" s="686"/>
      <c r="BE419" s="686"/>
      <c r="BF419" s="686"/>
      <c r="BG419" s="686"/>
      <c r="BH419" s="686"/>
    </row>
    <row r="420" spans="1:60" s="44" customFormat="1">
      <c r="A420" s="690"/>
      <c r="B420" s="690"/>
      <c r="C420" s="686"/>
      <c r="D420" s="686"/>
      <c r="E420" s="686"/>
      <c r="F420" s="686"/>
      <c r="G420" s="686"/>
      <c r="H420" s="686"/>
      <c r="I420" s="825"/>
      <c r="J420" s="686"/>
      <c r="K420" s="686"/>
      <c r="L420" s="686"/>
      <c r="M420" s="686"/>
      <c r="N420" s="686"/>
      <c r="O420" s="686"/>
      <c r="P420" s="686"/>
      <c r="Q420" s="825"/>
      <c r="R420" s="686"/>
      <c r="S420" s="686"/>
      <c r="T420" s="686"/>
      <c r="U420" s="686"/>
      <c r="V420" s="686"/>
      <c r="W420" s="686"/>
      <c r="X420" s="686"/>
      <c r="Y420" s="825"/>
      <c r="Z420" s="686"/>
      <c r="AA420" s="686"/>
      <c r="AB420" s="686"/>
      <c r="AC420" s="686"/>
      <c r="AD420" s="686"/>
      <c r="AE420" s="686"/>
      <c r="AF420" s="686"/>
      <c r="AG420" s="825"/>
      <c r="AH420" s="686"/>
      <c r="AI420" s="686"/>
      <c r="AJ420" s="686"/>
      <c r="AK420" s="686"/>
      <c r="AL420" s="686"/>
      <c r="AM420" s="686"/>
      <c r="AN420" s="686"/>
      <c r="AO420" s="825"/>
      <c r="AP420" s="686"/>
      <c r="AQ420" s="686"/>
      <c r="AR420" s="686"/>
      <c r="AS420" s="686"/>
      <c r="AT420" s="686"/>
      <c r="AU420" s="686"/>
      <c r="AV420" s="686"/>
      <c r="AW420" s="686"/>
      <c r="AX420" s="686"/>
      <c r="AY420" s="686"/>
      <c r="AZ420" s="686"/>
      <c r="BA420" s="686"/>
      <c r="BB420" s="686"/>
      <c r="BC420" s="686"/>
      <c r="BD420" s="686"/>
      <c r="BE420" s="686"/>
      <c r="BF420" s="686"/>
      <c r="BG420" s="686"/>
      <c r="BH420" s="686"/>
    </row>
    <row r="421" spans="1:60" s="44" customFormat="1">
      <c r="A421" s="690"/>
      <c r="B421" s="690"/>
      <c r="C421" s="686"/>
      <c r="D421" s="686"/>
      <c r="E421" s="686"/>
      <c r="F421" s="686"/>
      <c r="G421" s="686"/>
      <c r="H421" s="686"/>
      <c r="I421" s="825"/>
      <c r="J421" s="686"/>
      <c r="K421" s="686"/>
      <c r="L421" s="686"/>
      <c r="M421" s="686"/>
      <c r="N421" s="686"/>
      <c r="O421" s="686"/>
      <c r="P421" s="686"/>
      <c r="Q421" s="825"/>
      <c r="R421" s="686"/>
      <c r="S421" s="686"/>
      <c r="T421" s="686"/>
      <c r="U421" s="686"/>
      <c r="V421" s="686"/>
      <c r="W421" s="686"/>
      <c r="X421" s="686"/>
      <c r="Y421" s="825"/>
      <c r="Z421" s="686"/>
      <c r="AA421" s="686"/>
      <c r="AB421" s="686"/>
      <c r="AC421" s="686"/>
      <c r="AD421" s="686"/>
      <c r="AE421" s="686"/>
      <c r="AF421" s="686"/>
      <c r="AG421" s="825"/>
      <c r="AH421" s="686"/>
      <c r="AI421" s="686"/>
      <c r="AJ421" s="686"/>
      <c r="AK421" s="686"/>
      <c r="AL421" s="686"/>
      <c r="AM421" s="686"/>
      <c r="AN421" s="686"/>
      <c r="AO421" s="825"/>
      <c r="AP421" s="686"/>
      <c r="AQ421" s="686"/>
      <c r="AR421" s="686"/>
      <c r="AS421" s="686"/>
      <c r="AT421" s="686"/>
      <c r="AU421" s="686"/>
      <c r="AV421" s="686"/>
      <c r="AW421" s="686"/>
      <c r="AX421" s="686"/>
      <c r="AY421" s="686"/>
      <c r="AZ421" s="686"/>
      <c r="BA421" s="686"/>
      <c r="BB421" s="686"/>
      <c r="BC421" s="686"/>
      <c r="BD421" s="686"/>
      <c r="BE421" s="686"/>
      <c r="BF421" s="686"/>
      <c r="BG421" s="686"/>
      <c r="BH421" s="686"/>
    </row>
    <row r="422" spans="1:60" s="44" customFormat="1">
      <c r="A422" s="690"/>
      <c r="B422" s="690"/>
      <c r="C422" s="686"/>
      <c r="D422" s="686"/>
      <c r="E422" s="686"/>
      <c r="F422" s="686"/>
      <c r="G422" s="686"/>
      <c r="H422" s="686"/>
      <c r="I422" s="825"/>
      <c r="J422" s="686"/>
      <c r="K422" s="686"/>
      <c r="L422" s="686"/>
      <c r="M422" s="686"/>
      <c r="N422" s="686"/>
      <c r="O422" s="686"/>
      <c r="P422" s="686"/>
      <c r="Q422" s="825"/>
      <c r="R422" s="686"/>
      <c r="S422" s="686"/>
      <c r="T422" s="686"/>
      <c r="U422" s="686"/>
      <c r="V422" s="686"/>
      <c r="W422" s="686"/>
      <c r="X422" s="686"/>
      <c r="Y422" s="825"/>
      <c r="Z422" s="686"/>
      <c r="AA422" s="686"/>
      <c r="AB422" s="686"/>
      <c r="AC422" s="686"/>
      <c r="AD422" s="686"/>
      <c r="AE422" s="686"/>
      <c r="AF422" s="686"/>
      <c r="AG422" s="825"/>
      <c r="AH422" s="686"/>
      <c r="AI422" s="686"/>
      <c r="AJ422" s="686"/>
      <c r="AK422" s="686"/>
      <c r="AL422" s="686"/>
      <c r="AM422" s="686"/>
      <c r="AN422" s="686"/>
      <c r="AO422" s="825"/>
      <c r="AP422" s="686"/>
      <c r="AQ422" s="686"/>
      <c r="AR422" s="686"/>
      <c r="AS422" s="686"/>
      <c r="AT422" s="686"/>
      <c r="AU422" s="686"/>
      <c r="AV422" s="686"/>
      <c r="AW422" s="686"/>
      <c r="AX422" s="686"/>
      <c r="AY422" s="686"/>
      <c r="AZ422" s="686"/>
      <c r="BA422" s="686"/>
      <c r="BB422" s="686"/>
      <c r="BC422" s="686"/>
      <c r="BD422" s="686"/>
      <c r="BE422" s="686"/>
      <c r="BF422" s="686"/>
      <c r="BG422" s="686"/>
      <c r="BH422" s="686"/>
    </row>
    <row r="423" spans="1:60" s="44" customFormat="1">
      <c r="A423" s="690"/>
      <c r="B423" s="690"/>
      <c r="C423" s="686"/>
      <c r="D423" s="686"/>
      <c r="E423" s="686"/>
      <c r="F423" s="686"/>
      <c r="G423" s="686"/>
      <c r="H423" s="686"/>
      <c r="I423" s="825"/>
      <c r="J423" s="686"/>
      <c r="K423" s="686"/>
      <c r="L423" s="686"/>
      <c r="M423" s="686"/>
      <c r="N423" s="686"/>
      <c r="O423" s="686"/>
      <c r="P423" s="686"/>
      <c r="Q423" s="825"/>
      <c r="R423" s="686"/>
      <c r="S423" s="686"/>
      <c r="T423" s="686"/>
      <c r="U423" s="686"/>
      <c r="V423" s="686"/>
      <c r="W423" s="686"/>
      <c r="X423" s="686"/>
      <c r="Y423" s="825"/>
      <c r="Z423" s="686"/>
      <c r="AA423" s="686"/>
      <c r="AB423" s="686"/>
      <c r="AC423" s="686"/>
      <c r="AD423" s="686"/>
      <c r="AE423" s="686"/>
      <c r="AF423" s="686"/>
      <c r="AG423" s="825"/>
      <c r="AH423" s="686"/>
      <c r="AI423" s="686"/>
      <c r="AJ423" s="686"/>
      <c r="AK423" s="686"/>
      <c r="AL423" s="686"/>
      <c r="AM423" s="686"/>
      <c r="AN423" s="686"/>
      <c r="AO423" s="825"/>
      <c r="AP423" s="686"/>
      <c r="AQ423" s="686"/>
      <c r="AR423" s="686"/>
      <c r="AS423" s="686"/>
      <c r="AT423" s="686"/>
      <c r="AU423" s="686"/>
      <c r="AV423" s="686"/>
      <c r="AW423" s="686"/>
      <c r="AX423" s="686"/>
      <c r="AY423" s="686"/>
      <c r="AZ423" s="686"/>
      <c r="BA423" s="686"/>
      <c r="BB423" s="686"/>
      <c r="BC423" s="686"/>
      <c r="BD423" s="686"/>
      <c r="BE423" s="686"/>
      <c r="BF423" s="686"/>
      <c r="BG423" s="686"/>
      <c r="BH423" s="686"/>
    </row>
    <row r="424" spans="1:60" s="44" customFormat="1">
      <c r="A424" s="690"/>
      <c r="B424" s="690"/>
      <c r="C424" s="686"/>
      <c r="D424" s="686"/>
      <c r="E424" s="686"/>
      <c r="F424" s="686"/>
      <c r="G424" s="686"/>
      <c r="H424" s="686"/>
      <c r="I424" s="825"/>
      <c r="J424" s="686"/>
      <c r="K424" s="686"/>
      <c r="L424" s="686"/>
      <c r="M424" s="686"/>
      <c r="N424" s="686"/>
      <c r="O424" s="686"/>
      <c r="P424" s="686"/>
      <c r="Q424" s="825"/>
      <c r="R424" s="686"/>
      <c r="S424" s="686"/>
      <c r="T424" s="686"/>
      <c r="U424" s="686"/>
      <c r="V424" s="686"/>
      <c r="W424" s="686"/>
      <c r="X424" s="686"/>
      <c r="Y424" s="825"/>
      <c r="Z424" s="686"/>
      <c r="AA424" s="686"/>
      <c r="AB424" s="686"/>
      <c r="AC424" s="686"/>
      <c r="AD424" s="686"/>
      <c r="AE424" s="686"/>
      <c r="AF424" s="686"/>
      <c r="AG424" s="825"/>
      <c r="AH424" s="686"/>
      <c r="AI424" s="686"/>
      <c r="AJ424" s="686"/>
      <c r="AK424" s="686"/>
      <c r="AL424" s="686"/>
      <c r="AM424" s="686"/>
      <c r="AN424" s="686"/>
      <c r="AO424" s="825"/>
      <c r="AP424" s="686"/>
      <c r="AQ424" s="686"/>
      <c r="AR424" s="686"/>
      <c r="AS424" s="686"/>
      <c r="AT424" s="686"/>
      <c r="AU424" s="686"/>
      <c r="AV424" s="686"/>
      <c r="AW424" s="686"/>
      <c r="AX424" s="686"/>
      <c r="AY424" s="686"/>
      <c r="AZ424" s="686"/>
      <c r="BA424" s="686"/>
      <c r="BB424" s="686"/>
      <c r="BC424" s="686"/>
      <c r="BD424" s="686"/>
      <c r="BE424" s="686"/>
      <c r="BF424" s="686"/>
      <c r="BG424" s="686"/>
      <c r="BH424" s="686"/>
    </row>
    <row r="425" spans="1:60" s="44" customFormat="1">
      <c r="A425" s="690"/>
      <c r="B425" s="690"/>
      <c r="C425" s="686"/>
      <c r="D425" s="686"/>
      <c r="E425" s="686"/>
      <c r="F425" s="686"/>
      <c r="G425" s="686"/>
      <c r="H425" s="686"/>
      <c r="I425" s="825"/>
      <c r="J425" s="686"/>
      <c r="K425" s="686"/>
      <c r="L425" s="686"/>
      <c r="M425" s="686"/>
      <c r="N425" s="686"/>
      <c r="O425" s="686"/>
      <c r="P425" s="686"/>
      <c r="Q425" s="825"/>
      <c r="R425" s="686"/>
      <c r="S425" s="686"/>
      <c r="T425" s="686"/>
      <c r="U425" s="686"/>
      <c r="V425" s="686"/>
      <c r="W425" s="686"/>
      <c r="X425" s="686"/>
      <c r="Y425" s="825"/>
      <c r="Z425" s="686"/>
      <c r="AA425" s="686"/>
      <c r="AB425" s="686"/>
      <c r="AC425" s="686"/>
      <c r="AD425" s="686"/>
      <c r="AE425" s="686"/>
      <c r="AF425" s="686"/>
      <c r="AG425" s="825"/>
      <c r="AH425" s="686"/>
      <c r="AI425" s="686"/>
      <c r="AJ425" s="686"/>
      <c r="AK425" s="686"/>
      <c r="AL425" s="686"/>
      <c r="AM425" s="686"/>
      <c r="AN425" s="686"/>
      <c r="AO425" s="825"/>
      <c r="AP425" s="686"/>
      <c r="AQ425" s="686"/>
      <c r="AR425" s="686"/>
      <c r="AS425" s="686"/>
      <c r="AT425" s="686"/>
      <c r="AU425" s="686"/>
      <c r="AV425" s="686"/>
      <c r="AW425" s="686"/>
      <c r="AX425" s="686"/>
      <c r="AY425" s="686"/>
      <c r="AZ425" s="686"/>
      <c r="BA425" s="686"/>
      <c r="BB425" s="686"/>
      <c r="BC425" s="686"/>
      <c r="BD425" s="686"/>
      <c r="BE425" s="686"/>
      <c r="BF425" s="686"/>
      <c r="BG425" s="686"/>
      <c r="BH425" s="686"/>
    </row>
    <row r="426" spans="1:60" s="44" customFormat="1">
      <c r="A426" s="690"/>
      <c r="B426" s="690"/>
      <c r="C426" s="686"/>
      <c r="D426" s="686"/>
      <c r="E426" s="686"/>
      <c r="F426" s="686"/>
      <c r="G426" s="686"/>
      <c r="H426" s="686"/>
      <c r="I426" s="825"/>
      <c r="J426" s="686"/>
      <c r="K426" s="686"/>
      <c r="L426" s="686"/>
      <c r="M426" s="686"/>
      <c r="N426" s="686"/>
      <c r="O426" s="686"/>
      <c r="P426" s="686"/>
      <c r="Q426" s="825"/>
      <c r="R426" s="686"/>
      <c r="S426" s="686"/>
      <c r="T426" s="686"/>
      <c r="U426" s="686"/>
      <c r="V426" s="686"/>
      <c r="W426" s="686"/>
      <c r="X426" s="686"/>
      <c r="Y426" s="825"/>
      <c r="Z426" s="686"/>
      <c r="AA426" s="686"/>
      <c r="AB426" s="686"/>
      <c r="AC426" s="686"/>
      <c r="AD426" s="686"/>
      <c r="AE426" s="686"/>
      <c r="AF426" s="686"/>
      <c r="AG426" s="825"/>
      <c r="AH426" s="686"/>
      <c r="AI426" s="686"/>
      <c r="AJ426" s="686"/>
      <c r="AK426" s="686"/>
      <c r="AL426" s="686"/>
      <c r="AM426" s="686"/>
      <c r="AN426" s="686"/>
      <c r="AO426" s="825"/>
      <c r="AP426" s="686"/>
      <c r="AQ426" s="686"/>
      <c r="AR426" s="686"/>
      <c r="AS426" s="686"/>
      <c r="AT426" s="686"/>
      <c r="AU426" s="686"/>
      <c r="AV426" s="686"/>
      <c r="AW426" s="686"/>
      <c r="AX426" s="686"/>
      <c r="AY426" s="686"/>
      <c r="AZ426" s="686"/>
      <c r="BA426" s="686"/>
      <c r="BB426" s="686"/>
      <c r="BC426" s="686"/>
      <c r="BD426" s="686"/>
      <c r="BE426" s="686"/>
      <c r="BF426" s="686"/>
      <c r="BG426" s="686"/>
      <c r="BH426" s="686"/>
    </row>
    <row r="427" spans="1:60" s="44" customFormat="1">
      <c r="A427" s="690"/>
      <c r="B427" s="690"/>
      <c r="C427" s="686"/>
      <c r="D427" s="686"/>
      <c r="E427" s="686"/>
      <c r="F427" s="686"/>
      <c r="G427" s="686"/>
      <c r="H427" s="686"/>
      <c r="I427" s="825"/>
      <c r="J427" s="686"/>
      <c r="K427" s="686"/>
      <c r="L427" s="686"/>
      <c r="M427" s="686"/>
      <c r="N427" s="686"/>
      <c r="O427" s="686"/>
      <c r="P427" s="686"/>
      <c r="Q427" s="825"/>
      <c r="R427" s="686"/>
      <c r="S427" s="686"/>
      <c r="T427" s="686"/>
      <c r="U427" s="686"/>
      <c r="V427" s="686"/>
      <c r="W427" s="686"/>
      <c r="X427" s="686"/>
      <c r="Y427" s="825"/>
      <c r="Z427" s="686"/>
      <c r="AA427" s="686"/>
      <c r="AB427" s="686"/>
      <c r="AC427" s="686"/>
      <c r="AD427" s="686"/>
      <c r="AE427" s="686"/>
      <c r="AF427" s="686"/>
      <c r="AG427" s="825"/>
      <c r="AH427" s="686"/>
      <c r="AI427" s="686"/>
      <c r="AJ427" s="686"/>
      <c r="AK427" s="686"/>
      <c r="AL427" s="686"/>
      <c r="AM427" s="686"/>
      <c r="AN427" s="686"/>
      <c r="AO427" s="825"/>
      <c r="AP427" s="686"/>
      <c r="AQ427" s="686"/>
      <c r="AR427" s="686"/>
      <c r="AS427" s="686"/>
      <c r="AT427" s="686"/>
      <c r="AU427" s="686"/>
      <c r="AV427" s="686"/>
      <c r="AW427" s="686"/>
      <c r="AX427" s="686"/>
      <c r="AY427" s="686"/>
      <c r="AZ427" s="686"/>
      <c r="BA427" s="686"/>
      <c r="BB427" s="686"/>
      <c r="BC427" s="686"/>
      <c r="BD427" s="686"/>
      <c r="BE427" s="686"/>
      <c r="BF427" s="686"/>
      <c r="BG427" s="686"/>
      <c r="BH427" s="686"/>
    </row>
    <row r="428" spans="1:60" s="44" customFormat="1">
      <c r="A428" s="690"/>
      <c r="B428" s="690"/>
      <c r="C428" s="686"/>
      <c r="D428" s="686"/>
      <c r="E428" s="686"/>
      <c r="F428" s="686"/>
      <c r="G428" s="686"/>
      <c r="H428" s="686"/>
      <c r="I428" s="825"/>
      <c r="J428" s="686"/>
      <c r="K428" s="686"/>
      <c r="L428" s="686"/>
      <c r="M428" s="686"/>
      <c r="N428" s="686"/>
      <c r="O428" s="686"/>
      <c r="P428" s="686"/>
      <c r="Q428" s="825"/>
      <c r="R428" s="686"/>
      <c r="S428" s="686"/>
      <c r="T428" s="686"/>
      <c r="U428" s="686"/>
      <c r="V428" s="686"/>
      <c r="W428" s="686"/>
      <c r="X428" s="686"/>
      <c r="Y428" s="825"/>
      <c r="Z428" s="686"/>
      <c r="AA428" s="686"/>
      <c r="AB428" s="686"/>
      <c r="AC428" s="686"/>
      <c r="AD428" s="686"/>
      <c r="AE428" s="686"/>
      <c r="AF428" s="686"/>
      <c r="AG428" s="825"/>
      <c r="AH428" s="686"/>
      <c r="AI428" s="686"/>
      <c r="AJ428" s="686"/>
      <c r="AK428" s="686"/>
      <c r="AL428" s="686"/>
      <c r="AM428" s="686"/>
      <c r="AN428" s="686"/>
      <c r="AO428" s="825"/>
      <c r="AP428" s="686"/>
      <c r="AQ428" s="686"/>
      <c r="AR428" s="686"/>
      <c r="AS428" s="686"/>
      <c r="AT428" s="686"/>
      <c r="AU428" s="686"/>
      <c r="AV428" s="686"/>
      <c r="AW428" s="686"/>
      <c r="AX428" s="686"/>
      <c r="AY428" s="686"/>
      <c r="AZ428" s="686"/>
      <c r="BA428" s="686"/>
      <c r="BB428" s="686"/>
      <c r="BC428" s="686"/>
      <c r="BD428" s="686"/>
      <c r="BE428" s="686"/>
      <c r="BF428" s="686"/>
      <c r="BG428" s="686"/>
      <c r="BH428" s="686"/>
    </row>
    <row r="429" spans="1:60" s="44" customFormat="1">
      <c r="A429" s="690"/>
      <c r="B429" s="690"/>
      <c r="C429" s="686"/>
      <c r="D429" s="686"/>
      <c r="E429" s="686"/>
      <c r="F429" s="686"/>
      <c r="G429" s="686"/>
      <c r="H429" s="686"/>
      <c r="I429" s="825"/>
      <c r="J429" s="686"/>
      <c r="K429" s="686"/>
      <c r="L429" s="686"/>
      <c r="M429" s="686"/>
      <c r="N429" s="686"/>
      <c r="O429" s="686"/>
      <c r="P429" s="686"/>
      <c r="Q429" s="825"/>
      <c r="R429" s="686"/>
      <c r="S429" s="686"/>
      <c r="T429" s="686"/>
      <c r="U429" s="686"/>
      <c r="V429" s="686"/>
      <c r="W429" s="686"/>
      <c r="X429" s="686"/>
      <c r="Y429" s="825"/>
      <c r="Z429" s="686"/>
      <c r="AA429" s="686"/>
      <c r="AB429" s="686"/>
      <c r="AC429" s="686"/>
      <c r="AD429" s="686"/>
      <c r="AE429" s="686"/>
      <c r="AF429" s="686"/>
      <c r="AG429" s="825"/>
      <c r="AH429" s="686"/>
      <c r="AI429" s="686"/>
      <c r="AJ429" s="686"/>
      <c r="AK429" s="686"/>
      <c r="AL429" s="686"/>
      <c r="AM429" s="686"/>
      <c r="AN429" s="686"/>
      <c r="AO429" s="825"/>
      <c r="AP429" s="686"/>
      <c r="AQ429" s="686"/>
      <c r="AR429" s="686"/>
      <c r="AS429" s="686"/>
      <c r="AT429" s="686"/>
      <c r="AU429" s="686"/>
      <c r="AV429" s="686"/>
      <c r="AW429" s="686"/>
      <c r="AX429" s="686"/>
      <c r="AY429" s="686"/>
      <c r="AZ429" s="686"/>
      <c r="BA429" s="686"/>
      <c r="BB429" s="686"/>
      <c r="BC429" s="686"/>
      <c r="BD429" s="686"/>
      <c r="BE429" s="686"/>
      <c r="BF429" s="686"/>
      <c r="BG429" s="686"/>
      <c r="BH429" s="686"/>
    </row>
    <row r="430" spans="1:60" s="44" customFormat="1">
      <c r="A430" s="690"/>
      <c r="B430" s="690"/>
      <c r="C430" s="686"/>
      <c r="D430" s="686"/>
      <c r="E430" s="686"/>
      <c r="F430" s="686"/>
      <c r="G430" s="686"/>
      <c r="H430" s="686"/>
      <c r="I430" s="825"/>
      <c r="J430" s="686"/>
      <c r="K430" s="686"/>
      <c r="L430" s="686"/>
      <c r="M430" s="686"/>
      <c r="N430" s="686"/>
      <c r="O430" s="686"/>
      <c r="P430" s="686"/>
      <c r="Q430" s="825"/>
      <c r="R430" s="686"/>
      <c r="S430" s="686"/>
      <c r="T430" s="686"/>
      <c r="U430" s="686"/>
      <c r="V430" s="686"/>
      <c r="W430" s="686"/>
      <c r="X430" s="686"/>
      <c r="Y430" s="825"/>
      <c r="Z430" s="686"/>
      <c r="AA430" s="686"/>
      <c r="AB430" s="686"/>
      <c r="AC430" s="686"/>
      <c r="AD430" s="686"/>
      <c r="AE430" s="686"/>
      <c r="AF430" s="686"/>
      <c r="AG430" s="825"/>
      <c r="AH430" s="686"/>
      <c r="AI430" s="686"/>
      <c r="AJ430" s="686"/>
      <c r="AK430" s="686"/>
      <c r="AL430" s="686"/>
      <c r="AM430" s="686"/>
      <c r="AN430" s="686"/>
      <c r="AO430" s="825"/>
      <c r="AP430" s="686"/>
      <c r="AQ430" s="686"/>
      <c r="AR430" s="686"/>
      <c r="AS430" s="686"/>
      <c r="AT430" s="686"/>
      <c r="AU430" s="686"/>
      <c r="AV430" s="686"/>
      <c r="AW430" s="686"/>
      <c r="AX430" s="686"/>
      <c r="AY430" s="686"/>
      <c r="AZ430" s="686"/>
      <c r="BA430" s="686"/>
      <c r="BB430" s="686"/>
      <c r="BC430" s="686"/>
      <c r="BD430" s="686"/>
      <c r="BE430" s="686"/>
      <c r="BF430" s="686"/>
      <c r="BG430" s="686"/>
      <c r="BH430" s="686"/>
    </row>
    <row r="431" spans="1:60" s="44" customFormat="1">
      <c r="A431" s="690"/>
      <c r="B431" s="690"/>
      <c r="C431" s="686"/>
      <c r="D431" s="686"/>
      <c r="E431" s="686"/>
      <c r="F431" s="686"/>
      <c r="G431" s="686"/>
      <c r="H431" s="686"/>
      <c r="I431" s="825"/>
      <c r="J431" s="686"/>
      <c r="K431" s="686"/>
      <c r="L431" s="686"/>
      <c r="M431" s="686"/>
      <c r="N431" s="686"/>
      <c r="O431" s="686"/>
      <c r="P431" s="686"/>
      <c r="Q431" s="825"/>
      <c r="R431" s="686"/>
      <c r="S431" s="686"/>
      <c r="T431" s="686"/>
      <c r="U431" s="686"/>
      <c r="V431" s="686"/>
      <c r="W431" s="686"/>
      <c r="X431" s="686"/>
      <c r="Y431" s="825"/>
      <c r="Z431" s="686"/>
      <c r="AA431" s="686"/>
      <c r="AB431" s="686"/>
      <c r="AC431" s="686"/>
      <c r="AD431" s="686"/>
      <c r="AE431" s="686"/>
      <c r="AF431" s="686"/>
      <c r="AG431" s="825"/>
      <c r="AH431" s="686"/>
      <c r="AI431" s="686"/>
      <c r="AJ431" s="686"/>
      <c r="AK431" s="686"/>
      <c r="AL431" s="686"/>
      <c r="AM431" s="686"/>
      <c r="AN431" s="686"/>
      <c r="AO431" s="825"/>
      <c r="AP431" s="686"/>
      <c r="AQ431" s="686"/>
      <c r="AR431" s="686"/>
      <c r="AS431" s="686"/>
      <c r="AT431" s="686"/>
      <c r="AU431" s="686"/>
      <c r="AV431" s="686"/>
      <c r="AW431" s="686"/>
      <c r="AX431" s="686"/>
      <c r="AY431" s="686"/>
      <c r="AZ431" s="686"/>
      <c r="BA431" s="686"/>
      <c r="BB431" s="686"/>
      <c r="BC431" s="686"/>
      <c r="BD431" s="686"/>
      <c r="BE431" s="686"/>
      <c r="BF431" s="686"/>
      <c r="BG431" s="686"/>
      <c r="BH431" s="686"/>
    </row>
    <row r="432" spans="1:60" s="44" customFormat="1">
      <c r="A432" s="690"/>
      <c r="B432" s="690"/>
      <c r="C432" s="686"/>
      <c r="D432" s="686"/>
      <c r="E432" s="686"/>
      <c r="F432" s="686"/>
      <c r="G432" s="686"/>
      <c r="H432" s="686"/>
      <c r="I432" s="825"/>
      <c r="J432" s="686"/>
      <c r="K432" s="686"/>
      <c r="L432" s="686"/>
      <c r="M432" s="686"/>
      <c r="N432" s="686"/>
      <c r="O432" s="686"/>
      <c r="P432" s="686"/>
      <c r="Q432" s="825"/>
      <c r="R432" s="686"/>
      <c r="S432" s="686"/>
      <c r="T432" s="686"/>
      <c r="U432" s="686"/>
      <c r="V432" s="686"/>
      <c r="W432" s="686"/>
      <c r="X432" s="686"/>
      <c r="Y432" s="825"/>
      <c r="Z432" s="686"/>
      <c r="AA432" s="686"/>
      <c r="AB432" s="686"/>
      <c r="AC432" s="686"/>
      <c r="AD432" s="686"/>
      <c r="AE432" s="686"/>
      <c r="AF432" s="686"/>
      <c r="AG432" s="825"/>
      <c r="AH432" s="686"/>
      <c r="AI432" s="686"/>
      <c r="AJ432" s="686"/>
      <c r="AK432" s="686"/>
      <c r="AL432" s="686"/>
      <c r="AM432" s="686"/>
      <c r="AN432" s="686"/>
      <c r="AO432" s="825"/>
      <c r="AP432" s="686"/>
      <c r="AQ432" s="686"/>
      <c r="AR432" s="686"/>
      <c r="AS432" s="686"/>
      <c r="AT432" s="686"/>
      <c r="AU432" s="686"/>
      <c r="AV432" s="686"/>
      <c r="AW432" s="686"/>
      <c r="AX432" s="686"/>
      <c r="AY432" s="686"/>
      <c r="AZ432" s="686"/>
      <c r="BA432" s="686"/>
      <c r="BB432" s="686"/>
      <c r="BC432" s="686"/>
      <c r="BD432" s="686"/>
      <c r="BE432" s="686"/>
      <c r="BF432" s="686"/>
      <c r="BG432" s="686"/>
      <c r="BH432" s="686"/>
    </row>
    <row r="433" spans="1:60" s="44" customFormat="1">
      <c r="A433" s="690"/>
      <c r="B433" s="690"/>
      <c r="C433" s="686"/>
      <c r="D433" s="686"/>
      <c r="E433" s="686"/>
      <c r="F433" s="686"/>
      <c r="G433" s="686"/>
      <c r="H433" s="686"/>
      <c r="I433" s="825"/>
      <c r="J433" s="686"/>
      <c r="K433" s="686"/>
      <c r="L433" s="686"/>
      <c r="M433" s="686"/>
      <c r="N433" s="686"/>
      <c r="O433" s="686"/>
      <c r="P433" s="686"/>
      <c r="Q433" s="825"/>
      <c r="R433" s="686"/>
      <c r="S433" s="686"/>
      <c r="T433" s="686"/>
      <c r="U433" s="686"/>
      <c r="V433" s="686"/>
      <c r="W433" s="686"/>
      <c r="X433" s="686"/>
      <c r="Y433" s="825"/>
      <c r="Z433" s="686"/>
      <c r="AA433" s="686"/>
      <c r="AB433" s="686"/>
      <c r="AC433" s="686"/>
      <c r="AD433" s="686"/>
      <c r="AE433" s="686"/>
      <c r="AF433" s="686"/>
      <c r="AG433" s="825"/>
      <c r="AH433" s="686"/>
      <c r="AI433" s="686"/>
      <c r="AJ433" s="686"/>
      <c r="AK433" s="686"/>
      <c r="AL433" s="686"/>
      <c r="AM433" s="686"/>
      <c r="AN433" s="686"/>
      <c r="AO433" s="825"/>
      <c r="AP433" s="686"/>
      <c r="AQ433" s="686"/>
      <c r="AR433" s="686"/>
      <c r="AS433" s="686"/>
      <c r="AT433" s="686"/>
      <c r="AU433" s="686"/>
      <c r="AV433" s="686"/>
      <c r="AW433" s="686"/>
      <c r="AX433" s="686"/>
      <c r="AY433" s="686"/>
      <c r="AZ433" s="686"/>
      <c r="BA433" s="686"/>
      <c r="BB433" s="686"/>
      <c r="BC433" s="686"/>
      <c r="BD433" s="686"/>
      <c r="BE433" s="686"/>
      <c r="BF433" s="686"/>
      <c r="BG433" s="686"/>
      <c r="BH433" s="686"/>
    </row>
    <row r="434" spans="1:60" s="44" customFormat="1">
      <c r="A434" s="690"/>
      <c r="B434" s="690"/>
      <c r="C434" s="686"/>
      <c r="D434" s="686"/>
      <c r="E434" s="686"/>
      <c r="F434" s="686"/>
      <c r="G434" s="686"/>
      <c r="H434" s="686"/>
      <c r="I434" s="825"/>
      <c r="J434" s="686"/>
      <c r="K434" s="686"/>
      <c r="L434" s="686"/>
      <c r="M434" s="686"/>
      <c r="N434" s="686"/>
      <c r="O434" s="686"/>
      <c r="P434" s="686"/>
      <c r="Q434" s="825"/>
      <c r="R434" s="686"/>
      <c r="S434" s="686"/>
      <c r="T434" s="686"/>
      <c r="U434" s="686"/>
      <c r="V434" s="686"/>
      <c r="W434" s="686"/>
      <c r="X434" s="686"/>
      <c r="Y434" s="825"/>
      <c r="Z434" s="686"/>
      <c r="AA434" s="686"/>
      <c r="AB434" s="686"/>
      <c r="AC434" s="686"/>
      <c r="AD434" s="686"/>
      <c r="AE434" s="686"/>
      <c r="AF434" s="686"/>
      <c r="AG434" s="825"/>
      <c r="AH434" s="686"/>
      <c r="AI434" s="686"/>
      <c r="AJ434" s="686"/>
      <c r="AK434" s="686"/>
      <c r="AL434" s="686"/>
      <c r="AM434" s="686"/>
      <c r="AN434" s="686"/>
      <c r="AO434" s="825"/>
      <c r="AP434" s="686"/>
      <c r="AQ434" s="686"/>
      <c r="AR434" s="686"/>
      <c r="AS434" s="686"/>
      <c r="AT434" s="686"/>
      <c r="AU434" s="686"/>
      <c r="AV434" s="686"/>
      <c r="AW434" s="686"/>
      <c r="AX434" s="686"/>
      <c r="AY434" s="686"/>
      <c r="AZ434" s="686"/>
      <c r="BA434" s="686"/>
      <c r="BB434" s="686"/>
      <c r="BC434" s="686"/>
      <c r="BD434" s="686"/>
      <c r="BE434" s="686"/>
      <c r="BF434" s="686"/>
      <c r="BG434" s="686"/>
      <c r="BH434" s="686"/>
    </row>
    <row r="435" spans="1:60" s="44" customFormat="1">
      <c r="A435" s="690"/>
      <c r="B435" s="690"/>
      <c r="C435" s="686"/>
      <c r="D435" s="686"/>
      <c r="E435" s="686"/>
      <c r="F435" s="686"/>
      <c r="G435" s="686"/>
      <c r="H435" s="686"/>
      <c r="I435" s="825"/>
      <c r="J435" s="686"/>
      <c r="K435" s="686"/>
      <c r="L435" s="686"/>
      <c r="M435" s="686"/>
      <c r="N435" s="686"/>
      <c r="O435" s="686"/>
      <c r="P435" s="686"/>
      <c r="Q435" s="825"/>
      <c r="R435" s="686"/>
      <c r="S435" s="686"/>
      <c r="T435" s="686"/>
      <c r="U435" s="686"/>
      <c r="V435" s="686"/>
      <c r="W435" s="686"/>
      <c r="X435" s="686"/>
      <c r="Y435" s="825"/>
      <c r="Z435" s="686"/>
      <c r="AA435" s="686"/>
      <c r="AB435" s="686"/>
      <c r="AC435" s="686"/>
      <c r="AD435" s="686"/>
      <c r="AE435" s="686"/>
      <c r="AF435" s="686"/>
      <c r="AG435" s="825"/>
      <c r="AH435" s="686"/>
      <c r="AI435" s="686"/>
      <c r="AJ435" s="686"/>
      <c r="AK435" s="686"/>
      <c r="AL435" s="686"/>
      <c r="AM435" s="686"/>
      <c r="AN435" s="686"/>
      <c r="AO435" s="825"/>
      <c r="AP435" s="686"/>
      <c r="AQ435" s="686"/>
      <c r="AR435" s="686"/>
      <c r="AS435" s="686"/>
      <c r="AT435" s="686"/>
      <c r="AU435" s="686"/>
      <c r="AV435" s="686"/>
      <c r="AW435" s="686"/>
      <c r="AX435" s="686"/>
      <c r="AY435" s="686"/>
      <c r="AZ435" s="686"/>
      <c r="BA435" s="686"/>
      <c r="BB435" s="686"/>
      <c r="BC435" s="686"/>
      <c r="BD435" s="686"/>
      <c r="BE435" s="686"/>
      <c r="BF435" s="686"/>
      <c r="BG435" s="686"/>
      <c r="BH435" s="686"/>
    </row>
    <row r="436" spans="1:60" s="44" customFormat="1">
      <c r="A436" s="690"/>
      <c r="B436" s="690"/>
      <c r="C436" s="686"/>
      <c r="D436" s="686"/>
      <c r="E436" s="686"/>
      <c r="F436" s="686"/>
      <c r="G436" s="686"/>
      <c r="H436" s="686"/>
      <c r="I436" s="825"/>
      <c r="J436" s="686"/>
      <c r="K436" s="686"/>
      <c r="L436" s="686"/>
      <c r="M436" s="686"/>
      <c r="N436" s="686"/>
      <c r="O436" s="686"/>
      <c r="P436" s="686"/>
      <c r="Q436" s="825"/>
      <c r="R436" s="686"/>
      <c r="S436" s="686"/>
      <c r="T436" s="686"/>
      <c r="U436" s="686"/>
      <c r="V436" s="686"/>
      <c r="W436" s="686"/>
      <c r="X436" s="686"/>
      <c r="Y436" s="825"/>
      <c r="Z436" s="686"/>
      <c r="AA436" s="686"/>
      <c r="AB436" s="686"/>
      <c r="AC436" s="686"/>
      <c r="AD436" s="686"/>
      <c r="AE436" s="686"/>
      <c r="AF436" s="686"/>
      <c r="AG436" s="825"/>
      <c r="AH436" s="686"/>
      <c r="AI436" s="686"/>
      <c r="AJ436" s="686"/>
      <c r="AK436" s="686"/>
      <c r="AL436" s="686"/>
      <c r="AM436" s="686"/>
      <c r="AN436" s="686"/>
      <c r="AO436" s="825"/>
      <c r="AP436" s="686"/>
      <c r="AQ436" s="686"/>
      <c r="AR436" s="686"/>
      <c r="AS436" s="686"/>
      <c r="AT436" s="686"/>
      <c r="AU436" s="686"/>
      <c r="AV436" s="686"/>
      <c r="AW436" s="686"/>
      <c r="AX436" s="686"/>
      <c r="AY436" s="686"/>
      <c r="AZ436" s="686"/>
      <c r="BA436" s="686"/>
      <c r="BB436" s="686"/>
      <c r="BC436" s="686"/>
      <c r="BD436" s="686"/>
      <c r="BE436" s="686"/>
      <c r="BF436" s="686"/>
      <c r="BG436" s="686"/>
      <c r="BH436" s="686"/>
    </row>
    <row r="437" spans="1:60" s="44" customFormat="1">
      <c r="A437" s="690"/>
      <c r="B437" s="690"/>
      <c r="C437" s="686"/>
      <c r="D437" s="686"/>
      <c r="E437" s="686"/>
      <c r="F437" s="686"/>
      <c r="G437" s="686"/>
      <c r="H437" s="686"/>
      <c r="I437" s="825"/>
      <c r="J437" s="686"/>
      <c r="K437" s="686"/>
      <c r="L437" s="686"/>
      <c r="M437" s="686"/>
      <c r="N437" s="686"/>
      <c r="O437" s="686"/>
      <c r="P437" s="686"/>
      <c r="Q437" s="825"/>
      <c r="R437" s="686"/>
      <c r="S437" s="686"/>
      <c r="T437" s="686"/>
      <c r="U437" s="686"/>
      <c r="V437" s="686"/>
      <c r="W437" s="686"/>
      <c r="X437" s="686"/>
      <c r="Y437" s="825"/>
      <c r="Z437" s="686"/>
      <c r="AA437" s="686"/>
      <c r="AB437" s="686"/>
      <c r="AC437" s="686"/>
      <c r="AD437" s="686"/>
      <c r="AE437" s="686"/>
      <c r="AF437" s="686"/>
      <c r="AG437" s="825"/>
      <c r="AH437" s="686"/>
      <c r="AI437" s="686"/>
      <c r="AJ437" s="686"/>
      <c r="AK437" s="686"/>
      <c r="AL437" s="686"/>
      <c r="AM437" s="686"/>
      <c r="AN437" s="686"/>
      <c r="AO437" s="825"/>
      <c r="AP437" s="686"/>
      <c r="AQ437" s="686"/>
      <c r="AR437" s="686"/>
      <c r="AS437" s="686"/>
      <c r="AT437" s="686"/>
      <c r="AU437" s="686"/>
      <c r="AV437" s="686"/>
      <c r="AW437" s="686"/>
      <c r="AX437" s="686"/>
      <c r="AY437" s="686"/>
      <c r="AZ437" s="686"/>
      <c r="BA437" s="686"/>
      <c r="BB437" s="686"/>
      <c r="BC437" s="686"/>
      <c r="BD437" s="686"/>
      <c r="BE437" s="686"/>
      <c r="BF437" s="686"/>
      <c r="BG437" s="686"/>
      <c r="BH437" s="686"/>
    </row>
    <row r="438" spans="1:60" s="44" customFormat="1">
      <c r="A438" s="690"/>
      <c r="B438" s="690"/>
      <c r="C438" s="686"/>
      <c r="D438" s="686"/>
      <c r="E438" s="686"/>
      <c r="F438" s="686"/>
      <c r="G438" s="686"/>
      <c r="H438" s="686"/>
      <c r="I438" s="825"/>
      <c r="J438" s="686"/>
      <c r="K438" s="686"/>
      <c r="L438" s="686"/>
      <c r="M438" s="686"/>
      <c r="N438" s="686"/>
      <c r="O438" s="686"/>
      <c r="P438" s="686"/>
      <c r="Q438" s="825"/>
      <c r="R438" s="686"/>
      <c r="S438" s="686"/>
      <c r="T438" s="686"/>
      <c r="U438" s="686"/>
      <c r="V438" s="686"/>
      <c r="W438" s="686"/>
      <c r="X438" s="686"/>
      <c r="Y438" s="825"/>
      <c r="Z438" s="686"/>
      <c r="AA438" s="686"/>
      <c r="AB438" s="686"/>
      <c r="AC438" s="686"/>
      <c r="AD438" s="686"/>
      <c r="AE438" s="686"/>
      <c r="AF438" s="686"/>
      <c r="AG438" s="825"/>
      <c r="AH438" s="686"/>
      <c r="AI438" s="686"/>
      <c r="AJ438" s="686"/>
      <c r="AK438" s="686"/>
      <c r="AL438" s="686"/>
      <c r="AM438" s="686"/>
      <c r="AN438" s="686"/>
      <c r="AO438" s="825"/>
      <c r="AP438" s="686"/>
      <c r="AQ438" s="686"/>
      <c r="AR438" s="686"/>
      <c r="AS438" s="686"/>
      <c r="AT438" s="686"/>
      <c r="AU438" s="686"/>
      <c r="AV438" s="686"/>
      <c r="AW438" s="686"/>
      <c r="AX438" s="686"/>
      <c r="AY438" s="686"/>
      <c r="AZ438" s="686"/>
      <c r="BA438" s="686"/>
      <c r="BB438" s="686"/>
      <c r="BC438" s="686"/>
      <c r="BD438" s="686"/>
      <c r="BE438" s="686"/>
      <c r="BF438" s="686"/>
      <c r="BG438" s="686"/>
      <c r="BH438" s="686"/>
    </row>
    <row r="439" spans="1:60" s="44" customFormat="1">
      <c r="A439" s="690"/>
      <c r="B439" s="690"/>
      <c r="C439" s="686"/>
      <c r="D439" s="686"/>
      <c r="E439" s="686"/>
      <c r="F439" s="686"/>
      <c r="G439" s="686"/>
      <c r="H439" s="686"/>
      <c r="I439" s="825"/>
      <c r="J439" s="686"/>
      <c r="K439" s="686"/>
      <c r="L439" s="686"/>
      <c r="M439" s="686"/>
      <c r="N439" s="686"/>
      <c r="O439" s="686"/>
      <c r="P439" s="686"/>
      <c r="Q439" s="825"/>
      <c r="R439" s="686"/>
      <c r="S439" s="686"/>
      <c r="T439" s="686"/>
      <c r="U439" s="686"/>
      <c r="V439" s="686"/>
      <c r="W439" s="686"/>
      <c r="X439" s="686"/>
      <c r="Y439" s="825"/>
      <c r="Z439" s="686"/>
      <c r="AA439" s="686"/>
      <c r="AB439" s="686"/>
      <c r="AC439" s="686"/>
      <c r="AD439" s="686"/>
      <c r="AE439" s="686"/>
      <c r="AF439" s="686"/>
      <c r="AG439" s="825"/>
      <c r="AH439" s="686"/>
      <c r="AI439" s="686"/>
      <c r="AJ439" s="686"/>
      <c r="AK439" s="686"/>
      <c r="AL439" s="686"/>
      <c r="AM439" s="686"/>
      <c r="AN439" s="686"/>
      <c r="AO439" s="825"/>
      <c r="AP439" s="686"/>
      <c r="AQ439" s="686"/>
      <c r="AR439" s="686"/>
      <c r="AS439" s="686"/>
      <c r="AT439" s="686"/>
      <c r="AU439" s="686"/>
      <c r="AV439" s="686"/>
      <c r="AW439" s="686"/>
      <c r="AX439" s="686"/>
      <c r="AY439" s="686"/>
      <c r="AZ439" s="686"/>
      <c r="BA439" s="686"/>
      <c r="BB439" s="686"/>
      <c r="BC439" s="686"/>
      <c r="BD439" s="686"/>
      <c r="BE439" s="686"/>
      <c r="BF439" s="686"/>
      <c r="BG439" s="686"/>
      <c r="BH439" s="686"/>
    </row>
    <row r="440" spans="1:60" s="44" customFormat="1">
      <c r="A440" s="690"/>
      <c r="B440" s="690"/>
      <c r="C440" s="686"/>
      <c r="D440" s="686"/>
      <c r="E440" s="686"/>
      <c r="F440" s="686"/>
      <c r="G440" s="686"/>
      <c r="H440" s="686"/>
      <c r="I440" s="825"/>
      <c r="J440" s="686"/>
      <c r="K440" s="686"/>
      <c r="L440" s="686"/>
      <c r="M440" s="686"/>
      <c r="N440" s="686"/>
      <c r="O440" s="686"/>
      <c r="P440" s="686"/>
      <c r="Q440" s="825"/>
      <c r="R440" s="686"/>
      <c r="S440" s="686"/>
      <c r="T440" s="686"/>
      <c r="U440" s="686"/>
      <c r="V440" s="686"/>
      <c r="W440" s="686"/>
      <c r="X440" s="686"/>
      <c r="Y440" s="825"/>
      <c r="Z440" s="686"/>
      <c r="AA440" s="686"/>
      <c r="AB440" s="686"/>
      <c r="AC440" s="686"/>
      <c r="AD440" s="686"/>
      <c r="AE440" s="686"/>
      <c r="AF440" s="686"/>
      <c r="AG440" s="825"/>
      <c r="AH440" s="686"/>
      <c r="AI440" s="686"/>
      <c r="AJ440" s="686"/>
      <c r="AK440" s="686"/>
      <c r="AL440" s="686"/>
      <c r="AM440" s="686"/>
      <c r="AN440" s="686"/>
      <c r="AO440" s="825"/>
      <c r="AP440" s="686"/>
      <c r="AQ440" s="686"/>
      <c r="AR440" s="686"/>
      <c r="AS440" s="686"/>
      <c r="AT440" s="686"/>
      <c r="AU440" s="686"/>
      <c r="AV440" s="686"/>
      <c r="AW440" s="686"/>
      <c r="AX440" s="686"/>
      <c r="AY440" s="686"/>
      <c r="AZ440" s="686"/>
      <c r="BA440" s="686"/>
      <c r="BB440" s="686"/>
      <c r="BC440" s="686"/>
      <c r="BD440" s="686"/>
      <c r="BE440" s="686"/>
      <c r="BF440" s="686"/>
      <c r="BG440" s="686"/>
      <c r="BH440" s="686"/>
    </row>
    <row r="441" spans="1:60" s="44" customFormat="1">
      <c r="A441" s="690"/>
      <c r="B441" s="690"/>
      <c r="C441" s="686"/>
      <c r="D441" s="686"/>
      <c r="E441" s="686"/>
      <c r="F441" s="686"/>
      <c r="G441" s="686"/>
      <c r="H441" s="686"/>
      <c r="I441" s="825"/>
      <c r="J441" s="686"/>
      <c r="K441" s="686"/>
      <c r="L441" s="686"/>
      <c r="M441" s="686"/>
      <c r="N441" s="686"/>
      <c r="O441" s="686"/>
      <c r="P441" s="686"/>
      <c r="Q441" s="825"/>
      <c r="R441" s="686"/>
      <c r="S441" s="686"/>
      <c r="T441" s="686"/>
      <c r="U441" s="686"/>
      <c r="V441" s="686"/>
      <c r="W441" s="686"/>
      <c r="X441" s="686"/>
      <c r="Y441" s="825"/>
      <c r="Z441" s="686"/>
      <c r="AA441" s="686"/>
      <c r="AB441" s="686"/>
      <c r="AC441" s="686"/>
      <c r="AD441" s="686"/>
      <c r="AE441" s="686"/>
      <c r="AF441" s="686"/>
      <c r="AG441" s="825"/>
      <c r="AH441" s="686"/>
      <c r="AI441" s="686"/>
      <c r="AJ441" s="686"/>
      <c r="AK441" s="686"/>
      <c r="AL441" s="686"/>
      <c r="AM441" s="686"/>
      <c r="AN441" s="686"/>
      <c r="AO441" s="825"/>
      <c r="AP441" s="686"/>
      <c r="AQ441" s="686"/>
      <c r="AR441" s="686"/>
      <c r="AS441" s="686"/>
      <c r="AT441" s="686"/>
      <c r="AU441" s="686"/>
      <c r="AV441" s="686"/>
      <c r="AW441" s="686"/>
      <c r="AX441" s="686"/>
      <c r="AY441" s="686"/>
      <c r="AZ441" s="686"/>
      <c r="BA441" s="686"/>
      <c r="BB441" s="686"/>
      <c r="BC441" s="686"/>
      <c r="BD441" s="686"/>
      <c r="BE441" s="686"/>
      <c r="BF441" s="686"/>
      <c r="BG441" s="686"/>
      <c r="BH441" s="686"/>
    </row>
    <row r="442" spans="1:60" s="44" customFormat="1">
      <c r="A442" s="690"/>
      <c r="B442" s="690"/>
      <c r="C442" s="686"/>
      <c r="D442" s="686"/>
      <c r="E442" s="686"/>
      <c r="F442" s="686"/>
      <c r="G442" s="686"/>
      <c r="H442" s="686"/>
      <c r="I442" s="825"/>
      <c r="J442" s="686"/>
      <c r="K442" s="686"/>
      <c r="L442" s="686"/>
      <c r="M442" s="686"/>
      <c r="N442" s="686"/>
      <c r="O442" s="686"/>
      <c r="P442" s="686"/>
      <c r="Q442" s="825"/>
      <c r="R442" s="686"/>
      <c r="S442" s="686"/>
      <c r="T442" s="686"/>
      <c r="U442" s="686"/>
      <c r="V442" s="686"/>
      <c r="W442" s="686"/>
      <c r="X442" s="686"/>
      <c r="Y442" s="825"/>
      <c r="Z442" s="686"/>
      <c r="AA442" s="686"/>
      <c r="AB442" s="686"/>
      <c r="AC442" s="686"/>
      <c r="AD442" s="686"/>
      <c r="AE442" s="686"/>
      <c r="AF442" s="686"/>
      <c r="AG442" s="825"/>
      <c r="AH442" s="686"/>
      <c r="AI442" s="686"/>
      <c r="AJ442" s="686"/>
      <c r="AK442" s="686"/>
      <c r="AL442" s="686"/>
      <c r="AM442" s="686"/>
      <c r="AN442" s="686"/>
      <c r="AO442" s="825"/>
      <c r="AP442" s="686"/>
      <c r="AQ442" s="686"/>
      <c r="AR442" s="686"/>
      <c r="AS442" s="686"/>
      <c r="AT442" s="686"/>
      <c r="AU442" s="686"/>
      <c r="AV442" s="686"/>
      <c r="AW442" s="686"/>
      <c r="AX442" s="686"/>
      <c r="AY442" s="686"/>
      <c r="AZ442" s="686"/>
      <c r="BA442" s="686"/>
      <c r="BB442" s="686"/>
      <c r="BC442" s="686"/>
      <c r="BD442" s="686"/>
      <c r="BE442" s="686"/>
      <c r="BF442" s="686"/>
      <c r="BG442" s="686"/>
      <c r="BH442" s="686"/>
    </row>
    <row r="443" spans="1:60" s="44" customFormat="1">
      <c r="A443" s="690"/>
      <c r="B443" s="690"/>
      <c r="C443" s="686"/>
      <c r="D443" s="686"/>
      <c r="E443" s="686"/>
      <c r="F443" s="686"/>
      <c r="G443" s="686"/>
      <c r="H443" s="686"/>
      <c r="I443" s="825"/>
      <c r="J443" s="686"/>
      <c r="K443" s="686"/>
      <c r="L443" s="686"/>
      <c r="M443" s="686"/>
      <c r="N443" s="686"/>
      <c r="O443" s="686"/>
      <c r="P443" s="686"/>
      <c r="Q443" s="825"/>
      <c r="R443" s="686"/>
      <c r="S443" s="686"/>
      <c r="T443" s="686"/>
      <c r="U443" s="686"/>
      <c r="V443" s="686"/>
      <c r="W443" s="686"/>
      <c r="X443" s="686"/>
      <c r="Y443" s="825"/>
      <c r="Z443" s="686"/>
      <c r="AA443" s="686"/>
      <c r="AB443" s="686"/>
      <c r="AC443" s="686"/>
      <c r="AD443" s="686"/>
      <c r="AE443" s="686"/>
      <c r="AF443" s="686"/>
      <c r="AG443" s="825"/>
      <c r="AH443" s="686"/>
      <c r="AI443" s="686"/>
      <c r="AJ443" s="686"/>
      <c r="AK443" s="686"/>
      <c r="AL443" s="686"/>
      <c r="AM443" s="686"/>
      <c r="AN443" s="686"/>
      <c r="AO443" s="825"/>
      <c r="AP443" s="686"/>
      <c r="AQ443" s="686"/>
      <c r="AR443" s="686"/>
      <c r="AS443" s="686"/>
      <c r="AT443" s="686"/>
      <c r="AU443" s="686"/>
      <c r="AV443" s="686"/>
      <c r="AW443" s="686"/>
      <c r="AX443" s="686"/>
      <c r="AY443" s="686"/>
      <c r="AZ443" s="686"/>
      <c r="BA443" s="686"/>
      <c r="BB443" s="686"/>
      <c r="BC443" s="686"/>
      <c r="BD443" s="686"/>
      <c r="BE443" s="686"/>
      <c r="BF443" s="686"/>
      <c r="BG443" s="686"/>
      <c r="BH443" s="686"/>
    </row>
    <row r="444" spans="1:60" s="44" customFormat="1">
      <c r="C444" s="686"/>
      <c r="D444" s="686"/>
      <c r="E444" s="686"/>
      <c r="F444" s="686"/>
      <c r="G444" s="686"/>
      <c r="H444" s="686"/>
      <c r="I444" s="825"/>
      <c r="J444" s="686"/>
      <c r="K444" s="686"/>
      <c r="L444" s="686"/>
      <c r="M444" s="686"/>
      <c r="N444" s="686"/>
      <c r="O444" s="686"/>
      <c r="P444" s="686"/>
      <c r="Q444" s="825"/>
      <c r="R444" s="686"/>
      <c r="S444" s="686"/>
      <c r="T444" s="686"/>
      <c r="U444" s="686"/>
      <c r="V444" s="686"/>
      <c r="W444" s="686"/>
      <c r="X444" s="686"/>
      <c r="Y444" s="825"/>
      <c r="Z444" s="686"/>
      <c r="AA444" s="686"/>
      <c r="AB444" s="686"/>
      <c r="AC444" s="686"/>
      <c r="AD444" s="686"/>
      <c r="AE444" s="686"/>
      <c r="AF444" s="686"/>
      <c r="AG444" s="825"/>
      <c r="AH444" s="686"/>
      <c r="AI444" s="686"/>
      <c r="AJ444" s="686"/>
      <c r="AK444" s="686"/>
      <c r="AL444" s="686"/>
      <c r="AM444" s="686"/>
      <c r="AN444" s="686"/>
      <c r="AO444" s="825"/>
      <c r="AP444" s="686"/>
      <c r="AQ444" s="686"/>
      <c r="AR444" s="686"/>
      <c r="AS444" s="686"/>
      <c r="AT444" s="686"/>
      <c r="AU444" s="686"/>
      <c r="AV444" s="686"/>
      <c r="AW444" s="686"/>
      <c r="AX444" s="686"/>
      <c r="AY444" s="686"/>
      <c r="AZ444" s="686"/>
      <c r="BA444" s="686"/>
      <c r="BB444" s="686"/>
      <c r="BC444" s="686"/>
      <c r="BD444" s="686"/>
      <c r="BE444" s="686"/>
      <c r="BF444" s="686"/>
      <c r="BG444" s="686"/>
      <c r="BH444" s="686"/>
    </row>
    <row r="445" spans="1:60" s="44" customFormat="1">
      <c r="C445" s="686"/>
      <c r="D445" s="686"/>
      <c r="E445" s="686"/>
      <c r="F445" s="686"/>
      <c r="G445" s="686"/>
      <c r="H445" s="686"/>
      <c r="I445" s="825"/>
      <c r="J445" s="686"/>
      <c r="K445" s="686"/>
      <c r="L445" s="686"/>
      <c r="M445" s="686"/>
      <c r="N445" s="686"/>
      <c r="O445" s="686"/>
      <c r="P445" s="686"/>
      <c r="Q445" s="825"/>
      <c r="R445" s="686"/>
      <c r="S445" s="686"/>
      <c r="T445" s="686"/>
      <c r="U445" s="686"/>
      <c r="V445" s="686"/>
      <c r="W445" s="686"/>
      <c r="X445" s="686"/>
      <c r="Y445" s="825"/>
      <c r="Z445" s="686"/>
      <c r="AA445" s="686"/>
      <c r="AB445" s="686"/>
      <c r="AC445" s="686"/>
      <c r="AD445" s="686"/>
      <c r="AE445" s="686"/>
      <c r="AF445" s="686"/>
      <c r="AG445" s="825"/>
      <c r="AH445" s="686"/>
      <c r="AI445" s="686"/>
      <c r="AJ445" s="686"/>
      <c r="AK445" s="686"/>
      <c r="AL445" s="686"/>
      <c r="AM445" s="686"/>
      <c r="AN445" s="686"/>
      <c r="AO445" s="825"/>
      <c r="AP445" s="686"/>
      <c r="AQ445" s="686"/>
      <c r="AR445" s="686"/>
      <c r="AS445" s="686"/>
      <c r="AT445" s="686"/>
      <c r="AU445" s="686"/>
      <c r="AV445" s="686"/>
      <c r="AW445" s="686"/>
      <c r="AX445" s="686"/>
      <c r="AY445" s="686"/>
      <c r="AZ445" s="686"/>
      <c r="BA445" s="686"/>
      <c r="BB445" s="686"/>
      <c r="BC445" s="686"/>
      <c r="BD445" s="686"/>
      <c r="BE445" s="686"/>
      <c r="BF445" s="686"/>
      <c r="BG445" s="686"/>
      <c r="BH445" s="686"/>
    </row>
    <row r="446" spans="1:60" s="44" customFormat="1">
      <c r="C446" s="686"/>
      <c r="D446" s="686"/>
      <c r="E446" s="686"/>
      <c r="F446" s="686"/>
      <c r="G446" s="686"/>
      <c r="H446" s="686"/>
      <c r="I446" s="825"/>
      <c r="J446" s="686"/>
      <c r="K446" s="686"/>
      <c r="L446" s="686"/>
      <c r="M446" s="686"/>
      <c r="N446" s="686"/>
      <c r="O446" s="686"/>
      <c r="P446" s="686"/>
      <c r="Q446" s="825"/>
      <c r="R446" s="686"/>
      <c r="S446" s="686"/>
      <c r="T446" s="686"/>
      <c r="U446" s="686"/>
      <c r="V446" s="686"/>
      <c r="W446" s="686"/>
      <c r="X446" s="686"/>
      <c r="Y446" s="825"/>
      <c r="Z446" s="686"/>
      <c r="AA446" s="686"/>
      <c r="AB446" s="686"/>
      <c r="AC446" s="686"/>
      <c r="AD446" s="686"/>
      <c r="AE446" s="686"/>
      <c r="AF446" s="686"/>
      <c r="AG446" s="825"/>
      <c r="AH446" s="686"/>
      <c r="AI446" s="686"/>
      <c r="AJ446" s="686"/>
      <c r="AK446" s="686"/>
      <c r="AL446" s="686"/>
      <c r="AM446" s="686"/>
      <c r="AN446" s="686"/>
      <c r="AO446" s="825"/>
      <c r="AP446" s="686"/>
      <c r="AQ446" s="686"/>
      <c r="AR446" s="686"/>
      <c r="AS446" s="686"/>
      <c r="AT446" s="686"/>
      <c r="AU446" s="686"/>
      <c r="AV446" s="686"/>
      <c r="AW446" s="686"/>
      <c r="AX446" s="686"/>
      <c r="AY446" s="686"/>
      <c r="AZ446" s="686"/>
      <c r="BA446" s="686"/>
      <c r="BB446" s="686"/>
      <c r="BC446" s="686"/>
      <c r="BD446" s="686"/>
      <c r="BE446" s="686"/>
      <c r="BF446" s="686"/>
      <c r="BG446" s="686"/>
      <c r="BH446" s="686"/>
    </row>
    <row r="447" spans="1:60" s="44" customFormat="1">
      <c r="C447" s="686"/>
      <c r="D447" s="686"/>
      <c r="E447" s="686"/>
      <c r="F447" s="686"/>
      <c r="G447" s="686"/>
      <c r="H447" s="686"/>
      <c r="I447" s="825"/>
      <c r="J447" s="686"/>
      <c r="K447" s="686"/>
      <c r="L447" s="686"/>
      <c r="M447" s="686"/>
      <c r="N447" s="686"/>
      <c r="O447" s="686"/>
      <c r="P447" s="686"/>
      <c r="Q447" s="825"/>
      <c r="R447" s="686"/>
      <c r="S447" s="686"/>
      <c r="T447" s="686"/>
      <c r="U447" s="686"/>
      <c r="V447" s="686"/>
      <c r="W447" s="686"/>
      <c r="X447" s="686"/>
      <c r="Y447" s="825"/>
      <c r="Z447" s="686"/>
      <c r="AA447" s="686"/>
      <c r="AB447" s="686"/>
      <c r="AC447" s="686"/>
      <c r="AD447" s="686"/>
      <c r="AE447" s="686"/>
      <c r="AF447" s="686"/>
      <c r="AG447" s="825"/>
      <c r="AH447" s="686"/>
      <c r="AI447" s="686"/>
      <c r="AJ447" s="686"/>
      <c r="AK447" s="686"/>
      <c r="AL447" s="686"/>
      <c r="AM447" s="686"/>
      <c r="AN447" s="686"/>
      <c r="AO447" s="825"/>
      <c r="AP447" s="686"/>
      <c r="AQ447" s="686"/>
      <c r="AR447" s="686"/>
      <c r="AS447" s="686"/>
      <c r="AT447" s="686"/>
      <c r="AU447" s="686"/>
      <c r="AV447" s="686"/>
      <c r="AW447" s="686"/>
      <c r="AX447" s="686"/>
      <c r="AY447" s="686"/>
      <c r="AZ447" s="686"/>
      <c r="BA447" s="686"/>
      <c r="BB447" s="686"/>
      <c r="BC447" s="686"/>
      <c r="BD447" s="686"/>
      <c r="BE447" s="686"/>
      <c r="BF447" s="686"/>
      <c r="BG447" s="686"/>
      <c r="BH447" s="686"/>
    </row>
    <row r="448" spans="1:60" s="44" customFormat="1">
      <c r="C448" s="686"/>
      <c r="D448" s="686"/>
      <c r="E448" s="686"/>
      <c r="F448" s="686"/>
      <c r="G448" s="686"/>
      <c r="H448" s="686"/>
      <c r="I448" s="825"/>
      <c r="J448" s="686"/>
      <c r="K448" s="686"/>
      <c r="L448" s="686"/>
      <c r="M448" s="686"/>
      <c r="N448" s="686"/>
      <c r="O448" s="686"/>
      <c r="P448" s="686"/>
      <c r="Q448" s="825"/>
      <c r="R448" s="686"/>
      <c r="S448" s="686"/>
      <c r="T448" s="686"/>
      <c r="U448" s="686"/>
      <c r="V448" s="686"/>
      <c r="W448" s="686"/>
      <c r="X448" s="686"/>
      <c r="Y448" s="825"/>
      <c r="Z448" s="686"/>
      <c r="AA448" s="686"/>
      <c r="AB448" s="686"/>
      <c r="AC448" s="686"/>
      <c r="AD448" s="686"/>
      <c r="AE448" s="686"/>
      <c r="AF448" s="686"/>
      <c r="AG448" s="825"/>
      <c r="AH448" s="686"/>
      <c r="AI448" s="686"/>
      <c r="AJ448" s="686"/>
      <c r="AK448" s="686"/>
      <c r="AL448" s="686"/>
      <c r="AM448" s="686"/>
      <c r="AN448" s="686"/>
      <c r="AO448" s="825"/>
      <c r="AP448" s="686"/>
      <c r="AQ448" s="686"/>
      <c r="AR448" s="686"/>
      <c r="AS448" s="686"/>
      <c r="AT448" s="686"/>
      <c r="AU448" s="686"/>
      <c r="AV448" s="686"/>
      <c r="AW448" s="686"/>
      <c r="AX448" s="686"/>
      <c r="AY448" s="686"/>
      <c r="AZ448" s="686"/>
      <c r="BA448" s="686"/>
      <c r="BB448" s="686"/>
      <c r="BC448" s="686"/>
      <c r="BD448" s="686"/>
      <c r="BE448" s="686"/>
      <c r="BF448" s="686"/>
      <c r="BG448" s="686"/>
      <c r="BH448" s="686"/>
    </row>
    <row r="449" spans="3:60" s="44" customFormat="1">
      <c r="C449" s="686"/>
      <c r="D449" s="686"/>
      <c r="E449" s="686"/>
      <c r="F449" s="686"/>
      <c r="G449" s="686"/>
      <c r="H449" s="686"/>
      <c r="I449" s="825"/>
      <c r="J449" s="686"/>
      <c r="K449" s="686"/>
      <c r="L449" s="686"/>
      <c r="M449" s="686"/>
      <c r="N449" s="686"/>
      <c r="O449" s="686"/>
      <c r="P449" s="686"/>
      <c r="Q449" s="825"/>
      <c r="R449" s="686"/>
      <c r="S449" s="686"/>
      <c r="T449" s="686"/>
      <c r="U449" s="686"/>
      <c r="V449" s="686"/>
      <c r="W449" s="686"/>
      <c r="X449" s="686"/>
      <c r="Y449" s="825"/>
      <c r="Z449" s="686"/>
      <c r="AA449" s="686"/>
      <c r="AB449" s="686"/>
      <c r="AC449" s="686"/>
      <c r="AD449" s="686"/>
      <c r="AE449" s="686"/>
      <c r="AF449" s="686"/>
      <c r="AG449" s="825"/>
      <c r="AH449" s="686"/>
      <c r="AI449" s="686"/>
      <c r="AJ449" s="686"/>
      <c r="AK449" s="686"/>
      <c r="AL449" s="686"/>
      <c r="AM449" s="686"/>
      <c r="AN449" s="686"/>
      <c r="AO449" s="825"/>
      <c r="AP449" s="686"/>
      <c r="AQ449" s="686"/>
      <c r="AR449" s="686"/>
      <c r="AS449" s="686"/>
      <c r="AT449" s="686"/>
      <c r="AU449" s="686"/>
      <c r="AV449" s="686"/>
      <c r="AW449" s="686"/>
      <c r="AX449" s="686"/>
      <c r="AY449" s="686"/>
      <c r="AZ449" s="686"/>
      <c r="BA449" s="686"/>
      <c r="BB449" s="686"/>
      <c r="BC449" s="686"/>
      <c r="BD449" s="686"/>
      <c r="BE449" s="686"/>
      <c r="BF449" s="686"/>
      <c r="BG449" s="686"/>
      <c r="BH449" s="686"/>
    </row>
    <row r="450" spans="3:60" s="44" customFormat="1">
      <c r="C450" s="686"/>
      <c r="D450" s="686"/>
      <c r="E450" s="686"/>
      <c r="F450" s="686"/>
      <c r="G450" s="686"/>
      <c r="H450" s="686"/>
      <c r="I450" s="825"/>
      <c r="J450" s="686"/>
      <c r="K450" s="686"/>
      <c r="L450" s="686"/>
      <c r="M450" s="686"/>
      <c r="N450" s="686"/>
      <c r="O450" s="686"/>
      <c r="P450" s="686"/>
      <c r="Q450" s="825"/>
      <c r="R450" s="686"/>
      <c r="S450" s="686"/>
      <c r="T450" s="686"/>
      <c r="U450" s="686"/>
      <c r="V450" s="686"/>
      <c r="W450" s="686"/>
      <c r="X450" s="686"/>
      <c r="Y450" s="825"/>
      <c r="Z450" s="686"/>
      <c r="AA450" s="686"/>
      <c r="AB450" s="686"/>
      <c r="AC450" s="686"/>
      <c r="AD450" s="686"/>
      <c r="AE450" s="686"/>
      <c r="AF450" s="686"/>
      <c r="AG450" s="825"/>
      <c r="AH450" s="686"/>
      <c r="AI450" s="686"/>
      <c r="AJ450" s="686"/>
      <c r="AK450" s="686"/>
      <c r="AL450" s="686"/>
      <c r="AM450" s="686"/>
      <c r="AN450" s="686"/>
      <c r="AO450" s="825"/>
      <c r="AP450" s="686"/>
      <c r="AQ450" s="686"/>
      <c r="AR450" s="686"/>
      <c r="AS450" s="686"/>
      <c r="AT450" s="686"/>
      <c r="AU450" s="686"/>
      <c r="AV450" s="686"/>
      <c r="AW450" s="686"/>
      <c r="AX450" s="686"/>
      <c r="AY450" s="686"/>
      <c r="AZ450" s="686"/>
      <c r="BA450" s="686"/>
      <c r="BB450" s="686"/>
      <c r="BC450" s="686"/>
      <c r="BD450" s="686"/>
      <c r="BE450" s="686"/>
      <c r="BF450" s="686"/>
      <c r="BG450" s="686"/>
      <c r="BH450" s="686"/>
    </row>
    <row r="451" spans="3:60" s="44" customFormat="1">
      <c r="C451" s="686"/>
      <c r="D451" s="686"/>
      <c r="E451" s="686"/>
      <c r="F451" s="686"/>
      <c r="G451" s="686"/>
      <c r="H451" s="686"/>
      <c r="I451" s="825"/>
      <c r="J451" s="686"/>
      <c r="K451" s="686"/>
      <c r="L451" s="686"/>
      <c r="M451" s="686"/>
      <c r="N451" s="686"/>
      <c r="O451" s="686"/>
      <c r="P451" s="686"/>
      <c r="Q451" s="825"/>
      <c r="R451" s="686"/>
      <c r="S451" s="686"/>
      <c r="T451" s="686"/>
      <c r="U451" s="686"/>
      <c r="V451" s="686"/>
      <c r="W451" s="686"/>
      <c r="X451" s="686"/>
      <c r="Y451" s="825"/>
      <c r="Z451" s="686"/>
      <c r="AA451" s="686"/>
      <c r="AB451" s="686"/>
      <c r="AC451" s="686"/>
      <c r="AD451" s="686"/>
      <c r="AE451" s="686"/>
      <c r="AF451" s="686"/>
      <c r="AG451" s="825"/>
      <c r="AH451" s="686"/>
      <c r="AI451" s="686"/>
      <c r="AJ451" s="686"/>
      <c r="AK451" s="686"/>
      <c r="AL451" s="686"/>
      <c r="AM451" s="686"/>
      <c r="AN451" s="686"/>
      <c r="AO451" s="825"/>
      <c r="AP451" s="686"/>
      <c r="AQ451" s="686"/>
      <c r="AR451" s="686"/>
      <c r="AS451" s="686"/>
      <c r="AT451" s="686"/>
      <c r="AU451" s="686"/>
      <c r="AV451" s="686"/>
      <c r="AW451" s="686"/>
      <c r="AX451" s="686"/>
      <c r="AY451" s="686"/>
      <c r="AZ451" s="686"/>
      <c r="BA451" s="686"/>
      <c r="BB451" s="686"/>
      <c r="BC451" s="686"/>
      <c r="BD451" s="686"/>
      <c r="BE451" s="686"/>
      <c r="BF451" s="686"/>
      <c r="BG451" s="686"/>
      <c r="BH451" s="686"/>
    </row>
    <row r="452" spans="3:60" s="44" customFormat="1">
      <c r="C452" s="686"/>
      <c r="D452" s="686"/>
      <c r="E452" s="686"/>
      <c r="F452" s="686"/>
      <c r="G452" s="686"/>
      <c r="H452" s="686"/>
      <c r="I452" s="825"/>
      <c r="J452" s="686"/>
      <c r="K452" s="686"/>
      <c r="L452" s="686"/>
      <c r="M452" s="686"/>
      <c r="N452" s="686"/>
      <c r="O452" s="686"/>
      <c r="P452" s="686"/>
      <c r="Q452" s="825"/>
      <c r="R452" s="686"/>
      <c r="S452" s="686"/>
      <c r="T452" s="686"/>
      <c r="U452" s="686"/>
      <c r="V452" s="686"/>
      <c r="W452" s="686"/>
      <c r="X452" s="686"/>
      <c r="Y452" s="825"/>
      <c r="Z452" s="686"/>
      <c r="AA452" s="686"/>
      <c r="AB452" s="686"/>
      <c r="AC452" s="686"/>
      <c r="AD452" s="686"/>
      <c r="AE452" s="686"/>
      <c r="AF452" s="686"/>
      <c r="AG452" s="825"/>
      <c r="AH452" s="686"/>
      <c r="AI452" s="686"/>
      <c r="AJ452" s="686"/>
      <c r="AK452" s="686"/>
      <c r="AL452" s="686"/>
      <c r="AM452" s="686"/>
      <c r="AN452" s="686"/>
      <c r="AO452" s="825"/>
      <c r="AP452" s="686"/>
      <c r="AQ452" s="686"/>
      <c r="AR452" s="686"/>
      <c r="AS452" s="686"/>
      <c r="AT452" s="686"/>
      <c r="AU452" s="686"/>
      <c r="AV452" s="686"/>
      <c r="AW452" s="686"/>
      <c r="AX452" s="686"/>
      <c r="AY452" s="686"/>
      <c r="AZ452" s="686"/>
      <c r="BA452" s="686"/>
      <c r="BB452" s="686"/>
      <c r="BC452" s="686"/>
      <c r="BD452" s="686"/>
      <c r="BE452" s="686"/>
      <c r="BF452" s="686"/>
      <c r="BG452" s="686"/>
      <c r="BH452" s="686"/>
    </row>
    <row r="453" spans="3:60" s="44" customFormat="1">
      <c r="C453" s="686"/>
      <c r="D453" s="686"/>
      <c r="E453" s="686"/>
      <c r="F453" s="686"/>
      <c r="G453" s="686"/>
      <c r="H453" s="686"/>
      <c r="I453" s="825"/>
      <c r="J453" s="686"/>
      <c r="K453" s="686"/>
      <c r="L453" s="686"/>
      <c r="M453" s="686"/>
      <c r="N453" s="686"/>
      <c r="O453" s="686"/>
      <c r="P453" s="686"/>
      <c r="Q453" s="825"/>
      <c r="R453" s="686"/>
      <c r="S453" s="686"/>
      <c r="T453" s="686"/>
      <c r="U453" s="686"/>
      <c r="V453" s="686"/>
      <c r="W453" s="686"/>
      <c r="X453" s="686"/>
      <c r="Y453" s="825"/>
      <c r="Z453" s="686"/>
      <c r="AA453" s="686"/>
      <c r="AB453" s="686"/>
      <c r="AC453" s="686"/>
      <c r="AD453" s="686"/>
      <c r="AE453" s="686"/>
      <c r="AF453" s="686"/>
      <c r="AG453" s="825"/>
      <c r="AH453" s="686"/>
      <c r="AI453" s="686"/>
      <c r="AJ453" s="686"/>
      <c r="AK453" s="686"/>
      <c r="AL453" s="686"/>
      <c r="AM453" s="686"/>
      <c r="AN453" s="686"/>
      <c r="AO453" s="825"/>
      <c r="AP453" s="686"/>
      <c r="AQ453" s="686"/>
      <c r="AR453" s="686"/>
      <c r="AS453" s="686"/>
      <c r="AT453" s="686"/>
      <c r="AU453" s="686"/>
      <c r="AV453" s="686"/>
      <c r="AW453" s="686"/>
      <c r="AX453" s="686"/>
      <c r="AY453" s="686"/>
      <c r="AZ453" s="686"/>
      <c r="BA453" s="686"/>
      <c r="BB453" s="686"/>
      <c r="BC453" s="686"/>
      <c r="BD453" s="686"/>
      <c r="BE453" s="686"/>
      <c r="BF453" s="686"/>
      <c r="BG453" s="686"/>
      <c r="BH453" s="686"/>
    </row>
    <row r="454" spans="3:60" s="44" customFormat="1">
      <c r="C454" s="686"/>
      <c r="D454" s="686"/>
      <c r="E454" s="686"/>
      <c r="F454" s="686"/>
      <c r="G454" s="686"/>
      <c r="H454" s="686"/>
      <c r="I454" s="825"/>
      <c r="J454" s="686"/>
      <c r="K454" s="686"/>
      <c r="L454" s="686"/>
      <c r="M454" s="686"/>
      <c r="N454" s="686"/>
      <c r="O454" s="686"/>
      <c r="P454" s="686"/>
      <c r="Q454" s="825"/>
      <c r="R454" s="686"/>
      <c r="S454" s="686"/>
      <c r="T454" s="686"/>
      <c r="U454" s="686"/>
      <c r="V454" s="686"/>
      <c r="W454" s="686"/>
      <c r="X454" s="686"/>
      <c r="Y454" s="825"/>
      <c r="Z454" s="686"/>
      <c r="AA454" s="686"/>
      <c r="AB454" s="686"/>
      <c r="AC454" s="686"/>
      <c r="AD454" s="686"/>
      <c r="AE454" s="686"/>
      <c r="AF454" s="686"/>
      <c r="AG454" s="825"/>
      <c r="AH454" s="686"/>
      <c r="AI454" s="686"/>
      <c r="AJ454" s="686"/>
      <c r="AK454" s="686"/>
      <c r="AL454" s="686"/>
      <c r="AM454" s="686"/>
      <c r="AN454" s="686"/>
      <c r="AO454" s="825"/>
      <c r="AP454" s="686"/>
      <c r="AQ454" s="686"/>
      <c r="AR454" s="686"/>
      <c r="AS454" s="686"/>
      <c r="AT454" s="686"/>
      <c r="AU454" s="686"/>
      <c r="AV454" s="686"/>
      <c r="AW454" s="686"/>
      <c r="AX454" s="686"/>
      <c r="AY454" s="686"/>
      <c r="AZ454" s="686"/>
      <c r="BA454" s="686"/>
      <c r="BB454" s="686"/>
      <c r="BC454" s="686"/>
      <c r="BD454" s="686"/>
      <c r="BE454" s="686"/>
      <c r="BF454" s="686"/>
      <c r="BG454" s="686"/>
      <c r="BH454" s="686"/>
    </row>
    <row r="455" spans="3:60" s="44" customFormat="1">
      <c r="C455" s="686"/>
      <c r="D455" s="686"/>
      <c r="E455" s="686"/>
      <c r="F455" s="686"/>
      <c r="G455" s="686"/>
      <c r="H455" s="686"/>
      <c r="I455" s="825"/>
      <c r="J455" s="686"/>
      <c r="K455" s="686"/>
      <c r="L455" s="686"/>
      <c r="M455" s="686"/>
      <c r="N455" s="686"/>
      <c r="O455" s="686"/>
      <c r="P455" s="686"/>
      <c r="Q455" s="825"/>
      <c r="R455" s="686"/>
      <c r="S455" s="686"/>
      <c r="T455" s="686"/>
      <c r="U455" s="686"/>
      <c r="V455" s="686"/>
      <c r="W455" s="686"/>
      <c r="X455" s="686"/>
      <c r="Y455" s="825"/>
      <c r="Z455" s="686"/>
      <c r="AA455" s="686"/>
      <c r="AB455" s="686"/>
      <c r="AC455" s="686"/>
      <c r="AD455" s="686"/>
      <c r="AE455" s="686"/>
      <c r="AF455" s="686"/>
      <c r="AG455" s="825"/>
      <c r="AH455" s="686"/>
      <c r="AI455" s="686"/>
      <c r="AJ455" s="686"/>
      <c r="AK455" s="686"/>
      <c r="AL455" s="686"/>
      <c r="AM455" s="686"/>
      <c r="AN455" s="686"/>
      <c r="AO455" s="825"/>
      <c r="AP455" s="686"/>
      <c r="AQ455" s="686"/>
      <c r="AR455" s="686"/>
      <c r="AS455" s="686"/>
      <c r="AT455" s="686"/>
      <c r="AU455" s="686"/>
      <c r="AV455" s="686"/>
      <c r="AW455" s="686"/>
      <c r="AX455" s="686"/>
      <c r="AY455" s="686"/>
      <c r="AZ455" s="686"/>
      <c r="BA455" s="686"/>
      <c r="BB455" s="686"/>
      <c r="BC455" s="686"/>
      <c r="BD455" s="686"/>
      <c r="BE455" s="686"/>
      <c r="BF455" s="686"/>
      <c r="BG455" s="686"/>
      <c r="BH455" s="686"/>
    </row>
    <row r="456" spans="3:60" s="44" customFormat="1">
      <c r="C456" s="686"/>
      <c r="D456" s="686"/>
      <c r="E456" s="686"/>
      <c r="F456" s="686"/>
      <c r="G456" s="686"/>
      <c r="H456" s="686"/>
      <c r="I456" s="825"/>
      <c r="J456" s="686"/>
      <c r="K456" s="686"/>
      <c r="L456" s="686"/>
      <c r="M456" s="686"/>
      <c r="N456" s="686"/>
      <c r="O456" s="686"/>
      <c r="P456" s="686"/>
      <c r="Q456" s="825"/>
      <c r="R456" s="686"/>
      <c r="S456" s="686"/>
      <c r="T456" s="686"/>
      <c r="U456" s="686"/>
      <c r="V456" s="686"/>
      <c r="W456" s="686"/>
      <c r="X456" s="686"/>
      <c r="Y456" s="825"/>
      <c r="Z456" s="686"/>
      <c r="AA456" s="686"/>
      <c r="AB456" s="686"/>
      <c r="AC456" s="686"/>
      <c r="AD456" s="686"/>
      <c r="AE456" s="686"/>
      <c r="AF456" s="686"/>
      <c r="AG456" s="825"/>
      <c r="AH456" s="686"/>
      <c r="AI456" s="686"/>
      <c r="AJ456" s="686"/>
      <c r="AK456" s="686"/>
      <c r="AL456" s="686"/>
      <c r="AM456" s="686"/>
      <c r="AN456" s="686"/>
      <c r="AO456" s="825"/>
      <c r="AP456" s="686"/>
      <c r="AQ456" s="686"/>
      <c r="AR456" s="686"/>
      <c r="AS456" s="686"/>
      <c r="AT456" s="686"/>
      <c r="AU456" s="686"/>
      <c r="AV456" s="686"/>
      <c r="AW456" s="686"/>
      <c r="AX456" s="686"/>
      <c r="AY456" s="686"/>
      <c r="AZ456" s="686"/>
      <c r="BA456" s="686"/>
      <c r="BB456" s="686"/>
      <c r="BC456" s="686"/>
      <c r="BD456" s="686"/>
      <c r="BE456" s="686"/>
      <c r="BF456" s="686"/>
      <c r="BG456" s="686"/>
      <c r="BH456" s="686"/>
    </row>
    <row r="457" spans="3:60" s="44" customFormat="1">
      <c r="C457" s="686"/>
      <c r="D457" s="686"/>
      <c r="E457" s="686"/>
      <c r="F457" s="686"/>
      <c r="G457" s="686"/>
      <c r="H457" s="686"/>
      <c r="I457" s="825"/>
      <c r="J457" s="686"/>
      <c r="K457" s="686"/>
      <c r="L457" s="686"/>
      <c r="M457" s="686"/>
      <c r="N457" s="686"/>
      <c r="O457" s="686"/>
      <c r="P457" s="686"/>
      <c r="Q457" s="825"/>
      <c r="R457" s="686"/>
      <c r="S457" s="686"/>
      <c r="T457" s="686"/>
      <c r="U457" s="686"/>
      <c r="V457" s="686"/>
      <c r="W457" s="686"/>
      <c r="X457" s="686"/>
      <c r="Y457" s="825"/>
      <c r="Z457" s="686"/>
      <c r="AA457" s="686"/>
      <c r="AB457" s="686"/>
      <c r="AC457" s="686"/>
      <c r="AD457" s="686"/>
      <c r="AE457" s="686"/>
      <c r="AF457" s="686"/>
      <c r="AG457" s="825"/>
      <c r="AH457" s="686"/>
      <c r="AI457" s="686"/>
      <c r="AJ457" s="686"/>
      <c r="AK457" s="686"/>
      <c r="AL457" s="686"/>
      <c r="AM457" s="686"/>
      <c r="AN457" s="686"/>
      <c r="AO457" s="825"/>
      <c r="AP457" s="686"/>
      <c r="AQ457" s="686"/>
      <c r="AR457" s="686"/>
      <c r="AS457" s="686"/>
      <c r="AT457" s="686"/>
      <c r="AU457" s="686"/>
      <c r="AV457" s="686"/>
      <c r="AW457" s="686"/>
      <c r="AX457" s="686"/>
      <c r="AY457" s="686"/>
      <c r="AZ457" s="686"/>
      <c r="BA457" s="686"/>
      <c r="BB457" s="686"/>
      <c r="BC457" s="686"/>
      <c r="BD457" s="686"/>
      <c r="BE457" s="686"/>
      <c r="BF457" s="686"/>
      <c r="BG457" s="686"/>
      <c r="BH457" s="686"/>
    </row>
    <row r="458" spans="3:60" s="44" customFormat="1">
      <c r="C458" s="686"/>
      <c r="D458" s="686"/>
      <c r="E458" s="686"/>
      <c r="F458" s="686"/>
      <c r="G458" s="686"/>
      <c r="H458" s="686"/>
      <c r="I458" s="825"/>
      <c r="J458" s="686"/>
      <c r="K458" s="686"/>
      <c r="L458" s="686"/>
      <c r="M458" s="686"/>
      <c r="N458" s="686"/>
      <c r="O458" s="686"/>
      <c r="P458" s="686"/>
      <c r="Q458" s="825"/>
      <c r="R458" s="686"/>
      <c r="S458" s="686"/>
      <c r="T458" s="686"/>
      <c r="U458" s="686"/>
      <c r="V458" s="686"/>
      <c r="W458" s="686"/>
      <c r="X458" s="686"/>
      <c r="Y458" s="825"/>
      <c r="Z458" s="686"/>
      <c r="AA458" s="686"/>
      <c r="AB458" s="686"/>
      <c r="AC458" s="686"/>
      <c r="AD458" s="686"/>
      <c r="AE458" s="686"/>
      <c r="AF458" s="686"/>
      <c r="AG458" s="825"/>
      <c r="AH458" s="686"/>
      <c r="AI458" s="686"/>
      <c r="AJ458" s="686"/>
      <c r="AK458" s="686"/>
      <c r="AL458" s="686"/>
      <c r="AM458" s="686"/>
      <c r="AN458" s="686"/>
      <c r="AO458" s="825"/>
      <c r="AP458" s="686"/>
      <c r="AQ458" s="686"/>
      <c r="AR458" s="686"/>
      <c r="AS458" s="686"/>
      <c r="AT458" s="686"/>
      <c r="AU458" s="686"/>
      <c r="AV458" s="686"/>
      <c r="AW458" s="686"/>
      <c r="AX458" s="686"/>
      <c r="AY458" s="686"/>
      <c r="AZ458" s="686"/>
      <c r="BA458" s="686"/>
      <c r="BB458" s="686"/>
      <c r="BC458" s="686"/>
      <c r="BD458" s="686"/>
      <c r="BE458" s="686"/>
      <c r="BF458" s="686"/>
      <c r="BG458" s="686"/>
      <c r="BH458" s="686"/>
    </row>
    <row r="459" spans="3:60" s="44" customFormat="1">
      <c r="C459" s="686"/>
      <c r="D459" s="686"/>
      <c r="E459" s="686"/>
      <c r="F459" s="686"/>
      <c r="G459" s="686"/>
      <c r="H459" s="686"/>
      <c r="I459" s="825"/>
      <c r="J459" s="686"/>
      <c r="K459" s="686"/>
      <c r="L459" s="686"/>
      <c r="M459" s="686"/>
      <c r="N459" s="686"/>
      <c r="O459" s="686"/>
      <c r="P459" s="686"/>
      <c r="Q459" s="825"/>
      <c r="R459" s="686"/>
      <c r="S459" s="686"/>
      <c r="T459" s="686"/>
      <c r="U459" s="686"/>
      <c r="V459" s="686"/>
      <c r="W459" s="686"/>
      <c r="X459" s="686"/>
      <c r="Y459" s="825"/>
      <c r="Z459" s="686"/>
      <c r="AA459" s="686"/>
      <c r="AB459" s="686"/>
      <c r="AC459" s="686"/>
      <c r="AD459" s="686"/>
      <c r="AE459" s="686"/>
      <c r="AF459" s="686"/>
      <c r="AG459" s="825"/>
      <c r="AH459" s="686"/>
      <c r="AI459" s="686"/>
      <c r="AJ459" s="686"/>
      <c r="AK459" s="686"/>
      <c r="AL459" s="686"/>
      <c r="AM459" s="686"/>
      <c r="AN459" s="686"/>
      <c r="AO459" s="825"/>
      <c r="AP459" s="686"/>
      <c r="AQ459" s="686"/>
      <c r="AR459" s="686"/>
      <c r="AS459" s="686"/>
      <c r="AT459" s="686"/>
      <c r="AU459" s="686"/>
      <c r="AV459" s="686"/>
      <c r="AW459" s="686"/>
      <c r="AX459" s="686"/>
      <c r="AY459" s="686"/>
      <c r="AZ459" s="686"/>
      <c r="BA459" s="686"/>
      <c r="BB459" s="686"/>
      <c r="BC459" s="686"/>
      <c r="BD459" s="686"/>
      <c r="BE459" s="686"/>
      <c r="BF459" s="686"/>
      <c r="BG459" s="686"/>
      <c r="BH459" s="686"/>
    </row>
    <row r="460" spans="3:60" s="44" customFormat="1">
      <c r="C460" s="686"/>
      <c r="D460" s="686"/>
      <c r="E460" s="686"/>
      <c r="F460" s="686"/>
      <c r="G460" s="686"/>
      <c r="H460" s="686"/>
      <c r="I460" s="825"/>
      <c r="J460" s="686"/>
      <c r="K460" s="686"/>
      <c r="L460" s="686"/>
      <c r="M460" s="686"/>
      <c r="N460" s="686"/>
      <c r="O460" s="686"/>
      <c r="P460" s="686"/>
      <c r="Q460" s="825"/>
      <c r="R460" s="686"/>
      <c r="S460" s="686"/>
      <c r="T460" s="686"/>
      <c r="U460" s="686"/>
      <c r="V460" s="686"/>
      <c r="W460" s="686"/>
      <c r="X460" s="686"/>
      <c r="Y460" s="825"/>
      <c r="Z460" s="686"/>
      <c r="AA460" s="686"/>
      <c r="AB460" s="686"/>
      <c r="AC460" s="686"/>
      <c r="AD460" s="686"/>
      <c r="AE460" s="686"/>
      <c r="AF460" s="686"/>
      <c r="AG460" s="825"/>
      <c r="AH460" s="686"/>
      <c r="AI460" s="686"/>
      <c r="AJ460" s="686"/>
      <c r="AK460" s="686"/>
      <c r="AL460" s="686"/>
      <c r="AM460" s="686"/>
      <c r="AN460" s="686"/>
      <c r="AO460" s="825"/>
      <c r="AP460" s="686"/>
      <c r="AQ460" s="686"/>
      <c r="AR460" s="686"/>
      <c r="AS460" s="686"/>
      <c r="AT460" s="686"/>
      <c r="AU460" s="686"/>
      <c r="AV460" s="686"/>
      <c r="AW460" s="686"/>
      <c r="AX460" s="686"/>
      <c r="AY460" s="686"/>
      <c r="AZ460" s="686"/>
      <c r="BA460" s="686"/>
      <c r="BB460" s="686"/>
      <c r="BC460" s="686"/>
      <c r="BD460" s="686"/>
      <c r="BE460" s="686"/>
      <c r="BF460" s="686"/>
      <c r="BG460" s="686"/>
      <c r="BH460" s="686"/>
    </row>
    <row r="461" spans="3:60" s="44" customFormat="1">
      <c r="C461" s="686"/>
      <c r="D461" s="686"/>
      <c r="E461" s="686"/>
      <c r="F461" s="686"/>
      <c r="G461" s="686"/>
      <c r="H461" s="686"/>
      <c r="I461" s="825"/>
      <c r="J461" s="686"/>
      <c r="K461" s="686"/>
      <c r="L461" s="686"/>
      <c r="M461" s="686"/>
      <c r="N461" s="686"/>
      <c r="O461" s="686"/>
      <c r="P461" s="686"/>
      <c r="Q461" s="825"/>
      <c r="R461" s="686"/>
      <c r="S461" s="686"/>
      <c r="T461" s="686"/>
      <c r="U461" s="686"/>
      <c r="V461" s="686"/>
      <c r="W461" s="686"/>
      <c r="X461" s="686"/>
      <c r="Y461" s="825"/>
      <c r="Z461" s="686"/>
      <c r="AA461" s="686"/>
      <c r="AB461" s="686"/>
      <c r="AC461" s="686"/>
      <c r="AD461" s="686"/>
      <c r="AE461" s="686"/>
      <c r="AF461" s="686"/>
      <c r="AG461" s="825"/>
      <c r="AH461" s="686"/>
      <c r="AI461" s="686"/>
      <c r="AJ461" s="686"/>
      <c r="AK461" s="686"/>
      <c r="AL461" s="686"/>
      <c r="AM461" s="686"/>
      <c r="AN461" s="686"/>
      <c r="AO461" s="825"/>
      <c r="AP461" s="686"/>
      <c r="AQ461" s="686"/>
      <c r="AR461" s="686"/>
      <c r="AS461" s="686"/>
      <c r="AT461" s="686"/>
      <c r="AU461" s="686"/>
      <c r="AV461" s="686"/>
      <c r="AW461" s="686"/>
      <c r="AX461" s="686"/>
      <c r="AY461" s="686"/>
      <c r="AZ461" s="686"/>
      <c r="BA461" s="686"/>
      <c r="BB461" s="686"/>
      <c r="BC461" s="686"/>
      <c r="BD461" s="686"/>
      <c r="BE461" s="686"/>
      <c r="BF461" s="686"/>
      <c r="BG461" s="686"/>
      <c r="BH461" s="686"/>
    </row>
    <row r="462" spans="3:60" s="44" customFormat="1">
      <c r="C462" s="686"/>
      <c r="D462" s="686"/>
      <c r="E462" s="686"/>
      <c r="F462" s="686"/>
      <c r="G462" s="686"/>
      <c r="H462" s="686"/>
      <c r="I462" s="825"/>
      <c r="J462" s="686"/>
      <c r="K462" s="686"/>
      <c r="L462" s="686"/>
      <c r="M462" s="686"/>
      <c r="N462" s="686"/>
      <c r="O462" s="686"/>
      <c r="P462" s="686"/>
      <c r="Q462" s="825"/>
      <c r="R462" s="686"/>
      <c r="S462" s="686"/>
      <c r="T462" s="686"/>
      <c r="U462" s="686"/>
      <c r="V462" s="686"/>
      <c r="W462" s="686"/>
      <c r="X462" s="686"/>
      <c r="Y462" s="825"/>
      <c r="Z462" s="686"/>
      <c r="AA462" s="686"/>
      <c r="AB462" s="686"/>
      <c r="AC462" s="686"/>
      <c r="AD462" s="686"/>
      <c r="AE462" s="686"/>
      <c r="AF462" s="686"/>
      <c r="AG462" s="825"/>
      <c r="AH462" s="686"/>
      <c r="AI462" s="686"/>
      <c r="AJ462" s="686"/>
      <c r="AK462" s="686"/>
      <c r="AL462" s="686"/>
      <c r="AM462" s="686"/>
      <c r="AN462" s="686"/>
      <c r="AO462" s="825"/>
      <c r="AP462" s="686"/>
      <c r="AQ462" s="686"/>
      <c r="AR462" s="686"/>
      <c r="AS462" s="686"/>
      <c r="AT462" s="686"/>
      <c r="AU462" s="686"/>
      <c r="AV462" s="686"/>
      <c r="AW462" s="686"/>
      <c r="AX462" s="686"/>
      <c r="AY462" s="686"/>
      <c r="AZ462" s="686"/>
      <c r="BA462" s="686"/>
      <c r="BB462" s="686"/>
      <c r="BC462" s="686"/>
      <c r="BD462" s="686"/>
      <c r="BE462" s="686"/>
      <c r="BF462" s="686"/>
      <c r="BG462" s="686"/>
      <c r="BH462" s="686"/>
    </row>
    <row r="463" spans="3:60" s="44" customFormat="1">
      <c r="C463" s="686"/>
      <c r="D463" s="686"/>
      <c r="E463" s="686"/>
      <c r="F463" s="686"/>
      <c r="G463" s="686"/>
      <c r="H463" s="686"/>
      <c r="I463" s="825"/>
      <c r="J463" s="686"/>
      <c r="K463" s="686"/>
      <c r="L463" s="686"/>
      <c r="M463" s="686"/>
      <c r="N463" s="686"/>
      <c r="O463" s="686"/>
      <c r="P463" s="686"/>
      <c r="Q463" s="825"/>
      <c r="R463" s="686"/>
      <c r="S463" s="686"/>
      <c r="T463" s="686"/>
      <c r="U463" s="686"/>
      <c r="V463" s="686"/>
      <c r="W463" s="686"/>
      <c r="X463" s="686"/>
      <c r="Y463" s="825"/>
      <c r="Z463" s="686"/>
      <c r="AA463" s="686"/>
      <c r="AB463" s="686"/>
      <c r="AC463" s="686"/>
      <c r="AD463" s="686"/>
      <c r="AE463" s="686"/>
      <c r="AF463" s="686"/>
      <c r="AG463" s="825"/>
      <c r="AH463" s="686"/>
      <c r="AI463" s="686"/>
      <c r="AJ463" s="686"/>
      <c r="AK463" s="686"/>
      <c r="AL463" s="686"/>
      <c r="AM463" s="686"/>
      <c r="AN463" s="686"/>
      <c r="AO463" s="825"/>
      <c r="AP463" s="686"/>
      <c r="AQ463" s="686"/>
      <c r="AR463" s="686"/>
      <c r="AS463" s="686"/>
      <c r="AT463" s="686"/>
      <c r="AU463" s="686"/>
      <c r="AV463" s="686"/>
      <c r="AW463" s="686"/>
      <c r="AX463" s="686"/>
      <c r="AY463" s="686"/>
      <c r="AZ463" s="686"/>
      <c r="BA463" s="686"/>
      <c r="BB463" s="686"/>
      <c r="BC463" s="686"/>
      <c r="BD463" s="686"/>
      <c r="BE463" s="686"/>
      <c r="BF463" s="686"/>
      <c r="BG463" s="686"/>
      <c r="BH463" s="686"/>
    </row>
    <row r="464" spans="3:60" s="44" customFormat="1">
      <c r="C464" s="686"/>
      <c r="D464" s="686"/>
      <c r="E464" s="686"/>
      <c r="F464" s="686"/>
      <c r="G464" s="686"/>
      <c r="H464" s="686"/>
      <c r="I464" s="825"/>
      <c r="J464" s="686"/>
      <c r="K464" s="686"/>
      <c r="L464" s="686"/>
      <c r="M464" s="686"/>
      <c r="N464" s="686"/>
      <c r="O464" s="686"/>
      <c r="P464" s="686"/>
      <c r="Q464" s="825"/>
      <c r="R464" s="686"/>
      <c r="S464" s="686"/>
      <c r="T464" s="686"/>
      <c r="U464" s="686"/>
      <c r="V464" s="686"/>
      <c r="W464" s="686"/>
      <c r="X464" s="686"/>
      <c r="Y464" s="825"/>
      <c r="Z464" s="686"/>
      <c r="AA464" s="686"/>
      <c r="AB464" s="686"/>
      <c r="AC464" s="686"/>
      <c r="AD464" s="686"/>
      <c r="AE464" s="686"/>
      <c r="AF464" s="686"/>
      <c r="AG464" s="825"/>
      <c r="AH464" s="686"/>
      <c r="AI464" s="686"/>
      <c r="AJ464" s="686"/>
      <c r="AK464" s="686"/>
      <c r="AL464" s="686"/>
      <c r="AM464" s="686"/>
      <c r="AN464" s="686"/>
      <c r="AO464" s="825"/>
      <c r="AP464" s="686"/>
      <c r="AQ464" s="686"/>
      <c r="AR464" s="686"/>
      <c r="AS464" s="686"/>
      <c r="AT464" s="686"/>
      <c r="AU464" s="686"/>
      <c r="AV464" s="686"/>
      <c r="AW464" s="686"/>
      <c r="AX464" s="686"/>
      <c r="AY464" s="686"/>
      <c r="AZ464" s="686"/>
      <c r="BA464" s="686"/>
      <c r="BB464" s="686"/>
      <c r="BC464" s="686"/>
      <c r="BD464" s="686"/>
      <c r="BE464" s="686"/>
      <c r="BF464" s="686"/>
      <c r="BG464" s="686"/>
      <c r="BH464" s="686"/>
    </row>
    <row r="465" spans="3:60" s="44" customFormat="1">
      <c r="C465" s="686"/>
      <c r="D465" s="686"/>
      <c r="E465" s="686"/>
      <c r="F465" s="686"/>
      <c r="G465" s="686"/>
      <c r="H465" s="686"/>
      <c r="I465" s="825"/>
      <c r="J465" s="686"/>
      <c r="K465" s="686"/>
      <c r="L465" s="686"/>
      <c r="M465" s="686"/>
      <c r="N465" s="686"/>
      <c r="O465" s="686"/>
      <c r="P465" s="686"/>
      <c r="Q465" s="825"/>
      <c r="R465" s="686"/>
      <c r="S465" s="686"/>
      <c r="T465" s="686"/>
      <c r="U465" s="686"/>
      <c r="V465" s="686"/>
      <c r="W465" s="686"/>
      <c r="X465" s="686"/>
      <c r="Y465" s="825"/>
      <c r="Z465" s="686"/>
      <c r="AA465" s="686"/>
      <c r="AB465" s="686"/>
      <c r="AC465" s="686"/>
      <c r="AD465" s="686"/>
      <c r="AE465" s="686"/>
      <c r="AF465" s="686"/>
      <c r="AG465" s="825"/>
      <c r="AH465" s="686"/>
      <c r="AI465" s="686"/>
      <c r="AJ465" s="686"/>
      <c r="AK465" s="686"/>
      <c r="AL465" s="686"/>
      <c r="AM465" s="686"/>
      <c r="AN465" s="686"/>
      <c r="AO465" s="825"/>
      <c r="AP465" s="686"/>
      <c r="AQ465" s="686"/>
      <c r="AR465" s="686"/>
      <c r="AS465" s="686"/>
      <c r="AT465" s="686"/>
      <c r="AU465" s="686"/>
      <c r="AV465" s="686"/>
      <c r="AW465" s="686"/>
      <c r="AX465" s="686"/>
      <c r="AY465" s="686"/>
      <c r="AZ465" s="686"/>
      <c r="BA465" s="686"/>
      <c r="BB465" s="686"/>
      <c r="BC465" s="686"/>
      <c r="BD465" s="686"/>
      <c r="BE465" s="686"/>
      <c r="BF465" s="686"/>
      <c r="BG465" s="686"/>
      <c r="BH465" s="686"/>
    </row>
    <row r="466" spans="3:60" s="44" customFormat="1">
      <c r="C466" s="686"/>
      <c r="D466" s="686"/>
      <c r="E466" s="686"/>
      <c r="F466" s="686"/>
      <c r="G466" s="686"/>
      <c r="H466" s="686"/>
      <c r="I466" s="825"/>
      <c r="J466" s="686"/>
      <c r="K466" s="686"/>
      <c r="L466" s="686"/>
      <c r="M466" s="686"/>
      <c r="N466" s="686"/>
      <c r="O466" s="686"/>
      <c r="P466" s="686"/>
      <c r="Q466" s="825"/>
      <c r="R466" s="686"/>
      <c r="S466" s="686"/>
      <c r="T466" s="686"/>
      <c r="U466" s="686"/>
      <c r="V466" s="686"/>
      <c r="W466" s="686"/>
      <c r="X466" s="686"/>
      <c r="Y466" s="825"/>
      <c r="Z466" s="686"/>
      <c r="AA466" s="686"/>
      <c r="AB466" s="686"/>
      <c r="AC466" s="686"/>
      <c r="AD466" s="686"/>
      <c r="AE466" s="686"/>
      <c r="AF466" s="686"/>
      <c r="AG466" s="825"/>
      <c r="AH466" s="686"/>
      <c r="AI466" s="686"/>
      <c r="AJ466" s="686"/>
      <c r="AK466" s="686"/>
      <c r="AL466" s="686"/>
      <c r="AM466" s="686"/>
      <c r="AN466" s="686"/>
      <c r="AO466" s="825"/>
      <c r="AP466" s="686"/>
      <c r="AQ466" s="686"/>
      <c r="AR466" s="686"/>
      <c r="AS466" s="686"/>
      <c r="AT466" s="686"/>
      <c r="AU466" s="686"/>
      <c r="AV466" s="686"/>
      <c r="AW466" s="686"/>
      <c r="AX466" s="686"/>
      <c r="AY466" s="686"/>
      <c r="AZ466" s="686"/>
      <c r="BA466" s="686"/>
      <c r="BB466" s="686"/>
      <c r="BC466" s="686"/>
      <c r="BD466" s="686"/>
      <c r="BE466" s="686"/>
      <c r="BF466" s="686"/>
      <c r="BG466" s="686"/>
      <c r="BH466" s="686"/>
    </row>
    <row r="467" spans="3:60" s="44" customFormat="1">
      <c r="C467" s="686"/>
      <c r="D467" s="686"/>
      <c r="E467" s="686"/>
      <c r="F467" s="686"/>
      <c r="G467" s="686"/>
      <c r="H467" s="686"/>
      <c r="I467" s="825"/>
      <c r="J467" s="686"/>
      <c r="K467" s="686"/>
      <c r="L467" s="686"/>
      <c r="M467" s="686"/>
      <c r="N467" s="686"/>
      <c r="O467" s="686"/>
      <c r="P467" s="686"/>
      <c r="Q467" s="825"/>
      <c r="R467" s="686"/>
      <c r="S467" s="686"/>
      <c r="T467" s="686"/>
      <c r="U467" s="686"/>
      <c r="V467" s="686"/>
      <c r="W467" s="686"/>
      <c r="X467" s="686"/>
      <c r="Y467" s="825"/>
      <c r="Z467" s="686"/>
      <c r="AA467" s="686"/>
      <c r="AB467" s="686"/>
      <c r="AC467" s="686"/>
      <c r="AD467" s="686"/>
      <c r="AE467" s="686"/>
      <c r="AF467" s="686"/>
      <c r="AG467" s="825"/>
      <c r="AH467" s="686"/>
      <c r="AI467" s="686"/>
      <c r="AJ467" s="686"/>
      <c r="AK467" s="686"/>
      <c r="AL467" s="686"/>
      <c r="AM467" s="686"/>
      <c r="AN467" s="686"/>
      <c r="AO467" s="825"/>
      <c r="AP467" s="686"/>
      <c r="AQ467" s="686"/>
      <c r="AR467" s="686"/>
      <c r="AS467" s="686"/>
      <c r="AT467" s="686"/>
      <c r="AU467" s="686"/>
      <c r="AV467" s="686"/>
      <c r="AW467" s="686"/>
      <c r="AX467" s="686"/>
      <c r="AY467" s="686"/>
      <c r="AZ467" s="686"/>
      <c r="BA467" s="686"/>
      <c r="BB467" s="686"/>
      <c r="BC467" s="686"/>
      <c r="BD467" s="686"/>
      <c r="BE467" s="686"/>
      <c r="BF467" s="686"/>
      <c r="BG467" s="686"/>
      <c r="BH467" s="686"/>
    </row>
    <row r="468" spans="3:60" s="44" customFormat="1">
      <c r="C468" s="686"/>
      <c r="D468" s="686"/>
      <c r="E468" s="686"/>
      <c r="F468" s="686"/>
      <c r="G468" s="686"/>
      <c r="H468" s="686"/>
      <c r="I468" s="825"/>
      <c r="J468" s="686"/>
      <c r="K468" s="686"/>
      <c r="L468" s="686"/>
      <c r="M468" s="686"/>
      <c r="N468" s="686"/>
      <c r="O468" s="686"/>
      <c r="P468" s="686"/>
      <c r="Q468" s="825"/>
      <c r="R468" s="686"/>
      <c r="S468" s="686"/>
      <c r="T468" s="686"/>
      <c r="U468" s="686"/>
      <c r="V468" s="686"/>
      <c r="W468" s="686"/>
      <c r="X468" s="686"/>
      <c r="Y468" s="825"/>
      <c r="Z468" s="686"/>
      <c r="AA468" s="686"/>
      <c r="AB468" s="686"/>
      <c r="AC468" s="686"/>
      <c r="AD468" s="686"/>
      <c r="AE468" s="686"/>
      <c r="AF468" s="686"/>
      <c r="AG468" s="825"/>
      <c r="AH468" s="686"/>
      <c r="AI468" s="686"/>
      <c r="AJ468" s="686"/>
      <c r="AK468" s="686"/>
      <c r="AL468" s="686"/>
      <c r="AM468" s="686"/>
      <c r="AN468" s="686"/>
      <c r="AO468" s="825"/>
      <c r="AP468" s="686"/>
      <c r="AQ468" s="686"/>
      <c r="AR468" s="686"/>
      <c r="AS468" s="686"/>
      <c r="AT468" s="686"/>
      <c r="AU468" s="686"/>
      <c r="AV468" s="686"/>
      <c r="AW468" s="686"/>
      <c r="AX468" s="686"/>
      <c r="AY468" s="686"/>
      <c r="AZ468" s="686"/>
      <c r="BA468" s="686"/>
      <c r="BB468" s="686"/>
      <c r="BC468" s="686"/>
      <c r="BD468" s="686"/>
      <c r="BE468" s="686"/>
      <c r="BF468" s="686"/>
      <c r="BG468" s="686"/>
      <c r="BH468" s="686"/>
    </row>
    <row r="469" spans="3:60" s="44" customFormat="1">
      <c r="C469" s="686"/>
      <c r="D469" s="686"/>
      <c r="E469" s="686"/>
      <c r="F469" s="686"/>
      <c r="G469" s="686"/>
      <c r="H469" s="686"/>
      <c r="I469" s="825"/>
      <c r="J469" s="686"/>
      <c r="K469" s="686"/>
      <c r="L469" s="686"/>
      <c r="M469" s="686"/>
      <c r="N469" s="686"/>
      <c r="O469" s="686"/>
      <c r="P469" s="686"/>
      <c r="Q469" s="825"/>
      <c r="R469" s="686"/>
      <c r="S469" s="686"/>
      <c r="T469" s="686"/>
      <c r="U469" s="686"/>
      <c r="V469" s="686"/>
      <c r="W469" s="686"/>
      <c r="X469" s="686"/>
      <c r="Y469" s="825"/>
      <c r="Z469" s="686"/>
      <c r="AA469" s="686"/>
      <c r="AB469" s="686"/>
      <c r="AC469" s="686"/>
      <c r="AD469" s="686"/>
      <c r="AE469" s="686"/>
      <c r="AF469" s="686"/>
      <c r="AG469" s="825"/>
      <c r="AH469" s="686"/>
      <c r="AI469" s="686"/>
      <c r="AJ469" s="686"/>
      <c r="AK469" s="686"/>
      <c r="AL469" s="686"/>
      <c r="AM469" s="686"/>
      <c r="AN469" s="686"/>
      <c r="AO469" s="825"/>
      <c r="AP469" s="686"/>
      <c r="AQ469" s="686"/>
      <c r="AR469" s="686"/>
      <c r="AS469" s="686"/>
      <c r="AT469" s="686"/>
      <c r="AU469" s="686"/>
      <c r="AV469" s="686"/>
      <c r="AW469" s="686"/>
      <c r="AX469" s="686"/>
      <c r="AY469" s="686"/>
      <c r="AZ469" s="686"/>
      <c r="BA469" s="686"/>
      <c r="BB469" s="686"/>
      <c r="BC469" s="686"/>
      <c r="BD469" s="686"/>
      <c r="BE469" s="686"/>
      <c r="BF469" s="686"/>
      <c r="BG469" s="686"/>
      <c r="BH469" s="686"/>
    </row>
    <row r="470" spans="3:60" s="44" customFormat="1">
      <c r="C470" s="686"/>
      <c r="D470" s="686"/>
      <c r="E470" s="686"/>
      <c r="F470" s="686"/>
      <c r="G470" s="686"/>
      <c r="H470" s="686"/>
      <c r="I470" s="825"/>
      <c r="J470" s="686"/>
      <c r="K470" s="686"/>
      <c r="L470" s="686"/>
      <c r="M470" s="686"/>
      <c r="N470" s="686"/>
      <c r="O470" s="686"/>
      <c r="P470" s="686"/>
      <c r="Q470" s="825"/>
      <c r="R470" s="686"/>
      <c r="S470" s="686"/>
      <c r="T470" s="686"/>
      <c r="U470" s="686"/>
      <c r="V470" s="686"/>
      <c r="W470" s="686"/>
      <c r="X470" s="686"/>
      <c r="Y470" s="825"/>
      <c r="Z470" s="686"/>
      <c r="AA470" s="686"/>
      <c r="AB470" s="686"/>
      <c r="AC470" s="686"/>
      <c r="AD470" s="686"/>
      <c r="AE470" s="686"/>
      <c r="AF470" s="686"/>
      <c r="AG470" s="825"/>
      <c r="AH470" s="686"/>
      <c r="AI470" s="686"/>
      <c r="AJ470" s="686"/>
      <c r="AK470" s="686"/>
      <c r="AL470" s="686"/>
      <c r="AM470" s="686"/>
      <c r="AN470" s="686"/>
      <c r="AO470" s="825"/>
      <c r="AP470" s="686"/>
      <c r="AQ470" s="686"/>
      <c r="AR470" s="686"/>
      <c r="AS470" s="686"/>
      <c r="AT470" s="686"/>
      <c r="AU470" s="686"/>
      <c r="AV470" s="686"/>
      <c r="AW470" s="686"/>
      <c r="AX470" s="686"/>
      <c r="AY470" s="686"/>
      <c r="AZ470" s="686"/>
      <c r="BA470" s="686"/>
      <c r="BB470" s="686"/>
      <c r="BC470" s="686"/>
      <c r="BD470" s="686"/>
      <c r="BE470" s="686"/>
      <c r="BF470" s="686"/>
      <c r="BG470" s="686"/>
      <c r="BH470" s="686"/>
    </row>
    <row r="471" spans="3:60" s="44" customFormat="1">
      <c r="C471" s="686"/>
      <c r="D471" s="686"/>
      <c r="E471" s="686"/>
      <c r="F471" s="686"/>
      <c r="G471" s="686"/>
      <c r="H471" s="686"/>
      <c r="I471" s="825"/>
      <c r="J471" s="686"/>
      <c r="K471" s="686"/>
      <c r="L471" s="686"/>
      <c r="M471" s="686"/>
      <c r="N471" s="686"/>
      <c r="O471" s="686"/>
      <c r="P471" s="686"/>
      <c r="Q471" s="825"/>
      <c r="R471" s="686"/>
      <c r="S471" s="686"/>
      <c r="T471" s="686"/>
      <c r="U471" s="686"/>
      <c r="V471" s="686"/>
      <c r="W471" s="686"/>
      <c r="X471" s="686"/>
      <c r="Y471" s="825"/>
      <c r="Z471" s="686"/>
      <c r="AA471" s="686"/>
      <c r="AB471" s="686"/>
      <c r="AC471" s="686"/>
      <c r="AD471" s="686"/>
      <c r="AE471" s="686"/>
      <c r="AF471" s="686"/>
      <c r="AG471" s="825"/>
      <c r="AH471" s="686"/>
      <c r="AI471" s="686"/>
      <c r="AJ471" s="686"/>
      <c r="AK471" s="686"/>
      <c r="AL471" s="686"/>
      <c r="AM471" s="686"/>
      <c r="AN471" s="686"/>
      <c r="AO471" s="825"/>
      <c r="AP471" s="686"/>
      <c r="AQ471" s="686"/>
      <c r="AR471" s="686"/>
      <c r="AS471" s="686"/>
      <c r="AT471" s="686"/>
      <c r="AU471" s="686"/>
      <c r="AV471" s="686"/>
      <c r="AW471" s="686"/>
      <c r="AX471" s="686"/>
      <c r="AY471" s="686"/>
      <c r="AZ471" s="686"/>
      <c r="BA471" s="686"/>
      <c r="BB471" s="686"/>
      <c r="BC471" s="686"/>
      <c r="BD471" s="686"/>
      <c r="BE471" s="686"/>
      <c r="BF471" s="686"/>
      <c r="BG471" s="686"/>
      <c r="BH471" s="686"/>
    </row>
    <row r="472" spans="3:60" s="44" customFormat="1">
      <c r="C472" s="686"/>
      <c r="D472" s="686"/>
      <c r="E472" s="686"/>
      <c r="F472" s="686"/>
      <c r="G472" s="686"/>
      <c r="H472" s="686"/>
      <c r="I472" s="825"/>
      <c r="J472" s="686"/>
      <c r="K472" s="686"/>
      <c r="L472" s="686"/>
      <c r="M472" s="686"/>
      <c r="N472" s="686"/>
      <c r="O472" s="686"/>
      <c r="P472" s="686"/>
      <c r="Q472" s="825"/>
      <c r="R472" s="686"/>
      <c r="S472" s="686"/>
      <c r="T472" s="686"/>
      <c r="U472" s="686"/>
      <c r="V472" s="686"/>
      <c r="W472" s="686"/>
      <c r="X472" s="686"/>
      <c r="Y472" s="825"/>
      <c r="Z472" s="686"/>
      <c r="AA472" s="686"/>
      <c r="AB472" s="686"/>
      <c r="AC472" s="686"/>
      <c r="AD472" s="686"/>
      <c r="AE472" s="686"/>
      <c r="AF472" s="686"/>
      <c r="AG472" s="825"/>
      <c r="AH472" s="686"/>
      <c r="AI472" s="686"/>
      <c r="AJ472" s="686"/>
      <c r="AK472" s="686"/>
      <c r="AL472" s="686"/>
      <c r="AM472" s="686"/>
      <c r="AN472" s="686"/>
      <c r="AO472" s="825"/>
      <c r="AP472" s="686"/>
      <c r="AQ472" s="686"/>
      <c r="AR472" s="686"/>
      <c r="AS472" s="686"/>
      <c r="AT472" s="686"/>
      <c r="AU472" s="686"/>
      <c r="AV472" s="686"/>
      <c r="AW472" s="686"/>
      <c r="AX472" s="686"/>
      <c r="AY472" s="686"/>
      <c r="AZ472" s="686"/>
      <c r="BA472" s="686"/>
      <c r="BB472" s="686"/>
      <c r="BC472" s="686"/>
      <c r="BD472" s="686"/>
      <c r="BE472" s="686"/>
      <c r="BF472" s="686"/>
      <c r="BG472" s="686"/>
      <c r="BH472" s="686"/>
    </row>
    <row r="473" spans="3:60" s="44" customFormat="1">
      <c r="C473" s="686"/>
      <c r="D473" s="686"/>
      <c r="E473" s="686"/>
      <c r="F473" s="686"/>
      <c r="G473" s="686"/>
      <c r="H473" s="686"/>
      <c r="I473" s="825"/>
      <c r="J473" s="686"/>
      <c r="K473" s="686"/>
      <c r="L473" s="686"/>
      <c r="M473" s="686"/>
      <c r="N473" s="686"/>
      <c r="O473" s="686"/>
      <c r="P473" s="686"/>
      <c r="Q473" s="825"/>
      <c r="R473" s="686"/>
      <c r="S473" s="686"/>
      <c r="T473" s="686"/>
      <c r="U473" s="686"/>
      <c r="V473" s="686"/>
      <c r="W473" s="686"/>
      <c r="X473" s="686"/>
      <c r="Y473" s="825"/>
      <c r="Z473" s="686"/>
      <c r="AA473" s="686"/>
      <c r="AB473" s="686"/>
      <c r="AC473" s="686"/>
      <c r="AD473" s="686"/>
      <c r="AE473" s="686"/>
      <c r="AF473" s="686"/>
      <c r="AG473" s="825"/>
      <c r="AH473" s="686"/>
      <c r="AI473" s="686"/>
      <c r="AJ473" s="686"/>
      <c r="AK473" s="686"/>
      <c r="AL473" s="686"/>
      <c r="AM473" s="686"/>
      <c r="AN473" s="686"/>
      <c r="AO473" s="825"/>
      <c r="AP473" s="686"/>
      <c r="AQ473" s="686"/>
      <c r="AR473" s="686"/>
      <c r="AS473" s="686"/>
      <c r="AT473" s="686"/>
      <c r="AU473" s="686"/>
      <c r="AV473" s="686"/>
      <c r="AW473" s="686"/>
      <c r="AX473" s="686"/>
      <c r="AY473" s="686"/>
      <c r="AZ473" s="686"/>
      <c r="BA473" s="686"/>
      <c r="BB473" s="686"/>
      <c r="BC473" s="686"/>
      <c r="BD473" s="686"/>
      <c r="BE473" s="686"/>
      <c r="BF473" s="686"/>
      <c r="BG473" s="686"/>
      <c r="BH473" s="686"/>
    </row>
    <row r="474" spans="3:60" s="44" customFormat="1">
      <c r="C474" s="686"/>
      <c r="D474" s="686"/>
      <c r="E474" s="686"/>
      <c r="F474" s="686"/>
      <c r="G474" s="686"/>
      <c r="H474" s="686"/>
      <c r="I474" s="825"/>
      <c r="J474" s="686"/>
      <c r="K474" s="686"/>
      <c r="L474" s="686"/>
      <c r="M474" s="686"/>
      <c r="N474" s="686"/>
      <c r="O474" s="686"/>
      <c r="P474" s="686"/>
      <c r="Q474" s="825"/>
      <c r="R474" s="686"/>
      <c r="S474" s="686"/>
      <c r="T474" s="686"/>
      <c r="U474" s="686"/>
      <c r="V474" s="686"/>
      <c r="W474" s="686"/>
      <c r="X474" s="686"/>
      <c r="Y474" s="825"/>
      <c r="Z474" s="686"/>
      <c r="AA474" s="686"/>
      <c r="AB474" s="686"/>
      <c r="AC474" s="686"/>
      <c r="AD474" s="686"/>
      <c r="AE474" s="686"/>
      <c r="AF474" s="686"/>
      <c r="AG474" s="825"/>
      <c r="AH474" s="686"/>
      <c r="AI474" s="686"/>
      <c r="AJ474" s="686"/>
      <c r="AK474" s="686"/>
      <c r="AL474" s="686"/>
      <c r="AM474" s="686"/>
      <c r="AN474" s="686"/>
      <c r="AO474" s="825"/>
      <c r="AP474" s="686"/>
      <c r="AQ474" s="686"/>
      <c r="AR474" s="686"/>
      <c r="AS474" s="686"/>
      <c r="AT474" s="686"/>
      <c r="AU474" s="686"/>
      <c r="AV474" s="686"/>
      <c r="AW474" s="686"/>
      <c r="AX474" s="686"/>
      <c r="AY474" s="686"/>
      <c r="AZ474" s="686"/>
      <c r="BA474" s="686"/>
      <c r="BB474" s="686"/>
      <c r="BC474" s="686"/>
      <c r="BD474" s="686"/>
      <c r="BE474" s="686"/>
      <c r="BF474" s="686"/>
      <c r="BG474" s="686"/>
      <c r="BH474" s="686"/>
    </row>
    <row r="475" spans="3:60" s="44" customFormat="1">
      <c r="C475" s="686"/>
      <c r="D475" s="686"/>
      <c r="E475" s="686"/>
      <c r="F475" s="686"/>
      <c r="G475" s="686"/>
      <c r="H475" s="686"/>
      <c r="I475" s="825"/>
      <c r="J475" s="686"/>
      <c r="K475" s="686"/>
      <c r="L475" s="686"/>
      <c r="M475" s="686"/>
      <c r="N475" s="686"/>
      <c r="O475" s="686"/>
      <c r="P475" s="686"/>
      <c r="Q475" s="825"/>
      <c r="R475" s="686"/>
      <c r="S475" s="686"/>
      <c r="T475" s="686"/>
      <c r="U475" s="686"/>
      <c r="V475" s="686"/>
      <c r="W475" s="686"/>
      <c r="X475" s="686"/>
      <c r="Y475" s="825"/>
      <c r="Z475" s="686"/>
      <c r="AA475" s="686"/>
      <c r="AB475" s="686"/>
      <c r="AC475" s="686"/>
      <c r="AD475" s="686"/>
      <c r="AE475" s="686"/>
      <c r="AF475" s="686"/>
      <c r="AG475" s="825"/>
      <c r="AH475" s="686"/>
      <c r="AI475" s="686"/>
      <c r="AJ475" s="686"/>
      <c r="AK475" s="686"/>
      <c r="AL475" s="686"/>
      <c r="AM475" s="686"/>
      <c r="AN475" s="686"/>
      <c r="AO475" s="825"/>
      <c r="AP475" s="686"/>
      <c r="AQ475" s="686"/>
      <c r="AR475" s="686"/>
      <c r="AS475" s="686"/>
      <c r="AT475" s="686"/>
      <c r="AU475" s="686"/>
      <c r="AV475" s="686"/>
      <c r="AW475" s="686"/>
      <c r="AX475" s="686"/>
      <c r="AY475" s="686"/>
      <c r="AZ475" s="686"/>
      <c r="BA475" s="686"/>
      <c r="BB475" s="686"/>
      <c r="BC475" s="686"/>
      <c r="BD475" s="686"/>
      <c r="BE475" s="686"/>
      <c r="BF475" s="686"/>
      <c r="BG475" s="686"/>
      <c r="BH475" s="686"/>
    </row>
    <row r="476" spans="3:60" s="44" customFormat="1">
      <c r="C476" s="686"/>
      <c r="D476" s="686"/>
      <c r="E476" s="686"/>
      <c r="F476" s="686"/>
      <c r="G476" s="686"/>
      <c r="H476" s="686"/>
      <c r="I476" s="825"/>
      <c r="J476" s="686"/>
      <c r="K476" s="686"/>
      <c r="L476" s="686"/>
      <c r="M476" s="686"/>
      <c r="N476" s="686"/>
      <c r="O476" s="686"/>
      <c r="P476" s="686"/>
      <c r="Q476" s="825"/>
      <c r="R476" s="686"/>
      <c r="S476" s="686"/>
      <c r="T476" s="686"/>
      <c r="U476" s="686"/>
      <c r="V476" s="686"/>
      <c r="W476" s="686"/>
      <c r="X476" s="686"/>
      <c r="Y476" s="825"/>
      <c r="Z476" s="686"/>
      <c r="AA476" s="686"/>
      <c r="AB476" s="686"/>
      <c r="AC476" s="686"/>
      <c r="AD476" s="686"/>
      <c r="AE476" s="686"/>
      <c r="AF476" s="686"/>
      <c r="AG476" s="825"/>
      <c r="AH476" s="686"/>
      <c r="AI476" s="686"/>
      <c r="AJ476" s="686"/>
      <c r="AK476" s="686"/>
      <c r="AL476" s="686"/>
      <c r="AM476" s="686"/>
      <c r="AN476" s="686"/>
      <c r="AO476" s="825"/>
      <c r="AP476" s="686"/>
      <c r="AQ476" s="686"/>
      <c r="AR476" s="686"/>
      <c r="AS476" s="686"/>
      <c r="AT476" s="686"/>
      <c r="AU476" s="686"/>
      <c r="AV476" s="686"/>
      <c r="AW476" s="686"/>
      <c r="AX476" s="686"/>
      <c r="AY476" s="686"/>
      <c r="AZ476" s="686"/>
      <c r="BA476" s="686"/>
      <c r="BB476" s="686"/>
      <c r="BC476" s="686"/>
      <c r="BD476" s="686"/>
      <c r="BE476" s="686"/>
      <c r="BF476" s="686"/>
      <c r="BG476" s="686"/>
      <c r="BH476" s="686"/>
    </row>
    <row r="477" spans="3:60" s="44" customFormat="1">
      <c r="C477" s="686"/>
      <c r="D477" s="686"/>
      <c r="E477" s="686"/>
      <c r="F477" s="686"/>
      <c r="G477" s="686"/>
      <c r="H477" s="686"/>
      <c r="I477" s="825"/>
      <c r="J477" s="686"/>
      <c r="K477" s="686"/>
      <c r="L477" s="686"/>
      <c r="M477" s="686"/>
      <c r="N477" s="686"/>
      <c r="O477" s="686"/>
      <c r="P477" s="686"/>
      <c r="Q477" s="825"/>
      <c r="R477" s="686"/>
      <c r="S477" s="686"/>
      <c r="T477" s="686"/>
      <c r="U477" s="686"/>
      <c r="V477" s="686"/>
      <c r="W477" s="686"/>
      <c r="X477" s="686"/>
      <c r="Y477" s="825"/>
      <c r="Z477" s="686"/>
      <c r="AA477" s="686"/>
      <c r="AB477" s="686"/>
      <c r="AC477" s="686"/>
      <c r="AD477" s="686"/>
      <c r="AE477" s="686"/>
      <c r="AF477" s="686"/>
      <c r="AG477" s="825"/>
      <c r="AH477" s="686"/>
      <c r="AI477" s="686"/>
      <c r="AJ477" s="686"/>
      <c r="AK477" s="686"/>
      <c r="AL477" s="686"/>
      <c r="AM477" s="686"/>
      <c r="AN477" s="686"/>
      <c r="AO477" s="825"/>
      <c r="AP477" s="686"/>
      <c r="AQ477" s="686"/>
      <c r="AR477" s="686"/>
      <c r="AS477" s="686"/>
      <c r="AT477" s="686"/>
      <c r="AU477" s="686"/>
      <c r="AV477" s="686"/>
      <c r="AW477" s="686"/>
      <c r="AX477" s="686"/>
      <c r="AY477" s="686"/>
      <c r="AZ477" s="686"/>
      <c r="BA477" s="686"/>
      <c r="BB477" s="686"/>
      <c r="BC477" s="686"/>
      <c r="BD477" s="686"/>
      <c r="BE477" s="686"/>
      <c r="BF477" s="686"/>
      <c r="BG477" s="686"/>
      <c r="BH477" s="686"/>
    </row>
    <row r="478" spans="3:60" s="44" customFormat="1">
      <c r="C478" s="686"/>
      <c r="D478" s="686"/>
      <c r="E478" s="686"/>
      <c r="F478" s="686"/>
      <c r="G478" s="686"/>
      <c r="H478" s="686"/>
      <c r="I478" s="825"/>
      <c r="J478" s="686"/>
      <c r="K478" s="686"/>
      <c r="L478" s="686"/>
      <c r="M478" s="686"/>
      <c r="N478" s="686"/>
      <c r="O478" s="686"/>
      <c r="P478" s="686"/>
      <c r="Q478" s="825"/>
      <c r="R478" s="686"/>
      <c r="S478" s="686"/>
      <c r="T478" s="686"/>
      <c r="U478" s="686"/>
      <c r="V478" s="686"/>
      <c r="W478" s="686"/>
      <c r="X478" s="686"/>
      <c r="Y478" s="825"/>
      <c r="Z478" s="686"/>
      <c r="AA478" s="686"/>
      <c r="AB478" s="686"/>
      <c r="AC478" s="686"/>
      <c r="AD478" s="686"/>
      <c r="AE478" s="686"/>
      <c r="AF478" s="686"/>
      <c r="AG478" s="825"/>
      <c r="AH478" s="686"/>
      <c r="AI478" s="686"/>
      <c r="AJ478" s="686"/>
      <c r="AK478" s="686"/>
      <c r="AL478" s="686"/>
      <c r="AM478" s="686"/>
      <c r="AN478" s="686"/>
      <c r="AO478" s="825"/>
      <c r="AP478" s="686"/>
      <c r="AQ478" s="686"/>
      <c r="AR478" s="686"/>
      <c r="AS478" s="686"/>
      <c r="AT478" s="686"/>
      <c r="AU478" s="686"/>
      <c r="AV478" s="686"/>
      <c r="AW478" s="686"/>
      <c r="AX478" s="686"/>
      <c r="AY478" s="686"/>
      <c r="AZ478" s="686"/>
      <c r="BA478" s="686"/>
      <c r="BB478" s="686"/>
      <c r="BC478" s="686"/>
      <c r="BD478" s="686"/>
      <c r="BE478" s="686"/>
      <c r="BF478" s="686"/>
      <c r="BG478" s="686"/>
      <c r="BH478" s="686"/>
    </row>
    <row r="479" spans="3:60" s="44" customFormat="1">
      <c r="C479" s="686"/>
      <c r="D479" s="686"/>
      <c r="E479" s="686"/>
      <c r="F479" s="686"/>
      <c r="G479" s="686"/>
      <c r="H479" s="686"/>
      <c r="I479" s="825"/>
      <c r="J479" s="686"/>
      <c r="K479" s="686"/>
      <c r="L479" s="686"/>
      <c r="M479" s="686"/>
      <c r="N479" s="686"/>
      <c r="O479" s="686"/>
      <c r="P479" s="686"/>
      <c r="Q479" s="825"/>
      <c r="R479" s="686"/>
      <c r="S479" s="686"/>
      <c r="T479" s="686"/>
      <c r="U479" s="686"/>
      <c r="V479" s="686"/>
      <c r="W479" s="686"/>
      <c r="X479" s="686"/>
      <c r="Y479" s="825"/>
      <c r="Z479" s="686"/>
      <c r="AA479" s="686"/>
      <c r="AB479" s="686"/>
      <c r="AC479" s="686"/>
      <c r="AD479" s="686"/>
      <c r="AE479" s="686"/>
      <c r="AF479" s="686"/>
      <c r="AG479" s="825"/>
      <c r="AH479" s="686"/>
      <c r="AI479" s="686"/>
      <c r="AJ479" s="686"/>
      <c r="AK479" s="686"/>
      <c r="AL479" s="686"/>
      <c r="AM479" s="686"/>
      <c r="AN479" s="686"/>
      <c r="AO479" s="825"/>
      <c r="AP479" s="686"/>
      <c r="AQ479" s="686"/>
      <c r="AR479" s="686"/>
      <c r="AS479" s="686"/>
      <c r="AT479" s="686"/>
      <c r="AU479" s="686"/>
      <c r="AV479" s="686"/>
      <c r="AW479" s="686"/>
      <c r="AX479" s="686"/>
      <c r="AY479" s="686"/>
      <c r="AZ479" s="686"/>
      <c r="BA479" s="686"/>
      <c r="BB479" s="686"/>
      <c r="BC479" s="686"/>
      <c r="BD479" s="686"/>
      <c r="BE479" s="686"/>
      <c r="BF479" s="686"/>
      <c r="BG479" s="686"/>
      <c r="BH479" s="686"/>
    </row>
    <row r="480" spans="3:60" s="44" customFormat="1">
      <c r="C480" s="686"/>
      <c r="D480" s="686"/>
      <c r="E480" s="686"/>
      <c r="F480" s="686"/>
      <c r="G480" s="686"/>
      <c r="H480" s="686"/>
      <c r="I480" s="825"/>
      <c r="J480" s="686"/>
      <c r="K480" s="686"/>
      <c r="L480" s="686"/>
      <c r="M480" s="686"/>
      <c r="N480" s="686"/>
      <c r="O480" s="686"/>
      <c r="P480" s="686"/>
      <c r="Q480" s="825"/>
      <c r="R480" s="686"/>
      <c r="S480" s="686"/>
      <c r="T480" s="686"/>
      <c r="U480" s="686"/>
      <c r="V480" s="686"/>
      <c r="W480" s="686"/>
      <c r="X480" s="686"/>
      <c r="Y480" s="825"/>
      <c r="Z480" s="686"/>
      <c r="AA480" s="686"/>
      <c r="AB480" s="686"/>
      <c r="AC480" s="686"/>
      <c r="AD480" s="686"/>
      <c r="AE480" s="686"/>
      <c r="AF480" s="686"/>
      <c r="AG480" s="825"/>
      <c r="AH480" s="686"/>
      <c r="AI480" s="686"/>
      <c r="AJ480" s="686"/>
      <c r="AK480" s="686"/>
      <c r="AL480" s="686"/>
      <c r="AM480" s="686"/>
      <c r="AN480" s="686"/>
      <c r="AO480" s="825"/>
      <c r="AP480" s="686"/>
      <c r="AQ480" s="686"/>
      <c r="AR480" s="686"/>
      <c r="AS480" s="686"/>
      <c r="AT480" s="686"/>
      <c r="AU480" s="686"/>
      <c r="AV480" s="686"/>
      <c r="AW480" s="45"/>
      <c r="AX480" s="45"/>
      <c r="AY480" s="45"/>
      <c r="AZ480" s="45"/>
      <c r="BA480" s="45"/>
      <c r="BB480" s="45"/>
      <c r="BC480" s="45"/>
      <c r="BD480" s="45"/>
      <c r="BE480" s="45"/>
      <c r="BF480" s="45"/>
      <c r="BG480" s="45"/>
      <c r="BH480" s="45"/>
    </row>
    <row r="481" spans="3:60" s="44" customFormat="1">
      <c r="C481" s="686"/>
      <c r="D481" s="686"/>
      <c r="E481" s="686"/>
      <c r="F481" s="686"/>
      <c r="G481" s="686"/>
      <c r="H481" s="686"/>
      <c r="I481" s="825"/>
      <c r="J481" s="686"/>
      <c r="K481" s="686"/>
      <c r="L481" s="686"/>
      <c r="M481" s="686"/>
      <c r="N481" s="686"/>
      <c r="O481" s="686"/>
      <c r="P481" s="686"/>
      <c r="Q481" s="825"/>
      <c r="R481" s="686"/>
      <c r="S481" s="686"/>
      <c r="T481" s="686"/>
      <c r="U481" s="686"/>
      <c r="V481" s="686"/>
      <c r="W481" s="686"/>
      <c r="X481" s="686"/>
      <c r="Y481" s="825"/>
      <c r="Z481" s="686"/>
      <c r="AA481" s="686"/>
      <c r="AB481" s="686"/>
      <c r="AC481" s="686"/>
      <c r="AD481" s="686"/>
      <c r="AE481" s="686"/>
      <c r="AF481" s="686"/>
      <c r="AG481" s="825"/>
      <c r="AH481" s="686"/>
      <c r="AI481" s="686"/>
      <c r="AJ481" s="686"/>
      <c r="AK481" s="686"/>
      <c r="AL481" s="686"/>
      <c r="AM481" s="686"/>
      <c r="AN481" s="686"/>
      <c r="AO481" s="825"/>
      <c r="AP481" s="686"/>
      <c r="AQ481" s="686"/>
      <c r="AR481" s="686"/>
      <c r="AS481" s="686"/>
      <c r="AT481" s="686"/>
      <c r="AU481" s="686"/>
      <c r="AV481" s="686"/>
      <c r="AW481" s="45"/>
      <c r="AX481" s="45"/>
      <c r="AY481" s="45"/>
      <c r="AZ481" s="45"/>
      <c r="BA481" s="45"/>
      <c r="BB481" s="45"/>
      <c r="BC481" s="45"/>
      <c r="BD481" s="45"/>
      <c r="BE481" s="45"/>
      <c r="BF481" s="45"/>
      <c r="BG481" s="45"/>
      <c r="BH481" s="45"/>
    </row>
    <row r="482" spans="3:60" s="44" customFormat="1">
      <c r="C482" s="686"/>
      <c r="D482" s="686"/>
      <c r="E482" s="686"/>
      <c r="F482" s="686"/>
      <c r="G482" s="686"/>
      <c r="H482" s="686"/>
      <c r="I482" s="825"/>
      <c r="J482" s="686"/>
      <c r="K482" s="686"/>
      <c r="L482" s="686"/>
      <c r="M482" s="686"/>
      <c r="N482" s="686"/>
      <c r="O482" s="686"/>
      <c r="P482" s="686"/>
      <c r="Q482" s="825"/>
      <c r="R482" s="686"/>
      <c r="S482" s="686"/>
      <c r="T482" s="686"/>
      <c r="U482" s="686"/>
      <c r="V482" s="686"/>
      <c r="W482" s="686"/>
      <c r="X482" s="686"/>
      <c r="Y482" s="825"/>
      <c r="Z482" s="686"/>
      <c r="AA482" s="686"/>
      <c r="AB482" s="686"/>
      <c r="AC482" s="686"/>
      <c r="AD482" s="686"/>
      <c r="AE482" s="686"/>
      <c r="AF482" s="686"/>
      <c r="AG482" s="825"/>
      <c r="AH482" s="686"/>
      <c r="AI482" s="686"/>
      <c r="AJ482" s="686"/>
      <c r="AK482" s="686"/>
      <c r="AL482" s="686"/>
      <c r="AM482" s="686"/>
      <c r="AN482" s="686"/>
      <c r="AO482" s="825"/>
      <c r="AP482" s="686"/>
      <c r="AQ482" s="686"/>
      <c r="AR482" s="686"/>
      <c r="AS482" s="686"/>
      <c r="AT482" s="686"/>
      <c r="AU482" s="686"/>
      <c r="AV482" s="686"/>
      <c r="AW482" s="45"/>
      <c r="AX482" s="45"/>
      <c r="AY482" s="45"/>
      <c r="AZ482" s="45"/>
      <c r="BA482" s="45"/>
      <c r="BB482" s="45"/>
      <c r="BC482" s="45"/>
      <c r="BD482" s="45"/>
      <c r="BE482" s="45"/>
      <c r="BF482" s="45"/>
      <c r="BG482" s="45"/>
      <c r="BH482" s="45"/>
    </row>
    <row r="483" spans="3:60" s="44" customFormat="1">
      <c r="C483" s="686"/>
      <c r="D483" s="686"/>
      <c r="E483" s="686"/>
      <c r="F483" s="686"/>
      <c r="G483" s="686"/>
      <c r="H483" s="686"/>
      <c r="I483" s="825"/>
      <c r="J483" s="686"/>
      <c r="K483" s="686"/>
      <c r="L483" s="686"/>
      <c r="M483" s="686"/>
      <c r="N483" s="686"/>
      <c r="O483" s="686"/>
      <c r="P483" s="686"/>
      <c r="Q483" s="825"/>
      <c r="R483" s="686"/>
      <c r="S483" s="686"/>
      <c r="T483" s="686"/>
      <c r="U483" s="686"/>
      <c r="V483" s="686"/>
      <c r="W483" s="686"/>
      <c r="X483" s="686"/>
      <c r="Y483" s="825"/>
      <c r="Z483" s="686"/>
      <c r="AA483" s="686"/>
      <c r="AB483" s="686"/>
      <c r="AC483" s="686"/>
      <c r="AD483" s="686"/>
      <c r="AE483" s="686"/>
      <c r="AF483" s="686"/>
      <c r="AG483" s="825"/>
      <c r="AH483" s="686"/>
      <c r="AI483" s="686"/>
      <c r="AJ483" s="686"/>
      <c r="AK483" s="686"/>
      <c r="AL483" s="686"/>
      <c r="AM483" s="686"/>
      <c r="AN483" s="686"/>
      <c r="AO483" s="825"/>
      <c r="AP483" s="686"/>
      <c r="AQ483" s="686"/>
      <c r="AR483" s="686"/>
      <c r="AS483" s="686"/>
      <c r="AT483" s="686"/>
      <c r="AU483" s="686"/>
      <c r="AV483" s="686"/>
      <c r="AW483" s="45"/>
      <c r="AX483" s="45"/>
      <c r="AY483" s="45"/>
      <c r="AZ483" s="45"/>
      <c r="BA483" s="45"/>
      <c r="BB483" s="45"/>
      <c r="BC483" s="45"/>
      <c r="BD483" s="45"/>
      <c r="BE483" s="45"/>
      <c r="BF483" s="45"/>
      <c r="BG483" s="45"/>
      <c r="BH483" s="45"/>
    </row>
    <row r="484" spans="3:60" s="44" customFormat="1">
      <c r="C484" s="686"/>
      <c r="D484" s="686"/>
      <c r="E484" s="686"/>
      <c r="F484" s="686"/>
      <c r="G484" s="686"/>
      <c r="H484" s="686"/>
      <c r="I484" s="825"/>
      <c r="J484" s="686"/>
      <c r="K484" s="686"/>
      <c r="L484" s="686"/>
      <c r="M484" s="686"/>
      <c r="N484" s="686"/>
      <c r="O484" s="686"/>
      <c r="P484" s="686"/>
      <c r="Q484" s="825"/>
      <c r="R484" s="686"/>
      <c r="S484" s="686"/>
      <c r="T484" s="686"/>
      <c r="U484" s="686"/>
      <c r="V484" s="686"/>
      <c r="W484" s="686"/>
      <c r="X484" s="686"/>
      <c r="Y484" s="825"/>
      <c r="Z484" s="686"/>
      <c r="AA484" s="686"/>
      <c r="AB484" s="686"/>
      <c r="AC484" s="686"/>
      <c r="AD484" s="686"/>
      <c r="AE484" s="686"/>
      <c r="AF484" s="686"/>
      <c r="AG484" s="825"/>
      <c r="AH484" s="686"/>
      <c r="AI484" s="686"/>
      <c r="AJ484" s="686"/>
      <c r="AK484" s="686"/>
      <c r="AL484" s="686"/>
      <c r="AM484" s="686"/>
      <c r="AN484" s="686"/>
      <c r="AO484" s="825"/>
      <c r="AP484" s="686"/>
      <c r="AQ484" s="686"/>
      <c r="AR484" s="686"/>
      <c r="AS484" s="686"/>
      <c r="AT484" s="686"/>
      <c r="AU484" s="686"/>
      <c r="AV484" s="686"/>
      <c r="AW484" s="45"/>
      <c r="AX484" s="45"/>
      <c r="AY484" s="45"/>
      <c r="AZ484" s="45"/>
      <c r="BA484" s="45"/>
      <c r="BB484" s="45"/>
      <c r="BC484" s="45"/>
      <c r="BD484" s="45"/>
      <c r="BE484" s="45"/>
      <c r="BF484" s="45"/>
      <c r="BG484" s="45"/>
      <c r="BH484" s="45"/>
    </row>
    <row r="485" spans="3:60" s="44" customFormat="1">
      <c r="C485" s="686"/>
      <c r="D485" s="686"/>
      <c r="E485" s="686"/>
      <c r="F485" s="686"/>
      <c r="G485" s="686"/>
      <c r="H485" s="686"/>
      <c r="I485" s="825"/>
      <c r="J485" s="686"/>
      <c r="K485" s="686"/>
      <c r="L485" s="686"/>
      <c r="M485" s="686"/>
      <c r="N485" s="686"/>
      <c r="O485" s="686"/>
      <c r="P485" s="686"/>
      <c r="Q485" s="825"/>
      <c r="R485" s="686"/>
      <c r="S485" s="686"/>
      <c r="T485" s="686"/>
      <c r="U485" s="686"/>
      <c r="V485" s="686"/>
      <c r="W485" s="686"/>
      <c r="X485" s="686"/>
      <c r="Y485" s="825"/>
      <c r="Z485" s="686"/>
      <c r="AA485" s="686"/>
      <c r="AB485" s="686"/>
      <c r="AC485" s="686"/>
      <c r="AD485" s="686"/>
      <c r="AE485" s="686"/>
      <c r="AF485" s="686"/>
      <c r="AG485" s="825"/>
      <c r="AH485" s="686"/>
      <c r="AI485" s="686"/>
      <c r="AJ485" s="686"/>
      <c r="AK485" s="686"/>
      <c r="AL485" s="686"/>
      <c r="AM485" s="686"/>
      <c r="AN485" s="686"/>
      <c r="AO485" s="825"/>
      <c r="AP485" s="686"/>
      <c r="AQ485" s="686"/>
      <c r="AR485" s="686"/>
      <c r="AS485" s="686"/>
      <c r="AT485" s="686"/>
      <c r="AU485" s="686"/>
      <c r="AV485" s="686"/>
      <c r="AW485" s="45"/>
      <c r="AX485" s="45"/>
      <c r="AY485" s="45"/>
      <c r="AZ485" s="45"/>
      <c r="BA485" s="45"/>
      <c r="BB485" s="45"/>
      <c r="BC485" s="45"/>
      <c r="BD485" s="45"/>
      <c r="BE485" s="45"/>
      <c r="BF485" s="45"/>
      <c r="BG485" s="45"/>
      <c r="BH485" s="45"/>
    </row>
    <row r="486" spans="3:60" s="44" customFormat="1">
      <c r="C486" s="686"/>
      <c r="D486" s="686"/>
      <c r="E486" s="686"/>
      <c r="F486" s="686"/>
      <c r="G486" s="686"/>
      <c r="H486" s="686"/>
      <c r="I486" s="825"/>
      <c r="J486" s="686"/>
      <c r="K486" s="686"/>
      <c r="L486" s="686"/>
      <c r="M486" s="686"/>
      <c r="N486" s="686"/>
      <c r="O486" s="686"/>
      <c r="P486" s="686"/>
      <c r="Q486" s="825"/>
      <c r="R486" s="686"/>
      <c r="S486" s="686"/>
      <c r="T486" s="686"/>
      <c r="U486" s="686"/>
      <c r="V486" s="686"/>
      <c r="W486" s="686"/>
      <c r="X486" s="686"/>
      <c r="Y486" s="825"/>
      <c r="Z486" s="686"/>
      <c r="AA486" s="686"/>
      <c r="AB486" s="686"/>
      <c r="AC486" s="686"/>
      <c r="AD486" s="686"/>
      <c r="AE486" s="686"/>
      <c r="AF486" s="686"/>
      <c r="AG486" s="825"/>
      <c r="AH486" s="686"/>
      <c r="AI486" s="686"/>
      <c r="AJ486" s="686"/>
      <c r="AK486" s="686"/>
      <c r="AL486" s="686"/>
      <c r="AM486" s="686"/>
      <c r="AN486" s="686"/>
      <c r="AO486" s="825"/>
      <c r="AP486" s="686"/>
      <c r="AQ486" s="686"/>
      <c r="AR486" s="686"/>
      <c r="AS486" s="686"/>
      <c r="AT486" s="686"/>
      <c r="AU486" s="686"/>
      <c r="AV486" s="686"/>
      <c r="AW486" s="45"/>
      <c r="AX486" s="45"/>
      <c r="AY486" s="45"/>
      <c r="AZ486" s="45"/>
      <c r="BA486" s="45"/>
      <c r="BB486" s="45"/>
      <c r="BC486" s="45"/>
      <c r="BD486" s="45"/>
      <c r="BE486" s="45"/>
      <c r="BF486" s="45"/>
      <c r="BG486" s="45"/>
      <c r="BH486" s="45"/>
    </row>
    <row r="487" spans="3:60" s="44" customFormat="1">
      <c r="C487" s="686"/>
      <c r="D487" s="686"/>
      <c r="E487" s="686"/>
      <c r="F487" s="686"/>
      <c r="G487" s="686"/>
      <c r="H487" s="686"/>
      <c r="I487" s="825"/>
      <c r="J487" s="686"/>
      <c r="K487" s="686"/>
      <c r="L487" s="686"/>
      <c r="M487" s="686"/>
      <c r="N487" s="686"/>
      <c r="O487" s="686"/>
      <c r="P487" s="686"/>
      <c r="Q487" s="825"/>
      <c r="R487" s="686"/>
      <c r="S487" s="686"/>
      <c r="T487" s="686"/>
      <c r="U487" s="686"/>
      <c r="V487" s="686"/>
      <c r="W487" s="686"/>
      <c r="X487" s="686"/>
      <c r="Y487" s="825"/>
      <c r="Z487" s="686"/>
      <c r="AA487" s="686"/>
      <c r="AB487" s="686"/>
      <c r="AC487" s="686"/>
      <c r="AD487" s="686"/>
      <c r="AE487" s="686"/>
      <c r="AF487" s="686"/>
      <c r="AG487" s="825"/>
      <c r="AH487" s="686"/>
      <c r="AI487" s="686"/>
      <c r="AJ487" s="686"/>
      <c r="AK487" s="686"/>
      <c r="AL487" s="686"/>
      <c r="AM487" s="686"/>
      <c r="AN487" s="686"/>
      <c r="AO487" s="825"/>
      <c r="AP487" s="686"/>
      <c r="AQ487" s="686"/>
      <c r="AR487" s="686"/>
      <c r="AS487" s="686"/>
      <c r="AT487" s="686"/>
      <c r="AU487" s="686"/>
      <c r="AV487" s="686"/>
      <c r="AW487" s="45"/>
      <c r="AX487" s="45"/>
      <c r="AY487" s="45"/>
      <c r="AZ487" s="45"/>
      <c r="BA487" s="45"/>
      <c r="BB487" s="45"/>
      <c r="BC487" s="45"/>
      <c r="BD487" s="45"/>
      <c r="BE487" s="45"/>
      <c r="BF487" s="45"/>
      <c r="BG487" s="45"/>
      <c r="BH487" s="45"/>
    </row>
    <row r="488" spans="3:60" s="44" customFormat="1">
      <c r="C488" s="686"/>
      <c r="D488" s="686"/>
      <c r="E488" s="686"/>
      <c r="F488" s="686"/>
      <c r="G488" s="686"/>
      <c r="H488" s="686"/>
      <c r="I488" s="825"/>
      <c r="J488" s="686"/>
      <c r="K488" s="686"/>
      <c r="L488" s="686"/>
      <c r="M488" s="686"/>
      <c r="N488" s="686"/>
      <c r="O488" s="686"/>
      <c r="P488" s="686"/>
      <c r="Q488" s="825"/>
      <c r="R488" s="686"/>
      <c r="S488" s="686"/>
      <c r="T488" s="686"/>
      <c r="U488" s="686"/>
      <c r="V488" s="686"/>
      <c r="W488" s="686"/>
      <c r="X488" s="686"/>
      <c r="Y488" s="825"/>
      <c r="Z488" s="686"/>
      <c r="AA488" s="686"/>
      <c r="AB488" s="686"/>
      <c r="AC488" s="686"/>
      <c r="AD488" s="686"/>
      <c r="AE488" s="686"/>
      <c r="AF488" s="686"/>
      <c r="AG488" s="825"/>
      <c r="AH488" s="686"/>
      <c r="AI488" s="686"/>
      <c r="AJ488" s="686"/>
      <c r="AK488" s="686"/>
      <c r="AL488" s="686"/>
      <c r="AM488" s="686"/>
      <c r="AN488" s="686"/>
      <c r="AO488" s="825"/>
      <c r="AP488" s="686"/>
      <c r="AQ488" s="686"/>
      <c r="AR488" s="686"/>
      <c r="AS488" s="686"/>
      <c r="AT488" s="686"/>
      <c r="AU488" s="686"/>
      <c r="AV488" s="686"/>
      <c r="AW488" s="45"/>
      <c r="AX488" s="45"/>
      <c r="AY488" s="45"/>
      <c r="AZ488" s="45"/>
      <c r="BA488" s="45"/>
      <c r="BB488" s="45"/>
      <c r="BC488" s="45"/>
      <c r="BD488" s="45"/>
      <c r="BE488" s="45"/>
      <c r="BF488" s="45"/>
      <c r="BG488" s="45"/>
      <c r="BH488" s="45"/>
    </row>
    <row r="489" spans="3:60" s="44" customFormat="1">
      <c r="C489" s="686"/>
      <c r="D489" s="686"/>
      <c r="E489" s="686"/>
      <c r="F489" s="686"/>
      <c r="G489" s="686"/>
      <c r="H489" s="686"/>
      <c r="I489" s="825"/>
      <c r="J489" s="686"/>
      <c r="K489" s="686"/>
      <c r="L489" s="686"/>
      <c r="M489" s="686"/>
      <c r="N489" s="686"/>
      <c r="O489" s="686"/>
      <c r="P489" s="686"/>
      <c r="Q489" s="825"/>
      <c r="R489" s="686"/>
      <c r="S489" s="686"/>
      <c r="T489" s="686"/>
      <c r="U489" s="686"/>
      <c r="V489" s="686"/>
      <c r="W489" s="686"/>
      <c r="X489" s="686"/>
      <c r="Y489" s="825"/>
      <c r="Z489" s="686"/>
      <c r="AA489" s="686"/>
      <c r="AB489" s="686"/>
      <c r="AC489" s="686"/>
      <c r="AD489" s="686"/>
      <c r="AE489" s="686"/>
      <c r="AF489" s="686"/>
      <c r="AG489" s="825"/>
      <c r="AH489" s="686"/>
      <c r="AI489" s="686"/>
      <c r="AJ489" s="686"/>
      <c r="AK489" s="686"/>
      <c r="AL489" s="686"/>
      <c r="AM489" s="686"/>
      <c r="AN489" s="686"/>
      <c r="AO489" s="825"/>
      <c r="AP489" s="686"/>
      <c r="AQ489" s="686"/>
      <c r="AR489" s="686"/>
      <c r="AS489" s="686"/>
      <c r="AT489" s="686"/>
      <c r="AU489" s="686"/>
      <c r="AV489" s="686"/>
      <c r="AW489" s="45"/>
      <c r="AX489" s="45"/>
      <c r="AY489" s="45"/>
      <c r="AZ489" s="45"/>
      <c r="BA489" s="45"/>
      <c r="BB489" s="45"/>
      <c r="BC489" s="45"/>
      <c r="BD489" s="45"/>
      <c r="BE489" s="45"/>
      <c r="BF489" s="45"/>
      <c r="BG489" s="45"/>
      <c r="BH489" s="45"/>
    </row>
    <row r="490" spans="3:60" s="44" customFormat="1">
      <c r="C490" s="686"/>
      <c r="D490" s="686"/>
      <c r="E490" s="686"/>
      <c r="F490" s="686"/>
      <c r="G490" s="686"/>
      <c r="H490" s="686"/>
      <c r="I490" s="825"/>
      <c r="J490" s="686"/>
      <c r="K490" s="686"/>
      <c r="L490" s="686"/>
      <c r="M490" s="686"/>
      <c r="N490" s="686"/>
      <c r="O490" s="686"/>
      <c r="P490" s="686"/>
      <c r="Q490" s="825"/>
      <c r="R490" s="686"/>
      <c r="S490" s="686"/>
      <c r="T490" s="686"/>
      <c r="U490" s="686"/>
      <c r="V490" s="686"/>
      <c r="W490" s="686"/>
      <c r="X490" s="686"/>
      <c r="Y490" s="825"/>
      <c r="Z490" s="686"/>
      <c r="AA490" s="686"/>
      <c r="AB490" s="686"/>
      <c r="AC490" s="686"/>
      <c r="AD490" s="686"/>
      <c r="AE490" s="686"/>
      <c r="AF490" s="686"/>
      <c r="AG490" s="825"/>
      <c r="AH490" s="686"/>
      <c r="AI490" s="686"/>
      <c r="AJ490" s="686"/>
      <c r="AK490" s="686"/>
      <c r="AL490" s="686"/>
      <c r="AM490" s="686"/>
      <c r="AN490" s="686"/>
      <c r="AO490" s="825"/>
      <c r="AP490" s="686"/>
      <c r="AQ490" s="686"/>
      <c r="AR490" s="686"/>
      <c r="AS490" s="686"/>
      <c r="AT490" s="686"/>
      <c r="AU490" s="686"/>
      <c r="AV490" s="686"/>
      <c r="AW490" s="45"/>
      <c r="AX490" s="45"/>
      <c r="AY490" s="45"/>
      <c r="AZ490" s="45"/>
      <c r="BA490" s="45"/>
      <c r="BB490" s="45"/>
      <c r="BC490" s="45"/>
      <c r="BD490" s="45"/>
      <c r="BE490" s="45"/>
      <c r="BF490" s="45"/>
      <c r="BG490" s="45"/>
      <c r="BH490" s="45"/>
    </row>
    <row r="491" spans="3:60" s="44" customFormat="1">
      <c r="C491" s="686"/>
      <c r="D491" s="686"/>
      <c r="E491" s="686"/>
      <c r="F491" s="686"/>
      <c r="G491" s="686"/>
      <c r="H491" s="686"/>
      <c r="I491" s="825"/>
      <c r="J491" s="686"/>
      <c r="K491" s="686"/>
      <c r="L491" s="686"/>
      <c r="M491" s="686"/>
      <c r="N491" s="686"/>
      <c r="O491" s="686"/>
      <c r="P491" s="686"/>
      <c r="Q491" s="825"/>
      <c r="R491" s="686"/>
      <c r="S491" s="686"/>
      <c r="T491" s="686"/>
      <c r="U491" s="686"/>
      <c r="V491" s="686"/>
      <c r="W491" s="686"/>
      <c r="X491" s="686"/>
      <c r="Y491" s="825"/>
      <c r="Z491" s="686"/>
      <c r="AA491" s="686"/>
      <c r="AB491" s="686"/>
      <c r="AC491" s="686"/>
      <c r="AD491" s="686"/>
      <c r="AE491" s="686"/>
      <c r="AF491" s="686"/>
      <c r="AG491" s="825"/>
      <c r="AH491" s="686"/>
      <c r="AI491" s="686"/>
      <c r="AJ491" s="686"/>
      <c r="AK491" s="686"/>
      <c r="AL491" s="686"/>
      <c r="AM491" s="686"/>
      <c r="AN491" s="686"/>
      <c r="AO491" s="825"/>
      <c r="AP491" s="686"/>
      <c r="AQ491" s="686"/>
      <c r="AR491" s="686"/>
      <c r="AS491" s="686"/>
      <c r="AT491" s="686"/>
      <c r="AU491" s="686"/>
      <c r="AV491" s="686"/>
      <c r="AW491" s="45"/>
      <c r="AX491" s="45"/>
      <c r="AY491" s="45"/>
      <c r="AZ491" s="45"/>
      <c r="BA491" s="45"/>
      <c r="BB491" s="45"/>
      <c r="BC491" s="45"/>
      <c r="BD491" s="45"/>
      <c r="BE491" s="45"/>
      <c r="BF491" s="45"/>
      <c r="BG491" s="45"/>
      <c r="BH491" s="45"/>
    </row>
    <row r="492" spans="3:60" s="44" customFormat="1">
      <c r="C492" s="686"/>
      <c r="D492" s="686"/>
      <c r="E492" s="686"/>
      <c r="F492" s="686"/>
      <c r="G492" s="686"/>
      <c r="H492" s="686"/>
      <c r="I492" s="825"/>
      <c r="J492" s="686"/>
      <c r="K492" s="686"/>
      <c r="L492" s="686"/>
      <c r="M492" s="686"/>
      <c r="N492" s="686"/>
      <c r="O492" s="686"/>
      <c r="P492" s="686"/>
      <c r="Q492" s="825"/>
      <c r="R492" s="686"/>
      <c r="S492" s="686"/>
      <c r="T492" s="686"/>
      <c r="U492" s="686"/>
      <c r="V492" s="686"/>
      <c r="W492" s="686"/>
      <c r="X492" s="686"/>
      <c r="Y492" s="825"/>
      <c r="Z492" s="686"/>
      <c r="AA492" s="686"/>
      <c r="AB492" s="686"/>
      <c r="AC492" s="686"/>
      <c r="AD492" s="686"/>
      <c r="AE492" s="686"/>
      <c r="AF492" s="686"/>
      <c r="AG492" s="825"/>
      <c r="AH492" s="686"/>
      <c r="AI492" s="686"/>
      <c r="AJ492" s="686"/>
      <c r="AK492" s="686"/>
      <c r="AL492" s="686"/>
      <c r="AM492" s="686"/>
      <c r="AN492" s="686"/>
      <c r="AO492" s="825"/>
      <c r="AP492" s="686"/>
      <c r="AQ492" s="686"/>
      <c r="AR492" s="686"/>
      <c r="AS492" s="686"/>
      <c r="AT492" s="686"/>
      <c r="AU492" s="686"/>
      <c r="AV492" s="686"/>
      <c r="AW492" s="45"/>
      <c r="AX492" s="45"/>
      <c r="AY492" s="45"/>
      <c r="AZ492" s="45"/>
      <c r="BA492" s="45"/>
      <c r="BB492" s="45"/>
      <c r="BC492" s="45"/>
      <c r="BD492" s="45"/>
      <c r="BE492" s="45"/>
      <c r="BF492" s="45"/>
      <c r="BG492" s="45"/>
      <c r="BH492" s="45"/>
    </row>
    <row r="493" spans="3:60" s="44" customFormat="1">
      <c r="C493" s="686"/>
      <c r="D493" s="686"/>
      <c r="E493" s="686"/>
      <c r="F493" s="686"/>
      <c r="G493" s="686"/>
      <c r="H493" s="686"/>
      <c r="I493" s="825"/>
      <c r="J493" s="686"/>
      <c r="K493" s="686"/>
      <c r="L493" s="686"/>
      <c r="M493" s="686"/>
      <c r="N493" s="686"/>
      <c r="O493" s="686"/>
      <c r="P493" s="686"/>
      <c r="Q493" s="825"/>
      <c r="R493" s="686"/>
      <c r="S493" s="686"/>
      <c r="T493" s="686"/>
      <c r="U493" s="686"/>
      <c r="V493" s="686"/>
      <c r="W493" s="686"/>
      <c r="X493" s="686"/>
      <c r="Y493" s="825"/>
      <c r="Z493" s="686"/>
      <c r="AA493" s="686"/>
      <c r="AB493" s="686"/>
      <c r="AC493" s="686"/>
      <c r="AD493" s="686"/>
      <c r="AE493" s="686"/>
      <c r="AF493" s="686"/>
      <c r="AG493" s="825"/>
      <c r="AH493" s="686"/>
      <c r="AI493" s="686"/>
      <c r="AJ493" s="686"/>
      <c r="AK493" s="686"/>
      <c r="AL493" s="686"/>
      <c r="AM493" s="686"/>
      <c r="AN493" s="686"/>
      <c r="AO493" s="825"/>
      <c r="AP493" s="686"/>
      <c r="AQ493" s="686"/>
      <c r="AR493" s="686"/>
      <c r="AS493" s="686"/>
      <c r="AT493" s="686"/>
      <c r="AU493" s="686"/>
      <c r="AV493" s="686"/>
      <c r="AW493" s="45"/>
      <c r="AX493" s="45"/>
      <c r="AY493" s="45"/>
      <c r="AZ493" s="45"/>
      <c r="BA493" s="45"/>
      <c r="BB493" s="45"/>
      <c r="BC493" s="45"/>
      <c r="BD493" s="45"/>
      <c r="BE493" s="45"/>
      <c r="BF493" s="45"/>
      <c r="BG493" s="45"/>
      <c r="BH493" s="45"/>
    </row>
    <row r="494" spans="3:60" s="44" customFormat="1">
      <c r="C494" s="686"/>
      <c r="D494" s="686"/>
      <c r="E494" s="686"/>
      <c r="F494" s="686"/>
      <c r="G494" s="686"/>
      <c r="H494" s="686"/>
      <c r="I494" s="825"/>
      <c r="J494" s="686"/>
      <c r="K494" s="686"/>
      <c r="L494" s="686"/>
      <c r="M494" s="686"/>
      <c r="N494" s="686"/>
      <c r="O494" s="686"/>
      <c r="P494" s="686"/>
      <c r="Q494" s="825"/>
      <c r="R494" s="686"/>
      <c r="S494" s="686"/>
      <c r="T494" s="686"/>
      <c r="U494" s="686"/>
      <c r="V494" s="686"/>
      <c r="W494" s="686"/>
      <c r="X494" s="686"/>
      <c r="Y494" s="825"/>
      <c r="Z494" s="686"/>
      <c r="AA494" s="686"/>
      <c r="AB494" s="686"/>
      <c r="AC494" s="686"/>
      <c r="AD494" s="686"/>
      <c r="AE494" s="686"/>
      <c r="AF494" s="686"/>
      <c r="AG494" s="825"/>
      <c r="AH494" s="686"/>
      <c r="AI494" s="686"/>
      <c r="AJ494" s="686"/>
      <c r="AK494" s="686"/>
      <c r="AL494" s="686"/>
      <c r="AM494" s="686"/>
      <c r="AN494" s="686"/>
      <c r="AO494" s="825"/>
      <c r="AP494" s="686"/>
      <c r="AQ494" s="686"/>
      <c r="AR494" s="686"/>
      <c r="AS494" s="686"/>
      <c r="AT494" s="686"/>
      <c r="AU494" s="686"/>
      <c r="AV494" s="686"/>
      <c r="AW494" s="45"/>
      <c r="AX494" s="45"/>
      <c r="AY494" s="45"/>
      <c r="AZ494" s="45"/>
      <c r="BA494" s="45"/>
      <c r="BB494" s="45"/>
      <c r="BC494" s="45"/>
      <c r="BD494" s="45"/>
      <c r="BE494" s="45"/>
      <c r="BF494" s="45"/>
      <c r="BG494" s="45"/>
      <c r="BH494" s="45"/>
    </row>
    <row r="495" spans="3:60" s="44" customFormat="1">
      <c r="C495" s="686"/>
      <c r="D495" s="686"/>
      <c r="E495" s="686"/>
      <c r="F495" s="686"/>
      <c r="G495" s="686"/>
      <c r="H495" s="686"/>
      <c r="I495" s="825"/>
      <c r="J495" s="686"/>
      <c r="K495" s="686"/>
      <c r="L495" s="686"/>
      <c r="M495" s="686"/>
      <c r="N495" s="686"/>
      <c r="O495" s="686"/>
      <c r="P495" s="686"/>
      <c r="Q495" s="825"/>
      <c r="R495" s="686"/>
      <c r="S495" s="686"/>
      <c r="T495" s="686"/>
      <c r="U495" s="686"/>
      <c r="V495" s="686"/>
      <c r="W495" s="686"/>
      <c r="X495" s="686"/>
      <c r="Y495" s="825"/>
      <c r="Z495" s="686"/>
      <c r="AA495" s="686"/>
      <c r="AB495" s="686"/>
      <c r="AC495" s="686"/>
      <c r="AD495" s="686"/>
      <c r="AE495" s="686"/>
      <c r="AF495" s="686"/>
      <c r="AG495" s="825"/>
      <c r="AH495" s="686"/>
      <c r="AI495" s="686"/>
      <c r="AJ495" s="686"/>
      <c r="AK495" s="686"/>
      <c r="AL495" s="686"/>
      <c r="AM495" s="686"/>
      <c r="AN495" s="686"/>
      <c r="AO495" s="825"/>
      <c r="AP495" s="686"/>
      <c r="AQ495" s="686"/>
      <c r="AR495" s="686"/>
      <c r="AS495" s="686"/>
      <c r="AT495" s="686"/>
      <c r="AU495" s="686"/>
      <c r="AV495" s="686"/>
      <c r="AW495" s="45"/>
      <c r="AX495" s="45"/>
      <c r="AY495" s="45"/>
      <c r="AZ495" s="45"/>
      <c r="BA495" s="45"/>
      <c r="BB495" s="45"/>
      <c r="BC495" s="45"/>
      <c r="BD495" s="45"/>
      <c r="BE495" s="45"/>
      <c r="BF495" s="45"/>
      <c r="BG495" s="45"/>
      <c r="BH495" s="45"/>
    </row>
    <row r="496" spans="3:60" s="44" customFormat="1">
      <c r="C496" s="686"/>
      <c r="D496" s="686"/>
      <c r="E496" s="686"/>
      <c r="F496" s="686"/>
      <c r="G496" s="686"/>
      <c r="H496" s="686"/>
      <c r="I496" s="825"/>
      <c r="J496" s="686"/>
      <c r="K496" s="686"/>
      <c r="L496" s="686"/>
      <c r="M496" s="686"/>
      <c r="N496" s="686"/>
      <c r="O496" s="686"/>
      <c r="P496" s="686"/>
      <c r="Q496" s="825"/>
      <c r="R496" s="686"/>
      <c r="S496" s="686"/>
      <c r="T496" s="686"/>
      <c r="U496" s="686"/>
      <c r="V496" s="686"/>
      <c r="W496" s="686"/>
      <c r="X496" s="686"/>
      <c r="Y496" s="825"/>
      <c r="Z496" s="686"/>
      <c r="AA496" s="686"/>
      <c r="AB496" s="686"/>
      <c r="AC496" s="686"/>
      <c r="AD496" s="686"/>
      <c r="AE496" s="686"/>
      <c r="AF496" s="686"/>
      <c r="AG496" s="825"/>
      <c r="AH496" s="686"/>
      <c r="AI496" s="686"/>
      <c r="AJ496" s="686"/>
      <c r="AK496" s="686"/>
      <c r="AL496" s="686"/>
      <c r="AM496" s="686"/>
      <c r="AN496" s="686"/>
      <c r="AO496" s="825"/>
      <c r="AP496" s="686"/>
      <c r="AQ496" s="686"/>
      <c r="AR496" s="686"/>
      <c r="AS496" s="686"/>
      <c r="AT496" s="686"/>
      <c r="AU496" s="686"/>
      <c r="AV496" s="686"/>
      <c r="AW496" s="45"/>
      <c r="AX496" s="45"/>
      <c r="AY496" s="45"/>
      <c r="AZ496" s="45"/>
      <c r="BA496" s="45"/>
      <c r="BB496" s="45"/>
      <c r="BC496" s="45"/>
      <c r="BD496" s="45"/>
      <c r="BE496" s="45"/>
      <c r="BF496" s="45"/>
      <c r="BG496" s="45"/>
      <c r="BH496" s="45"/>
    </row>
    <row r="497" spans="3:60" s="44" customFormat="1">
      <c r="C497" s="686"/>
      <c r="D497" s="686"/>
      <c r="E497" s="686"/>
      <c r="F497" s="686"/>
      <c r="G497" s="686"/>
      <c r="H497" s="686"/>
      <c r="I497" s="825"/>
      <c r="J497" s="686"/>
      <c r="K497" s="686"/>
      <c r="L497" s="686"/>
      <c r="M497" s="686"/>
      <c r="N497" s="686"/>
      <c r="O497" s="686"/>
      <c r="P497" s="686"/>
      <c r="Q497" s="825"/>
      <c r="R497" s="686"/>
      <c r="S497" s="686"/>
      <c r="T497" s="686"/>
      <c r="U497" s="686"/>
      <c r="V497" s="686"/>
      <c r="W497" s="686"/>
      <c r="X497" s="686"/>
      <c r="Y497" s="825"/>
      <c r="Z497" s="686"/>
      <c r="AA497" s="686"/>
      <c r="AB497" s="686"/>
      <c r="AC497" s="686"/>
      <c r="AD497" s="686"/>
      <c r="AE497" s="686"/>
      <c r="AF497" s="686"/>
      <c r="AG497" s="825"/>
      <c r="AH497" s="686"/>
      <c r="AI497" s="686"/>
      <c r="AJ497" s="686"/>
      <c r="AK497" s="686"/>
      <c r="AL497" s="686"/>
      <c r="AM497" s="686"/>
      <c r="AN497" s="686"/>
      <c r="AO497" s="825"/>
      <c r="AP497" s="686"/>
      <c r="AQ497" s="686"/>
      <c r="AR497" s="686"/>
      <c r="AS497" s="686"/>
      <c r="AT497" s="686"/>
      <c r="AU497" s="686"/>
      <c r="AV497" s="686"/>
      <c r="AW497" s="45"/>
      <c r="AX497" s="45"/>
      <c r="AY497" s="45"/>
      <c r="AZ497" s="45"/>
      <c r="BA497" s="45"/>
      <c r="BB497" s="45"/>
      <c r="BC497" s="45"/>
      <c r="BD497" s="45"/>
      <c r="BE497" s="45"/>
      <c r="BF497" s="45"/>
      <c r="BG497" s="45"/>
      <c r="BH497" s="45"/>
    </row>
    <row r="498" spans="3:60" s="44" customFormat="1">
      <c r="C498" s="686"/>
      <c r="D498" s="686"/>
      <c r="E498" s="686"/>
      <c r="F498" s="686"/>
      <c r="G498" s="686"/>
      <c r="H498" s="686"/>
      <c r="I498" s="825"/>
      <c r="J498" s="686"/>
      <c r="K498" s="686"/>
      <c r="L498" s="686"/>
      <c r="M498" s="686"/>
      <c r="N498" s="686"/>
      <c r="O498" s="686"/>
      <c r="P498" s="686"/>
      <c r="Q498" s="825"/>
      <c r="R498" s="686"/>
      <c r="S498" s="686"/>
      <c r="T498" s="686"/>
      <c r="U498" s="686"/>
      <c r="V498" s="686"/>
      <c r="W498" s="686"/>
      <c r="X498" s="686"/>
      <c r="Y498" s="825"/>
      <c r="Z498" s="686"/>
      <c r="AA498" s="686"/>
      <c r="AB498" s="686"/>
      <c r="AC498" s="686"/>
      <c r="AD498" s="686"/>
      <c r="AE498" s="686"/>
      <c r="AF498" s="686"/>
      <c r="AG498" s="825"/>
      <c r="AH498" s="686"/>
      <c r="AI498" s="686"/>
      <c r="AJ498" s="686"/>
      <c r="AK498" s="686"/>
      <c r="AL498" s="686"/>
      <c r="AM498" s="686"/>
      <c r="AN498" s="686"/>
      <c r="AO498" s="825"/>
      <c r="AP498" s="686"/>
      <c r="AQ498" s="686"/>
      <c r="AR498" s="686"/>
      <c r="AS498" s="686"/>
      <c r="AT498" s="686"/>
      <c r="AU498" s="686"/>
      <c r="AV498" s="686"/>
      <c r="AW498" s="45"/>
      <c r="AX498" s="45"/>
      <c r="AY498" s="45"/>
      <c r="AZ498" s="45"/>
      <c r="BA498" s="45"/>
      <c r="BB498" s="45"/>
      <c r="BC498" s="45"/>
      <c r="BD498" s="45"/>
      <c r="BE498" s="45"/>
      <c r="BF498" s="45"/>
      <c r="BG498" s="45"/>
      <c r="BH498" s="45"/>
    </row>
    <row r="499" spans="3:60" s="44" customFormat="1">
      <c r="C499" s="686"/>
      <c r="D499" s="686"/>
      <c r="E499" s="686"/>
      <c r="F499" s="686"/>
      <c r="G499" s="686"/>
      <c r="H499" s="686"/>
      <c r="I499" s="825"/>
      <c r="J499" s="686"/>
      <c r="K499" s="686"/>
      <c r="L499" s="686"/>
      <c r="M499" s="686"/>
      <c r="N499" s="686"/>
      <c r="O499" s="686"/>
      <c r="P499" s="686"/>
      <c r="Q499" s="825"/>
      <c r="R499" s="686"/>
      <c r="S499" s="686"/>
      <c r="T499" s="686"/>
      <c r="U499" s="686"/>
      <c r="V499" s="686"/>
      <c r="W499" s="686"/>
      <c r="X499" s="686"/>
      <c r="Y499" s="825"/>
      <c r="Z499" s="686"/>
      <c r="AA499" s="686"/>
      <c r="AB499" s="686"/>
      <c r="AC499" s="686"/>
      <c r="AD499" s="686"/>
      <c r="AE499" s="686"/>
      <c r="AF499" s="686"/>
      <c r="AG499" s="825"/>
      <c r="AH499" s="686"/>
      <c r="AI499" s="686"/>
      <c r="AJ499" s="686"/>
      <c r="AK499" s="686"/>
      <c r="AL499" s="686"/>
      <c r="AM499" s="686"/>
      <c r="AN499" s="686"/>
      <c r="AO499" s="825"/>
      <c r="AP499" s="686"/>
      <c r="AQ499" s="686"/>
      <c r="AR499" s="686"/>
      <c r="AS499" s="686"/>
      <c r="AT499" s="686"/>
      <c r="AU499" s="686"/>
      <c r="AV499" s="686"/>
      <c r="AW499" s="45"/>
      <c r="AX499" s="45"/>
      <c r="AY499" s="45"/>
      <c r="AZ499" s="45"/>
      <c r="BA499" s="45"/>
      <c r="BB499" s="45"/>
      <c r="BC499" s="45"/>
      <c r="BD499" s="45"/>
      <c r="BE499" s="45"/>
      <c r="BF499" s="45"/>
      <c r="BG499" s="45"/>
      <c r="BH499" s="45"/>
    </row>
    <row r="500" spans="3:60" s="44" customFormat="1">
      <c r="C500" s="686"/>
      <c r="D500" s="686"/>
      <c r="E500" s="686"/>
      <c r="F500" s="686"/>
      <c r="G500" s="686"/>
      <c r="H500" s="686"/>
      <c r="I500" s="825"/>
      <c r="J500" s="686"/>
      <c r="K500" s="686"/>
      <c r="L500" s="686"/>
      <c r="M500" s="686"/>
      <c r="N500" s="686"/>
      <c r="O500" s="686"/>
      <c r="P500" s="686"/>
      <c r="Q500" s="825"/>
      <c r="R500" s="686"/>
      <c r="S500" s="686"/>
      <c r="T500" s="686"/>
      <c r="U500" s="686"/>
      <c r="V500" s="686"/>
      <c r="W500" s="686"/>
      <c r="X500" s="686"/>
      <c r="Y500" s="825"/>
      <c r="Z500" s="686"/>
      <c r="AA500" s="686"/>
      <c r="AB500" s="686"/>
      <c r="AC500" s="686"/>
      <c r="AD500" s="686"/>
      <c r="AE500" s="686"/>
      <c r="AF500" s="686"/>
      <c r="AG500" s="825"/>
      <c r="AH500" s="686"/>
      <c r="AI500" s="686"/>
      <c r="AJ500" s="686"/>
      <c r="AK500" s="686"/>
      <c r="AL500" s="686"/>
      <c r="AM500" s="686"/>
      <c r="AN500" s="686"/>
      <c r="AO500" s="825"/>
      <c r="AP500" s="686"/>
      <c r="AQ500" s="686"/>
      <c r="AR500" s="686"/>
      <c r="AS500" s="686"/>
      <c r="AT500" s="686"/>
      <c r="AU500" s="686"/>
      <c r="AV500" s="686"/>
      <c r="AW500" s="45"/>
      <c r="AX500" s="45"/>
      <c r="AY500" s="45"/>
      <c r="AZ500" s="45"/>
      <c r="BA500" s="45"/>
      <c r="BB500" s="45"/>
      <c r="BC500" s="45"/>
      <c r="BD500" s="45"/>
      <c r="BE500" s="45"/>
      <c r="BF500" s="45"/>
      <c r="BG500" s="45"/>
      <c r="BH500" s="45"/>
    </row>
    <row r="501" spans="3:60" s="44" customFormat="1">
      <c r="C501" s="686"/>
      <c r="D501" s="686"/>
      <c r="E501" s="686"/>
      <c r="F501" s="686"/>
      <c r="G501" s="686"/>
      <c r="H501" s="686"/>
      <c r="I501" s="825"/>
      <c r="J501" s="686"/>
      <c r="K501" s="686"/>
      <c r="L501" s="686"/>
      <c r="M501" s="686"/>
      <c r="N501" s="686"/>
      <c r="O501" s="686"/>
      <c r="P501" s="686"/>
      <c r="Q501" s="825"/>
      <c r="R501" s="686"/>
      <c r="S501" s="686"/>
      <c r="T501" s="686"/>
      <c r="U501" s="686"/>
      <c r="V501" s="686"/>
      <c r="W501" s="686"/>
      <c r="X501" s="686"/>
      <c r="Y501" s="825"/>
      <c r="Z501" s="686"/>
      <c r="AA501" s="686"/>
      <c r="AB501" s="686"/>
      <c r="AC501" s="686"/>
      <c r="AD501" s="686"/>
      <c r="AE501" s="686"/>
      <c r="AF501" s="686"/>
      <c r="AG501" s="825"/>
      <c r="AH501" s="686"/>
      <c r="AI501" s="686"/>
      <c r="AJ501" s="686"/>
      <c r="AK501" s="686"/>
      <c r="AL501" s="686"/>
      <c r="AM501" s="686"/>
      <c r="AN501" s="686"/>
      <c r="AO501" s="825"/>
      <c r="AP501" s="686"/>
      <c r="AQ501" s="686"/>
      <c r="AR501" s="686"/>
      <c r="AS501" s="686"/>
      <c r="AT501" s="686"/>
      <c r="AU501" s="686"/>
      <c r="AV501" s="686"/>
      <c r="AW501" s="45"/>
      <c r="AX501" s="45"/>
      <c r="AY501" s="45"/>
      <c r="AZ501" s="45"/>
      <c r="BA501" s="45"/>
      <c r="BB501" s="45"/>
      <c r="BC501" s="45"/>
      <c r="BD501" s="45"/>
      <c r="BE501" s="45"/>
      <c r="BF501" s="45"/>
      <c r="BG501" s="45"/>
      <c r="BH501" s="45"/>
    </row>
  </sheetData>
  <sheetProtection algorithmName="SHA-512" hashValue="cf/rjg4HhGhA3ztirWKri6j8FrVScJaHWYIMpAhriFPtqnpaKa93Ahi8SeK0wpdtiZIvnh4gj8Vrxi+Kp38+HA==" saltValue="w8IZlNSadEdgdGyslI+T7A==" spinCount="100000" sheet="1" formatCells="0" formatColumns="0" formatRows="0"/>
  <mergeCells count="32">
    <mergeCell ref="BJ8:CR8"/>
    <mergeCell ref="CS8:CX9"/>
    <mergeCell ref="CY8:DD9"/>
    <mergeCell ref="DE8:DJ9"/>
    <mergeCell ref="BJ9:BP9"/>
    <mergeCell ref="BQ9:BW9"/>
    <mergeCell ref="BX9:CD9"/>
    <mergeCell ref="CE9:CK9"/>
    <mergeCell ref="CL9:CR9"/>
    <mergeCell ref="A1:C1"/>
    <mergeCell ref="D1:E1"/>
    <mergeCell ref="B8:B10"/>
    <mergeCell ref="A3:Z3"/>
    <mergeCell ref="A2:Z2"/>
    <mergeCell ref="A4:Z4"/>
    <mergeCell ref="A5:Z5"/>
    <mergeCell ref="AW8:BB9"/>
    <mergeCell ref="BC8:BH9"/>
    <mergeCell ref="B127:B128"/>
    <mergeCell ref="A88:B88"/>
    <mergeCell ref="C97:H97"/>
    <mergeCell ref="K97:P97"/>
    <mergeCell ref="S97:X97"/>
    <mergeCell ref="B97:B98"/>
    <mergeCell ref="AQ8:AV9"/>
    <mergeCell ref="C8:AP8"/>
    <mergeCell ref="C9:J9"/>
    <mergeCell ref="K9:R9"/>
    <mergeCell ref="S9:Z9"/>
    <mergeCell ref="AA9:AH9"/>
    <mergeCell ref="AI9:AP9"/>
    <mergeCell ref="A8:A10"/>
  </mergeCells>
  <conditionalFormatting sqref="J11:J95">
    <cfRule type="cellIs" dxfId="36" priority="43" operator="lessThan">
      <formula>0</formula>
    </cfRule>
    <cfRule type="cellIs" dxfId="35" priority="44" operator="greaterThan">
      <formula>0.1</formula>
    </cfRule>
  </conditionalFormatting>
  <conditionalFormatting sqref="Q49:Q50">
    <cfRule type="cellIs" dxfId="34" priority="25" operator="lessThan">
      <formula>0</formula>
    </cfRule>
    <cfRule type="cellIs" dxfId="33" priority="26" operator="greaterThan">
      <formula>0.1</formula>
    </cfRule>
  </conditionalFormatting>
  <conditionalFormatting sqref="R11:R30 R32:R95">
    <cfRule type="cellIs" dxfId="32" priority="41" operator="lessThan">
      <formula>0</formula>
    </cfRule>
    <cfRule type="cellIs" dxfId="31" priority="42" operator="greaterThan">
      <formula>0.1</formula>
    </cfRule>
  </conditionalFormatting>
  <conditionalFormatting sqref="Z11:Z30 Z32:Z95">
    <cfRule type="cellIs" dxfId="30" priority="39" operator="lessThan">
      <formula>0</formula>
    </cfRule>
    <cfRule type="cellIs" dxfId="29" priority="40" operator="greaterThan">
      <formula>0.1</formula>
    </cfRule>
  </conditionalFormatting>
  <conditionalFormatting sqref="AG49:AG50">
    <cfRule type="cellIs" dxfId="28" priority="29" operator="lessThan">
      <formula>0</formula>
    </cfRule>
    <cfRule type="cellIs" dxfId="27" priority="30" operator="greaterThan">
      <formula>0.1</formula>
    </cfRule>
  </conditionalFormatting>
  <conditionalFormatting sqref="AH11:AH71">
    <cfRule type="cellIs" dxfId="26" priority="3" operator="lessThan">
      <formula>0</formula>
    </cfRule>
    <cfRule type="cellIs" dxfId="25" priority="4" operator="greaterThan">
      <formula>0.1</formula>
    </cfRule>
  </conditionalFormatting>
  <conditionalFormatting sqref="AH73:AH95">
    <cfRule type="cellIs" dxfId="24" priority="33" operator="lessThan">
      <formula>0</formula>
    </cfRule>
    <cfRule type="cellIs" dxfId="23" priority="34" operator="greaterThan">
      <formula>0.1</formula>
    </cfRule>
  </conditionalFormatting>
  <conditionalFormatting sqref="AO49:AO50">
    <cfRule type="cellIs" dxfId="22" priority="27" operator="lessThan">
      <formula>0</formula>
    </cfRule>
    <cfRule type="cellIs" dxfId="21" priority="28" operator="greaterThan">
      <formula>0.1</formula>
    </cfRule>
  </conditionalFormatting>
  <conditionalFormatting sqref="AP11:AP71">
    <cfRule type="cellIs" dxfId="20" priority="1" operator="lessThan">
      <formula>0</formula>
    </cfRule>
    <cfRule type="cellIs" dxfId="19" priority="2" operator="greaterThan">
      <formula>0.1</formula>
    </cfRule>
  </conditionalFormatting>
  <conditionalFormatting sqref="AP73:AP95">
    <cfRule type="cellIs" dxfId="18" priority="31" operator="lessThan">
      <formula>0</formula>
    </cfRule>
    <cfRule type="cellIs" dxfId="17" priority="32" operator="greaterThan">
      <formula>0.1</formula>
    </cfRule>
  </conditionalFormatting>
  <dataValidations disablePrompts="1" count="1">
    <dataValidation type="custom" allowBlank="1" showInputMessage="1" showErrorMessage="1" sqref="C127">
      <formula1>"80%, 20%"</formula1>
    </dataValidation>
  </dataValidations>
  <printOptions horizontalCentered="1"/>
  <pageMargins left="0" right="0" top="0.55118110236220474" bottom="0.19685039370078741" header="0.31496062992125984" footer="0.11811023622047245"/>
  <pageSetup paperSize="9" scale="66" orientation="landscape" r:id="rId1"/>
  <headerFooter alignWithMargins="0">
    <oddFooter>&amp;C&amp;A&amp;RСтр. &amp;P от &amp;N</oddFooter>
  </headerFooter>
  <rowBreaks count="1" manualBreakCount="1">
    <brk id="54" max="16383" man="1"/>
  </rowBreaks>
  <colBreaks count="2" manualBreakCount="2">
    <brk id="26" max="92" man="1"/>
    <brk id="48" max="1048575" man="1"/>
  </colBreaks>
  <ignoredErrors>
    <ignoredError sqref="AQ88 AQ83 AQ76 AQ70 AQ55 AQ59 AQ51 AR25:AV25 AQ38 D56:H57 L56:P57 T56:X57 S38 S25 S51 S59 S55 S70 S76 S83 S88 K88 K83 K76 K70 K55 K59 K51 K25 K38 D38:H38 D25:H25 D51:H51 D59:H59 C55 D70:H70 D76:H76 D83:H83 D88:H88 D55:H55 L88:P88 L83:P83 L76:P76 L70:P70 L55:P55 L59:P59 L51:P51 L25:P25 L38:P38 T38:X38 T25:X25 T51:X51 T59:X59 T55:X55 T70:X70 T76:X76 T83:X83 T88:X88 AR88:AV88 AR83:AV83 AR76:AV76 AR70:AV70 AR55:AV55 AR59:AV59 AR51:AV51 AR38:AV38" unlockedFormula="1"/>
    <ignoredError sqref="C38 C12 K12 S12 AR12:AV12" formulaRange="1"/>
    <ignoredError sqref="A11 A77:B83 A29 A70:A76 A55:A56 A59:A65" numberStoredAsText="1"/>
    <ignoredError sqref="A84:A87" twoDigitTextYear="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CJ479"/>
  <sheetViews>
    <sheetView showGridLines="0" zoomScale="80" zoomScaleNormal="80" zoomScaleSheetLayoutView="100" workbookViewId="0">
      <pane xSplit="2" ySplit="10" topLeftCell="C99" activePane="bottomRight" state="frozen"/>
      <selection pane="topRight" activeCell="C1" sqref="C1"/>
      <selection pane="bottomLeft" activeCell="A11" sqref="A11"/>
      <selection pane="bottomRight" activeCell="E100" sqref="E100"/>
    </sheetView>
  </sheetViews>
  <sheetFormatPr defaultColWidth="9.140625" defaultRowHeight="15"/>
  <cols>
    <col min="1" max="1" width="7.42578125" style="44" customWidth="1"/>
    <col min="2" max="2" width="40.85546875" style="44" customWidth="1"/>
    <col min="3" max="3" width="7.5703125" style="44" customWidth="1"/>
    <col min="4" max="4" width="7.5703125" style="822" customWidth="1"/>
    <col min="5" max="5" width="7.5703125" style="45" customWidth="1"/>
    <col min="6" max="6" width="7.5703125" style="822" customWidth="1"/>
    <col min="7" max="7" width="7.5703125" style="45" customWidth="1"/>
    <col min="8" max="8" width="7.5703125" style="822" customWidth="1"/>
    <col min="9" max="9" width="7.5703125" style="45" customWidth="1"/>
    <col min="10" max="10" width="7.5703125" style="822" customWidth="1"/>
    <col min="11" max="11" width="7.5703125" style="45" customWidth="1"/>
    <col min="12" max="12" width="7.5703125" style="822" customWidth="1"/>
    <col min="13" max="14" width="7.5703125" style="45" customWidth="1"/>
    <col min="15" max="15" width="7.5703125" style="822" customWidth="1"/>
    <col min="16" max="16" width="7.5703125" style="45" customWidth="1"/>
    <col min="17" max="17" width="7.5703125" style="822" customWidth="1"/>
    <col min="18" max="18" width="7.5703125" style="45" customWidth="1"/>
    <col min="19" max="19" width="7.5703125" style="822" customWidth="1"/>
    <col min="20" max="20" width="7.5703125" style="45" customWidth="1"/>
    <col min="21" max="21" width="7.5703125" style="822" customWidth="1"/>
    <col min="22" max="22" width="7.5703125" style="45" customWidth="1"/>
    <col min="23" max="23" width="7.5703125" style="822" customWidth="1"/>
    <col min="24" max="25" width="7.5703125" style="45" customWidth="1"/>
    <col min="26" max="26" width="7.5703125" style="702" customWidth="1"/>
    <col min="27" max="27" width="7.5703125" style="45" customWidth="1"/>
    <col min="28" max="28" width="7.5703125" style="702" customWidth="1"/>
    <col min="29" max="29" width="7.5703125" style="45" customWidth="1"/>
    <col min="30" max="30" width="7.5703125" style="702" customWidth="1"/>
    <col min="31" max="31" width="7.5703125" style="45" customWidth="1"/>
    <col min="32" max="32" width="7.5703125" style="702" customWidth="1"/>
    <col min="33" max="33" width="7.5703125" style="45" customWidth="1"/>
    <col min="34" max="34" width="7.5703125" style="702" customWidth="1"/>
    <col min="35" max="36" width="7.5703125" style="45" customWidth="1"/>
    <col min="37" max="37" width="7.5703125" style="702" customWidth="1"/>
    <col min="38" max="38" width="7.5703125" style="45" customWidth="1"/>
    <col min="39" max="39" width="7.5703125" style="702" customWidth="1"/>
    <col min="40" max="40" width="7.5703125" style="45" customWidth="1"/>
    <col min="41" max="41" width="7.5703125" style="702" customWidth="1"/>
    <col min="42" max="42" width="7.5703125" style="45" customWidth="1"/>
    <col min="43" max="43" width="7.5703125" style="702" customWidth="1"/>
    <col min="44" max="44" width="7.5703125" style="45" customWidth="1"/>
    <col min="45" max="45" width="7.5703125" style="702" customWidth="1"/>
    <col min="46" max="47" width="7.5703125" style="45" customWidth="1"/>
    <col min="48" max="48" width="7.5703125" style="702" customWidth="1"/>
    <col min="49" max="49" width="7.5703125" style="45" customWidth="1"/>
    <col min="50" max="50" width="7.5703125" style="702" customWidth="1"/>
    <col min="51" max="51" width="7.5703125" style="45" customWidth="1"/>
    <col min="52" max="52" width="7.5703125" style="702" customWidth="1"/>
    <col min="53" max="53" width="7.5703125" style="45" customWidth="1"/>
    <col min="54" max="54" width="7.5703125" style="702" customWidth="1"/>
    <col min="55" max="55" width="7.5703125" style="45" customWidth="1"/>
    <col min="56" max="56" width="7.5703125" style="702" customWidth="1"/>
    <col min="57" max="57" width="7.5703125" style="45" customWidth="1"/>
    <col min="58" max="58" width="2.5703125" style="44" customWidth="1"/>
    <col min="59" max="63" width="9.140625" style="44"/>
    <col min="64" max="16384" width="9.140625" style="659"/>
  </cols>
  <sheetData>
    <row r="1" spans="1:88" ht="16.5" thickBot="1">
      <c r="A1" s="5121" t="str">
        <f>+'1. Обща информация'!B40</f>
        <v>Фиксиран курс на лева към 1 евро</v>
      </c>
      <c r="B1" s="5122"/>
      <c r="C1" s="5123"/>
      <c r="D1" s="5237">
        <f>+'1. Обща информация'!$C$40</f>
        <v>1.95583</v>
      </c>
      <c r="E1" s="5238"/>
      <c r="V1" s="3081"/>
      <c r="W1" s="3081"/>
      <c r="X1" s="3082" t="s">
        <v>189</v>
      </c>
      <c r="Y1" s="3081"/>
      <c r="Z1" s="3081"/>
      <c r="AA1" s="3081"/>
      <c r="AB1" s="3081"/>
      <c r="AC1" s="3081"/>
      <c r="AD1" s="3081"/>
      <c r="AE1" s="3081"/>
      <c r="AF1" s="3081"/>
      <c r="BG1" s="658"/>
      <c r="BH1" s="658"/>
    </row>
    <row r="2" spans="1:88" ht="18.75" customHeight="1">
      <c r="A2" s="5155" t="s">
        <v>1473</v>
      </c>
      <c r="B2" s="5155"/>
      <c r="C2" s="5155"/>
      <c r="D2" s="5155"/>
      <c r="E2" s="5155"/>
      <c r="F2" s="5155"/>
      <c r="G2" s="5155"/>
      <c r="H2" s="5155"/>
      <c r="I2" s="5155"/>
      <c r="J2" s="5155"/>
      <c r="K2" s="5155"/>
      <c r="L2" s="5155"/>
      <c r="M2" s="5155"/>
      <c r="N2" s="5155"/>
      <c r="O2" s="5155"/>
      <c r="P2" s="5155"/>
      <c r="Q2" s="5155"/>
      <c r="R2" s="5155"/>
      <c r="S2" s="5155"/>
      <c r="T2" s="5155"/>
      <c r="U2" s="5155"/>
      <c r="V2" s="5155"/>
      <c r="W2" s="5155"/>
      <c r="X2" s="5155"/>
      <c r="Y2" s="660"/>
      <c r="Z2" s="660"/>
      <c r="AA2" s="660"/>
      <c r="AB2" s="660"/>
      <c r="AC2" s="660"/>
      <c r="AD2" s="660"/>
      <c r="AE2" s="660"/>
      <c r="AF2" s="660"/>
      <c r="AG2" s="660"/>
      <c r="AH2" s="660"/>
      <c r="AI2" s="660"/>
      <c r="AJ2" s="660"/>
      <c r="AK2" s="705"/>
      <c r="AL2" s="660"/>
      <c r="AM2" s="705"/>
      <c r="AN2" s="660"/>
      <c r="AO2" s="705"/>
      <c r="AP2" s="660"/>
      <c r="AQ2" s="705"/>
      <c r="AR2" s="660"/>
      <c r="AS2" s="705"/>
      <c r="AT2" s="660"/>
      <c r="AU2" s="660"/>
      <c r="AV2" s="705"/>
      <c r="AW2" s="660"/>
      <c r="AX2" s="705"/>
      <c r="AY2" s="660"/>
      <c r="AZ2" s="705"/>
      <c r="BA2" s="660"/>
      <c r="BB2" s="705"/>
      <c r="BC2" s="660"/>
      <c r="BD2" s="705"/>
      <c r="BE2" s="660"/>
      <c r="BF2" s="661"/>
      <c r="BG2" s="662"/>
      <c r="BH2" s="658"/>
      <c r="BI2" s="661"/>
      <c r="BJ2" s="661"/>
      <c r="BK2" s="661"/>
    </row>
    <row r="3" spans="1:88" ht="18.75" customHeight="1">
      <c r="A3" s="5155" t="s">
        <v>1741</v>
      </c>
      <c r="B3" s="5155"/>
      <c r="C3" s="5155"/>
      <c r="D3" s="5155"/>
      <c r="E3" s="5155"/>
      <c r="F3" s="5155"/>
      <c r="G3" s="5155"/>
      <c r="H3" s="5155"/>
      <c r="I3" s="5155"/>
      <c r="J3" s="5155"/>
      <c r="K3" s="5155"/>
      <c r="L3" s="5155"/>
      <c r="M3" s="5155"/>
      <c r="N3" s="5155"/>
      <c r="O3" s="5155"/>
      <c r="P3" s="5155"/>
      <c r="Q3" s="5155"/>
      <c r="R3" s="5155"/>
      <c r="S3" s="5155"/>
      <c r="T3" s="5155"/>
      <c r="U3" s="5155"/>
      <c r="V3" s="5155"/>
      <c r="W3" s="5155"/>
      <c r="X3" s="5155"/>
      <c r="Y3" s="660"/>
      <c r="Z3" s="660"/>
      <c r="AA3" s="660"/>
      <c r="AB3" s="660"/>
      <c r="AC3" s="660"/>
      <c r="AD3" s="660"/>
      <c r="AE3" s="660"/>
      <c r="AF3" s="660"/>
      <c r="AG3" s="660"/>
      <c r="AH3" s="660"/>
      <c r="AI3" s="660"/>
      <c r="AJ3" s="3011"/>
      <c r="AK3" s="3083"/>
      <c r="AL3" s="3011"/>
      <c r="AM3" s="3083"/>
      <c r="AN3" s="3011"/>
      <c r="AO3" s="3083"/>
      <c r="AP3" s="3011"/>
      <c r="AQ3" s="3083"/>
      <c r="AR3" s="3011"/>
      <c r="AS3" s="3083"/>
      <c r="AT3" s="3011"/>
      <c r="AU3" s="3011"/>
      <c r="AV3" s="3083"/>
      <c r="AW3" s="3011"/>
      <c r="AX3" s="3083"/>
      <c r="AY3" s="3011"/>
      <c r="AZ3" s="3083"/>
      <c r="BA3" s="3011"/>
      <c r="BB3" s="3083"/>
      <c r="BC3" s="3011"/>
      <c r="BD3" s="3083"/>
      <c r="BE3" s="3011"/>
      <c r="BG3" s="662"/>
      <c r="BH3" s="658"/>
    </row>
    <row r="4" spans="1:88" ht="15.75">
      <c r="A4" s="5175" t="str">
        <f>'1. Обща информация'!A4:D4</f>
        <v>на ВОДОСНАБДЯВАНЕ И КАНАЛИЗАЦИЯ ЕООД, гр. ХАСКОВО</v>
      </c>
      <c r="B4" s="5175"/>
      <c r="C4" s="5175"/>
      <c r="D4" s="5175"/>
      <c r="E4" s="5175"/>
      <c r="F4" s="5175"/>
      <c r="G4" s="5175"/>
      <c r="H4" s="5175"/>
      <c r="I4" s="5175"/>
      <c r="J4" s="5175"/>
      <c r="K4" s="5175"/>
      <c r="L4" s="5175"/>
      <c r="M4" s="5175"/>
      <c r="N4" s="5175"/>
      <c r="O4" s="5175"/>
      <c r="P4" s="5175"/>
      <c r="Q4" s="5175"/>
      <c r="R4" s="5175"/>
      <c r="S4" s="5175"/>
      <c r="T4" s="5175"/>
      <c r="U4" s="5175"/>
      <c r="V4" s="5175"/>
      <c r="W4" s="5175"/>
      <c r="X4" s="5175"/>
      <c r="Y4" s="3011"/>
      <c r="Z4" s="3011"/>
      <c r="AA4" s="3011"/>
      <c r="AB4" s="3011"/>
      <c r="AC4" s="3011"/>
      <c r="AD4" s="3011"/>
      <c r="AE4" s="3011"/>
      <c r="AF4" s="3011"/>
      <c r="AG4" s="3011"/>
      <c r="AH4" s="3011"/>
      <c r="AI4" s="3011"/>
      <c r="AJ4" s="3011"/>
      <c r="AK4" s="3083"/>
      <c r="AL4" s="3011"/>
      <c r="AM4" s="3083"/>
      <c r="AN4" s="3011"/>
      <c r="AO4" s="3083"/>
      <c r="AP4" s="3011"/>
      <c r="AQ4" s="3083"/>
      <c r="AR4" s="3011"/>
      <c r="AS4" s="3083"/>
      <c r="AT4" s="3011"/>
      <c r="AU4" s="3011"/>
      <c r="AV4" s="3084"/>
      <c r="AW4" s="3013"/>
      <c r="AX4" s="3084"/>
      <c r="AY4" s="3013"/>
      <c r="AZ4" s="3084"/>
      <c r="BA4" s="3013"/>
      <c r="BB4" s="3084"/>
      <c r="BC4" s="3013"/>
      <c r="BD4" s="3084"/>
      <c r="BE4" s="3013"/>
      <c r="BG4" s="662"/>
      <c r="BH4" s="658"/>
    </row>
    <row r="5" spans="1:88" ht="15.75">
      <c r="A5" s="5175" t="str">
        <f>'1. Обща информация'!A5:D5</f>
        <v>ЕИК по БУЛСТАТ: 126004284</v>
      </c>
      <c r="B5" s="5175"/>
      <c r="C5" s="5175"/>
      <c r="D5" s="5175"/>
      <c r="E5" s="5175"/>
      <c r="F5" s="5175"/>
      <c r="G5" s="5175"/>
      <c r="H5" s="5175"/>
      <c r="I5" s="5175"/>
      <c r="J5" s="5175"/>
      <c r="K5" s="5175"/>
      <c r="L5" s="5175"/>
      <c r="M5" s="5175"/>
      <c r="N5" s="5175"/>
      <c r="O5" s="5175"/>
      <c r="P5" s="5175"/>
      <c r="Q5" s="5175"/>
      <c r="R5" s="5175"/>
      <c r="S5" s="5175"/>
      <c r="T5" s="5175"/>
      <c r="U5" s="5175"/>
      <c r="V5" s="5175"/>
      <c r="W5" s="5175"/>
      <c r="X5" s="5175"/>
      <c r="Y5" s="3011"/>
      <c r="Z5" s="3011"/>
      <c r="AA5" s="3011"/>
      <c r="AB5" s="3011"/>
      <c r="AC5" s="3011"/>
      <c r="AD5" s="3011"/>
      <c r="AE5" s="3011"/>
      <c r="AF5" s="3011"/>
      <c r="AG5" s="3011"/>
      <c r="AH5" s="3011"/>
      <c r="AI5" s="3011"/>
      <c r="AJ5" s="642"/>
      <c r="AK5" s="3085"/>
      <c r="AL5" s="642"/>
      <c r="AM5" s="3085"/>
      <c r="AN5" s="642"/>
      <c r="AO5" s="3085"/>
      <c r="AP5" s="642"/>
      <c r="AQ5" s="3085"/>
      <c r="AR5" s="642"/>
      <c r="AS5" s="3085"/>
      <c r="AT5" s="642"/>
      <c r="AU5" s="642"/>
      <c r="AV5" s="3086"/>
      <c r="AW5" s="3015"/>
      <c r="AX5" s="3086"/>
      <c r="AY5" s="3015"/>
      <c r="AZ5" s="3086"/>
      <c r="BA5" s="3015"/>
      <c r="BB5" s="3086"/>
      <c r="BC5" s="3015"/>
      <c r="BD5" s="3086"/>
      <c r="BE5" s="3015"/>
      <c r="BF5" s="642"/>
      <c r="BG5" s="642"/>
      <c r="BI5" s="658"/>
      <c r="BL5" s="44"/>
    </row>
    <row r="6" spans="1:88" ht="15.75" thickBot="1">
      <c r="A6" s="175"/>
      <c r="B6" s="175"/>
      <c r="C6" s="175"/>
      <c r="D6" s="824"/>
      <c r="E6" s="665"/>
      <c r="F6" s="826"/>
      <c r="G6" s="665"/>
      <c r="H6" s="823"/>
      <c r="I6" s="666"/>
      <c r="J6" s="823"/>
      <c r="K6" s="663"/>
      <c r="L6" s="823"/>
      <c r="M6" s="663"/>
      <c r="N6" s="663"/>
      <c r="O6" s="823"/>
      <c r="P6" s="665"/>
      <c r="Q6" s="826"/>
      <c r="R6" s="665"/>
      <c r="S6" s="826"/>
      <c r="T6" s="665"/>
      <c r="U6" s="826"/>
      <c r="V6" s="665"/>
      <c r="AG6" s="665"/>
      <c r="AH6" s="3017"/>
      <c r="AI6" s="665"/>
      <c r="AJ6" s="665"/>
      <c r="AS6" s="704"/>
      <c r="AT6" s="665"/>
      <c r="AU6" s="665"/>
      <c r="AV6" s="1148"/>
      <c r="AW6" s="3018"/>
      <c r="AX6" s="1148"/>
      <c r="AY6" s="3018"/>
      <c r="AZ6" s="1148"/>
      <c r="BA6" s="3018"/>
      <c r="BB6" s="1148"/>
      <c r="BC6" s="3018"/>
      <c r="BD6" s="706"/>
      <c r="BE6" s="3017" t="s">
        <v>190</v>
      </c>
      <c r="BG6" s="662"/>
      <c r="BH6" s="658"/>
      <c r="CJ6" s="650" t="s">
        <v>1892</v>
      </c>
    </row>
    <row r="7" spans="1:88" ht="15.75" customHeight="1" thickBot="1">
      <c r="A7" s="5259" t="s">
        <v>1</v>
      </c>
      <c r="B7" s="5262" t="s">
        <v>223</v>
      </c>
      <c r="C7" s="5152"/>
      <c r="D7" s="5153"/>
      <c r="E7" s="5153"/>
      <c r="F7" s="5153"/>
      <c r="G7" s="5153"/>
      <c r="H7" s="5153"/>
      <c r="I7" s="5153"/>
      <c r="J7" s="5153"/>
      <c r="K7" s="5153"/>
      <c r="L7" s="5153"/>
      <c r="M7" s="5153"/>
      <c r="N7" s="5153"/>
      <c r="O7" s="5153"/>
      <c r="P7" s="5153"/>
      <c r="Q7" s="5153"/>
      <c r="R7" s="5153"/>
      <c r="S7" s="5153"/>
      <c r="T7" s="5153"/>
      <c r="U7" s="5153"/>
      <c r="V7" s="5153"/>
      <c r="W7" s="5153"/>
      <c r="X7" s="5153"/>
      <c r="Y7" s="5153"/>
      <c r="Z7" s="5153"/>
      <c r="AA7" s="5153"/>
      <c r="AB7" s="5153"/>
      <c r="AC7" s="5153"/>
      <c r="AD7" s="5153"/>
      <c r="AE7" s="5153"/>
      <c r="AF7" s="5153"/>
      <c r="AG7" s="5153"/>
      <c r="AH7" s="5153"/>
      <c r="AI7" s="5153"/>
      <c r="AJ7" s="5153"/>
      <c r="AK7" s="5153"/>
      <c r="AL7" s="5153"/>
      <c r="AM7" s="5153"/>
      <c r="AN7" s="5153"/>
      <c r="AO7" s="5153"/>
      <c r="AP7" s="5153"/>
      <c r="AQ7" s="5153"/>
      <c r="AR7" s="5153"/>
      <c r="AS7" s="5153"/>
      <c r="AT7" s="5153"/>
      <c r="AU7" s="5153"/>
      <c r="AV7" s="5153"/>
      <c r="AW7" s="5153"/>
      <c r="AX7" s="5153"/>
      <c r="AY7" s="5153"/>
      <c r="AZ7" s="5153"/>
      <c r="BA7" s="5153"/>
      <c r="BB7" s="5153"/>
      <c r="BC7" s="5153"/>
      <c r="BD7" s="5153"/>
      <c r="BE7" s="1557"/>
      <c r="BF7" s="4422"/>
      <c r="BG7" s="5274"/>
      <c r="BH7" s="5275"/>
      <c r="BI7" s="5275"/>
      <c r="BJ7" s="5275"/>
      <c r="BK7" s="5275"/>
      <c r="BL7" s="5275"/>
      <c r="BM7" s="5275"/>
      <c r="BN7" s="5275"/>
      <c r="BO7" s="5275"/>
      <c r="BP7" s="5275"/>
      <c r="BQ7" s="5275"/>
      <c r="BR7" s="5275"/>
      <c r="BS7" s="5275"/>
      <c r="BT7" s="5275"/>
      <c r="BU7" s="5275"/>
      <c r="BV7" s="5275"/>
      <c r="BW7" s="5275"/>
      <c r="BX7" s="5275"/>
      <c r="BY7" s="5275"/>
      <c r="BZ7" s="5275"/>
      <c r="CA7" s="5275"/>
      <c r="CB7" s="5275"/>
      <c r="CC7" s="5275"/>
      <c r="CD7" s="5275"/>
      <c r="CE7" s="5275"/>
      <c r="CF7" s="5275"/>
      <c r="CG7" s="5275"/>
      <c r="CH7" s="5275"/>
      <c r="CI7" s="5275"/>
      <c r="CJ7" s="5275"/>
    </row>
    <row r="8" spans="1:88" ht="15.75" customHeight="1" thickBot="1">
      <c r="A8" s="5260"/>
      <c r="B8" s="5263"/>
      <c r="C8" s="5232" t="s">
        <v>207</v>
      </c>
      <c r="D8" s="5233"/>
      <c r="E8" s="5233"/>
      <c r="F8" s="5233"/>
      <c r="G8" s="5233"/>
      <c r="H8" s="5233"/>
      <c r="I8" s="5233"/>
      <c r="J8" s="5233"/>
      <c r="K8" s="5233"/>
      <c r="L8" s="5233"/>
      <c r="M8" s="5233"/>
      <c r="N8" s="5247" t="s">
        <v>208</v>
      </c>
      <c r="O8" s="5276"/>
      <c r="P8" s="5276"/>
      <c r="Q8" s="5276"/>
      <c r="R8" s="5276"/>
      <c r="S8" s="5276"/>
      <c r="T8" s="5276"/>
      <c r="U8" s="5276"/>
      <c r="V8" s="5276"/>
      <c r="W8" s="5276"/>
      <c r="X8" s="5277"/>
      <c r="Y8" s="5232" t="s">
        <v>209</v>
      </c>
      <c r="Z8" s="5233"/>
      <c r="AA8" s="5233"/>
      <c r="AB8" s="5233"/>
      <c r="AC8" s="5233"/>
      <c r="AD8" s="5233"/>
      <c r="AE8" s="5233"/>
      <c r="AF8" s="5233"/>
      <c r="AG8" s="5233"/>
      <c r="AH8" s="5233"/>
      <c r="AI8" s="5234"/>
      <c r="AJ8" s="5232" t="s">
        <v>1216</v>
      </c>
      <c r="AK8" s="5233"/>
      <c r="AL8" s="5233"/>
      <c r="AM8" s="5233"/>
      <c r="AN8" s="5233"/>
      <c r="AO8" s="5233"/>
      <c r="AP8" s="5233"/>
      <c r="AQ8" s="5233"/>
      <c r="AR8" s="5233"/>
      <c r="AS8" s="5233"/>
      <c r="AT8" s="5234"/>
      <c r="AU8" s="5232" t="s">
        <v>1217</v>
      </c>
      <c r="AV8" s="5233"/>
      <c r="AW8" s="5233"/>
      <c r="AX8" s="5233"/>
      <c r="AY8" s="5233"/>
      <c r="AZ8" s="5233"/>
      <c r="BA8" s="5233"/>
      <c r="BB8" s="5233"/>
      <c r="BC8" s="5233"/>
      <c r="BD8" s="5233"/>
      <c r="BE8" s="5234"/>
      <c r="BF8" s="4422"/>
      <c r="BG8" s="5242" t="s">
        <v>207</v>
      </c>
      <c r="BH8" s="5242"/>
      <c r="BI8" s="5242"/>
      <c r="BJ8" s="5242"/>
      <c r="BK8" s="5242"/>
      <c r="BL8" s="5242"/>
      <c r="BM8" s="5273" t="s">
        <v>208</v>
      </c>
      <c r="BN8" s="5273"/>
      <c r="BO8" s="5273"/>
      <c r="BP8" s="5273"/>
      <c r="BQ8" s="5273"/>
      <c r="BR8" s="5273"/>
      <c r="BS8" s="5242" t="s">
        <v>209</v>
      </c>
      <c r="BT8" s="5242"/>
      <c r="BU8" s="5242"/>
      <c r="BV8" s="5242"/>
      <c r="BW8" s="5242"/>
      <c r="BX8" s="5242"/>
      <c r="BY8" s="5242" t="s">
        <v>1216</v>
      </c>
      <c r="BZ8" s="5242"/>
      <c r="CA8" s="5242"/>
      <c r="CB8" s="5242"/>
      <c r="CC8" s="5242"/>
      <c r="CD8" s="5242"/>
      <c r="CE8" s="5242" t="s">
        <v>1217</v>
      </c>
      <c r="CF8" s="5242"/>
      <c r="CG8" s="5242"/>
      <c r="CH8" s="5242"/>
      <c r="CI8" s="5242"/>
      <c r="CJ8" s="5242"/>
    </row>
    <row r="9" spans="1:88" ht="24.75" customHeight="1" thickBot="1">
      <c r="A9" s="5260"/>
      <c r="B9" s="5263"/>
      <c r="C9" s="879" t="str">
        <f>'Приложение '!$C12:$D12</f>
        <v>2024 г.</v>
      </c>
      <c r="D9" s="5257" t="str">
        <f>'Приложение '!C14</f>
        <v>2027 г.</v>
      </c>
      <c r="E9" s="5245"/>
      <c r="F9" s="5258" t="str">
        <f>'Приложение '!C15</f>
        <v>2028 г.</v>
      </c>
      <c r="G9" s="5245"/>
      <c r="H9" s="5258" t="str">
        <f>'Приложение '!C16</f>
        <v>2029 г.</v>
      </c>
      <c r="I9" s="5245"/>
      <c r="J9" s="5244" t="str">
        <f>'Приложение '!C17</f>
        <v>2030 г.</v>
      </c>
      <c r="K9" s="5245"/>
      <c r="L9" s="5244" t="str">
        <f>'Приложение '!C18</f>
        <v>2031 г.</v>
      </c>
      <c r="M9" s="5246"/>
      <c r="N9" s="879" t="str">
        <f>'Приложение '!$C12</f>
        <v>2024 г.</v>
      </c>
      <c r="O9" s="5247" t="str">
        <f>'Приложение '!$C14</f>
        <v>2027 г.</v>
      </c>
      <c r="P9" s="5245"/>
      <c r="Q9" s="5244" t="str">
        <f>'Приложение '!$C15</f>
        <v>2028 г.</v>
      </c>
      <c r="R9" s="5245"/>
      <c r="S9" s="5244" t="str">
        <f>'Приложение '!$C16</f>
        <v>2029 г.</v>
      </c>
      <c r="T9" s="5245"/>
      <c r="U9" s="5244" t="str">
        <f>'Приложение '!$C17</f>
        <v>2030 г.</v>
      </c>
      <c r="V9" s="5245"/>
      <c r="W9" s="5244" t="str">
        <f>'Приложение '!$C18</f>
        <v>2031 г.</v>
      </c>
      <c r="X9" s="5246"/>
      <c r="Y9" s="879" t="str">
        <f>'Приложение '!$C12</f>
        <v>2024 г.</v>
      </c>
      <c r="Z9" s="5272" t="str">
        <f>'Приложение '!$C14</f>
        <v>2027 г.</v>
      </c>
      <c r="AA9" s="5245"/>
      <c r="AB9" s="5258" t="str">
        <f>'Приложение '!$C15</f>
        <v>2028 г.</v>
      </c>
      <c r="AC9" s="5245"/>
      <c r="AD9" s="5258" t="str">
        <f>'Приложение '!$C16</f>
        <v>2029 г.</v>
      </c>
      <c r="AE9" s="5245"/>
      <c r="AF9" s="5258" t="str">
        <f>'Приложение '!$C17</f>
        <v>2030 г.</v>
      </c>
      <c r="AG9" s="5245" t="str">
        <f>'Приложение '!$C18</f>
        <v>2031 г.</v>
      </c>
      <c r="AH9" s="5258" t="str">
        <f>'Приложение '!$C18</f>
        <v>2031 г.</v>
      </c>
      <c r="AI9" s="5246"/>
      <c r="AJ9" s="879" t="str">
        <f>'Приложение '!$C12</f>
        <v>2024 г.</v>
      </c>
      <c r="AK9" s="5257" t="str">
        <f>'Приложение '!$C14</f>
        <v>2027 г.</v>
      </c>
      <c r="AL9" s="5245"/>
      <c r="AM9" s="5258" t="str">
        <f>'Приложение '!$C15</f>
        <v>2028 г.</v>
      </c>
      <c r="AN9" s="5245"/>
      <c r="AO9" s="5258" t="str">
        <f>'Приложение '!$C16</f>
        <v>2029 г.</v>
      </c>
      <c r="AP9" s="5245"/>
      <c r="AQ9" s="5258" t="str">
        <f>'Приложение '!$C17</f>
        <v>2030 г.</v>
      </c>
      <c r="AR9" s="5245"/>
      <c r="AS9" s="5258" t="str">
        <f>'Приложение '!$C18</f>
        <v>2031 г.</v>
      </c>
      <c r="AT9" s="5246"/>
      <c r="AU9" s="879" t="str">
        <f>'Приложение '!$C12</f>
        <v>2024 г.</v>
      </c>
      <c r="AV9" s="5272" t="str">
        <f>'Приложение '!$C14</f>
        <v>2027 г.</v>
      </c>
      <c r="AW9" s="5245"/>
      <c r="AX9" s="5258" t="str">
        <f>'Приложение '!$C15</f>
        <v>2028 г.</v>
      </c>
      <c r="AY9" s="5245"/>
      <c r="AZ9" s="5258" t="str">
        <f>'Приложение '!$C16</f>
        <v>2029 г.</v>
      </c>
      <c r="BA9" s="5245"/>
      <c r="BB9" s="5258" t="str">
        <f>'Приложение '!$C17</f>
        <v>2030 г.</v>
      </c>
      <c r="BC9" s="5245"/>
      <c r="BD9" s="5258" t="str">
        <f>'Приложение '!$C18</f>
        <v>2031 г.</v>
      </c>
      <c r="BE9" s="5246"/>
      <c r="BF9" s="4422"/>
      <c r="BG9" s="4462" t="str">
        <f>+C9</f>
        <v>2024 г.</v>
      </c>
      <c r="BH9" s="4456" t="str">
        <f>+D9</f>
        <v>2027 г.</v>
      </c>
      <c r="BI9" s="4456" t="str">
        <f>+F9</f>
        <v>2028 г.</v>
      </c>
      <c r="BJ9" s="4456" t="str">
        <f>+H9</f>
        <v>2029 г.</v>
      </c>
      <c r="BK9" s="4456" t="str">
        <f>+J9</f>
        <v>2030 г.</v>
      </c>
      <c r="BL9" s="4456" t="str">
        <f>+L9</f>
        <v>2031 г.</v>
      </c>
      <c r="BM9" s="4462" t="str">
        <f>'Приложение '!$C12</f>
        <v>2024 г.</v>
      </c>
      <c r="BN9" s="4466" t="str">
        <f>'Приложение '!$C14</f>
        <v>2027 г.</v>
      </c>
      <c r="BO9" s="4466" t="str">
        <f>'Приложение '!$C15</f>
        <v>2028 г.</v>
      </c>
      <c r="BP9" s="4466" t="str">
        <f>'Приложение '!$C16</f>
        <v>2029 г.</v>
      </c>
      <c r="BQ9" s="4466" t="str">
        <f>'Приложение '!$C17</f>
        <v>2030 г.</v>
      </c>
      <c r="BR9" s="4466" t="str">
        <f>'Приложение '!$C18</f>
        <v>2031 г.</v>
      </c>
      <c r="BS9" s="4462" t="str">
        <f>'Приложение '!$C12</f>
        <v>2024 г.</v>
      </c>
      <c r="BT9" s="4456" t="str">
        <f>'Приложение '!$C14</f>
        <v>2027 г.</v>
      </c>
      <c r="BU9" s="4456" t="str">
        <f>'Приложение '!$C15</f>
        <v>2028 г.</v>
      </c>
      <c r="BV9" s="4456" t="str">
        <f>'Приложение '!$C16</f>
        <v>2029 г.</v>
      </c>
      <c r="BW9" s="4456" t="str">
        <f>'Приложение '!$C17</f>
        <v>2030 г.</v>
      </c>
      <c r="BX9" s="4456" t="str">
        <f>'Приложение '!$C18</f>
        <v>2031 г.</v>
      </c>
      <c r="BY9" s="4462" t="str">
        <f>'Приложение '!$C12</f>
        <v>2024 г.</v>
      </c>
      <c r="BZ9" s="4456" t="str">
        <f>'Приложение '!$C14</f>
        <v>2027 г.</v>
      </c>
      <c r="CA9" s="4456" t="str">
        <f>'Приложение '!$C15</f>
        <v>2028 г.</v>
      </c>
      <c r="CB9" s="4456" t="str">
        <f>'Приложение '!$C16</f>
        <v>2029 г.</v>
      </c>
      <c r="CC9" s="4456" t="str">
        <f>'Приложение '!$C17</f>
        <v>2030 г.</v>
      </c>
      <c r="CD9" s="4456" t="str">
        <f>'Приложение '!$C18</f>
        <v>2031 г.</v>
      </c>
      <c r="CE9" s="4462" t="str">
        <f>'Приложение '!$C12</f>
        <v>2024 г.</v>
      </c>
      <c r="CF9" s="4456" t="str">
        <f>'Приложение '!$C14</f>
        <v>2027 г.</v>
      </c>
      <c r="CG9" s="4456" t="str">
        <f>'Приложение '!$C15</f>
        <v>2028 г.</v>
      </c>
      <c r="CH9" s="4456" t="str">
        <f>'Приложение '!$C16</f>
        <v>2029 г.</v>
      </c>
      <c r="CI9" s="4456" t="str">
        <f>'Приложение '!$C17</f>
        <v>2030 г.</v>
      </c>
      <c r="CJ9" s="4456" t="str">
        <f>'Приложение '!$C18</f>
        <v>2031 г.</v>
      </c>
    </row>
    <row r="10" spans="1:88" ht="51.75" customHeight="1" thickBot="1">
      <c r="A10" s="5261"/>
      <c r="B10" s="5264"/>
      <c r="C10" s="1083" t="s">
        <v>1745</v>
      </c>
      <c r="D10" s="4204" t="str">
        <f>CONCATENATE("разлика "," спрямо ",$C$9)</f>
        <v>разлика  спрямо 2024 г.</v>
      </c>
      <c r="E10" s="4205" t="str">
        <f>CONCATENATE("изменение в %"," спрямо ",$C$9)</f>
        <v>изменение в % спрямо 2024 г.</v>
      </c>
      <c r="F10" s="4205" t="str">
        <f>CONCATENATE("разлика "," спрямо ",$C$9)</f>
        <v>разлика  спрямо 2024 г.</v>
      </c>
      <c r="G10" s="4205" t="str">
        <f>CONCATENATE("изменение в %"," спрямо ",$C$9)</f>
        <v>изменение в % спрямо 2024 г.</v>
      </c>
      <c r="H10" s="4205" t="str">
        <f>CONCATENATE("разлика "," спрямо ",$C$9)</f>
        <v>разлика  спрямо 2024 г.</v>
      </c>
      <c r="I10" s="4205" t="str">
        <f>CONCATENATE("изменение в %"," спрямо ",$C$9)</f>
        <v>изменение в % спрямо 2024 г.</v>
      </c>
      <c r="J10" s="4205" t="str">
        <f>CONCATENATE("разлика "," спрямо ",$C$9)</f>
        <v>разлика  спрямо 2024 г.</v>
      </c>
      <c r="K10" s="4204" t="str">
        <f>CONCATENATE("изменение в %"," спрямо ",$C$9)</f>
        <v>изменение в % спрямо 2024 г.</v>
      </c>
      <c r="L10" s="4205" t="str">
        <f>CONCATENATE("разлика "," спрямо ",$C$9)</f>
        <v>разлика  спрямо 2024 г.</v>
      </c>
      <c r="M10" s="4204" t="str">
        <f>CONCATENATE("изменение в %"," спрямо ",$C$9)</f>
        <v>изменение в % спрямо 2024 г.</v>
      </c>
      <c r="N10" s="1083" t="str">
        <f>C10</f>
        <v>Базова година</v>
      </c>
      <c r="O10" s="4204" t="str">
        <f>CONCATENATE("разлика "," спрямо ",$C$9)</f>
        <v>разлика  спрямо 2024 г.</v>
      </c>
      <c r="P10" s="4205" t="str">
        <f>CONCATENATE("изменение в %"," спрямо ",$C$9)</f>
        <v>изменение в % спрямо 2024 г.</v>
      </c>
      <c r="Q10" s="4205" t="str">
        <f>CONCATENATE("разлика "," спрямо ",$C$9)</f>
        <v>разлика  спрямо 2024 г.</v>
      </c>
      <c r="R10" s="4205" t="str">
        <f>CONCATENATE("изменение в %"," спрямо ",$C$9)</f>
        <v>изменение в % спрямо 2024 г.</v>
      </c>
      <c r="S10" s="4205" t="str">
        <f>CONCATENATE("разлика "," спрямо ",$C$9)</f>
        <v>разлика  спрямо 2024 г.</v>
      </c>
      <c r="T10" s="4205" t="str">
        <f>CONCATENATE("изменение в %"," спрямо ",$C$9)</f>
        <v>изменение в % спрямо 2024 г.</v>
      </c>
      <c r="U10" s="4205" t="str">
        <f>CONCATENATE("разлика "," спрямо ",$C$9)</f>
        <v>разлика  спрямо 2024 г.</v>
      </c>
      <c r="V10" s="4204" t="str">
        <f>CONCATENATE("изменение в %"," спрямо ",$C$9)</f>
        <v>изменение в % спрямо 2024 г.</v>
      </c>
      <c r="W10" s="4205" t="str">
        <f>CONCATENATE("разлика "," спрямо ",$C$9)</f>
        <v>разлика  спрямо 2024 г.</v>
      </c>
      <c r="X10" s="4206" t="str">
        <f>CONCATENATE("изменение в %"," спрямо ",$C$9)</f>
        <v>изменение в % спрямо 2024 г.</v>
      </c>
      <c r="Y10" s="1083" t="str">
        <f>C10</f>
        <v>Базова година</v>
      </c>
      <c r="Z10" s="4207" t="str">
        <f>CONCATENATE("разлика "," спрямо ",$C$9)</f>
        <v>разлика  спрямо 2024 г.</v>
      </c>
      <c r="AA10" s="4205" t="str">
        <f>CONCATENATE("изменение в %"," спрямо ",$C$9)</f>
        <v>изменение в % спрямо 2024 г.</v>
      </c>
      <c r="AB10" s="4208" t="str">
        <f>CONCATENATE("разлика "," спрямо ",$C$9)</f>
        <v>разлика  спрямо 2024 г.</v>
      </c>
      <c r="AC10" s="4205" t="str">
        <f>CONCATENATE("изменение в %"," спрямо ",$C$9)</f>
        <v>изменение в % спрямо 2024 г.</v>
      </c>
      <c r="AD10" s="4208" t="str">
        <f>CONCATENATE("разлика "," спрямо ",$C$9)</f>
        <v>разлика  спрямо 2024 г.</v>
      </c>
      <c r="AE10" s="4205" t="str">
        <f>CONCATENATE("изменение в %"," спрямо ",$C$9)</f>
        <v>изменение в % спрямо 2024 г.</v>
      </c>
      <c r="AF10" s="4208" t="str">
        <f>CONCATENATE("разлика "," спрямо ",$C$9)</f>
        <v>разлика  спрямо 2024 г.</v>
      </c>
      <c r="AG10" s="4204" t="str">
        <f>CONCATENATE("изменение в %"," спрямо ",$C$9)</f>
        <v>изменение в % спрямо 2024 г.</v>
      </c>
      <c r="AH10" s="4208" t="str">
        <f>CONCATENATE("разлика "," спрямо ",$C$9)</f>
        <v>разлика  спрямо 2024 г.</v>
      </c>
      <c r="AI10" s="4206" t="str">
        <f>CONCATENATE("изменение в %"," спрямо ",$C$9)</f>
        <v>изменение в % спрямо 2024 г.</v>
      </c>
      <c r="AJ10" s="1083" t="str">
        <f>C10</f>
        <v>Базова година</v>
      </c>
      <c r="AK10" s="4207" t="str">
        <f>CONCATENATE("разлика "," спрямо ",$C$9)</f>
        <v>разлика  спрямо 2024 г.</v>
      </c>
      <c r="AL10" s="4205" t="str">
        <f>CONCATENATE("изменение в %"," спрямо ",$C$9)</f>
        <v>изменение в % спрямо 2024 г.</v>
      </c>
      <c r="AM10" s="4208" t="str">
        <f>CONCATENATE("разлика "," спрямо ",$C$9)</f>
        <v>разлика  спрямо 2024 г.</v>
      </c>
      <c r="AN10" s="4205" t="str">
        <f>CONCATENATE("изменение в %"," спрямо ",$C$9)</f>
        <v>изменение в % спрямо 2024 г.</v>
      </c>
      <c r="AO10" s="4208" t="str">
        <f>CONCATENATE("разлика "," спрямо ",$C$9)</f>
        <v>разлика  спрямо 2024 г.</v>
      </c>
      <c r="AP10" s="4205" t="str">
        <f>CONCATENATE("изменение в %"," спрямо ",$C$9)</f>
        <v>изменение в % спрямо 2024 г.</v>
      </c>
      <c r="AQ10" s="4208" t="str">
        <f>CONCATENATE("разлика "," спрямо ",$C$9)</f>
        <v>разлика  спрямо 2024 г.</v>
      </c>
      <c r="AR10" s="4204" t="str">
        <f>CONCATENATE("изменение в %"," спрямо ",$C$9)</f>
        <v>изменение в % спрямо 2024 г.</v>
      </c>
      <c r="AS10" s="4208" t="str">
        <f>CONCATENATE("разлика "," спрямо ",$C$9)</f>
        <v>разлика  спрямо 2024 г.</v>
      </c>
      <c r="AT10" s="4206" t="str">
        <f>CONCATENATE("изменение в %"," спрямо ",$C$9)</f>
        <v>изменение в % спрямо 2024 г.</v>
      </c>
      <c r="AU10" s="1083" t="str">
        <f>AJ10</f>
        <v>Базова година</v>
      </c>
      <c r="AV10" s="4207" t="str">
        <f>CONCATENATE("разлика "," спрямо ",$C$9)</f>
        <v>разлика  спрямо 2024 г.</v>
      </c>
      <c r="AW10" s="4205" t="str">
        <f>CONCATENATE("изменение в %"," спрямо ",$C$9)</f>
        <v>изменение в % спрямо 2024 г.</v>
      </c>
      <c r="AX10" s="4208" t="str">
        <f>CONCATENATE("разлика "," спрямо ",$C$9)</f>
        <v>разлика  спрямо 2024 г.</v>
      </c>
      <c r="AY10" s="4205" t="str">
        <f>CONCATENATE("изменение в %"," спрямо ",$C$9)</f>
        <v>изменение в % спрямо 2024 г.</v>
      </c>
      <c r="AZ10" s="4208" t="str">
        <f>CONCATENATE("разлика "," спрямо ",$C$9)</f>
        <v>разлика  спрямо 2024 г.</v>
      </c>
      <c r="BA10" s="4205" t="str">
        <f>CONCATENATE("изменение в %"," спрямо ",$C$9)</f>
        <v>изменение в % спрямо 2024 г.</v>
      </c>
      <c r="BB10" s="4208" t="str">
        <f>CONCATENATE("разлика "," спрямо ",$C$9)</f>
        <v>разлика  спрямо 2024 г.</v>
      </c>
      <c r="BC10" s="4204" t="str">
        <f>CONCATENATE("изменение в %"," спрямо ",$C$9)</f>
        <v>изменение в % спрямо 2024 г.</v>
      </c>
      <c r="BD10" s="4208" t="str">
        <f>CONCATENATE("разлика "," спрямо ",$C$9)</f>
        <v>разлика  спрямо 2024 г.</v>
      </c>
      <c r="BE10" s="4206" t="str">
        <f>CONCATENATE("изменение в %"," спрямо ",$C$9)</f>
        <v>изменение в % спрямо 2024 г.</v>
      </c>
      <c r="BF10" s="4422"/>
      <c r="BG10" s="4463" t="s">
        <v>1745</v>
      </c>
      <c r="BH10" s="4464" t="str">
        <f>CONCATENATE("разлика "," спрямо ",$C$9)</f>
        <v>разлика  спрямо 2024 г.</v>
      </c>
      <c r="BI10" s="4464" t="str">
        <f>CONCATENATE("разлика "," спрямо ",$C$9)</f>
        <v>разлика  спрямо 2024 г.</v>
      </c>
      <c r="BJ10" s="4464" t="str">
        <f>CONCATENATE("разлика "," спрямо ",$C$9)</f>
        <v>разлика  спрямо 2024 г.</v>
      </c>
      <c r="BK10" s="4464" t="str">
        <f>CONCATENATE("разлика "," спрямо ",$C$9)</f>
        <v>разлика  спрямо 2024 г.</v>
      </c>
      <c r="BL10" s="4464" t="str">
        <f>CONCATENATE("разлика "," спрямо ",$C$9)</f>
        <v>разлика  спрямо 2024 г.</v>
      </c>
      <c r="BM10" s="4463" t="str">
        <f>BG10</f>
        <v>Базова година</v>
      </c>
      <c r="BN10" s="4464" t="str">
        <f>CONCATENATE("разлика "," спрямо ",$C$9)</f>
        <v>разлика  спрямо 2024 г.</v>
      </c>
      <c r="BO10" s="4464" t="str">
        <f>CONCATENATE("разлика "," спрямо ",$C$9)</f>
        <v>разлика  спрямо 2024 г.</v>
      </c>
      <c r="BP10" s="4464" t="str">
        <f>CONCATENATE("разлика "," спрямо ",$C$9)</f>
        <v>разлика  спрямо 2024 г.</v>
      </c>
      <c r="BQ10" s="4464" t="str">
        <f>CONCATENATE("разлика "," спрямо ",$C$9)</f>
        <v>разлика  спрямо 2024 г.</v>
      </c>
      <c r="BR10" s="4464" t="str">
        <f>CONCATENATE("разлика "," спрямо ",$C$9)</f>
        <v>разлика  спрямо 2024 г.</v>
      </c>
      <c r="BS10" s="4463" t="str">
        <f>BG10</f>
        <v>Базова година</v>
      </c>
      <c r="BT10" s="4465" t="str">
        <f>CONCATENATE("разлика "," спрямо ",$C$9)</f>
        <v>разлика  спрямо 2024 г.</v>
      </c>
      <c r="BU10" s="4465" t="str">
        <f>CONCATENATE("разлика "," спрямо ",$C$9)</f>
        <v>разлика  спрямо 2024 г.</v>
      </c>
      <c r="BV10" s="4465" t="str">
        <f>CONCATENATE("разлика "," спрямо ",$C$9)</f>
        <v>разлика  спрямо 2024 г.</v>
      </c>
      <c r="BW10" s="4465" t="str">
        <f>CONCATENATE("разлика "," спрямо ",$C$9)</f>
        <v>разлика  спрямо 2024 г.</v>
      </c>
      <c r="BX10" s="4465" t="str">
        <f>CONCATENATE("разлика "," спрямо ",$C$9)</f>
        <v>разлика  спрямо 2024 г.</v>
      </c>
      <c r="BY10" s="4463" t="str">
        <f>BG10</f>
        <v>Базова година</v>
      </c>
      <c r="BZ10" s="4465" t="str">
        <f>CONCATENATE("разлика "," спрямо ",$C$9)</f>
        <v>разлика  спрямо 2024 г.</v>
      </c>
      <c r="CA10" s="4465" t="str">
        <f>CONCATENATE("разлика "," спрямо ",$C$9)</f>
        <v>разлика  спрямо 2024 г.</v>
      </c>
      <c r="CB10" s="4465" t="str">
        <f>CONCATENATE("разлика "," спрямо ",$C$9)</f>
        <v>разлика  спрямо 2024 г.</v>
      </c>
      <c r="CC10" s="4465" t="str">
        <f>CONCATENATE("разлика "," спрямо ",$C$9)</f>
        <v>разлика  спрямо 2024 г.</v>
      </c>
      <c r="CD10" s="4465" t="str">
        <f>CONCATENATE("разлика "," спрямо ",$C$9)</f>
        <v>разлика  спрямо 2024 г.</v>
      </c>
      <c r="CE10" s="4463" t="str">
        <f>BY10</f>
        <v>Базова година</v>
      </c>
      <c r="CF10" s="4465" t="str">
        <f>CONCATENATE("разлика "," спрямо ",$C$9)</f>
        <v>разлика  спрямо 2024 г.</v>
      </c>
      <c r="CG10" s="4465" t="str">
        <f>CONCATENATE("разлика "," спрямо ",$C$9)</f>
        <v>разлика  спрямо 2024 г.</v>
      </c>
      <c r="CH10" s="4465" t="str">
        <f>CONCATENATE("разлика "," спрямо ",$C$9)</f>
        <v>разлика  спрямо 2024 г.</v>
      </c>
      <c r="CI10" s="4465" t="str">
        <f>CONCATENATE("разлика "," спрямо ",$C$9)</f>
        <v>разлика  спрямо 2024 г.</v>
      </c>
      <c r="CJ10" s="4465" t="str">
        <f>CONCATENATE("разлика "," спрямо ",$C$9)</f>
        <v>разлика  спрямо 2024 г.</v>
      </c>
    </row>
    <row r="11" spans="1:88" s="1134" customFormat="1" ht="15.95" customHeight="1" thickBot="1">
      <c r="A11" s="109" t="s">
        <v>141</v>
      </c>
      <c r="B11" s="869" t="s">
        <v>226</v>
      </c>
      <c r="C11" s="1084">
        <f>'12. Разходи'!C11</f>
        <v>9326.6180571463156</v>
      </c>
      <c r="D11" s="880">
        <f>'12. Разходи'!D11-'12. Разходи'!$C11</f>
        <v>1624.7122746456826</v>
      </c>
      <c r="E11" s="853">
        <f>IFERROR(('12. Разходи'!D11-'12. Разходи'!$C11)/'12. Разходи'!$C11,0)</f>
        <v>0.17420165216273464</v>
      </c>
      <c r="F11" s="1121">
        <f>'12. Разходи'!E11-'12. Разходи'!$C11</f>
        <v>1677.5702306706862</v>
      </c>
      <c r="G11" s="853">
        <f>IFERROR(('12. Разходи'!E11-'12. Разходи'!$C11)/'12. Разходи'!$C11,0)</f>
        <v>0.17986908227525036</v>
      </c>
      <c r="H11" s="1121">
        <f>'12. Разходи'!F11-'12. Разходи'!$C11</f>
        <v>1702.1924626291857</v>
      </c>
      <c r="I11" s="853">
        <f>IFERROR(('12. Разходи'!F11-'12. Разходи'!$C11)/'12. Разходи'!$C11,0)</f>
        <v>0.18250907801729033</v>
      </c>
      <c r="J11" s="1121">
        <f>'12. Разходи'!G11-'12. Разходи'!$C11</f>
        <v>1914.4969293683171</v>
      </c>
      <c r="K11" s="853">
        <f>IFERROR(('12. Разходи'!G11-'12. Разходи'!$C11)/'12. Разходи'!$C11,0)</f>
        <v>0.20527236321223383</v>
      </c>
      <c r="L11" s="1121">
        <f>'12. Разходи'!H11-'12. Разходи'!$C11</f>
        <v>1823.4093780858693</v>
      </c>
      <c r="M11" s="859">
        <f>IFERROR(('12. Разходи'!H11-'12. Разходи'!$C11)/'12. Разходи'!$C11,0)</f>
        <v>0.19550595584738478</v>
      </c>
      <c r="N11" s="1135">
        <f>'12. Разходи'!K11</f>
        <v>127.40172983080001</v>
      </c>
      <c r="O11" s="880">
        <f>'12. Разходи'!L11-'12. Разходи'!$K11</f>
        <v>22.739837902799962</v>
      </c>
      <c r="P11" s="853">
        <f>IFERROR(('12. Разходи'!L11-'12. Разходи'!$K11)/'12. Разходи'!$K11,0)</f>
        <v>0.17848923976935274</v>
      </c>
      <c r="Q11" s="1121">
        <f>'12. Разходи'!M11-'12. Разходи'!$K11</f>
        <v>24.049513752799982</v>
      </c>
      <c r="R11" s="853">
        <f>IFERROR(('12. Разходи'!M11-'12. Разходи'!$K11)/'12. Разходи'!$K11,0)</f>
        <v>0.18876913040929441</v>
      </c>
      <c r="S11" s="1121">
        <f>'12. Разходи'!N11-'12. Разходи'!$K11</f>
        <v>24.977329538300069</v>
      </c>
      <c r="T11" s="853">
        <f>IFERROR(('12. Разходи'!N11-'12. Разходи'!$K11)/'12. Разходи'!$K11,0)</f>
        <v>0.19605172999983611</v>
      </c>
      <c r="U11" s="1121">
        <f>'12. Разходи'!O11-'12. Разходи'!$K11</f>
        <v>69.818684059989977</v>
      </c>
      <c r="V11" s="853">
        <f>IFERROR(('12. Разходи'!O11-'12. Разходи'!$K11)/'12. Разходи'!$K11,0)</f>
        <v>0.548019906422895</v>
      </c>
      <c r="W11" s="1121">
        <f>'12. Разходи'!P11-'12. Разходи'!$K11</f>
        <v>69.206567131878387</v>
      </c>
      <c r="X11" s="801">
        <f>IFERROR(('12. Разходи'!P11-'12. Разходи'!$K11)/'12. Разходи'!$K11,0)</f>
        <v>0.54321528619580295</v>
      </c>
      <c r="Y11" s="1135">
        <f>'12. Разходи'!S11</f>
        <v>709.40380443079994</v>
      </c>
      <c r="Z11" s="880">
        <f>'12. Разходи'!T11-'12. Разходи'!$S11</f>
        <v>110.64997985000014</v>
      </c>
      <c r="AA11" s="853">
        <f>IFERROR(('12. Разходи'!T11-'12. Разходи'!$S11)/'12. Разходи'!$S11,0)</f>
        <v>0.15597601698623775</v>
      </c>
      <c r="AB11" s="1121">
        <f>'12. Разходи'!U11-'12. Разходи'!$S11</f>
        <v>115.01889585000015</v>
      </c>
      <c r="AC11" s="853">
        <f>IFERROR(('12. Разходи'!U11-'12. Разходи'!$S11)/'12. Разходи'!$S11,0)</f>
        <v>0.16213459123226323</v>
      </c>
      <c r="AD11" s="1121">
        <f>'12. Разходи'!V11-'12. Разходи'!$S11</f>
        <v>119.13235293000002</v>
      </c>
      <c r="AE11" s="853">
        <f>IFERROR(('12. Разходи'!V11-'12. Разходи'!$S11)/'12. Разходи'!$S11,0)</f>
        <v>0.16793306179910825</v>
      </c>
      <c r="AF11" s="1121">
        <f>'12. Разходи'!W11-'12. Разходи'!$S11</f>
        <v>233.48663000760052</v>
      </c>
      <c r="AG11" s="853">
        <f>IFERROR(('12. Разходи'!W11-'12. Разходи'!$S11)/'12. Разходи'!$S11,0)</f>
        <v>0.32913078355273523</v>
      </c>
      <c r="AH11" s="1121">
        <f>'12. Разходи'!X11-'12. Разходи'!$S11</f>
        <v>236.3854074266643</v>
      </c>
      <c r="AI11" s="801">
        <f>IFERROR(('12. Разходи'!X11-'12. Разходи'!$S11)/'12. Разходи'!$S11,0)</f>
        <v>0.33321699989518866</v>
      </c>
      <c r="AJ11" s="1135">
        <f>'12. Разходи'!AA11</f>
        <v>0</v>
      </c>
      <c r="AK11" s="1122">
        <f>'12. Разходи'!AB11-'12. Разходи'!$AA11</f>
        <v>0</v>
      </c>
      <c r="AL11" s="853">
        <f>IFERROR(('12. Разходи'!AB11-'12. Разходи'!$AA11)/'12. Разходи'!$AA11,0)</f>
        <v>0</v>
      </c>
      <c r="AM11" s="1121">
        <f>'12. Разходи'!AC11-'12. Разходи'!$AA11</f>
        <v>0</v>
      </c>
      <c r="AN11" s="853">
        <f>IFERROR(('12. Разходи'!AC11-'12. Разходи'!$AA11)/'12. Разходи'!$AA11,0)</f>
        <v>0</v>
      </c>
      <c r="AO11" s="1121">
        <f>'12. Разходи'!AD11-'12. Разходи'!$AA11</f>
        <v>0</v>
      </c>
      <c r="AP11" s="853">
        <f>IFERROR(('12. Разходи'!AD11-'12. Разходи'!$AA11)/'12. Разходи'!$AA11,0)</f>
        <v>0</v>
      </c>
      <c r="AQ11" s="1121">
        <f>'12. Разходи'!AE11-'12. Разходи'!$AA11</f>
        <v>0</v>
      </c>
      <c r="AR11" s="859">
        <f>IFERROR(('12. Разходи'!AE11-'12. Разходи'!$AA11)/'12. Разходи'!$AA11,0)</f>
        <v>0</v>
      </c>
      <c r="AS11" s="1121">
        <f>'12. Разходи'!AF11-'12. Разходи'!$AA11</f>
        <v>0</v>
      </c>
      <c r="AT11" s="801">
        <f>IFERROR(('12. Разходи'!AF11-'12. Разходи'!$AA11)/'12. Разходи'!$AA11,0)</f>
        <v>0</v>
      </c>
      <c r="AU11" s="1135">
        <f>'12. Разходи'!AI11</f>
        <v>0</v>
      </c>
      <c r="AV11" s="1122">
        <f>'12. Разходи'!AJ11-'12. Разходи'!$AI11</f>
        <v>0</v>
      </c>
      <c r="AW11" s="853">
        <f>IFERROR(('12. Разходи'!AJ11-'12. Разходи'!$AI11)/'12. Разходи'!$AI11,0)</f>
        <v>0</v>
      </c>
      <c r="AX11" s="1121">
        <f>'12. Разходи'!AK11-'12. Разходи'!$AI11</f>
        <v>0</v>
      </c>
      <c r="AY11" s="853">
        <f>IFERROR(('12. Разходи'!AK11-'12. Разходи'!$AI11)/'12. Разходи'!$AI11,0)</f>
        <v>0</v>
      </c>
      <c r="AZ11" s="1121">
        <f>'12. Разходи'!AL11-'12. Разходи'!$AI11</f>
        <v>0</v>
      </c>
      <c r="BA11" s="853">
        <f>IFERROR(('12. Разходи'!AL11-'12. Разходи'!$AI11)/'12. Разходи'!$AI11,0)</f>
        <v>0</v>
      </c>
      <c r="BB11" s="1121">
        <f>'12. Разходи'!AM11-'12. Разходи'!$AI11</f>
        <v>0</v>
      </c>
      <c r="BC11" s="859">
        <f>IFERROR(('12. Разходи'!AM11-'12. Разходи'!$AI11)/'12. Разходи'!$AI11,0)</f>
        <v>0</v>
      </c>
      <c r="BD11" s="1121">
        <f>'12. Разходи'!AN11-'12. Разходи'!$AI11</f>
        <v>0</v>
      </c>
      <c r="BE11" s="801">
        <f>IFERROR(('12. Разходи'!AN11-'12. Разходи'!$AI11)/'12. Разходи'!$AI11,0)</f>
        <v>0</v>
      </c>
      <c r="BF11" s="4422"/>
      <c r="BG11" s="4438">
        <f>IFERROR(C11/$D$1,0)</f>
        <v>4768.6240916369597</v>
      </c>
      <c r="BH11" s="4438">
        <f t="shared" ref="BH11" si="0">IFERROR(D11/$D$1,0)</f>
        <v>830.70219530617828</v>
      </c>
      <c r="BI11" s="4438">
        <f>IFERROR(F11/$D$1,0)</f>
        <v>857.72803907838932</v>
      </c>
      <c r="BJ11" s="4438">
        <f>IFERROR(H11/$D$1,0)</f>
        <v>870.3171863757002</v>
      </c>
      <c r="BK11" s="4438">
        <f>IFERROR(J11/$D$1,0)</f>
        <v>978.86673656111066</v>
      </c>
      <c r="BL11" s="4438">
        <f>IFERROR(L11/$D$1,0)</f>
        <v>932.29441111235099</v>
      </c>
      <c r="BM11" s="4438">
        <f>IFERROR(N11/$D$1,0)</f>
        <v>65.139470112842119</v>
      </c>
      <c r="BN11" s="4438">
        <f>IFERROR(O11/$D$1,0)</f>
        <v>11.626694499419665</v>
      </c>
      <c r="BO11" s="4438">
        <f>IFERROR(Q11/$D$1,0)</f>
        <v>12.296321128523431</v>
      </c>
      <c r="BP11" s="4438">
        <f>IFERROR(S11/$D$1,0)</f>
        <v>12.770705806895318</v>
      </c>
      <c r="BQ11" s="4438">
        <f>IFERROR(U11/$D$1,0)</f>
        <v>35.697726315676711</v>
      </c>
      <c r="BR11" s="4438">
        <f>IFERROR(W11/$D$1,0)</f>
        <v>35.384755899990488</v>
      </c>
      <c r="BS11" s="4438">
        <f>IFERROR(Y11/$D$1,0)</f>
        <v>362.71240569517801</v>
      </c>
      <c r="BT11" s="4438">
        <f>IFERROR(Z11/$D$1,0)</f>
        <v>56.574436351830244</v>
      </c>
      <c r="BU11" s="4438">
        <f>IFERROR(AB11/$D$1,0)</f>
        <v>58.808227632258507</v>
      </c>
      <c r="BV11" s="4438">
        <f>IFERROR(AD11/$D$1,0)</f>
        <v>60.911404840911544</v>
      </c>
      <c r="BW11" s="4438">
        <f>IFERROR(AF11/$D$1,0)</f>
        <v>119.37981829075152</v>
      </c>
      <c r="BX11" s="4438">
        <f>IFERROR(AH11/$D$1,0)</f>
        <v>120.86193965051375</v>
      </c>
      <c r="BY11" s="4438">
        <f>IFERROR(AJ11/$D$1,0)</f>
        <v>0</v>
      </c>
      <c r="BZ11" s="4438">
        <f>IFERROR(AK11/$D$1,0)</f>
        <v>0</v>
      </c>
      <c r="CA11" s="4438">
        <f>IFERROR(AM11/$D$1,0)</f>
        <v>0</v>
      </c>
      <c r="CB11" s="4438">
        <f>IFERROR(AO11/$D$1,0)</f>
        <v>0</v>
      </c>
      <c r="CC11" s="4438">
        <f>IFERROR(AQ11/$D$1,0)</f>
        <v>0</v>
      </c>
      <c r="CD11" s="4438">
        <f>IFERROR(AS11/$D$1,0)</f>
        <v>0</v>
      </c>
      <c r="CE11" s="4438">
        <f>IFERROR(AU11/$D$1,0)</f>
        <v>0</v>
      </c>
      <c r="CF11" s="4438">
        <f>IFERROR(AV11/$D$1,0)</f>
        <v>0</v>
      </c>
      <c r="CG11" s="4438">
        <f>IFERROR(AX11/$D$1,0)</f>
        <v>0</v>
      </c>
      <c r="CH11" s="4438">
        <f>IFERROR(AZ11/$D$1,0)</f>
        <v>0</v>
      </c>
      <c r="CI11" s="4438">
        <f>IFERROR(BB11/$D$1,0)</f>
        <v>0</v>
      </c>
      <c r="CJ11" s="4438">
        <f>IFERROR(BD11/$D$1,0)</f>
        <v>0</v>
      </c>
    </row>
    <row r="12" spans="1:88" ht="15.95" customHeight="1">
      <c r="A12" s="108" t="s">
        <v>90</v>
      </c>
      <c r="B12" s="870" t="s">
        <v>227</v>
      </c>
      <c r="C12" s="1160">
        <f>'12. Разходи'!C12</f>
        <v>253</v>
      </c>
      <c r="D12" s="1104">
        <f>'12. Разходи'!D12-'12. Разходи'!$C12</f>
        <v>17.710000000000036</v>
      </c>
      <c r="E12" s="854">
        <f>IFERROR(('12. Разходи'!D12-'12. Разходи'!$C12)/'12. Разходи'!$C12,0)</f>
        <v>7.0000000000000145E-2</v>
      </c>
      <c r="F12" s="1105">
        <f>'12. Разходи'!E12-'12. Разходи'!$C12</f>
        <v>25.831299999999999</v>
      </c>
      <c r="G12" s="854">
        <f>IFERROR(('12. Разходи'!E12-'12. Разходи'!$C12)/'12. Разходи'!$C12,0)</f>
        <v>0.1021</v>
      </c>
      <c r="H12" s="1105">
        <f>'12. Разходи'!F12-'12. Разходи'!$C12</f>
        <v>34.196239000000048</v>
      </c>
      <c r="I12" s="854">
        <f>IFERROR(('12. Разходи'!F12-'12. Разходи'!$C12)/'12. Разходи'!$C12,0)</f>
        <v>0.1351630000000002</v>
      </c>
      <c r="J12" s="1105">
        <f>'12. Разходи'!G12-'12. Разходи'!$C12</f>
        <v>40.261061929999983</v>
      </c>
      <c r="K12" s="854">
        <f>IFERROR(('12. Разходи'!G12-'12. Разходи'!$C12)/'12. Разходи'!$C12,0)</f>
        <v>0.15913463213438728</v>
      </c>
      <c r="L12" s="1105">
        <f>'12. Разходи'!H12-'12. Разходи'!$C12</f>
        <v>49.05889378789999</v>
      </c>
      <c r="M12" s="862">
        <f>IFERROR(('12. Разходи'!H12-'12. Разходи'!$C12)/'12. Разходи'!$C12,0)</f>
        <v>0.19390867109841894</v>
      </c>
      <c r="N12" s="1136">
        <f>'12. Разходи'!K12</f>
        <v>0</v>
      </c>
      <c r="O12" s="1104">
        <f>'12. Разходи'!L12-'12. Разходи'!$K12</f>
        <v>0</v>
      </c>
      <c r="P12" s="854">
        <f>IFERROR(('12. Разходи'!L12-'12. Разходи'!$K12)/'12. Разходи'!$K12,0)</f>
        <v>0</v>
      </c>
      <c r="Q12" s="1105">
        <f>'12. Разходи'!M12-'12. Разходи'!$K12</f>
        <v>0</v>
      </c>
      <c r="R12" s="854">
        <f>IFERROR(('12. Разходи'!M12-'12. Разходи'!$K12)/'12. Разходи'!$K12,0)</f>
        <v>0</v>
      </c>
      <c r="S12" s="1105">
        <f>'12. Разходи'!N12-'12. Разходи'!$K12</f>
        <v>0</v>
      </c>
      <c r="T12" s="854">
        <f>IFERROR(('12. Разходи'!N12-'12. Разходи'!$K12)/'12. Разходи'!$K12,0)</f>
        <v>0</v>
      </c>
      <c r="U12" s="1105">
        <f>'12. Разходи'!O12-'12. Разходи'!$K12</f>
        <v>0</v>
      </c>
      <c r="V12" s="854">
        <f>IFERROR(('12. Разходи'!O12-'12. Разходи'!$K12)/'12. Разходи'!$K12,0)</f>
        <v>0</v>
      </c>
      <c r="W12" s="1105">
        <f>'12. Разходи'!P12-'12. Разходи'!$K12</f>
        <v>0</v>
      </c>
      <c r="X12" s="802">
        <f>IFERROR(('12. Разходи'!P12-'12. Разходи'!$K12)/'12. Разходи'!$K12,0)</f>
        <v>0</v>
      </c>
      <c r="Y12" s="1136">
        <f>'12. Разходи'!S12</f>
        <v>90</v>
      </c>
      <c r="Z12" s="1104">
        <f>'12. Разходи'!T12-'12. Разходи'!$S12</f>
        <v>6.3000000000000114</v>
      </c>
      <c r="AA12" s="854">
        <f>IFERROR(('12. Разходи'!T12-'12. Разходи'!$S12)/'12. Разходи'!$S12,0)</f>
        <v>7.0000000000000132E-2</v>
      </c>
      <c r="AB12" s="1105">
        <f>'12. Разходи'!U12-'12. Разходи'!$S12</f>
        <v>9.1890000000000072</v>
      </c>
      <c r="AC12" s="854">
        <f>IFERROR(('12. Разходи'!U12-'12. Разходи'!$S12)/'12. Разходи'!$S12,0)</f>
        <v>0.10210000000000008</v>
      </c>
      <c r="AD12" s="1105">
        <f>'12. Разходи'!V12-'12. Разходи'!$S12</f>
        <v>12.164670000000001</v>
      </c>
      <c r="AE12" s="854">
        <f>IFERROR(('12. Разходи'!V12-'12. Разходи'!$S12)/'12. Разходи'!$S12,0)</f>
        <v>0.13516300000000001</v>
      </c>
      <c r="AF12" s="1105">
        <f>'12. Разходи'!W12-'12. Разходи'!$S12</f>
        <v>15.229610100000002</v>
      </c>
      <c r="AG12" s="854">
        <f>IFERROR(('12. Разходи'!W12-'12. Разходи'!$S12)/'12. Разходи'!$S12,0)</f>
        <v>0.16921789000000004</v>
      </c>
      <c r="AH12" s="1105">
        <f>'12. Разходи'!X12-'12. Разходи'!$S12</f>
        <v>18.386498403000019</v>
      </c>
      <c r="AI12" s="802">
        <f>IFERROR(('12. Разходи'!X12-'12. Разходи'!$S12)/'12. Разходи'!$S12,0)</f>
        <v>0.2042944267000002</v>
      </c>
      <c r="AJ12" s="1136">
        <f>'12. Разходи'!AA12</f>
        <v>0</v>
      </c>
      <c r="AK12" s="1118">
        <f>'12. Разходи'!AB12-'12. Разходи'!$AA12</f>
        <v>0</v>
      </c>
      <c r="AL12" s="854">
        <f>IFERROR(('12. Разходи'!AB12-'12. Разходи'!$AA12)/'12. Разходи'!$AA12,0)</f>
        <v>0</v>
      </c>
      <c r="AM12" s="1105">
        <f>'12. Разходи'!AC12-'12. Разходи'!$AA12</f>
        <v>0</v>
      </c>
      <c r="AN12" s="854">
        <f>IFERROR(('12. Разходи'!AC12-'12. Разходи'!$AA12)/'12. Разходи'!$AA12,0)</f>
        <v>0</v>
      </c>
      <c r="AO12" s="1105">
        <f>'12. Разходи'!AD12-'12. Разходи'!$AA12</f>
        <v>0</v>
      </c>
      <c r="AP12" s="854">
        <f>IFERROR(('12. Разходи'!AD12-'12. Разходи'!$AA12)/'12. Разходи'!$AA12,0)</f>
        <v>0</v>
      </c>
      <c r="AQ12" s="1105">
        <f>'12. Разходи'!AE12-'12. Разходи'!$AA12</f>
        <v>0</v>
      </c>
      <c r="AR12" s="867">
        <f>IFERROR(('12. Разходи'!AE12-'12. Разходи'!$AA12)/'12. Разходи'!$AA12,0)</f>
        <v>0</v>
      </c>
      <c r="AS12" s="1105">
        <f>'12. Разходи'!AF12-'12. Разходи'!$AA12</f>
        <v>0</v>
      </c>
      <c r="AT12" s="868">
        <f>IFERROR(('12. Разходи'!AF12-'12. Разходи'!$AA12)/'12. Разходи'!$AA12,0)</f>
        <v>0</v>
      </c>
      <c r="AU12" s="1136">
        <f>'12. Разходи'!AI12</f>
        <v>0</v>
      </c>
      <c r="AV12" s="1118">
        <f>'12. Разходи'!AJ12-'12. Разходи'!$AI12</f>
        <v>0</v>
      </c>
      <c r="AW12" s="854">
        <f>IFERROR(('12. Разходи'!AJ12-'12. Разходи'!$AI12)/'12. Разходи'!$AI12,0)</f>
        <v>0</v>
      </c>
      <c r="AX12" s="1105">
        <f>'12. Разходи'!AK12-'12. Разходи'!$AI12</f>
        <v>0</v>
      </c>
      <c r="AY12" s="854">
        <f>IFERROR(('12. Разходи'!AK12-'12. Разходи'!$AI12)/'12. Разходи'!$AI12,0)</f>
        <v>0</v>
      </c>
      <c r="AZ12" s="1105">
        <f>'12. Разходи'!AL12-'12. Разходи'!$AI12</f>
        <v>0</v>
      </c>
      <c r="BA12" s="854">
        <f>IFERROR(('12. Разходи'!AL12-'12. Разходи'!$AI12)/'12. Разходи'!$AI12,0)</f>
        <v>0</v>
      </c>
      <c r="BB12" s="1105">
        <f>'12. Разходи'!AM12-'12. Разходи'!$AI12</f>
        <v>0</v>
      </c>
      <c r="BC12" s="867">
        <f>IFERROR(('12. Разходи'!AM12-'12. Разходи'!$AI12)/'12. Разходи'!$AI12,0)</f>
        <v>0</v>
      </c>
      <c r="BD12" s="1105">
        <f>'12. Разходи'!AN12-'12. Разходи'!$AI12</f>
        <v>0</v>
      </c>
      <c r="BE12" s="868">
        <f>IFERROR(('12. Разходи'!AN12-'12. Разходи'!$AI12)/'12. Разходи'!$AI12,0)</f>
        <v>0</v>
      </c>
      <c r="BF12" s="4422"/>
      <c r="BG12" s="4438">
        <f t="shared" ref="BG12:BG75" si="1">IFERROR(C12/$D$1,0)</f>
        <v>129.35684594264328</v>
      </c>
      <c r="BH12" s="4438">
        <f t="shared" ref="BH12:BH75" si="2">IFERROR(D12/$D$1,0)</f>
        <v>9.054979215985048</v>
      </c>
      <c r="BI12" s="4438">
        <f t="shared" ref="BI12:BI75" si="3">IFERROR(F12/$D$1,0)</f>
        <v>13.207333970743878</v>
      </c>
      <c r="BJ12" s="4438">
        <f t="shared" ref="BJ12:BJ75" si="4">IFERROR(H12/$D$1,0)</f>
        <v>17.484259368145519</v>
      </c>
      <c r="BK12" s="4438">
        <f t="shared" ref="BK12:BK75" si="5">IFERROR(J12/$D$1,0)</f>
        <v>20.585154093147146</v>
      </c>
      <c r="BL12" s="4438">
        <f t="shared" ref="BL12:BL75" si="6">IFERROR(L12/$D$1,0)</f>
        <v>25.083414094220863</v>
      </c>
      <c r="BM12" s="4438">
        <f t="shared" ref="BM12:BM75" si="7">IFERROR(N12/$D$1,0)</f>
        <v>0</v>
      </c>
      <c r="BN12" s="4438">
        <f t="shared" ref="BN12:BN75" si="8">IFERROR(O12/$D$1,0)</f>
        <v>0</v>
      </c>
      <c r="BO12" s="4438">
        <f t="shared" ref="BO12:BO75" si="9">IFERROR(Q12/$D$1,0)</f>
        <v>0</v>
      </c>
      <c r="BP12" s="4438">
        <f t="shared" ref="BP12:BP75" si="10">IFERROR(S12/$D$1,0)</f>
        <v>0</v>
      </c>
      <c r="BQ12" s="4438">
        <f t="shared" ref="BQ12:BQ75" si="11">IFERROR(U12/$D$1,0)</f>
        <v>0</v>
      </c>
      <c r="BR12" s="4438">
        <f t="shared" ref="BR12:BR75" si="12">IFERROR(W12/$D$1,0)</f>
        <v>0</v>
      </c>
      <c r="BS12" s="4438">
        <f t="shared" ref="BS12:BS75" si="13">IFERROR(Y12/$D$1,0)</f>
        <v>46.016269307659663</v>
      </c>
      <c r="BT12" s="4438">
        <f t="shared" ref="BT12:BT75" si="14">IFERROR(Z12/$D$1,0)</f>
        <v>3.2211388515361823</v>
      </c>
      <c r="BU12" s="4438">
        <f t="shared" ref="BU12:BU75" si="15">IFERROR(AB12/$D$1,0)</f>
        <v>4.6982610963120557</v>
      </c>
      <c r="BV12" s="4438">
        <f t="shared" ref="BV12:BV75" si="16">IFERROR(AD12/$D$1,0)</f>
        <v>6.2196970084312033</v>
      </c>
      <c r="BW12" s="4438">
        <f t="shared" ref="BW12:BW75" si="17">IFERROR(AF12/$D$1,0)</f>
        <v>7.7867759979139306</v>
      </c>
      <c r="BX12" s="4438">
        <f t="shared" ref="BX12:BX75" si="18">IFERROR(AH12/$D$1,0)</f>
        <v>9.4008673570811467</v>
      </c>
      <c r="BY12" s="4438">
        <f t="shared" ref="BY12:BY75" si="19">IFERROR(AJ12/$D$1,0)</f>
        <v>0</v>
      </c>
      <c r="BZ12" s="4438">
        <f t="shared" ref="BZ12:BZ75" si="20">IFERROR(AK12/$D$1,0)</f>
        <v>0</v>
      </c>
      <c r="CA12" s="4438">
        <f t="shared" ref="CA12:CA75" si="21">IFERROR(AM12/$D$1,0)</f>
        <v>0</v>
      </c>
      <c r="CB12" s="4438">
        <f t="shared" ref="CB12:CB75" si="22">IFERROR(AO12/$D$1,0)</f>
        <v>0</v>
      </c>
      <c r="CC12" s="4438">
        <f t="shared" ref="CC12:CC75" si="23">IFERROR(AQ12/$D$1,0)</f>
        <v>0</v>
      </c>
      <c r="CD12" s="4438">
        <f t="shared" ref="CD12:CD75" si="24">IFERROR(AS12/$D$1,0)</f>
        <v>0</v>
      </c>
      <c r="CE12" s="4438">
        <f t="shared" ref="CE12:CE75" si="25">IFERROR(AU12/$D$1,0)</f>
        <v>0</v>
      </c>
      <c r="CF12" s="4438">
        <f t="shared" ref="CF12:CF75" si="26">IFERROR(AV12/$D$1,0)</f>
        <v>0</v>
      </c>
      <c r="CG12" s="4438">
        <f t="shared" ref="CG12:CG75" si="27">IFERROR(AX12/$D$1,0)</f>
        <v>0</v>
      </c>
      <c r="CH12" s="4438">
        <f t="shared" ref="CH12:CH75" si="28">IFERROR(AZ12/$D$1,0)</f>
        <v>0</v>
      </c>
      <c r="CI12" s="4438">
        <f t="shared" ref="CI12:CI75" si="29">IFERROR(BB12/$D$1,0)</f>
        <v>0</v>
      </c>
      <c r="CJ12" s="4438">
        <f t="shared" ref="CJ12:CJ75" si="30">IFERROR(BD12/$D$1,0)</f>
        <v>0</v>
      </c>
    </row>
    <row r="13" spans="1:88" s="1172" customFormat="1" ht="15.95" customHeight="1">
      <c r="A13" s="1162" t="s">
        <v>335</v>
      </c>
      <c r="B13" s="1163" t="s">
        <v>228</v>
      </c>
      <c r="C13" s="1164">
        <f>'12. Разходи'!C13</f>
        <v>216</v>
      </c>
      <c r="D13" s="1165">
        <f>'12. Разходи'!D13-'12. Разходи'!$C13</f>
        <v>15.120000000000005</v>
      </c>
      <c r="E13" s="1166">
        <f>IFERROR(('12. Разходи'!D13-'12. Разходи'!$C13)/'12. Разходи'!$C13,0)</f>
        <v>7.0000000000000021E-2</v>
      </c>
      <c r="F13" s="1167">
        <f>'12. Разходи'!E13-'12. Разходи'!$C13</f>
        <v>22.053600000000017</v>
      </c>
      <c r="G13" s="1166">
        <f>IFERROR(('12. Разходи'!E13-'12. Разходи'!$C13)/'12. Разходи'!$C13,0)</f>
        <v>0.10210000000000008</v>
      </c>
      <c r="H13" s="1167">
        <f>'12. Разходи'!F13-'12. Разходи'!$C13</f>
        <v>29.195208000000036</v>
      </c>
      <c r="I13" s="1166">
        <f>IFERROR(('12. Разходи'!F13-'12. Разходи'!$C13)/'12. Разходи'!$C13,0)</f>
        <v>0.13516300000000017</v>
      </c>
      <c r="J13" s="1167">
        <f>'12. Разходи'!G13-'12. Разходи'!$C13</f>
        <v>34</v>
      </c>
      <c r="K13" s="1166">
        <f>IFERROR(('12. Разходи'!G13-'12. Разходи'!$C13)/'12. Разходи'!$C13,0)</f>
        <v>0.15740740740740741</v>
      </c>
      <c r="L13" s="1167">
        <f>'12. Разходи'!H13-'12. Разходи'!$C13</f>
        <v>41.5</v>
      </c>
      <c r="M13" s="1168">
        <f>IFERROR(('12. Разходи'!H13-'12. Разходи'!$C13)/'12. Разходи'!$C13,0)</f>
        <v>0.19212962962962962</v>
      </c>
      <c r="N13" s="1169">
        <f>'12. Разходи'!K13</f>
        <v>0</v>
      </c>
      <c r="O13" s="1165">
        <f>'12. Разходи'!L13-'12. Разходи'!$K13</f>
        <v>0</v>
      </c>
      <c r="P13" s="1166">
        <f>IFERROR(('12. Разходи'!L13-'12. Разходи'!$K13)/'12. Разходи'!$K13,0)</f>
        <v>0</v>
      </c>
      <c r="Q13" s="1167">
        <f>'12. Разходи'!M13-'12. Разходи'!$K13</f>
        <v>0</v>
      </c>
      <c r="R13" s="1166">
        <f>IFERROR(('12. Разходи'!M13-'12. Разходи'!$K13)/'12. Разходи'!$K13,0)</f>
        <v>0</v>
      </c>
      <c r="S13" s="1167">
        <f>'12. Разходи'!N13-'12. Разходи'!$K13</f>
        <v>0</v>
      </c>
      <c r="T13" s="1166">
        <f>IFERROR(('12. Разходи'!N13-'12. Разходи'!$K13)/'12. Разходи'!$K13,0)</f>
        <v>0</v>
      </c>
      <c r="U13" s="1167">
        <f>'12. Разходи'!O13-'12. Разходи'!$K13</f>
        <v>0</v>
      </c>
      <c r="V13" s="1166">
        <f>IFERROR(('12. Разходи'!O13-'12. Разходи'!$K13)/'12. Разходи'!$K13,0)</f>
        <v>0</v>
      </c>
      <c r="W13" s="1167">
        <f>'12. Разходи'!P13-'12. Разходи'!$K13</f>
        <v>0</v>
      </c>
      <c r="X13" s="1170">
        <f>IFERROR(('12. Разходи'!P13-'12. Разходи'!$K13)/'12. Разходи'!$K13,0)</f>
        <v>0</v>
      </c>
      <c r="Y13" s="1169">
        <f>'12. Разходи'!S13</f>
        <v>20</v>
      </c>
      <c r="Z13" s="1165">
        <f>'12. Разходи'!T13-'12. Разходи'!$S13</f>
        <v>1.4000000000000021</v>
      </c>
      <c r="AA13" s="1166">
        <f>IFERROR(('12. Разходи'!T13-'12. Разходи'!$S13)/'12. Разходи'!$S13,0)</f>
        <v>7.0000000000000104E-2</v>
      </c>
      <c r="AB13" s="1167">
        <f>'12. Разходи'!U13-'12. Разходи'!$S13</f>
        <v>2.0420000000000016</v>
      </c>
      <c r="AC13" s="1166">
        <f>IFERROR(('12. Разходи'!U13-'12. Разходи'!$S13)/'12. Разходи'!$S13,0)</f>
        <v>0.10210000000000008</v>
      </c>
      <c r="AD13" s="1167">
        <f>'12. Разходи'!V13-'12. Разходи'!$S13</f>
        <v>2.7032600000000038</v>
      </c>
      <c r="AE13" s="1166">
        <f>IFERROR(('12. Разходи'!V13-'12. Разходи'!$S13)/'12. Разходи'!$S13,0)</f>
        <v>0.1351630000000002</v>
      </c>
      <c r="AF13" s="1167">
        <f>'12. Разходи'!W13-'12. Разходи'!$S13</f>
        <v>3.3843578000000036</v>
      </c>
      <c r="AG13" s="1166">
        <f>IFERROR(('12. Разходи'!W13-'12. Разходи'!$S13)/'12. Разходи'!$S13,0)</f>
        <v>0.16921789000000018</v>
      </c>
      <c r="AH13" s="1167">
        <f>'12. Разходи'!X13-'12. Разходи'!$S13</f>
        <v>4.0858885340000057</v>
      </c>
      <c r="AI13" s="1170">
        <f>IFERROR(('12. Разходи'!X13-'12. Разходи'!$S13)/'12. Разходи'!$S13,0)</f>
        <v>0.20429442670000028</v>
      </c>
      <c r="AJ13" s="1169">
        <f>'12. Разходи'!AA13</f>
        <v>0</v>
      </c>
      <c r="AK13" s="1171">
        <f>'12. Разходи'!AB13-'12. Разходи'!$AA13</f>
        <v>0</v>
      </c>
      <c r="AL13" s="1166">
        <f>IFERROR(('12. Разходи'!AB13-'12. Разходи'!$AA13)/'12. Разходи'!$AA13,0)</f>
        <v>0</v>
      </c>
      <c r="AM13" s="1167">
        <f>'12. Разходи'!AC13-'12. Разходи'!$AA13</f>
        <v>0</v>
      </c>
      <c r="AN13" s="1166">
        <f>IFERROR(('12. Разходи'!AC13-'12. Разходи'!$AA13)/'12. Разходи'!$AA13,0)</f>
        <v>0</v>
      </c>
      <c r="AO13" s="1167">
        <f>'12. Разходи'!AD13-'12. Разходи'!$AA13</f>
        <v>0</v>
      </c>
      <c r="AP13" s="1166">
        <f>IFERROR(('12. Разходи'!AD13-'12. Разходи'!$AA13)/'12. Разходи'!$AA13,0)</f>
        <v>0</v>
      </c>
      <c r="AQ13" s="1167">
        <f>'12. Разходи'!AE13-'12. Разходи'!$AA13</f>
        <v>0</v>
      </c>
      <c r="AR13" s="1168">
        <f>IFERROR(('12. Разходи'!AE13-'12. Разходи'!$AA13)/'12. Разходи'!$AA13,0)</f>
        <v>0</v>
      </c>
      <c r="AS13" s="1167">
        <f>'12. Разходи'!AF13-'12. Разходи'!$AA13</f>
        <v>0</v>
      </c>
      <c r="AT13" s="1170">
        <f>IFERROR(('12. Разходи'!AF13-'12. Разходи'!$AA13)/'12. Разходи'!$AA13,0)</f>
        <v>0</v>
      </c>
      <c r="AU13" s="1169">
        <f>'12. Разходи'!AI13</f>
        <v>0</v>
      </c>
      <c r="AV13" s="1171">
        <f>'12. Разходи'!AJ13-'12. Разходи'!$AI13</f>
        <v>0</v>
      </c>
      <c r="AW13" s="1166">
        <f>IFERROR(('12. Разходи'!AJ13-'12. Разходи'!$AI13)/'12. Разходи'!$AI13,0)</f>
        <v>0</v>
      </c>
      <c r="AX13" s="1167">
        <f>'12. Разходи'!AK13-'12. Разходи'!$AI13</f>
        <v>0</v>
      </c>
      <c r="AY13" s="1166">
        <f>IFERROR(('12. Разходи'!AK13-'12. Разходи'!$AI13)/'12. Разходи'!$AI13,0)</f>
        <v>0</v>
      </c>
      <c r="AZ13" s="1167">
        <f>'12. Разходи'!AL13-'12. Разходи'!$AI13</f>
        <v>0</v>
      </c>
      <c r="BA13" s="1166">
        <f>IFERROR(('12. Разходи'!AL13-'12. Разходи'!$AI13)/'12. Разходи'!$AI13,0)</f>
        <v>0</v>
      </c>
      <c r="BB13" s="1167">
        <f>'12. Разходи'!AM13-'12. Разходи'!$AI13</f>
        <v>0</v>
      </c>
      <c r="BC13" s="1168">
        <f>IFERROR(('12. Разходи'!AM13-'12. Разходи'!$AI13)/'12. Разходи'!$AI13,0)</f>
        <v>0</v>
      </c>
      <c r="BD13" s="1167">
        <f>'12. Разходи'!AN13-'12. Разходи'!$AI13</f>
        <v>0</v>
      </c>
      <c r="BE13" s="1170">
        <f>IFERROR(('12. Разходи'!AN13-'12. Разходи'!$AI13)/'12. Разходи'!$AI13,0)</f>
        <v>0</v>
      </c>
      <c r="BF13" s="4422"/>
      <c r="BG13" s="4438">
        <f t="shared" si="1"/>
        <v>110.43904633838319</v>
      </c>
      <c r="BH13" s="4438">
        <f t="shared" si="2"/>
        <v>7.7307332436868261</v>
      </c>
      <c r="BI13" s="4438">
        <f t="shared" si="3"/>
        <v>11.275826631148933</v>
      </c>
      <c r="BJ13" s="4438">
        <f t="shared" si="4"/>
        <v>14.927272820234906</v>
      </c>
      <c r="BK13" s="4438">
        <f t="shared" si="5"/>
        <v>17.383923960671428</v>
      </c>
      <c r="BL13" s="4438">
        <f t="shared" si="6"/>
        <v>21.218613069643066</v>
      </c>
      <c r="BM13" s="4438">
        <f t="shared" si="7"/>
        <v>0</v>
      </c>
      <c r="BN13" s="4438">
        <f t="shared" si="8"/>
        <v>0</v>
      </c>
      <c r="BO13" s="4438">
        <f t="shared" si="9"/>
        <v>0</v>
      </c>
      <c r="BP13" s="4438">
        <f t="shared" si="10"/>
        <v>0</v>
      </c>
      <c r="BQ13" s="4438">
        <f t="shared" si="11"/>
        <v>0</v>
      </c>
      <c r="BR13" s="4438">
        <f t="shared" si="12"/>
        <v>0</v>
      </c>
      <c r="BS13" s="4438">
        <f t="shared" si="13"/>
        <v>10.22583762392437</v>
      </c>
      <c r="BT13" s="4438">
        <f t="shared" si="14"/>
        <v>0.71580863367470704</v>
      </c>
      <c r="BU13" s="4438">
        <f t="shared" si="15"/>
        <v>1.0440580214026789</v>
      </c>
      <c r="BV13" s="4438">
        <f t="shared" si="16"/>
        <v>1.3821548907624917</v>
      </c>
      <c r="BW13" s="4438">
        <f t="shared" si="17"/>
        <v>1.7303946662030973</v>
      </c>
      <c r="BX13" s="4438">
        <f t="shared" si="18"/>
        <v>2.0890816349069223</v>
      </c>
      <c r="BY13" s="4438">
        <f t="shared" si="19"/>
        <v>0</v>
      </c>
      <c r="BZ13" s="4438">
        <f t="shared" si="20"/>
        <v>0</v>
      </c>
      <c r="CA13" s="4438">
        <f t="shared" si="21"/>
        <v>0</v>
      </c>
      <c r="CB13" s="4438">
        <f t="shared" si="22"/>
        <v>0</v>
      </c>
      <c r="CC13" s="4438">
        <f t="shared" si="23"/>
        <v>0</v>
      </c>
      <c r="CD13" s="4438">
        <f t="shared" si="24"/>
        <v>0</v>
      </c>
      <c r="CE13" s="4438">
        <f t="shared" si="25"/>
        <v>0</v>
      </c>
      <c r="CF13" s="4438">
        <f t="shared" si="26"/>
        <v>0</v>
      </c>
      <c r="CG13" s="4438">
        <f t="shared" si="27"/>
        <v>0</v>
      </c>
      <c r="CH13" s="4438">
        <f t="shared" si="28"/>
        <v>0</v>
      </c>
      <c r="CI13" s="4438">
        <f t="shared" si="29"/>
        <v>0</v>
      </c>
      <c r="CJ13" s="4438">
        <f t="shared" si="30"/>
        <v>0</v>
      </c>
    </row>
    <row r="14" spans="1:88" s="1172" customFormat="1" ht="15.95" customHeight="1">
      <c r="A14" s="1162" t="s">
        <v>336</v>
      </c>
      <c r="B14" s="1163" t="s">
        <v>229</v>
      </c>
      <c r="C14" s="1164">
        <f>'12. Разходи'!C14</f>
        <v>0</v>
      </c>
      <c r="D14" s="1165">
        <f>'12. Разходи'!D14-'12. Разходи'!$C14</f>
        <v>0</v>
      </c>
      <c r="E14" s="1166">
        <f>IFERROR(('12. Разходи'!D14-'12. Разходи'!$C14)/'12. Разходи'!$C14,0)</f>
        <v>0</v>
      </c>
      <c r="F14" s="1167">
        <f>'12. Разходи'!E14-'12. Разходи'!$C14</f>
        <v>0</v>
      </c>
      <c r="G14" s="1166">
        <f>IFERROR(('12. Разходи'!E14-'12. Разходи'!$C14)/'12. Разходи'!$C14,0)</f>
        <v>0</v>
      </c>
      <c r="H14" s="1167">
        <f>'12. Разходи'!F14-'12. Разходи'!$C14</f>
        <v>0</v>
      </c>
      <c r="I14" s="1166">
        <f>IFERROR(('12. Разходи'!F14-'12. Разходи'!$C14)/'12. Разходи'!$C14,0)</f>
        <v>0</v>
      </c>
      <c r="J14" s="1167">
        <f>'12. Разходи'!G14-'12. Разходи'!$C14</f>
        <v>0</v>
      </c>
      <c r="K14" s="1166">
        <f>IFERROR(('12. Разходи'!G14-'12. Разходи'!$C14)/'12. Разходи'!$C14,0)</f>
        <v>0</v>
      </c>
      <c r="L14" s="1167">
        <f>'12. Разходи'!H14-'12. Разходи'!$C14</f>
        <v>0</v>
      </c>
      <c r="M14" s="1168">
        <f>IFERROR(('12. Разходи'!H14-'12. Разходи'!$C14)/'12. Разходи'!$C14,0)</f>
        <v>0</v>
      </c>
      <c r="N14" s="1169">
        <f>'12. Разходи'!K14</f>
        <v>0</v>
      </c>
      <c r="O14" s="1165">
        <f>'12. Разходи'!L14-'12. Разходи'!$K14</f>
        <v>0</v>
      </c>
      <c r="P14" s="1166">
        <f>IFERROR(('12. Разходи'!L14-'12. Разходи'!$K14)/'12. Разходи'!$K14,0)</f>
        <v>0</v>
      </c>
      <c r="Q14" s="1167">
        <f>'12. Разходи'!M14-'12. Разходи'!$K14</f>
        <v>0</v>
      </c>
      <c r="R14" s="1166">
        <f>IFERROR(('12. Разходи'!M14-'12. Разходи'!$K14)/'12. Разходи'!$K14,0)</f>
        <v>0</v>
      </c>
      <c r="S14" s="1167">
        <f>'12. Разходи'!N14-'12. Разходи'!$K14</f>
        <v>0</v>
      </c>
      <c r="T14" s="1166">
        <f>IFERROR(('12. Разходи'!N14-'12. Разходи'!$K14)/'12. Разходи'!$K14,0)</f>
        <v>0</v>
      </c>
      <c r="U14" s="1167">
        <f>'12. Разходи'!O14-'12. Разходи'!$K14</f>
        <v>0</v>
      </c>
      <c r="V14" s="1166">
        <f>IFERROR(('12. Разходи'!O14-'12. Разходи'!$K14)/'12. Разходи'!$K14,0)</f>
        <v>0</v>
      </c>
      <c r="W14" s="1167">
        <f>'12. Разходи'!P14-'12. Разходи'!$K14</f>
        <v>0</v>
      </c>
      <c r="X14" s="1170">
        <f>IFERROR(('12. Разходи'!P14-'12. Разходи'!$K14)/'12. Разходи'!$K14,0)</f>
        <v>0</v>
      </c>
      <c r="Y14" s="1169">
        <f>'12. Разходи'!S14</f>
        <v>0</v>
      </c>
      <c r="Z14" s="1165">
        <f>'12. Разходи'!T14-'12. Разходи'!$S14</f>
        <v>0</v>
      </c>
      <c r="AA14" s="1166">
        <f>IFERROR(('12. Разходи'!T14-'12. Разходи'!$S14)/'12. Разходи'!$S14,0)</f>
        <v>0</v>
      </c>
      <c r="AB14" s="1167">
        <f>'12. Разходи'!U14-'12. Разходи'!$S14</f>
        <v>0</v>
      </c>
      <c r="AC14" s="1166">
        <f>IFERROR(('12. Разходи'!U14-'12. Разходи'!$S14)/'12. Разходи'!$S14,0)</f>
        <v>0</v>
      </c>
      <c r="AD14" s="1167">
        <f>'12. Разходи'!V14-'12. Разходи'!$S14</f>
        <v>0</v>
      </c>
      <c r="AE14" s="1166">
        <f>IFERROR(('12. Разходи'!V14-'12. Разходи'!$S14)/'12. Разходи'!$S14,0)</f>
        <v>0</v>
      </c>
      <c r="AF14" s="1167">
        <f>'12. Разходи'!W14-'12. Разходи'!$S14</f>
        <v>0</v>
      </c>
      <c r="AG14" s="1166">
        <f>IFERROR(('12. Разходи'!W14-'12. Разходи'!$S14)/'12. Разходи'!$S14,0)</f>
        <v>0</v>
      </c>
      <c r="AH14" s="1167">
        <f>'12. Разходи'!X14-'12. Разходи'!$S14</f>
        <v>0</v>
      </c>
      <c r="AI14" s="1170">
        <f>IFERROR(('12. Разходи'!X14-'12. Разходи'!$S14)/'12. Разходи'!$S14,0)</f>
        <v>0</v>
      </c>
      <c r="AJ14" s="1169">
        <f>'12. Разходи'!AA14</f>
        <v>0</v>
      </c>
      <c r="AK14" s="1171">
        <f>'12. Разходи'!AB14-'12. Разходи'!$AA14</f>
        <v>0</v>
      </c>
      <c r="AL14" s="1166">
        <f>IFERROR(('12. Разходи'!AB14-'12. Разходи'!$AA14)/'12. Разходи'!$AA14,0)</f>
        <v>0</v>
      </c>
      <c r="AM14" s="1167">
        <f>'12. Разходи'!AC14-'12. Разходи'!$AA14</f>
        <v>0</v>
      </c>
      <c r="AN14" s="1166">
        <f>IFERROR(('12. Разходи'!AC14-'12. Разходи'!$AA14)/'12. Разходи'!$AA14,0)</f>
        <v>0</v>
      </c>
      <c r="AO14" s="1167">
        <f>'12. Разходи'!AD14-'12. Разходи'!$AA14</f>
        <v>0</v>
      </c>
      <c r="AP14" s="1166">
        <f>IFERROR(('12. Разходи'!AD14-'12. Разходи'!$AA14)/'12. Разходи'!$AA14,0)</f>
        <v>0</v>
      </c>
      <c r="AQ14" s="1167">
        <f>'12. Разходи'!AE14-'12. Разходи'!$AA14</f>
        <v>0</v>
      </c>
      <c r="AR14" s="1168">
        <f>IFERROR(('12. Разходи'!AE14-'12. Разходи'!$AA14)/'12. Разходи'!$AA14,0)</f>
        <v>0</v>
      </c>
      <c r="AS14" s="1167">
        <f>'12. Разходи'!AF14-'12. Разходи'!$AA14</f>
        <v>0</v>
      </c>
      <c r="AT14" s="1170">
        <f>IFERROR(('12. Разходи'!AF14-'12. Разходи'!$AA14)/'12. Разходи'!$AA14,0)</f>
        <v>0</v>
      </c>
      <c r="AU14" s="1169">
        <f>'12. Разходи'!AI14</f>
        <v>0</v>
      </c>
      <c r="AV14" s="1171">
        <f>'12. Разходи'!AJ14-'12. Разходи'!$AI14</f>
        <v>0</v>
      </c>
      <c r="AW14" s="1166">
        <f>IFERROR(('12. Разходи'!AJ14-'12. Разходи'!$AI14)/'12. Разходи'!$AI14,0)</f>
        <v>0</v>
      </c>
      <c r="AX14" s="1167">
        <f>'12. Разходи'!AK14-'12. Разходи'!$AI14</f>
        <v>0</v>
      </c>
      <c r="AY14" s="1166">
        <f>IFERROR(('12. Разходи'!AK14-'12. Разходи'!$AI14)/'12. Разходи'!$AI14,0)</f>
        <v>0</v>
      </c>
      <c r="AZ14" s="1167">
        <f>'12. Разходи'!AL14-'12. Разходи'!$AI14</f>
        <v>0</v>
      </c>
      <c r="BA14" s="1166">
        <f>IFERROR(('12. Разходи'!AL14-'12. Разходи'!$AI14)/'12. Разходи'!$AI14,0)</f>
        <v>0</v>
      </c>
      <c r="BB14" s="1167">
        <f>'12. Разходи'!AM14-'12. Разходи'!$AI14</f>
        <v>0</v>
      </c>
      <c r="BC14" s="1168">
        <f>IFERROR(('12. Разходи'!AM14-'12. Разходи'!$AI14)/'12. Разходи'!$AI14,0)</f>
        <v>0</v>
      </c>
      <c r="BD14" s="1167">
        <f>'12. Разходи'!AN14-'12. Разходи'!$AI14</f>
        <v>0</v>
      </c>
      <c r="BE14" s="1170">
        <f>IFERROR(('12. Разходи'!AN14-'12. Разходи'!$AI14)/'12. Разходи'!$AI14,0)</f>
        <v>0</v>
      </c>
      <c r="BF14" s="4422"/>
      <c r="BG14" s="4438">
        <f t="shared" si="1"/>
        <v>0</v>
      </c>
      <c r="BH14" s="4438">
        <f t="shared" si="2"/>
        <v>0</v>
      </c>
      <c r="BI14" s="4438">
        <f t="shared" si="3"/>
        <v>0</v>
      </c>
      <c r="BJ14" s="4438">
        <f t="shared" si="4"/>
        <v>0</v>
      </c>
      <c r="BK14" s="4438">
        <f t="shared" si="5"/>
        <v>0</v>
      </c>
      <c r="BL14" s="4438">
        <f t="shared" si="6"/>
        <v>0</v>
      </c>
      <c r="BM14" s="4438">
        <f t="shared" si="7"/>
        <v>0</v>
      </c>
      <c r="BN14" s="4438">
        <f t="shared" si="8"/>
        <v>0</v>
      </c>
      <c r="BO14" s="4438">
        <f t="shared" si="9"/>
        <v>0</v>
      </c>
      <c r="BP14" s="4438">
        <f t="shared" si="10"/>
        <v>0</v>
      </c>
      <c r="BQ14" s="4438">
        <f t="shared" si="11"/>
        <v>0</v>
      </c>
      <c r="BR14" s="4438">
        <f t="shared" si="12"/>
        <v>0</v>
      </c>
      <c r="BS14" s="4438">
        <f t="shared" si="13"/>
        <v>0</v>
      </c>
      <c r="BT14" s="4438">
        <f t="shared" si="14"/>
        <v>0</v>
      </c>
      <c r="BU14" s="4438">
        <f t="shared" si="15"/>
        <v>0</v>
      </c>
      <c r="BV14" s="4438">
        <f t="shared" si="16"/>
        <v>0</v>
      </c>
      <c r="BW14" s="4438">
        <f t="shared" si="17"/>
        <v>0</v>
      </c>
      <c r="BX14" s="4438">
        <f t="shared" si="18"/>
        <v>0</v>
      </c>
      <c r="BY14" s="4438">
        <f t="shared" si="19"/>
        <v>0</v>
      </c>
      <c r="BZ14" s="4438">
        <f t="shared" si="20"/>
        <v>0</v>
      </c>
      <c r="CA14" s="4438">
        <f t="shared" si="21"/>
        <v>0</v>
      </c>
      <c r="CB14" s="4438">
        <f t="shared" si="22"/>
        <v>0</v>
      </c>
      <c r="CC14" s="4438">
        <f t="shared" si="23"/>
        <v>0</v>
      </c>
      <c r="CD14" s="4438">
        <f t="shared" si="24"/>
        <v>0</v>
      </c>
      <c r="CE14" s="4438">
        <f t="shared" si="25"/>
        <v>0</v>
      </c>
      <c r="CF14" s="4438">
        <f t="shared" si="26"/>
        <v>0</v>
      </c>
      <c r="CG14" s="4438">
        <f t="shared" si="27"/>
        <v>0</v>
      </c>
      <c r="CH14" s="4438">
        <f t="shared" si="28"/>
        <v>0</v>
      </c>
      <c r="CI14" s="4438">
        <f t="shared" si="29"/>
        <v>0</v>
      </c>
      <c r="CJ14" s="4438">
        <f t="shared" si="30"/>
        <v>0</v>
      </c>
    </row>
    <row r="15" spans="1:88" s="1172" customFormat="1" ht="15.95" customHeight="1">
      <c r="A15" s="1162" t="s">
        <v>337</v>
      </c>
      <c r="B15" s="1173" t="s">
        <v>230</v>
      </c>
      <c r="C15" s="1174">
        <f>'12. Разходи'!C15</f>
        <v>0</v>
      </c>
      <c r="D15" s="1165">
        <f>'12. Разходи'!D15-'12. Разходи'!$C15</f>
        <v>0</v>
      </c>
      <c r="E15" s="1166">
        <f>IFERROR(('12. Разходи'!D15-'12. Разходи'!$C15)/'12. Разходи'!$C15,0)</f>
        <v>0</v>
      </c>
      <c r="F15" s="1167">
        <f>'12. Разходи'!E15-'12. Разходи'!$C15</f>
        <v>0</v>
      </c>
      <c r="G15" s="1166">
        <f>IFERROR(('12. Разходи'!E15-'12. Разходи'!$C15)/'12. Разходи'!$C15,0)</f>
        <v>0</v>
      </c>
      <c r="H15" s="1167">
        <f>'12. Разходи'!F15-'12. Разходи'!$C15</f>
        <v>0</v>
      </c>
      <c r="I15" s="1166">
        <f>IFERROR(('12. Разходи'!F15-'12. Разходи'!$C15)/'12. Разходи'!$C15,0)</f>
        <v>0</v>
      </c>
      <c r="J15" s="1167">
        <f>'12. Разходи'!G15-'12. Разходи'!$C15</f>
        <v>0</v>
      </c>
      <c r="K15" s="1166">
        <f>IFERROR(('12. Разходи'!G15-'12. Разходи'!$C15)/'12. Разходи'!$C15,0)</f>
        <v>0</v>
      </c>
      <c r="L15" s="1167">
        <f>'12. Разходи'!H15-'12. Разходи'!$C15</f>
        <v>0</v>
      </c>
      <c r="M15" s="1168">
        <f>IFERROR(('12. Разходи'!H15-'12. Разходи'!$C15)/'12. Разходи'!$C15,0)</f>
        <v>0</v>
      </c>
      <c r="N15" s="1169">
        <f>'12. Разходи'!K15</f>
        <v>0</v>
      </c>
      <c r="O15" s="1165">
        <f>'12. Разходи'!L15-'12. Разходи'!$K15</f>
        <v>0</v>
      </c>
      <c r="P15" s="1166">
        <f>IFERROR(('12. Разходи'!L15-'12. Разходи'!$K15)/'12. Разходи'!$K15,0)</f>
        <v>0</v>
      </c>
      <c r="Q15" s="1167">
        <f>'12. Разходи'!M15-'12. Разходи'!$K15</f>
        <v>0</v>
      </c>
      <c r="R15" s="1166">
        <f>IFERROR(('12. Разходи'!M15-'12. Разходи'!$K15)/'12. Разходи'!$K15,0)</f>
        <v>0</v>
      </c>
      <c r="S15" s="1167">
        <f>'12. Разходи'!N15-'12. Разходи'!$K15</f>
        <v>0</v>
      </c>
      <c r="T15" s="1166">
        <f>IFERROR(('12. Разходи'!N15-'12. Разходи'!$K15)/'12. Разходи'!$K15,0)</f>
        <v>0</v>
      </c>
      <c r="U15" s="1167">
        <f>'12. Разходи'!O15-'12. Разходи'!$K15</f>
        <v>0</v>
      </c>
      <c r="V15" s="1166">
        <f>IFERROR(('12. Разходи'!O15-'12. Разходи'!$K15)/'12. Разходи'!$K15,0)</f>
        <v>0</v>
      </c>
      <c r="W15" s="1167">
        <f>'12. Разходи'!P15-'12. Разходи'!$K15</f>
        <v>0</v>
      </c>
      <c r="X15" s="1170">
        <f>IFERROR(('12. Разходи'!P15-'12. Разходи'!$K15)/'12. Разходи'!$K15,0)</f>
        <v>0</v>
      </c>
      <c r="Y15" s="1169">
        <f>'12. Разходи'!S15</f>
        <v>60</v>
      </c>
      <c r="Z15" s="1165">
        <f>'12. Разходи'!T15-'12. Разходи'!$S15</f>
        <v>4.2000000000000028</v>
      </c>
      <c r="AA15" s="1166">
        <f>IFERROR(('12. Разходи'!T15-'12. Разходи'!$S15)/'12. Разходи'!$S15,0)</f>
        <v>7.0000000000000048E-2</v>
      </c>
      <c r="AB15" s="1167">
        <f>'12. Разходи'!U15-'12. Разходи'!$S15</f>
        <v>6.1260000000000048</v>
      </c>
      <c r="AC15" s="1166">
        <f>IFERROR(('12. Разходи'!U15-'12. Разходи'!$S15)/'12. Разходи'!$S15,0)</f>
        <v>0.10210000000000008</v>
      </c>
      <c r="AD15" s="1167">
        <f>'12. Разходи'!V15-'12. Разходи'!$S15</f>
        <v>8.1097800000000007</v>
      </c>
      <c r="AE15" s="1166">
        <f>IFERROR(('12. Разходи'!V15-'12. Разходи'!$S15)/'12. Разходи'!$S15,0)</f>
        <v>0.13516300000000001</v>
      </c>
      <c r="AF15" s="1167">
        <f>'12. Разходи'!W15-'12. Разходи'!$S15</f>
        <v>10.153073399999997</v>
      </c>
      <c r="AG15" s="1166">
        <f>IFERROR(('12. Разходи'!W15-'12. Разходи'!$S15)/'12. Разходи'!$S15,0)</f>
        <v>0.16921788999999995</v>
      </c>
      <c r="AH15" s="1167">
        <f>'12. Разходи'!X15-'12. Разходи'!$S15</f>
        <v>12.257665602000003</v>
      </c>
      <c r="AI15" s="1170">
        <f>IFERROR(('12. Разходи'!X15-'12. Разходи'!$S15)/'12. Разходи'!$S15,0)</f>
        <v>0.20429442670000006</v>
      </c>
      <c r="AJ15" s="1169">
        <f>'12. Разходи'!AA15</f>
        <v>0</v>
      </c>
      <c r="AK15" s="1171">
        <f>'12. Разходи'!AB15-'12. Разходи'!$AA15</f>
        <v>0</v>
      </c>
      <c r="AL15" s="1166">
        <f>IFERROR(('12. Разходи'!AB15-'12. Разходи'!$AA15)/'12. Разходи'!$AA15,0)</f>
        <v>0</v>
      </c>
      <c r="AM15" s="1167">
        <f>'12. Разходи'!AC15-'12. Разходи'!$AA15</f>
        <v>0</v>
      </c>
      <c r="AN15" s="1166">
        <f>IFERROR(('12. Разходи'!AC15-'12. Разходи'!$AA15)/'12. Разходи'!$AA15,0)</f>
        <v>0</v>
      </c>
      <c r="AO15" s="1167">
        <f>'12. Разходи'!AD15-'12. Разходи'!$AA15</f>
        <v>0</v>
      </c>
      <c r="AP15" s="1166">
        <f>IFERROR(('12. Разходи'!AD15-'12. Разходи'!$AA15)/'12. Разходи'!$AA15,0)</f>
        <v>0</v>
      </c>
      <c r="AQ15" s="1167">
        <f>'12. Разходи'!AE15-'12. Разходи'!$AA15</f>
        <v>0</v>
      </c>
      <c r="AR15" s="1168">
        <f>IFERROR(('12. Разходи'!AE15-'12. Разходи'!$AA15)/'12. Разходи'!$AA15,0)</f>
        <v>0</v>
      </c>
      <c r="AS15" s="1167">
        <f>'12. Разходи'!AF15-'12. Разходи'!$AA15</f>
        <v>0</v>
      </c>
      <c r="AT15" s="1170">
        <f>IFERROR(('12. Разходи'!AF15-'12. Разходи'!$AA15)/'12. Разходи'!$AA15,0)</f>
        <v>0</v>
      </c>
      <c r="AU15" s="1169">
        <f>'12. Разходи'!AI15</f>
        <v>0</v>
      </c>
      <c r="AV15" s="1171">
        <f>'12. Разходи'!AJ15-'12. Разходи'!$AI15</f>
        <v>0</v>
      </c>
      <c r="AW15" s="1166">
        <f>IFERROR(('12. Разходи'!AJ15-'12. Разходи'!$AI15)/'12. Разходи'!$AI15,0)</f>
        <v>0</v>
      </c>
      <c r="AX15" s="1167">
        <f>'12. Разходи'!AK15-'12. Разходи'!$AI15</f>
        <v>0</v>
      </c>
      <c r="AY15" s="1166">
        <f>IFERROR(('12. Разходи'!AK15-'12. Разходи'!$AI15)/'12. Разходи'!$AI15,0)</f>
        <v>0</v>
      </c>
      <c r="AZ15" s="1167">
        <f>'12. Разходи'!AL15-'12. Разходи'!$AI15</f>
        <v>0</v>
      </c>
      <c r="BA15" s="1166">
        <f>IFERROR(('12. Разходи'!AL15-'12. Разходи'!$AI15)/'12. Разходи'!$AI15,0)</f>
        <v>0</v>
      </c>
      <c r="BB15" s="1167">
        <f>'12. Разходи'!AM15-'12. Разходи'!$AI15</f>
        <v>0</v>
      </c>
      <c r="BC15" s="1168">
        <f>IFERROR(('12. Разходи'!AM15-'12. Разходи'!$AI15)/'12. Разходи'!$AI15,0)</f>
        <v>0</v>
      </c>
      <c r="BD15" s="1167">
        <f>'12. Разходи'!AN15-'12. Разходи'!$AI15</f>
        <v>0</v>
      </c>
      <c r="BE15" s="1170">
        <f>IFERROR(('12. Разходи'!AN15-'12. Разходи'!$AI15)/'12. Разходи'!$AI15,0)</f>
        <v>0</v>
      </c>
      <c r="BF15" s="4422"/>
      <c r="BG15" s="4438">
        <f t="shared" si="1"/>
        <v>0</v>
      </c>
      <c r="BH15" s="4438">
        <f t="shared" si="2"/>
        <v>0</v>
      </c>
      <c r="BI15" s="4438">
        <f t="shared" si="3"/>
        <v>0</v>
      </c>
      <c r="BJ15" s="4438">
        <f t="shared" si="4"/>
        <v>0</v>
      </c>
      <c r="BK15" s="4438">
        <f t="shared" si="5"/>
        <v>0</v>
      </c>
      <c r="BL15" s="4438">
        <f t="shared" si="6"/>
        <v>0</v>
      </c>
      <c r="BM15" s="4438">
        <f t="shared" si="7"/>
        <v>0</v>
      </c>
      <c r="BN15" s="4438">
        <f t="shared" si="8"/>
        <v>0</v>
      </c>
      <c r="BO15" s="4438">
        <f t="shared" si="9"/>
        <v>0</v>
      </c>
      <c r="BP15" s="4438">
        <f t="shared" si="10"/>
        <v>0</v>
      </c>
      <c r="BQ15" s="4438">
        <f t="shared" si="11"/>
        <v>0</v>
      </c>
      <c r="BR15" s="4438">
        <f t="shared" si="12"/>
        <v>0</v>
      </c>
      <c r="BS15" s="4438">
        <f t="shared" si="13"/>
        <v>30.677512871773111</v>
      </c>
      <c r="BT15" s="4438">
        <f t="shared" si="14"/>
        <v>2.147425901024119</v>
      </c>
      <c r="BU15" s="4438">
        <f t="shared" si="15"/>
        <v>3.1321740642080371</v>
      </c>
      <c r="BV15" s="4438">
        <f t="shared" si="16"/>
        <v>4.1464646722874692</v>
      </c>
      <c r="BW15" s="4438">
        <f t="shared" si="17"/>
        <v>5.1911839986092847</v>
      </c>
      <c r="BX15" s="4438">
        <f t="shared" si="18"/>
        <v>6.2672449047207595</v>
      </c>
      <c r="BY15" s="4438">
        <f t="shared" si="19"/>
        <v>0</v>
      </c>
      <c r="BZ15" s="4438">
        <f t="shared" si="20"/>
        <v>0</v>
      </c>
      <c r="CA15" s="4438">
        <f t="shared" si="21"/>
        <v>0</v>
      </c>
      <c r="CB15" s="4438">
        <f t="shared" si="22"/>
        <v>0</v>
      </c>
      <c r="CC15" s="4438">
        <f t="shared" si="23"/>
        <v>0</v>
      </c>
      <c r="CD15" s="4438">
        <f t="shared" si="24"/>
        <v>0</v>
      </c>
      <c r="CE15" s="4438">
        <f t="shared" si="25"/>
        <v>0</v>
      </c>
      <c r="CF15" s="4438">
        <f t="shared" si="26"/>
        <v>0</v>
      </c>
      <c r="CG15" s="4438">
        <f t="shared" si="27"/>
        <v>0</v>
      </c>
      <c r="CH15" s="4438">
        <f t="shared" si="28"/>
        <v>0</v>
      </c>
      <c r="CI15" s="4438">
        <f t="shared" si="29"/>
        <v>0</v>
      </c>
      <c r="CJ15" s="4438">
        <f t="shared" si="30"/>
        <v>0</v>
      </c>
    </row>
    <row r="16" spans="1:88" s="1172" customFormat="1" ht="15.95" customHeight="1">
      <c r="A16" s="1162" t="s">
        <v>338</v>
      </c>
      <c r="B16" s="1173" t="s">
        <v>231</v>
      </c>
      <c r="C16" s="1174">
        <f>'12. Разходи'!C16</f>
        <v>37</v>
      </c>
      <c r="D16" s="1165">
        <f>'12. Разходи'!D16-'12. Разходи'!$C16</f>
        <v>2.5900000000000034</v>
      </c>
      <c r="E16" s="1166">
        <f>IFERROR(('12. Разходи'!D16-'12. Разходи'!$C16)/'12. Разходи'!$C16,0)</f>
        <v>7.000000000000009E-2</v>
      </c>
      <c r="F16" s="1167">
        <f>'12. Разходи'!E16-'12. Разходи'!$C16</f>
        <v>3.7777000000000029</v>
      </c>
      <c r="G16" s="1166">
        <f>IFERROR(('12. Разходи'!E16-'12. Разходи'!$C16)/'12. Разходи'!$C16,0)</f>
        <v>0.10210000000000008</v>
      </c>
      <c r="H16" s="1167">
        <f>'12. Разходи'!F16-'12. Разходи'!$C16</f>
        <v>5.0010310000000047</v>
      </c>
      <c r="I16" s="1166">
        <f>IFERROR(('12. Разходи'!F16-'12. Разходи'!$C16)/'12. Разходи'!$C16,0)</f>
        <v>0.13516300000000012</v>
      </c>
      <c r="J16" s="1167">
        <f>'12. Разходи'!G16-'12. Разходи'!$C16</f>
        <v>6.2610619300000039</v>
      </c>
      <c r="K16" s="1166">
        <f>IFERROR(('12. Разходи'!G16-'12. Разходи'!$C16)/'12. Разходи'!$C16,0)</f>
        <v>0.16921789000000009</v>
      </c>
      <c r="L16" s="1167">
        <f>'12. Разходи'!H16-'12. Разходи'!$C16</f>
        <v>7.5588937879000042</v>
      </c>
      <c r="M16" s="1168">
        <f>IFERROR(('12. Разходи'!H16-'12. Разходи'!$C16)/'12. Разходи'!$C16,0)</f>
        <v>0.20429442670000011</v>
      </c>
      <c r="N16" s="1169">
        <f>'12. Разходи'!K16</f>
        <v>0</v>
      </c>
      <c r="O16" s="1165">
        <f>'12. Разходи'!L16-'12. Разходи'!$K16</f>
        <v>0</v>
      </c>
      <c r="P16" s="1166">
        <f>IFERROR(('12. Разходи'!L16-'12. Разходи'!$K16)/'12. Разходи'!$K16,0)</f>
        <v>0</v>
      </c>
      <c r="Q16" s="1167">
        <f>'12. Разходи'!M16-'12. Разходи'!$K16</f>
        <v>0</v>
      </c>
      <c r="R16" s="1166">
        <f>IFERROR(('12. Разходи'!M16-'12. Разходи'!$K16)/'12. Разходи'!$K16,0)</f>
        <v>0</v>
      </c>
      <c r="S16" s="1167">
        <f>'12. Разходи'!N16-'12. Разходи'!$K16</f>
        <v>0</v>
      </c>
      <c r="T16" s="1166">
        <f>IFERROR(('12. Разходи'!N16-'12. Разходи'!$K16)/'12. Разходи'!$K16,0)</f>
        <v>0</v>
      </c>
      <c r="U16" s="1167">
        <f>'12. Разходи'!O16-'12. Разходи'!$K16</f>
        <v>0</v>
      </c>
      <c r="V16" s="1166">
        <f>IFERROR(('12. Разходи'!O16-'12. Разходи'!$K16)/'12. Разходи'!$K16,0)</f>
        <v>0</v>
      </c>
      <c r="W16" s="1167">
        <f>'12. Разходи'!P16-'12. Разходи'!$K16</f>
        <v>0</v>
      </c>
      <c r="X16" s="1170">
        <f>IFERROR(('12. Разходи'!P16-'12. Разходи'!$K16)/'12. Разходи'!$K16,0)</f>
        <v>0</v>
      </c>
      <c r="Y16" s="1169">
        <f>'12. Разходи'!S16</f>
        <v>10</v>
      </c>
      <c r="Z16" s="1165">
        <f>'12. Разходи'!T16-'12. Разходи'!$S16</f>
        <v>0.70000000000000107</v>
      </c>
      <c r="AA16" s="1166">
        <f>IFERROR(('12. Разходи'!T16-'12. Разходи'!$S16)/'12. Разходи'!$S16,0)</f>
        <v>7.0000000000000104E-2</v>
      </c>
      <c r="AB16" s="1167">
        <f>'12. Разходи'!U16-'12. Разходи'!$S16</f>
        <v>1.0210000000000008</v>
      </c>
      <c r="AC16" s="1166">
        <f>IFERROR(('12. Разходи'!U16-'12. Разходи'!$S16)/'12. Разходи'!$S16,0)</f>
        <v>0.10210000000000008</v>
      </c>
      <c r="AD16" s="1167">
        <f>'12. Разходи'!V16-'12. Разходи'!$S16</f>
        <v>1.3516300000000019</v>
      </c>
      <c r="AE16" s="1166">
        <f>IFERROR(('12. Разходи'!V16-'12. Разходи'!$S16)/'12. Разходи'!$S16,0)</f>
        <v>0.1351630000000002</v>
      </c>
      <c r="AF16" s="1167">
        <f>'12. Разходи'!W16-'12. Разходи'!$S16</f>
        <v>1.6921789000000018</v>
      </c>
      <c r="AG16" s="1166">
        <f>IFERROR(('12. Разходи'!W16-'12. Разходи'!$S16)/'12. Разходи'!$S16,0)</f>
        <v>0.16921789000000018</v>
      </c>
      <c r="AH16" s="1167">
        <f>'12. Разходи'!X16-'12. Разходи'!$S16</f>
        <v>2.0429442670000029</v>
      </c>
      <c r="AI16" s="1170">
        <f>IFERROR(('12. Разходи'!X16-'12. Разходи'!$S16)/'12. Разходи'!$S16,0)</f>
        <v>0.20429442670000028</v>
      </c>
      <c r="AJ16" s="1169">
        <f>'12. Разходи'!AA16</f>
        <v>0</v>
      </c>
      <c r="AK16" s="1171">
        <f>'12. Разходи'!AB16-'12. Разходи'!$AA16</f>
        <v>0</v>
      </c>
      <c r="AL16" s="1166">
        <f>IFERROR(('12. Разходи'!AB16-'12. Разходи'!$AA16)/'12. Разходи'!$AA16,0)</f>
        <v>0</v>
      </c>
      <c r="AM16" s="1167">
        <f>'12. Разходи'!AC16-'12. Разходи'!$AA16</f>
        <v>0</v>
      </c>
      <c r="AN16" s="1166">
        <f>IFERROR(('12. Разходи'!AC16-'12. Разходи'!$AA16)/'12. Разходи'!$AA16,0)</f>
        <v>0</v>
      </c>
      <c r="AO16" s="1167">
        <f>'12. Разходи'!AD16-'12. Разходи'!$AA16</f>
        <v>0</v>
      </c>
      <c r="AP16" s="1166">
        <f>IFERROR(('12. Разходи'!AD16-'12. Разходи'!$AA16)/'12. Разходи'!$AA16,0)</f>
        <v>0</v>
      </c>
      <c r="AQ16" s="1167">
        <f>'12. Разходи'!AE16-'12. Разходи'!$AA16</f>
        <v>0</v>
      </c>
      <c r="AR16" s="1168">
        <f>IFERROR(('12. Разходи'!AE16-'12. Разходи'!$AA16)/'12. Разходи'!$AA16,0)</f>
        <v>0</v>
      </c>
      <c r="AS16" s="1167">
        <f>'12. Разходи'!AF16-'12. Разходи'!$AA16</f>
        <v>0</v>
      </c>
      <c r="AT16" s="1170">
        <f>IFERROR(('12. Разходи'!AF16-'12. Разходи'!$AA16)/'12. Разходи'!$AA16,0)</f>
        <v>0</v>
      </c>
      <c r="AU16" s="1169">
        <f>'12. Разходи'!AI16</f>
        <v>0</v>
      </c>
      <c r="AV16" s="1171">
        <f>'12. Разходи'!AJ16-'12. Разходи'!$AI16</f>
        <v>0</v>
      </c>
      <c r="AW16" s="1166">
        <f>IFERROR(('12. Разходи'!AJ16-'12. Разходи'!$AI16)/'12. Разходи'!$AI16,0)</f>
        <v>0</v>
      </c>
      <c r="AX16" s="1167">
        <f>'12. Разходи'!AK16-'12. Разходи'!$AI16</f>
        <v>0</v>
      </c>
      <c r="AY16" s="1166">
        <f>IFERROR(('12. Разходи'!AK16-'12. Разходи'!$AI16)/'12. Разходи'!$AI16,0)</f>
        <v>0</v>
      </c>
      <c r="AZ16" s="1167">
        <f>'12. Разходи'!AL16-'12. Разходи'!$AI16</f>
        <v>0</v>
      </c>
      <c r="BA16" s="1166">
        <f>IFERROR(('12. Разходи'!AL16-'12. Разходи'!$AI16)/'12. Разходи'!$AI16,0)</f>
        <v>0</v>
      </c>
      <c r="BB16" s="1167">
        <f>'12. Разходи'!AM16-'12. Разходи'!$AI16</f>
        <v>0</v>
      </c>
      <c r="BC16" s="1168">
        <f>IFERROR(('12. Разходи'!AM16-'12. Разходи'!$AI16)/'12. Разходи'!$AI16,0)</f>
        <v>0</v>
      </c>
      <c r="BD16" s="1167">
        <f>'12. Разходи'!AN16-'12. Разходи'!$AI16</f>
        <v>0</v>
      </c>
      <c r="BE16" s="1170">
        <f>IFERROR(('12. Разходи'!AN16-'12. Разходи'!$AI16)/'12. Разходи'!$AI16,0)</f>
        <v>0</v>
      </c>
      <c r="BF16" s="4422"/>
      <c r="BG16" s="4438">
        <f t="shared" si="1"/>
        <v>18.917799604260086</v>
      </c>
      <c r="BH16" s="4438">
        <f t="shared" si="2"/>
        <v>1.3242459722982076</v>
      </c>
      <c r="BI16" s="4438">
        <f t="shared" si="3"/>
        <v>1.931507339594956</v>
      </c>
      <c r="BJ16" s="4438">
        <f t="shared" si="4"/>
        <v>2.5569865479106082</v>
      </c>
      <c r="BK16" s="4438">
        <f t="shared" si="5"/>
        <v>3.2012301324757284</v>
      </c>
      <c r="BL16" s="4438">
        <f t="shared" si="6"/>
        <v>3.8648010245778028</v>
      </c>
      <c r="BM16" s="4438">
        <f t="shared" si="7"/>
        <v>0</v>
      </c>
      <c r="BN16" s="4438">
        <f t="shared" si="8"/>
        <v>0</v>
      </c>
      <c r="BO16" s="4438">
        <f t="shared" si="9"/>
        <v>0</v>
      </c>
      <c r="BP16" s="4438">
        <f t="shared" si="10"/>
        <v>0</v>
      </c>
      <c r="BQ16" s="4438">
        <f t="shared" si="11"/>
        <v>0</v>
      </c>
      <c r="BR16" s="4438">
        <f t="shared" si="12"/>
        <v>0</v>
      </c>
      <c r="BS16" s="4438">
        <f t="shared" si="13"/>
        <v>5.1129188119621851</v>
      </c>
      <c r="BT16" s="4438">
        <f t="shared" si="14"/>
        <v>0.35790431683735352</v>
      </c>
      <c r="BU16" s="4438">
        <f t="shared" si="15"/>
        <v>0.52202901070133945</v>
      </c>
      <c r="BV16" s="4438">
        <f t="shared" si="16"/>
        <v>0.69107744538124583</v>
      </c>
      <c r="BW16" s="4438">
        <f t="shared" si="17"/>
        <v>0.86519733310154867</v>
      </c>
      <c r="BX16" s="4438">
        <f t="shared" si="18"/>
        <v>1.0445408174534612</v>
      </c>
      <c r="BY16" s="4438">
        <f t="shared" si="19"/>
        <v>0</v>
      </c>
      <c r="BZ16" s="4438">
        <f t="shared" si="20"/>
        <v>0</v>
      </c>
      <c r="CA16" s="4438">
        <f t="shared" si="21"/>
        <v>0</v>
      </c>
      <c r="CB16" s="4438">
        <f t="shared" si="22"/>
        <v>0</v>
      </c>
      <c r="CC16" s="4438">
        <f t="shared" si="23"/>
        <v>0</v>
      </c>
      <c r="CD16" s="4438">
        <f t="shared" si="24"/>
        <v>0</v>
      </c>
      <c r="CE16" s="4438">
        <f t="shared" si="25"/>
        <v>0</v>
      </c>
      <c r="CF16" s="4438">
        <f t="shared" si="26"/>
        <v>0</v>
      </c>
      <c r="CG16" s="4438">
        <f t="shared" si="27"/>
        <v>0</v>
      </c>
      <c r="CH16" s="4438">
        <f t="shared" si="28"/>
        <v>0</v>
      </c>
      <c r="CI16" s="4438">
        <f t="shared" si="29"/>
        <v>0</v>
      </c>
      <c r="CJ16" s="4438">
        <f t="shared" si="30"/>
        <v>0</v>
      </c>
    </row>
    <row r="17" spans="1:88" s="674" customFormat="1" ht="15.95" customHeight="1">
      <c r="A17" s="108" t="s">
        <v>91</v>
      </c>
      <c r="B17" s="871" t="s">
        <v>232</v>
      </c>
      <c r="C17" s="1086">
        <f>'12. Разходи'!C17</f>
        <v>7549.595327146315</v>
      </c>
      <c r="D17" s="1106">
        <f>'12. Разходи'!D17-'12. Разходи'!$C17</f>
        <v>1222.9354556456838</v>
      </c>
      <c r="E17" s="855">
        <f>IFERROR(('12. Разходи'!D17-'12. Разходи'!$C17)/'12. Разходи'!$C17,0)</f>
        <v>0.16198688838967787</v>
      </c>
      <c r="F17" s="1107">
        <f>'12. Разходи'!E17-'12. Разходи'!$C17</f>
        <v>1179.0728342206858</v>
      </c>
      <c r="G17" s="855">
        <f>IFERROR(('12. Разходи'!E17-'12. Разходи'!$C17)/'12. Разходи'!$C17,0)</f>
        <v>0.15617695825113392</v>
      </c>
      <c r="H17" s="1107">
        <f>'12. Разходи'!F17-'12. Разходи'!$C17</f>
        <v>1135.4294623856858</v>
      </c>
      <c r="I17" s="855">
        <f>IFERROR(('12. Разходи'!F17-'12. Разходи'!$C17)/'12. Разходи'!$C17,0)</f>
        <v>0.15039606934996724</v>
      </c>
      <c r="J17" s="1107">
        <f>'12. Разходи'!G17-'12. Разходи'!$C17</f>
        <v>1364.7518043196851</v>
      </c>
      <c r="K17" s="855">
        <f>IFERROR(('12. Разходи'!G17-'12. Разходи'!$C17)/'12. Разходи'!$C17,0)</f>
        <v>0.18077151756894896</v>
      </c>
      <c r="L17" s="1107">
        <f>'12. Разходи'!H17-'12. Разходи'!$C17</f>
        <v>1320.179902672684</v>
      </c>
      <c r="M17" s="884">
        <f>IFERROR(('12. Разходи'!H17-'12. Разходи'!$C17)/'12. Разходи'!$C17,0)</f>
        <v>0.17486763799453886</v>
      </c>
      <c r="N17" s="1137">
        <f>'12. Разходи'!K17</f>
        <v>103.20363983080001</v>
      </c>
      <c r="O17" s="1106">
        <f>'12. Разходи'!L17-'12. Разходи'!$K17</f>
        <v>17.320410902800006</v>
      </c>
      <c r="P17" s="855">
        <f>IFERROR(('12. Разходи'!L17-'12. Разходи'!$K17)/'12. Разходи'!$K17,0)</f>
        <v>0.16782751975798935</v>
      </c>
      <c r="Q17" s="1107">
        <f>'12. Разходи'!M17-'12. Разходи'!$K17</f>
        <v>17.320410902800006</v>
      </c>
      <c r="R17" s="855">
        <f>IFERROR(('12. Разходи'!M17-'12. Разходи'!$K17)/'12. Разходи'!$K17,0)</f>
        <v>0.16782751975798935</v>
      </c>
      <c r="S17" s="1107">
        <f>'12. Разходи'!N17-'12. Разходи'!$K17</f>
        <v>17.320410902800006</v>
      </c>
      <c r="T17" s="855">
        <f>IFERROR(('12. Разходи'!N17-'12. Разходи'!$K17)/'12. Разходи'!$K17,0)</f>
        <v>0.16782751975798935</v>
      </c>
      <c r="U17" s="1107">
        <f>'12. Разходи'!O17-'12. Разходи'!$K17</f>
        <v>62.34480039719999</v>
      </c>
      <c r="V17" s="855">
        <f>IFERROR(('12. Разходи'!O17-'12. Разходи'!$K17)/'12. Разходи'!$K17,0)</f>
        <v>0.60409497668311751</v>
      </c>
      <c r="W17" s="1107">
        <f>'12. Разходи'!P17-'12. Разходи'!$K17</f>
        <v>62.34480039719999</v>
      </c>
      <c r="X17" s="803">
        <f>IFERROR(('12. Разходи'!P17-'12. Разходи'!$K17)/'12. Разходи'!$K17,0)</f>
        <v>0.60409497668311751</v>
      </c>
      <c r="Y17" s="1137">
        <f>'12. Разходи'!S17</f>
        <v>588.53740443079994</v>
      </c>
      <c r="Z17" s="1106">
        <f>'12. Разходи'!T17-'12. Разходи'!$S17</f>
        <v>98.770059850000052</v>
      </c>
      <c r="AA17" s="855">
        <f>IFERROR(('12. Разходи'!T17-'12. Разходи'!$S17)/'12. Разходи'!$S17,0)</f>
        <v>0.16782290999078447</v>
      </c>
      <c r="AB17" s="1107">
        <f>'12. Разходи'!U17-'12. Разходи'!$S17</f>
        <v>98.770059850000052</v>
      </c>
      <c r="AC17" s="855">
        <f>IFERROR(('12. Разходи'!U17-'12. Разходи'!$S17)/'12. Разходи'!$S17,0)</f>
        <v>0.16782290999078447</v>
      </c>
      <c r="AD17" s="1107">
        <f>'12. Разходи'!V17-'12. Разходи'!$S17</f>
        <v>98.770059850000052</v>
      </c>
      <c r="AE17" s="855">
        <f>IFERROR(('12. Разходи'!V17-'12. Разходи'!$S17)/'12. Разходи'!$S17,0)</f>
        <v>0.16782290999078447</v>
      </c>
      <c r="AF17" s="1107">
        <f>'12. Разходи'!W17-'12. Разходи'!$S17</f>
        <v>209.93254688920013</v>
      </c>
      <c r="AG17" s="855">
        <f>IFERROR(('12. Разходи'!W17-'12. Разходи'!$S17)/'12. Разходи'!$S17,0)</f>
        <v>0.35670213194390765</v>
      </c>
      <c r="AH17" s="1107">
        <f>'12. Разходи'!X17-'12. Разходи'!$S17</f>
        <v>209.93254688920013</v>
      </c>
      <c r="AI17" s="803">
        <f>IFERROR(('12. Разходи'!X17-'12. Разходи'!$S17)/'12. Разходи'!$S17,0)</f>
        <v>0.35670213194390765</v>
      </c>
      <c r="AJ17" s="1137">
        <f>'12. Разходи'!AA17</f>
        <v>0</v>
      </c>
      <c r="AK17" s="1117">
        <f>'12. Разходи'!AB17-'12. Разходи'!$AA17</f>
        <v>0</v>
      </c>
      <c r="AL17" s="855">
        <f>IFERROR(('12. Разходи'!AB17-'12. Разходи'!$AA17)/'12. Разходи'!$AA17,0)</f>
        <v>0</v>
      </c>
      <c r="AM17" s="1107">
        <f>'12. Разходи'!AC17-'12. Разходи'!$AA17</f>
        <v>0</v>
      </c>
      <c r="AN17" s="855">
        <f>IFERROR(('12. Разходи'!AC17-'12. Разходи'!$AA17)/'12. Разходи'!$AA17,0)</f>
        <v>0</v>
      </c>
      <c r="AO17" s="1107">
        <f>'12. Разходи'!AD17-'12. Разходи'!$AA17</f>
        <v>0</v>
      </c>
      <c r="AP17" s="855">
        <f>IFERROR(('12. Разходи'!AD17-'12. Разходи'!$AA17)/'12. Разходи'!$AA17,0)</f>
        <v>0</v>
      </c>
      <c r="AQ17" s="1107">
        <f>'12. Разходи'!AE17-'12. Разходи'!$AA17</f>
        <v>0</v>
      </c>
      <c r="AR17" s="861">
        <f>IFERROR(('12. Разходи'!AE17-'12. Разходи'!$AA17)/'12. Разходи'!$AA17,0)</f>
        <v>0</v>
      </c>
      <c r="AS17" s="1107">
        <f>'12. Разходи'!AF17-'12. Разходи'!$AA17</f>
        <v>0</v>
      </c>
      <c r="AT17" s="866">
        <f>IFERROR(('12. Разходи'!AF17-'12. Разходи'!$AA17)/'12. Разходи'!$AA17,0)</f>
        <v>0</v>
      </c>
      <c r="AU17" s="1137">
        <f>'12. Разходи'!AI17</f>
        <v>0</v>
      </c>
      <c r="AV17" s="1117">
        <f>'12. Разходи'!AJ17-'12. Разходи'!$AI17</f>
        <v>0</v>
      </c>
      <c r="AW17" s="855">
        <f>IFERROR(('12. Разходи'!AJ17-'12. Разходи'!$AI17)/'12. Разходи'!$AI17,0)</f>
        <v>0</v>
      </c>
      <c r="AX17" s="1107">
        <f>'12. Разходи'!AK17-'12. Разходи'!$AI17</f>
        <v>0</v>
      </c>
      <c r="AY17" s="855">
        <f>IFERROR(('12. Разходи'!AK17-'12. Разходи'!$AI17)/'12. Разходи'!$AI17,0)</f>
        <v>0</v>
      </c>
      <c r="AZ17" s="1107">
        <f>'12. Разходи'!AL17-'12. Разходи'!$AI17</f>
        <v>0</v>
      </c>
      <c r="BA17" s="855">
        <f>IFERROR(('12. Разходи'!AL17-'12. Разходи'!$AI17)/'12. Разходи'!$AI17,0)</f>
        <v>0</v>
      </c>
      <c r="BB17" s="1107">
        <f>'12. Разходи'!AM17-'12. Разходи'!$AI17</f>
        <v>0</v>
      </c>
      <c r="BC17" s="861">
        <f>IFERROR(('12. Разходи'!AM17-'12. Разходи'!$AI17)/'12. Разходи'!$AI17,0)</f>
        <v>0</v>
      </c>
      <c r="BD17" s="1107">
        <f>'12. Разходи'!AN17-'12. Разходи'!$AI17</f>
        <v>0</v>
      </c>
      <c r="BE17" s="866">
        <f>IFERROR(('12. Разходи'!AN17-'12. Разходи'!$AI17)/'12. Разходи'!$AI17,0)</f>
        <v>0</v>
      </c>
      <c r="BF17" s="4422"/>
      <c r="BG17" s="4438">
        <f t="shared" si="1"/>
        <v>3860.0467970868199</v>
      </c>
      <c r="BH17" s="4438">
        <f t="shared" si="2"/>
        <v>625.27696969863632</v>
      </c>
      <c r="BI17" s="4438">
        <f t="shared" si="3"/>
        <v>602.85036747605147</v>
      </c>
      <c r="BJ17" s="4438">
        <f t="shared" si="4"/>
        <v>580.53586578878833</v>
      </c>
      <c r="BK17" s="4438">
        <f t="shared" si="5"/>
        <v>697.78651739654526</v>
      </c>
      <c r="BL17" s="4438">
        <f t="shared" si="6"/>
        <v>674.99726595495724</v>
      </c>
      <c r="BM17" s="4438">
        <f t="shared" si="7"/>
        <v>52.767183155386725</v>
      </c>
      <c r="BN17" s="4438">
        <f t="shared" si="8"/>
        <v>8.8557854735841079</v>
      </c>
      <c r="BO17" s="4438">
        <f t="shared" si="9"/>
        <v>8.8557854735841079</v>
      </c>
      <c r="BP17" s="4438">
        <f t="shared" si="10"/>
        <v>8.8557854735841079</v>
      </c>
      <c r="BQ17" s="4438">
        <f t="shared" si="11"/>
        <v>31.876390277887133</v>
      </c>
      <c r="BR17" s="4438">
        <f t="shared" si="12"/>
        <v>31.876390277887133</v>
      </c>
      <c r="BS17" s="4438">
        <f t="shared" si="13"/>
        <v>300.91439666576338</v>
      </c>
      <c r="BT17" s="4438">
        <f t="shared" si="14"/>
        <v>50.500329706569616</v>
      </c>
      <c r="BU17" s="4438">
        <f t="shared" si="15"/>
        <v>50.500329706569616</v>
      </c>
      <c r="BV17" s="4438">
        <f t="shared" si="16"/>
        <v>50.500329706569616</v>
      </c>
      <c r="BW17" s="4438">
        <f t="shared" si="17"/>
        <v>107.33680682329248</v>
      </c>
      <c r="BX17" s="4438">
        <f t="shared" si="18"/>
        <v>107.33680682329248</v>
      </c>
      <c r="BY17" s="4438">
        <f t="shared" si="19"/>
        <v>0</v>
      </c>
      <c r="BZ17" s="4438">
        <f t="shared" si="20"/>
        <v>0</v>
      </c>
      <c r="CA17" s="4438">
        <f t="shared" si="21"/>
        <v>0</v>
      </c>
      <c r="CB17" s="4438">
        <f t="shared" si="22"/>
        <v>0</v>
      </c>
      <c r="CC17" s="4438">
        <f t="shared" si="23"/>
        <v>0</v>
      </c>
      <c r="CD17" s="4438">
        <f t="shared" si="24"/>
        <v>0</v>
      </c>
      <c r="CE17" s="4438">
        <f t="shared" si="25"/>
        <v>0</v>
      </c>
      <c r="CF17" s="4438">
        <f t="shared" si="26"/>
        <v>0</v>
      </c>
      <c r="CG17" s="4438">
        <f t="shared" si="27"/>
        <v>0</v>
      </c>
      <c r="CH17" s="4438">
        <f t="shared" si="28"/>
        <v>0</v>
      </c>
      <c r="CI17" s="4438">
        <f t="shared" si="29"/>
        <v>0</v>
      </c>
      <c r="CJ17" s="4438">
        <f t="shared" si="30"/>
        <v>0</v>
      </c>
    </row>
    <row r="18" spans="1:88" ht="15.95" customHeight="1">
      <c r="A18" s="816" t="s">
        <v>93</v>
      </c>
      <c r="B18" s="871" t="s">
        <v>233</v>
      </c>
      <c r="C18" s="1159">
        <f>'12. Разходи'!C18</f>
        <v>456</v>
      </c>
      <c r="D18" s="1108">
        <f>'12. Разходи'!D18-'12. Разходи'!$C18</f>
        <v>76.310000000000059</v>
      </c>
      <c r="E18" s="856">
        <f>IFERROR(('12. Разходи'!D18-'12. Разходи'!$C18)/'12. Разходи'!$C18,0)</f>
        <v>0.1673464912280703</v>
      </c>
      <c r="F18" s="1109">
        <f>'12. Разходи'!E18-'12. Разходи'!$C18</f>
        <v>97.29729999999995</v>
      </c>
      <c r="G18" s="856">
        <f>IFERROR(('12. Разходи'!E18-'12. Разходи'!$C18)/'12. Разходи'!$C18,0)</f>
        <v>0.21337127192982444</v>
      </c>
      <c r="H18" s="1109">
        <f>'12. Разходи'!F18-'12. Разходи'!$C18</f>
        <v>113.89621899999997</v>
      </c>
      <c r="I18" s="856">
        <f>IFERROR(('12. Разходи'!F18-'12. Разходи'!$C18)/'12. Разходи'!$C18,0)</f>
        <v>0.24977241008771925</v>
      </c>
      <c r="J18" s="1109">
        <f>'12. Разходи'!G18-'12. Разходи'!$C18</f>
        <v>117.42568806999998</v>
      </c>
      <c r="K18" s="856">
        <f>IFERROR(('12. Разходи'!G18-'12. Разходи'!$C18)/'12. Разходи'!$C18,0)</f>
        <v>0.25751247383771925</v>
      </c>
      <c r="L18" s="1109">
        <f>'12. Разходи'!H18-'12. Разходи'!$C18</f>
        <v>116.01396190210005</v>
      </c>
      <c r="M18" s="860">
        <f>IFERROR(('12. Разходи'!H18-'12. Разходи'!$C18)/'12. Разходи'!$C18,0)</f>
        <v>0.25441658311864046</v>
      </c>
      <c r="N18" s="1138">
        <f>'12. Разходи'!K18</f>
        <v>8</v>
      </c>
      <c r="O18" s="1108">
        <f>'12. Разходи'!L18-'12. Разходи'!$K18</f>
        <v>1.0199999999999996</v>
      </c>
      <c r="P18" s="856">
        <f>IFERROR(('12. Разходи'!L18-'12. Разходи'!$K18)/'12. Разходи'!$K18,0)</f>
        <v>0.12749999999999995</v>
      </c>
      <c r="Q18" s="1109">
        <f>'12. Разходи'!M18-'12. Разходи'!$K18</f>
        <v>1.3426000000000009</v>
      </c>
      <c r="R18" s="856">
        <f>IFERROR(('12. Разходи'!M18-'12. Разходи'!$K18)/'12. Разходи'!$K18,0)</f>
        <v>0.16782500000000011</v>
      </c>
      <c r="S18" s="1109">
        <f>'12. Разходи'!N18-'12. Разходи'!$K18</f>
        <v>1.622878</v>
      </c>
      <c r="T18" s="856">
        <f>IFERROR(('12. Разходи'!N18-'12. Разходи'!$K18)/'12. Разходи'!$K18,0)</f>
        <v>0.20285975000000001</v>
      </c>
      <c r="U18" s="1109">
        <f>'12. Разходи'!O18-'12. Разходи'!$K18</f>
        <v>1.7709693400000006</v>
      </c>
      <c r="V18" s="856">
        <f>IFERROR(('12. Разходи'!O18-'12. Разходи'!$K18)/'12. Разходи'!$K18,0)</f>
        <v>0.22137116750000008</v>
      </c>
      <c r="W18" s="1109">
        <f>'12. Разходи'!P18-'12. Разходи'!$K18</f>
        <v>1.8712020802000016</v>
      </c>
      <c r="X18" s="701">
        <f>IFERROR(('12. Разходи'!P18-'12. Разходи'!$K18)/'12. Разходи'!$K18,0)</f>
        <v>0.2339002600250002</v>
      </c>
      <c r="Y18" s="1138">
        <f>'12. Разходи'!S18</f>
        <v>11</v>
      </c>
      <c r="Z18" s="1108">
        <f>'12. Разходи'!T18-'12. Разходи'!$S18</f>
        <v>0.77000000000000135</v>
      </c>
      <c r="AA18" s="856">
        <f>IFERROR(('12. Разходи'!T18-'12. Разходи'!$S18)/'12. Разходи'!$S18,0)</f>
        <v>7.0000000000000118E-2</v>
      </c>
      <c r="AB18" s="1109">
        <f>'12. Разходи'!U18-'12. Разходи'!$S18</f>
        <v>1.1231000000000009</v>
      </c>
      <c r="AC18" s="856">
        <f>IFERROR(('12. Разходи'!U18-'12. Разходи'!$S18)/'12. Разходи'!$S18,0)</f>
        <v>0.10210000000000008</v>
      </c>
      <c r="AD18" s="1109">
        <f>'12. Разходи'!V18-'12. Разходи'!$S18</f>
        <v>1.4867930000000005</v>
      </c>
      <c r="AE18" s="856">
        <f>IFERROR(('12. Разходи'!V18-'12. Разходи'!$S18)/'12. Разходи'!$S18,0)</f>
        <v>0.13516300000000003</v>
      </c>
      <c r="AF18" s="1109">
        <f>'12. Разходи'!W18-'12. Разходи'!$S18</f>
        <v>1.8613967900000006</v>
      </c>
      <c r="AG18" s="856">
        <f>IFERROR(('12. Разходи'!W18-'12. Разходи'!$S18)/'12. Разходи'!$S18,0)</f>
        <v>0.16921789000000007</v>
      </c>
      <c r="AH18" s="1109">
        <f>'12. Разходи'!X18-'12. Разходи'!$S18</f>
        <v>2.2472386937000017</v>
      </c>
      <c r="AI18" s="701">
        <f>IFERROR(('12. Разходи'!X18-'12. Разходи'!$S18)/'12. Разходи'!$S18,0)</f>
        <v>0.20429442670000017</v>
      </c>
      <c r="AJ18" s="1138">
        <f>'12. Разходи'!AA18</f>
        <v>0</v>
      </c>
      <c r="AK18" s="1116">
        <f>'12. Разходи'!AB18-'12. Разходи'!$AA18</f>
        <v>0</v>
      </c>
      <c r="AL18" s="856">
        <f>IFERROR(('12. Разходи'!AB18-'12. Разходи'!$AA18)/'12. Разходи'!$AA18,0)</f>
        <v>0</v>
      </c>
      <c r="AM18" s="1109">
        <f>'12. Разходи'!AC18-'12. Разходи'!$AA18</f>
        <v>0</v>
      </c>
      <c r="AN18" s="856">
        <f>IFERROR(('12. Разходи'!AC18-'12. Разходи'!$AA18)/'12. Разходи'!$AA18,0)</f>
        <v>0</v>
      </c>
      <c r="AO18" s="1109">
        <f>'12. Разходи'!AD18-'12. Разходи'!$AA18</f>
        <v>0</v>
      </c>
      <c r="AP18" s="860">
        <f>IFERROR(('12. Разходи'!AD18-'12. Разходи'!$AA18)/'12. Разходи'!$AA18,0)</f>
        <v>0</v>
      </c>
      <c r="AQ18" s="1123">
        <f>'12. Разходи'!AE18-'12. Разходи'!$AA18</f>
        <v>0</v>
      </c>
      <c r="AR18" s="860">
        <f>IFERROR(('12. Разходи'!AE18-'12. Разходи'!$AA18)/'12. Разходи'!$AA18,0)</f>
        <v>0</v>
      </c>
      <c r="AS18" s="1109">
        <f>'12. Разходи'!AF18-'12. Разходи'!$AA18</f>
        <v>0</v>
      </c>
      <c r="AT18" s="701">
        <f>IFERROR(('12. Разходи'!AF18-'12. Разходи'!$AA18)/'12. Разходи'!$AA18,0)</f>
        <v>0</v>
      </c>
      <c r="AU18" s="1138">
        <f>'12. Разходи'!AI18</f>
        <v>0</v>
      </c>
      <c r="AV18" s="1116">
        <f>'12. Разходи'!AJ18-'12. Разходи'!$AI18</f>
        <v>0</v>
      </c>
      <c r="AW18" s="856">
        <f>IFERROR(('12. Разходи'!AJ18-'12. Разходи'!$AI18)/'12. Разходи'!$AI18,0)</f>
        <v>0</v>
      </c>
      <c r="AX18" s="1109">
        <f>'12. Разходи'!AK18-'12. Разходи'!$AI18</f>
        <v>0</v>
      </c>
      <c r="AY18" s="856">
        <f>IFERROR(('12. Разходи'!AK18-'12. Разходи'!$AI18)/'12. Разходи'!$AI18,0)</f>
        <v>0</v>
      </c>
      <c r="AZ18" s="1109">
        <f>'12. Разходи'!AL18-'12. Разходи'!$AI18</f>
        <v>0</v>
      </c>
      <c r="BA18" s="860">
        <f>IFERROR(('12. Разходи'!AL18-'12. Разходи'!$AI18)/'12. Разходи'!$AI18,0)</f>
        <v>0</v>
      </c>
      <c r="BB18" s="1123">
        <f>'12. Разходи'!AM18-'12. Разходи'!$AI18</f>
        <v>0</v>
      </c>
      <c r="BC18" s="860">
        <f>IFERROR(('12. Разходи'!AM18-'12. Разходи'!$AI18)/'12. Разходи'!$AI18,0)</f>
        <v>0</v>
      </c>
      <c r="BD18" s="1109">
        <f>'12. Разходи'!AN18-'12. Разходи'!$AI18</f>
        <v>0</v>
      </c>
      <c r="BE18" s="701">
        <f>IFERROR(('12. Разходи'!AN18-'12. Разходи'!$AI18)/'12. Разходи'!$AI18,0)</f>
        <v>0</v>
      </c>
      <c r="BF18" s="4422"/>
      <c r="BG18" s="4438">
        <f t="shared" si="1"/>
        <v>233.14909782547562</v>
      </c>
      <c r="BH18" s="4438">
        <f t="shared" si="2"/>
        <v>39.016683454083463</v>
      </c>
      <c r="BI18" s="4438">
        <f t="shared" si="3"/>
        <v>49.747319552312803</v>
      </c>
      <c r="BJ18" s="4438">
        <f t="shared" si="4"/>
        <v>58.234212073646468</v>
      </c>
      <c r="BK18" s="4438">
        <f t="shared" si="5"/>
        <v>60.038800954070638</v>
      </c>
      <c r="BL18" s="4438">
        <f t="shared" si="6"/>
        <v>59.316996825951158</v>
      </c>
      <c r="BM18" s="4438">
        <f t="shared" si="7"/>
        <v>4.0903350495697479</v>
      </c>
      <c r="BN18" s="4438">
        <f t="shared" si="8"/>
        <v>0.52151771882014264</v>
      </c>
      <c r="BO18" s="4438">
        <f t="shared" si="9"/>
        <v>0.68646047969404345</v>
      </c>
      <c r="BP18" s="4438">
        <f t="shared" si="10"/>
        <v>0.82976434557195666</v>
      </c>
      <c r="BQ18" s="4438">
        <f t="shared" si="11"/>
        <v>0.90548224538942579</v>
      </c>
      <c r="BR18" s="4438">
        <f t="shared" si="12"/>
        <v>0.95673043168373606</v>
      </c>
      <c r="BS18" s="4438">
        <f t="shared" si="13"/>
        <v>5.6242106931584033</v>
      </c>
      <c r="BT18" s="4438">
        <f t="shared" si="14"/>
        <v>0.39369474852108893</v>
      </c>
      <c r="BU18" s="4438">
        <f t="shared" si="15"/>
        <v>0.57423191177147348</v>
      </c>
      <c r="BV18" s="4438">
        <f t="shared" si="16"/>
        <v>0.76018518991936956</v>
      </c>
      <c r="BW18" s="4438">
        <f t="shared" si="17"/>
        <v>0.95171706641170273</v>
      </c>
      <c r="BX18" s="4438">
        <f t="shared" si="18"/>
        <v>1.1489948991988066</v>
      </c>
      <c r="BY18" s="4438">
        <f t="shared" si="19"/>
        <v>0</v>
      </c>
      <c r="BZ18" s="4438">
        <f t="shared" si="20"/>
        <v>0</v>
      </c>
      <c r="CA18" s="4438">
        <f t="shared" si="21"/>
        <v>0</v>
      </c>
      <c r="CB18" s="4438">
        <f t="shared" si="22"/>
        <v>0</v>
      </c>
      <c r="CC18" s="4438">
        <f t="shared" si="23"/>
        <v>0</v>
      </c>
      <c r="CD18" s="4438">
        <f t="shared" si="24"/>
        <v>0</v>
      </c>
      <c r="CE18" s="4438">
        <f t="shared" si="25"/>
        <v>0</v>
      </c>
      <c r="CF18" s="4438">
        <f t="shared" si="26"/>
        <v>0</v>
      </c>
      <c r="CG18" s="4438">
        <f t="shared" si="27"/>
        <v>0</v>
      </c>
      <c r="CH18" s="4438">
        <f t="shared" si="28"/>
        <v>0</v>
      </c>
      <c r="CI18" s="4438">
        <f t="shared" si="29"/>
        <v>0</v>
      </c>
      <c r="CJ18" s="4438">
        <f t="shared" si="30"/>
        <v>0</v>
      </c>
    </row>
    <row r="19" spans="1:88" s="1172" customFormat="1" ht="15.95" customHeight="1">
      <c r="A19" s="1175" t="s">
        <v>234</v>
      </c>
      <c r="B19" s="1176" t="s">
        <v>1337</v>
      </c>
      <c r="C19" s="1177">
        <f>'12. Разходи'!C19</f>
        <v>0</v>
      </c>
      <c r="D19" s="1178">
        <f>'12. Разходи'!D19-'12. Разходи'!$C19</f>
        <v>0</v>
      </c>
      <c r="E19" s="1179">
        <f>IFERROR(('12. Разходи'!D19-'12. Разходи'!$C19)/'12. Разходи'!$C19,0)</f>
        <v>0</v>
      </c>
      <c r="F19" s="1180">
        <f>'12. Разходи'!E19-'12. Разходи'!$C19</f>
        <v>0</v>
      </c>
      <c r="G19" s="1179">
        <f>IFERROR(('12. Разходи'!E19-'12. Разходи'!$C19)/'12. Разходи'!$C19,0)</f>
        <v>0</v>
      </c>
      <c r="H19" s="1180">
        <f>'12. Разходи'!F19-'12. Разходи'!$C19</f>
        <v>0</v>
      </c>
      <c r="I19" s="1179">
        <f>IFERROR(('12. Разходи'!F19-'12. Разходи'!$C19)/'12. Разходи'!$C19,0)</f>
        <v>0</v>
      </c>
      <c r="J19" s="1180">
        <f>'12. Разходи'!G19-'12. Разходи'!$C19</f>
        <v>0</v>
      </c>
      <c r="K19" s="1179">
        <f>IFERROR(('12. Разходи'!G19-'12. Разходи'!$C19)/'12. Разходи'!$C19,0)</f>
        <v>0</v>
      </c>
      <c r="L19" s="1180">
        <f>'12. Разходи'!H19-'12. Разходи'!$C19</f>
        <v>0</v>
      </c>
      <c r="M19" s="1181">
        <f>IFERROR(('12. Разходи'!H19-'12. Разходи'!$C19)/'12. Разходи'!$C19,0)</f>
        <v>0</v>
      </c>
      <c r="N19" s="1182">
        <f>'12. Разходи'!K19</f>
        <v>0</v>
      </c>
      <c r="O19" s="1178">
        <f>'12. Разходи'!L19-'12. Разходи'!$K19</f>
        <v>0</v>
      </c>
      <c r="P19" s="1179">
        <f>IFERROR(('12. Разходи'!L19-'12. Разходи'!$K19)/'12. Разходи'!$K19,0)</f>
        <v>0</v>
      </c>
      <c r="Q19" s="1180">
        <f>'12. Разходи'!M19-'12. Разходи'!$K19</f>
        <v>0</v>
      </c>
      <c r="R19" s="1179">
        <f>IFERROR(('12. Разходи'!M19-'12. Разходи'!$K19)/'12. Разходи'!$K19,0)</f>
        <v>0</v>
      </c>
      <c r="S19" s="1180">
        <f>'12. Разходи'!N19-'12. Разходи'!$K19</f>
        <v>0</v>
      </c>
      <c r="T19" s="1179">
        <f>IFERROR(('12. Разходи'!N19-'12. Разходи'!$K19)/'12. Разходи'!$K19,0)</f>
        <v>0</v>
      </c>
      <c r="U19" s="1180">
        <f>'12. Разходи'!O19-'12. Разходи'!$K19</f>
        <v>0</v>
      </c>
      <c r="V19" s="1179">
        <f>IFERROR(('12. Разходи'!O19-'12. Разходи'!$K19)/'12. Разходи'!$K19,0)</f>
        <v>0</v>
      </c>
      <c r="W19" s="1180">
        <f>'12. Разходи'!P19-'12. Разходи'!$K19</f>
        <v>0</v>
      </c>
      <c r="X19" s="1183">
        <f>IFERROR(('12. Разходи'!P19-'12. Разходи'!$K19)/'12. Разходи'!$K19,0)</f>
        <v>0</v>
      </c>
      <c r="Y19" s="1182">
        <f>'12. Разходи'!S19</f>
        <v>0</v>
      </c>
      <c r="Z19" s="1178">
        <f>'12. Разходи'!T19-'12. Разходи'!$S19</f>
        <v>0</v>
      </c>
      <c r="AA19" s="1179">
        <f>IFERROR(('12. Разходи'!T19-'12. Разходи'!$S19)/'12. Разходи'!$S19,0)</f>
        <v>0</v>
      </c>
      <c r="AB19" s="1180">
        <f>'12. Разходи'!U19-'12. Разходи'!$S19</f>
        <v>0</v>
      </c>
      <c r="AC19" s="1179">
        <f>IFERROR(('12. Разходи'!U19-'12. Разходи'!$S19)/'12. Разходи'!$S19,0)</f>
        <v>0</v>
      </c>
      <c r="AD19" s="1180">
        <f>'12. Разходи'!V19-'12. Разходи'!$S19</f>
        <v>0</v>
      </c>
      <c r="AE19" s="1179">
        <f>IFERROR(('12. Разходи'!V19-'12. Разходи'!$S19)/'12. Разходи'!$S19,0)</f>
        <v>0</v>
      </c>
      <c r="AF19" s="1180">
        <f>'12. Разходи'!W19-'12. Разходи'!$S19</f>
        <v>0</v>
      </c>
      <c r="AG19" s="1179">
        <f>IFERROR(('12. Разходи'!W19-'12. Разходи'!$S19)/'12. Разходи'!$S19,0)</f>
        <v>0</v>
      </c>
      <c r="AH19" s="1180">
        <f>'12. Разходи'!X19-'12. Разходи'!$S19</f>
        <v>0</v>
      </c>
      <c r="AI19" s="1183">
        <f>IFERROR(('12. Разходи'!X19-'12. Разходи'!$S19)/'12. Разходи'!$S19,0)</f>
        <v>0</v>
      </c>
      <c r="AJ19" s="1182">
        <f>'12. Разходи'!AA19</f>
        <v>0</v>
      </c>
      <c r="AK19" s="1184">
        <f>'12. Разходи'!AB19-'12. Разходи'!$AA19</f>
        <v>0</v>
      </c>
      <c r="AL19" s="1179">
        <f>IFERROR(('12. Разходи'!AB19-'12. Разходи'!$AA19)/'12. Разходи'!$AA19,0)</f>
        <v>0</v>
      </c>
      <c r="AM19" s="1178">
        <f>'12. Разходи'!AC19-'12. Разходи'!$AA19</f>
        <v>0</v>
      </c>
      <c r="AN19" s="1185">
        <f>IFERROR(('12. Разходи'!AC19-'12. Разходи'!$AA19)/'12. Разходи'!$AA19,0)</f>
        <v>0</v>
      </c>
      <c r="AO19" s="1178">
        <f>'12. Разходи'!AD19-'12. Разходи'!$AA19</f>
        <v>0</v>
      </c>
      <c r="AP19" s="1185">
        <f>IFERROR(('12. Разходи'!AD19-'12. Разходи'!$AA19)/'12. Разходи'!$AA19,0)</f>
        <v>0</v>
      </c>
      <c r="AQ19" s="1178">
        <f>'12. Разходи'!AE19-'12. Разходи'!$AA19</f>
        <v>0</v>
      </c>
      <c r="AR19" s="1186">
        <f>IFERROR(('12. Разходи'!AE19-'12. Разходи'!$AA19)/'12. Разходи'!$AA19,0)</f>
        <v>0</v>
      </c>
      <c r="AS19" s="1180">
        <f>'12. Разходи'!AF19-'12. Разходи'!$AA19</f>
        <v>0</v>
      </c>
      <c r="AT19" s="1187">
        <f>IFERROR(('12. Разходи'!AF19-'12. Разходи'!$AA19)/'12. Разходи'!$AA19,0)</f>
        <v>0</v>
      </c>
      <c r="AU19" s="1182">
        <f>'12. Разходи'!AI19</f>
        <v>0</v>
      </c>
      <c r="AV19" s="1184">
        <f>'12. Разходи'!AJ19-'12. Разходи'!$AI19</f>
        <v>0</v>
      </c>
      <c r="AW19" s="1179">
        <f>IFERROR(('12. Разходи'!AJ19-'12. Разходи'!$AI19)/'12. Разходи'!$AI19,0)</f>
        <v>0</v>
      </c>
      <c r="AX19" s="1178">
        <f>'12. Разходи'!AK19-'12. Разходи'!$AI19</f>
        <v>0</v>
      </c>
      <c r="AY19" s="1185">
        <f>IFERROR(('12. Разходи'!AK19-'12. Разходи'!$AI19)/'12. Разходи'!$AI19,0)</f>
        <v>0</v>
      </c>
      <c r="AZ19" s="1178">
        <f>'12. Разходи'!AL19-'12. Разходи'!$AI19</f>
        <v>0</v>
      </c>
      <c r="BA19" s="1185">
        <f>IFERROR(('12. Разходи'!AL19-'12. Разходи'!$AI19)/'12. Разходи'!$AI19,0)</f>
        <v>0</v>
      </c>
      <c r="BB19" s="1178">
        <f>'12. Разходи'!AM19-'12. Разходи'!$AI19</f>
        <v>0</v>
      </c>
      <c r="BC19" s="1186">
        <f>IFERROR(('12. Разходи'!AM19-'12. Разходи'!$AI19)/'12. Разходи'!$AI19,0)</f>
        <v>0</v>
      </c>
      <c r="BD19" s="1180">
        <f>'12. Разходи'!AN19-'12. Разходи'!$AI19</f>
        <v>0</v>
      </c>
      <c r="BE19" s="1187">
        <f>IFERROR(('12. Разходи'!AN19-'12. Разходи'!$AI19)/'12. Разходи'!$AI19,0)</f>
        <v>0</v>
      </c>
      <c r="BF19" s="4422"/>
      <c r="BG19" s="4438">
        <f t="shared" si="1"/>
        <v>0</v>
      </c>
      <c r="BH19" s="4438">
        <f t="shared" si="2"/>
        <v>0</v>
      </c>
      <c r="BI19" s="4438">
        <f t="shared" si="3"/>
        <v>0</v>
      </c>
      <c r="BJ19" s="4438">
        <f t="shared" si="4"/>
        <v>0</v>
      </c>
      <c r="BK19" s="4438">
        <f t="shared" si="5"/>
        <v>0</v>
      </c>
      <c r="BL19" s="4438">
        <f t="shared" si="6"/>
        <v>0</v>
      </c>
      <c r="BM19" s="4438">
        <f t="shared" si="7"/>
        <v>0</v>
      </c>
      <c r="BN19" s="4438">
        <f t="shared" si="8"/>
        <v>0</v>
      </c>
      <c r="BO19" s="4438">
        <f t="shared" si="9"/>
        <v>0</v>
      </c>
      <c r="BP19" s="4438">
        <f t="shared" si="10"/>
        <v>0</v>
      </c>
      <c r="BQ19" s="4438">
        <f t="shared" si="11"/>
        <v>0</v>
      </c>
      <c r="BR19" s="4438">
        <f t="shared" si="12"/>
        <v>0</v>
      </c>
      <c r="BS19" s="4438">
        <f t="shared" si="13"/>
        <v>0</v>
      </c>
      <c r="BT19" s="4438">
        <f t="shared" si="14"/>
        <v>0</v>
      </c>
      <c r="BU19" s="4438">
        <f t="shared" si="15"/>
        <v>0</v>
      </c>
      <c r="BV19" s="4438">
        <f t="shared" si="16"/>
        <v>0</v>
      </c>
      <c r="BW19" s="4438">
        <f t="shared" si="17"/>
        <v>0</v>
      </c>
      <c r="BX19" s="4438">
        <f t="shared" si="18"/>
        <v>0</v>
      </c>
      <c r="BY19" s="4438">
        <f t="shared" si="19"/>
        <v>0</v>
      </c>
      <c r="BZ19" s="4438">
        <f t="shared" si="20"/>
        <v>0</v>
      </c>
      <c r="CA19" s="4438">
        <f t="shared" si="21"/>
        <v>0</v>
      </c>
      <c r="CB19" s="4438">
        <f t="shared" si="22"/>
        <v>0</v>
      </c>
      <c r="CC19" s="4438">
        <f t="shared" si="23"/>
        <v>0</v>
      </c>
      <c r="CD19" s="4438">
        <f t="shared" si="24"/>
        <v>0</v>
      </c>
      <c r="CE19" s="4438">
        <f t="shared" si="25"/>
        <v>0</v>
      </c>
      <c r="CF19" s="4438">
        <f t="shared" si="26"/>
        <v>0</v>
      </c>
      <c r="CG19" s="4438">
        <f t="shared" si="27"/>
        <v>0</v>
      </c>
      <c r="CH19" s="4438">
        <f t="shared" si="28"/>
        <v>0</v>
      </c>
      <c r="CI19" s="4438">
        <f t="shared" si="29"/>
        <v>0</v>
      </c>
      <c r="CJ19" s="4438">
        <f t="shared" si="30"/>
        <v>0</v>
      </c>
    </row>
    <row r="20" spans="1:88" s="1172" customFormat="1" ht="15.95" customHeight="1">
      <c r="A20" s="1175" t="s">
        <v>436</v>
      </c>
      <c r="B20" s="1176" t="s">
        <v>1338</v>
      </c>
      <c r="C20" s="1177">
        <f>'12. Разходи'!C20</f>
        <v>263</v>
      </c>
      <c r="D20" s="1178">
        <f>'12. Разходи'!D20-'12. Разходи'!$C20</f>
        <v>18.410000000000025</v>
      </c>
      <c r="E20" s="1179">
        <f>IFERROR(('12. Разходи'!D20-'12. Разходи'!$C20)/'12. Разходи'!$C20,0)</f>
        <v>7.000000000000009E-2</v>
      </c>
      <c r="F20" s="1180">
        <f>'12. Разходи'!E20-'12. Разходи'!$C20</f>
        <v>26.852300000000014</v>
      </c>
      <c r="G20" s="1179">
        <f>IFERROR(('12. Разходи'!E20-'12. Разходи'!$C20)/'12. Разходи'!$C20,0)</f>
        <v>0.10210000000000005</v>
      </c>
      <c r="H20" s="1180">
        <f>'12. Разходи'!F20-'12. Разходи'!$C20</f>
        <v>35.547869000000048</v>
      </c>
      <c r="I20" s="1179">
        <f>IFERROR(('12. Разходи'!F20-'12. Разходи'!$C20)/'12. Разходи'!$C20,0)</f>
        <v>0.13516300000000017</v>
      </c>
      <c r="J20" s="1180">
        <f>'12. Разходи'!G20-'12. Разходи'!$C20</f>
        <v>44.504305070000044</v>
      </c>
      <c r="K20" s="1179">
        <f>IFERROR(('12. Разходи'!G20-'12. Разходи'!$C20)/'12. Разходи'!$C20,0)</f>
        <v>0.16921789000000018</v>
      </c>
      <c r="L20" s="1180">
        <f>'12. Разходи'!H20-'12. Разходи'!$C20</f>
        <v>53.729434222100053</v>
      </c>
      <c r="M20" s="1181">
        <f>IFERROR(('12. Разходи'!H20-'12. Разходи'!$C20)/'12. Разходи'!$C20,0)</f>
        <v>0.2042944267000002</v>
      </c>
      <c r="N20" s="1182">
        <f>'12. Разходи'!K20</f>
        <v>6</v>
      </c>
      <c r="O20" s="1178">
        <f>'12. Разходи'!L20-'12. Разходи'!$K20</f>
        <v>0.41999999999999993</v>
      </c>
      <c r="P20" s="1179">
        <f>IFERROR(('12. Разходи'!L20-'12. Разходи'!$K20)/'12. Разходи'!$K20,0)</f>
        <v>6.9999999999999993E-2</v>
      </c>
      <c r="Q20" s="1180">
        <f>'12. Разходи'!M20-'12. Разходи'!$K20</f>
        <v>0.61260000000000048</v>
      </c>
      <c r="R20" s="1179">
        <f>IFERROR(('12. Разходи'!M20-'12. Разходи'!$K20)/'12. Разходи'!$K20,0)</f>
        <v>0.10210000000000008</v>
      </c>
      <c r="S20" s="1180">
        <f>'12. Разходи'!N20-'12. Разходи'!$K20</f>
        <v>0.81097800000000042</v>
      </c>
      <c r="T20" s="1179">
        <f>IFERROR(('12. Разходи'!N20-'12. Разходи'!$K20)/'12. Разходи'!$K20,0)</f>
        <v>0.13516300000000006</v>
      </c>
      <c r="U20" s="1180">
        <f>'12. Разходи'!O20-'12. Разходи'!$K20</f>
        <v>1.0153073400000006</v>
      </c>
      <c r="V20" s="1179">
        <f>IFERROR(('12. Разходи'!O20-'12. Разходи'!$K20)/'12. Разходи'!$K20,0)</f>
        <v>0.16921789000000009</v>
      </c>
      <c r="W20" s="1180">
        <f>'12. Разходи'!P20-'12. Разходи'!$K20</f>
        <v>1.2257665602000012</v>
      </c>
      <c r="X20" s="1183">
        <f>IFERROR(('12. Разходи'!P20-'12. Разходи'!$K20)/'12. Разходи'!$K20,0)</f>
        <v>0.2042944267000002</v>
      </c>
      <c r="Y20" s="1182">
        <f>'12. Разходи'!S20</f>
        <v>11</v>
      </c>
      <c r="Z20" s="1178">
        <f>'12. Разходи'!T20-'12. Разходи'!$S20</f>
        <v>0.77000000000000135</v>
      </c>
      <c r="AA20" s="1179">
        <f>IFERROR(('12. Разходи'!T20-'12. Разходи'!$S20)/'12. Разходи'!$S20,0)</f>
        <v>7.0000000000000118E-2</v>
      </c>
      <c r="AB20" s="1180">
        <f>'12. Разходи'!U20-'12. Разходи'!$S20</f>
        <v>1.1231000000000009</v>
      </c>
      <c r="AC20" s="1179">
        <f>IFERROR(('12. Разходи'!U20-'12. Разходи'!$S20)/'12. Разходи'!$S20,0)</f>
        <v>0.10210000000000008</v>
      </c>
      <c r="AD20" s="1180">
        <f>'12. Разходи'!V20-'12. Разходи'!$S20</f>
        <v>1.4867930000000005</v>
      </c>
      <c r="AE20" s="1179">
        <f>IFERROR(('12. Разходи'!V20-'12. Разходи'!$S20)/'12. Разходи'!$S20,0)</f>
        <v>0.13516300000000003</v>
      </c>
      <c r="AF20" s="1180">
        <f>'12. Разходи'!W20-'12. Разходи'!$S20</f>
        <v>1.8613967900000006</v>
      </c>
      <c r="AG20" s="1179">
        <f>IFERROR(('12. Разходи'!W20-'12. Разходи'!$S20)/'12. Разходи'!$S20,0)</f>
        <v>0.16921789000000007</v>
      </c>
      <c r="AH20" s="1180">
        <f>'12. Разходи'!X20-'12. Разходи'!$S20</f>
        <v>2.2472386937000017</v>
      </c>
      <c r="AI20" s="1183">
        <f>IFERROR(('12. Разходи'!X20-'12. Разходи'!$S20)/'12. Разходи'!$S20,0)</f>
        <v>0.20429442670000017</v>
      </c>
      <c r="AJ20" s="1182">
        <f>'12. Разходи'!AA20</f>
        <v>0</v>
      </c>
      <c r="AK20" s="1184">
        <f>'12. Разходи'!AB20-'12. Разходи'!$AA20</f>
        <v>0</v>
      </c>
      <c r="AL20" s="1179">
        <f>IFERROR(('12. Разходи'!AB20-'12. Разходи'!$AA20)/'12. Разходи'!$AA20,0)</f>
        <v>0</v>
      </c>
      <c r="AM20" s="1178">
        <f>'12. Разходи'!AC20-'12. Разходи'!$AA20</f>
        <v>0</v>
      </c>
      <c r="AN20" s="1185">
        <f>IFERROR(('12. Разходи'!AC20-'12. Разходи'!$AA20)/'12. Разходи'!$AA20,0)</f>
        <v>0</v>
      </c>
      <c r="AO20" s="1178">
        <f>'12. Разходи'!AD20-'12. Разходи'!$AA20</f>
        <v>0</v>
      </c>
      <c r="AP20" s="1185">
        <f>IFERROR(('12. Разходи'!AD20-'12. Разходи'!$AA20)/'12. Разходи'!$AA20,0)</f>
        <v>0</v>
      </c>
      <c r="AQ20" s="1178">
        <f>'12. Разходи'!AE20-'12. Разходи'!$AA20</f>
        <v>0</v>
      </c>
      <c r="AR20" s="1186">
        <f>IFERROR(('12. Разходи'!AE20-'12. Разходи'!$AA20)/'12. Разходи'!$AA20,0)</f>
        <v>0</v>
      </c>
      <c r="AS20" s="1180">
        <f>'12. Разходи'!AF20-'12. Разходи'!$AA20</f>
        <v>0</v>
      </c>
      <c r="AT20" s="1187">
        <f>IFERROR(('12. Разходи'!AF20-'12. Разходи'!$AA20)/'12. Разходи'!$AA20,0)</f>
        <v>0</v>
      </c>
      <c r="AU20" s="1182">
        <f>'12. Разходи'!AI20</f>
        <v>0</v>
      </c>
      <c r="AV20" s="1184">
        <f>'12. Разходи'!AJ20-'12. Разходи'!$AI20</f>
        <v>0</v>
      </c>
      <c r="AW20" s="1179">
        <f>IFERROR(('12. Разходи'!AJ20-'12. Разходи'!$AI20)/'12. Разходи'!$AI20,0)</f>
        <v>0</v>
      </c>
      <c r="AX20" s="1178">
        <f>'12. Разходи'!AK20-'12. Разходи'!$AI20</f>
        <v>0</v>
      </c>
      <c r="AY20" s="1185">
        <f>IFERROR(('12. Разходи'!AK20-'12. Разходи'!$AI20)/'12. Разходи'!$AI20,0)</f>
        <v>0</v>
      </c>
      <c r="AZ20" s="1178">
        <f>'12. Разходи'!AL20-'12. Разходи'!$AI20</f>
        <v>0</v>
      </c>
      <c r="BA20" s="1185">
        <f>IFERROR(('12. Разходи'!AL20-'12. Разходи'!$AI20)/'12. Разходи'!$AI20,0)</f>
        <v>0</v>
      </c>
      <c r="BB20" s="1178">
        <f>'12. Разходи'!AM20-'12. Разходи'!$AI20</f>
        <v>0</v>
      </c>
      <c r="BC20" s="1186">
        <f>IFERROR(('12. Разходи'!AM20-'12. Разходи'!$AI20)/'12. Разходи'!$AI20,0)</f>
        <v>0</v>
      </c>
      <c r="BD20" s="1180">
        <f>'12. Разходи'!AN20-'12. Разходи'!$AI20</f>
        <v>0</v>
      </c>
      <c r="BE20" s="1187">
        <f>IFERROR(('12. Разходи'!AN20-'12. Разходи'!$AI20)/'12. Разходи'!$AI20,0)</f>
        <v>0</v>
      </c>
      <c r="BF20" s="4422"/>
      <c r="BG20" s="4438">
        <f t="shared" si="1"/>
        <v>134.46976475460548</v>
      </c>
      <c r="BH20" s="4438">
        <f t="shared" si="2"/>
        <v>9.412883532822395</v>
      </c>
      <c r="BI20" s="4438">
        <f t="shared" si="3"/>
        <v>13.729362981445226</v>
      </c>
      <c r="BJ20" s="4438">
        <f t="shared" si="4"/>
        <v>18.175336813526762</v>
      </c>
      <c r="BK20" s="4438">
        <f t="shared" si="5"/>
        <v>22.754689860570728</v>
      </c>
      <c r="BL20" s="4438">
        <f t="shared" si="6"/>
        <v>27.471423499026017</v>
      </c>
      <c r="BM20" s="4438">
        <f t="shared" si="7"/>
        <v>3.0677512871773112</v>
      </c>
      <c r="BN20" s="4438">
        <f t="shared" si="8"/>
        <v>0.21474259010241173</v>
      </c>
      <c r="BO20" s="4438">
        <f t="shared" si="9"/>
        <v>0.3132174064208037</v>
      </c>
      <c r="BP20" s="4438">
        <f t="shared" si="10"/>
        <v>0.4146464672287471</v>
      </c>
      <c r="BQ20" s="4438">
        <f t="shared" si="11"/>
        <v>0.51911839986092889</v>
      </c>
      <c r="BR20" s="4438">
        <f t="shared" si="12"/>
        <v>0.62672449047207646</v>
      </c>
      <c r="BS20" s="4438">
        <f t="shared" si="13"/>
        <v>5.6242106931584033</v>
      </c>
      <c r="BT20" s="4438">
        <f t="shared" si="14"/>
        <v>0.39369474852108893</v>
      </c>
      <c r="BU20" s="4438">
        <f t="shared" si="15"/>
        <v>0.57423191177147348</v>
      </c>
      <c r="BV20" s="4438">
        <f t="shared" si="16"/>
        <v>0.76018518991936956</v>
      </c>
      <c r="BW20" s="4438">
        <f t="shared" si="17"/>
        <v>0.95171706641170273</v>
      </c>
      <c r="BX20" s="4438">
        <f t="shared" si="18"/>
        <v>1.1489948991988066</v>
      </c>
      <c r="BY20" s="4438">
        <f t="shared" si="19"/>
        <v>0</v>
      </c>
      <c r="BZ20" s="4438">
        <f t="shared" si="20"/>
        <v>0</v>
      </c>
      <c r="CA20" s="4438">
        <f t="shared" si="21"/>
        <v>0</v>
      </c>
      <c r="CB20" s="4438">
        <f t="shared" si="22"/>
        <v>0</v>
      </c>
      <c r="CC20" s="4438">
        <f t="shared" si="23"/>
        <v>0</v>
      </c>
      <c r="CD20" s="4438">
        <f t="shared" si="24"/>
        <v>0</v>
      </c>
      <c r="CE20" s="4438">
        <f t="shared" si="25"/>
        <v>0</v>
      </c>
      <c r="CF20" s="4438">
        <f t="shared" si="26"/>
        <v>0</v>
      </c>
      <c r="CG20" s="4438">
        <f t="shared" si="27"/>
        <v>0</v>
      </c>
      <c r="CH20" s="4438">
        <f t="shared" si="28"/>
        <v>0</v>
      </c>
      <c r="CI20" s="4438">
        <f t="shared" si="29"/>
        <v>0</v>
      </c>
      <c r="CJ20" s="4438">
        <f t="shared" si="30"/>
        <v>0</v>
      </c>
    </row>
    <row r="21" spans="1:88" s="1172" customFormat="1" ht="15.95" customHeight="1">
      <c r="A21" s="1175" t="s">
        <v>1221</v>
      </c>
      <c r="B21" s="3087" t="s">
        <v>1339</v>
      </c>
      <c r="C21" s="3088">
        <f>'12. Разходи'!C21</f>
        <v>193</v>
      </c>
      <c r="D21" s="1178">
        <f>'12. Разходи'!D21-'12. Разходи'!$C21</f>
        <v>57.900000000000006</v>
      </c>
      <c r="E21" s="1179">
        <f>IFERROR(('12. Разходи'!D21-'12. Разходи'!$C21)/'12. Разходи'!$C21,0)</f>
        <v>0.30000000000000004</v>
      </c>
      <c r="F21" s="1180">
        <f>'12. Разходи'!E21-'12. Разходи'!$C21</f>
        <v>70.444999999999993</v>
      </c>
      <c r="G21" s="1179">
        <f>IFERROR(('12. Разходи'!E21-'12. Разходи'!$C21)/'12. Разходи'!$C21,0)</f>
        <v>0.36499999999999999</v>
      </c>
      <c r="H21" s="1180">
        <f>'12. Разходи'!F21-'12. Разходи'!$C21</f>
        <v>78.348349999999982</v>
      </c>
      <c r="I21" s="1179">
        <f>IFERROR(('12. Разходи'!F21-'12. Разходи'!$C21)/'12. Разходи'!$C21,0)</f>
        <v>0.40594999999999992</v>
      </c>
      <c r="J21" s="1180">
        <f>'12. Разходи'!G21-'12. Разходи'!$C21</f>
        <v>72.921382999999992</v>
      </c>
      <c r="K21" s="1179">
        <f>IFERROR(('12. Разходи'!G21-'12. Разходи'!$C21)/'12. Разходи'!$C21,0)</f>
        <v>0.37783099999999997</v>
      </c>
      <c r="L21" s="1180">
        <f>'12. Разходи'!H21-'12. Разходи'!$C21</f>
        <v>62.284527679999997</v>
      </c>
      <c r="M21" s="1181">
        <f>IFERROR(('12. Разходи'!H21-'12. Разходи'!$C21)/'12. Разходи'!$C21,0)</f>
        <v>0.32271775999999996</v>
      </c>
      <c r="N21" s="1182">
        <f>'12. Разходи'!K21</f>
        <v>2</v>
      </c>
      <c r="O21" s="1178">
        <f>'12. Разходи'!L21-'12. Разходи'!$K21</f>
        <v>0.60000000000000009</v>
      </c>
      <c r="P21" s="1179">
        <f>IFERROR(('12. Разходи'!L21-'12. Разходи'!$K21)/'12. Разходи'!$K21,0)</f>
        <v>0.30000000000000004</v>
      </c>
      <c r="Q21" s="1180">
        <f>'12. Разходи'!M21-'12. Разходи'!$K21</f>
        <v>0.73000000000000043</v>
      </c>
      <c r="R21" s="1179">
        <f>IFERROR(('12. Разходи'!M21-'12. Разходи'!$K21)/'12. Разходи'!$K21,0)</f>
        <v>0.36500000000000021</v>
      </c>
      <c r="S21" s="1180">
        <f>'12. Разходи'!N21-'12. Разходи'!$K21</f>
        <v>0.81190000000000051</v>
      </c>
      <c r="T21" s="1179">
        <f>IFERROR(('12. Разходи'!N21-'12. Разходи'!$K21)/'12. Разходи'!$K21,0)</f>
        <v>0.40595000000000026</v>
      </c>
      <c r="U21" s="1180">
        <f>'12. Разходи'!O21-'12. Разходи'!$K21</f>
        <v>0.7556620000000005</v>
      </c>
      <c r="V21" s="1179">
        <f>IFERROR(('12. Разходи'!O21-'12. Разходи'!$K21)/'12. Разходи'!$K21,0)</f>
        <v>0.37783100000000025</v>
      </c>
      <c r="W21" s="1180">
        <f>'12. Разходи'!P21-'12. Разходи'!$K21</f>
        <v>0.64543552000000037</v>
      </c>
      <c r="X21" s="1183">
        <f>IFERROR(('12. Разходи'!P21-'12. Разходи'!$K21)/'12. Разходи'!$K21,0)</f>
        <v>0.32271776000000019</v>
      </c>
      <c r="Y21" s="1182">
        <f>'12. Разходи'!S21</f>
        <v>0</v>
      </c>
      <c r="Z21" s="1178">
        <f>'12. Разходи'!T21-'12. Разходи'!$S21</f>
        <v>0</v>
      </c>
      <c r="AA21" s="1179">
        <f>IFERROR(('12. Разходи'!T21-'12. Разходи'!$S21)/'12. Разходи'!$S21,0)</f>
        <v>0</v>
      </c>
      <c r="AB21" s="1180">
        <f>'12. Разходи'!U21-'12. Разходи'!$S21</f>
        <v>0</v>
      </c>
      <c r="AC21" s="1179">
        <f>IFERROR(('12. Разходи'!U21-'12. Разходи'!$S21)/'12. Разходи'!$S21,0)</f>
        <v>0</v>
      </c>
      <c r="AD21" s="1180">
        <f>'12. Разходи'!V21-'12. Разходи'!$S21</f>
        <v>0</v>
      </c>
      <c r="AE21" s="1179">
        <f>IFERROR(('12. Разходи'!V21-'12. Разходи'!$S21)/'12. Разходи'!$S21,0)</f>
        <v>0</v>
      </c>
      <c r="AF21" s="1180">
        <f>'12. Разходи'!W21-'12. Разходи'!$S21</f>
        <v>0</v>
      </c>
      <c r="AG21" s="1179">
        <f>IFERROR(('12. Разходи'!W21-'12. Разходи'!$S21)/'12. Разходи'!$S21,0)</f>
        <v>0</v>
      </c>
      <c r="AH21" s="1180">
        <f>'12. Разходи'!X21-'12. Разходи'!$S21</f>
        <v>0</v>
      </c>
      <c r="AI21" s="1183">
        <f>IFERROR(('12. Разходи'!X21-'12. Разходи'!$S21)/'12. Разходи'!$S21,0)</f>
        <v>0</v>
      </c>
      <c r="AJ21" s="1182">
        <f>'12. Разходи'!AA21</f>
        <v>0</v>
      </c>
      <c r="AK21" s="1184">
        <f>'12. Разходи'!AB21-'12. Разходи'!$AA21</f>
        <v>0</v>
      </c>
      <c r="AL21" s="1179">
        <f>IFERROR(('12. Разходи'!AB21-'12. Разходи'!$AA21)/'12. Разходи'!$AA21,0)</f>
        <v>0</v>
      </c>
      <c r="AM21" s="1180">
        <f>'12. Разходи'!AC21-'12. Разходи'!$AA21</f>
        <v>0</v>
      </c>
      <c r="AN21" s="1179">
        <f>IFERROR(('12. Разходи'!AC21-'12. Разходи'!$AA21)/'12. Разходи'!$AA21,0)</f>
        <v>0</v>
      </c>
      <c r="AO21" s="1180">
        <f>'12. Разходи'!AD21-'12. Разходи'!$AA21</f>
        <v>0</v>
      </c>
      <c r="AP21" s="1179">
        <f>IFERROR(('12. Разходи'!AD21-'12. Разходи'!$AA21)/'12. Разходи'!$AA21,0)</f>
        <v>0</v>
      </c>
      <c r="AQ21" s="1180">
        <f>'12. Разходи'!AE21-'12. Разходи'!$AA21</f>
        <v>0</v>
      </c>
      <c r="AR21" s="1186">
        <f>IFERROR(('12. Разходи'!AE21-'12. Разходи'!$AA21)/'12. Разходи'!$AA21,0)</f>
        <v>0</v>
      </c>
      <c r="AS21" s="1180">
        <f>'12. Разходи'!AF21-'12. Разходи'!$AA21</f>
        <v>0</v>
      </c>
      <c r="AT21" s="1187">
        <f>IFERROR(('12. Разходи'!AF21-'12. Разходи'!$AA21)/'12. Разходи'!$AA21,0)</f>
        <v>0</v>
      </c>
      <c r="AU21" s="1182">
        <f>'12. Разходи'!AI21</f>
        <v>0</v>
      </c>
      <c r="AV21" s="1184">
        <f>'12. Разходи'!AJ21-'12. Разходи'!$AI21</f>
        <v>0</v>
      </c>
      <c r="AW21" s="1179">
        <f>IFERROR(('12. Разходи'!AJ21-'12. Разходи'!$AI21)/'12. Разходи'!$AI21,0)</f>
        <v>0</v>
      </c>
      <c r="AX21" s="1180">
        <f>'12. Разходи'!AK21-'12. Разходи'!$AI21</f>
        <v>0</v>
      </c>
      <c r="AY21" s="1179">
        <f>IFERROR(('12. Разходи'!AK21-'12. Разходи'!$AI21)/'12. Разходи'!$AI21,0)</f>
        <v>0</v>
      </c>
      <c r="AZ21" s="1180">
        <f>'12. Разходи'!AL21-'12. Разходи'!$AI21</f>
        <v>0</v>
      </c>
      <c r="BA21" s="1179">
        <f>IFERROR(('12. Разходи'!AL21-'12. Разходи'!$AI21)/'12. Разходи'!$AI21,0)</f>
        <v>0</v>
      </c>
      <c r="BB21" s="1180">
        <f>'12. Разходи'!AM21-'12. Разходи'!$AI21</f>
        <v>0</v>
      </c>
      <c r="BC21" s="1186">
        <f>IFERROR(('12. Разходи'!AM21-'12. Разходи'!$AI21)/'12. Разходи'!$AI21,0)</f>
        <v>0</v>
      </c>
      <c r="BD21" s="1180">
        <f>'12. Разходи'!AN21-'12. Разходи'!$AI21</f>
        <v>0</v>
      </c>
      <c r="BE21" s="1187">
        <f>IFERROR(('12. Разходи'!AN21-'12. Разходи'!$AI21)/'12. Разходи'!$AI21,0)</f>
        <v>0</v>
      </c>
      <c r="BF21" s="4422"/>
      <c r="BG21" s="4438">
        <f t="shared" si="1"/>
        <v>98.679333070870172</v>
      </c>
      <c r="BH21" s="4438">
        <f t="shared" si="2"/>
        <v>29.603799921261054</v>
      </c>
      <c r="BI21" s="4438">
        <f t="shared" si="3"/>
        <v>36.017956570867611</v>
      </c>
      <c r="BJ21" s="4438">
        <f t="shared" si="4"/>
        <v>40.058875260119734</v>
      </c>
      <c r="BK21" s="4438">
        <f t="shared" si="5"/>
        <v>37.284111093499945</v>
      </c>
      <c r="BL21" s="4438">
        <f t="shared" si="6"/>
        <v>31.845573326925141</v>
      </c>
      <c r="BM21" s="4438">
        <f t="shared" si="7"/>
        <v>1.022583762392437</v>
      </c>
      <c r="BN21" s="4438">
        <f t="shared" si="8"/>
        <v>0.30677512871773116</v>
      </c>
      <c r="BO21" s="4438">
        <f t="shared" si="9"/>
        <v>0.37324307327323974</v>
      </c>
      <c r="BP21" s="4438">
        <f t="shared" si="10"/>
        <v>0.41511787834321007</v>
      </c>
      <c r="BQ21" s="4438">
        <f t="shared" si="11"/>
        <v>0.38636384552849712</v>
      </c>
      <c r="BR21" s="4438">
        <f t="shared" si="12"/>
        <v>0.33000594121165971</v>
      </c>
      <c r="BS21" s="4438">
        <f t="shared" si="13"/>
        <v>0</v>
      </c>
      <c r="BT21" s="4438">
        <f t="shared" si="14"/>
        <v>0</v>
      </c>
      <c r="BU21" s="4438">
        <f t="shared" si="15"/>
        <v>0</v>
      </c>
      <c r="BV21" s="4438">
        <f t="shared" si="16"/>
        <v>0</v>
      </c>
      <c r="BW21" s="4438">
        <f t="shared" si="17"/>
        <v>0</v>
      </c>
      <c r="BX21" s="4438">
        <f t="shared" si="18"/>
        <v>0</v>
      </c>
      <c r="BY21" s="4438">
        <f t="shared" si="19"/>
        <v>0</v>
      </c>
      <c r="BZ21" s="4438">
        <f t="shared" si="20"/>
        <v>0</v>
      </c>
      <c r="CA21" s="4438">
        <f t="shared" si="21"/>
        <v>0</v>
      </c>
      <c r="CB21" s="4438">
        <f t="shared" si="22"/>
        <v>0</v>
      </c>
      <c r="CC21" s="4438">
        <f t="shared" si="23"/>
        <v>0</v>
      </c>
      <c r="CD21" s="4438">
        <f t="shared" si="24"/>
        <v>0</v>
      </c>
      <c r="CE21" s="4438">
        <f t="shared" si="25"/>
        <v>0</v>
      </c>
      <c r="CF21" s="4438">
        <f t="shared" si="26"/>
        <v>0</v>
      </c>
      <c r="CG21" s="4438">
        <f t="shared" si="27"/>
        <v>0</v>
      </c>
      <c r="CH21" s="4438">
        <f t="shared" si="28"/>
        <v>0</v>
      </c>
      <c r="CI21" s="4438">
        <f t="shared" si="29"/>
        <v>0</v>
      </c>
      <c r="CJ21" s="4438">
        <f t="shared" si="30"/>
        <v>0</v>
      </c>
    </row>
    <row r="22" spans="1:88" ht="15.95" customHeight="1">
      <c r="A22" s="816" t="s">
        <v>145</v>
      </c>
      <c r="B22" s="871" t="s">
        <v>236</v>
      </c>
      <c r="C22" s="1086">
        <f>'12. Разходи'!C22</f>
        <v>7</v>
      </c>
      <c r="D22" s="882">
        <f>'12. Разходи'!D22-'12. Разходи'!$C22</f>
        <v>0.49000000000000021</v>
      </c>
      <c r="E22" s="1095">
        <f>IFERROR(('12. Разходи'!D22-'12. Разходи'!$C22)/'12. Разходи'!$C22,0)</f>
        <v>7.0000000000000034E-2</v>
      </c>
      <c r="F22" s="1110">
        <f>'12. Разходи'!E22-'12. Разходи'!$C22</f>
        <v>0.71470000000000056</v>
      </c>
      <c r="G22" s="1095">
        <f>IFERROR(('12. Разходи'!E22-'12. Разходи'!$C22)/'12. Разходи'!$C22,0)</f>
        <v>0.10210000000000008</v>
      </c>
      <c r="H22" s="1110">
        <f>'12. Разходи'!F22-'12. Разходи'!$C22</f>
        <v>0.94614100000000079</v>
      </c>
      <c r="I22" s="1095">
        <f>IFERROR(('12. Разходи'!F22-'12. Разходи'!$C22)/'12. Разходи'!$C22,0)</f>
        <v>0.13516300000000012</v>
      </c>
      <c r="J22" s="1110">
        <f>'12. Разходи'!G22-'12. Разходи'!$C22</f>
        <v>1.1845252300000002</v>
      </c>
      <c r="K22" s="1095">
        <f>IFERROR(('12. Разходи'!G22-'12. Разходи'!$C22)/'12. Разходи'!$C22,0)</f>
        <v>0.16921789000000004</v>
      </c>
      <c r="L22" s="1110">
        <f>'12. Разходи'!H22-'12. Разходи'!$C22</f>
        <v>1.4300609869000009</v>
      </c>
      <c r="M22" s="1096">
        <f>IFERROR(('12. Разходи'!H22-'12. Разходи'!$C22)/'12. Разходи'!$C22,0)</f>
        <v>0.20429442670000014</v>
      </c>
      <c r="N22" s="1151">
        <f>'12. Разходи'!K22</f>
        <v>0</v>
      </c>
      <c r="O22" s="882">
        <f>'12. Разходи'!L22-'12. Разходи'!$K22</f>
        <v>0</v>
      </c>
      <c r="P22" s="1095">
        <f>IFERROR(('12. Разходи'!L22-'12. Разходи'!$K22)/'12. Разходи'!$K22,0)</f>
        <v>0</v>
      </c>
      <c r="Q22" s="1110">
        <f>'12. Разходи'!M22-'12. Разходи'!$K22</f>
        <v>0</v>
      </c>
      <c r="R22" s="1095">
        <f>IFERROR(('12. Разходи'!M22-'12. Разходи'!$K22)/'12. Разходи'!$K22,0)</f>
        <v>0</v>
      </c>
      <c r="S22" s="1110">
        <f>'12. Разходи'!N22-'12. Разходи'!$K22</f>
        <v>0</v>
      </c>
      <c r="T22" s="1095">
        <f>IFERROR(('12. Разходи'!N22-'12. Разходи'!$K22)/'12. Разходи'!$K22,0)</f>
        <v>0</v>
      </c>
      <c r="U22" s="1110">
        <f>'12. Разходи'!O22-'12. Разходи'!$K22</f>
        <v>0</v>
      </c>
      <c r="V22" s="1095">
        <f>IFERROR(('12. Разходи'!O22-'12. Разходи'!$K22)/'12. Разходи'!$K22,0)</f>
        <v>0</v>
      </c>
      <c r="W22" s="1110">
        <f>'12. Разходи'!P22-'12. Разходи'!$K22</f>
        <v>0</v>
      </c>
      <c r="X22" s="804">
        <f>IFERROR(('12. Разходи'!P22-'12. Разходи'!$K22)/'12. Разходи'!$K22,0)</f>
        <v>0</v>
      </c>
      <c r="Y22" s="1151">
        <f>'12. Разходи'!S22</f>
        <v>0</v>
      </c>
      <c r="Z22" s="882">
        <f>'12. Разходи'!T22-'12. Разходи'!$S22</f>
        <v>0</v>
      </c>
      <c r="AA22" s="1095">
        <f>IFERROR(('12. Разходи'!T22-'12. Разходи'!$S22)/'12. Разходи'!$S22,0)</f>
        <v>0</v>
      </c>
      <c r="AB22" s="1110">
        <f>'12. Разходи'!U22-'12. Разходи'!$S22</f>
        <v>0</v>
      </c>
      <c r="AC22" s="1095">
        <f>IFERROR(('12. Разходи'!U22-'12. Разходи'!$S22)/'12. Разходи'!$S22,0)</f>
        <v>0</v>
      </c>
      <c r="AD22" s="1110">
        <f>'12. Разходи'!V22-'12. Разходи'!$S22</f>
        <v>0</v>
      </c>
      <c r="AE22" s="1095">
        <f>IFERROR(('12. Разходи'!V22-'12. Разходи'!$S22)/'12. Разходи'!$S22,0)</f>
        <v>0</v>
      </c>
      <c r="AF22" s="1110">
        <f>'12. Разходи'!W22-'12. Разходи'!$S22</f>
        <v>0</v>
      </c>
      <c r="AG22" s="1095">
        <f>IFERROR(('12. Разходи'!W22-'12. Разходи'!$S22)/'12. Разходи'!$S22,0)</f>
        <v>0</v>
      </c>
      <c r="AH22" s="1110">
        <f>'12. Разходи'!X22-'12. Разходи'!$S22</f>
        <v>0</v>
      </c>
      <c r="AI22" s="804">
        <f>IFERROR(('12. Разходи'!X22-'12. Разходи'!$S22)/'12. Разходи'!$S22,0)</f>
        <v>0</v>
      </c>
      <c r="AJ22" s="1151">
        <f>'12. Разходи'!AA22</f>
        <v>0</v>
      </c>
      <c r="AK22" s="1115">
        <f>'12. Разходи'!AB22-'12. Разходи'!$AA22</f>
        <v>0</v>
      </c>
      <c r="AL22" s="1095">
        <f>IFERROR(('12. Разходи'!AB22-'12. Разходи'!$AA22)/'12. Разходи'!$AA22,0)</f>
        <v>0</v>
      </c>
      <c r="AM22" s="882">
        <f>'12. Разходи'!AC22-'12. Разходи'!$AA22</f>
        <v>0</v>
      </c>
      <c r="AN22" s="1103">
        <f>IFERROR(('12. Разходи'!AC22-'12. Разходи'!$AA22)/'12. Разходи'!$AA22,0)</f>
        <v>0</v>
      </c>
      <c r="AO22" s="882">
        <f>'12. Разходи'!AD22-'12. Разходи'!$AA22</f>
        <v>0</v>
      </c>
      <c r="AP22" s="1103">
        <f>IFERROR(('12. Разходи'!AD22-'12. Разходи'!$AA22)/'12. Разходи'!$AA22,0)</f>
        <v>0</v>
      </c>
      <c r="AQ22" s="882">
        <f>'12. Разходи'!AE22-'12. Разходи'!$AA22</f>
        <v>0</v>
      </c>
      <c r="AR22" s="1102">
        <f>IFERROR(('12. Разходи'!AE22-'12. Разходи'!$AA22)/'12. Разходи'!$AA22,0)</f>
        <v>0</v>
      </c>
      <c r="AS22" s="1110">
        <f>'12. Разходи'!AF22-'12. Разходи'!$AA22</f>
        <v>0</v>
      </c>
      <c r="AT22" s="1157">
        <f>IFERROR(('12. Разходи'!AF22-'12. Разходи'!$AA22)/'12. Разходи'!$AA22,0)</f>
        <v>0</v>
      </c>
      <c r="AU22" s="1151">
        <f>'12. Разходи'!AI22</f>
        <v>0</v>
      </c>
      <c r="AV22" s="1115">
        <f>'12. Разходи'!AJ22-'12. Разходи'!$AI22</f>
        <v>0</v>
      </c>
      <c r="AW22" s="1095">
        <f>IFERROR(('12. Разходи'!AJ22-'12. Разходи'!$AI22)/'12. Разходи'!$AI22,0)</f>
        <v>0</v>
      </c>
      <c r="AX22" s="882">
        <f>'12. Разходи'!AK22-'12. Разходи'!$AI22</f>
        <v>0</v>
      </c>
      <c r="AY22" s="1103">
        <f>IFERROR(('12. Разходи'!AK22-'12. Разходи'!$AI22)/'12. Разходи'!$AI22,0)</f>
        <v>0</v>
      </c>
      <c r="AZ22" s="882">
        <f>'12. Разходи'!AL22-'12. Разходи'!$AI22</f>
        <v>0</v>
      </c>
      <c r="BA22" s="1103">
        <f>IFERROR(('12. Разходи'!AL22-'12. Разходи'!$AI22)/'12. Разходи'!$AI22,0)</f>
        <v>0</v>
      </c>
      <c r="BB22" s="882">
        <f>'12. Разходи'!AM22-'12. Разходи'!$AI22</f>
        <v>0</v>
      </c>
      <c r="BC22" s="1102">
        <f>IFERROR(('12. Разходи'!AM22-'12. Разходи'!$AI22)/'12. Разходи'!$AI22,0)</f>
        <v>0</v>
      </c>
      <c r="BD22" s="1110">
        <f>'12. Разходи'!AN22-'12. Разходи'!$AI22</f>
        <v>0</v>
      </c>
      <c r="BE22" s="1157">
        <f>IFERROR(('12. Разходи'!AN22-'12. Разходи'!$AI22)/'12. Разходи'!$AI22,0)</f>
        <v>0</v>
      </c>
      <c r="BF22" s="4422"/>
      <c r="BG22" s="4438">
        <f t="shared" si="1"/>
        <v>3.5790431683735293</v>
      </c>
      <c r="BH22" s="4438">
        <f t="shared" si="2"/>
        <v>0.25053302178614717</v>
      </c>
      <c r="BI22" s="4438">
        <f t="shared" si="3"/>
        <v>0.36542030749093762</v>
      </c>
      <c r="BJ22" s="4438">
        <f t="shared" si="4"/>
        <v>0.48375421176687178</v>
      </c>
      <c r="BK22" s="4438">
        <f t="shared" si="5"/>
        <v>0.6056381331710835</v>
      </c>
      <c r="BL22" s="4438">
        <f t="shared" si="6"/>
        <v>0.73117857221742222</v>
      </c>
      <c r="BM22" s="4438">
        <f t="shared" si="7"/>
        <v>0</v>
      </c>
      <c r="BN22" s="4438">
        <f t="shared" si="8"/>
        <v>0</v>
      </c>
      <c r="BO22" s="4438">
        <f t="shared" si="9"/>
        <v>0</v>
      </c>
      <c r="BP22" s="4438">
        <f t="shared" si="10"/>
        <v>0</v>
      </c>
      <c r="BQ22" s="4438">
        <f t="shared" si="11"/>
        <v>0</v>
      </c>
      <c r="BR22" s="4438">
        <f t="shared" si="12"/>
        <v>0</v>
      </c>
      <c r="BS22" s="4438">
        <f t="shared" si="13"/>
        <v>0</v>
      </c>
      <c r="BT22" s="4438">
        <f t="shared" si="14"/>
        <v>0</v>
      </c>
      <c r="BU22" s="4438">
        <f t="shared" si="15"/>
        <v>0</v>
      </c>
      <c r="BV22" s="4438">
        <f t="shared" si="16"/>
        <v>0</v>
      </c>
      <c r="BW22" s="4438">
        <f t="shared" si="17"/>
        <v>0</v>
      </c>
      <c r="BX22" s="4438">
        <f t="shared" si="18"/>
        <v>0</v>
      </c>
      <c r="BY22" s="4438">
        <f t="shared" si="19"/>
        <v>0</v>
      </c>
      <c r="BZ22" s="4438">
        <f t="shared" si="20"/>
        <v>0</v>
      </c>
      <c r="CA22" s="4438">
        <f t="shared" si="21"/>
        <v>0</v>
      </c>
      <c r="CB22" s="4438">
        <f t="shared" si="22"/>
        <v>0</v>
      </c>
      <c r="CC22" s="4438">
        <f t="shared" si="23"/>
        <v>0</v>
      </c>
      <c r="CD22" s="4438">
        <f t="shared" si="24"/>
        <v>0</v>
      </c>
      <c r="CE22" s="4438">
        <f t="shared" si="25"/>
        <v>0</v>
      </c>
      <c r="CF22" s="4438">
        <f t="shared" si="26"/>
        <v>0</v>
      </c>
      <c r="CG22" s="4438">
        <f t="shared" si="27"/>
        <v>0</v>
      </c>
      <c r="CH22" s="4438">
        <f t="shared" si="28"/>
        <v>0</v>
      </c>
      <c r="CI22" s="4438">
        <f t="shared" si="29"/>
        <v>0</v>
      </c>
      <c r="CJ22" s="4438">
        <f t="shared" si="30"/>
        <v>0</v>
      </c>
    </row>
    <row r="23" spans="1:88" ht="15.95" customHeight="1">
      <c r="A23" s="816" t="s">
        <v>147</v>
      </c>
      <c r="B23" s="871" t="s">
        <v>237</v>
      </c>
      <c r="C23" s="1086">
        <f>'12. Разходи'!C23</f>
        <v>33</v>
      </c>
      <c r="D23" s="882">
        <f>'12. Разходи'!D23-'12. Разходи'!$C23</f>
        <v>2.3100000000000023</v>
      </c>
      <c r="E23" s="1095">
        <f>IFERROR(('12. Разходи'!D23-'12. Разходи'!$C23)/'12. Разходи'!$C23,0)</f>
        <v>7.0000000000000062E-2</v>
      </c>
      <c r="F23" s="1110">
        <f>'12. Разходи'!E23-'12. Разходи'!$C23</f>
        <v>3.3693000000000026</v>
      </c>
      <c r="G23" s="1095">
        <f>IFERROR(('12. Разходи'!E23-'12. Разходи'!$C23)/'12. Разходи'!$C23,0)</f>
        <v>0.10210000000000008</v>
      </c>
      <c r="H23" s="1110">
        <f>'12. Разходи'!F23-'12. Разходи'!$C23</f>
        <v>4.4603790000000032</v>
      </c>
      <c r="I23" s="1095">
        <f>IFERROR(('12. Разходи'!F23-'12. Разходи'!$C23)/'12. Разходи'!$C23,0)</f>
        <v>0.13516300000000009</v>
      </c>
      <c r="J23" s="1110">
        <f>'12. Разходи'!G23-'12. Разходи'!$C23</f>
        <v>5.5841903700000017</v>
      </c>
      <c r="K23" s="1095">
        <f>IFERROR(('12. Разходи'!G23-'12. Разходи'!$C23)/'12. Разходи'!$C23,0)</f>
        <v>0.16921789000000007</v>
      </c>
      <c r="L23" s="1110">
        <f>'12. Разходи'!H23-'12. Разходи'!$C23</f>
        <v>6.7417160811000016</v>
      </c>
      <c r="M23" s="1096">
        <f>IFERROR(('12. Разходи'!H23-'12. Разходи'!$C23)/'12. Разходи'!$C23,0)</f>
        <v>0.20429442670000006</v>
      </c>
      <c r="N23" s="1151">
        <f>'12. Разходи'!K23</f>
        <v>1</v>
      </c>
      <c r="O23" s="882">
        <f>'12. Разходи'!L23-'12. Разходи'!$K23</f>
        <v>7.0000000000000062E-2</v>
      </c>
      <c r="P23" s="1095">
        <f>IFERROR(('12. Разходи'!L23-'12. Разходи'!$K23)/'12. Разходи'!$K23,0)</f>
        <v>7.0000000000000062E-2</v>
      </c>
      <c r="Q23" s="1110">
        <f>'12. Разходи'!M23-'12. Разходи'!$K23</f>
        <v>0.10210000000000008</v>
      </c>
      <c r="R23" s="1095">
        <f>IFERROR(('12. Разходи'!M23-'12. Разходи'!$K23)/'12. Разходи'!$K23,0)</f>
        <v>0.10210000000000008</v>
      </c>
      <c r="S23" s="1110">
        <f>'12. Разходи'!N23-'12. Разходи'!$K23</f>
        <v>0.13516300000000014</v>
      </c>
      <c r="T23" s="1095">
        <f>IFERROR(('12. Разходи'!N23-'12. Разходи'!$K23)/'12. Разходи'!$K23,0)</f>
        <v>0.13516300000000014</v>
      </c>
      <c r="U23" s="1110">
        <f>'12. Разходи'!O23-'12. Разходи'!$K23</f>
        <v>0.16921789000000009</v>
      </c>
      <c r="V23" s="1095">
        <f>IFERROR(('12. Разходи'!O23-'12. Разходи'!$K23)/'12. Разходи'!$K23,0)</f>
        <v>0.16921789000000009</v>
      </c>
      <c r="W23" s="1110">
        <f>'12. Разходи'!P23-'12. Разходи'!$K23</f>
        <v>0.2042944267000002</v>
      </c>
      <c r="X23" s="804">
        <f>IFERROR(('12. Разходи'!P23-'12. Разходи'!$K23)/'12. Разходи'!$K23,0)</f>
        <v>0.2042944267000002</v>
      </c>
      <c r="Y23" s="1151">
        <f>'12. Разходи'!S23</f>
        <v>2</v>
      </c>
      <c r="Z23" s="882">
        <f>'12. Разходи'!T23-'12. Разходи'!$S23</f>
        <v>0.14000000000000012</v>
      </c>
      <c r="AA23" s="1095">
        <f>IFERROR(('12. Разходи'!T23-'12. Разходи'!$S23)/'12. Разходи'!$S23,0)</f>
        <v>7.0000000000000062E-2</v>
      </c>
      <c r="AB23" s="1110">
        <f>'12. Разходи'!U23-'12. Разходи'!$S23</f>
        <v>0.20420000000000016</v>
      </c>
      <c r="AC23" s="1095">
        <f>IFERROR(('12. Разходи'!U23-'12. Разходи'!$S23)/'12. Разходи'!$S23,0)</f>
        <v>0.10210000000000008</v>
      </c>
      <c r="AD23" s="1110">
        <f>'12. Разходи'!V23-'12. Разходи'!$S23</f>
        <v>0.27032600000000029</v>
      </c>
      <c r="AE23" s="1095">
        <f>IFERROR(('12. Разходи'!V23-'12. Разходи'!$S23)/'12. Разходи'!$S23,0)</f>
        <v>0.13516300000000014</v>
      </c>
      <c r="AF23" s="1110">
        <f>'12. Разходи'!W23-'12. Разходи'!$S23</f>
        <v>0.33843578000000019</v>
      </c>
      <c r="AG23" s="1095">
        <f>IFERROR(('12. Разходи'!W23-'12. Разходи'!$S23)/'12. Разходи'!$S23,0)</f>
        <v>0.16921789000000009</v>
      </c>
      <c r="AH23" s="1110">
        <f>'12. Разходи'!X23-'12. Разходи'!$S23</f>
        <v>0.4085888534000004</v>
      </c>
      <c r="AI23" s="804">
        <f>IFERROR(('12. Разходи'!X23-'12. Разходи'!$S23)/'12. Разходи'!$S23,0)</f>
        <v>0.2042944267000002</v>
      </c>
      <c r="AJ23" s="1151">
        <f>'12. Разходи'!AA23</f>
        <v>0</v>
      </c>
      <c r="AK23" s="1115">
        <f>'12. Разходи'!AB23-'12. Разходи'!$AA23</f>
        <v>0</v>
      </c>
      <c r="AL23" s="1095">
        <f>IFERROR(('12. Разходи'!AB23-'12. Разходи'!$AA23)/'12. Разходи'!$AA23,0)</f>
        <v>0</v>
      </c>
      <c r="AM23" s="882">
        <f>'12. Разходи'!AC23-'12. Разходи'!$AA23</f>
        <v>0</v>
      </c>
      <c r="AN23" s="1103">
        <f>IFERROR(('12. Разходи'!AC23-'12. Разходи'!$AA23)/'12. Разходи'!$AA23,0)</f>
        <v>0</v>
      </c>
      <c r="AO23" s="882">
        <f>'12. Разходи'!AD23-'12. Разходи'!$AA23</f>
        <v>0</v>
      </c>
      <c r="AP23" s="1103">
        <f>IFERROR(('12. Разходи'!AD23-'12. Разходи'!$AA23)/'12. Разходи'!$AA23,0)</f>
        <v>0</v>
      </c>
      <c r="AQ23" s="882">
        <f>'12. Разходи'!AE23-'12. Разходи'!$AA23</f>
        <v>0</v>
      </c>
      <c r="AR23" s="1102">
        <f>IFERROR(('12. Разходи'!AE23-'12. Разходи'!$AA23)/'12. Разходи'!$AA23,0)</f>
        <v>0</v>
      </c>
      <c r="AS23" s="1110">
        <f>'12. Разходи'!AF23-'12. Разходи'!$AA23</f>
        <v>0</v>
      </c>
      <c r="AT23" s="1157">
        <f>IFERROR(('12. Разходи'!AF23-'12. Разходи'!$AA23)/'12. Разходи'!$AA23,0)</f>
        <v>0</v>
      </c>
      <c r="AU23" s="1151">
        <f>'12. Разходи'!AI23</f>
        <v>0</v>
      </c>
      <c r="AV23" s="1115">
        <f>'12. Разходи'!AJ23-'12. Разходи'!$AI23</f>
        <v>0</v>
      </c>
      <c r="AW23" s="1095">
        <f>IFERROR(('12. Разходи'!AJ23-'12. Разходи'!$AI23)/'12. Разходи'!$AI23,0)</f>
        <v>0</v>
      </c>
      <c r="AX23" s="882">
        <f>'12. Разходи'!AK23-'12. Разходи'!$AI23</f>
        <v>0</v>
      </c>
      <c r="AY23" s="1103">
        <f>IFERROR(('12. Разходи'!AK23-'12. Разходи'!$AI23)/'12. Разходи'!$AI23,0)</f>
        <v>0</v>
      </c>
      <c r="AZ23" s="882">
        <f>'12. Разходи'!AL23-'12. Разходи'!$AI23</f>
        <v>0</v>
      </c>
      <c r="BA23" s="1103">
        <f>IFERROR(('12. Разходи'!AL23-'12. Разходи'!$AI23)/'12. Разходи'!$AI23,0)</f>
        <v>0</v>
      </c>
      <c r="BB23" s="882">
        <f>'12. Разходи'!AM23-'12. Разходи'!$AI23</f>
        <v>0</v>
      </c>
      <c r="BC23" s="1102">
        <f>IFERROR(('12. Разходи'!AM23-'12. Разходи'!$AI23)/'12. Разходи'!$AI23,0)</f>
        <v>0</v>
      </c>
      <c r="BD23" s="1110">
        <f>'12. Разходи'!AN23-'12. Разходи'!$AI23</f>
        <v>0</v>
      </c>
      <c r="BE23" s="1157">
        <f>IFERROR(('12. Разходи'!AN23-'12. Разходи'!$AI23)/'12. Разходи'!$AI23,0)</f>
        <v>0</v>
      </c>
      <c r="BF23" s="4422"/>
      <c r="BG23" s="4438">
        <f t="shared" si="1"/>
        <v>16.87263207947521</v>
      </c>
      <c r="BH23" s="4438">
        <f t="shared" si="2"/>
        <v>1.181084245563266</v>
      </c>
      <c r="BI23" s="4438">
        <f t="shared" si="3"/>
        <v>1.7226957353144203</v>
      </c>
      <c r="BJ23" s="4438">
        <f t="shared" si="4"/>
        <v>2.2805555697581097</v>
      </c>
      <c r="BK23" s="4438">
        <f t="shared" si="5"/>
        <v>2.8551511992351082</v>
      </c>
      <c r="BL23" s="4438">
        <f t="shared" si="6"/>
        <v>3.4469846975964176</v>
      </c>
      <c r="BM23" s="4438">
        <f t="shared" si="7"/>
        <v>0.51129188119621849</v>
      </c>
      <c r="BN23" s="4438">
        <f t="shared" si="8"/>
        <v>3.579043168373533E-2</v>
      </c>
      <c r="BO23" s="4438">
        <f t="shared" si="9"/>
        <v>5.220290107013395E-2</v>
      </c>
      <c r="BP23" s="4438">
        <f t="shared" si="10"/>
        <v>6.9107744538124558E-2</v>
      </c>
      <c r="BQ23" s="4438">
        <f t="shared" si="11"/>
        <v>8.651973331015482E-2</v>
      </c>
      <c r="BR23" s="4438">
        <f t="shared" si="12"/>
        <v>0.10445408174534607</v>
      </c>
      <c r="BS23" s="4438">
        <f t="shared" si="13"/>
        <v>1.022583762392437</v>
      </c>
      <c r="BT23" s="4438">
        <f t="shared" si="14"/>
        <v>7.158086336747066E-2</v>
      </c>
      <c r="BU23" s="4438">
        <f t="shared" si="15"/>
        <v>0.1044058021402679</v>
      </c>
      <c r="BV23" s="4438">
        <f t="shared" si="16"/>
        <v>0.13821548907624912</v>
      </c>
      <c r="BW23" s="4438">
        <f t="shared" si="17"/>
        <v>0.17303946662030964</v>
      </c>
      <c r="BX23" s="4438">
        <f t="shared" si="18"/>
        <v>0.20890816349069213</v>
      </c>
      <c r="BY23" s="4438">
        <f t="shared" si="19"/>
        <v>0</v>
      </c>
      <c r="BZ23" s="4438">
        <f t="shared" si="20"/>
        <v>0</v>
      </c>
      <c r="CA23" s="4438">
        <f t="shared" si="21"/>
        <v>0</v>
      </c>
      <c r="CB23" s="4438">
        <f t="shared" si="22"/>
        <v>0</v>
      </c>
      <c r="CC23" s="4438">
        <f t="shared" si="23"/>
        <v>0</v>
      </c>
      <c r="CD23" s="4438">
        <f t="shared" si="24"/>
        <v>0</v>
      </c>
      <c r="CE23" s="4438">
        <f t="shared" si="25"/>
        <v>0</v>
      </c>
      <c r="CF23" s="4438">
        <f t="shared" si="26"/>
        <v>0</v>
      </c>
      <c r="CG23" s="4438">
        <f t="shared" si="27"/>
        <v>0</v>
      </c>
      <c r="CH23" s="4438">
        <f t="shared" si="28"/>
        <v>0</v>
      </c>
      <c r="CI23" s="4438">
        <f t="shared" si="29"/>
        <v>0</v>
      </c>
      <c r="CJ23" s="4438">
        <f t="shared" si="30"/>
        <v>0</v>
      </c>
    </row>
    <row r="24" spans="1:88" s="675" customFormat="1" ht="15.95" customHeight="1">
      <c r="A24" s="816" t="s">
        <v>149</v>
      </c>
      <c r="B24" s="871" t="s">
        <v>642</v>
      </c>
      <c r="C24" s="1086">
        <f>'12. Разходи'!C24</f>
        <v>1013.02273</v>
      </c>
      <c r="D24" s="1106">
        <f>'12. Разходи'!D24-'12. Разходи'!$C24</f>
        <v>303.90681900000016</v>
      </c>
      <c r="E24" s="855">
        <f>IFERROR(('12. Разходи'!D24-'12. Разходи'!$C24)/'12. Разходи'!$C24,0)</f>
        <v>0.30000000000000016</v>
      </c>
      <c r="F24" s="1107">
        <f>'12. Разходи'!E24-'12. Разходи'!$C24</f>
        <v>369.75329645000022</v>
      </c>
      <c r="G24" s="855">
        <f>IFERROR(('12. Разходи'!E24-'12. Разходи'!$C24)/'12. Разходи'!$C24,0)</f>
        <v>0.36500000000000021</v>
      </c>
      <c r="H24" s="1107">
        <f>'12. Разходи'!F24-'12. Разходи'!$C24</f>
        <v>411.23657724350016</v>
      </c>
      <c r="I24" s="855">
        <f>IFERROR(('12. Разходи'!F24-'12. Разходи'!$C24)/'12. Разходи'!$C24,0)</f>
        <v>0.40595000000000014</v>
      </c>
      <c r="J24" s="1107">
        <f>'12. Разходи'!G24-'12. Разходи'!$C24</f>
        <v>382.75139109863005</v>
      </c>
      <c r="K24" s="855">
        <f>IFERROR(('12. Разходи'!G24-'12. Разходи'!$C24)/'12. Разходи'!$C24,0)</f>
        <v>0.37783100000000003</v>
      </c>
      <c r="L24" s="1107">
        <f>'12. Разходи'!H24-'12. Разходи'!$C24</f>
        <v>326.92042625468491</v>
      </c>
      <c r="M24" s="884">
        <f>IFERROR(('12. Разходи'!H24-'12. Разходи'!$C24)/'12. Разходи'!$C24,0)</f>
        <v>0.32271776000000008</v>
      </c>
      <c r="N24" s="1137">
        <f>'12. Разходи'!K24</f>
        <v>14.198090000000001</v>
      </c>
      <c r="O24" s="1106">
        <f>'12. Разходи'!L24-'12. Разходи'!$K24</f>
        <v>4.2594270000000023</v>
      </c>
      <c r="P24" s="855">
        <f>IFERROR(('12. Разходи'!L24-'12. Разходи'!$K24)/'12. Разходи'!$K24,0)</f>
        <v>0.30000000000000016</v>
      </c>
      <c r="Q24" s="1107">
        <f>'12. Разходи'!M24-'12. Разходи'!$K24</f>
        <v>5.1823028500000028</v>
      </c>
      <c r="R24" s="855">
        <f>IFERROR(('12. Разходи'!M24-'12. Разходи'!$K24)/'12. Разходи'!$K24,0)</f>
        <v>0.36500000000000016</v>
      </c>
      <c r="S24" s="1107">
        <f>'12. Разходи'!N24-'12. Разходи'!$K24</f>
        <v>5.7637146355000048</v>
      </c>
      <c r="T24" s="855">
        <f>IFERROR(('12. Разходи'!N24-'12. Разходи'!$K24)/'12. Разходи'!$K24,0)</f>
        <v>0.40595000000000031</v>
      </c>
      <c r="U24" s="1107">
        <f>'12. Разходи'!O24-'12. Разходи'!$K24</f>
        <v>5.3644785427900032</v>
      </c>
      <c r="V24" s="855">
        <f>IFERROR(('12. Разходи'!O24-'12. Разходи'!$K24)/'12. Разходи'!$K24,0)</f>
        <v>0.37783100000000019</v>
      </c>
      <c r="W24" s="1107">
        <f>'12. Разходи'!P24-'12. Разходи'!$K24</f>
        <v>4.5819758010784035</v>
      </c>
      <c r="X24" s="803">
        <f>IFERROR(('12. Разходи'!P24-'12. Разходи'!$K24)/'12. Разходи'!$K24,0)</f>
        <v>0.32271776000000024</v>
      </c>
      <c r="Y24" s="1137">
        <f>'12. Разходи'!S24</f>
        <v>14.866400000000001</v>
      </c>
      <c r="Z24" s="1106">
        <f>'12. Разходи'!T24-'12. Разходи'!$S24</f>
        <v>4.4599200000000021</v>
      </c>
      <c r="AA24" s="855">
        <f>IFERROR(('12. Разходи'!T24-'12. Разходи'!$S24)/'12. Разходи'!$S24,0)</f>
        <v>0.30000000000000016</v>
      </c>
      <c r="AB24" s="1107">
        <f>'12. Разходи'!U24-'12. Разходи'!$S24</f>
        <v>5.4262360000000047</v>
      </c>
      <c r="AC24" s="855">
        <f>IFERROR(('12. Разходи'!U24-'12. Разходи'!$S24)/'12. Разходи'!$S24,0)</f>
        <v>0.36500000000000032</v>
      </c>
      <c r="AD24" s="1107">
        <f>'12. Разходи'!V24-'12. Разходи'!$S24</f>
        <v>6.0350150800000062</v>
      </c>
      <c r="AE24" s="855">
        <f>IFERROR(('12. Разходи'!V24-'12. Разходи'!$S24)/'12. Разходи'!$S24,0)</f>
        <v>0.40595000000000042</v>
      </c>
      <c r="AF24" s="1107">
        <f>'12. Разходи'!W24-'12. Разходи'!$S24</f>
        <v>5.6169867784000065</v>
      </c>
      <c r="AG24" s="855">
        <f>IFERROR(('12. Разходи'!W24-'12. Разходи'!$S24)/'12. Разходи'!$S24,0)</f>
        <v>0.37783100000000042</v>
      </c>
      <c r="AH24" s="1107">
        <f>'12. Разходи'!X24-'12. Разходи'!$S24</f>
        <v>4.7976513072640063</v>
      </c>
      <c r="AI24" s="803">
        <f>IFERROR(('12. Разходи'!X24-'12. Разходи'!$S24)/'12. Разходи'!$S24,0)</f>
        <v>0.32271776000000041</v>
      </c>
      <c r="AJ24" s="1137">
        <f>'12. Разходи'!AA24</f>
        <v>0</v>
      </c>
      <c r="AK24" s="1117">
        <f>'12. Разходи'!AB24-'12. Разходи'!$AA24</f>
        <v>0</v>
      </c>
      <c r="AL24" s="855">
        <f>IFERROR(('12. Разходи'!AB24-'12. Разходи'!$AA24)/'12. Разходи'!$AA24,0)</f>
        <v>0</v>
      </c>
      <c r="AM24" s="1107">
        <f>'12. Разходи'!AC24-'12. Разходи'!$AA24</f>
        <v>0</v>
      </c>
      <c r="AN24" s="855">
        <f>IFERROR(('12. Разходи'!AC24-'12. Разходи'!$AA24)/'12. Разходи'!$AA24,0)</f>
        <v>0</v>
      </c>
      <c r="AO24" s="1107">
        <f>'12. Разходи'!AD24-'12. Разходи'!$AA24</f>
        <v>0</v>
      </c>
      <c r="AP24" s="855">
        <f>IFERROR(('12. Разходи'!AD24-'12. Разходи'!$AA24)/'12. Разходи'!$AA24,0)</f>
        <v>0</v>
      </c>
      <c r="AQ24" s="1107">
        <f>'12. Разходи'!AE24-'12. Разходи'!$AA24</f>
        <v>0</v>
      </c>
      <c r="AR24" s="861">
        <f>IFERROR(('12. Разходи'!AE24-'12. Разходи'!$AA24)/'12. Разходи'!$AA24,0)</f>
        <v>0</v>
      </c>
      <c r="AS24" s="1107">
        <f>'12. Разходи'!AF24-'12. Разходи'!$AA24</f>
        <v>0</v>
      </c>
      <c r="AT24" s="866">
        <f>IFERROR(('12. Разходи'!AF24-'12. Разходи'!$AA24)/'12. Разходи'!$AA24,0)</f>
        <v>0</v>
      </c>
      <c r="AU24" s="1137">
        <f>'12. Разходи'!AI24</f>
        <v>0</v>
      </c>
      <c r="AV24" s="1117">
        <f>'12. Разходи'!AJ24-'12. Разходи'!$AI24</f>
        <v>0</v>
      </c>
      <c r="AW24" s="855">
        <f>IFERROR(('12. Разходи'!AJ24-'12. Разходи'!$AI24)/'12. Разходи'!$AI24,0)</f>
        <v>0</v>
      </c>
      <c r="AX24" s="1107">
        <f>'12. Разходи'!AK24-'12. Разходи'!$AI24</f>
        <v>0</v>
      </c>
      <c r="AY24" s="855">
        <f>IFERROR(('12. Разходи'!AK24-'12. Разходи'!$AI24)/'12. Разходи'!$AI24,0)</f>
        <v>0</v>
      </c>
      <c r="AZ24" s="1107">
        <f>'12. Разходи'!AL24-'12. Разходи'!$AI24</f>
        <v>0</v>
      </c>
      <c r="BA24" s="855">
        <f>IFERROR(('12. Разходи'!AL24-'12. Разходи'!$AI24)/'12. Разходи'!$AI24,0)</f>
        <v>0</v>
      </c>
      <c r="BB24" s="1107">
        <f>'12. Разходи'!AM24-'12. Разходи'!$AI24</f>
        <v>0</v>
      </c>
      <c r="BC24" s="861">
        <f>IFERROR(('12. Разходи'!AM24-'12. Разходи'!$AI24)/'12. Разходи'!$AI24,0)</f>
        <v>0</v>
      </c>
      <c r="BD24" s="1107">
        <f>'12. Разходи'!AN24-'12. Разходи'!$AI24</f>
        <v>0</v>
      </c>
      <c r="BE24" s="866">
        <f>IFERROR(('12. Разходи'!AN24-'12. Разходи'!$AI24)/'12. Разходи'!$AI24,0)</f>
        <v>0</v>
      </c>
      <c r="BF24" s="4422"/>
      <c r="BG24" s="4438">
        <f t="shared" si="1"/>
        <v>517.9502973162289</v>
      </c>
      <c r="BH24" s="4438">
        <f t="shared" si="2"/>
        <v>155.38508919486875</v>
      </c>
      <c r="BI24" s="4438">
        <f t="shared" si="3"/>
        <v>189.05185852042368</v>
      </c>
      <c r="BJ24" s="4438">
        <f t="shared" si="4"/>
        <v>210.26192319552322</v>
      </c>
      <c r="BK24" s="4438">
        <f t="shared" si="5"/>
        <v>195.6976787852881</v>
      </c>
      <c r="BL24" s="4438">
        <f t="shared" si="6"/>
        <v>167.15175974122747</v>
      </c>
      <c r="BM24" s="4438">
        <f t="shared" si="7"/>
        <v>7.2593681454932177</v>
      </c>
      <c r="BN24" s="4438">
        <f t="shared" si="8"/>
        <v>2.1778104436479664</v>
      </c>
      <c r="BO24" s="4438">
        <f t="shared" si="9"/>
        <v>2.6496693731050258</v>
      </c>
      <c r="BP24" s="4438">
        <f t="shared" si="10"/>
        <v>2.9469404986629741</v>
      </c>
      <c r="BQ24" s="4438">
        <f t="shared" si="11"/>
        <v>2.7428143257798498</v>
      </c>
      <c r="BR24" s="4438">
        <f t="shared" si="12"/>
        <v>2.3427270269289271</v>
      </c>
      <c r="BS24" s="4438">
        <f t="shared" si="13"/>
        <v>7.601069622615463</v>
      </c>
      <c r="BT24" s="4438">
        <f t="shared" si="14"/>
        <v>2.2803208867846401</v>
      </c>
      <c r="BU24" s="4438">
        <f t="shared" si="15"/>
        <v>2.7743904122546463</v>
      </c>
      <c r="BV24" s="4438">
        <f t="shared" si="16"/>
        <v>3.0856542133007503</v>
      </c>
      <c r="BW24" s="4438">
        <f t="shared" si="17"/>
        <v>2.8719197365824263</v>
      </c>
      <c r="BX24" s="4438">
        <f t="shared" si="18"/>
        <v>2.4530001622145106</v>
      </c>
      <c r="BY24" s="4438">
        <f t="shared" si="19"/>
        <v>0</v>
      </c>
      <c r="BZ24" s="4438">
        <f t="shared" si="20"/>
        <v>0</v>
      </c>
      <c r="CA24" s="4438">
        <f t="shared" si="21"/>
        <v>0</v>
      </c>
      <c r="CB24" s="4438">
        <f t="shared" si="22"/>
        <v>0</v>
      </c>
      <c r="CC24" s="4438">
        <f t="shared" si="23"/>
        <v>0</v>
      </c>
      <c r="CD24" s="4438">
        <f t="shared" si="24"/>
        <v>0</v>
      </c>
      <c r="CE24" s="4438">
        <f t="shared" si="25"/>
        <v>0</v>
      </c>
      <c r="CF24" s="4438">
        <f t="shared" si="26"/>
        <v>0</v>
      </c>
      <c r="CG24" s="4438">
        <f t="shared" si="27"/>
        <v>0</v>
      </c>
      <c r="CH24" s="4438">
        <f t="shared" si="28"/>
        <v>0</v>
      </c>
      <c r="CI24" s="4438">
        <f t="shared" si="29"/>
        <v>0</v>
      </c>
      <c r="CJ24" s="4438">
        <f t="shared" si="30"/>
        <v>0</v>
      </c>
    </row>
    <row r="25" spans="1:88" ht="15.95" customHeight="1">
      <c r="A25" s="816" t="s">
        <v>151</v>
      </c>
      <c r="B25" s="871" t="s">
        <v>437</v>
      </c>
      <c r="C25" s="1159">
        <f>'12. Разходи'!C25</f>
        <v>15</v>
      </c>
      <c r="D25" s="1108">
        <f>'12. Разходи'!D25-'12. Разходи'!$C25</f>
        <v>1.0500000000000007</v>
      </c>
      <c r="E25" s="856">
        <f>IFERROR(('12. Разходи'!D25-'12. Разходи'!$C25)/'12. Разходи'!$C25,0)</f>
        <v>7.0000000000000048E-2</v>
      </c>
      <c r="F25" s="1109">
        <f>'12. Разходи'!E25-'12. Разходи'!$C25</f>
        <v>1.5315000000000012</v>
      </c>
      <c r="G25" s="856">
        <f>IFERROR(('12. Разходи'!E25-'12. Разходи'!$C25)/'12. Разходи'!$C25,0)</f>
        <v>0.10210000000000008</v>
      </c>
      <c r="H25" s="1109">
        <f>'12. Разходи'!F25-'12. Разходи'!$C25</f>
        <v>2.0274450000000002</v>
      </c>
      <c r="I25" s="856">
        <f>IFERROR(('12. Разходи'!F25-'12. Разходи'!$C25)/'12. Разходи'!$C25,0)</f>
        <v>0.13516300000000001</v>
      </c>
      <c r="J25" s="1109">
        <f>'12. Разходи'!G25-'12. Разходи'!$C25</f>
        <v>2.5382683499999992</v>
      </c>
      <c r="K25" s="856">
        <f>IFERROR(('12. Разходи'!G25-'12. Разходи'!$C25)/'12. Разходи'!$C25,0)</f>
        <v>0.16921788999999995</v>
      </c>
      <c r="L25" s="1109">
        <f>'12. Разходи'!H25-'12. Разходи'!$C25</f>
        <v>3.0644164005000007</v>
      </c>
      <c r="M25" s="860">
        <f>IFERROR(('12. Разходи'!H25-'12. Разходи'!$C25)/'12. Разходи'!$C25,0)</f>
        <v>0.20429442670000006</v>
      </c>
      <c r="N25" s="1138">
        <f>'12. Разходи'!K25</f>
        <v>1</v>
      </c>
      <c r="O25" s="1108">
        <f>'12. Разходи'!L25-'12. Разходи'!$K25</f>
        <v>7.0000000000000062E-2</v>
      </c>
      <c r="P25" s="856">
        <f>IFERROR(('12. Разходи'!L25-'12. Разходи'!$K25)/'12. Разходи'!$K25,0)</f>
        <v>7.0000000000000062E-2</v>
      </c>
      <c r="Q25" s="1109">
        <f>'12. Разходи'!M25-'12. Разходи'!$K25</f>
        <v>0.10210000000000008</v>
      </c>
      <c r="R25" s="856">
        <f>IFERROR(('12. Разходи'!M25-'12. Разходи'!$K25)/'12. Разходи'!$K25,0)</f>
        <v>0.10210000000000008</v>
      </c>
      <c r="S25" s="1109">
        <f>'12. Разходи'!N25-'12. Разходи'!$K25</f>
        <v>0.13516300000000014</v>
      </c>
      <c r="T25" s="856">
        <f>IFERROR(('12. Разходи'!N25-'12. Разходи'!$K25)/'12. Разходи'!$K25,0)</f>
        <v>0.13516300000000014</v>
      </c>
      <c r="U25" s="1109">
        <f>'12. Разходи'!O25-'12. Разходи'!$K25</f>
        <v>0.16921789000000009</v>
      </c>
      <c r="V25" s="856">
        <f>IFERROR(('12. Разходи'!O25-'12. Разходи'!$K25)/'12. Разходи'!$K25,0)</f>
        <v>0.16921789000000009</v>
      </c>
      <c r="W25" s="1109">
        <f>'12. Разходи'!P25-'12. Разходи'!$K25</f>
        <v>0.2042944267000002</v>
      </c>
      <c r="X25" s="701">
        <f>IFERROR(('12. Разходи'!P25-'12. Разходи'!$K25)/'12. Разходи'!$K25,0)</f>
        <v>0.2042944267000002</v>
      </c>
      <c r="Y25" s="1138">
        <f>'12. Разходи'!S25</f>
        <v>3</v>
      </c>
      <c r="Z25" s="1108">
        <f>'12. Разходи'!T25-'12. Разходи'!$S25</f>
        <v>0.20999999999999996</v>
      </c>
      <c r="AA25" s="856">
        <f>IFERROR(('12. Разходи'!T25-'12. Разходи'!$S25)/'12. Разходи'!$S25,0)</f>
        <v>6.9999999999999993E-2</v>
      </c>
      <c r="AB25" s="1109">
        <f>'12. Разходи'!U25-'12. Разходи'!$S25</f>
        <v>0.30630000000000024</v>
      </c>
      <c r="AC25" s="856">
        <f>IFERROR(('12. Разходи'!U25-'12. Разходи'!$S25)/'12. Разходи'!$S25,0)</f>
        <v>0.10210000000000008</v>
      </c>
      <c r="AD25" s="1109">
        <f>'12. Разходи'!V25-'12. Разходи'!$S25</f>
        <v>0.40548900000000021</v>
      </c>
      <c r="AE25" s="856">
        <f>IFERROR(('12. Разходи'!V25-'12. Разходи'!$S25)/'12. Разходи'!$S25,0)</f>
        <v>0.13516300000000006</v>
      </c>
      <c r="AF25" s="1109">
        <f>'12. Разходи'!W25-'12. Разходи'!$S25</f>
        <v>0.50765367000000028</v>
      </c>
      <c r="AG25" s="856">
        <f>IFERROR(('12. Разходи'!W25-'12. Разходи'!$S25)/'12. Разходи'!$S25,0)</f>
        <v>0.16921789000000009</v>
      </c>
      <c r="AH25" s="1109">
        <f>'12. Разходи'!X25-'12. Разходи'!$S25</f>
        <v>0.61288328010000059</v>
      </c>
      <c r="AI25" s="701">
        <f>IFERROR(('12. Разходи'!X25-'12. Разходи'!$S25)/'12. Разходи'!$S25,0)</f>
        <v>0.2042944267000002</v>
      </c>
      <c r="AJ25" s="1138">
        <f>'12. Разходи'!AA25</f>
        <v>0</v>
      </c>
      <c r="AK25" s="1116">
        <f>'12. Разходи'!AB25-'12. Разходи'!$AA25</f>
        <v>0</v>
      </c>
      <c r="AL25" s="856">
        <f>IFERROR(('12. Разходи'!AB25-'12. Разходи'!$AA25)/'12. Разходи'!$AA25,0)</f>
        <v>0</v>
      </c>
      <c r="AM25" s="1109">
        <f>'12. Разходи'!AC25-'12. Разходи'!$AA25</f>
        <v>0</v>
      </c>
      <c r="AN25" s="856">
        <f>IFERROR(('12. Разходи'!AC25-'12. Разходи'!$AA25)/'12. Разходи'!$AA25,0)</f>
        <v>0</v>
      </c>
      <c r="AO25" s="1109">
        <f>'12. Разходи'!AD25-'12. Разходи'!$AA25</f>
        <v>0</v>
      </c>
      <c r="AP25" s="856">
        <f>IFERROR(('12. Разходи'!AD25-'12. Разходи'!$AA25)/'12. Разходи'!$AA25,0)</f>
        <v>0</v>
      </c>
      <c r="AQ25" s="1109">
        <f>'12. Разходи'!AE25-'12. Разходи'!$AA25</f>
        <v>0</v>
      </c>
      <c r="AR25" s="860">
        <f>IFERROR(('12. Разходи'!AE25-'12. Разходи'!$AA25)/'12. Разходи'!$AA25,0)</f>
        <v>0</v>
      </c>
      <c r="AS25" s="1109">
        <f>'12. Разходи'!AF25-'12. Разходи'!$AA25</f>
        <v>0</v>
      </c>
      <c r="AT25" s="701">
        <f>IFERROR(('12. Разходи'!AF25-'12. Разходи'!$AA25)/'12. Разходи'!$AA25,0)</f>
        <v>0</v>
      </c>
      <c r="AU25" s="1138">
        <f>'12. Разходи'!AI25</f>
        <v>0</v>
      </c>
      <c r="AV25" s="1116">
        <f>'12. Разходи'!AJ25-'12. Разходи'!$AI25</f>
        <v>0</v>
      </c>
      <c r="AW25" s="856">
        <f>IFERROR(('12. Разходи'!AJ25-'12. Разходи'!$AI25)/'12. Разходи'!$AI25,0)</f>
        <v>0</v>
      </c>
      <c r="AX25" s="1109">
        <f>'12. Разходи'!AK25-'12. Разходи'!$AI25</f>
        <v>0</v>
      </c>
      <c r="AY25" s="856">
        <f>IFERROR(('12. Разходи'!AK25-'12. Разходи'!$AI25)/'12. Разходи'!$AI25,0)</f>
        <v>0</v>
      </c>
      <c r="AZ25" s="1109">
        <f>'12. Разходи'!AL25-'12. Разходи'!$AI25</f>
        <v>0</v>
      </c>
      <c r="BA25" s="856">
        <f>IFERROR(('12. Разходи'!AL25-'12. Разходи'!$AI25)/'12. Разходи'!$AI25,0)</f>
        <v>0</v>
      </c>
      <c r="BB25" s="1109">
        <f>'12. Разходи'!AM25-'12. Разходи'!$AI25</f>
        <v>0</v>
      </c>
      <c r="BC25" s="860">
        <f>IFERROR(('12. Разходи'!AM25-'12. Разходи'!$AI25)/'12. Разходи'!$AI25,0)</f>
        <v>0</v>
      </c>
      <c r="BD25" s="1109">
        <f>'12. Разходи'!AN25-'12. Разходи'!$AI25</f>
        <v>0</v>
      </c>
      <c r="BE25" s="701">
        <f>IFERROR(('12. Разходи'!AN25-'12. Разходи'!$AI25)/'12. Разходи'!$AI25,0)</f>
        <v>0</v>
      </c>
      <c r="BF25" s="4422"/>
      <c r="BG25" s="4438">
        <f t="shared" si="1"/>
        <v>7.6693782179432777</v>
      </c>
      <c r="BH25" s="4438">
        <f t="shared" si="2"/>
        <v>0.53685647525602975</v>
      </c>
      <c r="BI25" s="4438">
        <f t="shared" si="3"/>
        <v>0.78304351605200928</v>
      </c>
      <c r="BJ25" s="4438">
        <f t="shared" si="4"/>
        <v>1.0366161680718673</v>
      </c>
      <c r="BK25" s="4438">
        <f t="shared" si="5"/>
        <v>1.2977959996523212</v>
      </c>
      <c r="BL25" s="4438">
        <f t="shared" si="6"/>
        <v>1.5668112261801899</v>
      </c>
      <c r="BM25" s="4438">
        <f t="shared" si="7"/>
        <v>0.51129188119621849</v>
      </c>
      <c r="BN25" s="4438">
        <f t="shared" si="8"/>
        <v>3.579043168373533E-2</v>
      </c>
      <c r="BO25" s="4438">
        <f t="shared" si="9"/>
        <v>5.220290107013395E-2</v>
      </c>
      <c r="BP25" s="4438">
        <f t="shared" si="10"/>
        <v>6.9107744538124558E-2</v>
      </c>
      <c r="BQ25" s="4438">
        <f t="shared" si="11"/>
        <v>8.651973331015482E-2</v>
      </c>
      <c r="BR25" s="4438">
        <f t="shared" si="12"/>
        <v>0.10445408174534607</v>
      </c>
      <c r="BS25" s="4438">
        <f t="shared" si="13"/>
        <v>1.5338756435886556</v>
      </c>
      <c r="BT25" s="4438">
        <f t="shared" si="14"/>
        <v>0.10737129505120586</v>
      </c>
      <c r="BU25" s="4438">
        <f t="shared" si="15"/>
        <v>0.15660870321040185</v>
      </c>
      <c r="BV25" s="4438">
        <f t="shared" si="16"/>
        <v>0.20732323361437355</v>
      </c>
      <c r="BW25" s="4438">
        <f t="shared" si="17"/>
        <v>0.25955919993046445</v>
      </c>
      <c r="BX25" s="4438">
        <f t="shared" si="18"/>
        <v>0.31336224523603823</v>
      </c>
      <c r="BY25" s="4438">
        <f t="shared" si="19"/>
        <v>0</v>
      </c>
      <c r="BZ25" s="4438">
        <f t="shared" si="20"/>
        <v>0</v>
      </c>
      <c r="CA25" s="4438">
        <f t="shared" si="21"/>
        <v>0</v>
      </c>
      <c r="CB25" s="4438">
        <f t="shared" si="22"/>
        <v>0</v>
      </c>
      <c r="CC25" s="4438">
        <f t="shared" si="23"/>
        <v>0</v>
      </c>
      <c r="CD25" s="4438">
        <f t="shared" si="24"/>
        <v>0</v>
      </c>
      <c r="CE25" s="4438">
        <f t="shared" si="25"/>
        <v>0</v>
      </c>
      <c r="CF25" s="4438">
        <f t="shared" si="26"/>
        <v>0</v>
      </c>
      <c r="CG25" s="4438">
        <f t="shared" si="27"/>
        <v>0</v>
      </c>
      <c r="CH25" s="4438">
        <f t="shared" si="28"/>
        <v>0</v>
      </c>
      <c r="CI25" s="4438">
        <f t="shared" si="29"/>
        <v>0</v>
      </c>
      <c r="CJ25" s="4438">
        <f t="shared" si="30"/>
        <v>0</v>
      </c>
    </row>
    <row r="26" spans="1:88" ht="15.95" customHeight="1">
      <c r="A26" s="817" t="s">
        <v>438</v>
      </c>
      <c r="B26" s="3089">
        <f>'12. Разходи'!B26</f>
        <v>0</v>
      </c>
      <c r="C26" s="3090">
        <f>'12. Разходи'!C26</f>
        <v>15</v>
      </c>
      <c r="D26" s="882">
        <f>'12. Разходи'!D26-'12. Разходи'!$C26</f>
        <v>1.0500000000000007</v>
      </c>
      <c r="E26" s="1095">
        <f>IFERROR(('12. Разходи'!D26-'12. Разходи'!$C26)/'12. Разходи'!$C26,0)</f>
        <v>7.0000000000000048E-2</v>
      </c>
      <c r="F26" s="1110">
        <f>'12. Разходи'!E26-'12. Разходи'!$C26</f>
        <v>1.5315000000000012</v>
      </c>
      <c r="G26" s="1095">
        <f>IFERROR(('12. Разходи'!E26-'12. Разходи'!$C26)/'12. Разходи'!$C26,0)</f>
        <v>0.10210000000000008</v>
      </c>
      <c r="H26" s="1110">
        <f>'12. Разходи'!F26-'12. Разходи'!$C26</f>
        <v>2.0274450000000002</v>
      </c>
      <c r="I26" s="1095">
        <f>IFERROR(('12. Разходи'!F26-'12. Разходи'!$C26)/'12. Разходи'!$C26,0)</f>
        <v>0.13516300000000001</v>
      </c>
      <c r="J26" s="1110">
        <f>'12. Разходи'!G26-'12. Разходи'!$C26</f>
        <v>2.5382683499999992</v>
      </c>
      <c r="K26" s="1095">
        <f>IFERROR(('12. Разходи'!G26-'12. Разходи'!$C26)/'12. Разходи'!$C26,0)</f>
        <v>0.16921788999999995</v>
      </c>
      <c r="L26" s="1110">
        <f>'12. Разходи'!H26-'12. Разходи'!$C26</f>
        <v>3.0644164005000007</v>
      </c>
      <c r="M26" s="1096">
        <f>IFERROR(('12. Разходи'!H26-'12. Разходи'!$C26)/'12. Разходи'!$C26,0)</f>
        <v>0.20429442670000006</v>
      </c>
      <c r="N26" s="1151">
        <f>'12. Разходи'!K26</f>
        <v>1</v>
      </c>
      <c r="O26" s="882">
        <f>'12. Разходи'!L26-'12. Разходи'!$K26</f>
        <v>7.0000000000000062E-2</v>
      </c>
      <c r="P26" s="1095">
        <f>IFERROR(('12. Разходи'!L26-'12. Разходи'!$K26)/'12. Разходи'!$K26,0)</f>
        <v>7.0000000000000062E-2</v>
      </c>
      <c r="Q26" s="1110">
        <f>'12. Разходи'!M26-'12. Разходи'!$K26</f>
        <v>0.10210000000000008</v>
      </c>
      <c r="R26" s="1095">
        <f>IFERROR(('12. Разходи'!M26-'12. Разходи'!$K26)/'12. Разходи'!$K26,0)</f>
        <v>0.10210000000000008</v>
      </c>
      <c r="S26" s="1110">
        <f>'12. Разходи'!N26-'12. Разходи'!$K26</f>
        <v>0.13516300000000014</v>
      </c>
      <c r="T26" s="1095">
        <f>IFERROR(('12. Разходи'!N26-'12. Разходи'!$K26)/'12. Разходи'!$K26,0)</f>
        <v>0.13516300000000014</v>
      </c>
      <c r="U26" s="1110">
        <f>'12. Разходи'!O26-'12. Разходи'!$K26</f>
        <v>0.16921789000000009</v>
      </c>
      <c r="V26" s="1095">
        <f>IFERROR(('12. Разходи'!O26-'12. Разходи'!$K26)/'12. Разходи'!$K26,0)</f>
        <v>0.16921789000000009</v>
      </c>
      <c r="W26" s="1110">
        <f>'12. Разходи'!P26-'12. Разходи'!$K26</f>
        <v>0.2042944267000002</v>
      </c>
      <c r="X26" s="804">
        <f>IFERROR(('12. Разходи'!P26-'12. Разходи'!$K26)/'12. Разходи'!$K26,0)</f>
        <v>0.2042944267000002</v>
      </c>
      <c r="Y26" s="1151">
        <f>'12. Разходи'!S26</f>
        <v>3</v>
      </c>
      <c r="Z26" s="882">
        <f>'12. Разходи'!T26-'12. Разходи'!$S26</f>
        <v>0.20999999999999996</v>
      </c>
      <c r="AA26" s="1095">
        <f>IFERROR(('12. Разходи'!T26-'12. Разходи'!$S26)/'12. Разходи'!$S26,0)</f>
        <v>6.9999999999999993E-2</v>
      </c>
      <c r="AB26" s="1110">
        <f>'12. Разходи'!U26-'12. Разходи'!$S26</f>
        <v>0.30630000000000024</v>
      </c>
      <c r="AC26" s="1095">
        <f>IFERROR(('12. Разходи'!U26-'12. Разходи'!$S26)/'12. Разходи'!$S26,0)</f>
        <v>0.10210000000000008</v>
      </c>
      <c r="AD26" s="1110">
        <f>'12. Разходи'!V26-'12. Разходи'!$S26</f>
        <v>0.40548900000000021</v>
      </c>
      <c r="AE26" s="1095">
        <f>IFERROR(('12. Разходи'!V26-'12. Разходи'!$S26)/'12. Разходи'!$S26,0)</f>
        <v>0.13516300000000006</v>
      </c>
      <c r="AF26" s="1110">
        <f>'12. Разходи'!W26-'12. Разходи'!$S26</f>
        <v>0.50765367000000028</v>
      </c>
      <c r="AG26" s="1095">
        <f>IFERROR(('12. Разходи'!W26-'12. Разходи'!$S26)/'12. Разходи'!$S26,0)</f>
        <v>0.16921789000000009</v>
      </c>
      <c r="AH26" s="1110">
        <f>'12. Разходи'!X26-'12. Разходи'!$S26</f>
        <v>0.61288328010000059</v>
      </c>
      <c r="AI26" s="804">
        <f>IFERROR(('12. Разходи'!X26-'12. Разходи'!$S26)/'12. Разходи'!$S26,0)</f>
        <v>0.2042944267000002</v>
      </c>
      <c r="AJ26" s="1151">
        <f>'12. Разходи'!AA26</f>
        <v>0</v>
      </c>
      <c r="AK26" s="1115">
        <f>'12. Разходи'!AB26-'12. Разходи'!$AA26</f>
        <v>0</v>
      </c>
      <c r="AL26" s="1095">
        <f>IFERROR(('12. Разходи'!AB26-'12. Разходи'!$AA26)/'12. Разходи'!$AA26,0)</f>
        <v>0</v>
      </c>
      <c r="AM26" s="882">
        <f>'12. Разходи'!AC26-'12. Разходи'!$AA26</f>
        <v>0</v>
      </c>
      <c r="AN26" s="1103">
        <f>IFERROR(('12. Разходи'!AC26-'12. Разходи'!$AA26)/'12. Разходи'!$AA26,0)</f>
        <v>0</v>
      </c>
      <c r="AO26" s="882">
        <f>'12. Разходи'!AD26-'12. Разходи'!$AA26</f>
        <v>0</v>
      </c>
      <c r="AP26" s="1103">
        <f>IFERROR(('12. Разходи'!AD26-'12. Разходи'!$AA26)/'12. Разходи'!$AA26,0)</f>
        <v>0</v>
      </c>
      <c r="AQ26" s="882">
        <f>'12. Разходи'!AE26-'12. Разходи'!$AA26</f>
        <v>0</v>
      </c>
      <c r="AR26" s="1102">
        <f>IFERROR(('12. Разходи'!AE26-'12. Разходи'!$AA26)/'12. Разходи'!$AA26,0)</f>
        <v>0</v>
      </c>
      <c r="AS26" s="1110">
        <f>'12. Разходи'!AF26-'12. Разходи'!$AA26</f>
        <v>0</v>
      </c>
      <c r="AT26" s="1157">
        <f>IFERROR(('12. Разходи'!AF26-'12. Разходи'!$AA26)/'12. Разходи'!$AA26,0)</f>
        <v>0</v>
      </c>
      <c r="AU26" s="1151">
        <f>'12. Разходи'!AI26</f>
        <v>0</v>
      </c>
      <c r="AV26" s="1115">
        <f>'12. Разходи'!AJ26-'12. Разходи'!$AI26</f>
        <v>0</v>
      </c>
      <c r="AW26" s="1095">
        <f>IFERROR(('12. Разходи'!AJ26-'12. Разходи'!$AI26)/'12. Разходи'!$AI26,0)</f>
        <v>0</v>
      </c>
      <c r="AX26" s="882">
        <f>'12. Разходи'!AK26-'12. Разходи'!$AI26</f>
        <v>0</v>
      </c>
      <c r="AY26" s="1103">
        <f>IFERROR(('12. Разходи'!AK26-'12. Разходи'!$AI26)/'12. Разходи'!$AI26,0)</f>
        <v>0</v>
      </c>
      <c r="AZ26" s="882">
        <f>'12. Разходи'!AL26-'12. Разходи'!$AI26</f>
        <v>0</v>
      </c>
      <c r="BA26" s="1103">
        <f>IFERROR(('12. Разходи'!AL26-'12. Разходи'!$AI26)/'12. Разходи'!$AI26,0)</f>
        <v>0</v>
      </c>
      <c r="BB26" s="882">
        <f>'12. Разходи'!AM26-'12. Разходи'!$AI26</f>
        <v>0</v>
      </c>
      <c r="BC26" s="1102">
        <f>IFERROR(('12. Разходи'!AM26-'12. Разходи'!$AI26)/'12. Разходи'!$AI26,0)</f>
        <v>0</v>
      </c>
      <c r="BD26" s="1110">
        <f>'12. Разходи'!AN26-'12. Разходи'!$AI26</f>
        <v>0</v>
      </c>
      <c r="BE26" s="1157">
        <f>IFERROR(('12. Разходи'!AN26-'12. Разходи'!$AI26)/'12. Разходи'!$AI26,0)</f>
        <v>0</v>
      </c>
      <c r="BF26" s="4422"/>
      <c r="BG26" s="4438">
        <f t="shared" si="1"/>
        <v>7.6693782179432777</v>
      </c>
      <c r="BH26" s="4438">
        <f t="shared" si="2"/>
        <v>0.53685647525602975</v>
      </c>
      <c r="BI26" s="4438">
        <f t="shared" si="3"/>
        <v>0.78304351605200928</v>
      </c>
      <c r="BJ26" s="4438">
        <f t="shared" si="4"/>
        <v>1.0366161680718673</v>
      </c>
      <c r="BK26" s="4438">
        <f t="shared" si="5"/>
        <v>1.2977959996523212</v>
      </c>
      <c r="BL26" s="4438">
        <f t="shared" si="6"/>
        <v>1.5668112261801899</v>
      </c>
      <c r="BM26" s="4438">
        <f t="shared" si="7"/>
        <v>0.51129188119621849</v>
      </c>
      <c r="BN26" s="4438">
        <f t="shared" si="8"/>
        <v>3.579043168373533E-2</v>
      </c>
      <c r="BO26" s="4438">
        <f t="shared" si="9"/>
        <v>5.220290107013395E-2</v>
      </c>
      <c r="BP26" s="4438">
        <f t="shared" si="10"/>
        <v>6.9107744538124558E-2</v>
      </c>
      <c r="BQ26" s="4438">
        <f t="shared" si="11"/>
        <v>8.651973331015482E-2</v>
      </c>
      <c r="BR26" s="4438">
        <f t="shared" si="12"/>
        <v>0.10445408174534607</v>
      </c>
      <c r="BS26" s="4438">
        <f t="shared" si="13"/>
        <v>1.5338756435886556</v>
      </c>
      <c r="BT26" s="4438">
        <f t="shared" si="14"/>
        <v>0.10737129505120586</v>
      </c>
      <c r="BU26" s="4438">
        <f t="shared" si="15"/>
        <v>0.15660870321040185</v>
      </c>
      <c r="BV26" s="4438">
        <f t="shared" si="16"/>
        <v>0.20732323361437355</v>
      </c>
      <c r="BW26" s="4438">
        <f t="shared" si="17"/>
        <v>0.25955919993046445</v>
      </c>
      <c r="BX26" s="4438">
        <f t="shared" si="18"/>
        <v>0.31336224523603823</v>
      </c>
      <c r="BY26" s="4438">
        <f t="shared" si="19"/>
        <v>0</v>
      </c>
      <c r="BZ26" s="4438">
        <f t="shared" si="20"/>
        <v>0</v>
      </c>
      <c r="CA26" s="4438">
        <f t="shared" si="21"/>
        <v>0</v>
      </c>
      <c r="CB26" s="4438">
        <f t="shared" si="22"/>
        <v>0</v>
      </c>
      <c r="CC26" s="4438">
        <f t="shared" si="23"/>
        <v>0</v>
      </c>
      <c r="CD26" s="4438">
        <f t="shared" si="24"/>
        <v>0</v>
      </c>
      <c r="CE26" s="4438">
        <f t="shared" si="25"/>
        <v>0</v>
      </c>
      <c r="CF26" s="4438">
        <f t="shared" si="26"/>
        <v>0</v>
      </c>
      <c r="CG26" s="4438">
        <f t="shared" si="27"/>
        <v>0</v>
      </c>
      <c r="CH26" s="4438">
        <f t="shared" si="28"/>
        <v>0</v>
      </c>
      <c r="CI26" s="4438">
        <f t="shared" si="29"/>
        <v>0</v>
      </c>
      <c r="CJ26" s="4438">
        <f t="shared" si="30"/>
        <v>0</v>
      </c>
    </row>
    <row r="27" spans="1:88" ht="15.95" customHeight="1">
      <c r="A27" s="819" t="s">
        <v>439</v>
      </c>
      <c r="B27" s="3089">
        <f>'12. Разходи'!B27</f>
        <v>0</v>
      </c>
      <c r="C27" s="3090">
        <f>'12. Разходи'!C27</f>
        <v>0</v>
      </c>
      <c r="D27" s="882">
        <f>'12. Разходи'!D27-'12. Разходи'!$C27</f>
        <v>0</v>
      </c>
      <c r="E27" s="1095">
        <f>IFERROR(('12. Разходи'!D27-'12. Разходи'!$C27)/'12. Разходи'!$C27,0)</f>
        <v>0</v>
      </c>
      <c r="F27" s="1110">
        <f>'12. Разходи'!E27-'12. Разходи'!$C27</f>
        <v>0</v>
      </c>
      <c r="G27" s="1095">
        <f>IFERROR(('12. Разходи'!E27-'12. Разходи'!$C27)/'12. Разходи'!$C27,0)</f>
        <v>0</v>
      </c>
      <c r="H27" s="1110">
        <f>'12. Разходи'!F27-'12. Разходи'!$C27</f>
        <v>0</v>
      </c>
      <c r="I27" s="1095">
        <f>IFERROR(('12. Разходи'!F27-'12. Разходи'!$C27)/'12. Разходи'!$C27,0)</f>
        <v>0</v>
      </c>
      <c r="J27" s="1110">
        <f>'12. Разходи'!G27-'12. Разходи'!$C27</f>
        <v>0</v>
      </c>
      <c r="K27" s="1095">
        <f>IFERROR(('12. Разходи'!G27-'12. Разходи'!$C27)/'12. Разходи'!$C27,0)</f>
        <v>0</v>
      </c>
      <c r="L27" s="1110">
        <f>'12. Разходи'!H27-'12. Разходи'!$C27</f>
        <v>0</v>
      </c>
      <c r="M27" s="1096">
        <f>IFERROR(('12. Разходи'!H27-'12. Разходи'!$C27)/'12. Разходи'!$C27,0)</f>
        <v>0</v>
      </c>
      <c r="N27" s="1151">
        <f>'12. Разходи'!K27</f>
        <v>0</v>
      </c>
      <c r="O27" s="882">
        <f>'12. Разходи'!L27-'12. Разходи'!$K27</f>
        <v>0</v>
      </c>
      <c r="P27" s="1095">
        <f>IFERROR(('12. Разходи'!L27-'12. Разходи'!$K27)/'12. Разходи'!$K27,0)</f>
        <v>0</v>
      </c>
      <c r="Q27" s="1110">
        <f>'12. Разходи'!M27-'12. Разходи'!$K27</f>
        <v>0</v>
      </c>
      <c r="R27" s="1095">
        <f>IFERROR(('12. Разходи'!M27-'12. Разходи'!$K27)/'12. Разходи'!$K27,0)</f>
        <v>0</v>
      </c>
      <c r="S27" s="1110">
        <f>'12. Разходи'!N27-'12. Разходи'!$K27</f>
        <v>0</v>
      </c>
      <c r="T27" s="1095">
        <f>IFERROR(('12. Разходи'!N27-'12. Разходи'!$K27)/'12. Разходи'!$K27,0)</f>
        <v>0</v>
      </c>
      <c r="U27" s="1110">
        <f>'12. Разходи'!O27-'12. Разходи'!$K27</f>
        <v>0</v>
      </c>
      <c r="V27" s="1095">
        <f>IFERROR(('12. Разходи'!O27-'12. Разходи'!$K27)/'12. Разходи'!$K27,0)</f>
        <v>0</v>
      </c>
      <c r="W27" s="1110">
        <f>'12. Разходи'!P27-'12. Разходи'!$K27</f>
        <v>0</v>
      </c>
      <c r="X27" s="804">
        <f>IFERROR(('12. Разходи'!P27-'12. Разходи'!$K27)/'12. Разходи'!$K27,0)</f>
        <v>0</v>
      </c>
      <c r="Y27" s="1151">
        <f>'12. Разходи'!S27</f>
        <v>0</v>
      </c>
      <c r="Z27" s="882">
        <f>'12. Разходи'!T27-'12. Разходи'!$S27</f>
        <v>0</v>
      </c>
      <c r="AA27" s="1095">
        <f>IFERROR(('12. Разходи'!T27-'12. Разходи'!$S27)/'12. Разходи'!$S27,0)</f>
        <v>0</v>
      </c>
      <c r="AB27" s="1110">
        <f>'12. Разходи'!U27-'12. Разходи'!$S27</f>
        <v>0</v>
      </c>
      <c r="AC27" s="1095">
        <f>IFERROR(('12. Разходи'!U27-'12. Разходи'!$S27)/'12. Разходи'!$S27,0)</f>
        <v>0</v>
      </c>
      <c r="AD27" s="1110">
        <f>'12. Разходи'!V27-'12. Разходи'!$S27</f>
        <v>0</v>
      </c>
      <c r="AE27" s="1095">
        <f>IFERROR(('12. Разходи'!V27-'12. Разходи'!$S27)/'12. Разходи'!$S27,0)</f>
        <v>0</v>
      </c>
      <c r="AF27" s="1110">
        <f>'12. Разходи'!W27-'12. Разходи'!$S27</f>
        <v>0</v>
      </c>
      <c r="AG27" s="1095">
        <f>IFERROR(('12. Разходи'!W27-'12. Разходи'!$S27)/'12. Разходи'!$S27,0)</f>
        <v>0</v>
      </c>
      <c r="AH27" s="1110">
        <f>'12. Разходи'!X27-'12. Разходи'!$S27</f>
        <v>0</v>
      </c>
      <c r="AI27" s="804">
        <f>IFERROR(('12. Разходи'!X27-'12. Разходи'!$S27)/'12. Разходи'!$S27,0)</f>
        <v>0</v>
      </c>
      <c r="AJ27" s="1151">
        <f>'12. Разходи'!AA27</f>
        <v>0</v>
      </c>
      <c r="AK27" s="1115">
        <f>'12. Разходи'!AB27-'12. Разходи'!$AA27</f>
        <v>0</v>
      </c>
      <c r="AL27" s="1095">
        <f>IFERROR(('12. Разходи'!AB27-'12. Разходи'!$AA27)/'12. Разходи'!$AA27,0)</f>
        <v>0</v>
      </c>
      <c r="AM27" s="882">
        <f>'12. Разходи'!AC27-'12. Разходи'!$AA27</f>
        <v>0</v>
      </c>
      <c r="AN27" s="1103">
        <f>IFERROR(('12. Разходи'!AC27-'12. Разходи'!$AA27)/'12. Разходи'!$AA27,0)</f>
        <v>0</v>
      </c>
      <c r="AO27" s="882">
        <f>'12. Разходи'!AD27-'12. Разходи'!$AA27</f>
        <v>0</v>
      </c>
      <c r="AP27" s="1103">
        <f>IFERROR(('12. Разходи'!AD27-'12. Разходи'!$AA27)/'12. Разходи'!$AA27,0)</f>
        <v>0</v>
      </c>
      <c r="AQ27" s="882">
        <f>'12. Разходи'!AE27-'12. Разходи'!$AA27</f>
        <v>0</v>
      </c>
      <c r="AR27" s="1102">
        <f>IFERROR(('12. Разходи'!AE27-'12. Разходи'!$AA27)/'12. Разходи'!$AA27,0)</f>
        <v>0</v>
      </c>
      <c r="AS27" s="1110">
        <f>'12. Разходи'!AF27-'12. Разходи'!$AA27</f>
        <v>0</v>
      </c>
      <c r="AT27" s="1157">
        <f>IFERROR(('12. Разходи'!AF27-'12. Разходи'!$AA27)/'12. Разходи'!$AA27,0)</f>
        <v>0</v>
      </c>
      <c r="AU27" s="1151">
        <f>'12. Разходи'!AI27</f>
        <v>0</v>
      </c>
      <c r="AV27" s="1115">
        <f>'12. Разходи'!AJ27-'12. Разходи'!$AI27</f>
        <v>0</v>
      </c>
      <c r="AW27" s="1095">
        <f>IFERROR(('12. Разходи'!AJ27-'12. Разходи'!$AI27)/'12. Разходи'!$AI27,0)</f>
        <v>0</v>
      </c>
      <c r="AX27" s="882">
        <f>'12. Разходи'!AK27-'12. Разходи'!$AI27</f>
        <v>0</v>
      </c>
      <c r="AY27" s="1103">
        <f>IFERROR(('12. Разходи'!AK27-'12. Разходи'!$AI27)/'12. Разходи'!$AI27,0)</f>
        <v>0</v>
      </c>
      <c r="AZ27" s="882">
        <f>'12. Разходи'!AL27-'12. Разходи'!$AI27</f>
        <v>0</v>
      </c>
      <c r="BA27" s="1103">
        <f>IFERROR(('12. Разходи'!AL27-'12. Разходи'!$AI27)/'12. Разходи'!$AI27,0)</f>
        <v>0</v>
      </c>
      <c r="BB27" s="882">
        <f>'12. Разходи'!AM27-'12. Разходи'!$AI27</f>
        <v>0</v>
      </c>
      <c r="BC27" s="1102">
        <f>IFERROR(('12. Разходи'!AM27-'12. Разходи'!$AI27)/'12. Разходи'!$AI27,0)</f>
        <v>0</v>
      </c>
      <c r="BD27" s="1110">
        <f>'12. Разходи'!AN27-'12. Разходи'!$AI27</f>
        <v>0</v>
      </c>
      <c r="BE27" s="1157">
        <f>IFERROR(('12. Разходи'!AN27-'12. Разходи'!$AI27)/'12. Разходи'!$AI27,0)</f>
        <v>0</v>
      </c>
      <c r="BF27" s="4422"/>
      <c r="BG27" s="4438">
        <f t="shared" si="1"/>
        <v>0</v>
      </c>
      <c r="BH27" s="4438">
        <f t="shared" si="2"/>
        <v>0</v>
      </c>
      <c r="BI27" s="4438">
        <f t="shared" si="3"/>
        <v>0</v>
      </c>
      <c r="BJ27" s="4438">
        <f t="shared" si="4"/>
        <v>0</v>
      </c>
      <c r="BK27" s="4438">
        <f t="shared" si="5"/>
        <v>0</v>
      </c>
      <c r="BL27" s="4438">
        <f t="shared" si="6"/>
        <v>0</v>
      </c>
      <c r="BM27" s="4438">
        <f t="shared" si="7"/>
        <v>0</v>
      </c>
      <c r="BN27" s="4438">
        <f t="shared" si="8"/>
        <v>0</v>
      </c>
      <c r="BO27" s="4438">
        <f t="shared" si="9"/>
        <v>0</v>
      </c>
      <c r="BP27" s="4438">
        <f t="shared" si="10"/>
        <v>0</v>
      </c>
      <c r="BQ27" s="4438">
        <f t="shared" si="11"/>
        <v>0</v>
      </c>
      <c r="BR27" s="4438">
        <f t="shared" si="12"/>
        <v>0</v>
      </c>
      <c r="BS27" s="4438">
        <f t="shared" si="13"/>
        <v>0</v>
      </c>
      <c r="BT27" s="4438">
        <f t="shared" si="14"/>
        <v>0</v>
      </c>
      <c r="BU27" s="4438">
        <f t="shared" si="15"/>
        <v>0</v>
      </c>
      <c r="BV27" s="4438">
        <f t="shared" si="16"/>
        <v>0</v>
      </c>
      <c r="BW27" s="4438">
        <f t="shared" si="17"/>
        <v>0</v>
      </c>
      <c r="BX27" s="4438">
        <f t="shared" si="18"/>
        <v>0</v>
      </c>
      <c r="BY27" s="4438">
        <f t="shared" si="19"/>
        <v>0</v>
      </c>
      <c r="BZ27" s="4438">
        <f t="shared" si="20"/>
        <v>0</v>
      </c>
      <c r="CA27" s="4438">
        <f t="shared" si="21"/>
        <v>0</v>
      </c>
      <c r="CB27" s="4438">
        <f t="shared" si="22"/>
        <v>0</v>
      </c>
      <c r="CC27" s="4438">
        <f t="shared" si="23"/>
        <v>0</v>
      </c>
      <c r="CD27" s="4438">
        <f t="shared" si="24"/>
        <v>0</v>
      </c>
      <c r="CE27" s="4438">
        <f t="shared" si="25"/>
        <v>0</v>
      </c>
      <c r="CF27" s="4438">
        <f t="shared" si="26"/>
        <v>0</v>
      </c>
      <c r="CG27" s="4438">
        <f t="shared" si="27"/>
        <v>0</v>
      </c>
      <c r="CH27" s="4438">
        <f t="shared" si="28"/>
        <v>0</v>
      </c>
      <c r="CI27" s="4438">
        <f t="shared" si="29"/>
        <v>0</v>
      </c>
      <c r="CJ27" s="4438">
        <f t="shared" si="30"/>
        <v>0</v>
      </c>
    </row>
    <row r="28" spans="1:88" ht="15.95" customHeight="1" thickBot="1">
      <c r="A28" s="819" t="s">
        <v>440</v>
      </c>
      <c r="B28" s="3089">
        <f>'12. Разходи'!B28</f>
        <v>0</v>
      </c>
      <c r="C28" s="3091">
        <f>'12. Разходи'!C28</f>
        <v>0</v>
      </c>
      <c r="D28" s="1111">
        <f>'12. Разходи'!D28-'12. Разходи'!$C28</f>
        <v>0</v>
      </c>
      <c r="E28" s="1097">
        <f>IFERROR(('12. Разходи'!D28-'12. Разходи'!$C28)/'12. Разходи'!$C28,0)</f>
        <v>0</v>
      </c>
      <c r="F28" s="1112">
        <f>'12. Разходи'!E28-'12. Разходи'!$C28</f>
        <v>0</v>
      </c>
      <c r="G28" s="1097">
        <f>IFERROR(('12. Разходи'!E28-'12. Разходи'!$C28)/'12. Разходи'!$C28,0)</f>
        <v>0</v>
      </c>
      <c r="H28" s="1112">
        <f>'12. Разходи'!F28-'12. Разходи'!$C28</f>
        <v>0</v>
      </c>
      <c r="I28" s="1097">
        <f>IFERROR(('12. Разходи'!F28-'12. Разходи'!$C28)/'12. Разходи'!$C28,0)</f>
        <v>0</v>
      </c>
      <c r="J28" s="1112">
        <f>'12. Разходи'!G28-'12. Разходи'!$C28</f>
        <v>0</v>
      </c>
      <c r="K28" s="1097">
        <f>IFERROR(('12. Разходи'!G28-'12. Разходи'!$C28)/'12. Разходи'!$C28,0)</f>
        <v>0</v>
      </c>
      <c r="L28" s="1112">
        <f>'12. Разходи'!H28-'12. Разходи'!$C28</f>
        <v>0</v>
      </c>
      <c r="M28" s="1098">
        <f>IFERROR(('12. Разходи'!H28-'12. Разходи'!$C28)/'12. Разходи'!$C28,0)</f>
        <v>0</v>
      </c>
      <c r="N28" s="1152">
        <f>'12. Разходи'!K28</f>
        <v>0</v>
      </c>
      <c r="O28" s="1111">
        <f>'12. Разходи'!L28-'12. Разходи'!$K28</f>
        <v>0</v>
      </c>
      <c r="P28" s="1097">
        <f>IFERROR(('12. Разходи'!L28-'12. Разходи'!$K28)/'12. Разходи'!$K28,0)</f>
        <v>0</v>
      </c>
      <c r="Q28" s="1112">
        <f>'12. Разходи'!M28-'12. Разходи'!$K28</f>
        <v>0</v>
      </c>
      <c r="R28" s="1097">
        <f>IFERROR(('12. Разходи'!M28-'12. Разходи'!$K28)/'12. Разходи'!$K28,0)</f>
        <v>0</v>
      </c>
      <c r="S28" s="1112">
        <f>'12. Разходи'!N28-'12. Разходи'!$K28</f>
        <v>0</v>
      </c>
      <c r="T28" s="1097">
        <f>IFERROR(('12. Разходи'!N28-'12. Разходи'!$K28)/'12. Разходи'!$K28,0)</f>
        <v>0</v>
      </c>
      <c r="U28" s="1112">
        <f>'12. Разходи'!O28-'12. Разходи'!$K28</f>
        <v>0</v>
      </c>
      <c r="V28" s="1097">
        <f>IFERROR(('12. Разходи'!O28-'12. Разходи'!$K28)/'12. Разходи'!$K28,0)</f>
        <v>0</v>
      </c>
      <c r="W28" s="1112">
        <f>'12. Разходи'!P28-'12. Разходи'!$K28</f>
        <v>0</v>
      </c>
      <c r="X28" s="1156">
        <f>IFERROR(('12. Разходи'!P28-'12. Разходи'!$K28)/'12. Разходи'!$K28,0)</f>
        <v>0</v>
      </c>
      <c r="Y28" s="1152">
        <f>'12. Разходи'!S28</f>
        <v>0</v>
      </c>
      <c r="Z28" s="1111">
        <f>'12. Разходи'!T28-'12. Разходи'!$S28</f>
        <v>0</v>
      </c>
      <c r="AA28" s="1097">
        <f>IFERROR(('12. Разходи'!T28-'12. Разходи'!$S28)/'12. Разходи'!$S28,0)</f>
        <v>0</v>
      </c>
      <c r="AB28" s="1112">
        <f>'12. Разходи'!U28-'12. Разходи'!$S28</f>
        <v>0</v>
      </c>
      <c r="AC28" s="1097">
        <f>IFERROR(('12. Разходи'!U28-'12. Разходи'!$S28)/'12. Разходи'!$S28,0)</f>
        <v>0</v>
      </c>
      <c r="AD28" s="1112">
        <f>'12. Разходи'!V28-'12. Разходи'!$S28</f>
        <v>0</v>
      </c>
      <c r="AE28" s="1097">
        <f>IFERROR(('12. Разходи'!V28-'12. Разходи'!$S28)/'12. Разходи'!$S28,0)</f>
        <v>0</v>
      </c>
      <c r="AF28" s="1112">
        <f>'12. Разходи'!W28-'12. Разходи'!$S28</f>
        <v>0</v>
      </c>
      <c r="AG28" s="1097">
        <f>IFERROR(('12. Разходи'!W28-'12. Разходи'!$S28)/'12. Разходи'!$S28,0)</f>
        <v>0</v>
      </c>
      <c r="AH28" s="1112">
        <f>'12. Разходи'!X28-'12. Разходи'!$S28</f>
        <v>0</v>
      </c>
      <c r="AI28" s="1156">
        <f>IFERROR(('12. Разходи'!X28-'12. Разходи'!$S28)/'12. Разходи'!$S28,0)</f>
        <v>0</v>
      </c>
      <c r="AJ28" s="1153">
        <f>'12. Разходи'!AA28</f>
        <v>0</v>
      </c>
      <c r="AK28" s="1115">
        <f>'12. Разходи'!AB28-'12. Разходи'!$AA28</f>
        <v>0</v>
      </c>
      <c r="AL28" s="1095">
        <f>IFERROR(('12. Разходи'!AB28-'12. Разходи'!$AA28)/'12. Разходи'!$AA28,0)</f>
        <v>0</v>
      </c>
      <c r="AM28" s="882">
        <f>'12. Разходи'!AC28-'12. Разходи'!$AA28</f>
        <v>0</v>
      </c>
      <c r="AN28" s="1103">
        <f>IFERROR(('12. Разходи'!AC28-'12. Разходи'!$AA28)/'12. Разходи'!$AA28,0)</f>
        <v>0</v>
      </c>
      <c r="AO28" s="882">
        <f>'12. Разходи'!AD28-'12. Разходи'!$AA28</f>
        <v>0</v>
      </c>
      <c r="AP28" s="1103">
        <f>IFERROR(('12. Разходи'!AD28-'12. Разходи'!$AA28)/'12. Разходи'!$AA28,0)</f>
        <v>0</v>
      </c>
      <c r="AQ28" s="882">
        <f>'12. Разходи'!AE28-'12. Разходи'!$AA28</f>
        <v>0</v>
      </c>
      <c r="AR28" s="1102">
        <f>IFERROR(('12. Разходи'!AE28-'12. Разходи'!$AA28)/'12. Разходи'!$AA28,0)</f>
        <v>0</v>
      </c>
      <c r="AS28" s="1110">
        <f>'12. Разходи'!AF28-'12. Разходи'!$AA28</f>
        <v>0</v>
      </c>
      <c r="AT28" s="1157">
        <f>IFERROR(('12. Разходи'!AF28-'12. Разходи'!$AA28)/'12. Разходи'!$AA28,0)</f>
        <v>0</v>
      </c>
      <c r="AU28" s="1151">
        <f>'12. Разходи'!AI28</f>
        <v>0</v>
      </c>
      <c r="AV28" s="1115">
        <f>'12. Разходи'!AJ28-'12. Разходи'!$AI28</f>
        <v>0</v>
      </c>
      <c r="AW28" s="1095">
        <f>IFERROR(('12. Разходи'!AJ28-'12. Разходи'!$AI28)/'12. Разходи'!$AI28,0)</f>
        <v>0</v>
      </c>
      <c r="AX28" s="882">
        <f>'12. Разходи'!AK28-'12. Разходи'!$AI28</f>
        <v>0</v>
      </c>
      <c r="AY28" s="1103">
        <f>IFERROR(('12. Разходи'!AK28-'12. Разходи'!$AI28)/'12. Разходи'!$AI28,0)</f>
        <v>0</v>
      </c>
      <c r="AZ28" s="882">
        <f>'12. Разходи'!AL28-'12. Разходи'!$AI28</f>
        <v>0</v>
      </c>
      <c r="BA28" s="1103">
        <f>IFERROR(('12. Разходи'!AL28-'12. Разходи'!$AI28)/'12. Разходи'!$AI28,0)</f>
        <v>0</v>
      </c>
      <c r="BB28" s="882">
        <f>'12. Разходи'!AM28-'12. Разходи'!$AI28</f>
        <v>0</v>
      </c>
      <c r="BC28" s="1102">
        <f>IFERROR(('12. Разходи'!AM28-'12. Разходи'!$AI28)/'12. Разходи'!$AI28,0)</f>
        <v>0</v>
      </c>
      <c r="BD28" s="1110">
        <f>'12. Разходи'!AN28-'12. Разходи'!$AI28</f>
        <v>0</v>
      </c>
      <c r="BE28" s="1157">
        <f>IFERROR(('12. Разходи'!AN28-'12. Разходи'!$AI28)/'12. Разходи'!$AI28,0)</f>
        <v>0</v>
      </c>
      <c r="BF28" s="4422"/>
      <c r="BG28" s="4438">
        <f t="shared" si="1"/>
        <v>0</v>
      </c>
      <c r="BH28" s="4438">
        <f t="shared" si="2"/>
        <v>0</v>
      </c>
      <c r="BI28" s="4438">
        <f t="shared" si="3"/>
        <v>0</v>
      </c>
      <c r="BJ28" s="4438">
        <f t="shared" si="4"/>
        <v>0</v>
      </c>
      <c r="BK28" s="4438">
        <f t="shared" si="5"/>
        <v>0</v>
      </c>
      <c r="BL28" s="4438">
        <f t="shared" si="6"/>
        <v>0</v>
      </c>
      <c r="BM28" s="4438">
        <f t="shared" si="7"/>
        <v>0</v>
      </c>
      <c r="BN28" s="4438">
        <f t="shared" si="8"/>
        <v>0</v>
      </c>
      <c r="BO28" s="4438">
        <f t="shared" si="9"/>
        <v>0</v>
      </c>
      <c r="BP28" s="4438">
        <f t="shared" si="10"/>
        <v>0</v>
      </c>
      <c r="BQ28" s="4438">
        <f t="shared" si="11"/>
        <v>0</v>
      </c>
      <c r="BR28" s="4438">
        <f t="shared" si="12"/>
        <v>0</v>
      </c>
      <c r="BS28" s="4438">
        <f t="shared" si="13"/>
        <v>0</v>
      </c>
      <c r="BT28" s="4438">
        <f t="shared" si="14"/>
        <v>0</v>
      </c>
      <c r="BU28" s="4438">
        <f t="shared" si="15"/>
        <v>0</v>
      </c>
      <c r="BV28" s="4438">
        <f t="shared" si="16"/>
        <v>0</v>
      </c>
      <c r="BW28" s="4438">
        <f t="shared" si="17"/>
        <v>0</v>
      </c>
      <c r="BX28" s="4438">
        <f t="shared" si="18"/>
        <v>0</v>
      </c>
      <c r="BY28" s="4438">
        <f t="shared" si="19"/>
        <v>0</v>
      </c>
      <c r="BZ28" s="4438">
        <f t="shared" si="20"/>
        <v>0</v>
      </c>
      <c r="CA28" s="4438">
        <f t="shared" si="21"/>
        <v>0</v>
      </c>
      <c r="CB28" s="4438">
        <f t="shared" si="22"/>
        <v>0</v>
      </c>
      <c r="CC28" s="4438">
        <f t="shared" si="23"/>
        <v>0</v>
      </c>
      <c r="CD28" s="4438">
        <f t="shared" si="24"/>
        <v>0</v>
      </c>
      <c r="CE28" s="4438">
        <f t="shared" si="25"/>
        <v>0</v>
      </c>
      <c r="CF28" s="4438">
        <f t="shared" si="26"/>
        <v>0</v>
      </c>
      <c r="CG28" s="4438">
        <f t="shared" si="27"/>
        <v>0</v>
      </c>
      <c r="CH28" s="4438">
        <f t="shared" si="28"/>
        <v>0</v>
      </c>
      <c r="CI28" s="4438">
        <f t="shared" si="29"/>
        <v>0</v>
      </c>
      <c r="CJ28" s="4438">
        <f t="shared" si="30"/>
        <v>0</v>
      </c>
    </row>
    <row r="29" spans="1:88" s="1134" customFormat="1" ht="15.95" customHeight="1" thickBot="1">
      <c r="A29" s="109" t="s">
        <v>95</v>
      </c>
      <c r="B29" s="872" t="s">
        <v>239</v>
      </c>
      <c r="C29" s="1084">
        <f>'12. Разходи'!C29</f>
        <v>1783.3258900000001</v>
      </c>
      <c r="D29" s="1122">
        <f>'12. Разходи'!D29-'12. Разходи'!$C29</f>
        <v>283.14776699999993</v>
      </c>
      <c r="E29" s="853">
        <f>IFERROR(('12. Разходи'!D29-'12. Разходи'!$C29)/'12. Разходи'!$C29,0)</f>
        <v>0.15877511148565218</v>
      </c>
      <c r="F29" s="1121">
        <f>'12. Разходи'!E29-'12. Разходи'!$C29</f>
        <v>363.03844985000023</v>
      </c>
      <c r="G29" s="853">
        <f>IFERROR(('12. Разходи'!E29-'12. Разходи'!$C29)/'12. Разходи'!$C29,0)</f>
        <v>0.20357381221555654</v>
      </c>
      <c r="H29" s="1121">
        <f>'12. Разходи'!F29-'12. Разходи'!$C29</f>
        <v>427.42938004550024</v>
      </c>
      <c r="I29" s="853">
        <f>IFERROR(('12. Разходи'!F29-'12. Разходи'!$C29)/'12. Разходи'!$C29,0)</f>
        <v>0.23968102658202323</v>
      </c>
      <c r="J29" s="1121">
        <f>'12. Разходи'!G29-'12. Разходи'!$C29</f>
        <v>443.84232503458998</v>
      </c>
      <c r="K29" s="859">
        <f>IFERROR(('12. Разходи'!G29-'12. Разходи'!$C29)/'12. Разходи'!$C29,0)</f>
        <v>0.24888458555075985</v>
      </c>
      <c r="L29" s="1121">
        <f>'12. Разходи'!H29-'12. Разходи'!$C29</f>
        <v>444.26959903150646</v>
      </c>
      <c r="M29" s="859">
        <f>IFERROR(('12. Разходи'!H29-'12. Разходи'!$C29)/'12. Разходи'!$C29,0)</f>
        <v>0.24912417944625165</v>
      </c>
      <c r="N29" s="1135">
        <f>'12. Разходи'!K29</f>
        <v>443.47147000000001</v>
      </c>
      <c r="O29" s="1122">
        <f>'12. Разходи'!L29-'12. Разходи'!$K29</f>
        <v>122.00144100000006</v>
      </c>
      <c r="P29" s="853">
        <f>IFERROR(('12. Разходи'!L29-'12. Разходи'!$K29)/'12. Разходи'!$K29,0)</f>
        <v>0.27510550114982607</v>
      </c>
      <c r="Q29" s="1121">
        <f>'12. Разходи'!M29-'12. Разходи'!$K29</f>
        <v>149.24788655000003</v>
      </c>
      <c r="R29" s="853">
        <f>IFERROR(('12. Разходи'!M29-'12. Разходи'!$K29)/'12. Разходи'!$K29,0)</f>
        <v>0.33654450544473591</v>
      </c>
      <c r="S29" s="1121">
        <f>'12. Разходи'!N29-'12. Разходи'!$K29</f>
        <v>167.02946724649991</v>
      </c>
      <c r="T29" s="853">
        <f>IFERROR(('12. Разходи'!N29-'12. Разходи'!$K29)/'12. Разходи'!$K29,0)</f>
        <v>0.37664084060807768</v>
      </c>
      <c r="U29" s="1121">
        <f>'12. Разходи'!O29-'12. Разходи'!$K29</f>
        <v>157.54383970156999</v>
      </c>
      <c r="V29" s="859">
        <f>IFERROR(('12. Разходи'!O29-'12. Разходи'!$K29)/'12. Разходи'!$K29,0)</f>
        <v>0.35525135292597287</v>
      </c>
      <c r="W29" s="1121">
        <f>'12. Разходи'!P29-'12. Разходи'!$K29</f>
        <v>137.43179942390731</v>
      </c>
      <c r="X29" s="801">
        <f>IFERROR(('12. Разходи'!P29-'12. Разходи'!$K29)/'12. Разходи'!$K29,0)</f>
        <v>0.30989997941447578</v>
      </c>
      <c r="Y29" s="1135">
        <f>'12. Разходи'!S29</f>
        <v>281.67176000000001</v>
      </c>
      <c r="Z29" s="1122">
        <f>'12. Разходи'!T29-'12. Разходи'!$S29</f>
        <v>149.55352799999997</v>
      </c>
      <c r="AA29" s="853">
        <f>IFERROR(('12. Разходи'!T29-'12. Разходи'!$S29)/'12. Разходи'!$S29,0)</f>
        <v>0.53094966992786197</v>
      </c>
      <c r="AB29" s="1121">
        <f>'12. Разходи'!U29-'12. Разходи'!$S29</f>
        <v>168.18299239999999</v>
      </c>
      <c r="AC29" s="853">
        <f>IFERROR(('12. Разходи'!U29-'12. Разходи'!$S29)/'12. Разходи'!$S29,0)</f>
        <v>0.597088584244299</v>
      </c>
      <c r="AD29" s="1121">
        <f>'12. Разходи'!V29-'12. Разходи'!$S29</f>
        <v>186.08863497200002</v>
      </c>
      <c r="AE29" s="853">
        <f>IFERROR(('12. Разходи'!V29-'12. Разходи'!$S29)/'12. Разходи'!$S29,0)</f>
        <v>0.66065776339097682</v>
      </c>
      <c r="AF29" s="1121">
        <f>'12. Разходи'!W29-'12. Разходи'!$S29</f>
        <v>129.16541862256003</v>
      </c>
      <c r="AG29" s="859">
        <f>IFERROR(('12. Разходи'!W29-'12. Разходи'!$S29)/'12. Разходи'!$S29,0)</f>
        <v>0.45856715853431679</v>
      </c>
      <c r="AH29" s="1121">
        <f>'12. Разходи'!X29-'12. Разходи'!$S29</f>
        <v>86.88428729275762</v>
      </c>
      <c r="AI29" s="801">
        <f>IFERROR(('12. Разходи'!X29-'12. Разходи'!$S29)/'12. Разходи'!$S29,0)</f>
        <v>0.30845934747863124</v>
      </c>
      <c r="AJ29" s="1135">
        <f>'12. Разходи'!AA29</f>
        <v>0</v>
      </c>
      <c r="AK29" s="1122">
        <f>'12. Разходи'!AB29-'12. Разходи'!$AA29</f>
        <v>0</v>
      </c>
      <c r="AL29" s="853">
        <f>IFERROR(('12. Разходи'!AB29-'12. Разходи'!$AA29)/'12. Разходи'!$AA29,0)</f>
        <v>0</v>
      </c>
      <c r="AM29" s="1121">
        <f>'12. Разходи'!AC29-'12. Разходи'!$AA29</f>
        <v>0</v>
      </c>
      <c r="AN29" s="853">
        <f>IFERROR(('12. Разходи'!AC29-'12. Разходи'!$AA29)/'12. Разходи'!$AA29,0)</f>
        <v>0</v>
      </c>
      <c r="AO29" s="1121">
        <f>'12. Разходи'!AD29-'12. Разходи'!$AA29</f>
        <v>0</v>
      </c>
      <c r="AP29" s="853">
        <f>IFERROR(('12. Разходи'!AD29-'12. Разходи'!$AA29)/'12. Разходи'!$AA29,0)</f>
        <v>0</v>
      </c>
      <c r="AQ29" s="1121">
        <f>'12. Разходи'!AE29-'12. Разходи'!$AA29</f>
        <v>0</v>
      </c>
      <c r="AR29" s="859">
        <f>IFERROR(('12. Разходи'!AE29-'12. Разходи'!$AA29)/'12. Разходи'!$AA29,0)</f>
        <v>0</v>
      </c>
      <c r="AS29" s="1121">
        <f>'12. Разходи'!AF29-'12. Разходи'!$AA29</f>
        <v>0</v>
      </c>
      <c r="AT29" s="801">
        <f>IFERROR(('12. Разходи'!AF29-'12. Разходи'!$AA29)/'12. Разходи'!$AA29,0)</f>
        <v>0</v>
      </c>
      <c r="AU29" s="1135">
        <f>'12. Разходи'!AI29</f>
        <v>0</v>
      </c>
      <c r="AV29" s="1122">
        <f>'12. Разходи'!AJ29-'12. Разходи'!$AI29</f>
        <v>0</v>
      </c>
      <c r="AW29" s="853">
        <f>IFERROR(('12. Разходи'!AJ29-'12. Разходи'!$AI29)/'12. Разходи'!$AI29,0)</f>
        <v>0</v>
      </c>
      <c r="AX29" s="1121">
        <f>'12. Разходи'!AK29-'12. Разходи'!$AI29</f>
        <v>0</v>
      </c>
      <c r="AY29" s="853">
        <f>IFERROR(('12. Разходи'!AK29-'12. Разходи'!$AI29)/'12. Разходи'!$AI29,0)</f>
        <v>0</v>
      </c>
      <c r="AZ29" s="1121">
        <f>'12. Разходи'!AL29-'12. Разходи'!$AI29</f>
        <v>0</v>
      </c>
      <c r="BA29" s="853">
        <f>IFERROR(('12. Разходи'!AL29-'12. Разходи'!$AI29)/'12. Разходи'!$AI29,0)</f>
        <v>0</v>
      </c>
      <c r="BB29" s="1121">
        <f>'12. Разходи'!AM29-'12. Разходи'!$AI29</f>
        <v>0</v>
      </c>
      <c r="BC29" s="859">
        <f>IFERROR(('12. Разходи'!AM29-'12. Разходи'!$AI29)/'12. Разходи'!$AI29,0)</f>
        <v>0</v>
      </c>
      <c r="BD29" s="1121">
        <f>'12. Разходи'!AN29-'12. Разходи'!$AI29</f>
        <v>0</v>
      </c>
      <c r="BE29" s="801">
        <f>IFERROR(('12. Разходи'!AN29-'12. Разходи'!$AI29)/'12. Разходи'!$AI29,0)</f>
        <v>0</v>
      </c>
      <c r="BF29" s="4422"/>
      <c r="BG29" s="4438">
        <f t="shared" si="1"/>
        <v>911.80004908402066</v>
      </c>
      <c r="BH29" s="4438">
        <f t="shared" si="2"/>
        <v>144.77115444593852</v>
      </c>
      <c r="BI29" s="4438">
        <f t="shared" si="3"/>
        <v>185.61861197036563</v>
      </c>
      <c r="BJ29" s="4438">
        <f t="shared" si="4"/>
        <v>218.54117180199722</v>
      </c>
      <c r="BK29" s="4438">
        <f t="shared" si="5"/>
        <v>226.93297732143898</v>
      </c>
      <c r="BL29" s="4438">
        <f t="shared" si="6"/>
        <v>227.15143904710862</v>
      </c>
      <c r="BM29" s="4438">
        <f t="shared" si="7"/>
        <v>226.74336215315239</v>
      </c>
      <c r="BN29" s="4438">
        <f t="shared" si="8"/>
        <v>62.378346277539492</v>
      </c>
      <c r="BO29" s="4438">
        <f t="shared" si="9"/>
        <v>76.309232678709307</v>
      </c>
      <c r="BP29" s="4438">
        <f t="shared" si="10"/>
        <v>85.400810523665101</v>
      </c>
      <c r="BQ29" s="4438">
        <f t="shared" si="11"/>
        <v>80.550886171891221</v>
      </c>
      <c r="BR29" s="4438">
        <f t="shared" si="12"/>
        <v>70.26776326363094</v>
      </c>
      <c r="BS29" s="4438">
        <f t="shared" si="13"/>
        <v>144.01648405024977</v>
      </c>
      <c r="BT29" s="4438">
        <f t="shared" si="14"/>
        <v>76.465504670651328</v>
      </c>
      <c r="BU29" s="4438">
        <f t="shared" si="15"/>
        <v>85.990598569405307</v>
      </c>
      <c r="BV29" s="4438">
        <f t="shared" si="16"/>
        <v>95.145608244070303</v>
      </c>
      <c r="BW29" s="4438">
        <f t="shared" si="17"/>
        <v>66.041229873025785</v>
      </c>
      <c r="BX29" s="4438">
        <f t="shared" si="18"/>
        <v>44.423230696306746</v>
      </c>
      <c r="BY29" s="4438">
        <f t="shared" si="19"/>
        <v>0</v>
      </c>
      <c r="BZ29" s="4438">
        <f t="shared" si="20"/>
        <v>0</v>
      </c>
      <c r="CA29" s="4438">
        <f t="shared" si="21"/>
        <v>0</v>
      </c>
      <c r="CB29" s="4438">
        <f t="shared" si="22"/>
        <v>0</v>
      </c>
      <c r="CC29" s="4438">
        <f t="shared" si="23"/>
        <v>0</v>
      </c>
      <c r="CD29" s="4438">
        <f t="shared" si="24"/>
        <v>0</v>
      </c>
      <c r="CE29" s="4438">
        <f t="shared" si="25"/>
        <v>0</v>
      </c>
      <c r="CF29" s="4438">
        <f t="shared" si="26"/>
        <v>0</v>
      </c>
      <c r="CG29" s="4438">
        <f t="shared" si="27"/>
        <v>0</v>
      </c>
      <c r="CH29" s="4438">
        <f t="shared" si="28"/>
        <v>0</v>
      </c>
      <c r="CI29" s="4438">
        <f t="shared" si="29"/>
        <v>0</v>
      </c>
      <c r="CJ29" s="4438">
        <f t="shared" si="30"/>
        <v>0</v>
      </c>
    </row>
    <row r="30" spans="1:88" ht="15.95" customHeight="1">
      <c r="A30" s="108" t="s">
        <v>96</v>
      </c>
      <c r="B30" s="873" t="s">
        <v>240</v>
      </c>
      <c r="C30" s="1087">
        <f>'12. Разходи'!C30</f>
        <v>82</v>
      </c>
      <c r="D30" s="1113">
        <f>'12. Разходи'!D30-'12. Разходи'!$C30</f>
        <v>5.7400000000000091</v>
      </c>
      <c r="E30" s="1099">
        <f>IFERROR(('12. Разходи'!D30-'12. Разходи'!$C30)/'12. Разходи'!$C30,0)</f>
        <v>7.0000000000000118E-2</v>
      </c>
      <c r="F30" s="1114">
        <f>'12. Разходи'!E30-'12. Разходи'!$C30</f>
        <v>8.3722000000000065</v>
      </c>
      <c r="G30" s="1100">
        <f>IFERROR(('12. Разходи'!E30-'12. Разходи'!$C30)/'12. Разходи'!$C30,0)</f>
        <v>0.10210000000000008</v>
      </c>
      <c r="H30" s="1114">
        <f>'12. Разходи'!F30-'12. Разходи'!$C30</f>
        <v>11.083366000000012</v>
      </c>
      <c r="I30" s="1100">
        <f>IFERROR(('12. Разходи'!F30-'12. Разходи'!$C30)/'12. Разходи'!$C30,0)</f>
        <v>0.13516300000000014</v>
      </c>
      <c r="J30" s="1114">
        <f>'12. Разходи'!G30-'12. Разходи'!$C30</f>
        <v>13.875866980000012</v>
      </c>
      <c r="K30" s="1101">
        <f>IFERROR(('12. Разходи'!G30-'12. Разходи'!$C30)/'12. Разходи'!$C30,0)</f>
        <v>0.16921789000000015</v>
      </c>
      <c r="L30" s="1110">
        <f>'12. Разходи'!H30-'12. Разходи'!$C30</f>
        <v>16.752142989400014</v>
      </c>
      <c r="M30" s="1102">
        <f>IFERROR(('12. Разходи'!H30-'12. Разходи'!$C30)/'12. Разходи'!$C30,0)</f>
        <v>0.20429442670000017</v>
      </c>
      <c r="N30" s="1154">
        <f>'12. Разходи'!K30</f>
        <v>3</v>
      </c>
      <c r="O30" s="1113">
        <f>'12. Разходи'!L30-'12. Разходи'!$K30</f>
        <v>0.20999999999999996</v>
      </c>
      <c r="P30" s="1099">
        <f>IFERROR(('12. Разходи'!L30-'12. Разходи'!$K30)/'12. Разходи'!$K30,0)</f>
        <v>6.9999999999999993E-2</v>
      </c>
      <c r="Q30" s="1114">
        <f>'12. Разходи'!M30-'12. Разходи'!$K30</f>
        <v>0.30630000000000024</v>
      </c>
      <c r="R30" s="1100">
        <f>IFERROR(('12. Разходи'!M30-'12. Разходи'!$K30)/'12. Разходи'!$K30,0)</f>
        <v>0.10210000000000008</v>
      </c>
      <c r="S30" s="1114">
        <f>'12. Разходи'!N30-'12. Разходи'!$K30</f>
        <v>0.40548900000000021</v>
      </c>
      <c r="T30" s="1100">
        <f>IFERROR(('12. Разходи'!N30-'12. Разходи'!$K30)/'12. Разходи'!$K30,0)</f>
        <v>0.13516300000000006</v>
      </c>
      <c r="U30" s="1114">
        <f>'12. Разходи'!O30-'12. Разходи'!$K30</f>
        <v>0.50765367000000028</v>
      </c>
      <c r="V30" s="1101">
        <f>IFERROR(('12. Разходи'!O30-'12. Разходи'!$K30)/'12. Разходи'!$K30,0)</f>
        <v>0.16921789000000009</v>
      </c>
      <c r="W30" s="1110">
        <f>'12. Разходи'!P30-'12. Разходи'!$K30</f>
        <v>0.61288328010000059</v>
      </c>
      <c r="X30" s="1157">
        <f>IFERROR(('12. Разходи'!P30-'12. Разходи'!$K30)/'12. Разходи'!$K30,0)</f>
        <v>0.2042944267000002</v>
      </c>
      <c r="Y30" s="1154">
        <f>'12. Разходи'!S30</f>
        <v>2</v>
      </c>
      <c r="Z30" s="1113">
        <f>'12. Разходи'!T30-'12. Разходи'!$S30</f>
        <v>0.14000000000000012</v>
      </c>
      <c r="AA30" s="1099">
        <f>IFERROR(('12. Разходи'!T30-'12. Разходи'!$S30)/'12. Разходи'!$S30,0)</f>
        <v>7.0000000000000062E-2</v>
      </c>
      <c r="AB30" s="1114">
        <f>'12. Разходи'!U30-'12. Разходи'!$S30</f>
        <v>0.20420000000000016</v>
      </c>
      <c r="AC30" s="1100">
        <f>IFERROR(('12. Разходи'!U30-'12. Разходи'!$S30)/'12. Разходи'!$S30,0)</f>
        <v>0.10210000000000008</v>
      </c>
      <c r="AD30" s="1114">
        <f>'12. Разходи'!V30-'12. Разходи'!$S30</f>
        <v>0.27032600000000029</v>
      </c>
      <c r="AE30" s="1100">
        <f>IFERROR(('12. Разходи'!V30-'12. Разходи'!$S30)/'12. Разходи'!$S30,0)</f>
        <v>0.13516300000000014</v>
      </c>
      <c r="AF30" s="1114">
        <f>'12. Разходи'!W30-'12. Разходи'!$S30</f>
        <v>0.33843578000000019</v>
      </c>
      <c r="AG30" s="1101">
        <f>IFERROR(('12. Разходи'!W30-'12. Разходи'!$S30)/'12. Разходи'!$S30,0)</f>
        <v>0.16921789000000009</v>
      </c>
      <c r="AH30" s="1110">
        <f>'12. Разходи'!X30-'12. Разходи'!$S30</f>
        <v>0.4085888534000004</v>
      </c>
      <c r="AI30" s="1157">
        <f>IFERROR(('12. Разходи'!X30-'12. Разходи'!$S30)/'12. Разходи'!$S30,0)</f>
        <v>0.2042944267000002</v>
      </c>
      <c r="AJ30" s="1154">
        <f>'12. Разходи'!AA30</f>
        <v>0</v>
      </c>
      <c r="AK30" s="1113">
        <f>'12. Разходи'!AB30-'12. Разходи'!$AA30</f>
        <v>0</v>
      </c>
      <c r="AL30" s="1099">
        <f>IFERROR(('12. Разходи'!AB30-'12. Разходи'!$AA30)/'12. Разходи'!$AA30,0)</f>
        <v>0</v>
      </c>
      <c r="AM30" s="1114">
        <f>'12. Разходи'!AC30-'12. Разходи'!$AA30</f>
        <v>0</v>
      </c>
      <c r="AN30" s="1100">
        <f>IFERROR(('12. Разходи'!AC30-'12. Разходи'!$AA30)/'12. Разходи'!$AA30,0)</f>
        <v>0</v>
      </c>
      <c r="AO30" s="1114">
        <f>'12. Разходи'!AD30-'12. Разходи'!$AA30</f>
        <v>0</v>
      </c>
      <c r="AP30" s="1100">
        <f>IFERROR(('12. Разходи'!AD30-'12. Разходи'!$AA30)/'12. Разходи'!$AA30,0)</f>
        <v>0</v>
      </c>
      <c r="AQ30" s="1114">
        <f>'12. Разходи'!AE30-'12. Разходи'!$AA30</f>
        <v>0</v>
      </c>
      <c r="AR30" s="1101">
        <f>IFERROR(('12. Разходи'!AE30-'12. Разходи'!$AA30)/'12. Разходи'!$AA30,0)</f>
        <v>0</v>
      </c>
      <c r="AS30" s="1110">
        <f>'12. Разходи'!AF30-'12. Разходи'!$AA30</f>
        <v>0</v>
      </c>
      <c r="AT30" s="1157">
        <f>IFERROR(('12. Разходи'!AF30-'12. Разходи'!$AA30)/'12. Разходи'!$AA30,0)</f>
        <v>0</v>
      </c>
      <c r="AU30" s="1154">
        <f>'12. Разходи'!AI30</f>
        <v>0</v>
      </c>
      <c r="AV30" s="1113">
        <f>'12. Разходи'!AJ30-'12. Разходи'!$AI30</f>
        <v>0</v>
      </c>
      <c r="AW30" s="1099">
        <f>IFERROR(('12. Разходи'!AJ30-'12. Разходи'!$AI30)/'12. Разходи'!$AI30,0)</f>
        <v>0</v>
      </c>
      <c r="AX30" s="1114">
        <f>'12. Разходи'!AK30-'12. Разходи'!$AI30</f>
        <v>0</v>
      </c>
      <c r="AY30" s="1100">
        <f>IFERROR(('12. Разходи'!AK30-'12. Разходи'!$AI30)/'12. Разходи'!$AI30,0)</f>
        <v>0</v>
      </c>
      <c r="AZ30" s="1114">
        <f>'12. Разходи'!AL30-'12. Разходи'!$AI30</f>
        <v>0</v>
      </c>
      <c r="BA30" s="1100">
        <f>IFERROR(('12. Разходи'!AL30-'12. Разходи'!$AI30)/'12. Разходи'!$AI30,0)</f>
        <v>0</v>
      </c>
      <c r="BB30" s="1114">
        <f>'12. Разходи'!AM30-'12. Разходи'!$AI30</f>
        <v>0</v>
      </c>
      <c r="BC30" s="1101">
        <f>IFERROR(('12. Разходи'!AM30-'12. Разходи'!$AI30)/'12. Разходи'!$AI30,0)</f>
        <v>0</v>
      </c>
      <c r="BD30" s="1110">
        <f>'12. Разходи'!AN30-'12. Разходи'!$AI30</f>
        <v>0</v>
      </c>
      <c r="BE30" s="1157">
        <f>IFERROR(('12. Разходи'!AN30-'12. Разходи'!$AI30)/'12. Разходи'!$AI30,0)</f>
        <v>0</v>
      </c>
      <c r="BF30" s="4422"/>
      <c r="BG30" s="4438">
        <f t="shared" si="1"/>
        <v>41.925934258089917</v>
      </c>
      <c r="BH30" s="4438">
        <f t="shared" si="2"/>
        <v>2.934815398066299</v>
      </c>
      <c r="BI30" s="4438">
        <f t="shared" si="3"/>
        <v>4.2806378877509834</v>
      </c>
      <c r="BJ30" s="4438">
        <f t="shared" si="4"/>
        <v>5.6668350521262134</v>
      </c>
      <c r="BK30" s="4438">
        <f t="shared" si="5"/>
        <v>7.0946181314326973</v>
      </c>
      <c r="BL30" s="4438">
        <f t="shared" si="6"/>
        <v>8.5652347031183762</v>
      </c>
      <c r="BM30" s="4438">
        <f t="shared" si="7"/>
        <v>1.5338756435886556</v>
      </c>
      <c r="BN30" s="4438">
        <f t="shared" si="8"/>
        <v>0.10737129505120586</v>
      </c>
      <c r="BO30" s="4438">
        <f t="shared" si="9"/>
        <v>0.15660870321040185</v>
      </c>
      <c r="BP30" s="4438">
        <f t="shared" si="10"/>
        <v>0.20732323361437355</v>
      </c>
      <c r="BQ30" s="4438">
        <f t="shared" si="11"/>
        <v>0.25955919993046445</v>
      </c>
      <c r="BR30" s="4438">
        <f t="shared" si="12"/>
        <v>0.31336224523603823</v>
      </c>
      <c r="BS30" s="4438">
        <f t="shared" si="13"/>
        <v>1.022583762392437</v>
      </c>
      <c r="BT30" s="4438">
        <f t="shared" si="14"/>
        <v>7.158086336747066E-2</v>
      </c>
      <c r="BU30" s="4438">
        <f t="shared" si="15"/>
        <v>0.1044058021402679</v>
      </c>
      <c r="BV30" s="4438">
        <f t="shared" si="16"/>
        <v>0.13821548907624912</v>
      </c>
      <c r="BW30" s="4438">
        <f t="shared" si="17"/>
        <v>0.17303946662030964</v>
      </c>
      <c r="BX30" s="4438">
        <f t="shared" si="18"/>
        <v>0.20890816349069213</v>
      </c>
      <c r="BY30" s="4438">
        <f t="shared" si="19"/>
        <v>0</v>
      </c>
      <c r="BZ30" s="4438">
        <f t="shared" si="20"/>
        <v>0</v>
      </c>
      <c r="CA30" s="4438">
        <f t="shared" si="21"/>
        <v>0</v>
      </c>
      <c r="CB30" s="4438">
        <f t="shared" si="22"/>
        <v>0</v>
      </c>
      <c r="CC30" s="4438">
        <f t="shared" si="23"/>
        <v>0</v>
      </c>
      <c r="CD30" s="4438">
        <f t="shared" si="24"/>
        <v>0</v>
      </c>
      <c r="CE30" s="4438">
        <f t="shared" si="25"/>
        <v>0</v>
      </c>
      <c r="CF30" s="4438">
        <f t="shared" si="26"/>
        <v>0</v>
      </c>
      <c r="CG30" s="4438">
        <f t="shared" si="27"/>
        <v>0</v>
      </c>
      <c r="CH30" s="4438">
        <f t="shared" si="28"/>
        <v>0</v>
      </c>
      <c r="CI30" s="4438">
        <f t="shared" si="29"/>
        <v>0</v>
      </c>
      <c r="CJ30" s="4438">
        <f t="shared" si="30"/>
        <v>0</v>
      </c>
    </row>
    <row r="31" spans="1:88" ht="24">
      <c r="A31" s="816" t="s">
        <v>97</v>
      </c>
      <c r="B31" s="871" t="s">
        <v>241</v>
      </c>
      <c r="C31" s="1086">
        <f>'12. Разходи'!C31</f>
        <v>0</v>
      </c>
      <c r="D31" s="1115">
        <f>'12. Разходи'!D31-'12. Разходи'!$C31</f>
        <v>0</v>
      </c>
      <c r="E31" s="1095">
        <f>IFERROR(('12. Разходи'!D31-'12. Разходи'!$C31)/'12. Разходи'!$C31,0)</f>
        <v>0</v>
      </c>
      <c r="F31" s="882">
        <f>'12. Разходи'!E31-'12. Разходи'!$C31</f>
        <v>0</v>
      </c>
      <c r="G31" s="1103">
        <f>IFERROR(('12. Разходи'!E31-'12. Разходи'!$C31)/'12. Разходи'!$C31,0)</f>
        <v>0</v>
      </c>
      <c r="H31" s="882">
        <f>'12. Разходи'!F31-'12. Разходи'!$C31</f>
        <v>0</v>
      </c>
      <c r="I31" s="1103">
        <f>IFERROR(('12. Разходи'!F31-'12. Разходи'!$C31)/'12. Разходи'!$C31,0)</f>
        <v>0</v>
      </c>
      <c r="J31" s="882">
        <f>'12. Разходи'!G31-'12. Разходи'!$C31</f>
        <v>0</v>
      </c>
      <c r="K31" s="1102">
        <f>IFERROR(('12. Разходи'!G31-'12. Разходи'!$C31)/'12. Разходи'!$C31,0)</f>
        <v>0</v>
      </c>
      <c r="L31" s="1110">
        <f>'12. Разходи'!H31-'12. Разходи'!$C31</f>
        <v>0</v>
      </c>
      <c r="M31" s="1102">
        <f>IFERROR(('12. Разходи'!H31-'12. Разходи'!$C31)/'12. Разходи'!$C31,0)</f>
        <v>0</v>
      </c>
      <c r="N31" s="1151">
        <f>'12. Разходи'!K31</f>
        <v>0</v>
      </c>
      <c r="O31" s="1115">
        <f>'12. Разходи'!L31-'12. Разходи'!$K31</f>
        <v>0</v>
      </c>
      <c r="P31" s="1095">
        <f>IFERROR(('12. Разходи'!L31-'12. Разходи'!$K31)/'12. Разходи'!$K31,0)</f>
        <v>0</v>
      </c>
      <c r="Q31" s="882">
        <f>'12. Разходи'!M31-'12. Разходи'!$K31</f>
        <v>0</v>
      </c>
      <c r="R31" s="1103">
        <f>IFERROR(('12. Разходи'!M31-'12. Разходи'!$K31)/'12. Разходи'!$K31,0)</f>
        <v>0</v>
      </c>
      <c r="S31" s="882">
        <f>'12. Разходи'!N31-'12. Разходи'!$K31</f>
        <v>0</v>
      </c>
      <c r="T31" s="1103">
        <f>IFERROR(('12. Разходи'!N31-'12. Разходи'!$K31)/'12. Разходи'!$K31,0)</f>
        <v>0</v>
      </c>
      <c r="U31" s="882">
        <f>'12. Разходи'!O31-'12. Разходи'!$K31</f>
        <v>0</v>
      </c>
      <c r="V31" s="1102">
        <f>IFERROR(('12. Разходи'!O31-'12. Разходи'!$K31)/'12. Разходи'!$K31,0)</f>
        <v>0</v>
      </c>
      <c r="W31" s="1110">
        <f>'12. Разходи'!P31-'12. Разходи'!$K31</f>
        <v>0</v>
      </c>
      <c r="X31" s="1157">
        <f>IFERROR(('12. Разходи'!P31-'12. Разходи'!$K31)/'12. Разходи'!$K31,0)</f>
        <v>0</v>
      </c>
      <c r="Y31" s="1151">
        <f>'12. Разходи'!S31</f>
        <v>0</v>
      </c>
      <c r="Z31" s="1115">
        <f>'12. Разходи'!T31-'12. Разходи'!$S31</f>
        <v>0</v>
      </c>
      <c r="AA31" s="1095">
        <f>IFERROR(('12. Разходи'!T31-'12. Разходи'!$S31)/'12. Разходи'!$S31,0)</f>
        <v>0</v>
      </c>
      <c r="AB31" s="882">
        <f>'12. Разходи'!U31-'12. Разходи'!$S31</f>
        <v>0</v>
      </c>
      <c r="AC31" s="1103">
        <f>IFERROR(('12. Разходи'!U31-'12. Разходи'!$S31)/'12. Разходи'!$S31,0)</f>
        <v>0</v>
      </c>
      <c r="AD31" s="882">
        <f>'12. Разходи'!V31-'12. Разходи'!$S31</f>
        <v>0</v>
      </c>
      <c r="AE31" s="1103">
        <f>IFERROR(('12. Разходи'!V31-'12. Разходи'!$S31)/'12. Разходи'!$S31,0)</f>
        <v>0</v>
      </c>
      <c r="AF31" s="882">
        <f>'12. Разходи'!W31-'12. Разходи'!$S31</f>
        <v>0</v>
      </c>
      <c r="AG31" s="1102">
        <f>IFERROR(('12. Разходи'!W31-'12. Разходи'!$S31)/'12. Разходи'!$S31,0)</f>
        <v>0</v>
      </c>
      <c r="AH31" s="1110">
        <f>'12. Разходи'!X31-'12. Разходи'!$S31</f>
        <v>0</v>
      </c>
      <c r="AI31" s="1157">
        <f>IFERROR(('12. Разходи'!X31-'12. Разходи'!$S31)/'12. Разходи'!$S31,0)</f>
        <v>0</v>
      </c>
      <c r="AJ31" s="1151">
        <f>'12. Разходи'!AA31</f>
        <v>0</v>
      </c>
      <c r="AK31" s="1115">
        <f>'12. Разходи'!AB31-'12. Разходи'!$AA31</f>
        <v>0</v>
      </c>
      <c r="AL31" s="1095">
        <f>IFERROR(('12. Разходи'!AB31-'12. Разходи'!$AA31)/'12. Разходи'!$AA31,0)</f>
        <v>0</v>
      </c>
      <c r="AM31" s="882">
        <f>'12. Разходи'!AC31-'12. Разходи'!$AA31</f>
        <v>0</v>
      </c>
      <c r="AN31" s="1103">
        <f>IFERROR(('12. Разходи'!AC31-'12. Разходи'!$AA31)/'12. Разходи'!$AA31,0)</f>
        <v>0</v>
      </c>
      <c r="AO31" s="882">
        <f>'12. Разходи'!AD31-'12. Разходи'!$AA31</f>
        <v>0</v>
      </c>
      <c r="AP31" s="1103">
        <f>IFERROR(('12. Разходи'!AD31-'12. Разходи'!$AA31)/'12. Разходи'!$AA31,0)</f>
        <v>0</v>
      </c>
      <c r="AQ31" s="882">
        <f>'12. Разходи'!AE31-'12. Разходи'!$AA31</f>
        <v>0</v>
      </c>
      <c r="AR31" s="1102">
        <f>IFERROR(('12. Разходи'!AE31-'12. Разходи'!$AA31)/'12. Разходи'!$AA31,0)</f>
        <v>0</v>
      </c>
      <c r="AS31" s="1110">
        <f>'12. Разходи'!AF31-'12. Разходи'!$AA31</f>
        <v>0</v>
      </c>
      <c r="AT31" s="1157">
        <f>IFERROR(('12. Разходи'!AF31-'12. Разходи'!$AA31)/'12. Разходи'!$AA31,0)</f>
        <v>0</v>
      </c>
      <c r="AU31" s="1151">
        <f>'12. Разходи'!AI31</f>
        <v>0</v>
      </c>
      <c r="AV31" s="1115">
        <f>'12. Разходи'!AJ31-'12. Разходи'!$AI31</f>
        <v>0</v>
      </c>
      <c r="AW31" s="1095">
        <f>IFERROR(('12. Разходи'!AJ31-'12. Разходи'!$AI31)/'12. Разходи'!$AI31,0)</f>
        <v>0</v>
      </c>
      <c r="AX31" s="882">
        <f>'12. Разходи'!AK31-'12. Разходи'!$AI31</f>
        <v>0</v>
      </c>
      <c r="AY31" s="1103">
        <f>IFERROR(('12. Разходи'!AK31-'12. Разходи'!$AI31)/'12. Разходи'!$AI31,0)</f>
        <v>0</v>
      </c>
      <c r="AZ31" s="882">
        <f>'12. Разходи'!AL31-'12. Разходи'!$AI31</f>
        <v>0</v>
      </c>
      <c r="BA31" s="1103">
        <f>IFERROR(('12. Разходи'!AL31-'12. Разходи'!$AI31)/'12. Разходи'!$AI31,0)</f>
        <v>0</v>
      </c>
      <c r="BB31" s="882">
        <f>'12. Разходи'!AM31-'12. Разходи'!$AI31</f>
        <v>0</v>
      </c>
      <c r="BC31" s="1102">
        <f>IFERROR(('12. Разходи'!AM31-'12. Разходи'!$AI31)/'12. Разходи'!$AI31,0)</f>
        <v>0</v>
      </c>
      <c r="BD31" s="1110">
        <f>'12. Разходи'!AN31-'12. Разходи'!$AI31</f>
        <v>0</v>
      </c>
      <c r="BE31" s="1157">
        <f>IFERROR(('12. Разходи'!AN31-'12. Разходи'!$AI31)/'12. Разходи'!$AI31,0)</f>
        <v>0</v>
      </c>
      <c r="BF31" s="4422"/>
      <c r="BG31" s="4438">
        <f t="shared" si="1"/>
        <v>0</v>
      </c>
      <c r="BH31" s="4438">
        <f t="shared" si="2"/>
        <v>0</v>
      </c>
      <c r="BI31" s="4438">
        <f t="shared" si="3"/>
        <v>0</v>
      </c>
      <c r="BJ31" s="4438">
        <f t="shared" si="4"/>
        <v>0</v>
      </c>
      <c r="BK31" s="4438">
        <f t="shared" si="5"/>
        <v>0</v>
      </c>
      <c r="BL31" s="4438">
        <f t="shared" si="6"/>
        <v>0</v>
      </c>
      <c r="BM31" s="4438">
        <f t="shared" si="7"/>
        <v>0</v>
      </c>
      <c r="BN31" s="4438">
        <f t="shared" si="8"/>
        <v>0</v>
      </c>
      <c r="BO31" s="4438">
        <f t="shared" si="9"/>
        <v>0</v>
      </c>
      <c r="BP31" s="4438">
        <f t="shared" si="10"/>
        <v>0</v>
      </c>
      <c r="BQ31" s="4438">
        <f t="shared" si="11"/>
        <v>0</v>
      </c>
      <c r="BR31" s="4438">
        <f t="shared" si="12"/>
        <v>0</v>
      </c>
      <c r="BS31" s="4438">
        <f t="shared" si="13"/>
        <v>0</v>
      </c>
      <c r="BT31" s="4438">
        <f t="shared" si="14"/>
        <v>0</v>
      </c>
      <c r="BU31" s="4438">
        <f t="shared" si="15"/>
        <v>0</v>
      </c>
      <c r="BV31" s="4438">
        <f t="shared" si="16"/>
        <v>0</v>
      </c>
      <c r="BW31" s="4438">
        <f t="shared" si="17"/>
        <v>0</v>
      </c>
      <c r="BX31" s="4438">
        <f t="shared" si="18"/>
        <v>0</v>
      </c>
      <c r="BY31" s="4438">
        <f t="shared" si="19"/>
        <v>0</v>
      </c>
      <c r="BZ31" s="4438">
        <f t="shared" si="20"/>
        <v>0</v>
      </c>
      <c r="CA31" s="4438">
        <f t="shared" si="21"/>
        <v>0</v>
      </c>
      <c r="CB31" s="4438">
        <f t="shared" si="22"/>
        <v>0</v>
      </c>
      <c r="CC31" s="4438">
        <f t="shared" si="23"/>
        <v>0</v>
      </c>
      <c r="CD31" s="4438">
        <f t="shared" si="24"/>
        <v>0</v>
      </c>
      <c r="CE31" s="4438">
        <f t="shared" si="25"/>
        <v>0</v>
      </c>
      <c r="CF31" s="4438">
        <f t="shared" si="26"/>
        <v>0</v>
      </c>
      <c r="CG31" s="4438">
        <f t="shared" si="27"/>
        <v>0</v>
      </c>
      <c r="CH31" s="4438">
        <f t="shared" si="28"/>
        <v>0</v>
      </c>
      <c r="CI31" s="4438">
        <f t="shared" si="29"/>
        <v>0</v>
      </c>
      <c r="CJ31" s="4438">
        <f t="shared" si="30"/>
        <v>0</v>
      </c>
    </row>
    <row r="32" spans="1:88" ht="15.95" customHeight="1">
      <c r="A32" s="816" t="s">
        <v>169</v>
      </c>
      <c r="B32" s="871" t="s">
        <v>1219</v>
      </c>
      <c r="C32" s="3090">
        <f>'12. Разходи'!C32</f>
        <v>74</v>
      </c>
      <c r="D32" s="1115">
        <f>'12. Разходи'!D32-'12. Разходи'!$C32</f>
        <v>5.1800000000000068</v>
      </c>
      <c r="E32" s="1095">
        <f>IFERROR(('12. Разходи'!D32-'12. Разходи'!$C32)/'12. Разходи'!$C32,0)</f>
        <v>7.000000000000009E-2</v>
      </c>
      <c r="F32" s="882">
        <f>'12. Разходи'!E32-'12. Разходи'!$C32</f>
        <v>7.5554000000000059</v>
      </c>
      <c r="G32" s="1103">
        <f>IFERROR(('12. Разходи'!E32-'12. Разходи'!$C32)/'12. Разходи'!$C32,0)</f>
        <v>0.10210000000000008</v>
      </c>
      <c r="H32" s="882">
        <f>'12. Разходи'!F32-'12. Разходи'!$C32</f>
        <v>10.002062000000009</v>
      </c>
      <c r="I32" s="1103">
        <f>IFERROR(('12. Разходи'!F32-'12. Разходи'!$C32)/'12. Разходи'!$C32,0)</f>
        <v>0.13516300000000012</v>
      </c>
      <c r="J32" s="882">
        <f>'12. Разходи'!G32-'12. Разходи'!$C32</f>
        <v>11</v>
      </c>
      <c r="K32" s="1102">
        <f>IFERROR(('12. Разходи'!G32-'12. Разходи'!$C32)/'12. Разходи'!$C32,0)</f>
        <v>0.14864864864864866</v>
      </c>
      <c r="L32" s="1110">
        <f>'12. Разходи'!H32-'12. Разходи'!$C32</f>
        <v>13.549999999999997</v>
      </c>
      <c r="M32" s="1102">
        <f>IFERROR(('12. Разходи'!H32-'12. Разходи'!$C32)/'12. Разходи'!$C32,0)</f>
        <v>0.18310810810810807</v>
      </c>
      <c r="N32" s="1151">
        <f>'12. Разходи'!K32</f>
        <v>3</v>
      </c>
      <c r="O32" s="1115">
        <f>'12. Разходи'!L32-'12. Разходи'!$K32</f>
        <v>0.20999999999999996</v>
      </c>
      <c r="P32" s="1095">
        <f>IFERROR(('12. Разходи'!L32-'12. Разходи'!$K32)/'12. Разходи'!$K32,0)</f>
        <v>6.9999999999999993E-2</v>
      </c>
      <c r="Q32" s="882">
        <f>'12. Разходи'!M32-'12. Разходи'!$K32</f>
        <v>0.30630000000000024</v>
      </c>
      <c r="R32" s="1103">
        <f>IFERROR(('12. Разходи'!M32-'12. Разходи'!$K32)/'12. Разходи'!$K32,0)</f>
        <v>0.10210000000000008</v>
      </c>
      <c r="S32" s="882">
        <f>'12. Разходи'!N32-'12. Разходи'!$K32</f>
        <v>0.40548900000000021</v>
      </c>
      <c r="T32" s="1103">
        <f>IFERROR(('12. Разходи'!N32-'12. Разходи'!$K32)/'12. Разходи'!$K32,0)</f>
        <v>0.13516300000000006</v>
      </c>
      <c r="U32" s="882">
        <f>'12. Разходи'!O32-'12. Разходи'!$K32</f>
        <v>0.50765367000000028</v>
      </c>
      <c r="V32" s="1102">
        <f>IFERROR(('12. Разходи'!O32-'12. Разходи'!$K32)/'12. Разходи'!$K32,0)</f>
        <v>0.16921789000000009</v>
      </c>
      <c r="W32" s="1110">
        <f>'12. Разходи'!P32-'12. Разходи'!$K32</f>
        <v>0.61288328010000059</v>
      </c>
      <c r="X32" s="1157">
        <f>IFERROR(('12. Разходи'!P32-'12. Разходи'!$K32)/'12. Разходи'!$K32,0)</f>
        <v>0.2042944267000002</v>
      </c>
      <c r="Y32" s="1151">
        <f>'12. Разходи'!S32</f>
        <v>9</v>
      </c>
      <c r="Z32" s="1115">
        <f>'12. Разходи'!T32-'12. Разходи'!$S32</f>
        <v>0.63000000000000078</v>
      </c>
      <c r="AA32" s="1095">
        <f>IFERROR(('12. Разходи'!T32-'12. Разходи'!$S32)/'12. Разходи'!$S32,0)</f>
        <v>7.000000000000009E-2</v>
      </c>
      <c r="AB32" s="882">
        <f>'12. Разходи'!U32-'12. Разходи'!$S32</f>
        <v>0.91890000000000072</v>
      </c>
      <c r="AC32" s="1103">
        <f>IFERROR(('12. Разходи'!U32-'12. Разходи'!$S32)/'12. Разходи'!$S32,0)</f>
        <v>0.10210000000000008</v>
      </c>
      <c r="AD32" s="882">
        <f>'12. Разходи'!V32-'12. Разходи'!$S32</f>
        <v>1.2164670000000015</v>
      </c>
      <c r="AE32" s="1103">
        <f>IFERROR(('12. Разходи'!V32-'12. Разходи'!$S32)/'12. Разходи'!$S32,0)</f>
        <v>0.13516300000000017</v>
      </c>
      <c r="AF32" s="882">
        <f>'12. Разходи'!W32-'12. Разходи'!$S32</f>
        <v>1.5229610100000013</v>
      </c>
      <c r="AG32" s="1102">
        <f>IFERROR(('12. Разходи'!W32-'12. Разходи'!$S32)/'12. Разходи'!$S32,0)</f>
        <v>0.16921789000000015</v>
      </c>
      <c r="AH32" s="1110">
        <f>'12. Разходи'!X32-'12. Разходи'!$S32</f>
        <v>1.8386498403000022</v>
      </c>
      <c r="AI32" s="1157">
        <f>IFERROR(('12. Разходи'!X32-'12. Разходи'!$S32)/'12. Разходи'!$S32,0)</f>
        <v>0.20429442670000025</v>
      </c>
      <c r="AJ32" s="1151">
        <f>'12. Разходи'!AA32</f>
        <v>0</v>
      </c>
      <c r="AK32" s="1115">
        <f>'12. Разходи'!AB32-'12. Разходи'!$AA32</f>
        <v>0</v>
      </c>
      <c r="AL32" s="1095">
        <f>IFERROR(('12. Разходи'!AB32-'12. Разходи'!$AA32)/'12. Разходи'!$AA32,0)</f>
        <v>0</v>
      </c>
      <c r="AM32" s="882">
        <f>'12. Разходи'!AC32-'12. Разходи'!$AA32</f>
        <v>0</v>
      </c>
      <c r="AN32" s="1103">
        <f>IFERROR(('12. Разходи'!AC32-'12. Разходи'!$AA32)/'12. Разходи'!$AA32,0)</f>
        <v>0</v>
      </c>
      <c r="AO32" s="882">
        <f>'12. Разходи'!AD32-'12. Разходи'!$AA32</f>
        <v>0</v>
      </c>
      <c r="AP32" s="1103">
        <f>IFERROR(('12. Разходи'!AD32-'12. Разходи'!$AA32)/'12. Разходи'!$AA32,0)</f>
        <v>0</v>
      </c>
      <c r="AQ32" s="882">
        <f>'12. Разходи'!AE32-'12. Разходи'!$AA32</f>
        <v>0</v>
      </c>
      <c r="AR32" s="1102">
        <f>IFERROR(('12. Разходи'!AE32-'12. Разходи'!$AA32)/'12. Разходи'!$AA32,0)</f>
        <v>0</v>
      </c>
      <c r="AS32" s="1110">
        <f>'12. Разходи'!AF32-'12. Разходи'!$AA32</f>
        <v>0</v>
      </c>
      <c r="AT32" s="1157">
        <f>IFERROR(('12. Разходи'!AF32-'12. Разходи'!$AA32)/'12. Разходи'!$AA32,0)</f>
        <v>0</v>
      </c>
      <c r="AU32" s="1151">
        <f>'12. Разходи'!AI32</f>
        <v>0</v>
      </c>
      <c r="AV32" s="1115">
        <f>'12. Разходи'!AJ32-'12. Разходи'!$AI32</f>
        <v>0</v>
      </c>
      <c r="AW32" s="1095">
        <f>IFERROR(('12. Разходи'!AJ32-'12. Разходи'!$AI32)/'12. Разходи'!$AI32,0)</f>
        <v>0</v>
      </c>
      <c r="AX32" s="882">
        <f>'12. Разходи'!AK32-'12. Разходи'!$AI32</f>
        <v>0</v>
      </c>
      <c r="AY32" s="1103">
        <f>IFERROR(('12. Разходи'!AK32-'12. Разходи'!$AI32)/'12. Разходи'!$AI32,0)</f>
        <v>0</v>
      </c>
      <c r="AZ32" s="882">
        <f>'12. Разходи'!AL32-'12. Разходи'!$AI32</f>
        <v>0</v>
      </c>
      <c r="BA32" s="1103">
        <f>IFERROR(('12. Разходи'!AL32-'12. Разходи'!$AI32)/'12. Разходи'!$AI32,0)</f>
        <v>0</v>
      </c>
      <c r="BB32" s="882">
        <f>'12. Разходи'!AM32-'12. Разходи'!$AI32</f>
        <v>0</v>
      </c>
      <c r="BC32" s="1102">
        <f>IFERROR(('12. Разходи'!AM32-'12. Разходи'!$AI32)/'12. Разходи'!$AI32,0)</f>
        <v>0</v>
      </c>
      <c r="BD32" s="1110">
        <f>'12. Разходи'!AN32-'12. Разходи'!$AI32</f>
        <v>0</v>
      </c>
      <c r="BE32" s="1157">
        <f>IFERROR(('12. Разходи'!AN32-'12. Разходи'!$AI32)/'12. Разходи'!$AI32,0)</f>
        <v>0</v>
      </c>
      <c r="BF32" s="4422"/>
      <c r="BG32" s="4438">
        <f t="shared" si="1"/>
        <v>37.835599208520172</v>
      </c>
      <c r="BH32" s="4438">
        <f t="shared" si="2"/>
        <v>2.6484919445964152</v>
      </c>
      <c r="BI32" s="4438">
        <f t="shared" si="3"/>
        <v>3.863014679189912</v>
      </c>
      <c r="BJ32" s="4438">
        <f t="shared" si="4"/>
        <v>5.1139730958212164</v>
      </c>
      <c r="BK32" s="4438">
        <f t="shared" si="5"/>
        <v>5.6242106931584033</v>
      </c>
      <c r="BL32" s="4438">
        <f t="shared" si="6"/>
        <v>6.928004990208759</v>
      </c>
      <c r="BM32" s="4438">
        <f t="shared" si="7"/>
        <v>1.5338756435886556</v>
      </c>
      <c r="BN32" s="4438">
        <f t="shared" si="8"/>
        <v>0.10737129505120586</v>
      </c>
      <c r="BO32" s="4438">
        <f t="shared" si="9"/>
        <v>0.15660870321040185</v>
      </c>
      <c r="BP32" s="4438">
        <f t="shared" si="10"/>
        <v>0.20732323361437355</v>
      </c>
      <c r="BQ32" s="4438">
        <f t="shared" si="11"/>
        <v>0.25955919993046445</v>
      </c>
      <c r="BR32" s="4438">
        <f t="shared" si="12"/>
        <v>0.31336224523603823</v>
      </c>
      <c r="BS32" s="4438">
        <f t="shared" si="13"/>
        <v>4.6016269307659661</v>
      </c>
      <c r="BT32" s="4438">
        <f t="shared" si="14"/>
        <v>0.32211388515361805</v>
      </c>
      <c r="BU32" s="4438">
        <f t="shared" si="15"/>
        <v>0.46982610963120552</v>
      </c>
      <c r="BV32" s="4438">
        <f t="shared" si="16"/>
        <v>0.62196970084312109</v>
      </c>
      <c r="BW32" s="4438">
        <f t="shared" si="17"/>
        <v>0.77867759979139362</v>
      </c>
      <c r="BX32" s="4438">
        <f t="shared" si="18"/>
        <v>0.94008673570811485</v>
      </c>
      <c r="BY32" s="4438">
        <f t="shared" si="19"/>
        <v>0</v>
      </c>
      <c r="BZ32" s="4438">
        <f t="shared" si="20"/>
        <v>0</v>
      </c>
      <c r="CA32" s="4438">
        <f t="shared" si="21"/>
        <v>0</v>
      </c>
      <c r="CB32" s="4438">
        <f t="shared" si="22"/>
        <v>0</v>
      </c>
      <c r="CC32" s="4438">
        <f t="shared" si="23"/>
        <v>0</v>
      </c>
      <c r="CD32" s="4438">
        <f t="shared" si="24"/>
        <v>0</v>
      </c>
      <c r="CE32" s="4438">
        <f t="shared" si="25"/>
        <v>0</v>
      </c>
      <c r="CF32" s="4438">
        <f t="shared" si="26"/>
        <v>0</v>
      </c>
      <c r="CG32" s="4438">
        <f t="shared" si="27"/>
        <v>0</v>
      </c>
      <c r="CH32" s="4438">
        <f t="shared" si="28"/>
        <v>0</v>
      </c>
      <c r="CI32" s="4438">
        <f t="shared" si="29"/>
        <v>0</v>
      </c>
      <c r="CJ32" s="4438">
        <f t="shared" si="30"/>
        <v>0</v>
      </c>
    </row>
    <row r="33" spans="1:88" ht="15.95" customHeight="1">
      <c r="A33" s="108" t="s">
        <v>242</v>
      </c>
      <c r="B33" s="871" t="s">
        <v>243</v>
      </c>
      <c r="C33" s="1086">
        <f>'12. Разходи'!C33</f>
        <v>12</v>
      </c>
      <c r="D33" s="1115">
        <f>'12. Разходи'!D33-'12. Разходи'!$C33</f>
        <v>0.83999999999999986</v>
      </c>
      <c r="E33" s="1095">
        <f>IFERROR(('12. Разходи'!D33-'12. Разходи'!$C33)/'12. Разходи'!$C33,0)</f>
        <v>6.9999999999999993E-2</v>
      </c>
      <c r="F33" s="882">
        <f>'12. Разходи'!E33-'12. Разходи'!$C33</f>
        <v>1.225200000000001</v>
      </c>
      <c r="G33" s="1103">
        <f>IFERROR(('12. Разходи'!E33-'12. Разходи'!$C33)/'12. Разходи'!$C33,0)</f>
        <v>0.10210000000000008</v>
      </c>
      <c r="H33" s="882">
        <f>'12. Разходи'!F33-'12. Разходи'!$C33</f>
        <v>1.6219560000000008</v>
      </c>
      <c r="I33" s="1103">
        <f>IFERROR(('12. Разходи'!F33-'12. Разходи'!$C33)/'12. Разходи'!$C33,0)</f>
        <v>0.13516300000000006</v>
      </c>
      <c r="J33" s="882">
        <f>'12. Разходи'!G33-'12. Разходи'!$C33</f>
        <v>2.0306146800000011</v>
      </c>
      <c r="K33" s="1102">
        <f>IFERROR(('12. Разходи'!G33-'12. Разходи'!$C33)/'12. Разходи'!$C33,0)</f>
        <v>0.16921789000000009</v>
      </c>
      <c r="L33" s="1110">
        <f>'12. Разходи'!H33-'12. Разходи'!$C33</f>
        <v>2.4515331204000024</v>
      </c>
      <c r="M33" s="1102">
        <f>IFERROR(('12. Разходи'!H33-'12. Разходи'!$C33)/'12. Разходи'!$C33,0)</f>
        <v>0.2042944267000002</v>
      </c>
      <c r="N33" s="1151">
        <f>'12. Разходи'!K33</f>
        <v>0</v>
      </c>
      <c r="O33" s="1115">
        <f>'12. Разходи'!L33-'12. Разходи'!$K33</f>
        <v>0</v>
      </c>
      <c r="P33" s="1095">
        <f>IFERROR(('12. Разходи'!L33-'12. Разходи'!$K33)/'12. Разходи'!$K33,0)</f>
        <v>0</v>
      </c>
      <c r="Q33" s="882">
        <f>'12. Разходи'!M33-'12. Разходи'!$K33</f>
        <v>0</v>
      </c>
      <c r="R33" s="1103">
        <f>IFERROR(('12. Разходи'!M33-'12. Разходи'!$K33)/'12. Разходи'!$K33,0)</f>
        <v>0</v>
      </c>
      <c r="S33" s="882">
        <f>'12. Разходи'!N33-'12. Разходи'!$K33</f>
        <v>0</v>
      </c>
      <c r="T33" s="1103">
        <f>IFERROR(('12. Разходи'!N33-'12. Разходи'!$K33)/'12. Разходи'!$K33,0)</f>
        <v>0</v>
      </c>
      <c r="U33" s="882">
        <f>'12. Разходи'!O33-'12. Разходи'!$K33</f>
        <v>0</v>
      </c>
      <c r="V33" s="1102">
        <f>IFERROR(('12. Разходи'!O33-'12. Разходи'!$K33)/'12. Разходи'!$K33,0)</f>
        <v>0</v>
      </c>
      <c r="W33" s="1110">
        <f>'12. Разходи'!P33-'12. Разходи'!$K33</f>
        <v>0</v>
      </c>
      <c r="X33" s="1157">
        <f>IFERROR(('12. Разходи'!P33-'12. Разходи'!$K33)/'12. Разходи'!$K33,0)</f>
        <v>0</v>
      </c>
      <c r="Y33" s="1151">
        <f>'12. Разходи'!S33</f>
        <v>0</v>
      </c>
      <c r="Z33" s="1115">
        <f>'12. Разходи'!T33-'12. Разходи'!$S33</f>
        <v>0</v>
      </c>
      <c r="AA33" s="1095">
        <f>IFERROR(('12. Разходи'!T33-'12. Разходи'!$S33)/'12. Разходи'!$S33,0)</f>
        <v>0</v>
      </c>
      <c r="AB33" s="882">
        <f>'12. Разходи'!U33-'12. Разходи'!$S33</f>
        <v>0</v>
      </c>
      <c r="AC33" s="1103">
        <f>IFERROR(('12. Разходи'!U33-'12. Разходи'!$S33)/'12. Разходи'!$S33,0)</f>
        <v>0</v>
      </c>
      <c r="AD33" s="882">
        <f>'12. Разходи'!V33-'12. Разходи'!$S33</f>
        <v>0</v>
      </c>
      <c r="AE33" s="1103">
        <f>IFERROR(('12. Разходи'!V33-'12. Разходи'!$S33)/'12. Разходи'!$S33,0)</f>
        <v>0</v>
      </c>
      <c r="AF33" s="882">
        <f>'12. Разходи'!W33-'12. Разходи'!$S33</f>
        <v>0</v>
      </c>
      <c r="AG33" s="1102">
        <f>IFERROR(('12. Разходи'!W33-'12. Разходи'!$S33)/'12. Разходи'!$S33,0)</f>
        <v>0</v>
      </c>
      <c r="AH33" s="1110">
        <f>'12. Разходи'!X33-'12. Разходи'!$S33</f>
        <v>0</v>
      </c>
      <c r="AI33" s="1157">
        <f>IFERROR(('12. Разходи'!X33-'12. Разходи'!$S33)/'12. Разходи'!$S33,0)</f>
        <v>0</v>
      </c>
      <c r="AJ33" s="1151">
        <f>'12. Разходи'!AA33</f>
        <v>0</v>
      </c>
      <c r="AK33" s="1115">
        <f>'12. Разходи'!AB33-'12. Разходи'!$AA33</f>
        <v>0</v>
      </c>
      <c r="AL33" s="1095">
        <f>IFERROR(('12. Разходи'!AB33-'12. Разходи'!$AA33)/'12. Разходи'!$AA33,0)</f>
        <v>0</v>
      </c>
      <c r="AM33" s="882">
        <f>'12. Разходи'!AC33-'12. Разходи'!$AA33</f>
        <v>0</v>
      </c>
      <c r="AN33" s="1103">
        <f>IFERROR(('12. Разходи'!AC33-'12. Разходи'!$AA33)/'12. Разходи'!$AA33,0)</f>
        <v>0</v>
      </c>
      <c r="AO33" s="882">
        <f>'12. Разходи'!AD33-'12. Разходи'!$AA33</f>
        <v>0</v>
      </c>
      <c r="AP33" s="1103">
        <f>IFERROR(('12. Разходи'!AD33-'12. Разходи'!$AA33)/'12. Разходи'!$AA33,0)</f>
        <v>0</v>
      </c>
      <c r="AQ33" s="882">
        <f>'12. Разходи'!AE33-'12. Разходи'!$AA33</f>
        <v>0</v>
      </c>
      <c r="AR33" s="1102">
        <f>IFERROR(('12. Разходи'!AE33-'12. Разходи'!$AA33)/'12. Разходи'!$AA33,0)</f>
        <v>0</v>
      </c>
      <c r="AS33" s="1110">
        <f>'12. Разходи'!AF33-'12. Разходи'!$AA33</f>
        <v>0</v>
      </c>
      <c r="AT33" s="1157">
        <f>IFERROR(('12. Разходи'!AF33-'12. Разходи'!$AA33)/'12. Разходи'!$AA33,0)</f>
        <v>0</v>
      </c>
      <c r="AU33" s="1151">
        <f>'12. Разходи'!AI33</f>
        <v>0</v>
      </c>
      <c r="AV33" s="1115">
        <f>'12. Разходи'!AJ33-'12. Разходи'!$AI33</f>
        <v>0</v>
      </c>
      <c r="AW33" s="1095">
        <f>IFERROR(('12. Разходи'!AJ33-'12. Разходи'!$AI33)/'12. Разходи'!$AI33,0)</f>
        <v>0</v>
      </c>
      <c r="AX33" s="882">
        <f>'12. Разходи'!AK33-'12. Разходи'!$AI33</f>
        <v>0</v>
      </c>
      <c r="AY33" s="1103">
        <f>IFERROR(('12. Разходи'!AK33-'12. Разходи'!$AI33)/'12. Разходи'!$AI33,0)</f>
        <v>0</v>
      </c>
      <c r="AZ33" s="882">
        <f>'12. Разходи'!AL33-'12. Разходи'!$AI33</f>
        <v>0</v>
      </c>
      <c r="BA33" s="1103">
        <f>IFERROR(('12. Разходи'!AL33-'12. Разходи'!$AI33)/'12. Разходи'!$AI33,0)</f>
        <v>0</v>
      </c>
      <c r="BB33" s="882">
        <f>'12. Разходи'!AM33-'12. Разходи'!$AI33</f>
        <v>0</v>
      </c>
      <c r="BC33" s="1102">
        <f>IFERROR(('12. Разходи'!AM33-'12. Разходи'!$AI33)/'12. Разходи'!$AI33,0)</f>
        <v>0</v>
      </c>
      <c r="BD33" s="1110">
        <f>'12. Разходи'!AN33-'12. Разходи'!$AI33</f>
        <v>0</v>
      </c>
      <c r="BE33" s="1157">
        <f>IFERROR(('12. Разходи'!AN33-'12. Разходи'!$AI33)/'12. Разходи'!$AI33,0)</f>
        <v>0</v>
      </c>
      <c r="BF33" s="4422"/>
      <c r="BG33" s="4438">
        <f t="shared" si="1"/>
        <v>6.1355025743546223</v>
      </c>
      <c r="BH33" s="4438">
        <f t="shared" si="2"/>
        <v>0.42948518020482346</v>
      </c>
      <c r="BI33" s="4438">
        <f t="shared" si="3"/>
        <v>0.6264348128416074</v>
      </c>
      <c r="BJ33" s="4438">
        <f t="shared" si="4"/>
        <v>0.82929293445749419</v>
      </c>
      <c r="BK33" s="4438">
        <f t="shared" si="5"/>
        <v>1.0382367997218578</v>
      </c>
      <c r="BL33" s="4438">
        <f t="shared" si="6"/>
        <v>1.2534489809441529</v>
      </c>
      <c r="BM33" s="4438">
        <f t="shared" si="7"/>
        <v>0</v>
      </c>
      <c r="BN33" s="4438">
        <f t="shared" si="8"/>
        <v>0</v>
      </c>
      <c r="BO33" s="4438">
        <f t="shared" si="9"/>
        <v>0</v>
      </c>
      <c r="BP33" s="4438">
        <f t="shared" si="10"/>
        <v>0</v>
      </c>
      <c r="BQ33" s="4438">
        <f t="shared" si="11"/>
        <v>0</v>
      </c>
      <c r="BR33" s="4438">
        <f t="shared" si="12"/>
        <v>0</v>
      </c>
      <c r="BS33" s="4438">
        <f t="shared" si="13"/>
        <v>0</v>
      </c>
      <c r="BT33" s="4438">
        <f t="shared" si="14"/>
        <v>0</v>
      </c>
      <c r="BU33" s="4438">
        <f t="shared" si="15"/>
        <v>0</v>
      </c>
      <c r="BV33" s="4438">
        <f t="shared" si="16"/>
        <v>0</v>
      </c>
      <c r="BW33" s="4438">
        <f t="shared" si="17"/>
        <v>0</v>
      </c>
      <c r="BX33" s="4438">
        <f t="shared" si="18"/>
        <v>0</v>
      </c>
      <c r="BY33" s="4438">
        <f t="shared" si="19"/>
        <v>0</v>
      </c>
      <c r="BZ33" s="4438">
        <f t="shared" si="20"/>
        <v>0</v>
      </c>
      <c r="CA33" s="4438">
        <f t="shared" si="21"/>
        <v>0</v>
      </c>
      <c r="CB33" s="4438">
        <f t="shared" si="22"/>
        <v>0</v>
      </c>
      <c r="CC33" s="4438">
        <f t="shared" si="23"/>
        <v>0</v>
      </c>
      <c r="CD33" s="4438">
        <f t="shared" si="24"/>
        <v>0</v>
      </c>
      <c r="CE33" s="4438">
        <f t="shared" si="25"/>
        <v>0</v>
      </c>
      <c r="CF33" s="4438">
        <f t="shared" si="26"/>
        <v>0</v>
      </c>
      <c r="CG33" s="4438">
        <f t="shared" si="27"/>
        <v>0</v>
      </c>
      <c r="CH33" s="4438">
        <f t="shared" si="28"/>
        <v>0</v>
      </c>
      <c r="CI33" s="4438">
        <f t="shared" si="29"/>
        <v>0</v>
      </c>
      <c r="CJ33" s="4438">
        <f t="shared" si="30"/>
        <v>0</v>
      </c>
    </row>
    <row r="34" spans="1:88" ht="15.95" customHeight="1">
      <c r="A34" s="816" t="s">
        <v>244</v>
      </c>
      <c r="B34" s="871" t="s">
        <v>245</v>
      </c>
      <c r="C34" s="1086">
        <f>'12. Разходи'!C34</f>
        <v>76</v>
      </c>
      <c r="D34" s="1115">
        <f>'12. Разходи'!D34-'12. Разходи'!$C34</f>
        <v>5.3200000000000074</v>
      </c>
      <c r="E34" s="1095">
        <f>IFERROR(('12. Разходи'!D34-'12. Разходи'!$C34)/'12. Разходи'!$C34,0)</f>
        <v>7.0000000000000104E-2</v>
      </c>
      <c r="F34" s="882">
        <f>'12. Разходи'!E34-'12. Разходи'!$C34</f>
        <v>7.759600000000006</v>
      </c>
      <c r="G34" s="1103">
        <f>IFERROR(('12. Разходи'!E34-'12. Разходи'!$C34)/'12. Разходи'!$C34,0)</f>
        <v>0.10210000000000008</v>
      </c>
      <c r="H34" s="882">
        <f>'12. Разходи'!F34-'12. Разходи'!$C34</f>
        <v>10.272388000000007</v>
      </c>
      <c r="I34" s="1103">
        <f>IFERROR(('12. Разходи'!F34-'12. Разходи'!$C34)/'12. Разходи'!$C34,0)</f>
        <v>0.13516300000000009</v>
      </c>
      <c r="J34" s="882">
        <f>'12. Разходи'!G34-'12. Разходи'!$C34</f>
        <v>12.860559640000005</v>
      </c>
      <c r="K34" s="1102">
        <f>IFERROR(('12. Разходи'!G34-'12. Разходи'!$C34)/'12. Разходи'!$C34,0)</f>
        <v>0.16921789000000007</v>
      </c>
      <c r="L34" s="1110">
        <f>'12. Разходи'!H34-'12. Разходи'!$C34</f>
        <v>15.526376429200013</v>
      </c>
      <c r="M34" s="1102">
        <f>IFERROR(('12. Разходи'!H34-'12. Разходи'!$C34)/'12. Разходи'!$C34,0)</f>
        <v>0.20429442670000017</v>
      </c>
      <c r="N34" s="1151">
        <f>'12. Разходи'!K34</f>
        <v>3</v>
      </c>
      <c r="O34" s="1115">
        <f>'12. Разходи'!L34-'12. Разходи'!$K34</f>
        <v>0.20999999999999996</v>
      </c>
      <c r="P34" s="1095">
        <f>IFERROR(('12. Разходи'!L34-'12. Разходи'!$K34)/'12. Разходи'!$K34,0)</f>
        <v>6.9999999999999993E-2</v>
      </c>
      <c r="Q34" s="882">
        <f>'12. Разходи'!M34-'12. Разходи'!$K34</f>
        <v>0.30630000000000024</v>
      </c>
      <c r="R34" s="1103">
        <f>IFERROR(('12. Разходи'!M34-'12. Разходи'!$K34)/'12. Разходи'!$K34,0)</f>
        <v>0.10210000000000008</v>
      </c>
      <c r="S34" s="882">
        <f>'12. Разходи'!N34-'12. Разходи'!$K34</f>
        <v>0.40548900000000021</v>
      </c>
      <c r="T34" s="1103">
        <f>IFERROR(('12. Разходи'!N34-'12. Разходи'!$K34)/'12. Разходи'!$K34,0)</f>
        <v>0.13516300000000006</v>
      </c>
      <c r="U34" s="882">
        <f>'12. Разходи'!O34-'12. Разходи'!$K34</f>
        <v>0.50765367000000028</v>
      </c>
      <c r="V34" s="1102">
        <f>IFERROR(('12. Разходи'!O34-'12. Разходи'!$K34)/'12. Разходи'!$K34,0)</f>
        <v>0.16921789000000009</v>
      </c>
      <c r="W34" s="1110">
        <f>'12. Разходи'!P34-'12. Разходи'!$K34</f>
        <v>0.61288328010000059</v>
      </c>
      <c r="X34" s="1157">
        <f>IFERROR(('12. Разходи'!P34-'12. Разходи'!$K34)/'12. Разходи'!$K34,0)</f>
        <v>0.2042944267000002</v>
      </c>
      <c r="Y34" s="1151">
        <f>'12. Разходи'!S34</f>
        <v>2</v>
      </c>
      <c r="Z34" s="1115">
        <f>'12. Разходи'!T34-'12. Разходи'!$S34</f>
        <v>0.14000000000000012</v>
      </c>
      <c r="AA34" s="1095">
        <f>IFERROR(('12. Разходи'!T34-'12. Разходи'!$S34)/'12. Разходи'!$S34,0)</f>
        <v>7.0000000000000062E-2</v>
      </c>
      <c r="AB34" s="882">
        <f>'12. Разходи'!U34-'12. Разходи'!$S34</f>
        <v>0.20420000000000016</v>
      </c>
      <c r="AC34" s="1103">
        <f>IFERROR(('12. Разходи'!U34-'12. Разходи'!$S34)/'12. Разходи'!$S34,0)</f>
        <v>0.10210000000000008</v>
      </c>
      <c r="AD34" s="882">
        <f>'12. Разходи'!V34-'12. Разходи'!$S34</f>
        <v>0.27032600000000029</v>
      </c>
      <c r="AE34" s="1103">
        <f>IFERROR(('12. Разходи'!V34-'12. Разходи'!$S34)/'12. Разходи'!$S34,0)</f>
        <v>0.13516300000000014</v>
      </c>
      <c r="AF34" s="882">
        <f>'12. Разходи'!W34-'12. Разходи'!$S34</f>
        <v>0.33843578000000019</v>
      </c>
      <c r="AG34" s="1102">
        <f>IFERROR(('12. Разходи'!W34-'12. Разходи'!$S34)/'12. Разходи'!$S34,0)</f>
        <v>0.16921789000000009</v>
      </c>
      <c r="AH34" s="1110">
        <f>'12. Разходи'!X34-'12. Разходи'!$S34</f>
        <v>0.4085888534000004</v>
      </c>
      <c r="AI34" s="1157">
        <f>IFERROR(('12. Разходи'!X34-'12. Разходи'!$S34)/'12. Разходи'!$S34,0)</f>
        <v>0.2042944267000002</v>
      </c>
      <c r="AJ34" s="1151">
        <f>'12. Разходи'!AA34</f>
        <v>0</v>
      </c>
      <c r="AK34" s="1115">
        <f>'12. Разходи'!AB34-'12. Разходи'!$AA34</f>
        <v>0</v>
      </c>
      <c r="AL34" s="1095">
        <f>IFERROR(('12. Разходи'!AB34-'12. Разходи'!$AA34)/'12. Разходи'!$AA34,0)</f>
        <v>0</v>
      </c>
      <c r="AM34" s="882">
        <f>'12. Разходи'!AC34-'12. Разходи'!$AA34</f>
        <v>0</v>
      </c>
      <c r="AN34" s="1103">
        <f>IFERROR(('12. Разходи'!AC34-'12. Разходи'!$AA34)/'12. Разходи'!$AA34,0)</f>
        <v>0</v>
      </c>
      <c r="AO34" s="882">
        <f>'12. Разходи'!AD34-'12. Разходи'!$AA34</f>
        <v>0</v>
      </c>
      <c r="AP34" s="1103">
        <f>IFERROR(('12. Разходи'!AD34-'12. Разходи'!$AA34)/'12. Разходи'!$AA34,0)</f>
        <v>0</v>
      </c>
      <c r="AQ34" s="882">
        <f>'12. Разходи'!AE34-'12. Разходи'!$AA34</f>
        <v>0</v>
      </c>
      <c r="AR34" s="1102">
        <f>IFERROR(('12. Разходи'!AE34-'12. Разходи'!$AA34)/'12. Разходи'!$AA34,0)</f>
        <v>0</v>
      </c>
      <c r="AS34" s="1110">
        <f>'12. Разходи'!AF34-'12. Разходи'!$AA34</f>
        <v>0</v>
      </c>
      <c r="AT34" s="1157">
        <f>IFERROR(('12. Разходи'!AF34-'12. Разходи'!$AA34)/'12. Разходи'!$AA34,0)</f>
        <v>0</v>
      </c>
      <c r="AU34" s="1151">
        <f>'12. Разходи'!AI34</f>
        <v>0</v>
      </c>
      <c r="AV34" s="1115">
        <f>'12. Разходи'!AJ34-'12. Разходи'!$AI34</f>
        <v>0</v>
      </c>
      <c r="AW34" s="1095">
        <f>IFERROR(('12. Разходи'!AJ34-'12. Разходи'!$AI34)/'12. Разходи'!$AI34,0)</f>
        <v>0</v>
      </c>
      <c r="AX34" s="882">
        <f>'12. Разходи'!AK34-'12. Разходи'!$AI34</f>
        <v>0</v>
      </c>
      <c r="AY34" s="1103">
        <f>IFERROR(('12. Разходи'!AK34-'12. Разходи'!$AI34)/'12. Разходи'!$AI34,0)</f>
        <v>0</v>
      </c>
      <c r="AZ34" s="882">
        <f>'12. Разходи'!AL34-'12. Разходи'!$AI34</f>
        <v>0</v>
      </c>
      <c r="BA34" s="1103">
        <f>IFERROR(('12. Разходи'!AL34-'12. Разходи'!$AI34)/'12. Разходи'!$AI34,0)</f>
        <v>0</v>
      </c>
      <c r="BB34" s="882">
        <f>'12. Разходи'!AM34-'12. Разходи'!$AI34</f>
        <v>0</v>
      </c>
      <c r="BC34" s="1102">
        <f>IFERROR(('12. Разходи'!AM34-'12. Разходи'!$AI34)/'12. Разходи'!$AI34,0)</f>
        <v>0</v>
      </c>
      <c r="BD34" s="1110">
        <f>'12. Разходи'!AN34-'12. Разходи'!$AI34</f>
        <v>0</v>
      </c>
      <c r="BE34" s="1157">
        <f>IFERROR(('12. Разходи'!AN34-'12. Разходи'!$AI34)/'12. Разходи'!$AI34,0)</f>
        <v>0</v>
      </c>
      <c r="BF34" s="4422"/>
      <c r="BG34" s="4438">
        <f t="shared" si="1"/>
        <v>38.858182970912608</v>
      </c>
      <c r="BH34" s="4438">
        <f t="shared" si="2"/>
        <v>2.7200728079638861</v>
      </c>
      <c r="BI34" s="4438">
        <f t="shared" si="3"/>
        <v>3.9674204813301803</v>
      </c>
      <c r="BJ34" s="4438">
        <f t="shared" si="4"/>
        <v>5.2521885848974641</v>
      </c>
      <c r="BK34" s="4438">
        <f t="shared" si="5"/>
        <v>6.5754997315717656</v>
      </c>
      <c r="BL34" s="4438">
        <f t="shared" si="6"/>
        <v>7.9385102126463005</v>
      </c>
      <c r="BM34" s="4438">
        <f t="shared" si="7"/>
        <v>1.5338756435886556</v>
      </c>
      <c r="BN34" s="4438">
        <f t="shared" si="8"/>
        <v>0.10737129505120586</v>
      </c>
      <c r="BO34" s="4438">
        <f t="shared" si="9"/>
        <v>0.15660870321040185</v>
      </c>
      <c r="BP34" s="4438">
        <f t="shared" si="10"/>
        <v>0.20732323361437355</v>
      </c>
      <c r="BQ34" s="4438">
        <f t="shared" si="11"/>
        <v>0.25955919993046445</v>
      </c>
      <c r="BR34" s="4438">
        <f t="shared" si="12"/>
        <v>0.31336224523603823</v>
      </c>
      <c r="BS34" s="4438">
        <f t="shared" si="13"/>
        <v>1.022583762392437</v>
      </c>
      <c r="BT34" s="4438">
        <f t="shared" si="14"/>
        <v>7.158086336747066E-2</v>
      </c>
      <c r="BU34" s="4438">
        <f t="shared" si="15"/>
        <v>0.1044058021402679</v>
      </c>
      <c r="BV34" s="4438">
        <f t="shared" si="16"/>
        <v>0.13821548907624912</v>
      </c>
      <c r="BW34" s="4438">
        <f t="shared" si="17"/>
        <v>0.17303946662030964</v>
      </c>
      <c r="BX34" s="4438">
        <f t="shared" si="18"/>
        <v>0.20890816349069213</v>
      </c>
      <c r="BY34" s="4438">
        <f t="shared" si="19"/>
        <v>0</v>
      </c>
      <c r="BZ34" s="4438">
        <f t="shared" si="20"/>
        <v>0</v>
      </c>
      <c r="CA34" s="4438">
        <f t="shared" si="21"/>
        <v>0</v>
      </c>
      <c r="CB34" s="4438">
        <f t="shared" si="22"/>
        <v>0</v>
      </c>
      <c r="CC34" s="4438">
        <f t="shared" si="23"/>
        <v>0</v>
      </c>
      <c r="CD34" s="4438">
        <f t="shared" si="24"/>
        <v>0</v>
      </c>
      <c r="CE34" s="4438">
        <f t="shared" si="25"/>
        <v>0</v>
      </c>
      <c r="CF34" s="4438">
        <f t="shared" si="26"/>
        <v>0</v>
      </c>
      <c r="CG34" s="4438">
        <f t="shared" si="27"/>
        <v>0</v>
      </c>
      <c r="CH34" s="4438">
        <f t="shared" si="28"/>
        <v>0</v>
      </c>
      <c r="CI34" s="4438">
        <f t="shared" si="29"/>
        <v>0</v>
      </c>
      <c r="CJ34" s="4438">
        <f t="shared" si="30"/>
        <v>0</v>
      </c>
    </row>
    <row r="35" spans="1:88" ht="15.95" customHeight="1">
      <c r="A35" s="816" t="s">
        <v>246</v>
      </c>
      <c r="B35" s="871" t="s">
        <v>247</v>
      </c>
      <c r="C35" s="1086">
        <f>'12. Разходи'!C35</f>
        <v>39</v>
      </c>
      <c r="D35" s="1115">
        <f>'12. Разходи'!D35-'12. Разходи'!$C35</f>
        <v>2.730000000000004</v>
      </c>
      <c r="E35" s="1095">
        <f>IFERROR(('12. Разходи'!D35-'12. Разходи'!$C35)/'12. Разходи'!$C35,0)</f>
        <v>7.0000000000000104E-2</v>
      </c>
      <c r="F35" s="882">
        <f>'12. Разходи'!E35-'12. Разходи'!$C35</f>
        <v>3.9819000000000031</v>
      </c>
      <c r="G35" s="1103">
        <f>IFERROR(('12. Разходи'!E35-'12. Разходи'!$C35)/'12. Разходи'!$C35,0)</f>
        <v>0.10210000000000008</v>
      </c>
      <c r="H35" s="882">
        <f>'12. Разходи'!F35-'12. Разходи'!$C35</f>
        <v>5.2713570000000018</v>
      </c>
      <c r="I35" s="1103">
        <f>IFERROR(('12. Разходи'!F35-'12. Разходи'!$C35)/'12. Разходи'!$C35,0)</f>
        <v>0.13516300000000006</v>
      </c>
      <c r="J35" s="882">
        <f>'12. Разходи'!G35-'12. Разходи'!$C35</f>
        <v>6.5994977100000014</v>
      </c>
      <c r="K35" s="1102">
        <f>IFERROR(('12. Разходи'!G35-'12. Разходи'!$C35)/'12. Разходи'!$C35,0)</f>
        <v>0.16921789000000004</v>
      </c>
      <c r="L35" s="1110">
        <f>'12. Разходи'!H35-'12. Разходи'!$C35</f>
        <v>7.9674826413000019</v>
      </c>
      <c r="M35" s="1102">
        <f>IFERROR(('12. Разходи'!H35-'12. Разходи'!$C35)/'12. Разходи'!$C35,0)</f>
        <v>0.20429442670000006</v>
      </c>
      <c r="N35" s="1151">
        <f>'12. Разходи'!K35</f>
        <v>0</v>
      </c>
      <c r="O35" s="1115">
        <f>'12. Разходи'!L35-'12. Разходи'!$K35</f>
        <v>0</v>
      </c>
      <c r="P35" s="1095">
        <f>IFERROR(('12. Разходи'!L35-'12. Разходи'!$K35)/'12. Разходи'!$K35,0)</f>
        <v>0</v>
      </c>
      <c r="Q35" s="882">
        <f>'12. Разходи'!M35-'12. Разходи'!$K35</f>
        <v>0</v>
      </c>
      <c r="R35" s="1103">
        <f>IFERROR(('12. Разходи'!M35-'12. Разходи'!$K35)/'12. Разходи'!$K35,0)</f>
        <v>0</v>
      </c>
      <c r="S35" s="882">
        <f>'12. Разходи'!N35-'12. Разходи'!$K35</f>
        <v>0</v>
      </c>
      <c r="T35" s="1103">
        <f>IFERROR(('12. Разходи'!N35-'12. Разходи'!$K35)/'12. Разходи'!$K35,0)</f>
        <v>0</v>
      </c>
      <c r="U35" s="882">
        <f>'12. Разходи'!O35-'12. Разходи'!$K35</f>
        <v>0</v>
      </c>
      <c r="V35" s="1102">
        <f>IFERROR(('12. Разходи'!O35-'12. Разходи'!$K35)/'12. Разходи'!$K35,0)</f>
        <v>0</v>
      </c>
      <c r="W35" s="1110">
        <f>'12. Разходи'!P35-'12. Разходи'!$K35</f>
        <v>0</v>
      </c>
      <c r="X35" s="1157">
        <f>IFERROR(('12. Разходи'!P35-'12. Разходи'!$K35)/'12. Разходи'!$K35,0)</f>
        <v>0</v>
      </c>
      <c r="Y35" s="1151">
        <f>'12. Разходи'!S35</f>
        <v>5</v>
      </c>
      <c r="Z35" s="1115">
        <f>'12. Разходи'!T35-'12. Разходи'!$S35</f>
        <v>0.35000000000000053</v>
      </c>
      <c r="AA35" s="1095">
        <f>IFERROR(('12. Разходи'!T35-'12. Разходи'!$S35)/'12. Разходи'!$S35,0)</f>
        <v>7.0000000000000104E-2</v>
      </c>
      <c r="AB35" s="882">
        <f>'12. Разходи'!U35-'12. Разходи'!$S35</f>
        <v>0.5105000000000004</v>
      </c>
      <c r="AC35" s="1103">
        <f>IFERROR(('12. Разходи'!U35-'12. Разходи'!$S35)/'12. Разходи'!$S35,0)</f>
        <v>0.10210000000000008</v>
      </c>
      <c r="AD35" s="882">
        <f>'12. Разходи'!V35-'12. Разходи'!$S35</f>
        <v>0.67581500000000094</v>
      </c>
      <c r="AE35" s="1103">
        <f>IFERROR(('12. Разходи'!V35-'12. Разходи'!$S35)/'12. Разходи'!$S35,0)</f>
        <v>0.1351630000000002</v>
      </c>
      <c r="AF35" s="882">
        <f>'12. Разходи'!W35-'12. Разходи'!$S35</f>
        <v>0.84608945000000091</v>
      </c>
      <c r="AG35" s="1102">
        <f>IFERROR(('12. Разходи'!W35-'12. Разходи'!$S35)/'12. Разходи'!$S35,0)</f>
        <v>0.16921789000000018</v>
      </c>
      <c r="AH35" s="1110">
        <f>'12. Разходи'!X35-'12. Разходи'!$S35</f>
        <v>1.0214721335000014</v>
      </c>
      <c r="AI35" s="1157">
        <f>IFERROR(('12. Разходи'!X35-'12. Разходи'!$S35)/'12. Разходи'!$S35,0)</f>
        <v>0.20429442670000028</v>
      </c>
      <c r="AJ35" s="1151">
        <f>'12. Разходи'!AA35</f>
        <v>0</v>
      </c>
      <c r="AK35" s="1115">
        <f>'12. Разходи'!AB35-'12. Разходи'!$AA35</f>
        <v>0</v>
      </c>
      <c r="AL35" s="1095">
        <f>IFERROR(('12. Разходи'!AB35-'12. Разходи'!$AA35)/'12. Разходи'!$AA35,0)</f>
        <v>0</v>
      </c>
      <c r="AM35" s="882">
        <f>'12. Разходи'!AC35-'12. Разходи'!$AA35</f>
        <v>0</v>
      </c>
      <c r="AN35" s="1103">
        <f>IFERROR(('12. Разходи'!AC35-'12. Разходи'!$AA35)/'12. Разходи'!$AA35,0)</f>
        <v>0</v>
      </c>
      <c r="AO35" s="882">
        <f>'12. Разходи'!AD35-'12. Разходи'!$AA35</f>
        <v>0</v>
      </c>
      <c r="AP35" s="1103">
        <f>IFERROR(('12. Разходи'!AD35-'12. Разходи'!$AA35)/'12. Разходи'!$AA35,0)</f>
        <v>0</v>
      </c>
      <c r="AQ35" s="882">
        <f>'12. Разходи'!AE35-'12. Разходи'!$AA35</f>
        <v>0</v>
      </c>
      <c r="AR35" s="1102">
        <f>IFERROR(('12. Разходи'!AE35-'12. Разходи'!$AA35)/'12. Разходи'!$AA35,0)</f>
        <v>0</v>
      </c>
      <c r="AS35" s="1110">
        <f>'12. Разходи'!AF35-'12. Разходи'!$AA35</f>
        <v>0</v>
      </c>
      <c r="AT35" s="1157">
        <f>IFERROR(('12. Разходи'!AF35-'12. Разходи'!$AA35)/'12. Разходи'!$AA35,0)</f>
        <v>0</v>
      </c>
      <c r="AU35" s="1151">
        <f>'12. Разходи'!AI35</f>
        <v>0</v>
      </c>
      <c r="AV35" s="1115">
        <f>'12. Разходи'!AJ35-'12. Разходи'!$AI35</f>
        <v>0</v>
      </c>
      <c r="AW35" s="1095">
        <f>IFERROR(('12. Разходи'!AJ35-'12. Разходи'!$AI35)/'12. Разходи'!$AI35,0)</f>
        <v>0</v>
      </c>
      <c r="AX35" s="882">
        <f>'12. Разходи'!AK35-'12. Разходи'!$AI35</f>
        <v>0</v>
      </c>
      <c r="AY35" s="1103">
        <f>IFERROR(('12. Разходи'!AK35-'12. Разходи'!$AI35)/'12. Разходи'!$AI35,0)</f>
        <v>0</v>
      </c>
      <c r="AZ35" s="882">
        <f>'12. Разходи'!AL35-'12. Разходи'!$AI35</f>
        <v>0</v>
      </c>
      <c r="BA35" s="1103">
        <f>IFERROR(('12. Разходи'!AL35-'12. Разходи'!$AI35)/'12. Разходи'!$AI35,0)</f>
        <v>0</v>
      </c>
      <c r="BB35" s="882">
        <f>'12. Разходи'!AM35-'12. Разходи'!$AI35</f>
        <v>0</v>
      </c>
      <c r="BC35" s="1102">
        <f>IFERROR(('12. Разходи'!AM35-'12. Разходи'!$AI35)/'12. Разходи'!$AI35,0)</f>
        <v>0</v>
      </c>
      <c r="BD35" s="1110">
        <f>'12. Разходи'!AN35-'12. Разходи'!$AI35</f>
        <v>0</v>
      </c>
      <c r="BE35" s="1157">
        <f>IFERROR(('12. Разходи'!AN35-'12. Разходи'!$AI35)/'12. Разходи'!$AI35,0)</f>
        <v>0</v>
      </c>
      <c r="BF35" s="4422"/>
      <c r="BG35" s="4438">
        <f t="shared" si="1"/>
        <v>19.940383366652522</v>
      </c>
      <c r="BH35" s="4438">
        <f t="shared" si="2"/>
        <v>1.3958268356656784</v>
      </c>
      <c r="BI35" s="4438">
        <f t="shared" si="3"/>
        <v>2.0359131417352239</v>
      </c>
      <c r="BJ35" s="4438">
        <f t="shared" si="4"/>
        <v>2.6952020369868559</v>
      </c>
      <c r="BK35" s="4438">
        <f t="shared" si="5"/>
        <v>3.3742695990960367</v>
      </c>
      <c r="BL35" s="4438">
        <f t="shared" si="6"/>
        <v>4.0737091880684941</v>
      </c>
      <c r="BM35" s="4438">
        <f t="shared" si="7"/>
        <v>0</v>
      </c>
      <c r="BN35" s="4438">
        <f t="shared" si="8"/>
        <v>0</v>
      </c>
      <c r="BO35" s="4438">
        <f t="shared" si="9"/>
        <v>0</v>
      </c>
      <c r="BP35" s="4438">
        <f t="shared" si="10"/>
        <v>0</v>
      </c>
      <c r="BQ35" s="4438">
        <f t="shared" si="11"/>
        <v>0</v>
      </c>
      <c r="BR35" s="4438">
        <f t="shared" si="12"/>
        <v>0</v>
      </c>
      <c r="BS35" s="4438">
        <f t="shared" si="13"/>
        <v>2.5564594059810926</v>
      </c>
      <c r="BT35" s="4438">
        <f t="shared" si="14"/>
        <v>0.17895215841867676</v>
      </c>
      <c r="BU35" s="4438">
        <f t="shared" si="15"/>
        <v>0.26101450535066972</v>
      </c>
      <c r="BV35" s="4438">
        <f t="shared" si="16"/>
        <v>0.34553872269062291</v>
      </c>
      <c r="BW35" s="4438">
        <f t="shared" si="17"/>
        <v>0.43259866655077434</v>
      </c>
      <c r="BX35" s="4438">
        <f t="shared" si="18"/>
        <v>0.52227040872673058</v>
      </c>
      <c r="BY35" s="4438">
        <f t="shared" si="19"/>
        <v>0</v>
      </c>
      <c r="BZ35" s="4438">
        <f t="shared" si="20"/>
        <v>0</v>
      </c>
      <c r="CA35" s="4438">
        <f t="shared" si="21"/>
        <v>0</v>
      </c>
      <c r="CB35" s="4438">
        <f t="shared" si="22"/>
        <v>0</v>
      </c>
      <c r="CC35" s="4438">
        <f t="shared" si="23"/>
        <v>0</v>
      </c>
      <c r="CD35" s="4438">
        <f t="shared" si="24"/>
        <v>0</v>
      </c>
      <c r="CE35" s="4438">
        <f t="shared" si="25"/>
        <v>0</v>
      </c>
      <c r="CF35" s="4438">
        <f t="shared" si="26"/>
        <v>0</v>
      </c>
      <c r="CG35" s="4438">
        <f t="shared" si="27"/>
        <v>0</v>
      </c>
      <c r="CH35" s="4438">
        <f t="shared" si="28"/>
        <v>0</v>
      </c>
      <c r="CI35" s="4438">
        <f t="shared" si="29"/>
        <v>0</v>
      </c>
      <c r="CJ35" s="4438">
        <f t="shared" si="30"/>
        <v>0</v>
      </c>
    </row>
    <row r="36" spans="1:88" ht="15.95" customHeight="1">
      <c r="A36" s="108" t="s">
        <v>248</v>
      </c>
      <c r="B36" s="871" t="s">
        <v>249</v>
      </c>
      <c r="C36" s="1086">
        <f>'12. Разходи'!C36</f>
        <v>32</v>
      </c>
      <c r="D36" s="1115">
        <f>'12. Разходи'!D36-'12. Разходи'!$C36</f>
        <v>2.240000000000002</v>
      </c>
      <c r="E36" s="1095">
        <f>IFERROR(('12. Разходи'!D36-'12. Разходи'!$C36)/'12. Разходи'!$C36,0)</f>
        <v>7.0000000000000062E-2</v>
      </c>
      <c r="F36" s="882">
        <f>'12. Разходи'!E36-'12. Разходи'!$C36</f>
        <v>3.2672000000000025</v>
      </c>
      <c r="G36" s="1103">
        <f>IFERROR(('12. Разходи'!E36-'12. Разходи'!$C36)/'12. Разходи'!$C36,0)</f>
        <v>0.10210000000000008</v>
      </c>
      <c r="H36" s="882">
        <f>'12. Разходи'!F36-'12. Разходи'!$C36</f>
        <v>4.3252160000000046</v>
      </c>
      <c r="I36" s="1103">
        <f>IFERROR(('12. Разходи'!F36-'12. Разходи'!$C36)/'12. Разходи'!$C36,0)</f>
        <v>0.13516300000000014</v>
      </c>
      <c r="J36" s="882">
        <f>'12. Разходи'!G36-'12. Разходи'!$C36</f>
        <v>5.414972480000003</v>
      </c>
      <c r="K36" s="1102">
        <f>IFERROR(('12. Разходи'!G36-'12. Разходи'!$C36)/'12. Разходи'!$C36,0)</f>
        <v>0.16921789000000009</v>
      </c>
      <c r="L36" s="1110">
        <f>'12. Разходи'!H36-'12. Разходи'!$C36</f>
        <v>6.5374216544000063</v>
      </c>
      <c r="M36" s="1102">
        <f>IFERROR(('12. Разходи'!H36-'12. Разходи'!$C36)/'12. Разходи'!$C36,0)</f>
        <v>0.2042944267000002</v>
      </c>
      <c r="N36" s="1151">
        <f>'12. Разходи'!K36</f>
        <v>2</v>
      </c>
      <c r="O36" s="1115">
        <f>'12. Разходи'!L36-'12. Разходи'!$K36</f>
        <v>0.14000000000000012</v>
      </c>
      <c r="P36" s="1095">
        <f>IFERROR(('12. Разходи'!L36-'12. Разходи'!$K36)/'12. Разходи'!$K36,0)</f>
        <v>7.0000000000000062E-2</v>
      </c>
      <c r="Q36" s="882">
        <f>'12. Разходи'!M36-'12. Разходи'!$K36</f>
        <v>0.20420000000000016</v>
      </c>
      <c r="R36" s="1103">
        <f>IFERROR(('12. Разходи'!M36-'12. Разходи'!$K36)/'12. Разходи'!$K36,0)</f>
        <v>0.10210000000000008</v>
      </c>
      <c r="S36" s="882">
        <f>'12. Разходи'!N36-'12. Разходи'!$K36</f>
        <v>0.27032600000000029</v>
      </c>
      <c r="T36" s="1103">
        <f>IFERROR(('12. Разходи'!N36-'12. Разходи'!$K36)/'12. Разходи'!$K36,0)</f>
        <v>0.13516300000000014</v>
      </c>
      <c r="U36" s="882">
        <f>'12. Разходи'!O36-'12. Разходи'!$K36</f>
        <v>0.33843578000000019</v>
      </c>
      <c r="V36" s="1102">
        <f>IFERROR(('12. Разходи'!O36-'12. Разходи'!$K36)/'12. Разходи'!$K36,0)</f>
        <v>0.16921789000000009</v>
      </c>
      <c r="W36" s="1110">
        <f>'12. Разходи'!P36-'12. Разходи'!$K36</f>
        <v>0.4085888534000004</v>
      </c>
      <c r="X36" s="1157">
        <f>IFERROR(('12. Разходи'!P36-'12. Разходи'!$K36)/'12. Разходи'!$K36,0)</f>
        <v>0.2042944267000002</v>
      </c>
      <c r="Y36" s="1151">
        <f>'12. Разходи'!S36</f>
        <v>3</v>
      </c>
      <c r="Z36" s="1115">
        <f>'12. Разходи'!T36-'12. Разходи'!$S36</f>
        <v>0.20999999999999996</v>
      </c>
      <c r="AA36" s="1095">
        <f>IFERROR(('12. Разходи'!T36-'12. Разходи'!$S36)/'12. Разходи'!$S36,0)</f>
        <v>6.9999999999999993E-2</v>
      </c>
      <c r="AB36" s="882">
        <f>'12. Разходи'!U36-'12. Разходи'!$S36</f>
        <v>0.30630000000000024</v>
      </c>
      <c r="AC36" s="1103">
        <f>IFERROR(('12. Разходи'!U36-'12. Разходи'!$S36)/'12. Разходи'!$S36,0)</f>
        <v>0.10210000000000008</v>
      </c>
      <c r="AD36" s="882">
        <f>'12. Разходи'!V36-'12. Разходи'!$S36</f>
        <v>0.40548900000000021</v>
      </c>
      <c r="AE36" s="1103">
        <f>IFERROR(('12. Разходи'!V36-'12. Разходи'!$S36)/'12. Разходи'!$S36,0)</f>
        <v>0.13516300000000006</v>
      </c>
      <c r="AF36" s="882">
        <f>'12. Разходи'!W36-'12. Разходи'!$S36</f>
        <v>0.50765367000000028</v>
      </c>
      <c r="AG36" s="1102">
        <f>IFERROR(('12. Разходи'!W36-'12. Разходи'!$S36)/'12. Разходи'!$S36,0)</f>
        <v>0.16921789000000009</v>
      </c>
      <c r="AH36" s="1110">
        <f>'12. Разходи'!X36-'12. Разходи'!$S36</f>
        <v>0.61288328010000059</v>
      </c>
      <c r="AI36" s="1157">
        <f>IFERROR(('12. Разходи'!X36-'12. Разходи'!$S36)/'12. Разходи'!$S36,0)</f>
        <v>0.2042944267000002</v>
      </c>
      <c r="AJ36" s="1151">
        <f>'12. Разходи'!AA36</f>
        <v>0</v>
      </c>
      <c r="AK36" s="1115">
        <f>'12. Разходи'!AB36-'12. Разходи'!$AA36</f>
        <v>0</v>
      </c>
      <c r="AL36" s="1095">
        <f>IFERROR(('12. Разходи'!AB36-'12. Разходи'!$AA36)/'12. Разходи'!$AA36,0)</f>
        <v>0</v>
      </c>
      <c r="AM36" s="882">
        <f>'12. Разходи'!AC36-'12. Разходи'!$AA36</f>
        <v>0</v>
      </c>
      <c r="AN36" s="1103">
        <f>IFERROR(('12. Разходи'!AC36-'12. Разходи'!$AA36)/'12. Разходи'!$AA36,0)</f>
        <v>0</v>
      </c>
      <c r="AO36" s="882">
        <f>'12. Разходи'!AD36-'12. Разходи'!$AA36</f>
        <v>0</v>
      </c>
      <c r="AP36" s="1103">
        <f>IFERROR(('12. Разходи'!AD36-'12. Разходи'!$AA36)/'12. Разходи'!$AA36,0)</f>
        <v>0</v>
      </c>
      <c r="AQ36" s="882">
        <f>'12. Разходи'!AE36-'12. Разходи'!$AA36</f>
        <v>0</v>
      </c>
      <c r="AR36" s="1102">
        <f>IFERROR(('12. Разходи'!AE36-'12. Разходи'!$AA36)/'12. Разходи'!$AA36,0)</f>
        <v>0</v>
      </c>
      <c r="AS36" s="1110">
        <f>'12. Разходи'!AF36-'12. Разходи'!$AA36</f>
        <v>0</v>
      </c>
      <c r="AT36" s="1157">
        <f>IFERROR(('12. Разходи'!AF36-'12. Разходи'!$AA36)/'12. Разходи'!$AA36,0)</f>
        <v>0</v>
      </c>
      <c r="AU36" s="1151">
        <f>'12. Разходи'!AI36</f>
        <v>0</v>
      </c>
      <c r="AV36" s="1115">
        <f>'12. Разходи'!AJ36-'12. Разходи'!$AI36</f>
        <v>0</v>
      </c>
      <c r="AW36" s="1095">
        <f>IFERROR(('12. Разходи'!AJ36-'12. Разходи'!$AI36)/'12. Разходи'!$AI36,0)</f>
        <v>0</v>
      </c>
      <c r="AX36" s="882">
        <f>'12. Разходи'!AK36-'12. Разходи'!$AI36</f>
        <v>0</v>
      </c>
      <c r="AY36" s="1103">
        <f>IFERROR(('12. Разходи'!AK36-'12. Разходи'!$AI36)/'12. Разходи'!$AI36,0)</f>
        <v>0</v>
      </c>
      <c r="AZ36" s="882">
        <f>'12. Разходи'!AL36-'12. Разходи'!$AI36</f>
        <v>0</v>
      </c>
      <c r="BA36" s="1103">
        <f>IFERROR(('12. Разходи'!AL36-'12. Разходи'!$AI36)/'12. Разходи'!$AI36,0)</f>
        <v>0</v>
      </c>
      <c r="BB36" s="882">
        <f>'12. Разходи'!AM36-'12. Разходи'!$AI36</f>
        <v>0</v>
      </c>
      <c r="BC36" s="1102">
        <f>IFERROR(('12. Разходи'!AM36-'12. Разходи'!$AI36)/'12. Разходи'!$AI36,0)</f>
        <v>0</v>
      </c>
      <c r="BD36" s="1110">
        <f>'12. Разходи'!AN36-'12. Разходи'!$AI36</f>
        <v>0</v>
      </c>
      <c r="BE36" s="1157">
        <f>IFERROR(('12. Разходи'!AN36-'12. Разходи'!$AI36)/'12. Разходи'!$AI36,0)</f>
        <v>0</v>
      </c>
      <c r="BF36" s="4422"/>
      <c r="BG36" s="4438">
        <f t="shared" si="1"/>
        <v>16.361340198278992</v>
      </c>
      <c r="BH36" s="4438">
        <f t="shared" si="2"/>
        <v>1.1452938138795306</v>
      </c>
      <c r="BI36" s="4438">
        <f t="shared" si="3"/>
        <v>1.6704928342442864</v>
      </c>
      <c r="BJ36" s="4438">
        <f t="shared" si="4"/>
        <v>2.2114478252199858</v>
      </c>
      <c r="BK36" s="4438">
        <f t="shared" si="5"/>
        <v>2.7686314659249542</v>
      </c>
      <c r="BL36" s="4438">
        <f t="shared" si="6"/>
        <v>3.3425306158510741</v>
      </c>
      <c r="BM36" s="4438">
        <f t="shared" si="7"/>
        <v>1.022583762392437</v>
      </c>
      <c r="BN36" s="4438">
        <f t="shared" si="8"/>
        <v>7.158086336747066E-2</v>
      </c>
      <c r="BO36" s="4438">
        <f t="shared" si="9"/>
        <v>0.1044058021402679</v>
      </c>
      <c r="BP36" s="4438">
        <f t="shared" si="10"/>
        <v>0.13821548907624912</v>
      </c>
      <c r="BQ36" s="4438">
        <f t="shared" si="11"/>
        <v>0.17303946662030964</v>
      </c>
      <c r="BR36" s="4438">
        <f t="shared" si="12"/>
        <v>0.20890816349069213</v>
      </c>
      <c r="BS36" s="4438">
        <f t="shared" si="13"/>
        <v>1.5338756435886556</v>
      </c>
      <c r="BT36" s="4438">
        <f t="shared" si="14"/>
        <v>0.10737129505120586</v>
      </c>
      <c r="BU36" s="4438">
        <f t="shared" si="15"/>
        <v>0.15660870321040185</v>
      </c>
      <c r="BV36" s="4438">
        <f t="shared" si="16"/>
        <v>0.20732323361437355</v>
      </c>
      <c r="BW36" s="4438">
        <f t="shared" si="17"/>
        <v>0.25955919993046445</v>
      </c>
      <c r="BX36" s="4438">
        <f t="shared" si="18"/>
        <v>0.31336224523603823</v>
      </c>
      <c r="BY36" s="4438">
        <f t="shared" si="19"/>
        <v>0</v>
      </c>
      <c r="BZ36" s="4438">
        <f t="shared" si="20"/>
        <v>0</v>
      </c>
      <c r="CA36" s="4438">
        <f t="shared" si="21"/>
        <v>0</v>
      </c>
      <c r="CB36" s="4438">
        <f t="shared" si="22"/>
        <v>0</v>
      </c>
      <c r="CC36" s="4438">
        <f t="shared" si="23"/>
        <v>0</v>
      </c>
      <c r="CD36" s="4438">
        <f t="shared" si="24"/>
        <v>0</v>
      </c>
      <c r="CE36" s="4438">
        <f t="shared" si="25"/>
        <v>0</v>
      </c>
      <c r="CF36" s="4438">
        <f t="shared" si="26"/>
        <v>0</v>
      </c>
      <c r="CG36" s="4438">
        <f t="shared" si="27"/>
        <v>0</v>
      </c>
      <c r="CH36" s="4438">
        <f t="shared" si="28"/>
        <v>0</v>
      </c>
      <c r="CI36" s="4438">
        <f t="shared" si="29"/>
        <v>0</v>
      </c>
      <c r="CJ36" s="4438">
        <f t="shared" si="30"/>
        <v>0</v>
      </c>
    </row>
    <row r="37" spans="1:88" ht="15.95" customHeight="1">
      <c r="A37" s="816" t="s">
        <v>250</v>
      </c>
      <c r="B37" s="871" t="s">
        <v>251</v>
      </c>
      <c r="C37" s="1086">
        <f>'12. Разходи'!C37</f>
        <v>31</v>
      </c>
      <c r="D37" s="1115">
        <f>'12. Разходи'!D37-'12. Разходи'!$C37</f>
        <v>2.1700000000000017</v>
      </c>
      <c r="E37" s="1095">
        <f>IFERROR(('12. Разходи'!D37-'12. Разходи'!$C37)/'12. Разходи'!$C37,0)</f>
        <v>7.0000000000000048E-2</v>
      </c>
      <c r="F37" s="882">
        <f>'12. Разходи'!E37-'12. Разходи'!$C37</f>
        <v>3.1651000000000025</v>
      </c>
      <c r="G37" s="1103">
        <f>IFERROR(('12. Разходи'!E37-'12. Разходи'!$C37)/'12. Разходи'!$C37,0)</f>
        <v>0.10210000000000008</v>
      </c>
      <c r="H37" s="882">
        <f>'12. Разходи'!F37-'12. Разходи'!$C37</f>
        <v>4.190053000000006</v>
      </c>
      <c r="I37" s="1103">
        <f>IFERROR(('12. Разходи'!F37-'12. Разходи'!$C37)/'12. Разходи'!$C37,0)</f>
        <v>0.1351630000000002</v>
      </c>
      <c r="J37" s="882">
        <f>'12. Разходи'!G37-'12. Разходи'!$C37</f>
        <v>5.2457545900000042</v>
      </c>
      <c r="K37" s="1102">
        <f>IFERROR(('12. Разходи'!G37-'12. Разходи'!$C37)/'12. Разходи'!$C37,0)</f>
        <v>0.16921789000000015</v>
      </c>
      <c r="L37" s="1110">
        <f>'12. Разходи'!H37-'12. Разходи'!$C37</f>
        <v>6.3331272277000039</v>
      </c>
      <c r="M37" s="1102">
        <f>IFERROR(('12. Разходи'!H37-'12. Разходи'!$C37)/'12. Разходи'!$C37,0)</f>
        <v>0.20429442670000011</v>
      </c>
      <c r="N37" s="1151">
        <f>'12. Разходи'!K37</f>
        <v>1</v>
      </c>
      <c r="O37" s="1115">
        <f>'12. Разходи'!L37-'12. Разходи'!$K37</f>
        <v>7.0000000000000062E-2</v>
      </c>
      <c r="P37" s="1095">
        <f>IFERROR(('12. Разходи'!L37-'12. Разходи'!$K37)/'12. Разходи'!$K37,0)</f>
        <v>7.0000000000000062E-2</v>
      </c>
      <c r="Q37" s="882">
        <f>'12. Разходи'!M37-'12. Разходи'!$K37</f>
        <v>0.10210000000000008</v>
      </c>
      <c r="R37" s="1103">
        <f>IFERROR(('12. Разходи'!M37-'12. Разходи'!$K37)/'12. Разходи'!$K37,0)</f>
        <v>0.10210000000000008</v>
      </c>
      <c r="S37" s="882">
        <f>'12. Разходи'!N37-'12. Разходи'!$K37</f>
        <v>0.13516300000000014</v>
      </c>
      <c r="T37" s="1103">
        <f>IFERROR(('12. Разходи'!N37-'12. Разходи'!$K37)/'12. Разходи'!$K37,0)</f>
        <v>0.13516300000000014</v>
      </c>
      <c r="U37" s="882">
        <f>'12. Разходи'!O37-'12. Разходи'!$K37</f>
        <v>0.16921789000000009</v>
      </c>
      <c r="V37" s="1102">
        <f>IFERROR(('12. Разходи'!O37-'12. Разходи'!$K37)/'12. Разходи'!$K37,0)</f>
        <v>0.16921789000000009</v>
      </c>
      <c r="W37" s="1110">
        <f>'12. Разходи'!P37-'12. Разходи'!$K37</f>
        <v>0.2042944267000002</v>
      </c>
      <c r="X37" s="1157">
        <f>IFERROR(('12. Разходи'!P37-'12. Разходи'!$K37)/'12. Разходи'!$K37,0)</f>
        <v>0.2042944267000002</v>
      </c>
      <c r="Y37" s="1151">
        <f>'12. Разходи'!S37</f>
        <v>2</v>
      </c>
      <c r="Z37" s="1115">
        <f>'12. Разходи'!T37-'12. Разходи'!$S37</f>
        <v>0.14000000000000012</v>
      </c>
      <c r="AA37" s="1095">
        <f>IFERROR(('12. Разходи'!T37-'12. Разходи'!$S37)/'12. Разходи'!$S37,0)</f>
        <v>7.0000000000000062E-2</v>
      </c>
      <c r="AB37" s="882">
        <f>'12. Разходи'!U37-'12. Разходи'!$S37</f>
        <v>0.20420000000000016</v>
      </c>
      <c r="AC37" s="1103">
        <f>IFERROR(('12. Разходи'!U37-'12. Разходи'!$S37)/'12. Разходи'!$S37,0)</f>
        <v>0.10210000000000008</v>
      </c>
      <c r="AD37" s="882">
        <f>'12. Разходи'!V37-'12. Разходи'!$S37</f>
        <v>0.27032600000000029</v>
      </c>
      <c r="AE37" s="1103">
        <f>IFERROR(('12. Разходи'!V37-'12. Разходи'!$S37)/'12. Разходи'!$S37,0)</f>
        <v>0.13516300000000014</v>
      </c>
      <c r="AF37" s="882">
        <f>'12. Разходи'!W37-'12. Разходи'!$S37</f>
        <v>0.33843578000000019</v>
      </c>
      <c r="AG37" s="1102">
        <f>IFERROR(('12. Разходи'!W37-'12. Разходи'!$S37)/'12. Разходи'!$S37,0)</f>
        <v>0.16921789000000009</v>
      </c>
      <c r="AH37" s="1110">
        <f>'12. Разходи'!X37-'12. Разходи'!$S37</f>
        <v>0.4085888534000004</v>
      </c>
      <c r="AI37" s="1157">
        <f>IFERROR(('12. Разходи'!X37-'12. Разходи'!$S37)/'12. Разходи'!$S37,0)</f>
        <v>0.2042944267000002</v>
      </c>
      <c r="AJ37" s="1151">
        <f>'12. Разходи'!AA37</f>
        <v>0</v>
      </c>
      <c r="AK37" s="1115">
        <f>'12. Разходи'!AB37-'12. Разходи'!$AA37</f>
        <v>0</v>
      </c>
      <c r="AL37" s="1095">
        <f>IFERROR(('12. Разходи'!AB37-'12. Разходи'!$AA37)/'12. Разходи'!$AA37,0)</f>
        <v>0</v>
      </c>
      <c r="AM37" s="882">
        <f>'12. Разходи'!AC37-'12. Разходи'!$AA37</f>
        <v>0</v>
      </c>
      <c r="AN37" s="1103">
        <f>IFERROR(('12. Разходи'!AC37-'12. Разходи'!$AA37)/'12. Разходи'!$AA37,0)</f>
        <v>0</v>
      </c>
      <c r="AO37" s="882">
        <f>'12. Разходи'!AD37-'12. Разходи'!$AA37</f>
        <v>0</v>
      </c>
      <c r="AP37" s="1103">
        <f>IFERROR(('12. Разходи'!AD37-'12. Разходи'!$AA37)/'12. Разходи'!$AA37,0)</f>
        <v>0</v>
      </c>
      <c r="AQ37" s="882">
        <f>'12. Разходи'!AE37-'12. Разходи'!$AA37</f>
        <v>0</v>
      </c>
      <c r="AR37" s="1102">
        <f>IFERROR(('12. Разходи'!AE37-'12. Разходи'!$AA37)/'12. Разходи'!$AA37,0)</f>
        <v>0</v>
      </c>
      <c r="AS37" s="1110">
        <f>'12. Разходи'!AF37-'12. Разходи'!$AA37</f>
        <v>0</v>
      </c>
      <c r="AT37" s="1157">
        <f>IFERROR(('12. Разходи'!AF37-'12. Разходи'!$AA37)/'12. Разходи'!$AA37,0)</f>
        <v>0</v>
      </c>
      <c r="AU37" s="1151">
        <f>'12. Разходи'!AI37</f>
        <v>0</v>
      </c>
      <c r="AV37" s="1115">
        <f>'12. Разходи'!AJ37-'12. Разходи'!$AI37</f>
        <v>0</v>
      </c>
      <c r="AW37" s="1095">
        <f>IFERROR(('12. Разходи'!AJ37-'12. Разходи'!$AI37)/'12. Разходи'!$AI37,0)</f>
        <v>0</v>
      </c>
      <c r="AX37" s="882">
        <f>'12. Разходи'!AK37-'12. Разходи'!$AI37</f>
        <v>0</v>
      </c>
      <c r="AY37" s="1103">
        <f>IFERROR(('12. Разходи'!AK37-'12. Разходи'!$AI37)/'12. Разходи'!$AI37,0)</f>
        <v>0</v>
      </c>
      <c r="AZ37" s="882">
        <f>'12. Разходи'!AL37-'12. Разходи'!$AI37</f>
        <v>0</v>
      </c>
      <c r="BA37" s="1103">
        <f>IFERROR(('12. Разходи'!AL37-'12. Разходи'!$AI37)/'12. Разходи'!$AI37,0)</f>
        <v>0</v>
      </c>
      <c r="BB37" s="882">
        <f>'12. Разходи'!AM37-'12. Разходи'!$AI37</f>
        <v>0</v>
      </c>
      <c r="BC37" s="1102">
        <f>IFERROR(('12. Разходи'!AM37-'12. Разходи'!$AI37)/'12. Разходи'!$AI37,0)</f>
        <v>0</v>
      </c>
      <c r="BD37" s="1110">
        <f>'12. Разходи'!AN37-'12. Разходи'!$AI37</f>
        <v>0</v>
      </c>
      <c r="BE37" s="1157">
        <f>IFERROR(('12. Разходи'!AN37-'12. Разходи'!$AI37)/'12. Разходи'!$AI37,0)</f>
        <v>0</v>
      </c>
      <c r="BF37" s="4422"/>
      <c r="BG37" s="4438">
        <f t="shared" si="1"/>
        <v>15.850048317082774</v>
      </c>
      <c r="BH37" s="4438">
        <f t="shared" si="2"/>
        <v>1.1095033821957949</v>
      </c>
      <c r="BI37" s="4438">
        <f t="shared" si="3"/>
        <v>1.6182899331741525</v>
      </c>
      <c r="BJ37" s="4438">
        <f t="shared" si="4"/>
        <v>2.142340080681862</v>
      </c>
      <c r="BK37" s="4438">
        <f t="shared" si="5"/>
        <v>2.6821117326147998</v>
      </c>
      <c r="BL37" s="4438">
        <f t="shared" si="6"/>
        <v>3.2380765341057272</v>
      </c>
      <c r="BM37" s="4438">
        <f t="shared" si="7"/>
        <v>0.51129188119621849</v>
      </c>
      <c r="BN37" s="4438">
        <f t="shared" si="8"/>
        <v>3.579043168373533E-2</v>
      </c>
      <c r="BO37" s="4438">
        <f t="shared" si="9"/>
        <v>5.220290107013395E-2</v>
      </c>
      <c r="BP37" s="4438">
        <f t="shared" si="10"/>
        <v>6.9107744538124558E-2</v>
      </c>
      <c r="BQ37" s="4438">
        <f t="shared" si="11"/>
        <v>8.651973331015482E-2</v>
      </c>
      <c r="BR37" s="4438">
        <f t="shared" si="12"/>
        <v>0.10445408174534607</v>
      </c>
      <c r="BS37" s="4438">
        <f t="shared" si="13"/>
        <v>1.022583762392437</v>
      </c>
      <c r="BT37" s="4438">
        <f t="shared" si="14"/>
        <v>7.158086336747066E-2</v>
      </c>
      <c r="BU37" s="4438">
        <f t="shared" si="15"/>
        <v>0.1044058021402679</v>
      </c>
      <c r="BV37" s="4438">
        <f t="shared" si="16"/>
        <v>0.13821548907624912</v>
      </c>
      <c r="BW37" s="4438">
        <f t="shared" si="17"/>
        <v>0.17303946662030964</v>
      </c>
      <c r="BX37" s="4438">
        <f t="shared" si="18"/>
        <v>0.20890816349069213</v>
      </c>
      <c r="BY37" s="4438">
        <f t="shared" si="19"/>
        <v>0</v>
      </c>
      <c r="BZ37" s="4438">
        <f t="shared" si="20"/>
        <v>0</v>
      </c>
      <c r="CA37" s="4438">
        <f t="shared" si="21"/>
        <v>0</v>
      </c>
      <c r="CB37" s="4438">
        <f t="shared" si="22"/>
        <v>0</v>
      </c>
      <c r="CC37" s="4438">
        <f t="shared" si="23"/>
        <v>0</v>
      </c>
      <c r="CD37" s="4438">
        <f t="shared" si="24"/>
        <v>0</v>
      </c>
      <c r="CE37" s="4438">
        <f t="shared" si="25"/>
        <v>0</v>
      </c>
      <c r="CF37" s="4438">
        <f t="shared" si="26"/>
        <v>0</v>
      </c>
      <c r="CG37" s="4438">
        <f t="shared" si="27"/>
        <v>0</v>
      </c>
      <c r="CH37" s="4438">
        <f t="shared" si="28"/>
        <v>0</v>
      </c>
      <c r="CI37" s="4438">
        <f t="shared" si="29"/>
        <v>0</v>
      </c>
      <c r="CJ37" s="4438">
        <f t="shared" si="30"/>
        <v>0</v>
      </c>
    </row>
    <row r="38" spans="1:88" ht="15.95" customHeight="1">
      <c r="A38" s="816" t="s">
        <v>252</v>
      </c>
      <c r="B38" s="871" t="s">
        <v>441</v>
      </c>
      <c r="C38" s="1159">
        <f>'12. Разходи'!C38</f>
        <v>97</v>
      </c>
      <c r="D38" s="1116">
        <f>'12. Разходи'!D38-'12. Разходи'!$C38</f>
        <v>6.7900000000000063</v>
      </c>
      <c r="E38" s="856">
        <f>IFERROR(('12. Разходи'!D38-'12. Разходи'!$C38)/'12. Разходи'!$C38,0)</f>
        <v>7.0000000000000062E-2</v>
      </c>
      <c r="F38" s="1109">
        <f>'12. Разходи'!E38-'12. Разходи'!$C38</f>
        <v>9.9037000000000148</v>
      </c>
      <c r="G38" s="856">
        <f>IFERROR(('12. Разходи'!E38-'12. Разходи'!$C38)/'12. Разходи'!$C38,0)</f>
        <v>0.10210000000000015</v>
      </c>
      <c r="H38" s="1109">
        <f>'12. Разходи'!F38-'12. Разходи'!$C38</f>
        <v>13.110811000000012</v>
      </c>
      <c r="I38" s="856">
        <f>IFERROR(('12. Разходи'!F38-'12. Разходи'!$C38)/'12. Разходи'!$C38,0)</f>
        <v>0.13516300000000012</v>
      </c>
      <c r="J38" s="1109">
        <f>'12. Разходи'!G38-'12. Разходи'!$C38</f>
        <v>16.414135330000008</v>
      </c>
      <c r="K38" s="860">
        <f>IFERROR(('12. Разходи'!G38-'12. Разходи'!$C38)/'12. Разходи'!$C38,0)</f>
        <v>0.16921789000000009</v>
      </c>
      <c r="L38" s="1109">
        <f>'12. Разходи'!H38-'12. Разходи'!$C38</f>
        <v>19.816559389900021</v>
      </c>
      <c r="M38" s="860">
        <f>IFERROR(('12. Разходи'!H38-'12. Разходи'!$C38)/'12. Разходи'!$C38,0)</f>
        <v>0.20429442670000023</v>
      </c>
      <c r="N38" s="1138">
        <f>'12. Разходи'!K38</f>
        <v>4</v>
      </c>
      <c r="O38" s="1116">
        <f>'12. Разходи'!L38-'12. Разходи'!$K38</f>
        <v>0.28000000000000025</v>
      </c>
      <c r="P38" s="856">
        <f>IFERROR(('12. Разходи'!L38-'12. Разходи'!$K38)/'12. Разходи'!$K38,0)</f>
        <v>7.0000000000000062E-2</v>
      </c>
      <c r="Q38" s="1109">
        <f>'12. Разходи'!M38-'12. Разходи'!$K38</f>
        <v>0.40840000000000032</v>
      </c>
      <c r="R38" s="856">
        <f>IFERROR(('12. Разходи'!M38-'12. Разходи'!$K38)/'12. Разходи'!$K38,0)</f>
        <v>0.10210000000000008</v>
      </c>
      <c r="S38" s="1109">
        <f>'12. Разходи'!N38-'12. Разходи'!$K38</f>
        <v>0.54065200000000058</v>
      </c>
      <c r="T38" s="856">
        <f>IFERROR(('12. Разходи'!N38-'12. Разходи'!$K38)/'12. Разходи'!$K38,0)</f>
        <v>0.13516300000000014</v>
      </c>
      <c r="U38" s="1109">
        <f>'12. Разходи'!O38-'12. Разходи'!$K38</f>
        <v>0.67687156000000037</v>
      </c>
      <c r="V38" s="860">
        <f>IFERROR(('12. Разходи'!O38-'12. Разходи'!$K38)/'12. Разходи'!$K38,0)</f>
        <v>0.16921789000000009</v>
      </c>
      <c r="W38" s="1109">
        <f>'12. Разходи'!P38-'12. Разходи'!$K38</f>
        <v>0.81717770680000079</v>
      </c>
      <c r="X38" s="701">
        <f>IFERROR(('12. Разходи'!P38-'12. Разходи'!$K38)/'12. Разходи'!$K38,0)</f>
        <v>0.2042944267000002</v>
      </c>
      <c r="Y38" s="1138">
        <f>'12. Разходи'!S38</f>
        <v>8</v>
      </c>
      <c r="Z38" s="1116">
        <f>'12. Разходи'!T38-'12. Разходи'!$S38</f>
        <v>0.5600000000000005</v>
      </c>
      <c r="AA38" s="856">
        <f>IFERROR(('12. Разходи'!T38-'12. Разходи'!$S38)/'12. Разходи'!$S38,0)</f>
        <v>7.0000000000000062E-2</v>
      </c>
      <c r="AB38" s="1109">
        <f>'12. Разходи'!U38-'12. Разходи'!$S38</f>
        <v>0.81680000000000064</v>
      </c>
      <c r="AC38" s="856">
        <f>IFERROR(('12. Разходи'!U38-'12. Разходи'!$S38)/'12. Разходи'!$S38,0)</f>
        <v>0.10210000000000008</v>
      </c>
      <c r="AD38" s="1109">
        <f>'12. Разходи'!V38-'12. Разходи'!$S38</f>
        <v>1.0813040000000012</v>
      </c>
      <c r="AE38" s="856">
        <f>IFERROR(('12. Разходи'!V38-'12. Разходи'!$S38)/'12. Разходи'!$S38,0)</f>
        <v>0.13516300000000014</v>
      </c>
      <c r="AF38" s="1109">
        <f>'12. Разходи'!W38-'12. Разходи'!$S38</f>
        <v>1.3537431200000007</v>
      </c>
      <c r="AG38" s="860">
        <f>IFERROR(('12. Разходи'!W38-'12. Разходи'!$S38)/'12. Разходи'!$S38,0)</f>
        <v>0.16921789000000009</v>
      </c>
      <c r="AH38" s="1109">
        <f>'12. Разходи'!X38-'12. Разходи'!$S38</f>
        <v>1.6343554136000016</v>
      </c>
      <c r="AI38" s="701">
        <f>IFERROR(('12. Разходи'!X38-'12. Разходи'!$S38)/'12. Разходи'!$S38,0)</f>
        <v>0.2042944267000002</v>
      </c>
      <c r="AJ38" s="1138">
        <f>'12. Разходи'!AA38</f>
        <v>0</v>
      </c>
      <c r="AK38" s="1116">
        <f>'12. Разходи'!AB38-'12. Разходи'!$AA38</f>
        <v>0</v>
      </c>
      <c r="AL38" s="856">
        <f>IFERROR(('12. Разходи'!AB38-'12. Разходи'!$AA38)/'12. Разходи'!$AA38,0)</f>
        <v>0</v>
      </c>
      <c r="AM38" s="1109">
        <f>'12. Разходи'!AC38-'12. Разходи'!$AA38</f>
        <v>0</v>
      </c>
      <c r="AN38" s="856">
        <f>IFERROR(('12. Разходи'!AC38-'12. Разходи'!$AA38)/'12. Разходи'!$AA38,0)</f>
        <v>0</v>
      </c>
      <c r="AO38" s="1109">
        <f>'12. Разходи'!AD38-'12. Разходи'!$AA38</f>
        <v>0</v>
      </c>
      <c r="AP38" s="856">
        <f>IFERROR(('12. Разходи'!AD38-'12. Разходи'!$AA38)/'12. Разходи'!$AA38,0)</f>
        <v>0</v>
      </c>
      <c r="AQ38" s="1109">
        <f>'12. Разходи'!AE38-'12. Разходи'!$AA38</f>
        <v>0</v>
      </c>
      <c r="AR38" s="860">
        <f>IFERROR(('12. Разходи'!AE38-'12. Разходи'!$AA38)/'12. Разходи'!$AA38,0)</f>
        <v>0</v>
      </c>
      <c r="AS38" s="1109">
        <f>'12. Разходи'!AF38-'12. Разходи'!$AA38</f>
        <v>0</v>
      </c>
      <c r="AT38" s="701">
        <f>IFERROR(('12. Разходи'!AF38-'12. Разходи'!$AA38)/'12. Разходи'!$AA38,0)</f>
        <v>0</v>
      </c>
      <c r="AU38" s="1138">
        <f>'12. Разходи'!AI38</f>
        <v>0</v>
      </c>
      <c r="AV38" s="1116">
        <f>'12. Разходи'!AJ38-'12. Разходи'!$AI38</f>
        <v>0</v>
      </c>
      <c r="AW38" s="856">
        <f>IFERROR(('12. Разходи'!AJ38-'12. Разходи'!$AI38)/'12. Разходи'!$AI38,0)</f>
        <v>0</v>
      </c>
      <c r="AX38" s="1109">
        <f>'12. Разходи'!AK38-'12. Разходи'!$AI38</f>
        <v>0</v>
      </c>
      <c r="AY38" s="856">
        <f>IFERROR(('12. Разходи'!AK38-'12. Разходи'!$AI38)/'12. Разходи'!$AI38,0)</f>
        <v>0</v>
      </c>
      <c r="AZ38" s="1109">
        <f>'12. Разходи'!AL38-'12. Разходи'!$AI38</f>
        <v>0</v>
      </c>
      <c r="BA38" s="856">
        <f>IFERROR(('12. Разходи'!AL38-'12. Разходи'!$AI38)/'12. Разходи'!$AI38,0)</f>
        <v>0</v>
      </c>
      <c r="BB38" s="1109">
        <f>'12. Разходи'!AM38-'12. Разходи'!$AI38</f>
        <v>0</v>
      </c>
      <c r="BC38" s="860">
        <f>IFERROR(('12. Разходи'!AM38-'12. Разходи'!$AI38)/'12. Разходи'!$AI38,0)</f>
        <v>0</v>
      </c>
      <c r="BD38" s="1109">
        <f>'12. Разходи'!AN38-'12. Разходи'!$AI38</f>
        <v>0</v>
      </c>
      <c r="BE38" s="701">
        <f>IFERROR(('12. Разходи'!AN38-'12. Разходи'!$AI38)/'12. Разходи'!$AI38,0)</f>
        <v>0</v>
      </c>
      <c r="BF38" s="4422"/>
      <c r="BG38" s="4438">
        <f t="shared" si="1"/>
        <v>49.595312476033193</v>
      </c>
      <c r="BH38" s="4438">
        <f t="shared" si="2"/>
        <v>3.4716718733223266</v>
      </c>
      <c r="BI38" s="4438">
        <f t="shared" si="3"/>
        <v>5.0636814038029971</v>
      </c>
      <c r="BJ38" s="4438">
        <f t="shared" si="4"/>
        <v>6.7034512201980814</v>
      </c>
      <c r="BK38" s="4438">
        <f t="shared" si="5"/>
        <v>8.3924141310850171</v>
      </c>
      <c r="BL38" s="4438">
        <f t="shared" si="6"/>
        <v>10.13204592929857</v>
      </c>
      <c r="BM38" s="4438">
        <f t="shared" si="7"/>
        <v>2.045167524784874</v>
      </c>
      <c r="BN38" s="4438">
        <f t="shared" si="8"/>
        <v>0.14316172673494132</v>
      </c>
      <c r="BO38" s="4438">
        <f t="shared" si="9"/>
        <v>0.2088116042805358</v>
      </c>
      <c r="BP38" s="4438">
        <f t="shared" si="10"/>
        <v>0.27643097815249823</v>
      </c>
      <c r="BQ38" s="4438">
        <f t="shared" si="11"/>
        <v>0.34607893324061928</v>
      </c>
      <c r="BR38" s="4438">
        <f t="shared" si="12"/>
        <v>0.41781632698138427</v>
      </c>
      <c r="BS38" s="4438">
        <f t="shared" si="13"/>
        <v>4.0903350495697479</v>
      </c>
      <c r="BT38" s="4438">
        <f t="shared" si="14"/>
        <v>0.28632345346988264</v>
      </c>
      <c r="BU38" s="4438">
        <f t="shared" si="15"/>
        <v>0.4176232085610716</v>
      </c>
      <c r="BV38" s="4438">
        <f t="shared" si="16"/>
        <v>0.55286195630499646</v>
      </c>
      <c r="BW38" s="4438">
        <f t="shared" si="17"/>
        <v>0.69215786648123856</v>
      </c>
      <c r="BX38" s="4438">
        <f t="shared" si="18"/>
        <v>0.83563265396276853</v>
      </c>
      <c r="BY38" s="4438">
        <f t="shared" si="19"/>
        <v>0</v>
      </c>
      <c r="BZ38" s="4438">
        <f t="shared" si="20"/>
        <v>0</v>
      </c>
      <c r="CA38" s="4438">
        <f t="shared" si="21"/>
        <v>0</v>
      </c>
      <c r="CB38" s="4438">
        <f t="shared" si="22"/>
        <v>0</v>
      </c>
      <c r="CC38" s="4438">
        <f t="shared" si="23"/>
        <v>0</v>
      </c>
      <c r="CD38" s="4438">
        <f t="shared" si="24"/>
        <v>0</v>
      </c>
      <c r="CE38" s="4438">
        <f t="shared" si="25"/>
        <v>0</v>
      </c>
      <c r="CF38" s="4438">
        <f t="shared" si="26"/>
        <v>0</v>
      </c>
      <c r="CG38" s="4438">
        <f t="shared" si="27"/>
        <v>0</v>
      </c>
      <c r="CH38" s="4438">
        <f t="shared" si="28"/>
        <v>0</v>
      </c>
      <c r="CI38" s="4438">
        <f t="shared" si="29"/>
        <v>0</v>
      </c>
      <c r="CJ38" s="4438">
        <f t="shared" si="30"/>
        <v>0</v>
      </c>
    </row>
    <row r="39" spans="1:88" s="1172" customFormat="1" ht="15.95" customHeight="1">
      <c r="A39" s="1175" t="s">
        <v>1222</v>
      </c>
      <c r="B39" s="1176" t="s">
        <v>253</v>
      </c>
      <c r="C39" s="1177">
        <f>'12. Разходи'!C39</f>
        <v>64</v>
      </c>
      <c r="D39" s="1184">
        <f>'12. Разходи'!D39-'12. Разходи'!$C39</f>
        <v>4.480000000000004</v>
      </c>
      <c r="E39" s="1179">
        <f>IFERROR(('12. Разходи'!D39-'12. Разходи'!$C39)/'12. Разходи'!$C39,0)</f>
        <v>7.0000000000000062E-2</v>
      </c>
      <c r="F39" s="1178">
        <f>'12. Разходи'!E39-'12. Разходи'!$C39</f>
        <v>6.5344000000000051</v>
      </c>
      <c r="G39" s="1185">
        <f>IFERROR(('12. Разходи'!E39-'12. Разходи'!$C39)/'12. Разходи'!$C39,0)</f>
        <v>0.10210000000000008</v>
      </c>
      <c r="H39" s="1178">
        <f>'12. Разходи'!F39-'12. Разходи'!$C39</f>
        <v>8.6504320000000092</v>
      </c>
      <c r="I39" s="1185">
        <f>IFERROR(('12. Разходи'!F39-'12. Разходи'!$C39)/'12. Разходи'!$C39,0)</f>
        <v>0.13516300000000014</v>
      </c>
      <c r="J39" s="1178">
        <f>'12. Разходи'!G39-'12. Разходи'!$C39</f>
        <v>10.829944960000006</v>
      </c>
      <c r="K39" s="1186">
        <f>IFERROR(('12. Разходи'!G39-'12. Разходи'!$C39)/'12. Разходи'!$C39,0)</f>
        <v>0.16921789000000009</v>
      </c>
      <c r="L39" s="1180">
        <f>'12. Разходи'!H39-'12. Разходи'!$C39</f>
        <v>13.074843308800013</v>
      </c>
      <c r="M39" s="1186">
        <f>IFERROR(('12. Разходи'!H39-'12. Разходи'!$C39)/'12. Разходи'!$C39,0)</f>
        <v>0.2042944267000002</v>
      </c>
      <c r="N39" s="1182">
        <f>'12. Разходи'!K39</f>
        <v>3</v>
      </c>
      <c r="O39" s="1184">
        <f>'12. Разходи'!L39-'12. Разходи'!$K39</f>
        <v>0.20999999999999996</v>
      </c>
      <c r="P39" s="1179">
        <f>IFERROR(('12. Разходи'!L39-'12. Разходи'!$K39)/'12. Разходи'!$K39,0)</f>
        <v>6.9999999999999993E-2</v>
      </c>
      <c r="Q39" s="1178">
        <f>'12. Разходи'!M39-'12. Разходи'!$K39</f>
        <v>0.30630000000000024</v>
      </c>
      <c r="R39" s="1185">
        <f>IFERROR(('12. Разходи'!M39-'12. Разходи'!$K39)/'12. Разходи'!$K39,0)</f>
        <v>0.10210000000000008</v>
      </c>
      <c r="S39" s="1178">
        <f>'12. Разходи'!N39-'12. Разходи'!$K39</f>
        <v>0.40548900000000021</v>
      </c>
      <c r="T39" s="1185">
        <f>IFERROR(('12. Разходи'!N39-'12. Разходи'!$K39)/'12. Разходи'!$K39,0)</f>
        <v>0.13516300000000006</v>
      </c>
      <c r="U39" s="1178">
        <f>'12. Разходи'!O39-'12. Разходи'!$K39</f>
        <v>0.50765367000000028</v>
      </c>
      <c r="V39" s="1186">
        <f>IFERROR(('12. Разходи'!O39-'12. Разходи'!$K39)/'12. Разходи'!$K39,0)</f>
        <v>0.16921789000000009</v>
      </c>
      <c r="W39" s="1180">
        <f>'12. Разходи'!P39-'12. Разходи'!$K39</f>
        <v>0.61288328010000059</v>
      </c>
      <c r="X39" s="1187">
        <f>IFERROR(('12. Разходи'!P39-'12. Разходи'!$K39)/'12. Разходи'!$K39,0)</f>
        <v>0.2042944267000002</v>
      </c>
      <c r="Y39" s="1182">
        <f>'12. Разходи'!S39</f>
        <v>5</v>
      </c>
      <c r="Z39" s="1184">
        <f>'12. Разходи'!T39-'12. Разходи'!$S39</f>
        <v>0.35000000000000053</v>
      </c>
      <c r="AA39" s="1179">
        <f>IFERROR(('12. Разходи'!T39-'12. Разходи'!$S39)/'12. Разходи'!$S39,0)</f>
        <v>7.0000000000000104E-2</v>
      </c>
      <c r="AB39" s="1178">
        <f>'12. Разходи'!U39-'12. Разходи'!$S39</f>
        <v>0.5105000000000004</v>
      </c>
      <c r="AC39" s="1185">
        <f>IFERROR(('12. Разходи'!U39-'12. Разходи'!$S39)/'12. Разходи'!$S39,0)</f>
        <v>0.10210000000000008</v>
      </c>
      <c r="AD39" s="1178">
        <f>'12. Разходи'!V39-'12. Разходи'!$S39</f>
        <v>0.67581500000000094</v>
      </c>
      <c r="AE39" s="1185">
        <f>IFERROR(('12. Разходи'!V39-'12. Разходи'!$S39)/'12. Разходи'!$S39,0)</f>
        <v>0.1351630000000002</v>
      </c>
      <c r="AF39" s="1178">
        <f>'12. Разходи'!W39-'12. Разходи'!$S39</f>
        <v>0.84608945000000091</v>
      </c>
      <c r="AG39" s="1186">
        <f>IFERROR(('12. Разходи'!W39-'12. Разходи'!$S39)/'12. Разходи'!$S39,0)</f>
        <v>0.16921789000000018</v>
      </c>
      <c r="AH39" s="1180">
        <f>'12. Разходи'!X39-'12. Разходи'!$S39</f>
        <v>1.0214721335000014</v>
      </c>
      <c r="AI39" s="1187">
        <f>IFERROR(('12. Разходи'!X39-'12. Разходи'!$S39)/'12. Разходи'!$S39,0)</f>
        <v>0.20429442670000028</v>
      </c>
      <c r="AJ39" s="1182">
        <f>'12. Разходи'!AA39</f>
        <v>0</v>
      </c>
      <c r="AK39" s="1184">
        <f>'12. Разходи'!AB39-'12. Разходи'!$AA39</f>
        <v>0</v>
      </c>
      <c r="AL39" s="1179">
        <f>IFERROR(('12. Разходи'!AB39-'12. Разходи'!$AA39)/'12. Разходи'!$AA39,0)</f>
        <v>0</v>
      </c>
      <c r="AM39" s="1178">
        <f>'12. Разходи'!AC39-'12. Разходи'!$AA39</f>
        <v>0</v>
      </c>
      <c r="AN39" s="1185">
        <f>IFERROR(('12. Разходи'!AC39-'12. Разходи'!$AA39)/'12. Разходи'!$AA39,0)</f>
        <v>0</v>
      </c>
      <c r="AO39" s="1178">
        <f>'12. Разходи'!AD39-'12. Разходи'!$AA39</f>
        <v>0</v>
      </c>
      <c r="AP39" s="1185">
        <f>IFERROR(('12. Разходи'!AD39-'12. Разходи'!$AA39)/'12. Разходи'!$AA39,0)</f>
        <v>0</v>
      </c>
      <c r="AQ39" s="1178">
        <f>'12. Разходи'!AE39-'12. Разходи'!$AA39</f>
        <v>0</v>
      </c>
      <c r="AR39" s="1186">
        <f>IFERROR(('12. Разходи'!AE39-'12. Разходи'!$AA39)/'12. Разходи'!$AA39,0)</f>
        <v>0</v>
      </c>
      <c r="AS39" s="1180">
        <f>'12. Разходи'!AF39-'12. Разходи'!$AA39</f>
        <v>0</v>
      </c>
      <c r="AT39" s="1187">
        <f>IFERROR(('12. Разходи'!AF39-'12. Разходи'!$AA39)/'12. Разходи'!$AA39,0)</f>
        <v>0</v>
      </c>
      <c r="AU39" s="1182">
        <f>'12. Разходи'!AI39</f>
        <v>0</v>
      </c>
      <c r="AV39" s="1184">
        <f>'12. Разходи'!AJ39-'12. Разходи'!$AI39</f>
        <v>0</v>
      </c>
      <c r="AW39" s="1179">
        <f>IFERROR(('12. Разходи'!AJ39-'12. Разходи'!$AI39)/'12. Разходи'!$AI39,0)</f>
        <v>0</v>
      </c>
      <c r="AX39" s="1178">
        <f>'12. Разходи'!AK39-'12. Разходи'!$AI39</f>
        <v>0</v>
      </c>
      <c r="AY39" s="1185">
        <f>IFERROR(('12. Разходи'!AK39-'12. Разходи'!$AI39)/'12. Разходи'!$AI39,0)</f>
        <v>0</v>
      </c>
      <c r="AZ39" s="1178">
        <f>'12. Разходи'!AL39-'12. Разходи'!$AI39</f>
        <v>0</v>
      </c>
      <c r="BA39" s="1185">
        <f>IFERROR(('12. Разходи'!AL39-'12. Разходи'!$AI39)/'12. Разходи'!$AI39,0)</f>
        <v>0</v>
      </c>
      <c r="BB39" s="1178">
        <f>'12. Разходи'!AM39-'12. Разходи'!$AI39</f>
        <v>0</v>
      </c>
      <c r="BC39" s="1186">
        <f>IFERROR(('12. Разходи'!AM39-'12. Разходи'!$AI39)/'12. Разходи'!$AI39,0)</f>
        <v>0</v>
      </c>
      <c r="BD39" s="1180">
        <f>'12. Разходи'!AN39-'12. Разходи'!$AI39</f>
        <v>0</v>
      </c>
      <c r="BE39" s="1187">
        <f>IFERROR(('12. Разходи'!AN39-'12. Разходи'!$AI39)/'12. Разходи'!$AI39,0)</f>
        <v>0</v>
      </c>
      <c r="BF39" s="4422"/>
      <c r="BG39" s="4438">
        <f t="shared" si="1"/>
        <v>32.722680396557983</v>
      </c>
      <c r="BH39" s="4438">
        <f t="shared" si="2"/>
        <v>2.2905876277590611</v>
      </c>
      <c r="BI39" s="4438">
        <f t="shared" si="3"/>
        <v>3.3409856684885728</v>
      </c>
      <c r="BJ39" s="4438">
        <f t="shared" si="4"/>
        <v>4.4228956504399717</v>
      </c>
      <c r="BK39" s="4438">
        <f t="shared" si="5"/>
        <v>5.5372629318499085</v>
      </c>
      <c r="BL39" s="4438">
        <f t="shared" si="6"/>
        <v>6.6850612317021483</v>
      </c>
      <c r="BM39" s="4438">
        <f t="shared" si="7"/>
        <v>1.5338756435886556</v>
      </c>
      <c r="BN39" s="4438">
        <f t="shared" si="8"/>
        <v>0.10737129505120586</v>
      </c>
      <c r="BO39" s="4438">
        <f t="shared" si="9"/>
        <v>0.15660870321040185</v>
      </c>
      <c r="BP39" s="4438">
        <f t="shared" si="10"/>
        <v>0.20732323361437355</v>
      </c>
      <c r="BQ39" s="4438">
        <f t="shared" si="11"/>
        <v>0.25955919993046445</v>
      </c>
      <c r="BR39" s="4438">
        <f t="shared" si="12"/>
        <v>0.31336224523603823</v>
      </c>
      <c r="BS39" s="4438">
        <f t="shared" si="13"/>
        <v>2.5564594059810926</v>
      </c>
      <c r="BT39" s="4438">
        <f t="shared" si="14"/>
        <v>0.17895215841867676</v>
      </c>
      <c r="BU39" s="4438">
        <f t="shared" si="15"/>
        <v>0.26101450535066972</v>
      </c>
      <c r="BV39" s="4438">
        <f t="shared" si="16"/>
        <v>0.34553872269062291</v>
      </c>
      <c r="BW39" s="4438">
        <f t="shared" si="17"/>
        <v>0.43259866655077434</v>
      </c>
      <c r="BX39" s="4438">
        <f t="shared" si="18"/>
        <v>0.52227040872673058</v>
      </c>
      <c r="BY39" s="4438">
        <f t="shared" si="19"/>
        <v>0</v>
      </c>
      <c r="BZ39" s="4438">
        <f t="shared" si="20"/>
        <v>0</v>
      </c>
      <c r="CA39" s="4438">
        <f t="shared" si="21"/>
        <v>0</v>
      </c>
      <c r="CB39" s="4438">
        <f t="shared" si="22"/>
        <v>0</v>
      </c>
      <c r="CC39" s="4438">
        <f t="shared" si="23"/>
        <v>0</v>
      </c>
      <c r="CD39" s="4438">
        <f t="shared" si="24"/>
        <v>0</v>
      </c>
      <c r="CE39" s="4438">
        <f t="shared" si="25"/>
        <v>0</v>
      </c>
      <c r="CF39" s="4438">
        <f t="shared" si="26"/>
        <v>0</v>
      </c>
      <c r="CG39" s="4438">
        <f t="shared" si="27"/>
        <v>0</v>
      </c>
      <c r="CH39" s="4438">
        <f t="shared" si="28"/>
        <v>0</v>
      </c>
      <c r="CI39" s="4438">
        <f t="shared" si="29"/>
        <v>0</v>
      </c>
      <c r="CJ39" s="4438">
        <f t="shared" si="30"/>
        <v>0</v>
      </c>
    </row>
    <row r="40" spans="1:88" s="1172" customFormat="1" ht="15.95" customHeight="1">
      <c r="A40" s="1175" t="s">
        <v>1223</v>
      </c>
      <c r="B40" s="1176" t="s">
        <v>254</v>
      </c>
      <c r="C40" s="1177">
        <f>'12. Разходи'!C40</f>
        <v>33</v>
      </c>
      <c r="D40" s="1184">
        <f>'12. Разходи'!D40-'12. Разходи'!$C40</f>
        <v>2.3100000000000023</v>
      </c>
      <c r="E40" s="1179">
        <f>IFERROR(('12. Разходи'!D40-'12. Разходи'!$C40)/'12. Разходи'!$C40,0)</f>
        <v>7.0000000000000062E-2</v>
      </c>
      <c r="F40" s="1178">
        <f>'12. Разходи'!E40-'12. Разходи'!$C40</f>
        <v>3.3693000000000026</v>
      </c>
      <c r="G40" s="1185">
        <f>IFERROR(('12. Разходи'!E40-'12. Разходи'!$C40)/'12. Разходи'!$C40,0)</f>
        <v>0.10210000000000008</v>
      </c>
      <c r="H40" s="1178">
        <f>'12. Разходи'!F40-'12. Разходи'!$C40</f>
        <v>4.4603790000000032</v>
      </c>
      <c r="I40" s="1185">
        <f>IFERROR(('12. Разходи'!F40-'12. Разходи'!$C40)/'12. Разходи'!$C40,0)</f>
        <v>0.13516300000000009</v>
      </c>
      <c r="J40" s="1178">
        <f>'12. Разходи'!G40-'12. Разходи'!$C40</f>
        <v>5.5841903700000017</v>
      </c>
      <c r="K40" s="1186">
        <f>IFERROR(('12. Разходи'!G40-'12. Разходи'!$C40)/'12. Разходи'!$C40,0)</f>
        <v>0.16921789000000007</v>
      </c>
      <c r="L40" s="1180">
        <f>'12. Разходи'!H40-'12. Разходи'!$C40</f>
        <v>6.7417160811000016</v>
      </c>
      <c r="M40" s="1186">
        <f>IFERROR(('12. Разходи'!H40-'12. Разходи'!$C40)/'12. Разходи'!$C40,0)</f>
        <v>0.20429442670000006</v>
      </c>
      <c r="N40" s="1182">
        <f>'12. Разходи'!K40</f>
        <v>1</v>
      </c>
      <c r="O40" s="1184">
        <f>'12. Разходи'!L40-'12. Разходи'!$K40</f>
        <v>7.0000000000000062E-2</v>
      </c>
      <c r="P40" s="1179">
        <f>IFERROR(('12. Разходи'!L40-'12. Разходи'!$K40)/'12. Разходи'!$K40,0)</f>
        <v>7.0000000000000062E-2</v>
      </c>
      <c r="Q40" s="1178">
        <f>'12. Разходи'!M40-'12. Разходи'!$K40</f>
        <v>0.10210000000000008</v>
      </c>
      <c r="R40" s="1185">
        <f>IFERROR(('12. Разходи'!M40-'12. Разходи'!$K40)/'12. Разходи'!$K40,0)</f>
        <v>0.10210000000000008</v>
      </c>
      <c r="S40" s="1178">
        <f>'12. Разходи'!N40-'12. Разходи'!$K40</f>
        <v>0.13516300000000014</v>
      </c>
      <c r="T40" s="1185">
        <f>IFERROR(('12. Разходи'!N40-'12. Разходи'!$K40)/'12. Разходи'!$K40,0)</f>
        <v>0.13516300000000014</v>
      </c>
      <c r="U40" s="1178">
        <f>'12. Разходи'!O40-'12. Разходи'!$K40</f>
        <v>0.16921789000000009</v>
      </c>
      <c r="V40" s="1186">
        <f>IFERROR(('12. Разходи'!O40-'12. Разходи'!$K40)/'12. Разходи'!$K40,0)</f>
        <v>0.16921789000000009</v>
      </c>
      <c r="W40" s="1180">
        <f>'12. Разходи'!P40-'12. Разходи'!$K40</f>
        <v>0.2042944267000002</v>
      </c>
      <c r="X40" s="1187">
        <f>IFERROR(('12. Разходи'!P40-'12. Разходи'!$K40)/'12. Разходи'!$K40,0)</f>
        <v>0.2042944267000002</v>
      </c>
      <c r="Y40" s="1182">
        <f>'12. Разходи'!S40</f>
        <v>3</v>
      </c>
      <c r="Z40" s="1184">
        <f>'12. Разходи'!T40-'12. Разходи'!$S40</f>
        <v>0.20999999999999996</v>
      </c>
      <c r="AA40" s="1179">
        <f>IFERROR(('12. Разходи'!T40-'12. Разходи'!$S40)/'12. Разходи'!$S40,0)</f>
        <v>6.9999999999999993E-2</v>
      </c>
      <c r="AB40" s="1178">
        <f>'12. Разходи'!U40-'12. Разходи'!$S40</f>
        <v>0.30630000000000024</v>
      </c>
      <c r="AC40" s="1185">
        <f>IFERROR(('12. Разходи'!U40-'12. Разходи'!$S40)/'12. Разходи'!$S40,0)</f>
        <v>0.10210000000000008</v>
      </c>
      <c r="AD40" s="1178">
        <f>'12. Разходи'!V40-'12. Разходи'!$S40</f>
        <v>0.40548900000000021</v>
      </c>
      <c r="AE40" s="1185">
        <f>IFERROR(('12. Разходи'!V40-'12. Разходи'!$S40)/'12. Разходи'!$S40,0)</f>
        <v>0.13516300000000006</v>
      </c>
      <c r="AF40" s="1178">
        <f>'12. Разходи'!W40-'12. Разходи'!$S40</f>
        <v>0.50765367000000028</v>
      </c>
      <c r="AG40" s="1186">
        <f>IFERROR(('12. Разходи'!W40-'12. Разходи'!$S40)/'12. Разходи'!$S40,0)</f>
        <v>0.16921789000000009</v>
      </c>
      <c r="AH40" s="1180">
        <f>'12. Разходи'!X40-'12. Разходи'!$S40</f>
        <v>0.61288328010000059</v>
      </c>
      <c r="AI40" s="1187">
        <f>IFERROR(('12. Разходи'!X40-'12. Разходи'!$S40)/'12. Разходи'!$S40,0)</f>
        <v>0.2042944267000002</v>
      </c>
      <c r="AJ40" s="1182">
        <f>'12. Разходи'!AA40</f>
        <v>0</v>
      </c>
      <c r="AK40" s="1184">
        <f>'12. Разходи'!AB40-'12. Разходи'!$AA40</f>
        <v>0</v>
      </c>
      <c r="AL40" s="1179">
        <f>IFERROR(('12. Разходи'!AB40-'12. Разходи'!$AA40)/'12. Разходи'!$AA40,0)</f>
        <v>0</v>
      </c>
      <c r="AM40" s="1178">
        <f>'12. Разходи'!AC40-'12. Разходи'!$AA40</f>
        <v>0</v>
      </c>
      <c r="AN40" s="1185">
        <f>IFERROR(('12. Разходи'!AC40-'12. Разходи'!$AA40)/'12. Разходи'!$AA40,0)</f>
        <v>0</v>
      </c>
      <c r="AO40" s="1178">
        <f>'12. Разходи'!AD40-'12. Разходи'!$AA40</f>
        <v>0</v>
      </c>
      <c r="AP40" s="1185">
        <f>IFERROR(('12. Разходи'!AD40-'12. Разходи'!$AA40)/'12. Разходи'!$AA40,0)</f>
        <v>0</v>
      </c>
      <c r="AQ40" s="1178">
        <f>'12. Разходи'!AE40-'12. Разходи'!$AA40</f>
        <v>0</v>
      </c>
      <c r="AR40" s="1186">
        <f>IFERROR(('12. Разходи'!AE40-'12. Разходи'!$AA40)/'12. Разходи'!$AA40,0)</f>
        <v>0</v>
      </c>
      <c r="AS40" s="1180">
        <f>'12. Разходи'!AF40-'12. Разходи'!$AA40</f>
        <v>0</v>
      </c>
      <c r="AT40" s="1187">
        <f>IFERROR(('12. Разходи'!AF40-'12. Разходи'!$AA40)/'12. Разходи'!$AA40,0)</f>
        <v>0</v>
      </c>
      <c r="AU40" s="1182">
        <f>'12. Разходи'!AI40</f>
        <v>0</v>
      </c>
      <c r="AV40" s="1184">
        <f>'12. Разходи'!AJ40-'12. Разходи'!$AI40</f>
        <v>0</v>
      </c>
      <c r="AW40" s="1179">
        <f>IFERROR(('12. Разходи'!AJ40-'12. Разходи'!$AI40)/'12. Разходи'!$AI40,0)</f>
        <v>0</v>
      </c>
      <c r="AX40" s="1178">
        <f>'12. Разходи'!AK40-'12. Разходи'!$AI40</f>
        <v>0</v>
      </c>
      <c r="AY40" s="1185">
        <f>IFERROR(('12. Разходи'!AK40-'12. Разходи'!$AI40)/'12. Разходи'!$AI40,0)</f>
        <v>0</v>
      </c>
      <c r="AZ40" s="1178">
        <f>'12. Разходи'!AL40-'12. Разходи'!$AI40</f>
        <v>0</v>
      </c>
      <c r="BA40" s="1185">
        <f>IFERROR(('12. Разходи'!AL40-'12. Разходи'!$AI40)/'12. Разходи'!$AI40,0)</f>
        <v>0</v>
      </c>
      <c r="BB40" s="1178">
        <f>'12. Разходи'!AM40-'12. Разходи'!$AI40</f>
        <v>0</v>
      </c>
      <c r="BC40" s="1186">
        <f>IFERROR(('12. Разходи'!AM40-'12. Разходи'!$AI40)/'12. Разходи'!$AI40,0)</f>
        <v>0</v>
      </c>
      <c r="BD40" s="1180">
        <f>'12. Разходи'!AN40-'12. Разходи'!$AI40</f>
        <v>0</v>
      </c>
      <c r="BE40" s="1187">
        <f>IFERROR(('12. Разходи'!AN40-'12. Разходи'!$AI40)/'12. Разходи'!$AI40,0)</f>
        <v>0</v>
      </c>
      <c r="BF40" s="4422"/>
      <c r="BG40" s="4438">
        <f t="shared" si="1"/>
        <v>16.87263207947521</v>
      </c>
      <c r="BH40" s="4438">
        <f t="shared" si="2"/>
        <v>1.181084245563266</v>
      </c>
      <c r="BI40" s="4438">
        <f t="shared" si="3"/>
        <v>1.7226957353144203</v>
      </c>
      <c r="BJ40" s="4438">
        <f t="shared" si="4"/>
        <v>2.2805555697581097</v>
      </c>
      <c r="BK40" s="4438">
        <f t="shared" si="5"/>
        <v>2.8551511992351082</v>
      </c>
      <c r="BL40" s="4438">
        <f t="shared" si="6"/>
        <v>3.4469846975964176</v>
      </c>
      <c r="BM40" s="4438">
        <f t="shared" si="7"/>
        <v>0.51129188119621849</v>
      </c>
      <c r="BN40" s="4438">
        <f t="shared" si="8"/>
        <v>3.579043168373533E-2</v>
      </c>
      <c r="BO40" s="4438">
        <f t="shared" si="9"/>
        <v>5.220290107013395E-2</v>
      </c>
      <c r="BP40" s="4438">
        <f t="shared" si="10"/>
        <v>6.9107744538124558E-2</v>
      </c>
      <c r="BQ40" s="4438">
        <f t="shared" si="11"/>
        <v>8.651973331015482E-2</v>
      </c>
      <c r="BR40" s="4438">
        <f t="shared" si="12"/>
        <v>0.10445408174534607</v>
      </c>
      <c r="BS40" s="4438">
        <f t="shared" si="13"/>
        <v>1.5338756435886556</v>
      </c>
      <c r="BT40" s="4438">
        <f t="shared" si="14"/>
        <v>0.10737129505120586</v>
      </c>
      <c r="BU40" s="4438">
        <f t="shared" si="15"/>
        <v>0.15660870321040185</v>
      </c>
      <c r="BV40" s="4438">
        <f t="shared" si="16"/>
        <v>0.20732323361437355</v>
      </c>
      <c r="BW40" s="4438">
        <f t="shared" si="17"/>
        <v>0.25955919993046445</v>
      </c>
      <c r="BX40" s="4438">
        <f t="shared" si="18"/>
        <v>0.31336224523603823</v>
      </c>
      <c r="BY40" s="4438">
        <f t="shared" si="19"/>
        <v>0</v>
      </c>
      <c r="BZ40" s="4438">
        <f t="shared" si="20"/>
        <v>0</v>
      </c>
      <c r="CA40" s="4438">
        <f t="shared" si="21"/>
        <v>0</v>
      </c>
      <c r="CB40" s="4438">
        <f t="shared" si="22"/>
        <v>0</v>
      </c>
      <c r="CC40" s="4438">
        <f t="shared" si="23"/>
        <v>0</v>
      </c>
      <c r="CD40" s="4438">
        <f t="shared" si="24"/>
        <v>0</v>
      </c>
      <c r="CE40" s="4438">
        <f t="shared" si="25"/>
        <v>0</v>
      </c>
      <c r="CF40" s="4438">
        <f t="shared" si="26"/>
        <v>0</v>
      </c>
      <c r="CG40" s="4438">
        <f t="shared" si="27"/>
        <v>0</v>
      </c>
      <c r="CH40" s="4438">
        <f t="shared" si="28"/>
        <v>0</v>
      </c>
      <c r="CI40" s="4438">
        <f t="shared" si="29"/>
        <v>0</v>
      </c>
      <c r="CJ40" s="4438">
        <f t="shared" si="30"/>
        <v>0</v>
      </c>
    </row>
    <row r="41" spans="1:88" s="1172" customFormat="1" ht="15.95" customHeight="1">
      <c r="A41" s="1175" t="s">
        <v>1224</v>
      </c>
      <c r="B41" s="1176" t="s">
        <v>255</v>
      </c>
      <c r="C41" s="1177">
        <f>'12. Разходи'!C41</f>
        <v>0</v>
      </c>
      <c r="D41" s="1184">
        <f>'12. Разходи'!D41-'12. Разходи'!$C41</f>
        <v>0</v>
      </c>
      <c r="E41" s="1179">
        <f>IFERROR(('12. Разходи'!D41-'12. Разходи'!$C41)/'12. Разходи'!$C41,0)</f>
        <v>0</v>
      </c>
      <c r="F41" s="1178">
        <f>'12. Разходи'!E41-'12. Разходи'!$C41</f>
        <v>0</v>
      </c>
      <c r="G41" s="1185">
        <f>IFERROR(('12. Разходи'!E41-'12. Разходи'!$C41)/'12. Разходи'!$C41,0)</f>
        <v>0</v>
      </c>
      <c r="H41" s="1178">
        <f>'12. Разходи'!F41-'12. Разходи'!$C41</f>
        <v>0</v>
      </c>
      <c r="I41" s="1185">
        <f>IFERROR(('12. Разходи'!F41-'12. Разходи'!$C41)/'12. Разходи'!$C41,0)</f>
        <v>0</v>
      </c>
      <c r="J41" s="1178">
        <f>'12. Разходи'!G41-'12. Разходи'!$C41</f>
        <v>0</v>
      </c>
      <c r="K41" s="1186">
        <f>IFERROR(('12. Разходи'!G41-'12. Разходи'!$C41)/'12. Разходи'!$C41,0)</f>
        <v>0</v>
      </c>
      <c r="L41" s="1180">
        <f>'12. Разходи'!H41-'12. Разходи'!$C41</f>
        <v>0</v>
      </c>
      <c r="M41" s="1186">
        <f>IFERROR(('12. Разходи'!H41-'12. Разходи'!$C41)/'12. Разходи'!$C41,0)</f>
        <v>0</v>
      </c>
      <c r="N41" s="1182">
        <f>'12. Разходи'!K41</f>
        <v>0</v>
      </c>
      <c r="O41" s="1184">
        <f>'12. Разходи'!L41-'12. Разходи'!$K41</f>
        <v>0</v>
      </c>
      <c r="P41" s="1179">
        <f>IFERROR(('12. Разходи'!L41-'12. Разходи'!$K41)/'12. Разходи'!$K41,0)</f>
        <v>0</v>
      </c>
      <c r="Q41" s="1178">
        <f>'12. Разходи'!M41-'12. Разходи'!$K41</f>
        <v>0</v>
      </c>
      <c r="R41" s="1185">
        <f>IFERROR(('12. Разходи'!M41-'12. Разходи'!$K41)/'12. Разходи'!$K41,0)</f>
        <v>0</v>
      </c>
      <c r="S41" s="1178">
        <f>'12. Разходи'!N41-'12. Разходи'!$K41</f>
        <v>0</v>
      </c>
      <c r="T41" s="1185">
        <f>IFERROR(('12. Разходи'!N41-'12. Разходи'!$K41)/'12. Разходи'!$K41,0)</f>
        <v>0</v>
      </c>
      <c r="U41" s="1178">
        <f>'12. Разходи'!O41-'12. Разходи'!$K41</f>
        <v>0</v>
      </c>
      <c r="V41" s="1186">
        <f>IFERROR(('12. Разходи'!O41-'12. Разходи'!$K41)/'12. Разходи'!$K41,0)</f>
        <v>0</v>
      </c>
      <c r="W41" s="1180">
        <f>'12. Разходи'!P41-'12. Разходи'!$K41</f>
        <v>0</v>
      </c>
      <c r="X41" s="1187">
        <f>IFERROR(('12. Разходи'!P41-'12. Разходи'!$K41)/'12. Разходи'!$K41,0)</f>
        <v>0</v>
      </c>
      <c r="Y41" s="1182">
        <f>'12. Разходи'!S41</f>
        <v>0</v>
      </c>
      <c r="Z41" s="1184">
        <f>'12. Разходи'!T41-'12. Разходи'!$S41</f>
        <v>0</v>
      </c>
      <c r="AA41" s="1179">
        <f>IFERROR(('12. Разходи'!T41-'12. Разходи'!$S41)/'12. Разходи'!$S41,0)</f>
        <v>0</v>
      </c>
      <c r="AB41" s="1178">
        <f>'12. Разходи'!U41-'12. Разходи'!$S41</f>
        <v>0</v>
      </c>
      <c r="AC41" s="1185">
        <f>IFERROR(('12. Разходи'!U41-'12. Разходи'!$S41)/'12. Разходи'!$S41,0)</f>
        <v>0</v>
      </c>
      <c r="AD41" s="1178">
        <f>'12. Разходи'!V41-'12. Разходи'!$S41</f>
        <v>0</v>
      </c>
      <c r="AE41" s="1185">
        <f>IFERROR(('12. Разходи'!V41-'12. Разходи'!$S41)/'12. Разходи'!$S41,0)</f>
        <v>0</v>
      </c>
      <c r="AF41" s="1178">
        <f>'12. Разходи'!W41-'12. Разходи'!$S41</f>
        <v>0</v>
      </c>
      <c r="AG41" s="1186">
        <f>IFERROR(('12. Разходи'!W41-'12. Разходи'!$S41)/'12. Разходи'!$S41,0)</f>
        <v>0</v>
      </c>
      <c r="AH41" s="1180">
        <f>'12. Разходи'!X41-'12. Разходи'!$S41</f>
        <v>0</v>
      </c>
      <c r="AI41" s="1187">
        <f>IFERROR(('12. Разходи'!X41-'12. Разходи'!$S41)/'12. Разходи'!$S41,0)</f>
        <v>0</v>
      </c>
      <c r="AJ41" s="1182">
        <f>'12. Разходи'!AA41</f>
        <v>0</v>
      </c>
      <c r="AK41" s="1184">
        <f>'12. Разходи'!AB41-'12. Разходи'!$AA41</f>
        <v>0</v>
      </c>
      <c r="AL41" s="1179">
        <f>IFERROR(('12. Разходи'!AB41-'12. Разходи'!$AA41)/'12. Разходи'!$AA41,0)</f>
        <v>0</v>
      </c>
      <c r="AM41" s="1178">
        <f>'12. Разходи'!AC41-'12. Разходи'!$AA41</f>
        <v>0</v>
      </c>
      <c r="AN41" s="1185">
        <f>IFERROR(('12. Разходи'!AC41-'12. Разходи'!$AA41)/'12. Разходи'!$AA41,0)</f>
        <v>0</v>
      </c>
      <c r="AO41" s="1178">
        <f>'12. Разходи'!AD41-'12. Разходи'!$AA41</f>
        <v>0</v>
      </c>
      <c r="AP41" s="1185">
        <f>IFERROR(('12. Разходи'!AD41-'12. Разходи'!$AA41)/'12. Разходи'!$AA41,0)</f>
        <v>0</v>
      </c>
      <c r="AQ41" s="1178">
        <f>'12. Разходи'!AE41-'12. Разходи'!$AA41</f>
        <v>0</v>
      </c>
      <c r="AR41" s="1186">
        <f>IFERROR(('12. Разходи'!AE41-'12. Разходи'!$AA41)/'12. Разходи'!$AA41,0)</f>
        <v>0</v>
      </c>
      <c r="AS41" s="1180">
        <f>'12. Разходи'!AF41-'12. Разходи'!$AA41</f>
        <v>0</v>
      </c>
      <c r="AT41" s="1187">
        <f>IFERROR(('12. Разходи'!AF41-'12. Разходи'!$AA41)/'12. Разходи'!$AA41,0)</f>
        <v>0</v>
      </c>
      <c r="AU41" s="1182">
        <f>'12. Разходи'!AI41</f>
        <v>0</v>
      </c>
      <c r="AV41" s="1184">
        <f>'12. Разходи'!AJ41-'12. Разходи'!$AI41</f>
        <v>0</v>
      </c>
      <c r="AW41" s="1179">
        <f>IFERROR(('12. Разходи'!AJ41-'12. Разходи'!$AI41)/'12. Разходи'!$AI41,0)</f>
        <v>0</v>
      </c>
      <c r="AX41" s="1178">
        <f>'12. Разходи'!AK41-'12. Разходи'!$AI41</f>
        <v>0</v>
      </c>
      <c r="AY41" s="1185">
        <f>IFERROR(('12. Разходи'!AK41-'12. Разходи'!$AI41)/'12. Разходи'!$AI41,0)</f>
        <v>0</v>
      </c>
      <c r="AZ41" s="1178">
        <f>'12. Разходи'!AL41-'12. Разходи'!$AI41</f>
        <v>0</v>
      </c>
      <c r="BA41" s="1185">
        <f>IFERROR(('12. Разходи'!AL41-'12. Разходи'!$AI41)/'12. Разходи'!$AI41,0)</f>
        <v>0</v>
      </c>
      <c r="BB41" s="1178">
        <f>'12. Разходи'!AM41-'12. Разходи'!$AI41</f>
        <v>0</v>
      </c>
      <c r="BC41" s="1186">
        <f>IFERROR(('12. Разходи'!AM41-'12. Разходи'!$AI41)/'12. Разходи'!$AI41,0)</f>
        <v>0</v>
      </c>
      <c r="BD41" s="1180">
        <f>'12. Разходи'!AN41-'12. Разходи'!$AI41</f>
        <v>0</v>
      </c>
      <c r="BE41" s="1187">
        <f>IFERROR(('12. Разходи'!AN41-'12. Разходи'!$AI41)/'12. Разходи'!$AI41,0)</f>
        <v>0</v>
      </c>
      <c r="BF41" s="4422"/>
      <c r="BG41" s="4438">
        <f t="shared" si="1"/>
        <v>0</v>
      </c>
      <c r="BH41" s="4438">
        <f t="shared" si="2"/>
        <v>0</v>
      </c>
      <c r="BI41" s="4438">
        <f t="shared" si="3"/>
        <v>0</v>
      </c>
      <c r="BJ41" s="4438">
        <f t="shared" si="4"/>
        <v>0</v>
      </c>
      <c r="BK41" s="4438">
        <f t="shared" si="5"/>
        <v>0</v>
      </c>
      <c r="BL41" s="4438">
        <f t="shared" si="6"/>
        <v>0</v>
      </c>
      <c r="BM41" s="4438">
        <f t="shared" si="7"/>
        <v>0</v>
      </c>
      <c r="BN41" s="4438">
        <f t="shared" si="8"/>
        <v>0</v>
      </c>
      <c r="BO41" s="4438">
        <f t="shared" si="9"/>
        <v>0</v>
      </c>
      <c r="BP41" s="4438">
        <f t="shared" si="10"/>
        <v>0</v>
      </c>
      <c r="BQ41" s="4438">
        <f t="shared" si="11"/>
        <v>0</v>
      </c>
      <c r="BR41" s="4438">
        <f t="shared" si="12"/>
        <v>0</v>
      </c>
      <c r="BS41" s="4438">
        <f t="shared" si="13"/>
        <v>0</v>
      </c>
      <c r="BT41" s="4438">
        <f t="shared" si="14"/>
        <v>0</v>
      </c>
      <c r="BU41" s="4438">
        <f t="shared" si="15"/>
        <v>0</v>
      </c>
      <c r="BV41" s="4438">
        <f t="shared" si="16"/>
        <v>0</v>
      </c>
      <c r="BW41" s="4438">
        <f t="shared" si="17"/>
        <v>0</v>
      </c>
      <c r="BX41" s="4438">
        <f t="shared" si="18"/>
        <v>0</v>
      </c>
      <c r="BY41" s="4438">
        <f t="shared" si="19"/>
        <v>0</v>
      </c>
      <c r="BZ41" s="4438">
        <f t="shared" si="20"/>
        <v>0</v>
      </c>
      <c r="CA41" s="4438">
        <f t="shared" si="21"/>
        <v>0</v>
      </c>
      <c r="CB41" s="4438">
        <f t="shared" si="22"/>
        <v>0</v>
      </c>
      <c r="CC41" s="4438">
        <f t="shared" si="23"/>
        <v>0</v>
      </c>
      <c r="CD41" s="4438">
        <f t="shared" si="24"/>
        <v>0</v>
      </c>
      <c r="CE41" s="4438">
        <f t="shared" si="25"/>
        <v>0</v>
      </c>
      <c r="CF41" s="4438">
        <f t="shared" si="26"/>
        <v>0</v>
      </c>
      <c r="CG41" s="4438">
        <f t="shared" si="27"/>
        <v>0</v>
      </c>
      <c r="CH41" s="4438">
        <f t="shared" si="28"/>
        <v>0</v>
      </c>
      <c r="CI41" s="4438">
        <f t="shared" si="29"/>
        <v>0</v>
      </c>
      <c r="CJ41" s="4438">
        <f t="shared" si="30"/>
        <v>0</v>
      </c>
    </row>
    <row r="42" spans="1:88" s="1172" customFormat="1" ht="15.95" customHeight="1">
      <c r="A42" s="1175" t="s">
        <v>1225</v>
      </c>
      <c r="B42" s="1176" t="s">
        <v>442</v>
      </c>
      <c r="C42" s="1177">
        <f>'12. Разходи'!C42</f>
        <v>0</v>
      </c>
      <c r="D42" s="1184">
        <f>'12. Разходи'!D42-'12. Разходи'!$C42</f>
        <v>0</v>
      </c>
      <c r="E42" s="1179">
        <f>IFERROR(('12. Разходи'!D42-'12. Разходи'!$C42)/'12. Разходи'!$C42,0)</f>
        <v>0</v>
      </c>
      <c r="F42" s="1178">
        <f>'12. Разходи'!E42-'12. Разходи'!$C42</f>
        <v>0</v>
      </c>
      <c r="G42" s="1185">
        <f>IFERROR(('12. Разходи'!E42-'12. Разходи'!$C42)/'12. Разходи'!$C42,0)</f>
        <v>0</v>
      </c>
      <c r="H42" s="1178">
        <f>'12. Разходи'!F42-'12. Разходи'!$C42</f>
        <v>0</v>
      </c>
      <c r="I42" s="1185">
        <f>IFERROR(('12. Разходи'!F42-'12. Разходи'!$C42)/'12. Разходи'!$C42,0)</f>
        <v>0</v>
      </c>
      <c r="J42" s="1178">
        <f>'12. Разходи'!G42-'12. Разходи'!$C42</f>
        <v>0</v>
      </c>
      <c r="K42" s="1186">
        <f>IFERROR(('12. Разходи'!G42-'12. Разходи'!$C42)/'12. Разходи'!$C42,0)</f>
        <v>0</v>
      </c>
      <c r="L42" s="1180">
        <f>'12. Разходи'!H42-'12. Разходи'!$C42</f>
        <v>0</v>
      </c>
      <c r="M42" s="1186">
        <f>IFERROR(('12. Разходи'!H42-'12. Разходи'!$C42)/'12. Разходи'!$C42,0)</f>
        <v>0</v>
      </c>
      <c r="N42" s="1182">
        <f>'12. Разходи'!K42</f>
        <v>0</v>
      </c>
      <c r="O42" s="1184">
        <f>'12. Разходи'!L42-'12. Разходи'!$K42</f>
        <v>0</v>
      </c>
      <c r="P42" s="1179">
        <f>IFERROR(('12. Разходи'!L42-'12. Разходи'!$K42)/'12. Разходи'!$K42,0)</f>
        <v>0</v>
      </c>
      <c r="Q42" s="1178">
        <f>'12. Разходи'!M42-'12. Разходи'!$K42</f>
        <v>0</v>
      </c>
      <c r="R42" s="1185">
        <f>IFERROR(('12. Разходи'!M42-'12. Разходи'!$K42)/'12. Разходи'!$K42,0)</f>
        <v>0</v>
      </c>
      <c r="S42" s="1178">
        <f>'12. Разходи'!N42-'12. Разходи'!$K42</f>
        <v>0</v>
      </c>
      <c r="T42" s="1185">
        <f>IFERROR(('12. Разходи'!N42-'12. Разходи'!$K42)/'12. Разходи'!$K42,0)</f>
        <v>0</v>
      </c>
      <c r="U42" s="1178">
        <f>'12. Разходи'!O42-'12. Разходи'!$K42</f>
        <v>0</v>
      </c>
      <c r="V42" s="1186">
        <f>IFERROR(('12. Разходи'!O42-'12. Разходи'!$K42)/'12. Разходи'!$K42,0)</f>
        <v>0</v>
      </c>
      <c r="W42" s="1180">
        <f>'12. Разходи'!P42-'12. Разходи'!$K42</f>
        <v>0</v>
      </c>
      <c r="X42" s="1187">
        <f>IFERROR(('12. Разходи'!P42-'12. Разходи'!$K42)/'12. Разходи'!$K42,0)</f>
        <v>0</v>
      </c>
      <c r="Y42" s="1182">
        <f>'12. Разходи'!S42</f>
        <v>0</v>
      </c>
      <c r="Z42" s="1184">
        <f>'12. Разходи'!T42-'12. Разходи'!$S42</f>
        <v>0</v>
      </c>
      <c r="AA42" s="1179">
        <f>IFERROR(('12. Разходи'!T42-'12. Разходи'!$S42)/'12. Разходи'!$S42,0)</f>
        <v>0</v>
      </c>
      <c r="AB42" s="1178">
        <f>'12. Разходи'!U42-'12. Разходи'!$S42</f>
        <v>0</v>
      </c>
      <c r="AC42" s="1185">
        <f>IFERROR(('12. Разходи'!U42-'12. Разходи'!$S42)/'12. Разходи'!$S42,0)</f>
        <v>0</v>
      </c>
      <c r="AD42" s="1178">
        <f>'12. Разходи'!V42-'12. Разходи'!$S42</f>
        <v>0</v>
      </c>
      <c r="AE42" s="1185">
        <f>IFERROR(('12. Разходи'!V42-'12. Разходи'!$S42)/'12. Разходи'!$S42,0)</f>
        <v>0</v>
      </c>
      <c r="AF42" s="1178">
        <f>'12. Разходи'!W42-'12. Разходи'!$S42</f>
        <v>0</v>
      </c>
      <c r="AG42" s="1186">
        <f>IFERROR(('12. Разходи'!W42-'12. Разходи'!$S42)/'12. Разходи'!$S42,0)</f>
        <v>0</v>
      </c>
      <c r="AH42" s="1180">
        <f>'12. Разходи'!X42-'12. Разходи'!$S42</f>
        <v>0</v>
      </c>
      <c r="AI42" s="1187">
        <f>IFERROR(('12. Разходи'!X42-'12. Разходи'!$S42)/'12. Разходи'!$S42,0)</f>
        <v>0</v>
      </c>
      <c r="AJ42" s="1182">
        <f>'12. Разходи'!AA42</f>
        <v>0</v>
      </c>
      <c r="AK42" s="1184">
        <f>'12. Разходи'!AB42-'12. Разходи'!$AA42</f>
        <v>0</v>
      </c>
      <c r="AL42" s="1179">
        <f>IFERROR(('12. Разходи'!AB42-'12. Разходи'!$AA42)/'12. Разходи'!$AA42,0)</f>
        <v>0</v>
      </c>
      <c r="AM42" s="1178">
        <f>'12. Разходи'!AC42-'12. Разходи'!$AA42</f>
        <v>0</v>
      </c>
      <c r="AN42" s="1185">
        <f>IFERROR(('12. Разходи'!AC42-'12. Разходи'!$AA42)/'12. Разходи'!$AA42,0)</f>
        <v>0</v>
      </c>
      <c r="AO42" s="1178">
        <f>'12. Разходи'!AD42-'12. Разходи'!$AA42</f>
        <v>0</v>
      </c>
      <c r="AP42" s="1185">
        <f>IFERROR(('12. Разходи'!AD42-'12. Разходи'!$AA42)/'12. Разходи'!$AA42,0)</f>
        <v>0</v>
      </c>
      <c r="AQ42" s="1178">
        <f>'12. Разходи'!AE42-'12. Разходи'!$AA42</f>
        <v>0</v>
      </c>
      <c r="AR42" s="1186">
        <f>IFERROR(('12. Разходи'!AE42-'12. Разходи'!$AA42)/'12. Разходи'!$AA42,0)</f>
        <v>0</v>
      </c>
      <c r="AS42" s="1180">
        <f>'12. Разходи'!AF42-'12. Разходи'!$AA42</f>
        <v>0</v>
      </c>
      <c r="AT42" s="1187">
        <f>IFERROR(('12. Разходи'!AF42-'12. Разходи'!$AA42)/'12. Разходи'!$AA42,0)</f>
        <v>0</v>
      </c>
      <c r="AU42" s="1182">
        <f>'12. Разходи'!AI42</f>
        <v>0</v>
      </c>
      <c r="AV42" s="1184">
        <f>'12. Разходи'!AJ42-'12. Разходи'!$AI42</f>
        <v>0</v>
      </c>
      <c r="AW42" s="1179">
        <f>IFERROR(('12. Разходи'!AJ42-'12. Разходи'!$AI42)/'12. Разходи'!$AI42,0)</f>
        <v>0</v>
      </c>
      <c r="AX42" s="1178">
        <f>'12. Разходи'!AK42-'12. Разходи'!$AI42</f>
        <v>0</v>
      </c>
      <c r="AY42" s="1185">
        <f>IFERROR(('12. Разходи'!AK42-'12. Разходи'!$AI42)/'12. Разходи'!$AI42,0)</f>
        <v>0</v>
      </c>
      <c r="AZ42" s="1178">
        <f>'12. Разходи'!AL42-'12. Разходи'!$AI42</f>
        <v>0</v>
      </c>
      <c r="BA42" s="1185">
        <f>IFERROR(('12. Разходи'!AL42-'12. Разходи'!$AI42)/'12. Разходи'!$AI42,0)</f>
        <v>0</v>
      </c>
      <c r="BB42" s="1178">
        <f>'12. Разходи'!AM42-'12. Разходи'!$AI42</f>
        <v>0</v>
      </c>
      <c r="BC42" s="1186">
        <f>IFERROR(('12. Разходи'!AM42-'12. Разходи'!$AI42)/'12. Разходи'!$AI42,0)</f>
        <v>0</v>
      </c>
      <c r="BD42" s="1180">
        <f>'12. Разходи'!AN42-'12. Разходи'!$AI42</f>
        <v>0</v>
      </c>
      <c r="BE42" s="1187">
        <f>IFERROR(('12. Разходи'!AN42-'12. Разходи'!$AI42)/'12. Разходи'!$AI42,0)</f>
        <v>0</v>
      </c>
      <c r="BF42" s="4422"/>
      <c r="BG42" s="4438">
        <f t="shared" si="1"/>
        <v>0</v>
      </c>
      <c r="BH42" s="4438">
        <f t="shared" si="2"/>
        <v>0</v>
      </c>
      <c r="BI42" s="4438">
        <f t="shared" si="3"/>
        <v>0</v>
      </c>
      <c r="BJ42" s="4438">
        <f t="shared" si="4"/>
        <v>0</v>
      </c>
      <c r="BK42" s="4438">
        <f t="shared" si="5"/>
        <v>0</v>
      </c>
      <c r="BL42" s="4438">
        <f t="shared" si="6"/>
        <v>0</v>
      </c>
      <c r="BM42" s="4438">
        <f t="shared" si="7"/>
        <v>0</v>
      </c>
      <c r="BN42" s="4438">
        <f t="shared" si="8"/>
        <v>0</v>
      </c>
      <c r="BO42" s="4438">
        <f t="shared" si="9"/>
        <v>0</v>
      </c>
      <c r="BP42" s="4438">
        <f t="shared" si="10"/>
        <v>0</v>
      </c>
      <c r="BQ42" s="4438">
        <f t="shared" si="11"/>
        <v>0</v>
      </c>
      <c r="BR42" s="4438">
        <f t="shared" si="12"/>
        <v>0</v>
      </c>
      <c r="BS42" s="4438">
        <f t="shared" si="13"/>
        <v>0</v>
      </c>
      <c r="BT42" s="4438">
        <f t="shared" si="14"/>
        <v>0</v>
      </c>
      <c r="BU42" s="4438">
        <f t="shared" si="15"/>
        <v>0</v>
      </c>
      <c r="BV42" s="4438">
        <f t="shared" si="16"/>
        <v>0</v>
      </c>
      <c r="BW42" s="4438">
        <f t="shared" si="17"/>
        <v>0</v>
      </c>
      <c r="BX42" s="4438">
        <f t="shared" si="18"/>
        <v>0</v>
      </c>
      <c r="BY42" s="4438">
        <f t="shared" si="19"/>
        <v>0</v>
      </c>
      <c r="BZ42" s="4438">
        <f t="shared" si="20"/>
        <v>0</v>
      </c>
      <c r="CA42" s="4438">
        <f t="shared" si="21"/>
        <v>0</v>
      </c>
      <c r="CB42" s="4438">
        <f t="shared" si="22"/>
        <v>0</v>
      </c>
      <c r="CC42" s="4438">
        <f t="shared" si="23"/>
        <v>0</v>
      </c>
      <c r="CD42" s="4438">
        <f t="shared" si="24"/>
        <v>0</v>
      </c>
      <c r="CE42" s="4438">
        <f t="shared" si="25"/>
        <v>0</v>
      </c>
      <c r="CF42" s="4438">
        <f t="shared" si="26"/>
        <v>0</v>
      </c>
      <c r="CG42" s="4438">
        <f t="shared" si="27"/>
        <v>0</v>
      </c>
      <c r="CH42" s="4438">
        <f t="shared" si="28"/>
        <v>0</v>
      </c>
      <c r="CI42" s="4438">
        <f t="shared" si="29"/>
        <v>0</v>
      </c>
      <c r="CJ42" s="4438">
        <f t="shared" si="30"/>
        <v>0</v>
      </c>
    </row>
    <row r="43" spans="1:88" ht="15.95" customHeight="1">
      <c r="A43" s="816" t="s">
        <v>256</v>
      </c>
      <c r="B43" s="871" t="s">
        <v>257</v>
      </c>
      <c r="C43" s="1086">
        <f>'12. Разходи'!C43</f>
        <v>66</v>
      </c>
      <c r="D43" s="1115">
        <f>'12. Разходи'!D43-'12. Разходи'!$C43</f>
        <v>4.6200000000000045</v>
      </c>
      <c r="E43" s="1095">
        <f>IFERROR(('12. Разходи'!D43-'12. Разходи'!$C43)/'12. Разходи'!$C43,0)</f>
        <v>7.0000000000000062E-2</v>
      </c>
      <c r="F43" s="882">
        <f>'12. Разходи'!E43-'12. Разходи'!$C43</f>
        <v>6.7386000000000053</v>
      </c>
      <c r="G43" s="1103">
        <f>IFERROR(('12. Разходи'!E43-'12. Разходи'!$C43)/'12. Разходи'!$C43,0)</f>
        <v>0.10210000000000008</v>
      </c>
      <c r="H43" s="882">
        <f>'12. Разходи'!F43-'12. Разходи'!$C43</f>
        <v>8.9207580000000064</v>
      </c>
      <c r="I43" s="1103">
        <f>IFERROR(('12. Разходи'!F43-'12. Разходи'!$C43)/'12. Разходи'!$C43,0)</f>
        <v>0.13516300000000009</v>
      </c>
      <c r="J43" s="882">
        <f>'12. Разходи'!G43-'12. Разходи'!$C43</f>
        <v>11.168380740000003</v>
      </c>
      <c r="K43" s="1102">
        <f>IFERROR(('12. Разходи'!G43-'12. Разходи'!$C43)/'12. Разходи'!$C43,0)</f>
        <v>0.16921789000000007</v>
      </c>
      <c r="L43" s="1110">
        <f>'12. Разходи'!H43-'12. Разходи'!$C43</f>
        <v>13.483432162200003</v>
      </c>
      <c r="M43" s="1102">
        <f>IFERROR(('12. Разходи'!H43-'12. Разходи'!$C43)/'12. Разходи'!$C43,0)</f>
        <v>0.20429442670000006</v>
      </c>
      <c r="N43" s="1151">
        <f>'12. Разходи'!K43</f>
        <v>2</v>
      </c>
      <c r="O43" s="1115">
        <f>'12. Разходи'!L43-'12. Разходи'!$K43</f>
        <v>0.14000000000000012</v>
      </c>
      <c r="P43" s="1095">
        <f>IFERROR(('12. Разходи'!L43-'12. Разходи'!$K43)/'12. Разходи'!$K43,0)</f>
        <v>7.0000000000000062E-2</v>
      </c>
      <c r="Q43" s="882">
        <f>'12. Разходи'!M43-'12. Разходи'!$K43</f>
        <v>0.20420000000000016</v>
      </c>
      <c r="R43" s="1103">
        <f>IFERROR(('12. Разходи'!M43-'12. Разходи'!$K43)/'12. Разходи'!$K43,0)</f>
        <v>0.10210000000000008</v>
      </c>
      <c r="S43" s="882">
        <f>'12. Разходи'!N43-'12. Разходи'!$K43</f>
        <v>0.27032600000000029</v>
      </c>
      <c r="T43" s="1103">
        <f>IFERROR(('12. Разходи'!N43-'12. Разходи'!$K43)/'12. Разходи'!$K43,0)</f>
        <v>0.13516300000000014</v>
      </c>
      <c r="U43" s="882">
        <f>'12. Разходи'!O43-'12. Разходи'!$K43</f>
        <v>0.33843578000000019</v>
      </c>
      <c r="V43" s="1102">
        <f>IFERROR(('12. Разходи'!O43-'12. Разходи'!$K43)/'12. Разходи'!$K43,0)</f>
        <v>0.16921789000000009</v>
      </c>
      <c r="W43" s="1110">
        <f>'12. Разходи'!P43-'12. Разходи'!$K43</f>
        <v>0.4085888534000004</v>
      </c>
      <c r="X43" s="1157">
        <f>IFERROR(('12. Разходи'!P43-'12. Разходи'!$K43)/'12. Разходи'!$K43,0)</f>
        <v>0.2042944267000002</v>
      </c>
      <c r="Y43" s="1151">
        <f>'12. Разходи'!S43</f>
        <v>40</v>
      </c>
      <c r="Z43" s="1115">
        <f>'12. Разходи'!T43-'12. Разходи'!$S43</f>
        <v>2.8000000000000043</v>
      </c>
      <c r="AA43" s="1095">
        <f>IFERROR(('12. Разходи'!T43-'12. Разходи'!$S43)/'12. Разходи'!$S43,0)</f>
        <v>7.0000000000000104E-2</v>
      </c>
      <c r="AB43" s="882">
        <f>'12. Разходи'!U43-'12. Разходи'!$S43</f>
        <v>4.0840000000000032</v>
      </c>
      <c r="AC43" s="1103">
        <f>IFERROR(('12. Разходи'!U43-'12. Разходи'!$S43)/'12. Разходи'!$S43,0)</f>
        <v>0.10210000000000008</v>
      </c>
      <c r="AD43" s="882">
        <f>'12. Разходи'!V43-'12. Разходи'!$S43</f>
        <v>5.4065200000000075</v>
      </c>
      <c r="AE43" s="1103">
        <f>IFERROR(('12. Разходи'!V43-'12. Разходи'!$S43)/'12. Разходи'!$S43,0)</f>
        <v>0.1351630000000002</v>
      </c>
      <c r="AF43" s="882">
        <f>'12. Разходи'!W43-'12. Разходи'!$S43</f>
        <v>6.7687156000000073</v>
      </c>
      <c r="AG43" s="1102">
        <f>IFERROR(('12. Разходи'!W43-'12. Разходи'!$S43)/'12. Разходи'!$S43,0)</f>
        <v>0.16921789000000018</v>
      </c>
      <c r="AH43" s="1110">
        <f>'12. Разходи'!X43-'12. Разходи'!$S43</f>
        <v>8.1717770680000115</v>
      </c>
      <c r="AI43" s="1157">
        <f>IFERROR(('12. Разходи'!X43-'12. Разходи'!$S43)/'12. Разходи'!$S43,0)</f>
        <v>0.20429442670000028</v>
      </c>
      <c r="AJ43" s="1151">
        <f>'12. Разходи'!AA43</f>
        <v>0</v>
      </c>
      <c r="AK43" s="1115">
        <f>'12. Разходи'!AB43-'12. Разходи'!$AA43</f>
        <v>0</v>
      </c>
      <c r="AL43" s="1095">
        <f>IFERROR(('12. Разходи'!AB43-'12. Разходи'!$AA43)/'12. Разходи'!$AA43,0)</f>
        <v>0</v>
      </c>
      <c r="AM43" s="882">
        <f>'12. Разходи'!AC43-'12. Разходи'!$AA43</f>
        <v>0</v>
      </c>
      <c r="AN43" s="1103">
        <f>IFERROR(('12. Разходи'!AC43-'12. Разходи'!$AA43)/'12. Разходи'!$AA43,0)</f>
        <v>0</v>
      </c>
      <c r="AO43" s="882">
        <f>'12. Разходи'!AD43-'12. Разходи'!$AA43</f>
        <v>0</v>
      </c>
      <c r="AP43" s="1103">
        <f>IFERROR(('12. Разходи'!AD43-'12. Разходи'!$AA43)/'12. Разходи'!$AA43,0)</f>
        <v>0</v>
      </c>
      <c r="AQ43" s="882">
        <f>'12. Разходи'!AE43-'12. Разходи'!$AA43</f>
        <v>0</v>
      </c>
      <c r="AR43" s="1102">
        <f>IFERROR(('12. Разходи'!AE43-'12. Разходи'!$AA43)/'12. Разходи'!$AA43,0)</f>
        <v>0</v>
      </c>
      <c r="AS43" s="1110">
        <f>'12. Разходи'!AF43-'12. Разходи'!$AA43</f>
        <v>0</v>
      </c>
      <c r="AT43" s="1157">
        <f>IFERROR(('12. Разходи'!AF43-'12. Разходи'!$AA43)/'12. Разходи'!$AA43,0)</f>
        <v>0</v>
      </c>
      <c r="AU43" s="1151">
        <f>'12. Разходи'!AI43</f>
        <v>0</v>
      </c>
      <c r="AV43" s="1115">
        <f>'12. Разходи'!AJ43-'12. Разходи'!$AI43</f>
        <v>0</v>
      </c>
      <c r="AW43" s="1095">
        <f>IFERROR(('12. Разходи'!AJ43-'12. Разходи'!$AI43)/'12. Разходи'!$AI43,0)</f>
        <v>0</v>
      </c>
      <c r="AX43" s="882">
        <f>'12. Разходи'!AK43-'12. Разходи'!$AI43</f>
        <v>0</v>
      </c>
      <c r="AY43" s="1103">
        <f>IFERROR(('12. Разходи'!AK43-'12. Разходи'!$AI43)/'12. Разходи'!$AI43,0)</f>
        <v>0</v>
      </c>
      <c r="AZ43" s="882">
        <f>'12. Разходи'!AL43-'12. Разходи'!$AI43</f>
        <v>0</v>
      </c>
      <c r="BA43" s="1103">
        <f>IFERROR(('12. Разходи'!AL43-'12. Разходи'!$AI43)/'12. Разходи'!$AI43,0)</f>
        <v>0</v>
      </c>
      <c r="BB43" s="882">
        <f>'12. Разходи'!AM43-'12. Разходи'!$AI43</f>
        <v>0</v>
      </c>
      <c r="BC43" s="1102">
        <f>IFERROR(('12. Разходи'!AM43-'12. Разходи'!$AI43)/'12. Разходи'!$AI43,0)</f>
        <v>0</v>
      </c>
      <c r="BD43" s="1110">
        <f>'12. Разходи'!AN43-'12. Разходи'!$AI43</f>
        <v>0</v>
      </c>
      <c r="BE43" s="1157">
        <f>IFERROR(('12. Разходи'!AN43-'12. Разходи'!$AI43)/'12. Разходи'!$AI43,0)</f>
        <v>0</v>
      </c>
      <c r="BF43" s="4422"/>
      <c r="BG43" s="4438">
        <f t="shared" si="1"/>
        <v>33.74526415895042</v>
      </c>
      <c r="BH43" s="4438">
        <f t="shared" si="2"/>
        <v>2.3621684911265319</v>
      </c>
      <c r="BI43" s="4438">
        <f t="shared" si="3"/>
        <v>3.4453914706288407</v>
      </c>
      <c r="BJ43" s="4438">
        <f t="shared" si="4"/>
        <v>4.5611111395162194</v>
      </c>
      <c r="BK43" s="4438">
        <f t="shared" si="5"/>
        <v>5.7103023984702164</v>
      </c>
      <c r="BL43" s="4438">
        <f t="shared" si="6"/>
        <v>6.8939693951928351</v>
      </c>
      <c r="BM43" s="4438">
        <f t="shared" si="7"/>
        <v>1.022583762392437</v>
      </c>
      <c r="BN43" s="4438">
        <f t="shared" si="8"/>
        <v>7.158086336747066E-2</v>
      </c>
      <c r="BO43" s="4438">
        <f t="shared" si="9"/>
        <v>0.1044058021402679</v>
      </c>
      <c r="BP43" s="4438">
        <f t="shared" si="10"/>
        <v>0.13821548907624912</v>
      </c>
      <c r="BQ43" s="4438">
        <f t="shared" si="11"/>
        <v>0.17303946662030964</v>
      </c>
      <c r="BR43" s="4438">
        <f t="shared" si="12"/>
        <v>0.20890816349069213</v>
      </c>
      <c r="BS43" s="4438">
        <f t="shared" si="13"/>
        <v>20.45167524784874</v>
      </c>
      <c r="BT43" s="4438">
        <f t="shared" si="14"/>
        <v>1.4316172673494141</v>
      </c>
      <c r="BU43" s="4438">
        <f t="shared" si="15"/>
        <v>2.0881160428053578</v>
      </c>
      <c r="BV43" s="4438">
        <f t="shared" si="16"/>
        <v>2.7643097815249833</v>
      </c>
      <c r="BW43" s="4438">
        <f t="shared" si="17"/>
        <v>3.4607893324061947</v>
      </c>
      <c r="BX43" s="4438">
        <f t="shared" si="18"/>
        <v>4.1781632698138447</v>
      </c>
      <c r="BY43" s="4438">
        <f t="shared" si="19"/>
        <v>0</v>
      </c>
      <c r="BZ43" s="4438">
        <f t="shared" si="20"/>
        <v>0</v>
      </c>
      <c r="CA43" s="4438">
        <f t="shared" si="21"/>
        <v>0</v>
      </c>
      <c r="CB43" s="4438">
        <f t="shared" si="22"/>
        <v>0</v>
      </c>
      <c r="CC43" s="4438">
        <f t="shared" si="23"/>
        <v>0</v>
      </c>
      <c r="CD43" s="4438">
        <f t="shared" si="24"/>
        <v>0</v>
      </c>
      <c r="CE43" s="4438">
        <f t="shared" si="25"/>
        <v>0</v>
      </c>
      <c r="CF43" s="4438">
        <f t="shared" si="26"/>
        <v>0</v>
      </c>
      <c r="CG43" s="4438">
        <f t="shared" si="27"/>
        <v>0</v>
      </c>
      <c r="CH43" s="4438">
        <f t="shared" si="28"/>
        <v>0</v>
      </c>
      <c r="CI43" s="4438">
        <f t="shared" si="29"/>
        <v>0</v>
      </c>
      <c r="CJ43" s="4438">
        <f t="shared" si="30"/>
        <v>0</v>
      </c>
    </row>
    <row r="44" spans="1:88" ht="15.95" customHeight="1">
      <c r="A44" s="816" t="s">
        <v>258</v>
      </c>
      <c r="B44" s="871" t="s">
        <v>259</v>
      </c>
      <c r="C44" s="1086">
        <f>'12. Разходи'!C44</f>
        <v>232</v>
      </c>
      <c r="D44" s="1115">
        <f>'12. Разходи'!D44-'12. Разходи'!$C44</f>
        <v>16.240000000000009</v>
      </c>
      <c r="E44" s="1095">
        <f>IFERROR(('12. Разходи'!D44-'12. Разходи'!$C44)/'12. Разходи'!$C44,0)</f>
        <v>7.0000000000000034E-2</v>
      </c>
      <c r="F44" s="882">
        <f>'12. Разходи'!E44-'12. Разходи'!$C44</f>
        <v>23.687200000000018</v>
      </c>
      <c r="G44" s="1103">
        <f>IFERROR(('12. Разходи'!E44-'12. Разходи'!$C44)/'12. Разходи'!$C44,0)</f>
        <v>0.10210000000000008</v>
      </c>
      <c r="H44" s="882">
        <f>'12. Разходи'!F44-'12. Разходи'!$C44</f>
        <v>31.357816000000014</v>
      </c>
      <c r="I44" s="1103">
        <f>IFERROR(('12. Разходи'!F44-'12. Разходи'!$C44)/'12. Разходи'!$C44,0)</f>
        <v>0.13516300000000006</v>
      </c>
      <c r="J44" s="882">
        <f>'12. Разходи'!G44-'12. Разходи'!$C44</f>
        <v>39.258550479999997</v>
      </c>
      <c r="K44" s="1102">
        <f>IFERROR(('12. Разходи'!G44-'12. Разходи'!$C44)/'12. Разходи'!$C44,0)</f>
        <v>0.16921788999999998</v>
      </c>
      <c r="L44" s="1110">
        <f>'12. Разходи'!H44-'12. Разходи'!$C44</f>
        <v>47.396306994399993</v>
      </c>
      <c r="M44" s="1102">
        <f>IFERROR(('12. Разходи'!H44-'12. Разходи'!$C44)/'12. Разходи'!$C44,0)</f>
        <v>0.20429442669999998</v>
      </c>
      <c r="N44" s="1151">
        <f>'12. Разходи'!K44</f>
        <v>11</v>
      </c>
      <c r="O44" s="1115">
        <f>'12. Разходи'!L44-'12. Разходи'!$K44</f>
        <v>0.77000000000000135</v>
      </c>
      <c r="P44" s="1095">
        <f>IFERROR(('12. Разходи'!L44-'12. Разходи'!$K44)/'12. Разходи'!$K44,0)</f>
        <v>7.0000000000000118E-2</v>
      </c>
      <c r="Q44" s="882">
        <f>'12. Разходи'!M44-'12. Разходи'!$K44</f>
        <v>1.1231000000000009</v>
      </c>
      <c r="R44" s="1103">
        <f>IFERROR(('12. Разходи'!M44-'12. Разходи'!$K44)/'12. Разходи'!$K44,0)</f>
        <v>0.10210000000000008</v>
      </c>
      <c r="S44" s="882">
        <f>'12. Разходи'!N44-'12. Разходи'!$K44</f>
        <v>1.4867930000000005</v>
      </c>
      <c r="T44" s="1103">
        <f>IFERROR(('12. Разходи'!N44-'12. Разходи'!$K44)/'12. Разходи'!$K44,0)</f>
        <v>0.13516300000000003</v>
      </c>
      <c r="U44" s="882">
        <f>'12. Разходи'!O44-'12. Разходи'!$K44</f>
        <v>1.8613967900000006</v>
      </c>
      <c r="V44" s="1102">
        <f>IFERROR(('12. Разходи'!O44-'12. Разходи'!$K44)/'12. Разходи'!$K44,0)</f>
        <v>0.16921789000000007</v>
      </c>
      <c r="W44" s="1110">
        <f>'12. Разходи'!P44-'12. Разходи'!$K44</f>
        <v>2.2472386937000017</v>
      </c>
      <c r="X44" s="1157">
        <f>IFERROR(('12. Разходи'!P44-'12. Разходи'!$K44)/'12. Разходи'!$K44,0)</f>
        <v>0.20429442670000017</v>
      </c>
      <c r="Y44" s="1151">
        <f>'12. Разходи'!S44</f>
        <v>20</v>
      </c>
      <c r="Z44" s="1115">
        <f>'12. Разходи'!T44-'12. Разходи'!$S44</f>
        <v>1.4000000000000021</v>
      </c>
      <c r="AA44" s="1095">
        <f>IFERROR(('12. Разходи'!T44-'12. Разходи'!$S44)/'12. Разходи'!$S44,0)</f>
        <v>7.0000000000000104E-2</v>
      </c>
      <c r="AB44" s="882">
        <f>'12. Разходи'!U44-'12. Разходи'!$S44</f>
        <v>2.0420000000000016</v>
      </c>
      <c r="AC44" s="1103">
        <f>IFERROR(('12. Разходи'!U44-'12. Разходи'!$S44)/'12. Разходи'!$S44,0)</f>
        <v>0.10210000000000008</v>
      </c>
      <c r="AD44" s="882">
        <f>'12. Разходи'!V44-'12. Разходи'!$S44</f>
        <v>2.7032600000000038</v>
      </c>
      <c r="AE44" s="1103">
        <f>IFERROR(('12. Разходи'!V44-'12. Разходи'!$S44)/'12. Разходи'!$S44,0)</f>
        <v>0.1351630000000002</v>
      </c>
      <c r="AF44" s="882">
        <f>'12. Разходи'!W44-'12. Разходи'!$S44</f>
        <v>3.3843578000000036</v>
      </c>
      <c r="AG44" s="1102">
        <f>IFERROR(('12. Разходи'!W44-'12. Разходи'!$S44)/'12. Разходи'!$S44,0)</f>
        <v>0.16921789000000018</v>
      </c>
      <c r="AH44" s="1110">
        <f>'12. Разходи'!X44-'12. Разходи'!$S44</f>
        <v>4.0858885340000057</v>
      </c>
      <c r="AI44" s="1157">
        <f>IFERROR(('12. Разходи'!X44-'12. Разходи'!$S44)/'12. Разходи'!$S44,0)</f>
        <v>0.20429442670000028</v>
      </c>
      <c r="AJ44" s="1151">
        <f>'12. Разходи'!AA44</f>
        <v>0</v>
      </c>
      <c r="AK44" s="1115">
        <f>'12. Разходи'!AB44-'12. Разходи'!$AA44</f>
        <v>0</v>
      </c>
      <c r="AL44" s="1095">
        <f>IFERROR(('12. Разходи'!AB44-'12. Разходи'!$AA44)/'12. Разходи'!$AA44,0)</f>
        <v>0</v>
      </c>
      <c r="AM44" s="882">
        <f>'12. Разходи'!AC44-'12. Разходи'!$AA44</f>
        <v>0</v>
      </c>
      <c r="AN44" s="1103">
        <f>IFERROR(('12. Разходи'!AC44-'12. Разходи'!$AA44)/'12. Разходи'!$AA44,0)</f>
        <v>0</v>
      </c>
      <c r="AO44" s="882">
        <f>'12. Разходи'!AD44-'12. Разходи'!$AA44</f>
        <v>0</v>
      </c>
      <c r="AP44" s="1103">
        <f>IFERROR(('12. Разходи'!AD44-'12. Разходи'!$AA44)/'12. Разходи'!$AA44,0)</f>
        <v>0</v>
      </c>
      <c r="AQ44" s="882">
        <f>'12. Разходи'!AE44-'12. Разходи'!$AA44</f>
        <v>0</v>
      </c>
      <c r="AR44" s="1102">
        <f>IFERROR(('12. Разходи'!AE44-'12. Разходи'!$AA44)/'12. Разходи'!$AA44,0)</f>
        <v>0</v>
      </c>
      <c r="AS44" s="1110">
        <f>'12. Разходи'!AF44-'12. Разходи'!$AA44</f>
        <v>0</v>
      </c>
      <c r="AT44" s="1157">
        <f>IFERROR(('12. Разходи'!AF44-'12. Разходи'!$AA44)/'12. Разходи'!$AA44,0)</f>
        <v>0</v>
      </c>
      <c r="AU44" s="1151">
        <f>'12. Разходи'!AI44</f>
        <v>0</v>
      </c>
      <c r="AV44" s="1115">
        <f>'12. Разходи'!AJ44-'12. Разходи'!$AI44</f>
        <v>0</v>
      </c>
      <c r="AW44" s="1095">
        <f>IFERROR(('12. Разходи'!AJ44-'12. Разходи'!$AI44)/'12. Разходи'!$AI44,0)</f>
        <v>0</v>
      </c>
      <c r="AX44" s="882">
        <f>'12. Разходи'!AK44-'12. Разходи'!$AI44</f>
        <v>0</v>
      </c>
      <c r="AY44" s="1103">
        <f>IFERROR(('12. Разходи'!AK44-'12. Разходи'!$AI44)/'12. Разходи'!$AI44,0)</f>
        <v>0</v>
      </c>
      <c r="AZ44" s="882">
        <f>'12. Разходи'!AL44-'12. Разходи'!$AI44</f>
        <v>0</v>
      </c>
      <c r="BA44" s="1103">
        <f>IFERROR(('12. Разходи'!AL44-'12. Разходи'!$AI44)/'12. Разходи'!$AI44,0)</f>
        <v>0</v>
      </c>
      <c r="BB44" s="882">
        <f>'12. Разходи'!AM44-'12. Разходи'!$AI44</f>
        <v>0</v>
      </c>
      <c r="BC44" s="1102">
        <f>IFERROR(('12. Разходи'!AM44-'12. Разходи'!$AI44)/'12. Разходи'!$AI44,0)</f>
        <v>0</v>
      </c>
      <c r="BD44" s="1110">
        <f>'12. Разходи'!AN44-'12. Разходи'!$AI44</f>
        <v>0</v>
      </c>
      <c r="BE44" s="1157">
        <f>IFERROR(('12. Разходи'!AN44-'12. Разходи'!$AI44)/'12. Разходи'!$AI44,0)</f>
        <v>0</v>
      </c>
      <c r="BF44" s="4422"/>
      <c r="BG44" s="4438">
        <f t="shared" si="1"/>
        <v>118.6197164375227</v>
      </c>
      <c r="BH44" s="4438">
        <f t="shared" si="2"/>
        <v>8.3033801506265927</v>
      </c>
      <c r="BI44" s="4438">
        <f t="shared" si="3"/>
        <v>12.111073048271075</v>
      </c>
      <c r="BJ44" s="4438">
        <f t="shared" si="4"/>
        <v>16.032996732844886</v>
      </c>
      <c r="BK44" s="4438">
        <f t="shared" si="5"/>
        <v>20.072578127955904</v>
      </c>
      <c r="BL44" s="4438">
        <f t="shared" si="6"/>
        <v>24.233346964920262</v>
      </c>
      <c r="BM44" s="4438">
        <f t="shared" si="7"/>
        <v>5.6242106931584033</v>
      </c>
      <c r="BN44" s="4438">
        <f t="shared" si="8"/>
        <v>0.39369474852108893</v>
      </c>
      <c r="BO44" s="4438">
        <f t="shared" si="9"/>
        <v>0.57423191177147348</v>
      </c>
      <c r="BP44" s="4438">
        <f t="shared" si="10"/>
        <v>0.76018518991936956</v>
      </c>
      <c r="BQ44" s="4438">
        <f t="shared" si="11"/>
        <v>0.95171706641170273</v>
      </c>
      <c r="BR44" s="4438">
        <f t="shared" si="12"/>
        <v>1.1489948991988066</v>
      </c>
      <c r="BS44" s="4438">
        <f t="shared" si="13"/>
        <v>10.22583762392437</v>
      </c>
      <c r="BT44" s="4438">
        <f t="shared" si="14"/>
        <v>0.71580863367470704</v>
      </c>
      <c r="BU44" s="4438">
        <f t="shared" si="15"/>
        <v>1.0440580214026789</v>
      </c>
      <c r="BV44" s="4438">
        <f t="shared" si="16"/>
        <v>1.3821548907624917</v>
      </c>
      <c r="BW44" s="4438">
        <f t="shared" si="17"/>
        <v>1.7303946662030973</v>
      </c>
      <c r="BX44" s="4438">
        <f t="shared" si="18"/>
        <v>2.0890816349069223</v>
      </c>
      <c r="BY44" s="4438">
        <f t="shared" si="19"/>
        <v>0</v>
      </c>
      <c r="BZ44" s="4438">
        <f t="shared" si="20"/>
        <v>0</v>
      </c>
      <c r="CA44" s="4438">
        <f t="shared" si="21"/>
        <v>0</v>
      </c>
      <c r="CB44" s="4438">
        <f t="shared" si="22"/>
        <v>0</v>
      </c>
      <c r="CC44" s="4438">
        <f t="shared" si="23"/>
        <v>0</v>
      </c>
      <c r="CD44" s="4438">
        <f t="shared" si="24"/>
        <v>0</v>
      </c>
      <c r="CE44" s="4438">
        <f t="shared" si="25"/>
        <v>0</v>
      </c>
      <c r="CF44" s="4438">
        <f t="shared" si="26"/>
        <v>0</v>
      </c>
      <c r="CG44" s="4438">
        <f t="shared" si="27"/>
        <v>0</v>
      </c>
      <c r="CH44" s="4438">
        <f t="shared" si="28"/>
        <v>0</v>
      </c>
      <c r="CI44" s="4438">
        <f t="shared" si="29"/>
        <v>0</v>
      </c>
      <c r="CJ44" s="4438">
        <f t="shared" si="30"/>
        <v>0</v>
      </c>
    </row>
    <row r="45" spans="1:88" ht="15.95" customHeight="1">
      <c r="A45" s="816" t="s">
        <v>260</v>
      </c>
      <c r="B45" s="871" t="s">
        <v>630</v>
      </c>
      <c r="C45" s="1086">
        <f>'12. Разходи'!C45</f>
        <v>26</v>
      </c>
      <c r="D45" s="1115">
        <f>'12. Разходи'!D45-'12. Разходи'!$C45</f>
        <v>1.8200000000000003</v>
      </c>
      <c r="E45" s="1095">
        <f>IFERROR(('12. Разходи'!D45-'12. Разходи'!$C45)/'12. Разходи'!$C45,0)</f>
        <v>7.0000000000000007E-2</v>
      </c>
      <c r="F45" s="882">
        <f>'12. Разходи'!E45-'12. Разходи'!$C45</f>
        <v>2.6546000000000021</v>
      </c>
      <c r="G45" s="1103">
        <f>IFERROR(('12. Разходи'!E45-'12. Разходи'!$C45)/'12. Разходи'!$C45,0)</f>
        <v>0.10210000000000008</v>
      </c>
      <c r="H45" s="882">
        <f>'12. Разходи'!F45-'12. Разходи'!$C45</f>
        <v>3.5142380000000024</v>
      </c>
      <c r="I45" s="1103">
        <f>IFERROR(('12. Разходи'!F45-'12. Разходи'!$C45)/'12. Разходи'!$C45,0)</f>
        <v>0.13516300000000009</v>
      </c>
      <c r="J45" s="882">
        <f>'12. Разходи'!G45-'12. Разходи'!$C45</f>
        <v>4.3996651400000033</v>
      </c>
      <c r="K45" s="1102">
        <f>IFERROR(('12. Разходи'!G45-'12. Разходи'!$C45)/'12. Разходи'!$C45,0)</f>
        <v>0.16921789000000012</v>
      </c>
      <c r="L45" s="1110">
        <f>'12. Разходи'!H45-'12. Разходи'!$C45</f>
        <v>5.3116550942000025</v>
      </c>
      <c r="M45" s="1102">
        <f>IFERROR(('12. Разходи'!H45-'12. Разходи'!$C45)/'12. Разходи'!$C45,0)</f>
        <v>0.20429442670000009</v>
      </c>
      <c r="N45" s="1151">
        <f>'12. Разходи'!K45</f>
        <v>0</v>
      </c>
      <c r="O45" s="1115">
        <f>'12. Разходи'!L45-'12. Разходи'!$K45</f>
        <v>0</v>
      </c>
      <c r="P45" s="1095">
        <f>IFERROR(('12. Разходи'!L45-'12. Разходи'!$K45)/'12. Разходи'!$K45,0)</f>
        <v>0</v>
      </c>
      <c r="Q45" s="882">
        <f>'12. Разходи'!M45-'12. Разходи'!$K45</f>
        <v>0</v>
      </c>
      <c r="R45" s="1103">
        <f>IFERROR(('12. Разходи'!M45-'12. Разходи'!$K45)/'12. Разходи'!$K45,0)</f>
        <v>0</v>
      </c>
      <c r="S45" s="882">
        <f>'12. Разходи'!N45-'12. Разходи'!$K45</f>
        <v>0</v>
      </c>
      <c r="T45" s="1103">
        <f>IFERROR(('12. Разходи'!N45-'12. Разходи'!$K45)/'12. Разходи'!$K45,0)</f>
        <v>0</v>
      </c>
      <c r="U45" s="882">
        <f>'12. Разходи'!O45-'12. Разходи'!$K45</f>
        <v>0</v>
      </c>
      <c r="V45" s="1102">
        <f>IFERROR(('12. Разходи'!O45-'12. Разходи'!$K45)/'12. Разходи'!$K45,0)</f>
        <v>0</v>
      </c>
      <c r="W45" s="1110">
        <f>'12. Разходи'!P45-'12. Разходи'!$K45</f>
        <v>0</v>
      </c>
      <c r="X45" s="1157">
        <f>IFERROR(('12. Разходи'!P45-'12. Разходи'!$K45)/'12. Разходи'!$K45,0)</f>
        <v>0</v>
      </c>
      <c r="Y45" s="1151">
        <f>'12. Разходи'!S45</f>
        <v>1</v>
      </c>
      <c r="Z45" s="1115">
        <f>'12. Разходи'!T45-'12. Разходи'!$S45</f>
        <v>7.0000000000000062E-2</v>
      </c>
      <c r="AA45" s="1095">
        <f>IFERROR(('12. Разходи'!T45-'12. Разходи'!$S45)/'12. Разходи'!$S45,0)</f>
        <v>7.0000000000000062E-2</v>
      </c>
      <c r="AB45" s="882">
        <f>'12. Разходи'!U45-'12. Разходи'!$S45</f>
        <v>0.10210000000000008</v>
      </c>
      <c r="AC45" s="1103">
        <f>IFERROR(('12. Разходи'!U45-'12. Разходи'!$S45)/'12. Разходи'!$S45,0)</f>
        <v>0.10210000000000008</v>
      </c>
      <c r="AD45" s="882">
        <f>'12. Разходи'!V45-'12. Разходи'!$S45</f>
        <v>0.13516300000000014</v>
      </c>
      <c r="AE45" s="1103">
        <f>IFERROR(('12. Разходи'!V45-'12. Разходи'!$S45)/'12. Разходи'!$S45,0)</f>
        <v>0.13516300000000014</v>
      </c>
      <c r="AF45" s="882">
        <f>'12. Разходи'!W45-'12. Разходи'!$S45</f>
        <v>0.16921789000000009</v>
      </c>
      <c r="AG45" s="1102">
        <f>IFERROR(('12. Разходи'!W45-'12. Разходи'!$S45)/'12. Разходи'!$S45,0)</f>
        <v>0.16921789000000009</v>
      </c>
      <c r="AH45" s="1110">
        <f>'12. Разходи'!X45-'12. Разходи'!$S45</f>
        <v>0.2042944267000002</v>
      </c>
      <c r="AI45" s="1157">
        <f>IFERROR(('12. Разходи'!X45-'12. Разходи'!$S45)/'12. Разходи'!$S45,0)</f>
        <v>0.2042944267000002</v>
      </c>
      <c r="AJ45" s="1151">
        <f>'12. Разходи'!AA45</f>
        <v>0</v>
      </c>
      <c r="AK45" s="1115">
        <f>'12. Разходи'!AB45-'12. Разходи'!$AA45</f>
        <v>0</v>
      </c>
      <c r="AL45" s="1095">
        <f>IFERROR(('12. Разходи'!AB45-'12. Разходи'!$AA45)/'12. Разходи'!$AA45,0)</f>
        <v>0</v>
      </c>
      <c r="AM45" s="882">
        <f>'12. Разходи'!AC45-'12. Разходи'!$AA45</f>
        <v>0</v>
      </c>
      <c r="AN45" s="1103">
        <f>IFERROR(('12. Разходи'!AC45-'12. Разходи'!$AA45)/'12. Разходи'!$AA45,0)</f>
        <v>0</v>
      </c>
      <c r="AO45" s="882">
        <f>'12. Разходи'!AD45-'12. Разходи'!$AA45</f>
        <v>0</v>
      </c>
      <c r="AP45" s="1103">
        <f>IFERROR(('12. Разходи'!AD45-'12. Разходи'!$AA45)/'12. Разходи'!$AA45,0)</f>
        <v>0</v>
      </c>
      <c r="AQ45" s="882">
        <f>'12. Разходи'!AE45-'12. Разходи'!$AA45</f>
        <v>0</v>
      </c>
      <c r="AR45" s="1102">
        <f>IFERROR(('12. Разходи'!AE45-'12. Разходи'!$AA45)/'12. Разходи'!$AA45,0)</f>
        <v>0</v>
      </c>
      <c r="AS45" s="1110">
        <f>'12. Разходи'!AF45-'12. Разходи'!$AA45</f>
        <v>0</v>
      </c>
      <c r="AT45" s="1157">
        <f>IFERROR(('12. Разходи'!AF45-'12. Разходи'!$AA45)/'12. Разходи'!$AA45,0)</f>
        <v>0</v>
      </c>
      <c r="AU45" s="1151">
        <f>'12. Разходи'!AI45</f>
        <v>0</v>
      </c>
      <c r="AV45" s="1115">
        <f>'12. Разходи'!AJ45-'12. Разходи'!$AI45</f>
        <v>0</v>
      </c>
      <c r="AW45" s="1095">
        <f>IFERROR(('12. Разходи'!AJ45-'12. Разходи'!$AI45)/'12. Разходи'!$AI45,0)</f>
        <v>0</v>
      </c>
      <c r="AX45" s="882">
        <f>'12. Разходи'!AK45-'12. Разходи'!$AI45</f>
        <v>0</v>
      </c>
      <c r="AY45" s="1103">
        <f>IFERROR(('12. Разходи'!AK45-'12. Разходи'!$AI45)/'12. Разходи'!$AI45,0)</f>
        <v>0</v>
      </c>
      <c r="AZ45" s="882">
        <f>'12. Разходи'!AL45-'12. Разходи'!$AI45</f>
        <v>0</v>
      </c>
      <c r="BA45" s="1103">
        <f>IFERROR(('12. Разходи'!AL45-'12. Разходи'!$AI45)/'12. Разходи'!$AI45,0)</f>
        <v>0</v>
      </c>
      <c r="BB45" s="882">
        <f>'12. Разходи'!AM45-'12. Разходи'!$AI45</f>
        <v>0</v>
      </c>
      <c r="BC45" s="1102">
        <f>IFERROR(('12. Разходи'!AM45-'12. Разходи'!$AI45)/'12. Разходи'!$AI45,0)</f>
        <v>0</v>
      </c>
      <c r="BD45" s="1110">
        <f>'12. Разходи'!AN45-'12. Разходи'!$AI45</f>
        <v>0</v>
      </c>
      <c r="BE45" s="1157">
        <f>IFERROR(('12. Разходи'!AN45-'12. Разходи'!$AI45)/'12. Разходи'!$AI45,0)</f>
        <v>0</v>
      </c>
      <c r="BF45" s="4422"/>
      <c r="BG45" s="4438">
        <f t="shared" si="1"/>
        <v>13.293588911101681</v>
      </c>
      <c r="BH45" s="4438">
        <f t="shared" si="2"/>
        <v>0.93055122377711785</v>
      </c>
      <c r="BI45" s="4438">
        <f t="shared" si="3"/>
        <v>1.3572754278234826</v>
      </c>
      <c r="BJ45" s="4438">
        <f t="shared" si="4"/>
        <v>1.7968013579912376</v>
      </c>
      <c r="BK45" s="4438">
        <f t="shared" si="5"/>
        <v>2.2495130660640257</v>
      </c>
      <c r="BL45" s="4438">
        <f t="shared" si="6"/>
        <v>2.7158061253789962</v>
      </c>
      <c r="BM45" s="4438">
        <f t="shared" si="7"/>
        <v>0</v>
      </c>
      <c r="BN45" s="4438">
        <f t="shared" si="8"/>
        <v>0</v>
      </c>
      <c r="BO45" s="4438">
        <f t="shared" si="9"/>
        <v>0</v>
      </c>
      <c r="BP45" s="4438">
        <f t="shared" si="10"/>
        <v>0</v>
      </c>
      <c r="BQ45" s="4438">
        <f t="shared" si="11"/>
        <v>0</v>
      </c>
      <c r="BR45" s="4438">
        <f t="shared" si="12"/>
        <v>0</v>
      </c>
      <c r="BS45" s="4438">
        <f t="shared" si="13"/>
        <v>0.51129188119621849</v>
      </c>
      <c r="BT45" s="4438">
        <f t="shared" si="14"/>
        <v>3.579043168373533E-2</v>
      </c>
      <c r="BU45" s="4438">
        <f t="shared" si="15"/>
        <v>5.220290107013395E-2</v>
      </c>
      <c r="BV45" s="4438">
        <f t="shared" si="16"/>
        <v>6.9107744538124558E-2</v>
      </c>
      <c r="BW45" s="4438">
        <f t="shared" si="17"/>
        <v>8.651973331015482E-2</v>
      </c>
      <c r="BX45" s="4438">
        <f t="shared" si="18"/>
        <v>0.10445408174534607</v>
      </c>
      <c r="BY45" s="4438">
        <f t="shared" si="19"/>
        <v>0</v>
      </c>
      <c r="BZ45" s="4438">
        <f t="shared" si="20"/>
        <v>0</v>
      </c>
      <c r="CA45" s="4438">
        <f t="shared" si="21"/>
        <v>0</v>
      </c>
      <c r="CB45" s="4438">
        <f t="shared" si="22"/>
        <v>0</v>
      </c>
      <c r="CC45" s="4438">
        <f t="shared" si="23"/>
        <v>0</v>
      </c>
      <c r="CD45" s="4438">
        <f t="shared" si="24"/>
        <v>0</v>
      </c>
      <c r="CE45" s="4438">
        <f t="shared" si="25"/>
        <v>0</v>
      </c>
      <c r="CF45" s="4438">
        <f t="shared" si="26"/>
        <v>0</v>
      </c>
      <c r="CG45" s="4438">
        <f t="shared" si="27"/>
        <v>0</v>
      </c>
      <c r="CH45" s="4438">
        <f t="shared" si="28"/>
        <v>0</v>
      </c>
      <c r="CI45" s="4438">
        <f t="shared" si="29"/>
        <v>0</v>
      </c>
      <c r="CJ45" s="4438">
        <f t="shared" si="30"/>
        <v>0</v>
      </c>
    </row>
    <row r="46" spans="1:88" ht="15.95" customHeight="1">
      <c r="A46" s="816" t="s">
        <v>262</v>
      </c>
      <c r="B46" s="871" t="s">
        <v>685</v>
      </c>
      <c r="C46" s="1086">
        <f>'12. Разходи'!C46</f>
        <v>173</v>
      </c>
      <c r="D46" s="1115">
        <f>'12. Разходи'!D46-'12. Разходи'!$C46</f>
        <v>12.110000000000014</v>
      </c>
      <c r="E46" s="1095">
        <f>IFERROR(('12. Разходи'!D46-'12. Разходи'!$C46)/'12. Разходи'!$C46,0)</f>
        <v>7.0000000000000076E-2</v>
      </c>
      <c r="F46" s="882">
        <f>'12. Разходи'!E46-'12. Разходи'!$C46</f>
        <v>17.663300000000021</v>
      </c>
      <c r="G46" s="1103">
        <f>IFERROR(('12. Разходи'!E46-'12. Разходи'!$C46)/'12. Разходи'!$C46,0)</f>
        <v>0.10210000000000012</v>
      </c>
      <c r="H46" s="882">
        <f>'12. Разходи'!F46-'12. Разходи'!$C46</f>
        <v>23.383199000000019</v>
      </c>
      <c r="I46" s="1103">
        <f>IFERROR(('12. Разходи'!F46-'12. Разходи'!$C46)/'12. Разходи'!$C46,0)</f>
        <v>0.13516300000000012</v>
      </c>
      <c r="J46" s="882">
        <f>'12. Разходи'!G46-'12. Разходи'!$C46</f>
        <v>29.274694970000013</v>
      </c>
      <c r="K46" s="1102">
        <f>IFERROR(('12. Разходи'!G46-'12. Разходи'!$C46)/'12. Разходи'!$C46,0)</f>
        <v>0.16921789000000007</v>
      </c>
      <c r="L46" s="1110">
        <f>'12. Разходи'!H46-'12. Разходи'!$C46</f>
        <v>35.342935819100006</v>
      </c>
      <c r="M46" s="1102">
        <f>IFERROR(('12. Разходи'!H46-'12. Разходи'!$C46)/'12. Разходи'!$C46,0)</f>
        <v>0.20429442670000003</v>
      </c>
      <c r="N46" s="1151">
        <f>'12. Разходи'!K46</f>
        <v>0</v>
      </c>
      <c r="O46" s="1115">
        <f>'12. Разходи'!L46-'12. Разходи'!$K46</f>
        <v>0</v>
      </c>
      <c r="P46" s="1095">
        <f>IFERROR(('12. Разходи'!L46-'12. Разходи'!$K46)/'12. Разходи'!$K46,0)</f>
        <v>0</v>
      </c>
      <c r="Q46" s="882">
        <f>'12. Разходи'!M46-'12. Разходи'!$K46</f>
        <v>0</v>
      </c>
      <c r="R46" s="1103">
        <f>IFERROR(('12. Разходи'!M46-'12. Разходи'!$K46)/'12. Разходи'!$K46,0)</f>
        <v>0</v>
      </c>
      <c r="S46" s="882">
        <f>'12. Разходи'!N46-'12. Разходи'!$K46</f>
        <v>0</v>
      </c>
      <c r="T46" s="1103">
        <f>IFERROR(('12. Разходи'!N46-'12. Разходи'!$K46)/'12. Разходи'!$K46,0)</f>
        <v>0</v>
      </c>
      <c r="U46" s="882">
        <f>'12. Разходи'!O46-'12. Разходи'!$K46</f>
        <v>0</v>
      </c>
      <c r="V46" s="1102">
        <f>IFERROR(('12. Разходи'!O46-'12. Разходи'!$K46)/'12. Разходи'!$K46,0)</f>
        <v>0</v>
      </c>
      <c r="W46" s="1110">
        <f>'12. Разходи'!P46-'12. Разходи'!$K46</f>
        <v>0</v>
      </c>
      <c r="X46" s="1157">
        <f>IFERROR(('12. Разходи'!P46-'12. Разходи'!$K46)/'12. Разходи'!$K46,0)</f>
        <v>0</v>
      </c>
      <c r="Y46" s="1151">
        <f>'12. Разходи'!S46</f>
        <v>29</v>
      </c>
      <c r="Z46" s="1115">
        <f>'12. Разходи'!T46-'12. Разходи'!$S46</f>
        <v>2.0300000000000011</v>
      </c>
      <c r="AA46" s="1095">
        <f>IFERROR(('12. Разходи'!T46-'12. Разходи'!$S46)/'12. Разходи'!$S46,0)</f>
        <v>7.0000000000000034E-2</v>
      </c>
      <c r="AB46" s="882">
        <f>'12. Разходи'!U46-'12. Разходи'!$S46</f>
        <v>2.9609000000000023</v>
      </c>
      <c r="AC46" s="1103">
        <f>IFERROR(('12. Разходи'!U46-'12. Разходи'!$S46)/'12. Разходи'!$S46,0)</f>
        <v>0.10210000000000008</v>
      </c>
      <c r="AD46" s="882">
        <f>'12. Разходи'!V46-'12. Разходи'!$S46</f>
        <v>3.9197270000000017</v>
      </c>
      <c r="AE46" s="1103">
        <f>IFERROR(('12. Разходи'!V46-'12. Разходи'!$S46)/'12. Разходи'!$S46,0)</f>
        <v>0.13516300000000006</v>
      </c>
      <c r="AF46" s="882">
        <f>'12. Разходи'!W46-'12. Разходи'!$S46</f>
        <v>4.9073188099999996</v>
      </c>
      <c r="AG46" s="1102">
        <f>IFERROR(('12. Разходи'!W46-'12. Разходи'!$S46)/'12. Разходи'!$S46,0)</f>
        <v>0.16921788999999998</v>
      </c>
      <c r="AH46" s="1110">
        <f>'12. Разходи'!X46-'12. Разходи'!$S46</f>
        <v>5.9245383742999991</v>
      </c>
      <c r="AI46" s="1157">
        <f>IFERROR(('12. Разходи'!X46-'12. Разходи'!$S46)/'12. Разходи'!$S46,0)</f>
        <v>0.20429442669999998</v>
      </c>
      <c r="AJ46" s="1151">
        <f>'12. Разходи'!AA46</f>
        <v>0</v>
      </c>
      <c r="AK46" s="1115">
        <f>'12. Разходи'!AB46-'12. Разходи'!$AA46</f>
        <v>0</v>
      </c>
      <c r="AL46" s="1095">
        <f>IFERROR(('12. Разходи'!AB46-'12. Разходи'!$AA46)/'12. Разходи'!$AA46,0)</f>
        <v>0</v>
      </c>
      <c r="AM46" s="882">
        <f>'12. Разходи'!AC46-'12. Разходи'!$AA46</f>
        <v>0</v>
      </c>
      <c r="AN46" s="1103">
        <f>IFERROR(('12. Разходи'!AC46-'12. Разходи'!$AA46)/'12. Разходи'!$AA46,0)</f>
        <v>0</v>
      </c>
      <c r="AO46" s="882">
        <f>'12. Разходи'!AD46-'12. Разходи'!$AA46</f>
        <v>0</v>
      </c>
      <c r="AP46" s="1103">
        <f>IFERROR(('12. Разходи'!AD46-'12. Разходи'!$AA46)/'12. Разходи'!$AA46,0)</f>
        <v>0</v>
      </c>
      <c r="AQ46" s="882">
        <f>'12. Разходи'!AE46-'12. Разходи'!$AA46</f>
        <v>0</v>
      </c>
      <c r="AR46" s="1102">
        <f>IFERROR(('12. Разходи'!AE46-'12. Разходи'!$AA46)/'12. Разходи'!$AA46,0)</f>
        <v>0</v>
      </c>
      <c r="AS46" s="1110">
        <f>'12. Разходи'!AF46-'12. Разходи'!$AA46</f>
        <v>0</v>
      </c>
      <c r="AT46" s="1157">
        <f>IFERROR(('12. Разходи'!AF46-'12. Разходи'!$AA46)/'12. Разходи'!$AA46,0)</f>
        <v>0</v>
      </c>
      <c r="AU46" s="1151">
        <f>'12. Разходи'!AI46</f>
        <v>0</v>
      </c>
      <c r="AV46" s="1115">
        <f>'12. Разходи'!AJ46-'12. Разходи'!$AI46</f>
        <v>0</v>
      </c>
      <c r="AW46" s="1095">
        <f>IFERROR(('12. Разходи'!AJ46-'12. Разходи'!$AI46)/'12. Разходи'!$AI46,0)</f>
        <v>0</v>
      </c>
      <c r="AX46" s="882">
        <f>'12. Разходи'!AK46-'12. Разходи'!$AI46</f>
        <v>0</v>
      </c>
      <c r="AY46" s="1103">
        <f>IFERROR(('12. Разходи'!AK46-'12. Разходи'!$AI46)/'12. Разходи'!$AI46,0)</f>
        <v>0</v>
      </c>
      <c r="AZ46" s="882">
        <f>'12. Разходи'!AL46-'12. Разходи'!$AI46</f>
        <v>0</v>
      </c>
      <c r="BA46" s="1103">
        <f>IFERROR(('12. Разходи'!AL46-'12. Разходи'!$AI46)/'12. Разходи'!$AI46,0)</f>
        <v>0</v>
      </c>
      <c r="BB46" s="882">
        <f>'12. Разходи'!AM46-'12. Разходи'!$AI46</f>
        <v>0</v>
      </c>
      <c r="BC46" s="1102">
        <f>IFERROR(('12. Разходи'!AM46-'12. Разходи'!$AI46)/'12. Разходи'!$AI46,0)</f>
        <v>0</v>
      </c>
      <c r="BD46" s="1110">
        <f>'12. Разходи'!AN46-'12. Разходи'!$AI46</f>
        <v>0</v>
      </c>
      <c r="BE46" s="1157">
        <f>IFERROR(('12. Разходи'!AN46-'12. Разходи'!$AI46)/'12. Разходи'!$AI46,0)</f>
        <v>0</v>
      </c>
      <c r="BF46" s="4422"/>
      <c r="BG46" s="4438">
        <f t="shared" si="1"/>
        <v>88.453495446945794</v>
      </c>
      <c r="BH46" s="4438">
        <f t="shared" si="2"/>
        <v>6.1917446812862131</v>
      </c>
      <c r="BI46" s="4438">
        <f t="shared" si="3"/>
        <v>9.031101885133177</v>
      </c>
      <c r="BJ46" s="4438">
        <f t="shared" si="4"/>
        <v>11.955639805095545</v>
      </c>
      <c r="BK46" s="4438">
        <f t="shared" si="5"/>
        <v>14.967913862656783</v>
      </c>
      <c r="BL46" s="4438">
        <f t="shared" si="6"/>
        <v>18.070556141944856</v>
      </c>
      <c r="BM46" s="4438">
        <f t="shared" si="7"/>
        <v>0</v>
      </c>
      <c r="BN46" s="4438">
        <f t="shared" si="8"/>
        <v>0</v>
      </c>
      <c r="BO46" s="4438">
        <f t="shared" si="9"/>
        <v>0</v>
      </c>
      <c r="BP46" s="4438">
        <f t="shared" si="10"/>
        <v>0</v>
      </c>
      <c r="BQ46" s="4438">
        <f t="shared" si="11"/>
        <v>0</v>
      </c>
      <c r="BR46" s="4438">
        <f t="shared" si="12"/>
        <v>0</v>
      </c>
      <c r="BS46" s="4438">
        <f t="shared" si="13"/>
        <v>14.827464554690337</v>
      </c>
      <c r="BT46" s="4438">
        <f t="shared" si="14"/>
        <v>1.0379225188283241</v>
      </c>
      <c r="BU46" s="4438">
        <f t="shared" si="15"/>
        <v>1.5138841310338844</v>
      </c>
      <c r="BV46" s="4438">
        <f t="shared" si="16"/>
        <v>2.0041245916056107</v>
      </c>
      <c r="BW46" s="4438">
        <f t="shared" si="17"/>
        <v>2.509072265994488</v>
      </c>
      <c r="BX46" s="4438">
        <f t="shared" si="18"/>
        <v>3.0291683706150327</v>
      </c>
      <c r="BY46" s="4438">
        <f t="shared" si="19"/>
        <v>0</v>
      </c>
      <c r="BZ46" s="4438">
        <f t="shared" si="20"/>
        <v>0</v>
      </c>
      <c r="CA46" s="4438">
        <f t="shared" si="21"/>
        <v>0</v>
      </c>
      <c r="CB46" s="4438">
        <f t="shared" si="22"/>
        <v>0</v>
      </c>
      <c r="CC46" s="4438">
        <f t="shared" si="23"/>
        <v>0</v>
      </c>
      <c r="CD46" s="4438">
        <f t="shared" si="24"/>
        <v>0</v>
      </c>
      <c r="CE46" s="4438">
        <f t="shared" si="25"/>
        <v>0</v>
      </c>
      <c r="CF46" s="4438">
        <f t="shared" si="26"/>
        <v>0</v>
      </c>
      <c r="CG46" s="4438">
        <f t="shared" si="27"/>
        <v>0</v>
      </c>
      <c r="CH46" s="4438">
        <f t="shared" si="28"/>
        <v>0</v>
      </c>
      <c r="CI46" s="4438">
        <f t="shared" si="29"/>
        <v>0</v>
      </c>
      <c r="CJ46" s="4438">
        <f t="shared" si="30"/>
        <v>0</v>
      </c>
    </row>
    <row r="47" spans="1:88" ht="15.95" customHeight="1">
      <c r="A47" s="816" t="s">
        <v>444</v>
      </c>
      <c r="B47" s="871" t="s">
        <v>443</v>
      </c>
      <c r="C47" s="1086">
        <f>'12. Разходи'!C47</f>
        <v>5</v>
      </c>
      <c r="D47" s="1115">
        <f>'12. Разходи'!D47-'12. Разходи'!$C47</f>
        <v>0.35000000000000053</v>
      </c>
      <c r="E47" s="1095">
        <f>IFERROR(('12. Разходи'!D47-'12. Разходи'!$C47)/'12. Разходи'!$C47,0)</f>
        <v>7.0000000000000104E-2</v>
      </c>
      <c r="F47" s="882">
        <f>'12. Разходи'!E47-'12. Разходи'!$C47</f>
        <v>0.5105000000000004</v>
      </c>
      <c r="G47" s="1103">
        <f>IFERROR(('12. Разходи'!E47-'12. Разходи'!$C47)/'12. Разходи'!$C47,0)</f>
        <v>0.10210000000000008</v>
      </c>
      <c r="H47" s="882">
        <f>'12. Разходи'!F47-'12. Разходи'!$C47</f>
        <v>0.67581500000000094</v>
      </c>
      <c r="I47" s="1103">
        <f>IFERROR(('12. Разходи'!F47-'12. Разходи'!$C47)/'12. Разходи'!$C47,0)</f>
        <v>0.1351630000000002</v>
      </c>
      <c r="J47" s="882">
        <f>'12. Разходи'!G47-'12. Разходи'!$C47</f>
        <v>0.84608945000000091</v>
      </c>
      <c r="K47" s="1102">
        <f>IFERROR(('12. Разходи'!G47-'12. Разходи'!$C47)/'12. Разходи'!$C47,0)</f>
        <v>0.16921789000000018</v>
      </c>
      <c r="L47" s="1110">
        <f>'12. Разходи'!H47-'12. Разходи'!$C47</f>
        <v>1.0214721335000014</v>
      </c>
      <c r="M47" s="1102">
        <f>IFERROR(('12. Разходи'!H47-'12. Разходи'!$C47)/'12. Разходи'!$C47,0)</f>
        <v>0.20429442670000028</v>
      </c>
      <c r="N47" s="1151">
        <f>'12. Разходи'!K47</f>
        <v>4</v>
      </c>
      <c r="O47" s="1115">
        <f>'12. Разходи'!L47-'12. Разходи'!$K47</f>
        <v>0.28000000000000025</v>
      </c>
      <c r="P47" s="1095">
        <f>IFERROR(('12. Разходи'!L47-'12. Разходи'!$K47)/'12. Разходи'!$K47,0)</f>
        <v>7.0000000000000062E-2</v>
      </c>
      <c r="Q47" s="882">
        <f>'12. Разходи'!M47-'12. Разходи'!$K47</f>
        <v>0.40840000000000032</v>
      </c>
      <c r="R47" s="1103">
        <f>IFERROR(('12. Разходи'!M47-'12. Разходи'!$K47)/'12. Разходи'!$K47,0)</f>
        <v>0.10210000000000008</v>
      </c>
      <c r="S47" s="882">
        <f>'12. Разходи'!N47-'12. Разходи'!$K47</f>
        <v>0.54065200000000058</v>
      </c>
      <c r="T47" s="1103">
        <f>IFERROR(('12. Разходи'!N47-'12. Разходи'!$K47)/'12. Разходи'!$K47,0)</f>
        <v>0.13516300000000014</v>
      </c>
      <c r="U47" s="882">
        <f>'12. Разходи'!O47-'12. Разходи'!$K47</f>
        <v>0.67687156000000037</v>
      </c>
      <c r="V47" s="1102">
        <f>IFERROR(('12. Разходи'!O47-'12. Разходи'!$K47)/'12. Разходи'!$K47,0)</f>
        <v>0.16921789000000009</v>
      </c>
      <c r="W47" s="1110">
        <f>'12. Разходи'!P47-'12. Разходи'!$K47</f>
        <v>0.81717770680000079</v>
      </c>
      <c r="X47" s="1157">
        <f>IFERROR(('12. Разходи'!P47-'12. Разходи'!$K47)/'12. Разходи'!$K47,0)</f>
        <v>0.2042944267000002</v>
      </c>
      <c r="Y47" s="1151">
        <f>'12. Разходи'!S47</f>
        <v>1</v>
      </c>
      <c r="Z47" s="1115">
        <f>'12. Разходи'!T47-'12. Разходи'!$S47</f>
        <v>7.0000000000000062E-2</v>
      </c>
      <c r="AA47" s="1095">
        <f>IFERROR(('12. Разходи'!T47-'12. Разходи'!$S47)/'12. Разходи'!$S47,0)</f>
        <v>7.0000000000000062E-2</v>
      </c>
      <c r="AB47" s="882">
        <f>'12. Разходи'!U47-'12. Разходи'!$S47</f>
        <v>0.10210000000000008</v>
      </c>
      <c r="AC47" s="1103">
        <f>IFERROR(('12. Разходи'!U47-'12. Разходи'!$S47)/'12. Разходи'!$S47,0)</f>
        <v>0.10210000000000008</v>
      </c>
      <c r="AD47" s="882">
        <f>'12. Разходи'!V47-'12. Разходи'!$S47</f>
        <v>0.13516300000000014</v>
      </c>
      <c r="AE47" s="1103">
        <f>IFERROR(('12. Разходи'!V47-'12. Разходи'!$S47)/'12. Разходи'!$S47,0)</f>
        <v>0.13516300000000014</v>
      </c>
      <c r="AF47" s="882">
        <f>'12. Разходи'!W47-'12. Разходи'!$S47</f>
        <v>0.16921789000000009</v>
      </c>
      <c r="AG47" s="1102">
        <f>IFERROR(('12. Разходи'!W47-'12. Разходи'!$S47)/'12. Разходи'!$S47,0)</f>
        <v>0.16921789000000009</v>
      </c>
      <c r="AH47" s="1110">
        <f>'12. Разходи'!X47-'12. Разходи'!$S47</f>
        <v>0.2042944267000002</v>
      </c>
      <c r="AI47" s="1157">
        <f>IFERROR(('12. Разходи'!X47-'12. Разходи'!$S47)/'12. Разходи'!$S47,0)</f>
        <v>0.2042944267000002</v>
      </c>
      <c r="AJ47" s="1151">
        <f>'12. Разходи'!AA47</f>
        <v>0</v>
      </c>
      <c r="AK47" s="1115">
        <f>'12. Разходи'!AB47-'12. Разходи'!$AA47</f>
        <v>0</v>
      </c>
      <c r="AL47" s="1095">
        <f>IFERROR(('12. Разходи'!AB47-'12. Разходи'!$AA47)/'12. Разходи'!$AA47,0)</f>
        <v>0</v>
      </c>
      <c r="AM47" s="882">
        <f>'12. Разходи'!AC47-'12. Разходи'!$AA47</f>
        <v>0</v>
      </c>
      <c r="AN47" s="1103">
        <f>IFERROR(('12. Разходи'!AC47-'12. Разходи'!$AA47)/'12. Разходи'!$AA47,0)</f>
        <v>0</v>
      </c>
      <c r="AO47" s="882">
        <f>'12. Разходи'!AD47-'12. Разходи'!$AA47</f>
        <v>0</v>
      </c>
      <c r="AP47" s="1103">
        <f>IFERROR(('12. Разходи'!AD47-'12. Разходи'!$AA47)/'12. Разходи'!$AA47,0)</f>
        <v>0</v>
      </c>
      <c r="AQ47" s="882">
        <f>'12. Разходи'!AE47-'12. Разходи'!$AA47</f>
        <v>0</v>
      </c>
      <c r="AR47" s="1102">
        <f>IFERROR(('12. Разходи'!AE47-'12. Разходи'!$AA47)/'12. Разходи'!$AA47,0)</f>
        <v>0</v>
      </c>
      <c r="AS47" s="1110">
        <f>'12. Разходи'!AF47-'12. Разходи'!$AA47</f>
        <v>0</v>
      </c>
      <c r="AT47" s="1157">
        <f>IFERROR(('12. Разходи'!AF47-'12. Разходи'!$AA47)/'12. Разходи'!$AA47,0)</f>
        <v>0</v>
      </c>
      <c r="AU47" s="1151">
        <f>'12. Разходи'!AI47</f>
        <v>0</v>
      </c>
      <c r="AV47" s="1115">
        <f>'12. Разходи'!AJ47-'12. Разходи'!$AI47</f>
        <v>0</v>
      </c>
      <c r="AW47" s="1095">
        <f>IFERROR(('12. Разходи'!AJ47-'12. Разходи'!$AI47)/'12. Разходи'!$AI47,0)</f>
        <v>0</v>
      </c>
      <c r="AX47" s="882">
        <f>'12. Разходи'!AK47-'12. Разходи'!$AI47</f>
        <v>0</v>
      </c>
      <c r="AY47" s="1103">
        <f>IFERROR(('12. Разходи'!AK47-'12. Разходи'!$AI47)/'12. Разходи'!$AI47,0)</f>
        <v>0</v>
      </c>
      <c r="AZ47" s="882">
        <f>'12. Разходи'!AL47-'12. Разходи'!$AI47</f>
        <v>0</v>
      </c>
      <c r="BA47" s="1103">
        <f>IFERROR(('12. Разходи'!AL47-'12. Разходи'!$AI47)/'12. Разходи'!$AI47,0)</f>
        <v>0</v>
      </c>
      <c r="BB47" s="882">
        <f>'12. Разходи'!AM47-'12. Разходи'!$AI47</f>
        <v>0</v>
      </c>
      <c r="BC47" s="1102">
        <f>IFERROR(('12. Разходи'!AM47-'12. Разходи'!$AI47)/'12. Разходи'!$AI47,0)</f>
        <v>0</v>
      </c>
      <c r="BD47" s="1110">
        <f>'12. Разходи'!AN47-'12. Разходи'!$AI47</f>
        <v>0</v>
      </c>
      <c r="BE47" s="1157">
        <f>IFERROR(('12. Разходи'!AN47-'12. Разходи'!$AI47)/'12. Разходи'!$AI47,0)</f>
        <v>0</v>
      </c>
      <c r="BF47" s="4422"/>
      <c r="BG47" s="4438">
        <f t="shared" si="1"/>
        <v>2.5564594059810926</v>
      </c>
      <c r="BH47" s="4438">
        <f t="shared" si="2"/>
        <v>0.17895215841867676</v>
      </c>
      <c r="BI47" s="4438">
        <f t="shared" si="3"/>
        <v>0.26101450535066972</v>
      </c>
      <c r="BJ47" s="4438">
        <f t="shared" si="4"/>
        <v>0.34553872269062291</v>
      </c>
      <c r="BK47" s="4438">
        <f t="shared" si="5"/>
        <v>0.43259866655077434</v>
      </c>
      <c r="BL47" s="4438">
        <f t="shared" si="6"/>
        <v>0.52227040872673058</v>
      </c>
      <c r="BM47" s="4438">
        <f t="shared" si="7"/>
        <v>2.045167524784874</v>
      </c>
      <c r="BN47" s="4438">
        <f t="shared" si="8"/>
        <v>0.14316172673494132</v>
      </c>
      <c r="BO47" s="4438">
        <f t="shared" si="9"/>
        <v>0.2088116042805358</v>
      </c>
      <c r="BP47" s="4438">
        <f t="shared" si="10"/>
        <v>0.27643097815249823</v>
      </c>
      <c r="BQ47" s="4438">
        <f t="shared" si="11"/>
        <v>0.34607893324061928</v>
      </c>
      <c r="BR47" s="4438">
        <f t="shared" si="12"/>
        <v>0.41781632698138427</v>
      </c>
      <c r="BS47" s="4438">
        <f t="shared" si="13"/>
        <v>0.51129188119621849</v>
      </c>
      <c r="BT47" s="4438">
        <f t="shared" si="14"/>
        <v>3.579043168373533E-2</v>
      </c>
      <c r="BU47" s="4438">
        <f t="shared" si="15"/>
        <v>5.220290107013395E-2</v>
      </c>
      <c r="BV47" s="4438">
        <f t="shared" si="16"/>
        <v>6.9107744538124558E-2</v>
      </c>
      <c r="BW47" s="4438">
        <f t="shared" si="17"/>
        <v>8.651973331015482E-2</v>
      </c>
      <c r="BX47" s="4438">
        <f t="shared" si="18"/>
        <v>0.10445408174534607</v>
      </c>
      <c r="BY47" s="4438">
        <f t="shared" si="19"/>
        <v>0</v>
      </c>
      <c r="BZ47" s="4438">
        <f t="shared" si="20"/>
        <v>0</v>
      </c>
      <c r="CA47" s="4438">
        <f t="shared" si="21"/>
        <v>0</v>
      </c>
      <c r="CB47" s="4438">
        <f t="shared" si="22"/>
        <v>0</v>
      </c>
      <c r="CC47" s="4438">
        <f t="shared" si="23"/>
        <v>0</v>
      </c>
      <c r="CD47" s="4438">
        <f t="shared" si="24"/>
        <v>0</v>
      </c>
      <c r="CE47" s="4438">
        <f t="shared" si="25"/>
        <v>0</v>
      </c>
      <c r="CF47" s="4438">
        <f t="shared" si="26"/>
        <v>0</v>
      </c>
      <c r="CG47" s="4438">
        <f t="shared" si="27"/>
        <v>0</v>
      </c>
      <c r="CH47" s="4438">
        <f t="shared" si="28"/>
        <v>0</v>
      </c>
      <c r="CI47" s="4438">
        <f t="shared" si="29"/>
        <v>0</v>
      </c>
      <c r="CJ47" s="4438">
        <f t="shared" si="30"/>
        <v>0</v>
      </c>
    </row>
    <row r="48" spans="1:88" s="675" customFormat="1" ht="15.95" customHeight="1">
      <c r="A48" s="816" t="s">
        <v>601</v>
      </c>
      <c r="B48" s="871" t="s">
        <v>641</v>
      </c>
      <c r="C48" s="1086">
        <f>'12. Разходи'!C48</f>
        <v>688.32588999999996</v>
      </c>
      <c r="D48" s="1117">
        <f>'12. Разходи'!D48-'12. Разходи'!$C48</f>
        <v>206.49776700000007</v>
      </c>
      <c r="E48" s="855">
        <f>IFERROR(('12. Разходи'!D48-'12. Разходи'!$C48)/'12. Разходи'!$C48,0)</f>
        <v>0.3000000000000001</v>
      </c>
      <c r="F48" s="1107">
        <f>'12. Разходи'!E48-'12. Разходи'!$C48</f>
        <v>251.23894985000015</v>
      </c>
      <c r="G48" s="855">
        <f>IFERROR(('12. Разходи'!E48-'12. Разходи'!$C48)/'12. Разходи'!$C48,0)</f>
        <v>0.36500000000000027</v>
      </c>
      <c r="H48" s="1107">
        <f>'12. Разходи'!F48-'12. Разходи'!$C48</f>
        <v>279.42589504550017</v>
      </c>
      <c r="I48" s="855">
        <f>IFERROR(('12. Разходи'!F48-'12. Разходи'!$C48)/'12. Разходи'!$C48,0)</f>
        <v>0.40595000000000026</v>
      </c>
      <c r="J48" s="1107">
        <f>'12. Разходи'!G48-'12. Разходи'!$C48</f>
        <v>260.07085934459019</v>
      </c>
      <c r="K48" s="861">
        <f>IFERROR(('12. Разходи'!G48-'12. Разходи'!$C48)/'12. Разходи'!$C48,0)</f>
        <v>0.37783100000000031</v>
      </c>
      <c r="L48" s="1107">
        <f>'12. Разходи'!H48-'12. Разходи'!$C48</f>
        <v>222.13498937080658</v>
      </c>
      <c r="M48" s="861">
        <f>IFERROR(('12. Разходи'!H48-'12. Разходи'!$C48)/'12. Разходи'!$C48,0)</f>
        <v>0.3227177600000003</v>
      </c>
      <c r="N48" s="1137">
        <f>'12. Разходи'!K48</f>
        <v>395.47147000000001</v>
      </c>
      <c r="O48" s="1117">
        <f>'12. Разходи'!L48-'12. Разходи'!$K48</f>
        <v>118.64144100000004</v>
      </c>
      <c r="P48" s="855">
        <f>IFERROR(('12. Разходи'!L48-'12. Разходи'!$K48)/'12. Разходи'!$K48,0)</f>
        <v>0.3000000000000001</v>
      </c>
      <c r="Q48" s="1107">
        <f>'12. Разходи'!M48-'12. Разходи'!$K48</f>
        <v>144.34708655000003</v>
      </c>
      <c r="R48" s="855">
        <f>IFERROR(('12. Разходи'!M48-'12. Разходи'!$K48)/'12. Разходи'!$K48,0)</f>
        <v>0.36500000000000005</v>
      </c>
      <c r="S48" s="1107">
        <f>'12. Разходи'!N48-'12. Разходи'!$K48</f>
        <v>160.54164324650009</v>
      </c>
      <c r="T48" s="855">
        <f>IFERROR(('12. Разходи'!N48-'12. Разходи'!$K48)/'12. Разходи'!$K48,0)</f>
        <v>0.4059500000000002</v>
      </c>
      <c r="U48" s="1107">
        <f>'12. Разходи'!O48-'12. Разходи'!$K48</f>
        <v>149.42138098157005</v>
      </c>
      <c r="V48" s="861">
        <f>IFERROR(('12. Разходи'!O48-'12. Разходи'!$K48)/'12. Разходи'!$K48,0)</f>
        <v>0.37783100000000014</v>
      </c>
      <c r="W48" s="1107">
        <f>'12. Разходи'!P48-'12. Разходи'!$K48</f>
        <v>127.62566694230719</v>
      </c>
      <c r="X48" s="866">
        <f>IFERROR(('12. Разходи'!P48-'12. Разходи'!$K48)/'12. Разходи'!$K48,0)</f>
        <v>0.32271775999999996</v>
      </c>
      <c r="Y48" s="1137">
        <f>'12. Разходи'!S48</f>
        <v>57.411759999999994</v>
      </c>
      <c r="Z48" s="1117">
        <f>'12. Разходи'!T48-'12. Разходи'!$S48</f>
        <v>17.223527999999995</v>
      </c>
      <c r="AA48" s="855">
        <f>IFERROR(('12. Разходи'!T48-'12. Разходи'!$S48)/'12. Разходи'!$S48,0)</f>
        <v>0.29999999999999993</v>
      </c>
      <c r="AB48" s="1107">
        <f>'12. Разходи'!U48-'12. Разходи'!$S48</f>
        <v>20.955292399999998</v>
      </c>
      <c r="AC48" s="855">
        <f>IFERROR(('12. Разходи'!U48-'12. Разходи'!$S48)/'12. Разходи'!$S48,0)</f>
        <v>0.36499999999999999</v>
      </c>
      <c r="AD48" s="1107">
        <f>'12. Разходи'!V48-'12. Разходи'!$S48</f>
        <v>23.306303972000002</v>
      </c>
      <c r="AE48" s="855">
        <f>IFERROR(('12. Разходи'!V48-'12. Разходи'!$S48)/'12. Разходи'!$S48,0)</f>
        <v>0.40595000000000009</v>
      </c>
      <c r="AF48" s="1107">
        <f>'12. Разходи'!W48-'12. Разходи'!$S48</f>
        <v>21.691942692559998</v>
      </c>
      <c r="AG48" s="861">
        <f>IFERROR(('12. Разходи'!W48-'12. Разходи'!$S48)/'12. Разходи'!$S48,0)</f>
        <v>0.37783100000000003</v>
      </c>
      <c r="AH48" s="1107">
        <f>'12. Разходи'!X48-'12. Разходи'!$S48</f>
        <v>18.527794584857595</v>
      </c>
      <c r="AI48" s="866">
        <f>IFERROR(('12. Разходи'!X48-'12. Разходи'!$S48)/'12. Разходи'!$S48,0)</f>
        <v>0.32271775999999996</v>
      </c>
      <c r="AJ48" s="1137">
        <f>'12. Разходи'!AA48</f>
        <v>0</v>
      </c>
      <c r="AK48" s="1117">
        <f>'12. Разходи'!AB48-'12. Разходи'!$AA48</f>
        <v>0</v>
      </c>
      <c r="AL48" s="855">
        <f>IFERROR(('12. Разходи'!AB48-'12. Разходи'!$AA48)/'12. Разходи'!$AA48,0)</f>
        <v>0</v>
      </c>
      <c r="AM48" s="1107">
        <f>'12. Разходи'!AC48-'12. Разходи'!$AA48</f>
        <v>0</v>
      </c>
      <c r="AN48" s="855">
        <f>IFERROR(('12. Разходи'!AC48-'12. Разходи'!$AA48)/'12. Разходи'!$AA48,0)</f>
        <v>0</v>
      </c>
      <c r="AO48" s="1107">
        <f>'12. Разходи'!AD48-'12. Разходи'!$AA48</f>
        <v>0</v>
      </c>
      <c r="AP48" s="855">
        <f>IFERROR(('12. Разходи'!AD48-'12. Разходи'!$AA48)/'12. Разходи'!$AA48,0)</f>
        <v>0</v>
      </c>
      <c r="AQ48" s="1107">
        <f>'12. Разходи'!AE48-'12. Разходи'!$AA48</f>
        <v>0</v>
      </c>
      <c r="AR48" s="861">
        <f>IFERROR(('12. Разходи'!AE48-'12. Разходи'!$AA48)/'12. Разходи'!$AA48,0)</f>
        <v>0</v>
      </c>
      <c r="AS48" s="1107">
        <f>'12. Разходи'!AF48-'12. Разходи'!$AA48</f>
        <v>0</v>
      </c>
      <c r="AT48" s="866">
        <f>IFERROR(('12. Разходи'!AF48-'12. Разходи'!$AA48)/'12. Разходи'!$AA48,0)</f>
        <v>0</v>
      </c>
      <c r="AU48" s="1137">
        <f>'12. Разходи'!AI48</f>
        <v>0</v>
      </c>
      <c r="AV48" s="1117">
        <f>'12. Разходи'!AJ48-'12. Разходи'!$AI48</f>
        <v>0</v>
      </c>
      <c r="AW48" s="855">
        <f>IFERROR(('12. Разходи'!AJ48-'12. Разходи'!$AI48)/'12. Разходи'!$AI48,0)</f>
        <v>0</v>
      </c>
      <c r="AX48" s="1107">
        <f>'12. Разходи'!AK48-'12. Разходи'!$AI48</f>
        <v>0</v>
      </c>
      <c r="AY48" s="855">
        <f>IFERROR(('12. Разходи'!AK48-'12. Разходи'!$AI48)/'12. Разходи'!$AI48,0)</f>
        <v>0</v>
      </c>
      <c r="AZ48" s="1107">
        <f>'12. Разходи'!AL48-'12. Разходи'!$AI48</f>
        <v>0</v>
      </c>
      <c r="BA48" s="855">
        <f>IFERROR(('12. Разходи'!AL48-'12. Разходи'!$AI48)/'12. Разходи'!$AI48,0)</f>
        <v>0</v>
      </c>
      <c r="BB48" s="1107">
        <f>'12. Разходи'!AM48-'12. Разходи'!$AI48</f>
        <v>0</v>
      </c>
      <c r="BC48" s="861">
        <f>IFERROR(('12. Разходи'!AM48-'12. Разходи'!$AI48)/'12. Разходи'!$AI48,0)</f>
        <v>0</v>
      </c>
      <c r="BD48" s="1107">
        <f>'12. Разходи'!AN48-'12. Разходи'!$AI48</f>
        <v>0</v>
      </c>
      <c r="BE48" s="866">
        <f>IFERROR(('12. Разходи'!AN48-'12. Разходи'!$AI48)/'12. Разходи'!$AI48,0)</f>
        <v>0</v>
      </c>
      <c r="BF48" s="4422"/>
      <c r="BG48" s="4438">
        <f t="shared" si="1"/>
        <v>351.93543917416133</v>
      </c>
      <c r="BH48" s="4438">
        <f t="shared" si="2"/>
        <v>105.58063175224844</v>
      </c>
      <c r="BI48" s="4438">
        <f t="shared" si="3"/>
        <v>128.45643529856898</v>
      </c>
      <c r="BJ48" s="4438">
        <f t="shared" si="4"/>
        <v>142.8681915327509</v>
      </c>
      <c r="BK48" s="4438">
        <f t="shared" si="5"/>
        <v>132.97211891861267</v>
      </c>
      <c r="BL48" s="4438">
        <f t="shared" si="6"/>
        <v>113.5758165949017</v>
      </c>
      <c r="BM48" s="4438">
        <f t="shared" si="7"/>
        <v>202.20135185573389</v>
      </c>
      <c r="BN48" s="4438">
        <f t="shared" si="8"/>
        <v>60.660405556720185</v>
      </c>
      <c r="BO48" s="4438">
        <f t="shared" si="9"/>
        <v>73.803493427342886</v>
      </c>
      <c r="BP48" s="4438">
        <f t="shared" si="10"/>
        <v>82.08363878583522</v>
      </c>
      <c r="BQ48" s="4438">
        <f t="shared" si="11"/>
        <v>76.397938973003818</v>
      </c>
      <c r="BR48" s="4438">
        <f t="shared" si="12"/>
        <v>65.253967339854285</v>
      </c>
      <c r="BS48" s="4438">
        <f t="shared" si="13"/>
        <v>29.354166773185806</v>
      </c>
      <c r="BT48" s="4438">
        <f t="shared" si="14"/>
        <v>8.8062500319557397</v>
      </c>
      <c r="BU48" s="4438">
        <f t="shared" si="15"/>
        <v>10.714270872212818</v>
      </c>
      <c r="BV48" s="4438">
        <f t="shared" si="16"/>
        <v>11.916324001574781</v>
      </c>
      <c r="BW48" s="4438">
        <f t="shared" si="17"/>
        <v>11.090914186079566</v>
      </c>
      <c r="BX48" s="4438">
        <f t="shared" si="18"/>
        <v>9.4731109477089497</v>
      </c>
      <c r="BY48" s="4438">
        <f t="shared" si="19"/>
        <v>0</v>
      </c>
      <c r="BZ48" s="4438">
        <f t="shared" si="20"/>
        <v>0</v>
      </c>
      <c r="CA48" s="4438">
        <f t="shared" si="21"/>
        <v>0</v>
      </c>
      <c r="CB48" s="4438">
        <f t="shared" si="22"/>
        <v>0</v>
      </c>
      <c r="CC48" s="4438">
        <f t="shared" si="23"/>
        <v>0</v>
      </c>
      <c r="CD48" s="4438">
        <f t="shared" si="24"/>
        <v>0</v>
      </c>
      <c r="CE48" s="4438">
        <f t="shared" si="25"/>
        <v>0</v>
      </c>
      <c r="CF48" s="4438">
        <f t="shared" si="26"/>
        <v>0</v>
      </c>
      <c r="CG48" s="4438">
        <f t="shared" si="27"/>
        <v>0</v>
      </c>
      <c r="CH48" s="4438">
        <f t="shared" si="28"/>
        <v>0</v>
      </c>
      <c r="CI48" s="4438">
        <f t="shared" si="29"/>
        <v>0</v>
      </c>
      <c r="CJ48" s="4438">
        <f t="shared" si="30"/>
        <v>0</v>
      </c>
    </row>
    <row r="49" spans="1:88" ht="15.95" customHeight="1">
      <c r="A49" s="816" t="s">
        <v>684</v>
      </c>
      <c r="B49" s="871" t="s">
        <v>631</v>
      </c>
      <c r="C49" s="1120"/>
      <c r="D49" s="3021"/>
      <c r="E49" s="3023"/>
      <c r="F49" s="1969"/>
      <c r="G49" s="3023"/>
      <c r="H49" s="1969"/>
      <c r="I49" s="3023"/>
      <c r="J49" s="1969"/>
      <c r="K49" s="3092"/>
      <c r="L49" s="1969"/>
      <c r="M49" s="3092"/>
      <c r="N49" s="3093"/>
      <c r="O49" s="3021"/>
      <c r="P49" s="3023"/>
      <c r="Q49" s="1969"/>
      <c r="R49" s="3023"/>
      <c r="S49" s="1969"/>
      <c r="T49" s="3023"/>
      <c r="U49" s="1969"/>
      <c r="V49" s="3092"/>
      <c r="W49" s="1969"/>
      <c r="X49" s="3022"/>
      <c r="Y49" s="3094">
        <f>'12. Разходи'!S49</f>
        <v>87.26</v>
      </c>
      <c r="Z49" s="1117">
        <f>'12. Разходи'!T49-'12. Разходи'!$S49</f>
        <v>17.739999999999995</v>
      </c>
      <c r="AA49" s="855">
        <f>IFERROR(('12. Разходи'!T49-'12. Разходи'!$S49)/'12. Разходи'!$S49,0)</f>
        <v>0.20330048132019246</v>
      </c>
      <c r="AB49" s="1107">
        <f>'12. Разходи'!U49-'12. Разходи'!$S49</f>
        <v>22.989999999999995</v>
      </c>
      <c r="AC49" s="855">
        <f>IFERROR(('12. Разходи'!U49-'12. Разходи'!$S49)/'12. Разходи'!$S49,0)</f>
        <v>0.26346550538620206</v>
      </c>
      <c r="AD49" s="1107">
        <f>'12. Разходи'!V49-'12. Разходи'!$S49</f>
        <v>28.502499999999998</v>
      </c>
      <c r="AE49" s="855">
        <f>IFERROR(('12. Разходи'!V49-'12. Разходи'!$S49)/'12. Разходи'!$S49,0)</f>
        <v>0.32663878065551222</v>
      </c>
      <c r="AF49" s="1107">
        <f>'12. Разходи'!W49-'12. Разходи'!$S49</f>
        <v>34.290625000000006</v>
      </c>
      <c r="AG49" s="861">
        <f>IFERROR(('12. Разходи'!W49-'12. Разходи'!$S49)/'12. Разходи'!$S49,0)</f>
        <v>0.3929707196882879</v>
      </c>
      <c r="AH49" s="1107">
        <f>'12. Разходи'!X49-'12. Разходи'!$S49</f>
        <v>40.368156250000013</v>
      </c>
      <c r="AI49" s="866">
        <f>IFERROR(('12. Разходи'!X49-'12. Разходи'!$S49)/'12. Разходи'!$S49,0)</f>
        <v>0.4626192556727024</v>
      </c>
      <c r="AJ49" s="3093"/>
      <c r="AK49" s="3021"/>
      <c r="AL49" s="3023"/>
      <c r="AM49" s="1969"/>
      <c r="AN49" s="3023"/>
      <c r="AO49" s="1969"/>
      <c r="AP49" s="3023"/>
      <c r="AQ49" s="1969"/>
      <c r="AR49" s="3092"/>
      <c r="AS49" s="1969"/>
      <c r="AT49" s="3022"/>
      <c r="AU49" s="3093"/>
      <c r="AV49" s="3021"/>
      <c r="AW49" s="3023"/>
      <c r="AX49" s="1969"/>
      <c r="AY49" s="3023"/>
      <c r="AZ49" s="1969"/>
      <c r="BA49" s="3023"/>
      <c r="BB49" s="1969"/>
      <c r="BC49" s="3092"/>
      <c r="BD49" s="1969"/>
      <c r="BE49" s="3022"/>
      <c r="BF49" s="4422"/>
      <c r="BG49" s="4438">
        <f t="shared" si="1"/>
        <v>0</v>
      </c>
      <c r="BH49" s="4438">
        <f t="shared" si="2"/>
        <v>0</v>
      </c>
      <c r="BI49" s="4438">
        <f t="shared" si="3"/>
        <v>0</v>
      </c>
      <c r="BJ49" s="4438">
        <f t="shared" si="4"/>
        <v>0</v>
      </c>
      <c r="BK49" s="4438">
        <f t="shared" si="5"/>
        <v>0</v>
      </c>
      <c r="BL49" s="4438">
        <f t="shared" si="6"/>
        <v>0</v>
      </c>
      <c r="BM49" s="4438">
        <f t="shared" si="7"/>
        <v>0</v>
      </c>
      <c r="BN49" s="4438">
        <f t="shared" si="8"/>
        <v>0</v>
      </c>
      <c r="BO49" s="4438">
        <f t="shared" si="9"/>
        <v>0</v>
      </c>
      <c r="BP49" s="4438">
        <f t="shared" si="10"/>
        <v>0</v>
      </c>
      <c r="BQ49" s="4438">
        <f t="shared" si="11"/>
        <v>0</v>
      </c>
      <c r="BR49" s="4438">
        <f t="shared" si="12"/>
        <v>0</v>
      </c>
      <c r="BS49" s="4438">
        <f t="shared" si="13"/>
        <v>44.615329553182029</v>
      </c>
      <c r="BT49" s="4438">
        <f t="shared" si="14"/>
        <v>9.0703179724209129</v>
      </c>
      <c r="BU49" s="4438">
        <f t="shared" si="15"/>
        <v>11.754600348701061</v>
      </c>
      <c r="BV49" s="4438">
        <f t="shared" si="16"/>
        <v>14.573096843795216</v>
      </c>
      <c r="BW49" s="4438">
        <f t="shared" si="17"/>
        <v>17.532518163644085</v>
      </c>
      <c r="BX49" s="4438">
        <f t="shared" si="18"/>
        <v>20.639910549485393</v>
      </c>
      <c r="BY49" s="4438">
        <f t="shared" si="19"/>
        <v>0</v>
      </c>
      <c r="BZ49" s="4438">
        <f t="shared" si="20"/>
        <v>0</v>
      </c>
      <c r="CA49" s="4438">
        <f t="shared" si="21"/>
        <v>0</v>
      </c>
      <c r="CB49" s="4438">
        <f t="shared" si="22"/>
        <v>0</v>
      </c>
      <c r="CC49" s="4438">
        <f t="shared" si="23"/>
        <v>0</v>
      </c>
      <c r="CD49" s="4438">
        <f t="shared" si="24"/>
        <v>0</v>
      </c>
      <c r="CE49" s="4438">
        <f t="shared" si="25"/>
        <v>0</v>
      </c>
      <c r="CF49" s="4438">
        <f t="shared" si="26"/>
        <v>0</v>
      </c>
      <c r="CG49" s="4438">
        <f t="shared" si="27"/>
        <v>0</v>
      </c>
      <c r="CH49" s="4438">
        <f t="shared" si="28"/>
        <v>0</v>
      </c>
      <c r="CI49" s="4438">
        <f t="shared" si="29"/>
        <v>0</v>
      </c>
      <c r="CJ49" s="4438">
        <f t="shared" si="30"/>
        <v>0</v>
      </c>
    </row>
    <row r="50" spans="1:88" ht="15.95" customHeight="1">
      <c r="A50" s="816" t="s">
        <v>735</v>
      </c>
      <c r="B50" s="871" t="s">
        <v>734</v>
      </c>
      <c r="C50" s="1120"/>
      <c r="D50" s="3021"/>
      <c r="E50" s="3023"/>
      <c r="F50" s="1969"/>
      <c r="G50" s="3023"/>
      <c r="H50" s="1969"/>
      <c r="I50" s="3023"/>
      <c r="J50" s="1969"/>
      <c r="K50" s="3095"/>
      <c r="L50" s="1969"/>
      <c r="M50" s="3095"/>
      <c r="N50" s="3093"/>
      <c r="O50" s="3021"/>
      <c r="P50" s="3023"/>
      <c r="Q50" s="1969"/>
      <c r="R50" s="3023"/>
      <c r="S50" s="1969"/>
      <c r="T50" s="3023"/>
      <c r="U50" s="1969"/>
      <c r="V50" s="3095"/>
      <c r="W50" s="1969"/>
      <c r="X50" s="3096"/>
      <c r="Y50" s="3094">
        <f>'12. Разходи'!S50</f>
        <v>0</v>
      </c>
      <c r="Z50" s="1117">
        <f>'12. Разходи'!T50-'12. Разходи'!$S50</f>
        <v>105</v>
      </c>
      <c r="AA50" s="855">
        <f>IFERROR(('12. Разходи'!T50-'12. Разходи'!$S50)/'12. Разходи'!$S50,0)</f>
        <v>0</v>
      </c>
      <c r="AB50" s="1107">
        <f>'12. Разходи'!U50-'12. Разходи'!$S50</f>
        <v>110.25</v>
      </c>
      <c r="AC50" s="855">
        <f>IFERROR(('12. Разходи'!U50-'12. Разходи'!$S50)/'12. Разходи'!$S50,0)</f>
        <v>0</v>
      </c>
      <c r="AD50" s="1107">
        <f>'12. Разходи'!V50-'12. Разходи'!$S50</f>
        <v>115.7625</v>
      </c>
      <c r="AE50" s="855">
        <f>IFERROR(('12. Разходи'!V50-'12. Разходи'!$S50)/'12. Разходи'!$S50,0)</f>
        <v>0</v>
      </c>
      <c r="AF50" s="1107">
        <f>'12. Разходи'!W50-'12. Разходи'!$S50</f>
        <v>50</v>
      </c>
      <c r="AG50" s="861">
        <f>IFERROR(('12. Разходи'!W50-'12. Разходи'!$S50)/'12. Разходи'!$S50,0)</f>
        <v>0</v>
      </c>
      <c r="AH50" s="1107">
        <f>'12. Разходи'!X50-'12. Разходи'!$S50</f>
        <v>0</v>
      </c>
      <c r="AI50" s="866">
        <f>IFERROR(('12. Разходи'!X50-'12. Разходи'!$S50)/'12. Разходи'!$S50,0)</f>
        <v>0</v>
      </c>
      <c r="AJ50" s="3093"/>
      <c r="AK50" s="3021"/>
      <c r="AL50" s="3023"/>
      <c r="AM50" s="1969"/>
      <c r="AN50" s="3023"/>
      <c r="AO50" s="1969"/>
      <c r="AP50" s="3023"/>
      <c r="AQ50" s="1969"/>
      <c r="AR50" s="3095"/>
      <c r="AS50" s="1969"/>
      <c r="AT50" s="3096"/>
      <c r="AU50" s="3093"/>
      <c r="AV50" s="3021"/>
      <c r="AW50" s="3023"/>
      <c r="AX50" s="1969"/>
      <c r="AY50" s="3023"/>
      <c r="AZ50" s="1969"/>
      <c r="BA50" s="3023"/>
      <c r="BB50" s="1969"/>
      <c r="BC50" s="3095"/>
      <c r="BD50" s="1969"/>
      <c r="BE50" s="3096"/>
      <c r="BF50" s="4422"/>
      <c r="BG50" s="4438">
        <f t="shared" si="1"/>
        <v>0</v>
      </c>
      <c r="BH50" s="4438">
        <f t="shared" si="2"/>
        <v>0</v>
      </c>
      <c r="BI50" s="4438">
        <f t="shared" si="3"/>
        <v>0</v>
      </c>
      <c r="BJ50" s="4438">
        <f t="shared" si="4"/>
        <v>0</v>
      </c>
      <c r="BK50" s="4438">
        <f t="shared" si="5"/>
        <v>0</v>
      </c>
      <c r="BL50" s="4438">
        <f t="shared" si="6"/>
        <v>0</v>
      </c>
      <c r="BM50" s="4438">
        <f t="shared" si="7"/>
        <v>0</v>
      </c>
      <c r="BN50" s="4438">
        <f t="shared" si="8"/>
        <v>0</v>
      </c>
      <c r="BO50" s="4438">
        <f t="shared" si="9"/>
        <v>0</v>
      </c>
      <c r="BP50" s="4438">
        <f t="shared" si="10"/>
        <v>0</v>
      </c>
      <c r="BQ50" s="4438">
        <f t="shared" si="11"/>
        <v>0</v>
      </c>
      <c r="BR50" s="4438">
        <f t="shared" si="12"/>
        <v>0</v>
      </c>
      <c r="BS50" s="4438">
        <f t="shared" si="13"/>
        <v>0</v>
      </c>
      <c r="BT50" s="4438">
        <f t="shared" si="14"/>
        <v>53.685647525602946</v>
      </c>
      <c r="BU50" s="4438">
        <f t="shared" si="15"/>
        <v>56.36992990188309</v>
      </c>
      <c r="BV50" s="4438">
        <f t="shared" si="16"/>
        <v>59.188426396977242</v>
      </c>
      <c r="BW50" s="4438">
        <f t="shared" si="17"/>
        <v>25.564594059810926</v>
      </c>
      <c r="BX50" s="4438">
        <f t="shared" si="18"/>
        <v>0</v>
      </c>
      <c r="BY50" s="4438">
        <f t="shared" si="19"/>
        <v>0</v>
      </c>
      <c r="BZ50" s="4438">
        <f t="shared" si="20"/>
        <v>0</v>
      </c>
      <c r="CA50" s="4438">
        <f t="shared" si="21"/>
        <v>0</v>
      </c>
      <c r="CB50" s="4438">
        <f t="shared" si="22"/>
        <v>0</v>
      </c>
      <c r="CC50" s="4438">
        <f t="shared" si="23"/>
        <v>0</v>
      </c>
      <c r="CD50" s="4438">
        <f t="shared" si="24"/>
        <v>0</v>
      </c>
      <c r="CE50" s="4438">
        <f t="shared" si="25"/>
        <v>0</v>
      </c>
      <c r="CF50" s="4438">
        <f t="shared" si="26"/>
        <v>0</v>
      </c>
      <c r="CG50" s="4438">
        <f t="shared" si="27"/>
        <v>0</v>
      </c>
      <c r="CH50" s="4438">
        <f t="shared" si="28"/>
        <v>0</v>
      </c>
      <c r="CI50" s="4438">
        <f t="shared" si="29"/>
        <v>0</v>
      </c>
      <c r="CJ50" s="4438">
        <f t="shared" si="30"/>
        <v>0</v>
      </c>
    </row>
    <row r="51" spans="1:88" ht="15.95" customHeight="1">
      <c r="A51" s="816" t="s">
        <v>1226</v>
      </c>
      <c r="B51" s="871" t="s">
        <v>445</v>
      </c>
      <c r="C51" s="1160">
        <f>'12. Разходи'!C51</f>
        <v>150</v>
      </c>
      <c r="D51" s="1118">
        <f>'12. Разходи'!D51-'12. Разходи'!$C51</f>
        <v>10.5</v>
      </c>
      <c r="E51" s="854">
        <f>IFERROR(('12. Разходи'!D51-'12. Разходи'!$C51)/'12. Разходи'!$C51,0)</f>
        <v>7.0000000000000007E-2</v>
      </c>
      <c r="F51" s="1105">
        <f>'12. Разходи'!E51-'12. Разходи'!$C51</f>
        <v>15.314999999999998</v>
      </c>
      <c r="G51" s="854">
        <f>IFERROR(('12. Разходи'!E51-'12. Разходи'!$C51)/'12. Разходи'!$C51,0)</f>
        <v>0.10209999999999998</v>
      </c>
      <c r="H51" s="1105">
        <f>'12. Разходи'!F51-'12. Разходи'!$C51</f>
        <v>20.274450000000002</v>
      </c>
      <c r="I51" s="854">
        <f>IFERROR(('12. Разходи'!F51-'12. Разходи'!$C51)/'12. Разходи'!$C51,0)</f>
        <v>0.13516300000000001</v>
      </c>
      <c r="J51" s="1105">
        <f>'12. Разходи'!G51-'12. Разходи'!$C51</f>
        <v>25.382683500000013</v>
      </c>
      <c r="K51" s="862">
        <f>IFERROR(('12. Разходи'!G51-'12. Разходи'!$C51)/'12. Разходи'!$C51,0)</f>
        <v>0.16921789000000009</v>
      </c>
      <c r="L51" s="1105">
        <f>'12. Разходи'!H51-'12. Разходи'!$C51</f>
        <v>30.644164005000022</v>
      </c>
      <c r="M51" s="862">
        <f>IFERROR(('12. Разходи'!H51-'12. Разходи'!$C51)/'12. Разходи'!$C51,0)</f>
        <v>0.20429442670000014</v>
      </c>
      <c r="N51" s="1136">
        <f>'12. Разходи'!K51</f>
        <v>15</v>
      </c>
      <c r="O51" s="1118">
        <f>'12. Разходи'!L51-'12. Разходи'!$K51</f>
        <v>1.0500000000000007</v>
      </c>
      <c r="P51" s="854">
        <f>IFERROR(('12. Разходи'!L51-'12. Разходи'!$K51)/'12. Разходи'!$K51,0)</f>
        <v>7.0000000000000048E-2</v>
      </c>
      <c r="Q51" s="1105">
        <f>'12. Разходи'!M51-'12. Разходи'!$K51</f>
        <v>1.5315000000000012</v>
      </c>
      <c r="R51" s="854">
        <f>IFERROR(('12. Разходи'!M51-'12. Разходи'!$K51)/'12. Разходи'!$K51,0)</f>
        <v>0.10210000000000008</v>
      </c>
      <c r="S51" s="1105">
        <f>'12. Разходи'!N51-'12. Разходи'!$K51</f>
        <v>2.0274450000000002</v>
      </c>
      <c r="T51" s="854">
        <f>IFERROR(('12. Разходи'!N51-'12. Разходи'!$K51)/'12. Разходи'!$K51,0)</f>
        <v>0.13516300000000001</v>
      </c>
      <c r="U51" s="1105">
        <f>'12. Разходи'!O51-'12. Разходи'!$K51</f>
        <v>2.5382683499999992</v>
      </c>
      <c r="V51" s="862">
        <f>IFERROR(('12. Разходи'!O51-'12. Разходи'!$K51)/'12. Разходи'!$K51,0)</f>
        <v>0.16921788999999995</v>
      </c>
      <c r="W51" s="1105">
        <f>'12. Разходи'!P51-'12. Разходи'!$K51</f>
        <v>3.0644164005000007</v>
      </c>
      <c r="X51" s="802">
        <f>IFERROR(('12. Разходи'!P51-'12. Разходи'!$K51)/'12. Разходи'!$K51,0)</f>
        <v>0.20429442670000006</v>
      </c>
      <c r="Y51" s="1136">
        <f>'12. Разходи'!S51</f>
        <v>15</v>
      </c>
      <c r="Z51" s="1118">
        <f>'12. Разходи'!T51-'12. Разходи'!$S51</f>
        <v>1.0500000000000007</v>
      </c>
      <c r="AA51" s="854">
        <f>IFERROR(('12. Разходи'!T51-'12. Разходи'!$S51)/'12. Разходи'!$S51,0)</f>
        <v>7.0000000000000048E-2</v>
      </c>
      <c r="AB51" s="1105">
        <f>'12. Разходи'!U51-'12. Разходи'!$S51</f>
        <v>1.5315000000000012</v>
      </c>
      <c r="AC51" s="854">
        <f>IFERROR(('12. Разходи'!U51-'12. Разходи'!$S51)/'12. Разходи'!$S51,0)</f>
        <v>0.10210000000000008</v>
      </c>
      <c r="AD51" s="1105">
        <f>'12. Разходи'!V51-'12. Разходи'!$S51</f>
        <v>2.0274450000000002</v>
      </c>
      <c r="AE51" s="854">
        <f>IFERROR(('12. Разходи'!V51-'12. Разходи'!$S51)/'12. Разходи'!$S51,0)</f>
        <v>0.13516300000000001</v>
      </c>
      <c r="AF51" s="1105">
        <f>'12. Разходи'!W51-'12. Разходи'!$S51</f>
        <v>2.5382683499999992</v>
      </c>
      <c r="AG51" s="862">
        <f>IFERROR(('12. Разходи'!W51-'12. Разходи'!$S51)/'12. Разходи'!$S51,0)</f>
        <v>0.16921788999999995</v>
      </c>
      <c r="AH51" s="1105">
        <f>'12. Разходи'!X51-'12. Разходи'!$S51</f>
        <v>3.0644164005000007</v>
      </c>
      <c r="AI51" s="802">
        <f>IFERROR(('12. Разходи'!X51-'12. Разходи'!$S51)/'12. Разходи'!$S51,0)</f>
        <v>0.20429442670000006</v>
      </c>
      <c r="AJ51" s="1136">
        <f>'12. Разходи'!AA51</f>
        <v>0</v>
      </c>
      <c r="AK51" s="1118">
        <f>'12. Разходи'!AB51-'12. Разходи'!$AA51</f>
        <v>0</v>
      </c>
      <c r="AL51" s="854">
        <f>IFERROR(('12. Разходи'!AB51-'12. Разходи'!$AA51)/'12. Разходи'!$AA51,0)</f>
        <v>0</v>
      </c>
      <c r="AM51" s="1105">
        <f>'12. Разходи'!AC51-'12. Разходи'!$AA51</f>
        <v>0</v>
      </c>
      <c r="AN51" s="854">
        <f>IFERROR(('12. Разходи'!AC51-'12. Разходи'!$AA51)/'12. Разходи'!$AA51,0)</f>
        <v>0</v>
      </c>
      <c r="AO51" s="1105">
        <f>'12. Разходи'!AD51-'12. Разходи'!$AA51</f>
        <v>0</v>
      </c>
      <c r="AP51" s="854">
        <f>IFERROR(('12. Разходи'!AD51-'12. Разходи'!$AA51)/'12. Разходи'!$AA51,0)</f>
        <v>0</v>
      </c>
      <c r="AQ51" s="1105">
        <f>'12. Разходи'!AE51-'12. Разходи'!$AA51</f>
        <v>0</v>
      </c>
      <c r="AR51" s="862">
        <f>IFERROR(('12. Разходи'!AE51-'12. Разходи'!$AA51)/'12. Разходи'!$AA51,0)</f>
        <v>0</v>
      </c>
      <c r="AS51" s="1105">
        <f>'12. Разходи'!AF51-'12. Разходи'!$AA51</f>
        <v>0</v>
      </c>
      <c r="AT51" s="802">
        <f>IFERROR(('12. Разходи'!AF51-'12. Разходи'!$AA51)/'12. Разходи'!$AA51,0)</f>
        <v>0</v>
      </c>
      <c r="AU51" s="1136">
        <f>'12. Разходи'!AI51</f>
        <v>0</v>
      </c>
      <c r="AV51" s="1118">
        <f>'12. Разходи'!AJ51-'12. Разходи'!$AI51</f>
        <v>0</v>
      </c>
      <c r="AW51" s="854">
        <f>IFERROR(('12. Разходи'!AJ51-'12. Разходи'!$AI51)/'12. Разходи'!$AI51,0)</f>
        <v>0</v>
      </c>
      <c r="AX51" s="1105">
        <f>'12. Разходи'!AK51-'12. Разходи'!$AI51</f>
        <v>0</v>
      </c>
      <c r="AY51" s="854">
        <f>IFERROR(('12. Разходи'!AK51-'12. Разходи'!$AI51)/'12. Разходи'!$AI51,0)</f>
        <v>0</v>
      </c>
      <c r="AZ51" s="1105">
        <f>'12. Разходи'!AL51-'12. Разходи'!$AI51</f>
        <v>0</v>
      </c>
      <c r="BA51" s="854">
        <f>IFERROR(('12. Разходи'!AL51-'12. Разходи'!$AI51)/'12. Разходи'!$AI51,0)</f>
        <v>0</v>
      </c>
      <c r="BB51" s="1105">
        <f>'12. Разходи'!AM51-'12. Разходи'!$AI51</f>
        <v>0</v>
      </c>
      <c r="BC51" s="862">
        <f>IFERROR(('12. Разходи'!AM51-'12. Разходи'!$AI51)/'12. Разходи'!$AI51,0)</f>
        <v>0</v>
      </c>
      <c r="BD51" s="1105">
        <f>'12. Разходи'!AN51-'12. Разходи'!$AI51</f>
        <v>0</v>
      </c>
      <c r="BE51" s="802">
        <f>IFERROR(('12. Разходи'!AN51-'12. Разходи'!$AI51)/'12. Разходи'!$AI51,0)</f>
        <v>0</v>
      </c>
      <c r="BF51" s="4422"/>
      <c r="BG51" s="4438">
        <f t="shared" si="1"/>
        <v>76.693782179432773</v>
      </c>
      <c r="BH51" s="4438">
        <f t="shared" si="2"/>
        <v>5.3685647525602942</v>
      </c>
      <c r="BI51" s="4438">
        <f t="shared" si="3"/>
        <v>7.8304351605200848</v>
      </c>
      <c r="BJ51" s="4438">
        <f t="shared" si="4"/>
        <v>10.366161680718672</v>
      </c>
      <c r="BK51" s="4438">
        <f t="shared" si="5"/>
        <v>12.977959996523222</v>
      </c>
      <c r="BL51" s="4438">
        <f t="shared" si="6"/>
        <v>15.668112261801907</v>
      </c>
      <c r="BM51" s="4438">
        <f t="shared" si="7"/>
        <v>7.6693782179432777</v>
      </c>
      <c r="BN51" s="4438">
        <f t="shared" si="8"/>
        <v>0.53685647525602975</v>
      </c>
      <c r="BO51" s="4438">
        <f t="shared" si="9"/>
        <v>0.78304351605200928</v>
      </c>
      <c r="BP51" s="4438">
        <f t="shared" si="10"/>
        <v>1.0366161680718673</v>
      </c>
      <c r="BQ51" s="4438">
        <f t="shared" si="11"/>
        <v>1.2977959996523212</v>
      </c>
      <c r="BR51" s="4438">
        <f t="shared" si="12"/>
        <v>1.5668112261801899</v>
      </c>
      <c r="BS51" s="4438">
        <f t="shared" si="13"/>
        <v>7.6693782179432777</v>
      </c>
      <c r="BT51" s="4438">
        <f t="shared" si="14"/>
        <v>0.53685647525602975</v>
      </c>
      <c r="BU51" s="4438">
        <f t="shared" si="15"/>
        <v>0.78304351605200928</v>
      </c>
      <c r="BV51" s="4438">
        <f t="shared" si="16"/>
        <v>1.0366161680718673</v>
      </c>
      <c r="BW51" s="4438">
        <f t="shared" si="17"/>
        <v>1.2977959996523212</v>
      </c>
      <c r="BX51" s="4438">
        <f t="shared" si="18"/>
        <v>1.5668112261801899</v>
      </c>
      <c r="BY51" s="4438">
        <f t="shared" si="19"/>
        <v>0</v>
      </c>
      <c r="BZ51" s="4438">
        <f t="shared" si="20"/>
        <v>0</v>
      </c>
      <c r="CA51" s="4438">
        <f t="shared" si="21"/>
        <v>0</v>
      </c>
      <c r="CB51" s="4438">
        <f t="shared" si="22"/>
        <v>0</v>
      </c>
      <c r="CC51" s="4438">
        <f t="shared" si="23"/>
        <v>0</v>
      </c>
      <c r="CD51" s="4438">
        <f t="shared" si="24"/>
        <v>0</v>
      </c>
      <c r="CE51" s="4438">
        <f t="shared" si="25"/>
        <v>0</v>
      </c>
      <c r="CF51" s="4438">
        <f t="shared" si="26"/>
        <v>0</v>
      </c>
      <c r="CG51" s="4438">
        <f t="shared" si="27"/>
        <v>0</v>
      </c>
      <c r="CH51" s="4438">
        <f t="shared" si="28"/>
        <v>0</v>
      </c>
      <c r="CI51" s="4438">
        <f t="shared" si="29"/>
        <v>0</v>
      </c>
      <c r="CJ51" s="4438">
        <f t="shared" si="30"/>
        <v>0</v>
      </c>
    </row>
    <row r="52" spans="1:88" s="673" customFormat="1" ht="15.95" customHeight="1">
      <c r="A52" s="817" t="s">
        <v>1227</v>
      </c>
      <c r="B52" s="3089">
        <f>'12. Разходи'!B52</f>
        <v>0</v>
      </c>
      <c r="C52" s="3090">
        <f>'12. Разходи'!C52</f>
        <v>150</v>
      </c>
      <c r="D52" s="1115">
        <f>'12. Разходи'!D52-'12. Разходи'!$C52</f>
        <v>10.5</v>
      </c>
      <c r="E52" s="1095">
        <f>IFERROR(('12. Разходи'!D52-'12. Разходи'!$C52)/'12. Разходи'!$C52,0)</f>
        <v>7.0000000000000007E-2</v>
      </c>
      <c r="F52" s="882">
        <f>'12. Разходи'!E52-'12. Разходи'!$C52</f>
        <v>15.314999999999998</v>
      </c>
      <c r="G52" s="1103">
        <f>IFERROR(('12. Разходи'!E52-'12. Разходи'!$C52)/'12. Разходи'!$C52,0)</f>
        <v>0.10209999999999998</v>
      </c>
      <c r="H52" s="882">
        <f>'12. Разходи'!F52-'12. Разходи'!$C52</f>
        <v>20.274450000000002</v>
      </c>
      <c r="I52" s="1103">
        <f>IFERROR(('12. Разходи'!F52-'12. Разходи'!$C52)/'12. Разходи'!$C52,0)</f>
        <v>0.13516300000000001</v>
      </c>
      <c r="J52" s="882">
        <f>'12. Разходи'!G52-'12. Разходи'!$C52</f>
        <v>25.382683500000013</v>
      </c>
      <c r="K52" s="1102">
        <f>IFERROR(('12. Разходи'!G52-'12. Разходи'!$C52)/'12. Разходи'!$C52,0)</f>
        <v>0.16921789000000009</v>
      </c>
      <c r="L52" s="1110">
        <f>'12. Разходи'!H52-'12. Разходи'!$C52</f>
        <v>30.644164005000022</v>
      </c>
      <c r="M52" s="1102">
        <f>IFERROR(('12. Разходи'!H52-'12. Разходи'!$C52)/'12. Разходи'!$C52,0)</f>
        <v>0.20429442670000014</v>
      </c>
      <c r="N52" s="1151">
        <f>'12. Разходи'!K52</f>
        <v>15</v>
      </c>
      <c r="O52" s="1115">
        <f>'12. Разходи'!L52-'12. Разходи'!$K52</f>
        <v>1.0500000000000007</v>
      </c>
      <c r="P52" s="1095">
        <f>IFERROR(('12. Разходи'!L52-'12. Разходи'!$K52)/'12. Разходи'!$K52,0)</f>
        <v>7.0000000000000048E-2</v>
      </c>
      <c r="Q52" s="882">
        <f>'12. Разходи'!M52-'12. Разходи'!$K52</f>
        <v>1.5315000000000012</v>
      </c>
      <c r="R52" s="1103">
        <f>IFERROR(('12. Разходи'!M52-'12. Разходи'!$K52)/'12. Разходи'!$K52,0)</f>
        <v>0.10210000000000008</v>
      </c>
      <c r="S52" s="882">
        <f>'12. Разходи'!N52-'12. Разходи'!$K52</f>
        <v>2.0274450000000002</v>
      </c>
      <c r="T52" s="1103">
        <f>IFERROR(('12. Разходи'!N52-'12. Разходи'!$K52)/'12. Разходи'!$K52,0)</f>
        <v>0.13516300000000001</v>
      </c>
      <c r="U52" s="882">
        <f>'12. Разходи'!O52-'12. Разходи'!$K52</f>
        <v>2.5382683499999992</v>
      </c>
      <c r="V52" s="1102">
        <f>IFERROR(('12. Разходи'!O52-'12. Разходи'!$K52)/'12. Разходи'!$K52,0)</f>
        <v>0.16921788999999995</v>
      </c>
      <c r="W52" s="1110">
        <f>'12. Разходи'!P52-'12. Разходи'!$K52</f>
        <v>3.0644164005000007</v>
      </c>
      <c r="X52" s="1157">
        <f>IFERROR(('12. Разходи'!P52-'12. Разходи'!$K52)/'12. Разходи'!$K52,0)</f>
        <v>0.20429442670000006</v>
      </c>
      <c r="Y52" s="1151">
        <f>'12. Разходи'!S52</f>
        <v>15</v>
      </c>
      <c r="Z52" s="1115">
        <f>'12. Разходи'!T52-'12. Разходи'!$S52</f>
        <v>1.0500000000000007</v>
      </c>
      <c r="AA52" s="1095">
        <f>IFERROR(('12. Разходи'!T52-'12. Разходи'!$S52)/'12. Разходи'!$S52,0)</f>
        <v>7.0000000000000048E-2</v>
      </c>
      <c r="AB52" s="882">
        <f>'12. Разходи'!U52-'12. Разходи'!$S52</f>
        <v>1.5315000000000012</v>
      </c>
      <c r="AC52" s="1103">
        <f>IFERROR(('12. Разходи'!U52-'12. Разходи'!$S52)/'12. Разходи'!$S52,0)</f>
        <v>0.10210000000000008</v>
      </c>
      <c r="AD52" s="882">
        <f>'12. Разходи'!V52-'12. Разходи'!$S52</f>
        <v>2.0274450000000002</v>
      </c>
      <c r="AE52" s="1103">
        <f>IFERROR(('12. Разходи'!V52-'12. Разходи'!$S52)/'12. Разходи'!$S52,0)</f>
        <v>0.13516300000000001</v>
      </c>
      <c r="AF52" s="882">
        <f>'12. Разходи'!W52-'12. Разходи'!$S52</f>
        <v>2.5382683499999992</v>
      </c>
      <c r="AG52" s="1102">
        <f>IFERROR(('12. Разходи'!W52-'12. Разходи'!$S52)/'12. Разходи'!$S52,0)</f>
        <v>0.16921788999999995</v>
      </c>
      <c r="AH52" s="1110">
        <f>'12. Разходи'!X52-'12. Разходи'!$S52</f>
        <v>3.0644164005000007</v>
      </c>
      <c r="AI52" s="1157">
        <f>IFERROR(('12. Разходи'!X52-'12. Разходи'!$S52)/'12. Разходи'!$S52,0)</f>
        <v>0.20429442670000006</v>
      </c>
      <c r="AJ52" s="1151">
        <f>'12. Разходи'!AA52</f>
        <v>0</v>
      </c>
      <c r="AK52" s="1115">
        <f>'12. Разходи'!AB52-'12. Разходи'!$AA52</f>
        <v>0</v>
      </c>
      <c r="AL52" s="1095">
        <f>IFERROR(('12. Разходи'!AB52-'12. Разходи'!$AA52)/'12. Разходи'!$AA52,0)</f>
        <v>0</v>
      </c>
      <c r="AM52" s="882">
        <f>'12. Разходи'!AC52-'12. Разходи'!$AA52</f>
        <v>0</v>
      </c>
      <c r="AN52" s="1103">
        <f>IFERROR(('12. Разходи'!AC52-'12. Разходи'!$AA52)/'12. Разходи'!$AA52,0)</f>
        <v>0</v>
      </c>
      <c r="AO52" s="882">
        <f>'12. Разходи'!AD52-'12. Разходи'!$AA52</f>
        <v>0</v>
      </c>
      <c r="AP52" s="1103">
        <f>IFERROR(('12. Разходи'!AD52-'12. Разходи'!$AA52)/'12. Разходи'!$AA52,0)</f>
        <v>0</v>
      </c>
      <c r="AQ52" s="882">
        <f>'12. Разходи'!AE52-'12. Разходи'!$AA52</f>
        <v>0</v>
      </c>
      <c r="AR52" s="1102">
        <f>IFERROR(('12. Разходи'!AE52-'12. Разходи'!$AA52)/'12. Разходи'!$AA52,0)</f>
        <v>0</v>
      </c>
      <c r="AS52" s="1110">
        <f>'12. Разходи'!AF52-'12. Разходи'!$AA52</f>
        <v>0</v>
      </c>
      <c r="AT52" s="1157">
        <f>IFERROR(('12. Разходи'!AF52-'12. Разходи'!$AA52)/'12. Разходи'!$AA52,0)</f>
        <v>0</v>
      </c>
      <c r="AU52" s="1151">
        <f>'12. Разходи'!AI52</f>
        <v>0</v>
      </c>
      <c r="AV52" s="1115">
        <f>'12. Разходи'!AJ52-'12. Разходи'!$AI52</f>
        <v>0</v>
      </c>
      <c r="AW52" s="1095">
        <f>IFERROR(('12. Разходи'!AJ52-'12. Разходи'!$AI52)/'12. Разходи'!$AI52,0)</f>
        <v>0</v>
      </c>
      <c r="AX52" s="882">
        <f>'12. Разходи'!AK52-'12. Разходи'!$AI52</f>
        <v>0</v>
      </c>
      <c r="AY52" s="1103">
        <f>IFERROR(('12. Разходи'!AK52-'12. Разходи'!$AI52)/'12. Разходи'!$AI52,0)</f>
        <v>0</v>
      </c>
      <c r="AZ52" s="882">
        <f>'12. Разходи'!AL52-'12. Разходи'!$AI52</f>
        <v>0</v>
      </c>
      <c r="BA52" s="1103">
        <f>IFERROR(('12. Разходи'!AL52-'12. Разходи'!$AI52)/'12. Разходи'!$AI52,0)</f>
        <v>0</v>
      </c>
      <c r="BB52" s="882">
        <f>'12. Разходи'!AM52-'12. Разходи'!$AI52</f>
        <v>0</v>
      </c>
      <c r="BC52" s="1102">
        <f>IFERROR(('12. Разходи'!AM52-'12. Разходи'!$AI52)/'12. Разходи'!$AI52,0)</f>
        <v>0</v>
      </c>
      <c r="BD52" s="1110">
        <f>'12. Разходи'!AN52-'12. Разходи'!$AI52</f>
        <v>0</v>
      </c>
      <c r="BE52" s="1157">
        <f>IFERROR(('12. Разходи'!AN52-'12. Разходи'!$AI52)/'12. Разходи'!$AI52,0)</f>
        <v>0</v>
      </c>
      <c r="BF52" s="4422"/>
      <c r="BG52" s="4438">
        <f t="shared" si="1"/>
        <v>76.693782179432773</v>
      </c>
      <c r="BH52" s="4438">
        <f t="shared" si="2"/>
        <v>5.3685647525602942</v>
      </c>
      <c r="BI52" s="4438">
        <f t="shared" si="3"/>
        <v>7.8304351605200848</v>
      </c>
      <c r="BJ52" s="4438">
        <f t="shared" si="4"/>
        <v>10.366161680718672</v>
      </c>
      <c r="BK52" s="4438">
        <f t="shared" si="5"/>
        <v>12.977959996523222</v>
      </c>
      <c r="BL52" s="4438">
        <f t="shared" si="6"/>
        <v>15.668112261801907</v>
      </c>
      <c r="BM52" s="4438">
        <f t="shared" si="7"/>
        <v>7.6693782179432777</v>
      </c>
      <c r="BN52" s="4438">
        <f t="shared" si="8"/>
        <v>0.53685647525602975</v>
      </c>
      <c r="BO52" s="4438">
        <f t="shared" si="9"/>
        <v>0.78304351605200928</v>
      </c>
      <c r="BP52" s="4438">
        <f t="shared" si="10"/>
        <v>1.0366161680718673</v>
      </c>
      <c r="BQ52" s="4438">
        <f t="shared" si="11"/>
        <v>1.2977959996523212</v>
      </c>
      <c r="BR52" s="4438">
        <f t="shared" si="12"/>
        <v>1.5668112261801899</v>
      </c>
      <c r="BS52" s="4438">
        <f t="shared" si="13"/>
        <v>7.6693782179432777</v>
      </c>
      <c r="BT52" s="4438">
        <f t="shared" si="14"/>
        <v>0.53685647525602975</v>
      </c>
      <c r="BU52" s="4438">
        <f t="shared" si="15"/>
        <v>0.78304351605200928</v>
      </c>
      <c r="BV52" s="4438">
        <f t="shared" si="16"/>
        <v>1.0366161680718673</v>
      </c>
      <c r="BW52" s="4438">
        <f t="shared" si="17"/>
        <v>1.2977959996523212</v>
      </c>
      <c r="BX52" s="4438">
        <f t="shared" si="18"/>
        <v>1.5668112261801899</v>
      </c>
      <c r="BY52" s="4438">
        <f t="shared" si="19"/>
        <v>0</v>
      </c>
      <c r="BZ52" s="4438">
        <f t="shared" si="20"/>
        <v>0</v>
      </c>
      <c r="CA52" s="4438">
        <f t="shared" si="21"/>
        <v>0</v>
      </c>
      <c r="CB52" s="4438">
        <f t="shared" si="22"/>
        <v>0</v>
      </c>
      <c r="CC52" s="4438">
        <f t="shared" si="23"/>
        <v>0</v>
      </c>
      <c r="CD52" s="4438">
        <f t="shared" si="24"/>
        <v>0</v>
      </c>
      <c r="CE52" s="4438">
        <f t="shared" si="25"/>
        <v>0</v>
      </c>
      <c r="CF52" s="4438">
        <f t="shared" si="26"/>
        <v>0</v>
      </c>
      <c r="CG52" s="4438">
        <f t="shared" si="27"/>
        <v>0</v>
      </c>
      <c r="CH52" s="4438">
        <f t="shared" si="28"/>
        <v>0</v>
      </c>
      <c r="CI52" s="4438">
        <f t="shared" si="29"/>
        <v>0</v>
      </c>
      <c r="CJ52" s="4438">
        <f t="shared" si="30"/>
        <v>0</v>
      </c>
    </row>
    <row r="53" spans="1:88" s="673" customFormat="1" ht="15.95" customHeight="1">
      <c r="A53" s="819" t="s">
        <v>1228</v>
      </c>
      <c r="B53" s="3089">
        <f>'12. Разходи'!B53</f>
        <v>0</v>
      </c>
      <c r="C53" s="3090">
        <f>'12. Разходи'!C53</f>
        <v>0</v>
      </c>
      <c r="D53" s="1115">
        <f>'12. Разходи'!D53-'12. Разходи'!$C53</f>
        <v>0</v>
      </c>
      <c r="E53" s="1095">
        <f>IFERROR(('12. Разходи'!D53-'12. Разходи'!$C53)/'12. Разходи'!$C53,0)</f>
        <v>0</v>
      </c>
      <c r="F53" s="882">
        <f>'12. Разходи'!E53-'12. Разходи'!$C53</f>
        <v>0</v>
      </c>
      <c r="G53" s="1103">
        <f>IFERROR(('12. Разходи'!E53-'12. Разходи'!$C53)/'12. Разходи'!$C53,0)</f>
        <v>0</v>
      </c>
      <c r="H53" s="882">
        <f>'12. Разходи'!F53-'12. Разходи'!$C53</f>
        <v>0</v>
      </c>
      <c r="I53" s="1103">
        <f>IFERROR(('12. Разходи'!F53-'12. Разходи'!$C53)/'12. Разходи'!$C53,0)</f>
        <v>0</v>
      </c>
      <c r="J53" s="882">
        <f>'12. Разходи'!G53-'12. Разходи'!$C53</f>
        <v>0</v>
      </c>
      <c r="K53" s="1102">
        <f>IFERROR(('12. Разходи'!G53-'12. Разходи'!$C53)/'12. Разходи'!$C53,0)</f>
        <v>0</v>
      </c>
      <c r="L53" s="1110">
        <f>'12. Разходи'!H53-'12. Разходи'!$C53</f>
        <v>0</v>
      </c>
      <c r="M53" s="1102">
        <f>IFERROR(('12. Разходи'!H53-'12. Разходи'!$C53)/'12. Разходи'!$C53,0)</f>
        <v>0</v>
      </c>
      <c r="N53" s="1151">
        <f>'12. Разходи'!K53</f>
        <v>0</v>
      </c>
      <c r="O53" s="1115">
        <f>'12. Разходи'!L53-'12. Разходи'!$K53</f>
        <v>0</v>
      </c>
      <c r="P53" s="1095">
        <f>IFERROR(('12. Разходи'!L53-'12. Разходи'!$K53)/'12. Разходи'!$K53,0)</f>
        <v>0</v>
      </c>
      <c r="Q53" s="882">
        <f>'12. Разходи'!M53-'12. Разходи'!$K53</f>
        <v>0</v>
      </c>
      <c r="R53" s="1103">
        <f>IFERROR(('12. Разходи'!M53-'12. Разходи'!$K53)/'12. Разходи'!$K53,0)</f>
        <v>0</v>
      </c>
      <c r="S53" s="882">
        <f>'12. Разходи'!N53-'12. Разходи'!$K53</f>
        <v>0</v>
      </c>
      <c r="T53" s="1103">
        <f>IFERROR(('12. Разходи'!N53-'12. Разходи'!$K53)/'12. Разходи'!$K53,0)</f>
        <v>0</v>
      </c>
      <c r="U53" s="882">
        <f>'12. Разходи'!O53-'12. Разходи'!$K53</f>
        <v>0</v>
      </c>
      <c r="V53" s="1102">
        <f>IFERROR(('12. Разходи'!O53-'12. Разходи'!$K53)/'12. Разходи'!$K53,0)</f>
        <v>0</v>
      </c>
      <c r="W53" s="1110">
        <f>'12. Разходи'!P53-'12. Разходи'!$K53</f>
        <v>0</v>
      </c>
      <c r="X53" s="1157">
        <f>IFERROR(('12. Разходи'!P53-'12. Разходи'!$K53)/'12. Разходи'!$K53,0)</f>
        <v>0</v>
      </c>
      <c r="Y53" s="1151">
        <f>'12. Разходи'!S53</f>
        <v>0</v>
      </c>
      <c r="Z53" s="1115">
        <f>'12. Разходи'!T53-'12. Разходи'!$S53</f>
        <v>0</v>
      </c>
      <c r="AA53" s="1095">
        <f>IFERROR(('12. Разходи'!T53-'12. Разходи'!$S53)/'12. Разходи'!$S53,0)</f>
        <v>0</v>
      </c>
      <c r="AB53" s="882">
        <f>'12. Разходи'!U53-'12. Разходи'!$S53</f>
        <v>0</v>
      </c>
      <c r="AC53" s="1103">
        <f>IFERROR(('12. Разходи'!U53-'12. Разходи'!$S53)/'12. Разходи'!$S53,0)</f>
        <v>0</v>
      </c>
      <c r="AD53" s="882">
        <f>'12. Разходи'!V53-'12. Разходи'!$S53</f>
        <v>0</v>
      </c>
      <c r="AE53" s="1103">
        <f>IFERROR(('12. Разходи'!V53-'12. Разходи'!$S53)/'12. Разходи'!$S53,0)</f>
        <v>0</v>
      </c>
      <c r="AF53" s="882">
        <f>'12. Разходи'!W53-'12. Разходи'!$S53</f>
        <v>0</v>
      </c>
      <c r="AG53" s="1102">
        <f>IFERROR(('12. Разходи'!W53-'12. Разходи'!$S53)/'12. Разходи'!$S53,0)</f>
        <v>0</v>
      </c>
      <c r="AH53" s="1110">
        <f>'12. Разходи'!X53-'12. Разходи'!$S53</f>
        <v>0</v>
      </c>
      <c r="AI53" s="1157">
        <f>IFERROR(('12. Разходи'!X53-'12. Разходи'!$S53)/'12. Разходи'!$S53,0)</f>
        <v>0</v>
      </c>
      <c r="AJ53" s="1151">
        <f>'12. Разходи'!AA53</f>
        <v>0</v>
      </c>
      <c r="AK53" s="1115">
        <f>'12. Разходи'!AB53-'12. Разходи'!$AA53</f>
        <v>0</v>
      </c>
      <c r="AL53" s="1095">
        <f>IFERROR(('12. Разходи'!AB53-'12. Разходи'!$AA53)/'12. Разходи'!$AA53,0)</f>
        <v>0</v>
      </c>
      <c r="AM53" s="882">
        <f>'12. Разходи'!AC53-'12. Разходи'!$AA53</f>
        <v>0</v>
      </c>
      <c r="AN53" s="1103">
        <f>IFERROR(('12. Разходи'!AC53-'12. Разходи'!$AA53)/'12. Разходи'!$AA53,0)</f>
        <v>0</v>
      </c>
      <c r="AO53" s="882">
        <f>'12. Разходи'!AD53-'12. Разходи'!$AA53</f>
        <v>0</v>
      </c>
      <c r="AP53" s="1103">
        <f>IFERROR(('12. Разходи'!AD53-'12. Разходи'!$AA53)/'12. Разходи'!$AA53,0)</f>
        <v>0</v>
      </c>
      <c r="AQ53" s="882">
        <f>'12. Разходи'!AE53-'12. Разходи'!$AA53</f>
        <v>0</v>
      </c>
      <c r="AR53" s="1102">
        <f>IFERROR(('12. Разходи'!AE53-'12. Разходи'!$AA53)/'12. Разходи'!$AA53,0)</f>
        <v>0</v>
      </c>
      <c r="AS53" s="1110">
        <f>'12. Разходи'!AF53-'12. Разходи'!$AA53</f>
        <v>0</v>
      </c>
      <c r="AT53" s="1157">
        <f>IFERROR(('12. Разходи'!AF53-'12. Разходи'!$AA53)/'12. Разходи'!$AA53,0)</f>
        <v>0</v>
      </c>
      <c r="AU53" s="1151">
        <f>'12. Разходи'!AI53</f>
        <v>0</v>
      </c>
      <c r="AV53" s="1115">
        <f>'12. Разходи'!AJ53-'12. Разходи'!$AI53</f>
        <v>0</v>
      </c>
      <c r="AW53" s="1095">
        <f>IFERROR(('12. Разходи'!AJ53-'12. Разходи'!$AI53)/'12. Разходи'!$AI53,0)</f>
        <v>0</v>
      </c>
      <c r="AX53" s="882">
        <f>'12. Разходи'!AK53-'12. Разходи'!$AI53</f>
        <v>0</v>
      </c>
      <c r="AY53" s="1103">
        <f>IFERROR(('12. Разходи'!AK53-'12. Разходи'!$AI53)/'12. Разходи'!$AI53,0)</f>
        <v>0</v>
      </c>
      <c r="AZ53" s="882">
        <f>'12. Разходи'!AL53-'12. Разходи'!$AI53</f>
        <v>0</v>
      </c>
      <c r="BA53" s="1103">
        <f>IFERROR(('12. Разходи'!AL53-'12. Разходи'!$AI53)/'12. Разходи'!$AI53,0)</f>
        <v>0</v>
      </c>
      <c r="BB53" s="882">
        <f>'12. Разходи'!AM53-'12. Разходи'!$AI53</f>
        <v>0</v>
      </c>
      <c r="BC53" s="1102">
        <f>IFERROR(('12. Разходи'!AM53-'12. Разходи'!$AI53)/'12. Разходи'!$AI53,0)</f>
        <v>0</v>
      </c>
      <c r="BD53" s="1110">
        <f>'12. Разходи'!AN53-'12. Разходи'!$AI53</f>
        <v>0</v>
      </c>
      <c r="BE53" s="1157">
        <f>IFERROR(('12. Разходи'!AN53-'12. Разходи'!$AI53)/'12. Разходи'!$AI53,0)</f>
        <v>0</v>
      </c>
      <c r="BF53" s="4422"/>
      <c r="BG53" s="4438">
        <f t="shared" si="1"/>
        <v>0</v>
      </c>
      <c r="BH53" s="4438">
        <f t="shared" si="2"/>
        <v>0</v>
      </c>
      <c r="BI53" s="4438">
        <f t="shared" si="3"/>
        <v>0</v>
      </c>
      <c r="BJ53" s="4438">
        <f t="shared" si="4"/>
        <v>0</v>
      </c>
      <c r="BK53" s="4438">
        <f t="shared" si="5"/>
        <v>0</v>
      </c>
      <c r="BL53" s="4438">
        <f t="shared" si="6"/>
        <v>0</v>
      </c>
      <c r="BM53" s="4438">
        <f t="shared" si="7"/>
        <v>0</v>
      </c>
      <c r="BN53" s="4438">
        <f t="shared" si="8"/>
        <v>0</v>
      </c>
      <c r="BO53" s="4438">
        <f t="shared" si="9"/>
        <v>0</v>
      </c>
      <c r="BP53" s="4438">
        <f t="shared" si="10"/>
        <v>0</v>
      </c>
      <c r="BQ53" s="4438">
        <f t="shared" si="11"/>
        <v>0</v>
      </c>
      <c r="BR53" s="4438">
        <f t="shared" si="12"/>
        <v>0</v>
      </c>
      <c r="BS53" s="4438">
        <f t="shared" si="13"/>
        <v>0</v>
      </c>
      <c r="BT53" s="4438">
        <f t="shared" si="14"/>
        <v>0</v>
      </c>
      <c r="BU53" s="4438">
        <f t="shared" si="15"/>
        <v>0</v>
      </c>
      <c r="BV53" s="4438">
        <f t="shared" si="16"/>
        <v>0</v>
      </c>
      <c r="BW53" s="4438">
        <f t="shared" si="17"/>
        <v>0</v>
      </c>
      <c r="BX53" s="4438">
        <f t="shared" si="18"/>
        <v>0</v>
      </c>
      <c r="BY53" s="4438">
        <f t="shared" si="19"/>
        <v>0</v>
      </c>
      <c r="BZ53" s="4438">
        <f t="shared" si="20"/>
        <v>0</v>
      </c>
      <c r="CA53" s="4438">
        <f t="shared" si="21"/>
        <v>0</v>
      </c>
      <c r="CB53" s="4438">
        <f t="shared" si="22"/>
        <v>0</v>
      </c>
      <c r="CC53" s="4438">
        <f t="shared" si="23"/>
        <v>0</v>
      </c>
      <c r="CD53" s="4438">
        <f t="shared" si="24"/>
        <v>0</v>
      </c>
      <c r="CE53" s="4438">
        <f t="shared" si="25"/>
        <v>0</v>
      </c>
      <c r="CF53" s="4438">
        <f t="shared" si="26"/>
        <v>0</v>
      </c>
      <c r="CG53" s="4438">
        <f t="shared" si="27"/>
        <v>0</v>
      </c>
      <c r="CH53" s="4438">
        <f t="shared" si="28"/>
        <v>0</v>
      </c>
      <c r="CI53" s="4438">
        <f t="shared" si="29"/>
        <v>0</v>
      </c>
      <c r="CJ53" s="4438">
        <f t="shared" si="30"/>
        <v>0</v>
      </c>
    </row>
    <row r="54" spans="1:88" s="673" customFormat="1" ht="15.95" customHeight="1" thickBot="1">
      <c r="A54" s="874" t="s">
        <v>1229</v>
      </c>
      <c r="B54" s="3089">
        <f>'12. Разходи'!B54</f>
        <v>0</v>
      </c>
      <c r="C54" s="3090">
        <f>'12. Разходи'!C54</f>
        <v>0</v>
      </c>
      <c r="D54" s="1115">
        <f>'12. Разходи'!D54-'12. Разходи'!$C54</f>
        <v>0</v>
      </c>
      <c r="E54" s="1095">
        <f>IFERROR(('12. Разходи'!D54-'12. Разходи'!$C54)/'12. Разходи'!$C54,0)</f>
        <v>0</v>
      </c>
      <c r="F54" s="882">
        <f>'12. Разходи'!E54-'12. Разходи'!$C54</f>
        <v>0</v>
      </c>
      <c r="G54" s="1103">
        <f>IFERROR(('12. Разходи'!E54-'12. Разходи'!$C54)/'12. Разходи'!$C54,0)</f>
        <v>0</v>
      </c>
      <c r="H54" s="882">
        <f>'12. Разходи'!F54-'12. Разходи'!$C54</f>
        <v>0</v>
      </c>
      <c r="I54" s="1103">
        <f>IFERROR(('12. Разходи'!F54-'12. Разходи'!$C54)/'12. Разходи'!$C54,0)</f>
        <v>0</v>
      </c>
      <c r="J54" s="882">
        <f>'12. Разходи'!G54-'12. Разходи'!$C54</f>
        <v>0</v>
      </c>
      <c r="K54" s="1102">
        <f>IFERROR(('12. Разходи'!G54-'12. Разходи'!$C54)/'12. Разходи'!$C54,0)</f>
        <v>0</v>
      </c>
      <c r="L54" s="1110">
        <f>'12. Разходи'!H54-'12. Разходи'!$C54</f>
        <v>0</v>
      </c>
      <c r="M54" s="1102">
        <f>IFERROR(('12. Разходи'!H54-'12. Разходи'!$C54)/'12. Разходи'!$C54,0)</f>
        <v>0</v>
      </c>
      <c r="N54" s="1151">
        <f>'12. Разходи'!K54</f>
        <v>0</v>
      </c>
      <c r="O54" s="1115">
        <f>'12. Разходи'!L54-'12. Разходи'!$K54</f>
        <v>0</v>
      </c>
      <c r="P54" s="1095">
        <f>IFERROR(('12. Разходи'!L54-'12. Разходи'!$K54)/'12. Разходи'!$K54,0)</f>
        <v>0</v>
      </c>
      <c r="Q54" s="882">
        <f>'12. Разходи'!M54-'12. Разходи'!$K54</f>
        <v>0</v>
      </c>
      <c r="R54" s="1103">
        <f>IFERROR(('12. Разходи'!M54-'12. Разходи'!$K54)/'12. Разходи'!$K54,0)</f>
        <v>0</v>
      </c>
      <c r="S54" s="882">
        <f>'12. Разходи'!N54-'12. Разходи'!$K54</f>
        <v>0</v>
      </c>
      <c r="T54" s="1103">
        <f>IFERROR(('12. Разходи'!N54-'12. Разходи'!$K54)/'12. Разходи'!$K54,0)</f>
        <v>0</v>
      </c>
      <c r="U54" s="882">
        <f>'12. Разходи'!O54-'12. Разходи'!$K54</f>
        <v>0</v>
      </c>
      <c r="V54" s="1102">
        <f>IFERROR(('12. Разходи'!O54-'12. Разходи'!$K54)/'12. Разходи'!$K54,0)</f>
        <v>0</v>
      </c>
      <c r="W54" s="1110">
        <f>'12. Разходи'!P54-'12. Разходи'!$K54</f>
        <v>0</v>
      </c>
      <c r="X54" s="1157">
        <f>IFERROR(('12. Разходи'!P54-'12. Разходи'!$K54)/'12. Разходи'!$K54,0)</f>
        <v>0</v>
      </c>
      <c r="Y54" s="1151">
        <f>'12. Разходи'!S54</f>
        <v>0</v>
      </c>
      <c r="Z54" s="1115">
        <f>'12. Разходи'!T54-'12. Разходи'!$S54</f>
        <v>0</v>
      </c>
      <c r="AA54" s="1095">
        <f>IFERROR(('12. Разходи'!T54-'12. Разходи'!$S54)/'12. Разходи'!$S54,0)</f>
        <v>0</v>
      </c>
      <c r="AB54" s="882">
        <f>'12. Разходи'!U54-'12. Разходи'!$S54</f>
        <v>0</v>
      </c>
      <c r="AC54" s="1103">
        <f>IFERROR(('12. Разходи'!U54-'12. Разходи'!$S54)/'12. Разходи'!$S54,0)</f>
        <v>0</v>
      </c>
      <c r="AD54" s="882">
        <f>'12. Разходи'!V54-'12. Разходи'!$S54</f>
        <v>0</v>
      </c>
      <c r="AE54" s="1103">
        <f>IFERROR(('12. Разходи'!V54-'12. Разходи'!$S54)/'12. Разходи'!$S54,0)</f>
        <v>0</v>
      </c>
      <c r="AF54" s="882">
        <f>'12. Разходи'!W54-'12. Разходи'!$S54</f>
        <v>0</v>
      </c>
      <c r="AG54" s="1102">
        <f>IFERROR(('12. Разходи'!W54-'12. Разходи'!$S54)/'12. Разходи'!$S54,0)</f>
        <v>0</v>
      </c>
      <c r="AH54" s="1110">
        <f>'12. Разходи'!X54-'12. Разходи'!$S54</f>
        <v>0</v>
      </c>
      <c r="AI54" s="1157">
        <f>IFERROR(('12. Разходи'!X54-'12. Разходи'!$S54)/'12. Разходи'!$S54,0)</f>
        <v>0</v>
      </c>
      <c r="AJ54" s="1151">
        <f>'12. Разходи'!AA54</f>
        <v>0</v>
      </c>
      <c r="AK54" s="1115">
        <f>'12. Разходи'!AB54-'12. Разходи'!$AA54</f>
        <v>0</v>
      </c>
      <c r="AL54" s="1095">
        <f>IFERROR(('12. Разходи'!AB54-'12. Разходи'!$AA54)/'12. Разходи'!$AA54,0)</f>
        <v>0</v>
      </c>
      <c r="AM54" s="882">
        <f>'12. Разходи'!AC54-'12. Разходи'!$AA54</f>
        <v>0</v>
      </c>
      <c r="AN54" s="1103">
        <f>IFERROR(('12. Разходи'!AC54-'12. Разходи'!$AA54)/'12. Разходи'!$AA54,0)</f>
        <v>0</v>
      </c>
      <c r="AO54" s="882">
        <f>'12. Разходи'!AD54-'12. Разходи'!$AA54</f>
        <v>0</v>
      </c>
      <c r="AP54" s="1103">
        <f>IFERROR(('12. Разходи'!AD54-'12. Разходи'!$AA54)/'12. Разходи'!$AA54,0)</f>
        <v>0</v>
      </c>
      <c r="AQ54" s="882">
        <f>'12. Разходи'!AE54-'12. Разходи'!$AA54</f>
        <v>0</v>
      </c>
      <c r="AR54" s="1102">
        <f>IFERROR(('12. Разходи'!AE54-'12. Разходи'!$AA54)/'12. Разходи'!$AA54,0)</f>
        <v>0</v>
      </c>
      <c r="AS54" s="1110">
        <f>'12. Разходи'!AF54-'12. Разходи'!$AA54</f>
        <v>0</v>
      </c>
      <c r="AT54" s="1157">
        <f>IFERROR(('12. Разходи'!AF54-'12. Разходи'!$AA54)/'12. Разходи'!$AA54,0)</f>
        <v>0</v>
      </c>
      <c r="AU54" s="1151">
        <f>'12. Разходи'!AI54</f>
        <v>0</v>
      </c>
      <c r="AV54" s="1115">
        <f>'12. Разходи'!AJ54-'12. Разходи'!$AI54</f>
        <v>0</v>
      </c>
      <c r="AW54" s="1095">
        <f>IFERROR(('12. Разходи'!AJ54-'12. Разходи'!$AI54)/'12. Разходи'!$AI54,0)</f>
        <v>0</v>
      </c>
      <c r="AX54" s="882">
        <f>'12. Разходи'!AK54-'12. Разходи'!$AI54</f>
        <v>0</v>
      </c>
      <c r="AY54" s="1103">
        <f>IFERROR(('12. Разходи'!AK54-'12. Разходи'!$AI54)/'12. Разходи'!$AI54,0)</f>
        <v>0</v>
      </c>
      <c r="AZ54" s="882">
        <f>'12. Разходи'!AL54-'12. Разходи'!$AI54</f>
        <v>0</v>
      </c>
      <c r="BA54" s="1103">
        <f>IFERROR(('12. Разходи'!AL54-'12. Разходи'!$AI54)/'12. Разходи'!$AI54,0)</f>
        <v>0</v>
      </c>
      <c r="BB54" s="882">
        <f>'12. Разходи'!AM54-'12. Разходи'!$AI54</f>
        <v>0</v>
      </c>
      <c r="BC54" s="1102">
        <f>IFERROR(('12. Разходи'!AM54-'12. Разходи'!$AI54)/'12. Разходи'!$AI54,0)</f>
        <v>0</v>
      </c>
      <c r="BD54" s="1110">
        <f>'12. Разходи'!AN54-'12. Разходи'!$AI54</f>
        <v>0</v>
      </c>
      <c r="BE54" s="1157">
        <f>IFERROR(('12. Разходи'!AN54-'12. Разходи'!$AI54)/'12. Разходи'!$AI54,0)</f>
        <v>0</v>
      </c>
      <c r="BF54" s="4422"/>
      <c r="BG54" s="4438">
        <f t="shared" si="1"/>
        <v>0</v>
      </c>
      <c r="BH54" s="4438">
        <f t="shared" si="2"/>
        <v>0</v>
      </c>
      <c r="BI54" s="4438">
        <f t="shared" si="3"/>
        <v>0</v>
      </c>
      <c r="BJ54" s="4438">
        <f t="shared" si="4"/>
        <v>0</v>
      </c>
      <c r="BK54" s="4438">
        <f t="shared" si="5"/>
        <v>0</v>
      </c>
      <c r="BL54" s="4438">
        <f t="shared" si="6"/>
        <v>0</v>
      </c>
      <c r="BM54" s="4438">
        <f t="shared" si="7"/>
        <v>0</v>
      </c>
      <c r="BN54" s="4438">
        <f t="shared" si="8"/>
        <v>0</v>
      </c>
      <c r="BO54" s="4438">
        <f t="shared" si="9"/>
        <v>0</v>
      </c>
      <c r="BP54" s="4438">
        <f t="shared" si="10"/>
        <v>0</v>
      </c>
      <c r="BQ54" s="4438">
        <f t="shared" si="11"/>
        <v>0</v>
      </c>
      <c r="BR54" s="4438">
        <f t="shared" si="12"/>
        <v>0</v>
      </c>
      <c r="BS54" s="4438">
        <f t="shared" si="13"/>
        <v>0</v>
      </c>
      <c r="BT54" s="4438">
        <f t="shared" si="14"/>
        <v>0</v>
      </c>
      <c r="BU54" s="4438">
        <f t="shared" si="15"/>
        <v>0</v>
      </c>
      <c r="BV54" s="4438">
        <f t="shared" si="16"/>
        <v>0</v>
      </c>
      <c r="BW54" s="4438">
        <f t="shared" si="17"/>
        <v>0</v>
      </c>
      <c r="BX54" s="4438">
        <f t="shared" si="18"/>
        <v>0</v>
      </c>
      <c r="BY54" s="4438">
        <f t="shared" si="19"/>
        <v>0</v>
      </c>
      <c r="BZ54" s="4438">
        <f t="shared" si="20"/>
        <v>0</v>
      </c>
      <c r="CA54" s="4438">
        <f t="shared" si="21"/>
        <v>0</v>
      </c>
      <c r="CB54" s="4438">
        <f t="shared" si="22"/>
        <v>0</v>
      </c>
      <c r="CC54" s="4438">
        <f t="shared" si="23"/>
        <v>0</v>
      </c>
      <c r="CD54" s="4438">
        <f t="shared" si="24"/>
        <v>0</v>
      </c>
      <c r="CE54" s="4438">
        <f t="shared" si="25"/>
        <v>0</v>
      </c>
      <c r="CF54" s="4438">
        <f t="shared" si="26"/>
        <v>0</v>
      </c>
      <c r="CG54" s="4438">
        <f t="shared" si="27"/>
        <v>0</v>
      </c>
      <c r="CH54" s="4438">
        <f t="shared" si="28"/>
        <v>0</v>
      </c>
      <c r="CI54" s="4438">
        <f t="shared" si="29"/>
        <v>0</v>
      </c>
      <c r="CJ54" s="4438">
        <f t="shared" si="30"/>
        <v>0</v>
      </c>
    </row>
    <row r="55" spans="1:88" s="1134" customFormat="1" ht="15.95" customHeight="1" thickBot="1">
      <c r="A55" s="110">
        <v>3</v>
      </c>
      <c r="B55" s="869" t="s">
        <v>446</v>
      </c>
      <c r="C55" s="1084">
        <f>'12. Разходи'!C55</f>
        <v>2275.6666666666665</v>
      </c>
      <c r="D55" s="1122">
        <f>'12. Разходи'!D55-'12. Разходи'!$C55</f>
        <v>-693.77931159687296</v>
      </c>
      <c r="E55" s="853">
        <f>IFERROR(('12. Разходи'!D55-'12. Разходи'!$C55)/'12. Разходи'!$C55,0)</f>
        <v>-0.30486860037946667</v>
      </c>
      <c r="F55" s="1121">
        <f>'12. Разходи'!E55-'12. Разходи'!$C55</f>
        <v>-571.56247584611469</v>
      </c>
      <c r="G55" s="853">
        <f>IFERROR(('12. Разходи'!E55-'12. Разходи'!$C55)/'12. Разходи'!$C55,0)</f>
        <v>-0.25116265234192825</v>
      </c>
      <c r="H55" s="1121">
        <f>'12. Разходи'!F55-'12. Разходи'!$C55</f>
        <v>-383.82692259912665</v>
      </c>
      <c r="I55" s="859">
        <f>IFERROR(('12. Разходи'!F55-'12. Разходи'!$C55)/'12. Разходи'!$C55,0)</f>
        <v>-0.16866570496519409</v>
      </c>
      <c r="J55" s="1124">
        <f>'12. Разходи'!G55-'12. Разходи'!$C55</f>
        <v>143.83110131450621</v>
      </c>
      <c r="K55" s="859">
        <f>IFERROR(('12. Разходи'!G55-'12. Разходи'!$C55)/'12. Разходи'!$C55,0)</f>
        <v>6.3203940814928763E-2</v>
      </c>
      <c r="L55" s="1121">
        <f>'12. Разходи'!H55-'12. Разходи'!$C55</f>
        <v>237.6109017106337</v>
      </c>
      <c r="M55" s="859">
        <f>IFERROR(('12. Разходи'!H55-'12. Разходи'!$C55)/'12. Разходи'!$C55,0)</f>
        <v>0.10441375496292678</v>
      </c>
      <c r="N55" s="1135">
        <f>'12. Разходи'!K55</f>
        <v>176.66666666666669</v>
      </c>
      <c r="O55" s="1122">
        <f>'12. Разходи'!L55-'12. Разходи'!$K55</f>
        <v>344.37979286209207</v>
      </c>
      <c r="P55" s="853">
        <f>IFERROR(('12. Разходи'!L55-'12. Разходи'!$K55)/'12. Разходи'!$K55,0)</f>
        <v>1.9493195822382567</v>
      </c>
      <c r="Q55" s="1121">
        <f>'12. Разходи'!M55-'12. Разходи'!$K55</f>
        <v>369.56936165789017</v>
      </c>
      <c r="R55" s="853">
        <f>IFERROR(('12. Разходи'!M55-'12. Разходи'!$K55)/'12. Разходи'!$K55,0)</f>
        <v>2.0919020471201328</v>
      </c>
      <c r="S55" s="1121">
        <f>'12. Разходи'!N55-'12. Разходи'!$K55</f>
        <v>176.7076245403577</v>
      </c>
      <c r="T55" s="859">
        <f>IFERROR(('12. Разходи'!N55-'12. Разходи'!$K55)/'12. Разходи'!$K55,0)</f>
        <v>1.0002318370208925</v>
      </c>
      <c r="U55" s="1124">
        <f>'12. Разходи'!O55-'12. Разходи'!$K55</f>
        <v>314.42827933896615</v>
      </c>
      <c r="V55" s="859">
        <f>IFERROR(('12. Разходи'!O55-'12. Разходи'!$K55)/'12. Разходи'!$K55,0)</f>
        <v>1.7797827132394308</v>
      </c>
      <c r="W55" s="1121">
        <f>'12. Разходи'!P55-'12. Разходи'!$K55</f>
        <v>353.98917554424128</v>
      </c>
      <c r="X55" s="801">
        <f>IFERROR(('12. Разходи'!P55-'12. Разходи'!$K55)/'12. Разходи'!$K55,0)</f>
        <v>2.0037123144013655</v>
      </c>
      <c r="Y55" s="1135">
        <f>'12. Разходи'!S55</f>
        <v>148.66666666666669</v>
      </c>
      <c r="Z55" s="1122">
        <f>'12. Разходи'!T55-'12. Разходи'!$S55</f>
        <v>318.49214109478072</v>
      </c>
      <c r="AA55" s="853">
        <f>IFERROR(('12. Разходи'!T55-'12. Разходи'!$S55)/'12. Разходи'!$S55,0)</f>
        <v>2.1423238190231886</v>
      </c>
      <c r="AB55" s="1121">
        <f>'12. Разходи'!U55-'12. Разходи'!$S55</f>
        <v>399.06860362822448</v>
      </c>
      <c r="AC55" s="853">
        <f>IFERROR(('12. Разходи'!U55-'12. Разходи'!$S55)/'12. Разходи'!$S55,0)</f>
        <v>2.6843179616248278</v>
      </c>
      <c r="AD55" s="1121">
        <f>'12. Разходи'!V55-'12. Разходи'!$S55</f>
        <v>346.34527693876879</v>
      </c>
      <c r="AE55" s="859">
        <f>IFERROR(('12. Разходи'!V55-'12. Разходи'!$S55)/'12. Разходи'!$S55,0)</f>
        <v>2.3296767507092069</v>
      </c>
      <c r="AF55" s="1124">
        <f>'12. Разходи'!W55-'12. Разходи'!$S55</f>
        <v>415.96184294652772</v>
      </c>
      <c r="AG55" s="859">
        <f>IFERROR(('12. Разходи'!W55-'12. Разходи'!$S55)/'12. Разходи'!$S55,0)</f>
        <v>2.7979496162322488</v>
      </c>
      <c r="AH55" s="1121">
        <f>'12. Разходи'!X55-'12. Разходи'!$S55</f>
        <v>451.26114634512561</v>
      </c>
      <c r="AI55" s="801">
        <f>IFERROR(('12. Разходи'!X55-'12. Разходи'!$S55)/'12. Разходи'!$S55,0)</f>
        <v>3.0353888767609343</v>
      </c>
      <c r="AJ55" s="1135">
        <f>'12. Разходи'!AA55</f>
        <v>0</v>
      </c>
      <c r="AK55" s="1122">
        <f>'12. Разходи'!AB55-'12. Разходи'!$AA55</f>
        <v>0</v>
      </c>
      <c r="AL55" s="853">
        <f>IFERROR(('12. Разходи'!AB55-'12. Разходи'!$AA55)/'12. Разходи'!$AA55,0)</f>
        <v>0</v>
      </c>
      <c r="AM55" s="1121">
        <f>'12. Разходи'!AC55-'12. Разходи'!$AA55</f>
        <v>0</v>
      </c>
      <c r="AN55" s="853">
        <f>IFERROR(('12. Разходи'!AC55-'12. Разходи'!$AA55)/'12. Разходи'!$AA55,0)</f>
        <v>0</v>
      </c>
      <c r="AO55" s="1121">
        <f>'12. Разходи'!AD55-'12. Разходи'!$AA55</f>
        <v>0</v>
      </c>
      <c r="AP55" s="859">
        <f>IFERROR(('12. Разходи'!AD55-'12. Разходи'!$AA55)/'12. Разходи'!$AA55,0)</f>
        <v>0</v>
      </c>
      <c r="AQ55" s="1124">
        <f>'12. Разходи'!AE55-'12. Разходи'!$AA55</f>
        <v>0</v>
      </c>
      <c r="AR55" s="859">
        <f>IFERROR(('12. Разходи'!AE55-'12. Разходи'!$AA55)/'12. Разходи'!$AA55,0)</f>
        <v>0</v>
      </c>
      <c r="AS55" s="1121">
        <f>'12. Разходи'!AF55-'12. Разходи'!$AA55</f>
        <v>0</v>
      </c>
      <c r="AT55" s="801">
        <f>IFERROR(('12. Разходи'!AF55-'12. Разходи'!$AA55)/'12. Разходи'!$AA55,0)</f>
        <v>0</v>
      </c>
      <c r="AU55" s="1135">
        <f>'12. Разходи'!AI55</f>
        <v>0</v>
      </c>
      <c r="AV55" s="1122">
        <f>'12. Разходи'!AJ55-'12. Разходи'!$AI55</f>
        <v>0</v>
      </c>
      <c r="AW55" s="853">
        <f>IFERROR(('12. Разходи'!AJ55-'12. Разходи'!$AI55)/'12. Разходи'!$AI55,0)</f>
        <v>0</v>
      </c>
      <c r="AX55" s="1121">
        <f>'12. Разходи'!AK55-'12. Разходи'!$AI55</f>
        <v>0</v>
      </c>
      <c r="AY55" s="853">
        <f>IFERROR(('12. Разходи'!AK55-'12. Разходи'!$AI55)/'12. Разходи'!$AI55,0)</f>
        <v>0</v>
      </c>
      <c r="AZ55" s="1121">
        <f>'12. Разходи'!AL55-'12. Разходи'!$AI55</f>
        <v>0</v>
      </c>
      <c r="BA55" s="859">
        <f>IFERROR(('12. Разходи'!AL55-'12. Разходи'!$AI55)/'12. Разходи'!$AI55,0)</f>
        <v>0</v>
      </c>
      <c r="BB55" s="1124">
        <f>'12. Разходи'!AM55-'12. Разходи'!$AI55</f>
        <v>0</v>
      </c>
      <c r="BC55" s="859">
        <f>IFERROR(('12. Разходи'!AM55-'12. Разходи'!$AI55)/'12. Разходи'!$AI55,0)</f>
        <v>0</v>
      </c>
      <c r="BD55" s="1121">
        <f>'12. Разходи'!AN55-'12. Разходи'!$AI55</f>
        <v>0</v>
      </c>
      <c r="BE55" s="801">
        <f>IFERROR(('12. Разходи'!AN55-'12. Разходи'!$AI55)/'12. Разходи'!$AI55,0)</f>
        <v>0</v>
      </c>
      <c r="BF55" s="4422"/>
      <c r="BG55" s="4438">
        <f t="shared" si="1"/>
        <v>1163.5298909755279</v>
      </c>
      <c r="BH55" s="4438">
        <f t="shared" si="2"/>
        <v>-354.7237293613826</v>
      </c>
      <c r="BI55" s="4438">
        <f t="shared" si="3"/>
        <v>-292.23525349652817</v>
      </c>
      <c r="BJ55" s="4438">
        <f t="shared" si="4"/>
        <v>-196.24758930946282</v>
      </c>
      <c r="BK55" s="4438">
        <f t="shared" si="5"/>
        <v>73.53967436561777</v>
      </c>
      <c r="BL55" s="4438">
        <f t="shared" si="6"/>
        <v>121.48852492835968</v>
      </c>
      <c r="BM55" s="4438">
        <f t="shared" si="7"/>
        <v>90.328232344665281</v>
      </c>
      <c r="BN55" s="4438">
        <f t="shared" si="8"/>
        <v>176.07859213842312</v>
      </c>
      <c r="BO55" s="4438">
        <f t="shared" si="9"/>
        <v>188.95781415454829</v>
      </c>
      <c r="BP55" s="4438">
        <f t="shared" si="10"/>
        <v>90.349173772954558</v>
      </c>
      <c r="BQ55" s="4438">
        <f t="shared" si="11"/>
        <v>160.76462644451007</v>
      </c>
      <c r="BR55" s="4438">
        <f t="shared" si="12"/>
        <v>180.99179148711355</v>
      </c>
      <c r="BS55" s="4438">
        <f t="shared" si="13"/>
        <v>76.012059671171158</v>
      </c>
      <c r="BT55" s="4438">
        <f t="shared" si="14"/>
        <v>162.84244596656188</v>
      </c>
      <c r="BU55" s="4438">
        <f t="shared" si="15"/>
        <v>204.04053707542295</v>
      </c>
      <c r="BV55" s="4438">
        <f t="shared" si="16"/>
        <v>177.08352818944837</v>
      </c>
      <c r="BW55" s="4438">
        <f t="shared" si="17"/>
        <v>212.67791318597614</v>
      </c>
      <c r="BX55" s="4438">
        <f t="shared" si="18"/>
        <v>230.72616042556132</v>
      </c>
      <c r="BY55" s="4438">
        <f t="shared" si="19"/>
        <v>0</v>
      </c>
      <c r="BZ55" s="4438">
        <f t="shared" si="20"/>
        <v>0</v>
      </c>
      <c r="CA55" s="4438">
        <f t="shared" si="21"/>
        <v>0</v>
      </c>
      <c r="CB55" s="4438">
        <f t="shared" si="22"/>
        <v>0</v>
      </c>
      <c r="CC55" s="4438">
        <f t="shared" si="23"/>
        <v>0</v>
      </c>
      <c r="CD55" s="4438">
        <f t="shared" si="24"/>
        <v>0</v>
      </c>
      <c r="CE55" s="4438">
        <f t="shared" si="25"/>
        <v>0</v>
      </c>
      <c r="CF55" s="4438">
        <f t="shared" si="26"/>
        <v>0</v>
      </c>
      <c r="CG55" s="4438">
        <f t="shared" si="27"/>
        <v>0</v>
      </c>
      <c r="CH55" s="4438">
        <f t="shared" si="28"/>
        <v>0</v>
      </c>
      <c r="CI55" s="4438">
        <f t="shared" si="29"/>
        <v>0</v>
      </c>
      <c r="CJ55" s="4438">
        <f t="shared" si="30"/>
        <v>0</v>
      </c>
    </row>
    <row r="56" spans="1:88" ht="15.95" customHeight="1">
      <c r="A56" s="1468" t="s">
        <v>263</v>
      </c>
      <c r="B56" s="1469" t="s">
        <v>447</v>
      </c>
      <c r="C56" s="1470">
        <f>'12. Разходи'!C56</f>
        <v>219</v>
      </c>
      <c r="D56" s="1471">
        <f>'12. Разходи'!D56-'12. Разходи'!$C56</f>
        <v>226.55350990362297</v>
      </c>
      <c r="E56" s="1472">
        <f>IFERROR(('12. Разходи'!D56-'12. Разходи'!$C56)/'12. Разходи'!$C56,0)</f>
        <v>1.0344909128019313</v>
      </c>
      <c r="F56" s="1473">
        <f>'12. Разходи'!E56-'12. Разходи'!$C56</f>
        <v>281.76902917739545</v>
      </c>
      <c r="G56" s="1472">
        <f>IFERROR(('12. Разходи'!E56-'12. Разходи'!$C56)/'12. Разходи'!$C56,0)</f>
        <v>1.2866165715862805</v>
      </c>
      <c r="H56" s="1473">
        <f>'12. Разходи'!F56-'12. Разходи'!$C56</f>
        <v>318.17051184677211</v>
      </c>
      <c r="I56" s="1472">
        <f>IFERROR(('12. Разходи'!F56-'12. Разходи'!$C56)/'12. Разходи'!$C56,0)</f>
        <v>1.4528333874281831</v>
      </c>
      <c r="J56" s="1473">
        <f>'12. Разходи'!G56-'12. Разходи'!$C56</f>
        <v>348.11976345772121</v>
      </c>
      <c r="K56" s="1474">
        <f>IFERROR(('12. Разходи'!G56-'12. Разходи'!$C56)/'12. Разходи'!$C56,0)</f>
        <v>1.5895879609941608</v>
      </c>
      <c r="L56" s="1473">
        <f>'12. Разходи'!H56-'12. Разходи'!$C56</f>
        <v>367.12238888054344</v>
      </c>
      <c r="M56" s="1474">
        <f>IFERROR(('12. Разходи'!H56-'12. Разходи'!$C56)/'12. Разходи'!$C56,0)</f>
        <v>1.6763579400938056</v>
      </c>
      <c r="N56" s="1475">
        <f>'12. Разходи'!K56</f>
        <v>59</v>
      </c>
      <c r="O56" s="1471">
        <f>'12. Разходи'!L56-'12. Разходи'!$K56</f>
        <v>-2.2912573514987571</v>
      </c>
      <c r="P56" s="1472">
        <f>IFERROR(('12. Разходи'!L56-'12. Разходи'!$K56)/'12. Разходи'!$K56,0)</f>
        <v>-3.8834870364385717E-2</v>
      </c>
      <c r="Q56" s="1473">
        <f>'12. Разходи'!M56-'12. Разходи'!$K56</f>
        <v>-2.0930165228128033</v>
      </c>
      <c r="R56" s="1472">
        <f>IFERROR(('12. Разходи'!M56-'12. Разходи'!$K56)/'12. Разходи'!$K56,0)</f>
        <v>-3.5474856318861075E-2</v>
      </c>
      <c r="S56" s="1473">
        <f>'12. Разходи'!N56-'12. Разходи'!$K56</f>
        <v>-71.295318230304872</v>
      </c>
      <c r="T56" s="1472">
        <f>IFERROR(('12. Разходи'!N56-'12. Разходи'!$K56)/'12. Разходи'!$K56,0)</f>
        <v>-1.2083952242424554</v>
      </c>
      <c r="U56" s="1473">
        <f>'12. Разходи'!O56-'12. Разходи'!$K56</f>
        <v>-71.841088004749878</v>
      </c>
      <c r="V56" s="1474">
        <f>IFERROR(('12. Разходи'!O56-'12. Разходи'!$K56)/'12. Разходи'!$K56,0)</f>
        <v>-1.2176455594025404</v>
      </c>
      <c r="W56" s="1473">
        <f>'12. Разходи'!P56-'12. Разходи'!$K56</f>
        <v>-72.09753549212428</v>
      </c>
      <c r="X56" s="1476">
        <f>IFERROR(('12. Разходи'!P56-'12. Разходи'!$K56)/'12. Разходи'!$K56,0)</f>
        <v>-1.2219921269851572</v>
      </c>
      <c r="Y56" s="1475">
        <f>'12. Разходи'!S56</f>
        <v>52</v>
      </c>
      <c r="Z56" s="1471">
        <f>'12. Разходи'!T56-'12. Разходи'!$S56</f>
        <v>7.8277474478756517</v>
      </c>
      <c r="AA56" s="1472">
        <f>IFERROR(('12. Разходи'!T56-'12. Разходи'!$S56)/'12. Разходи'!$S56,0)</f>
        <v>0.15053360476683947</v>
      </c>
      <c r="AB56" s="1473">
        <f>'12. Разходи'!U56-'12. Разходи'!$S56</f>
        <v>9.4039873454172351</v>
      </c>
      <c r="AC56" s="1472">
        <f>IFERROR(('12. Разходи'!U56-'12. Разходи'!$S56)/'12. Разходи'!$S56,0)</f>
        <v>0.18084591048879298</v>
      </c>
      <c r="AD56" s="1473">
        <f>'12. Разходи'!V56-'12. Разходи'!$S56</f>
        <v>10.344806383532394</v>
      </c>
      <c r="AE56" s="1472">
        <f>IFERROR(('12. Разходи'!V56-'12. Разходи'!$S56)/'12. Разходи'!$S56,0)</f>
        <v>0.19893858429869987</v>
      </c>
      <c r="AF56" s="1473">
        <f>'12. Разходи'!W56-'12. Разходи'!$S56</f>
        <v>10.741324547028569</v>
      </c>
      <c r="AG56" s="1474">
        <f>IFERROR(('12. Разходи'!W56-'12. Разходи'!$S56)/'12. Разходи'!$S56,0)</f>
        <v>0.20656393359670325</v>
      </c>
      <c r="AH56" s="1473">
        <f>'12. Разходи'!X56-'12. Разходи'!$S56</f>
        <v>10.835146611581031</v>
      </c>
      <c r="AI56" s="1476">
        <f>IFERROR(('12. Разходи'!X56-'12. Разходи'!$S56)/'12. Разходи'!$S56,0)</f>
        <v>0.20836820406886597</v>
      </c>
      <c r="AJ56" s="1475">
        <f>'12. Разходи'!AA56</f>
        <v>0</v>
      </c>
      <c r="AK56" s="1471">
        <f>'12. Разходи'!AB56-'12. Разходи'!$AA56</f>
        <v>0</v>
      </c>
      <c r="AL56" s="1472">
        <f>IFERROR(('12. Разходи'!AB56-'12. Разходи'!$AA56)/'12. Разходи'!$AA56,0)</f>
        <v>0</v>
      </c>
      <c r="AM56" s="1473">
        <f>'12. Разходи'!AC56-'12. Разходи'!$AA56</f>
        <v>0</v>
      </c>
      <c r="AN56" s="1472">
        <f>IFERROR(('12. Разходи'!AC56-'12. Разходи'!$AA56)/'12. Разходи'!$AA56,0)</f>
        <v>0</v>
      </c>
      <c r="AO56" s="1473">
        <f>'12. Разходи'!AD56-'12. Разходи'!$AA56</f>
        <v>0</v>
      </c>
      <c r="AP56" s="1472">
        <f>IFERROR(('12. Разходи'!AD56-'12. Разходи'!$AA56)/'12. Разходи'!$AA56,0)</f>
        <v>0</v>
      </c>
      <c r="AQ56" s="1473">
        <f>'12. Разходи'!AE56-'12. Разходи'!$AA56</f>
        <v>0</v>
      </c>
      <c r="AR56" s="1474">
        <f>IFERROR(('12. Разходи'!AE56-'12. Разходи'!$AA56)/'12. Разходи'!$AA56,0)</f>
        <v>0</v>
      </c>
      <c r="AS56" s="1473">
        <f>'12. Разходи'!AF56-'12. Разходи'!$AA56</f>
        <v>0</v>
      </c>
      <c r="AT56" s="1476">
        <f>IFERROR(('12. Разходи'!AF56-'12. Разходи'!$AA56)/'12. Разходи'!$AA56,0)</f>
        <v>0</v>
      </c>
      <c r="AU56" s="1475">
        <f>'12. Разходи'!AI56</f>
        <v>0</v>
      </c>
      <c r="AV56" s="1471">
        <f>'12. Разходи'!AJ56-'12. Разходи'!$AI56</f>
        <v>0</v>
      </c>
      <c r="AW56" s="1472">
        <f>IFERROR(('12. Разходи'!AJ56-'12. Разходи'!$AI56)/'12. Разходи'!$AI56,0)</f>
        <v>0</v>
      </c>
      <c r="AX56" s="1473">
        <f>'12. Разходи'!AK56-'12. Разходи'!$AI56</f>
        <v>0</v>
      </c>
      <c r="AY56" s="1472">
        <f>IFERROR(('12. Разходи'!AK56-'12. Разходи'!$AI56)/'12. Разходи'!$AI56,0)</f>
        <v>0</v>
      </c>
      <c r="AZ56" s="1473">
        <f>'12. Разходи'!AL56-'12. Разходи'!$AI56</f>
        <v>0</v>
      </c>
      <c r="BA56" s="1472">
        <f>IFERROR(('12. Разходи'!AL56-'12. Разходи'!$AI56)/'12. Разходи'!$AI56,0)</f>
        <v>0</v>
      </c>
      <c r="BB56" s="1473">
        <f>'12. Разходи'!AM56-'12. Разходи'!$AI56</f>
        <v>0</v>
      </c>
      <c r="BC56" s="1474">
        <f>IFERROR(('12. Разходи'!AM56-'12. Разходи'!$AI56)/'12. Разходи'!$AI56,0)</f>
        <v>0</v>
      </c>
      <c r="BD56" s="1473">
        <f>'12. Разходи'!AN56-'12. Разходи'!$AI56</f>
        <v>0</v>
      </c>
      <c r="BE56" s="1476">
        <f>IFERROR(('12. Разходи'!AN56-'12. Разходи'!$AI56)/'12. Разходи'!$AI56,0)</f>
        <v>0</v>
      </c>
      <c r="BF56" s="4422"/>
      <c r="BG56" s="4438">
        <f t="shared" si="1"/>
        <v>111.97292198197185</v>
      </c>
      <c r="BH56" s="4438">
        <f t="shared" si="2"/>
        <v>115.8349702702295</v>
      </c>
      <c r="BI56" s="4438">
        <f t="shared" si="3"/>
        <v>144.06621699094271</v>
      </c>
      <c r="BJ56" s="4438">
        <f t="shared" si="4"/>
        <v>162.67799954329985</v>
      </c>
      <c r="BK56" s="4438">
        <f t="shared" si="5"/>
        <v>177.99080873988086</v>
      </c>
      <c r="BL56" s="4438">
        <f t="shared" si="6"/>
        <v>187.70669683998275</v>
      </c>
      <c r="BM56" s="4438">
        <f t="shared" si="7"/>
        <v>30.166220990576893</v>
      </c>
      <c r="BN56" s="4438">
        <f t="shared" si="8"/>
        <v>-1.1715012815524648</v>
      </c>
      <c r="BO56" s="4438">
        <f t="shared" si="9"/>
        <v>-1.0701423553237261</v>
      </c>
      <c r="BP56" s="4438">
        <f t="shared" si="10"/>
        <v>-36.452717378455631</v>
      </c>
      <c r="BQ56" s="4438">
        <f t="shared" si="11"/>
        <v>-36.731765033131651</v>
      </c>
      <c r="BR56" s="4438">
        <f t="shared" si="12"/>
        <v>-36.862884551379352</v>
      </c>
      <c r="BS56" s="4438">
        <f t="shared" si="13"/>
        <v>26.587177822203362</v>
      </c>
      <c r="BT56" s="4438">
        <f t="shared" si="14"/>
        <v>4.0022637181532401</v>
      </c>
      <c r="BU56" s="4438">
        <f t="shared" si="15"/>
        <v>4.8081823805838111</v>
      </c>
      <c r="BV56" s="4438">
        <f t="shared" si="16"/>
        <v>5.2892155164469274</v>
      </c>
      <c r="BW56" s="4438">
        <f t="shared" si="17"/>
        <v>5.4919520341893566</v>
      </c>
      <c r="BX56" s="4438">
        <f t="shared" si="18"/>
        <v>5.5399224940720977</v>
      </c>
      <c r="BY56" s="4438">
        <f t="shared" si="19"/>
        <v>0</v>
      </c>
      <c r="BZ56" s="4438">
        <f t="shared" si="20"/>
        <v>0</v>
      </c>
      <c r="CA56" s="4438">
        <f t="shared" si="21"/>
        <v>0</v>
      </c>
      <c r="CB56" s="4438">
        <f t="shared" si="22"/>
        <v>0</v>
      </c>
      <c r="CC56" s="4438">
        <f t="shared" si="23"/>
        <v>0</v>
      </c>
      <c r="CD56" s="4438">
        <f t="shared" si="24"/>
        <v>0</v>
      </c>
      <c r="CE56" s="4438">
        <f t="shared" si="25"/>
        <v>0</v>
      </c>
      <c r="CF56" s="4438">
        <f t="shared" si="26"/>
        <v>0</v>
      </c>
      <c r="CG56" s="4438">
        <f t="shared" si="27"/>
        <v>0</v>
      </c>
      <c r="CH56" s="4438">
        <f t="shared" si="28"/>
        <v>0</v>
      </c>
      <c r="CI56" s="4438">
        <f t="shared" si="29"/>
        <v>0</v>
      </c>
      <c r="CJ56" s="4438">
        <f t="shared" si="30"/>
        <v>0</v>
      </c>
    </row>
    <row r="57" spans="1:88" ht="24">
      <c r="A57" s="1477" t="s">
        <v>264</v>
      </c>
      <c r="B57" s="1469" t="s">
        <v>736</v>
      </c>
      <c r="C57" s="1470">
        <f>'12. Разходи'!C57</f>
        <v>230</v>
      </c>
      <c r="D57" s="1117">
        <f>'12. Разходи'!D57-'12. Разходи'!$C57</f>
        <v>327.78384516617064</v>
      </c>
      <c r="E57" s="855">
        <f>IFERROR(('12. Разходи'!D57-'12. Разходи'!$C57)/'12. Разходи'!$C57,0)</f>
        <v>1.4251471528963942</v>
      </c>
      <c r="F57" s="1107">
        <f>'12. Разходи'!E57-'12. Разходи'!$C57</f>
        <v>597.83516164315643</v>
      </c>
      <c r="G57" s="855">
        <f>IFERROR(('12. Разходи'!E57-'12. Разходи'!$C57)/'12. Разходи'!$C57,0)</f>
        <v>2.5992833114919844</v>
      </c>
      <c r="H57" s="1107">
        <f>'12. Разходи'!F57-'12. Разходи'!$C57</f>
        <v>919.41923222076775</v>
      </c>
      <c r="I57" s="855">
        <f>IFERROR(('12. Разходи'!F57-'12. Разходи'!$C57)/'12. Разходи'!$C57,0)</f>
        <v>3.9974749226989901</v>
      </c>
      <c r="J57" s="1107">
        <f>'12. Разходи'!G57-'12. Разходи'!$C57</f>
        <v>1126.0780045234512</v>
      </c>
      <c r="K57" s="884">
        <f>IFERROR(('12. Разходи'!G57-'12. Разходи'!$C57)/'12. Разходи'!$C57,0)</f>
        <v>4.8959913240150055</v>
      </c>
      <c r="L57" s="1107">
        <f>'12. Разходи'!H57-'12. Разходи'!$C57</f>
        <v>1231.0951794967566</v>
      </c>
      <c r="M57" s="884">
        <f>IFERROR(('12. Разходи'!H57-'12. Разходи'!$C57)/'12. Разходи'!$C57,0)</f>
        <v>5.3525877369424197</v>
      </c>
      <c r="N57" s="1137">
        <f>'12. Разходи'!K57</f>
        <v>15</v>
      </c>
      <c r="O57" s="1117">
        <f>'12. Разходи'!L57-'12. Разходи'!$K57</f>
        <v>42.917716880257544</v>
      </c>
      <c r="P57" s="855">
        <f>IFERROR(('12. Разходи'!L57-'12. Разходи'!$K57)/'12. Разходи'!$K57,0)</f>
        <v>2.8611811253505031</v>
      </c>
      <c r="Q57" s="1107">
        <f>'12. Разходи'!M57-'12. Разходи'!$K57</f>
        <v>85.009044847369722</v>
      </c>
      <c r="R57" s="855">
        <f>IFERROR(('12. Разходи'!M57-'12. Разходи'!$K57)/'12. Разходи'!$K57,0)</f>
        <v>5.6672696564913148</v>
      </c>
      <c r="S57" s="1107">
        <f>'12. Разходи'!N57-'12. Разходи'!$K57</f>
        <v>134.43960943732924</v>
      </c>
      <c r="T57" s="855">
        <f>IFERROR(('12. Разходи'!N57-'12. Разходи'!$K57)/'12. Разходи'!$K57,0)</f>
        <v>8.9626406291552829</v>
      </c>
      <c r="U57" s="1107">
        <f>'12. Разходи'!O57-'12. Разходи'!$K57</f>
        <v>161.12603401038271</v>
      </c>
      <c r="V57" s="884">
        <f>IFERROR(('12. Разходи'!O57-'12. Разходи'!$K57)/'12. Разходи'!$K57,0)</f>
        <v>10.741735600692181</v>
      </c>
      <c r="W57" s="1107">
        <f>'12. Разходи'!P57-'12. Разходи'!$K57</f>
        <v>165.12337770303222</v>
      </c>
      <c r="X57" s="803">
        <f>IFERROR(('12. Разходи'!P57-'12. Разходи'!$K57)/'12. Разходи'!$K57,0)</f>
        <v>11.008225180202148</v>
      </c>
      <c r="Y57" s="1137">
        <f>'12. Разходи'!S57</f>
        <v>28</v>
      </c>
      <c r="Z57" s="1117">
        <f>'12. Разходи'!T57-'12. Разходи'!$S57</f>
        <v>54.981060313571732</v>
      </c>
      <c r="AA57" s="855">
        <f>IFERROR(('12. Разходи'!T57-'12. Разходи'!$S57)/'12. Разходи'!$S57,0)</f>
        <v>1.9636092969132761</v>
      </c>
      <c r="AB57" s="1107">
        <f>'12. Разходи'!U57-'12. Разходи'!$S57</f>
        <v>141.71128294947394</v>
      </c>
      <c r="AC57" s="855">
        <f>IFERROR(('12. Разходи'!U57-'12. Разходи'!$S57)/'12. Разходи'!$S57,0)</f>
        <v>5.0611172481954982</v>
      </c>
      <c r="AD57" s="1107">
        <f>'12. Разходи'!V57-'12. Разходи'!$S57</f>
        <v>252.70713722190305</v>
      </c>
      <c r="AE57" s="855">
        <f>IFERROR(('12. Разходи'!V57-'12. Разходи'!$S57)/'12. Разходи'!$S57,0)</f>
        <v>9.0252549007822527</v>
      </c>
      <c r="AF57" s="1107">
        <f>'12. Разходи'!W57-'12. Разходи'!$S57</f>
        <v>311.43718506616591</v>
      </c>
      <c r="AG57" s="884">
        <f>IFERROR(('12. Разходи'!W57-'12. Разходи'!$S57)/'12. Разходи'!$S57,0)</f>
        <v>11.122756609505926</v>
      </c>
      <c r="AH57" s="1107">
        <f>'12. Разходи'!X57-'12. Разходи'!$S57</f>
        <v>321.97266640021132</v>
      </c>
      <c r="AI57" s="803">
        <f>IFERROR(('12. Разходи'!X57-'12. Разходи'!$S57)/'12. Разходи'!$S57,0)</f>
        <v>11.499023800007548</v>
      </c>
      <c r="AJ57" s="1137">
        <f>'12. Разходи'!AA57</f>
        <v>0</v>
      </c>
      <c r="AK57" s="1117">
        <f>'12. Разходи'!AB57-'12. Разходи'!$AA57</f>
        <v>0</v>
      </c>
      <c r="AL57" s="855">
        <f>IFERROR(('12. Разходи'!AB57-'12. Разходи'!$AA57)/'12. Разходи'!$AA57,0)</f>
        <v>0</v>
      </c>
      <c r="AM57" s="1107">
        <f>'12. Разходи'!AC57-'12. Разходи'!$AA57</f>
        <v>0</v>
      </c>
      <c r="AN57" s="855">
        <f>IFERROR(('12. Разходи'!AC57-'12. Разходи'!$AA57)/'12. Разходи'!$AA57,0)</f>
        <v>0</v>
      </c>
      <c r="AO57" s="1107">
        <f>'12. Разходи'!AD57-'12. Разходи'!$AA57</f>
        <v>0</v>
      </c>
      <c r="AP57" s="855">
        <f>IFERROR(('12. Разходи'!AD57-'12. Разходи'!$AA57)/'12. Разходи'!$AA57,0)</f>
        <v>0</v>
      </c>
      <c r="AQ57" s="1107">
        <f>'12. Разходи'!AE57-'12. Разходи'!$AA57</f>
        <v>0</v>
      </c>
      <c r="AR57" s="884">
        <f>IFERROR(('12. Разходи'!AE57-'12. Разходи'!$AA57)/'12. Разходи'!$AA57,0)</f>
        <v>0</v>
      </c>
      <c r="AS57" s="1107">
        <f>'12. Разходи'!AF57-'12. Разходи'!$AA57</f>
        <v>0</v>
      </c>
      <c r="AT57" s="803">
        <f>IFERROR(('12. Разходи'!AF57-'12. Разходи'!$AA57)/'12. Разходи'!$AA57,0)</f>
        <v>0</v>
      </c>
      <c r="AU57" s="1137">
        <f>'12. Разходи'!AI57</f>
        <v>0</v>
      </c>
      <c r="AV57" s="1117">
        <f>'12. Разходи'!AJ57-'12. Разходи'!$AI57</f>
        <v>0</v>
      </c>
      <c r="AW57" s="855">
        <f>IFERROR(('12. Разходи'!AJ57-'12. Разходи'!$AI57)/'12. Разходи'!$AI57,0)</f>
        <v>0</v>
      </c>
      <c r="AX57" s="1107">
        <f>'12. Разходи'!AK57-'12. Разходи'!$AI57</f>
        <v>0</v>
      </c>
      <c r="AY57" s="855">
        <f>IFERROR(('12. Разходи'!AK57-'12. Разходи'!$AI57)/'12. Разходи'!$AI57,0)</f>
        <v>0</v>
      </c>
      <c r="AZ57" s="1107">
        <f>'12. Разходи'!AL57-'12. Разходи'!$AI57</f>
        <v>0</v>
      </c>
      <c r="BA57" s="855">
        <f>IFERROR(('12. Разходи'!AL57-'12. Разходи'!$AI57)/'12. Разходи'!$AI57,0)</f>
        <v>0</v>
      </c>
      <c r="BB57" s="1107">
        <f>'12. Разходи'!AM57-'12. Разходи'!$AI57</f>
        <v>0</v>
      </c>
      <c r="BC57" s="884">
        <f>IFERROR(('12. Разходи'!AM57-'12. Разходи'!$AI57)/'12. Разходи'!$AI57,0)</f>
        <v>0</v>
      </c>
      <c r="BD57" s="1107">
        <f>'12. Разходи'!AN57-'12. Разходи'!$AI57</f>
        <v>0</v>
      </c>
      <c r="BE57" s="803">
        <f>IFERROR(('12. Разходи'!AN57-'12. Разходи'!$AI57)/'12. Разходи'!$AI57,0)</f>
        <v>0</v>
      </c>
      <c r="BF57" s="4422"/>
      <c r="BG57" s="4438">
        <f t="shared" si="1"/>
        <v>117.59713267513025</v>
      </c>
      <c r="BH57" s="4438">
        <f t="shared" si="2"/>
        <v>167.59321882074138</v>
      </c>
      <c r="BI57" s="4438">
        <f t="shared" si="3"/>
        <v>305.6682644417748</v>
      </c>
      <c r="BJ57" s="4438">
        <f t="shared" si="4"/>
        <v>470.0915888501392</v>
      </c>
      <c r="BK57" s="4438">
        <f t="shared" si="5"/>
        <v>575.75454130647927</v>
      </c>
      <c r="BL57" s="4438">
        <f t="shared" si="6"/>
        <v>629.448970256493</v>
      </c>
      <c r="BM57" s="4438">
        <f t="shared" si="7"/>
        <v>7.6693782179432777</v>
      </c>
      <c r="BN57" s="4438">
        <f t="shared" si="8"/>
        <v>21.94348020035358</v>
      </c>
      <c r="BO57" s="4438">
        <f t="shared" si="9"/>
        <v>43.464434458705369</v>
      </c>
      <c r="BP57" s="4438">
        <f t="shared" si="10"/>
        <v>68.737880816496954</v>
      </c>
      <c r="BQ57" s="4438">
        <f t="shared" si="11"/>
        <v>82.382433038854458</v>
      </c>
      <c r="BR57" s="4438">
        <f t="shared" si="12"/>
        <v>84.426242415257065</v>
      </c>
      <c r="BS57" s="4438">
        <f t="shared" si="13"/>
        <v>14.316172673494117</v>
      </c>
      <c r="BT57" s="4438">
        <f t="shared" si="14"/>
        <v>28.111369757888841</v>
      </c>
      <c r="BU57" s="4438">
        <f t="shared" si="15"/>
        <v>72.455828445966134</v>
      </c>
      <c r="BV57" s="4438">
        <f t="shared" si="16"/>
        <v>129.20710758189773</v>
      </c>
      <c r="BW57" s="4438">
        <f t="shared" si="17"/>
        <v>159.2353042269348</v>
      </c>
      <c r="BX57" s="4438">
        <f t="shared" si="18"/>
        <v>164.62201029752654</v>
      </c>
      <c r="BY57" s="4438">
        <f t="shared" si="19"/>
        <v>0</v>
      </c>
      <c r="BZ57" s="4438">
        <f t="shared" si="20"/>
        <v>0</v>
      </c>
      <c r="CA57" s="4438">
        <f t="shared" si="21"/>
        <v>0</v>
      </c>
      <c r="CB57" s="4438">
        <f t="shared" si="22"/>
        <v>0</v>
      </c>
      <c r="CC57" s="4438">
        <f t="shared" si="23"/>
        <v>0</v>
      </c>
      <c r="CD57" s="4438">
        <f t="shared" si="24"/>
        <v>0</v>
      </c>
      <c r="CE57" s="4438">
        <f t="shared" si="25"/>
        <v>0</v>
      </c>
      <c r="CF57" s="4438">
        <f t="shared" si="26"/>
        <v>0</v>
      </c>
      <c r="CG57" s="4438">
        <f t="shared" si="27"/>
        <v>0</v>
      </c>
      <c r="CH57" s="4438">
        <f t="shared" si="28"/>
        <v>0</v>
      </c>
      <c r="CI57" s="4438">
        <f t="shared" si="29"/>
        <v>0</v>
      </c>
      <c r="CJ57" s="4438">
        <f t="shared" si="30"/>
        <v>0</v>
      </c>
    </row>
    <row r="58" spans="1:88" ht="24.75" thickBot="1">
      <c r="A58" s="1478" t="s">
        <v>485</v>
      </c>
      <c r="B58" s="1479" t="s">
        <v>737</v>
      </c>
      <c r="C58" s="1480">
        <f>'12. Разходи'!C58</f>
        <v>1826.6666666666665</v>
      </c>
      <c r="D58" s="1125">
        <f>'12. Разходи'!D58-'12. Разходи'!$C58</f>
        <v>-1248.1166666666666</v>
      </c>
      <c r="E58" s="857">
        <f>IFERROR(('12. Разходи'!D58-'12. Разходи'!$C58)/'12. Разходи'!$C58,0)</f>
        <v>-0.68327554744525543</v>
      </c>
      <c r="F58" s="1126">
        <f>'12. Разходи'!E58-'12. Разходи'!$C58</f>
        <v>-1451.1666666666665</v>
      </c>
      <c r="G58" s="857">
        <f>IFERROR(('12. Разходи'!E58-'12. Разходи'!$C58)/'12. Разходи'!$C58,0)</f>
        <v>-0.794434306569343</v>
      </c>
      <c r="H58" s="1126">
        <f>'12. Разходи'!F58-'12. Разходи'!$C58</f>
        <v>-1621.4166666666665</v>
      </c>
      <c r="I58" s="857">
        <f>IFERROR(('12. Разходи'!F58-'12. Разходи'!$C58)/'12. Разходи'!$C58,0)</f>
        <v>-0.88763686131386865</v>
      </c>
      <c r="J58" s="1126">
        <f>'12. Разходи'!G58-'12. Разходи'!$C58</f>
        <v>-1330.3666666666666</v>
      </c>
      <c r="K58" s="1481">
        <f>IFERROR(('12. Разходи'!G58-'12. Разходи'!$C58)/'12. Разходи'!$C58,0)</f>
        <v>-0.72830291970802918</v>
      </c>
      <c r="L58" s="1126">
        <f>'12. Разходи'!H58-'12. Разходи'!$C58</f>
        <v>-1360.6066666666666</v>
      </c>
      <c r="M58" s="1481">
        <f>IFERROR(('12. Разходи'!H58-'12. Разходи'!$C58)/'12. Разходи'!$C58,0)</f>
        <v>-0.74485766423357669</v>
      </c>
      <c r="N58" s="1139">
        <f>'12. Разходи'!K58</f>
        <v>102.66666666666667</v>
      </c>
      <c r="O58" s="1125">
        <f>'12. Разходи'!L58-'12. Разходи'!$K58</f>
        <v>303.75333333333333</v>
      </c>
      <c r="P58" s="857">
        <f>IFERROR(('12. Разходи'!L58-'12. Разходи'!$K58)/'12. Разходи'!$K58,0)</f>
        <v>2.9586363636363635</v>
      </c>
      <c r="Q58" s="1126">
        <f>'12. Разходи'!M58-'12. Разходи'!$K58</f>
        <v>286.65333333333331</v>
      </c>
      <c r="R58" s="857">
        <f>IFERROR(('12. Разходи'!M58-'12. Разходи'!$K58)/'12. Разходи'!$K58,0)</f>
        <v>2.7920779220779215</v>
      </c>
      <c r="S58" s="1126">
        <f>'12. Разходи'!N58-'12. Разходи'!$K58</f>
        <v>113.56333333333332</v>
      </c>
      <c r="T58" s="857">
        <f>IFERROR(('12. Разходи'!N58-'12. Разходи'!$K58)/'12. Разходи'!$K58,0)</f>
        <v>1.1061363636363635</v>
      </c>
      <c r="U58" s="1126">
        <f>'12. Разходи'!O58-'12. Разходи'!$K58</f>
        <v>225.14333333333332</v>
      </c>
      <c r="V58" s="1481">
        <f>IFERROR(('12. Разходи'!O58-'12. Разходи'!$K58)/'12. Разходи'!$K58,0)</f>
        <v>2.1929545454545454</v>
      </c>
      <c r="W58" s="1126">
        <f>'12. Разходи'!P58-'12. Разходи'!$K58</f>
        <v>260.96333333333331</v>
      </c>
      <c r="X58" s="1482">
        <f>IFERROR(('12. Разходи'!P58-'12. Разходи'!$K58)/'12. Разходи'!$K58,0)</f>
        <v>2.541850649350649</v>
      </c>
      <c r="Y58" s="1139">
        <f>'12. Разходи'!S58</f>
        <v>68.666666666666671</v>
      </c>
      <c r="Z58" s="1125">
        <f>'12. Разходи'!T58-'12. Разходи'!$S58</f>
        <v>255.68333333333334</v>
      </c>
      <c r="AA58" s="857">
        <f>IFERROR(('12. Разходи'!T58-'12. Разходи'!$S58)/'12. Разходи'!$S58,0)</f>
        <v>3.7235436893203882</v>
      </c>
      <c r="AB58" s="1126">
        <f>'12. Разходи'!U58-'12. Разходи'!$S58</f>
        <v>247.95333333333332</v>
      </c>
      <c r="AC58" s="857">
        <f>IFERROR(('12. Разходи'!U58-'12. Разходи'!$S58)/'12. Разходи'!$S58,0)</f>
        <v>3.6109708737864072</v>
      </c>
      <c r="AD58" s="1126">
        <f>'12. Разходи'!V58-'12. Разходи'!$S58</f>
        <v>83.293333333333337</v>
      </c>
      <c r="AE58" s="857">
        <f>IFERROR(('12. Разходи'!V58-'12. Разходи'!$S58)/'12. Разходи'!$S58,0)</f>
        <v>1.213009708737864</v>
      </c>
      <c r="AF58" s="1126">
        <f>'12. Разходи'!W58-'12. Разходи'!$S58</f>
        <v>93.783333333333317</v>
      </c>
      <c r="AG58" s="1481">
        <f>IFERROR(('12. Разходи'!W58-'12. Разходи'!$S58)/'12. Разходи'!$S58,0)</f>
        <v>1.3657766990291258</v>
      </c>
      <c r="AH58" s="1126">
        <f>'12. Разходи'!X58-'12. Разходи'!$S58</f>
        <v>118.45333333333333</v>
      </c>
      <c r="AI58" s="1482">
        <f>IFERROR(('12. Разходи'!X58-'12. Разходи'!$S58)/'12. Разходи'!$S58,0)</f>
        <v>1.7250485436893204</v>
      </c>
      <c r="AJ58" s="1139">
        <f>'12. Разходи'!AA58</f>
        <v>0</v>
      </c>
      <c r="AK58" s="1125">
        <f>'12. Разходи'!AB58-'12. Разходи'!$AA58</f>
        <v>0</v>
      </c>
      <c r="AL58" s="857">
        <f>IFERROR(('12. Разходи'!AB58-'12. Разходи'!$AA58)/'12. Разходи'!$AA58,0)</f>
        <v>0</v>
      </c>
      <c r="AM58" s="1126">
        <f>'12. Разходи'!AC58-'12. Разходи'!$AA58</f>
        <v>0</v>
      </c>
      <c r="AN58" s="857">
        <f>IFERROR(('12. Разходи'!AC58-'12. Разходи'!$AA58)/'12. Разходи'!$AA58,0)</f>
        <v>0</v>
      </c>
      <c r="AO58" s="1126">
        <f>'12. Разходи'!AD58-'12. Разходи'!$AA58</f>
        <v>0</v>
      </c>
      <c r="AP58" s="857">
        <f>IFERROR(('12. Разходи'!AD58-'12. Разходи'!$AA58)/'12. Разходи'!$AA58,0)</f>
        <v>0</v>
      </c>
      <c r="AQ58" s="1126">
        <f>'12. Разходи'!AE58-'12. Разходи'!$AA58</f>
        <v>0</v>
      </c>
      <c r="AR58" s="1481">
        <f>IFERROR(('12. Разходи'!AE58-'12. Разходи'!$AA58)/'12. Разходи'!$AA58,0)</f>
        <v>0</v>
      </c>
      <c r="AS58" s="1126">
        <f>'12. Разходи'!AF58-'12. Разходи'!$AA58</f>
        <v>0</v>
      </c>
      <c r="AT58" s="1482">
        <f>IFERROR(('12. Разходи'!AF58-'12. Разходи'!$AA58)/'12. Разходи'!$AA58,0)</f>
        <v>0</v>
      </c>
      <c r="AU58" s="1139">
        <f>'12. Разходи'!AI58</f>
        <v>0</v>
      </c>
      <c r="AV58" s="1125">
        <f>'12. Разходи'!AJ58-'12. Разходи'!$AI58</f>
        <v>0</v>
      </c>
      <c r="AW58" s="857">
        <f>IFERROR(('12. Разходи'!AJ58-'12. Разходи'!$AI58)/'12. Разходи'!$AI58,0)</f>
        <v>0</v>
      </c>
      <c r="AX58" s="1126">
        <f>'12. Разходи'!AK58-'12. Разходи'!$AI58</f>
        <v>0</v>
      </c>
      <c r="AY58" s="857">
        <f>IFERROR(('12. Разходи'!AK58-'12. Разходи'!$AI58)/'12. Разходи'!$AI58,0)</f>
        <v>0</v>
      </c>
      <c r="AZ58" s="1126">
        <f>'12. Разходи'!AL58-'12. Разходи'!$AI58</f>
        <v>0</v>
      </c>
      <c r="BA58" s="857">
        <f>IFERROR(('12. Разходи'!AL58-'12. Разходи'!$AI58)/'12. Разходи'!$AI58,0)</f>
        <v>0</v>
      </c>
      <c r="BB58" s="1126">
        <f>'12. Разходи'!AM58-'12. Разходи'!$AI58</f>
        <v>0</v>
      </c>
      <c r="BC58" s="1481">
        <f>IFERROR(('12. Разходи'!AM58-'12. Разходи'!$AI58)/'12. Разходи'!$AI58,0)</f>
        <v>0</v>
      </c>
      <c r="BD58" s="1126">
        <f>'12. Разходи'!AN58-'12. Разходи'!$AI58</f>
        <v>0</v>
      </c>
      <c r="BE58" s="1482">
        <f>IFERROR(('12. Разходи'!AN58-'12. Разходи'!$AI58)/'12. Разходи'!$AI58,0)</f>
        <v>0</v>
      </c>
      <c r="BF58" s="4422"/>
      <c r="BG58" s="4438">
        <f t="shared" si="1"/>
        <v>933.95983631842569</v>
      </c>
      <c r="BH58" s="4438">
        <f t="shared" si="2"/>
        <v>-638.15191845235347</v>
      </c>
      <c r="BI58" s="4438">
        <f t="shared" si="3"/>
        <v>-741.96973492924565</v>
      </c>
      <c r="BJ58" s="4438">
        <f t="shared" si="4"/>
        <v>-829.0171777029019</v>
      </c>
      <c r="BK58" s="4438">
        <f t="shared" si="5"/>
        <v>-680.2056756807425</v>
      </c>
      <c r="BL58" s="4438">
        <f t="shared" si="6"/>
        <v>-695.66714216811613</v>
      </c>
      <c r="BM58" s="4438">
        <f t="shared" si="7"/>
        <v>52.492633136145102</v>
      </c>
      <c r="BN58" s="4438">
        <f t="shared" si="8"/>
        <v>155.30661321962202</v>
      </c>
      <c r="BO58" s="4438">
        <f t="shared" si="9"/>
        <v>146.56352205116667</v>
      </c>
      <c r="BP58" s="4438">
        <f t="shared" si="10"/>
        <v>58.06401033491322</v>
      </c>
      <c r="BQ58" s="4438">
        <f t="shared" si="11"/>
        <v>115.11395843878728</v>
      </c>
      <c r="BR58" s="4438">
        <f t="shared" si="12"/>
        <v>133.42843362323583</v>
      </c>
      <c r="BS58" s="4438">
        <f t="shared" si="13"/>
        <v>35.10870917547367</v>
      </c>
      <c r="BT58" s="4438">
        <f t="shared" si="14"/>
        <v>130.7288124905198</v>
      </c>
      <c r="BU58" s="4438">
        <f t="shared" si="15"/>
        <v>126.77652624887303</v>
      </c>
      <c r="BV58" s="4438">
        <f t="shared" si="16"/>
        <v>42.587205091103691</v>
      </c>
      <c r="BW58" s="4438">
        <f t="shared" si="17"/>
        <v>47.950656924852019</v>
      </c>
      <c r="BX58" s="4438">
        <f t="shared" si="18"/>
        <v>60.564227633962737</v>
      </c>
      <c r="BY58" s="4438">
        <f t="shared" si="19"/>
        <v>0</v>
      </c>
      <c r="BZ58" s="4438">
        <f t="shared" si="20"/>
        <v>0</v>
      </c>
      <c r="CA58" s="4438">
        <f t="shared" si="21"/>
        <v>0</v>
      </c>
      <c r="CB58" s="4438">
        <f t="shared" si="22"/>
        <v>0</v>
      </c>
      <c r="CC58" s="4438">
        <f t="shared" si="23"/>
        <v>0</v>
      </c>
      <c r="CD58" s="4438">
        <f t="shared" si="24"/>
        <v>0</v>
      </c>
      <c r="CE58" s="4438">
        <f t="shared" si="25"/>
        <v>0</v>
      </c>
      <c r="CF58" s="4438">
        <f t="shared" si="26"/>
        <v>0</v>
      </c>
      <c r="CG58" s="4438">
        <f t="shared" si="27"/>
        <v>0</v>
      </c>
      <c r="CH58" s="4438">
        <f t="shared" si="28"/>
        <v>0</v>
      </c>
      <c r="CI58" s="4438">
        <f t="shared" si="29"/>
        <v>0</v>
      </c>
      <c r="CJ58" s="4438">
        <f t="shared" si="30"/>
        <v>0</v>
      </c>
    </row>
    <row r="59" spans="1:88" s="1134" customFormat="1" ht="15.95" customHeight="1" thickBot="1">
      <c r="A59" s="110">
        <v>4</v>
      </c>
      <c r="B59" s="869" t="s">
        <v>448</v>
      </c>
      <c r="C59" s="1084">
        <f>'12. Разходи'!C59</f>
        <v>8799</v>
      </c>
      <c r="D59" s="1122">
        <f>'12. Разходи'!D59-'12. Разходи'!$C59</f>
        <v>4644</v>
      </c>
      <c r="E59" s="853">
        <f>IFERROR(('12. Разходи'!D59-'12. Разходи'!$C59)/'12. Разходи'!$C59,0)</f>
        <v>0.5277872485509717</v>
      </c>
      <c r="F59" s="1121">
        <f>'12. Разходи'!E59-'12. Разходи'!$C59</f>
        <v>6257.1600000000017</v>
      </c>
      <c r="G59" s="853">
        <f>IFERROR(('12. Разходи'!E59-'12. Разходи'!$C59)/'12. Разходи'!$C59,0)</f>
        <v>0.71112171837708849</v>
      </c>
      <c r="H59" s="1121">
        <f>'12. Разходи'!F59-'12. Разходи'!$C59</f>
        <v>8063.8992000000035</v>
      </c>
      <c r="I59" s="853">
        <f>IFERROR(('12. Разходи'!F59-'12. Разходи'!$C59)/'12. Разходи'!$C59,0)</f>
        <v>0.91645632458233928</v>
      </c>
      <c r="J59" s="1121">
        <f>'12. Разходи'!G59-'12. Разходи'!$C59</f>
        <v>10593.334080000001</v>
      </c>
      <c r="K59" s="863">
        <f>IFERROR(('12. Разходи'!G59-'12. Разходи'!$C59)/'12. Разходи'!$C59,0)</f>
        <v>1.2039247732696898</v>
      </c>
      <c r="L59" s="1121">
        <f>'12. Разходи'!H59-'12. Разходи'!$C59</f>
        <v>12920.414169600001</v>
      </c>
      <c r="M59" s="863">
        <f>IFERROR(('12. Разходи'!H59-'12. Разходи'!$C59)/'12. Разходи'!$C59,0)</f>
        <v>1.4683957460620525</v>
      </c>
      <c r="N59" s="1135">
        <f>'12. Разходи'!K59</f>
        <v>367</v>
      </c>
      <c r="O59" s="1122">
        <f>'12. Разходи'!L59-'12. Разходи'!$K59</f>
        <v>118</v>
      </c>
      <c r="P59" s="853">
        <f>IFERROR(('12. Разходи'!L59-'12. Разходи'!$K59)/'12. Разходи'!$K59,0)</f>
        <v>0.32152588555858308</v>
      </c>
      <c r="Q59" s="1121">
        <f>'12. Разходи'!M59-'12. Разходи'!$K59</f>
        <v>176.20000000000005</v>
      </c>
      <c r="R59" s="853">
        <f>IFERROR(('12. Разходи'!M59-'12. Разходи'!$K59)/'12. Разходи'!$K59,0)</f>
        <v>0.48010899182561323</v>
      </c>
      <c r="S59" s="1121">
        <f>'12. Разходи'!N59-'12. Разходи'!$K59</f>
        <v>241.38400000000013</v>
      </c>
      <c r="T59" s="853">
        <f>IFERROR(('12. Разходи'!N59-'12. Разходи'!$K59)/'12. Разходи'!$K59,0)</f>
        <v>0.65772207084468703</v>
      </c>
      <c r="U59" s="1121">
        <f>'12. Разходи'!O59-'12. Разходи'!$K59</f>
        <v>314.39008000000024</v>
      </c>
      <c r="V59" s="863">
        <f>IFERROR(('12. Разходи'!O59-'12. Разходи'!$K59)/'12. Разходи'!$K59,0)</f>
        <v>0.85664871934604969</v>
      </c>
      <c r="W59" s="1121">
        <f>'12. Разходи'!P59-'12. Разходи'!$K59</f>
        <v>396.15688960000023</v>
      </c>
      <c r="X59" s="865">
        <f>IFERROR(('12. Разходи'!P59-'12. Разходи'!$K59)/'12. Разходи'!$K59,0)</f>
        <v>1.0794465656675756</v>
      </c>
      <c r="Y59" s="1135">
        <f>'12. Разходи'!S59</f>
        <v>695</v>
      </c>
      <c r="Z59" s="1122">
        <f>'12. Разходи'!T59-'12. Разходи'!$S59</f>
        <v>320</v>
      </c>
      <c r="AA59" s="853">
        <f>IFERROR(('12. Разходи'!T59-'12. Разходи'!$S59)/'12. Разходи'!$S59,0)</f>
        <v>0.46043165467625902</v>
      </c>
      <c r="AB59" s="1121">
        <f>'12. Разходи'!U59-'12. Разходи'!$S59</f>
        <v>441.80000000000018</v>
      </c>
      <c r="AC59" s="853">
        <f>IFERROR(('12. Разходи'!U59-'12. Разходи'!$S59)/'12. Разходи'!$S59,0)</f>
        <v>0.63568345323741038</v>
      </c>
      <c r="AD59" s="1121">
        <f>'12. Разходи'!V59-'12. Разходи'!$S59</f>
        <v>578.21600000000012</v>
      </c>
      <c r="AE59" s="853">
        <f>IFERROR(('12. Разходи'!V59-'12. Разходи'!$S59)/'12. Разходи'!$S59,0)</f>
        <v>0.8319654676258994</v>
      </c>
      <c r="AF59" s="1121">
        <f>'12. Разходи'!W59-'12. Разходи'!$S59</f>
        <v>769.19840000000022</v>
      </c>
      <c r="AG59" s="863">
        <f>IFERROR(('12. Разходи'!W59-'12. Разходи'!$S59)/'12. Разходи'!$S59,0)</f>
        <v>1.1067602877697844</v>
      </c>
      <c r="AH59" s="1121">
        <f>'12. Разходи'!X59-'12. Разходи'!$S59</f>
        <v>944.9022080000002</v>
      </c>
      <c r="AI59" s="865">
        <f>IFERROR(('12. Разходи'!X59-'12. Разходи'!$S59)/'12. Разходи'!$S59,0)</f>
        <v>1.3595715223021585</v>
      </c>
      <c r="AJ59" s="1135">
        <f>'12. Разходи'!AA59</f>
        <v>0</v>
      </c>
      <c r="AK59" s="1122">
        <f>'12. Разходи'!AB59-'12. Разходи'!$AA59</f>
        <v>0</v>
      </c>
      <c r="AL59" s="853">
        <f>IFERROR(('12. Разходи'!AB59-'12. Разходи'!$AA59)/'12. Разходи'!$AA59,0)</f>
        <v>0</v>
      </c>
      <c r="AM59" s="1121">
        <f>'12. Разходи'!AC59-'12. Разходи'!$AA59</f>
        <v>0</v>
      </c>
      <c r="AN59" s="853">
        <f>IFERROR(('12. Разходи'!AC59-'12. Разходи'!$AA59)/'12. Разходи'!$AA59,0)</f>
        <v>0</v>
      </c>
      <c r="AO59" s="1121">
        <f>'12. Разходи'!AD59-'12. Разходи'!$AA59</f>
        <v>0</v>
      </c>
      <c r="AP59" s="853">
        <f>IFERROR(('12. Разходи'!AD59-'12. Разходи'!$AA59)/'12. Разходи'!$AA59,0)</f>
        <v>0</v>
      </c>
      <c r="AQ59" s="1121">
        <f>'12. Разходи'!AE59-'12. Разходи'!$AA59</f>
        <v>0</v>
      </c>
      <c r="AR59" s="863">
        <f>IFERROR(('12. Разходи'!AE59-'12. Разходи'!$AA59)/'12. Разходи'!$AA59,0)</f>
        <v>0</v>
      </c>
      <c r="AS59" s="1121">
        <f>'12. Разходи'!AF59-'12. Разходи'!$AA59</f>
        <v>0</v>
      </c>
      <c r="AT59" s="865">
        <f>IFERROR(('12. Разходи'!AF59-'12. Разходи'!$AA59)/'12. Разходи'!$AA59,0)</f>
        <v>0</v>
      </c>
      <c r="AU59" s="1135">
        <f>'12. Разходи'!AI59</f>
        <v>0</v>
      </c>
      <c r="AV59" s="1122">
        <f>'12. Разходи'!AJ59-'12. Разходи'!$AI59</f>
        <v>0</v>
      </c>
      <c r="AW59" s="853">
        <f>IFERROR(('12. Разходи'!AJ59-'12. Разходи'!$AI59)/'12. Разходи'!$AI59,0)</f>
        <v>0</v>
      </c>
      <c r="AX59" s="1121">
        <f>'12. Разходи'!AK59-'12. Разходи'!$AI59</f>
        <v>0</v>
      </c>
      <c r="AY59" s="853">
        <f>IFERROR(('12. Разходи'!AK59-'12. Разходи'!$AI59)/'12. Разходи'!$AI59,0)</f>
        <v>0</v>
      </c>
      <c r="AZ59" s="1121">
        <f>'12. Разходи'!AL59-'12. Разходи'!$AI59</f>
        <v>0</v>
      </c>
      <c r="BA59" s="853">
        <f>IFERROR(('12. Разходи'!AL59-'12. Разходи'!$AI59)/'12. Разходи'!$AI59,0)</f>
        <v>0</v>
      </c>
      <c r="BB59" s="1121">
        <f>'12. Разходи'!AM59-'12. Разходи'!$AI59</f>
        <v>0</v>
      </c>
      <c r="BC59" s="863">
        <f>IFERROR(('12. Разходи'!AM59-'12. Разходи'!$AI59)/'12. Разходи'!$AI59,0)</f>
        <v>0</v>
      </c>
      <c r="BD59" s="1121">
        <f>'12. Разходи'!AN59-'12. Разходи'!$AI59</f>
        <v>0</v>
      </c>
      <c r="BE59" s="865">
        <f>IFERROR(('12. Разходи'!AN59-'12. Разходи'!$AI59)/'12. Разходи'!$AI59,0)</f>
        <v>0</v>
      </c>
      <c r="BF59" s="4422"/>
      <c r="BG59" s="4438">
        <f t="shared" si="1"/>
        <v>4498.8572626455261</v>
      </c>
      <c r="BH59" s="4438">
        <f t="shared" si="2"/>
        <v>2374.4394962752385</v>
      </c>
      <c r="BI59" s="4438">
        <f t="shared" si="3"/>
        <v>3199.2351073457312</v>
      </c>
      <c r="BJ59" s="4438">
        <f t="shared" si="4"/>
        <v>4123.0061917446828</v>
      </c>
      <c r="BK59" s="4438">
        <f t="shared" si="5"/>
        <v>5416.2857099032126</v>
      </c>
      <c r="BL59" s="4438">
        <f t="shared" si="6"/>
        <v>6606.1028666090615</v>
      </c>
      <c r="BM59" s="4438">
        <f t="shared" si="7"/>
        <v>187.64412039901219</v>
      </c>
      <c r="BN59" s="4438">
        <f t="shared" si="8"/>
        <v>60.332441981153785</v>
      </c>
      <c r="BO59" s="4438">
        <f t="shared" si="9"/>
        <v>90.089629466773729</v>
      </c>
      <c r="BP59" s="4438">
        <f t="shared" si="10"/>
        <v>123.41767945066807</v>
      </c>
      <c r="BQ59" s="4438">
        <f t="shared" si="11"/>
        <v>160.74509543262974</v>
      </c>
      <c r="BR59" s="4438">
        <f t="shared" si="12"/>
        <v>202.55180133242678</v>
      </c>
      <c r="BS59" s="4438">
        <f t="shared" si="13"/>
        <v>355.34785743137184</v>
      </c>
      <c r="BT59" s="4438">
        <f t="shared" si="14"/>
        <v>163.61340198278992</v>
      </c>
      <c r="BU59" s="4438">
        <f t="shared" si="15"/>
        <v>225.88875311248941</v>
      </c>
      <c r="BV59" s="4438">
        <f t="shared" si="16"/>
        <v>295.63714637775274</v>
      </c>
      <c r="BW59" s="4438">
        <f t="shared" si="17"/>
        <v>393.28489694912145</v>
      </c>
      <c r="BX59" s="4438">
        <f t="shared" si="18"/>
        <v>483.12082747478064</v>
      </c>
      <c r="BY59" s="4438">
        <f t="shared" si="19"/>
        <v>0</v>
      </c>
      <c r="BZ59" s="4438">
        <f t="shared" si="20"/>
        <v>0</v>
      </c>
      <c r="CA59" s="4438">
        <f t="shared" si="21"/>
        <v>0</v>
      </c>
      <c r="CB59" s="4438">
        <f t="shared" si="22"/>
        <v>0</v>
      </c>
      <c r="CC59" s="4438">
        <f t="shared" si="23"/>
        <v>0</v>
      </c>
      <c r="CD59" s="4438">
        <f t="shared" si="24"/>
        <v>0</v>
      </c>
      <c r="CE59" s="4438">
        <f t="shared" si="25"/>
        <v>0</v>
      </c>
      <c r="CF59" s="4438">
        <f t="shared" si="26"/>
        <v>0</v>
      </c>
      <c r="CG59" s="4438">
        <f t="shared" si="27"/>
        <v>0</v>
      </c>
      <c r="CH59" s="4438">
        <f t="shared" si="28"/>
        <v>0</v>
      </c>
      <c r="CI59" s="4438">
        <f t="shared" si="29"/>
        <v>0</v>
      </c>
      <c r="CJ59" s="4438">
        <f t="shared" si="30"/>
        <v>0</v>
      </c>
    </row>
    <row r="60" spans="1:88" ht="15.95" customHeight="1">
      <c r="A60" s="108" t="s">
        <v>101</v>
      </c>
      <c r="B60" s="873" t="s">
        <v>265</v>
      </c>
      <c r="C60" s="1087">
        <f>'12. Разходи'!C60</f>
        <v>8108</v>
      </c>
      <c r="D60" s="1115">
        <f>'12. Разходи'!D60-'12. Разходи'!$C60</f>
        <v>4436.7000000000007</v>
      </c>
      <c r="E60" s="1095">
        <f>IFERROR(('12. Разходи'!D60-'12. Разходи'!$C60)/'12. Разходи'!$C60,0)</f>
        <v>0.54720029600394682</v>
      </c>
      <c r="F60" s="882">
        <f>'12. Разходи'!E60-'12. Разходи'!$C60</f>
        <v>6004.9450000000015</v>
      </c>
      <c r="G60" s="1103">
        <f>IFERROR(('12. Разходи'!E60-'12. Разходи'!$C60)/'12. Разходи'!$C60,0)</f>
        <v>0.74061975826344373</v>
      </c>
      <c r="H60" s="882">
        <f>'12. Разходи'!F60-'12. Разходи'!$C60</f>
        <v>7783.3877500000035</v>
      </c>
      <c r="I60" s="1103">
        <f>IFERROR(('12. Разходи'!F60-'12. Разходи'!$C60)/'12. Разходи'!$C60,0)</f>
        <v>0.95996395535273848</v>
      </c>
      <c r="J60" s="882">
        <f>'12. Разходи'!G60-'12. Разходи'!$C60</f>
        <v>10332.252859</v>
      </c>
      <c r="K60" s="1102">
        <f>IFERROR(('12. Разходи'!G60-'12. Разходи'!$C60)/'12. Разходи'!$C60,0)</f>
        <v>1.2743281769856931</v>
      </c>
      <c r="L60" s="1110">
        <f>'12. Разходи'!H60-'12. Разходи'!$C60</f>
        <v>12697.416197440001</v>
      </c>
      <c r="M60" s="1102">
        <f>IFERROR(('12. Разходи'!H60-'12. Разходи'!$C60)/'12. Разходи'!$C60,0)</f>
        <v>1.5660355448248644</v>
      </c>
      <c r="N60" s="1151">
        <f>'12. Разходи'!K60</f>
        <v>367</v>
      </c>
      <c r="O60" s="1115">
        <f>'12. Разходи'!L60-'12. Разходи'!$K60</f>
        <v>118</v>
      </c>
      <c r="P60" s="1095">
        <f>IFERROR(('12. Разходи'!L60-'12. Разходи'!$K60)/'12. Разходи'!$K60,0)</f>
        <v>0.32152588555858308</v>
      </c>
      <c r="Q60" s="882">
        <f>'12. Разходи'!M60-'12. Разходи'!$K60</f>
        <v>176.20000000000005</v>
      </c>
      <c r="R60" s="1103">
        <f>IFERROR(('12. Разходи'!M60-'12. Разходи'!$K60)/'12. Разходи'!$K60,0)</f>
        <v>0.48010899182561323</v>
      </c>
      <c r="S60" s="882">
        <f>'12. Разходи'!N60-'12. Разходи'!$K60</f>
        <v>241.38400000000013</v>
      </c>
      <c r="T60" s="1103">
        <f>IFERROR(('12. Разходи'!N60-'12. Разходи'!$K60)/'12. Разходи'!$K60,0)</f>
        <v>0.65772207084468703</v>
      </c>
      <c r="U60" s="882">
        <f>'12. Разходи'!O60-'12. Разходи'!$K60</f>
        <v>314.39008000000024</v>
      </c>
      <c r="V60" s="1102">
        <f>IFERROR(('12. Разходи'!O60-'12. Разходи'!$K60)/'12. Разходи'!$K60,0)</f>
        <v>0.85664871934604969</v>
      </c>
      <c r="W60" s="1110">
        <f>'12. Разходи'!P60-'12. Разходи'!$K60</f>
        <v>396.15688960000023</v>
      </c>
      <c r="X60" s="1157">
        <f>IFERROR(('12. Разходи'!P60-'12. Разходи'!$K60)/'12. Разходи'!$K60,0)</f>
        <v>1.0794465656675756</v>
      </c>
      <c r="Y60" s="1151">
        <f>'12. Разходи'!S60</f>
        <v>694</v>
      </c>
      <c r="Z60" s="1115">
        <f>'12. Разходи'!T60-'12. Разходи'!$S60</f>
        <v>321</v>
      </c>
      <c r="AA60" s="1095">
        <f>IFERROR(('12. Разходи'!T60-'12. Разходи'!$S60)/'12. Разходи'!$S60,0)</f>
        <v>0.46253602305475505</v>
      </c>
      <c r="AB60" s="882">
        <f>'12. Разходи'!U60-'12. Разходи'!$S60</f>
        <v>442.80000000000018</v>
      </c>
      <c r="AC60" s="1103">
        <f>IFERROR(('12. Разходи'!U60-'12. Разходи'!$S60)/'12. Разходи'!$S60,0)</f>
        <v>0.63804034582132596</v>
      </c>
      <c r="AD60" s="882">
        <f>'12. Разходи'!V60-'12. Разходи'!$S60</f>
        <v>579.21600000000012</v>
      </c>
      <c r="AE60" s="1103">
        <f>IFERROR(('12. Разходи'!V60-'12. Разходи'!$S60)/'12. Разходи'!$S60,0)</f>
        <v>0.83460518731988487</v>
      </c>
      <c r="AF60" s="882">
        <f>'12. Разходи'!W60-'12. Разходи'!$S60</f>
        <v>770.19840000000022</v>
      </c>
      <c r="AG60" s="1102">
        <f>IFERROR(('12. Разходи'!W60-'12. Разходи'!$S60)/'12. Разходи'!$S60,0)</f>
        <v>1.1097959654178677</v>
      </c>
      <c r="AH60" s="1110">
        <f>'12. Разходи'!X60-'12. Разходи'!$S60</f>
        <v>945.9022080000002</v>
      </c>
      <c r="AI60" s="1157">
        <f>IFERROR(('12. Разходи'!X60-'12. Разходи'!$S60)/'12. Разходи'!$S60,0)</f>
        <v>1.3629714812680118</v>
      </c>
      <c r="AJ60" s="1151">
        <f>'12. Разходи'!AA60</f>
        <v>0</v>
      </c>
      <c r="AK60" s="1115">
        <f>'12. Разходи'!AB60-'12. Разходи'!$AA60</f>
        <v>0</v>
      </c>
      <c r="AL60" s="1095">
        <f>IFERROR(('12. Разходи'!AB60-'12. Разходи'!$AA60)/'12. Разходи'!$AA60,0)</f>
        <v>0</v>
      </c>
      <c r="AM60" s="882">
        <f>'12. Разходи'!AC60-'12. Разходи'!$AA60</f>
        <v>0</v>
      </c>
      <c r="AN60" s="1103">
        <f>IFERROR(('12. Разходи'!AC60-'12. Разходи'!$AA60)/'12. Разходи'!$AA60,0)</f>
        <v>0</v>
      </c>
      <c r="AO60" s="882">
        <f>'12. Разходи'!AD60-'12. Разходи'!$AA60</f>
        <v>0</v>
      </c>
      <c r="AP60" s="1103">
        <f>IFERROR(('12. Разходи'!AD60-'12. Разходи'!$AA60)/'12. Разходи'!$AA60,0)</f>
        <v>0</v>
      </c>
      <c r="AQ60" s="882">
        <f>'12. Разходи'!AE60-'12. Разходи'!$AA60</f>
        <v>0</v>
      </c>
      <c r="AR60" s="1102">
        <f>IFERROR(('12. Разходи'!AE60-'12. Разходи'!$AA60)/'12. Разходи'!$AA60,0)</f>
        <v>0</v>
      </c>
      <c r="AS60" s="1110">
        <f>'12. Разходи'!AF60-'12. Разходи'!$AA60</f>
        <v>0</v>
      </c>
      <c r="AT60" s="1157">
        <f>IFERROR(('12. Разходи'!AF60-'12. Разходи'!$AA60)/'12. Разходи'!$AA60,0)</f>
        <v>0</v>
      </c>
      <c r="AU60" s="1151">
        <f>'12. Разходи'!AI60</f>
        <v>0</v>
      </c>
      <c r="AV60" s="1115">
        <f>'12. Разходи'!AJ60-'12. Разходи'!$AI60</f>
        <v>0</v>
      </c>
      <c r="AW60" s="1095">
        <f>IFERROR(('12. Разходи'!AJ60-'12. Разходи'!$AI60)/'12. Разходи'!$AI60,0)</f>
        <v>0</v>
      </c>
      <c r="AX60" s="882">
        <f>'12. Разходи'!AK60-'12. Разходи'!$AI60</f>
        <v>0</v>
      </c>
      <c r="AY60" s="1103">
        <f>IFERROR(('12. Разходи'!AK60-'12. Разходи'!$AI60)/'12. Разходи'!$AI60,0)</f>
        <v>0</v>
      </c>
      <c r="AZ60" s="882">
        <f>'12. Разходи'!AL60-'12. Разходи'!$AI60</f>
        <v>0</v>
      </c>
      <c r="BA60" s="1103">
        <f>IFERROR(('12. Разходи'!AL60-'12. Разходи'!$AI60)/'12. Разходи'!$AI60,0)</f>
        <v>0</v>
      </c>
      <c r="BB60" s="882">
        <f>'12. Разходи'!AM60-'12. Разходи'!$AI60</f>
        <v>0</v>
      </c>
      <c r="BC60" s="1102">
        <f>IFERROR(('12. Разходи'!AM60-'12. Разходи'!$AI60)/'12. Разходи'!$AI60,0)</f>
        <v>0</v>
      </c>
      <c r="BD60" s="1110">
        <f>'12. Разходи'!AN60-'12. Разходи'!$AI60</f>
        <v>0</v>
      </c>
      <c r="BE60" s="1157">
        <f>IFERROR(('12. Разходи'!AN60-'12. Разходи'!$AI60)/'12. Разходи'!$AI60,0)</f>
        <v>0</v>
      </c>
      <c r="BF60" s="4422"/>
      <c r="BG60" s="4438">
        <f t="shared" si="1"/>
        <v>4145.5545727389399</v>
      </c>
      <c r="BH60" s="4438">
        <f t="shared" si="2"/>
        <v>2268.4486893032631</v>
      </c>
      <c r="BI60" s="4438">
        <f t="shared" si="3"/>
        <v>3070.2796255298272</v>
      </c>
      <c r="BJ60" s="4438">
        <f t="shared" si="4"/>
        <v>3979.5829647771043</v>
      </c>
      <c r="BK60" s="4438">
        <f t="shared" si="5"/>
        <v>5282.7970012731166</v>
      </c>
      <c r="BL60" s="4438">
        <f t="shared" si="6"/>
        <v>6492.0858139204338</v>
      </c>
      <c r="BM60" s="4438">
        <f t="shared" si="7"/>
        <v>187.64412039901219</v>
      </c>
      <c r="BN60" s="4438">
        <f t="shared" si="8"/>
        <v>60.332441981153785</v>
      </c>
      <c r="BO60" s="4438">
        <f t="shared" si="9"/>
        <v>90.089629466773729</v>
      </c>
      <c r="BP60" s="4438">
        <f t="shared" si="10"/>
        <v>123.41767945066807</v>
      </c>
      <c r="BQ60" s="4438">
        <f t="shared" si="11"/>
        <v>160.74509543262974</v>
      </c>
      <c r="BR60" s="4438">
        <f t="shared" si="12"/>
        <v>202.55180133242678</v>
      </c>
      <c r="BS60" s="4438">
        <f t="shared" si="13"/>
        <v>354.83656555017564</v>
      </c>
      <c r="BT60" s="4438">
        <f t="shared" si="14"/>
        <v>164.12469386398612</v>
      </c>
      <c r="BU60" s="4438">
        <f t="shared" si="15"/>
        <v>226.40004499368564</v>
      </c>
      <c r="BV60" s="4438">
        <f t="shared" si="16"/>
        <v>296.14843825894894</v>
      </c>
      <c r="BW60" s="4438">
        <f t="shared" si="17"/>
        <v>393.7961888303177</v>
      </c>
      <c r="BX60" s="4438">
        <f t="shared" si="18"/>
        <v>483.63211935597684</v>
      </c>
      <c r="BY60" s="4438">
        <f t="shared" si="19"/>
        <v>0</v>
      </c>
      <c r="BZ60" s="4438">
        <f t="shared" si="20"/>
        <v>0</v>
      </c>
      <c r="CA60" s="4438">
        <f t="shared" si="21"/>
        <v>0</v>
      </c>
      <c r="CB60" s="4438">
        <f t="shared" si="22"/>
        <v>0</v>
      </c>
      <c r="CC60" s="4438">
        <f t="shared" si="23"/>
        <v>0</v>
      </c>
      <c r="CD60" s="4438">
        <f t="shared" si="24"/>
        <v>0</v>
      </c>
      <c r="CE60" s="4438">
        <f t="shared" si="25"/>
        <v>0</v>
      </c>
      <c r="CF60" s="4438">
        <f t="shared" si="26"/>
        <v>0</v>
      </c>
      <c r="CG60" s="4438">
        <f t="shared" si="27"/>
        <v>0</v>
      </c>
      <c r="CH60" s="4438">
        <f t="shared" si="28"/>
        <v>0</v>
      </c>
      <c r="CI60" s="4438">
        <f t="shared" si="29"/>
        <v>0</v>
      </c>
      <c r="CJ60" s="4438">
        <f t="shared" si="30"/>
        <v>0</v>
      </c>
    </row>
    <row r="61" spans="1:88" s="675" customFormat="1" ht="24">
      <c r="A61" s="394" t="s">
        <v>102</v>
      </c>
      <c r="B61" s="876" t="s">
        <v>640</v>
      </c>
      <c r="C61" s="1089">
        <f>'12. Разходи'!C61</f>
        <v>691</v>
      </c>
      <c r="D61" s="1117">
        <f>'12. Разходи'!D61-'12. Разходи'!$C61</f>
        <v>207.30000000000007</v>
      </c>
      <c r="E61" s="855">
        <f>IFERROR(('12. Разходи'!D61-'12. Разходи'!$C61)/'12. Разходи'!$C61,0)</f>
        <v>0.3000000000000001</v>
      </c>
      <c r="F61" s="1107">
        <f>'12. Разходи'!E61-'12. Разходи'!$C61</f>
        <v>252.21500000000015</v>
      </c>
      <c r="G61" s="855">
        <f>IFERROR(('12. Разходи'!E61-'12. Разходи'!$C61)/'12. Разходи'!$C61,0)</f>
        <v>0.36500000000000021</v>
      </c>
      <c r="H61" s="1107">
        <f>'12. Разходи'!F61-'12. Разходи'!$C61</f>
        <v>280.5114500000002</v>
      </c>
      <c r="I61" s="855">
        <f>IFERROR(('12. Разходи'!F61-'12. Разходи'!$C61)/'12. Разходи'!$C61,0)</f>
        <v>0.40595000000000026</v>
      </c>
      <c r="J61" s="1107">
        <f>'12. Разходи'!G61-'12. Разходи'!$C61</f>
        <v>261.08122100000014</v>
      </c>
      <c r="K61" s="861">
        <f>IFERROR(('12. Разходи'!G61-'12. Разходи'!$C61)/'12. Разходи'!$C61,0)</f>
        <v>0.37783100000000019</v>
      </c>
      <c r="L61" s="1107">
        <f>'12. Разходи'!H61-'12. Разходи'!$C61</f>
        <v>222.99797216000013</v>
      </c>
      <c r="M61" s="861">
        <f>IFERROR(('12. Разходи'!H61-'12. Разходи'!$C61)/'12. Разходи'!$C61,0)</f>
        <v>0.32271776000000019</v>
      </c>
      <c r="N61" s="1137">
        <f>'12. Разходи'!K61</f>
        <v>0</v>
      </c>
      <c r="O61" s="1117">
        <f>'12. Разходи'!L61-'12. Разходи'!$K61</f>
        <v>0</v>
      </c>
      <c r="P61" s="855">
        <f>IFERROR(('12. Разходи'!L61-'12. Разходи'!$K61)/'12. Разходи'!$K61,0)</f>
        <v>0</v>
      </c>
      <c r="Q61" s="1107">
        <f>'12. Разходи'!M61-'12. Разходи'!$K61</f>
        <v>0</v>
      </c>
      <c r="R61" s="855">
        <f>IFERROR(('12. Разходи'!M61-'12. Разходи'!$K61)/'12. Разходи'!$K61,0)</f>
        <v>0</v>
      </c>
      <c r="S61" s="1107">
        <f>'12. Разходи'!N61-'12. Разходи'!$K61</f>
        <v>0</v>
      </c>
      <c r="T61" s="855">
        <f>IFERROR(('12. Разходи'!N61-'12. Разходи'!$K61)/'12. Разходи'!$K61,0)</f>
        <v>0</v>
      </c>
      <c r="U61" s="1107">
        <f>'12. Разходи'!O61-'12. Разходи'!$K61</f>
        <v>0</v>
      </c>
      <c r="V61" s="861">
        <f>IFERROR(('12. Разходи'!O61-'12. Разходи'!$K61)/'12. Разходи'!$K61,0)</f>
        <v>0</v>
      </c>
      <c r="W61" s="1107">
        <f>'12. Разходи'!P61-'12. Разходи'!$K61</f>
        <v>0</v>
      </c>
      <c r="X61" s="866">
        <f>IFERROR(('12. Разходи'!P61-'12. Разходи'!$K61)/'12. Разходи'!$K61,0)</f>
        <v>0</v>
      </c>
      <c r="Y61" s="1137">
        <f>'12. Разходи'!S61</f>
        <v>1</v>
      </c>
      <c r="Z61" s="1117">
        <f>'12. Разходи'!T61-'12. Разходи'!$S61</f>
        <v>-1</v>
      </c>
      <c r="AA61" s="855">
        <f>IFERROR(('12. Разходи'!T61-'12. Разходи'!$S61)/'12. Разходи'!$S61,0)</f>
        <v>-1</v>
      </c>
      <c r="AB61" s="1107">
        <f>'12. Разходи'!U61-'12. Разходи'!$S61</f>
        <v>-1</v>
      </c>
      <c r="AC61" s="855">
        <f>IFERROR(('12. Разходи'!U61-'12. Разходи'!$S61)/'12. Разходи'!$S61,0)</f>
        <v>-1</v>
      </c>
      <c r="AD61" s="1107">
        <f>'12. Разходи'!V61-'12. Разходи'!$S61</f>
        <v>-1</v>
      </c>
      <c r="AE61" s="855">
        <f>IFERROR(('12. Разходи'!V61-'12. Разходи'!$S61)/'12. Разходи'!$S61,0)</f>
        <v>-1</v>
      </c>
      <c r="AF61" s="1107">
        <f>'12. Разходи'!W61-'12. Разходи'!$S61</f>
        <v>-1</v>
      </c>
      <c r="AG61" s="861">
        <f>IFERROR(('12. Разходи'!W61-'12. Разходи'!$S61)/'12. Разходи'!$S61,0)</f>
        <v>-1</v>
      </c>
      <c r="AH61" s="1107">
        <f>'12. Разходи'!X61-'12. Разходи'!$S61</f>
        <v>-1</v>
      </c>
      <c r="AI61" s="866">
        <f>IFERROR(('12. Разходи'!X61-'12. Разходи'!$S61)/'12. Разходи'!$S61,0)</f>
        <v>-1</v>
      </c>
      <c r="AJ61" s="1137">
        <f>'12. Разходи'!AA61</f>
        <v>0</v>
      </c>
      <c r="AK61" s="1117">
        <f>'12. Разходи'!AB61-'12. Разходи'!$AA61</f>
        <v>0</v>
      </c>
      <c r="AL61" s="855">
        <f>IFERROR(('12. Разходи'!AB61-'12. Разходи'!$AA61)/'12. Разходи'!$AA61,0)</f>
        <v>0</v>
      </c>
      <c r="AM61" s="1107">
        <f>'12. Разходи'!AC61-'12. Разходи'!$AA61</f>
        <v>0</v>
      </c>
      <c r="AN61" s="855">
        <f>IFERROR(('12. Разходи'!AC61-'12. Разходи'!$AA61)/'12. Разходи'!$AA61,0)</f>
        <v>0</v>
      </c>
      <c r="AO61" s="1107">
        <f>'12. Разходи'!AD61-'12. Разходи'!$AA61</f>
        <v>0</v>
      </c>
      <c r="AP61" s="855">
        <f>IFERROR(('12. Разходи'!AD61-'12. Разходи'!$AA61)/'12. Разходи'!$AA61,0)</f>
        <v>0</v>
      </c>
      <c r="AQ61" s="1107">
        <f>'12. Разходи'!AE61-'12. Разходи'!$AA61</f>
        <v>0</v>
      </c>
      <c r="AR61" s="861">
        <f>IFERROR(('12. Разходи'!AE61-'12. Разходи'!$AA61)/'12. Разходи'!$AA61,0)</f>
        <v>0</v>
      </c>
      <c r="AS61" s="1107">
        <f>'12. Разходи'!AF61-'12. Разходи'!$AA61</f>
        <v>0</v>
      </c>
      <c r="AT61" s="866">
        <f>IFERROR(('12. Разходи'!AF61-'12. Разходи'!$AA61)/'12. Разходи'!$AA61,0)</f>
        <v>0</v>
      </c>
      <c r="AU61" s="1137">
        <f>'12. Разходи'!AI61</f>
        <v>0</v>
      </c>
      <c r="AV61" s="1117">
        <f>'12. Разходи'!AJ61-'12. Разходи'!$AI61</f>
        <v>0</v>
      </c>
      <c r="AW61" s="855">
        <f>IFERROR(('12. Разходи'!AJ61-'12. Разходи'!$AI61)/'12. Разходи'!$AI61,0)</f>
        <v>0</v>
      </c>
      <c r="AX61" s="1107">
        <f>'12. Разходи'!AK61-'12. Разходи'!$AI61</f>
        <v>0</v>
      </c>
      <c r="AY61" s="855">
        <f>IFERROR(('12. Разходи'!AK61-'12. Разходи'!$AI61)/'12. Разходи'!$AI61,0)</f>
        <v>0</v>
      </c>
      <c r="AZ61" s="1107">
        <f>'12. Разходи'!AL61-'12. Разходи'!$AI61</f>
        <v>0</v>
      </c>
      <c r="BA61" s="855">
        <f>IFERROR(('12. Разходи'!AL61-'12. Разходи'!$AI61)/'12. Разходи'!$AI61,0)</f>
        <v>0</v>
      </c>
      <c r="BB61" s="1107">
        <f>'12. Разходи'!AM61-'12. Разходи'!$AI61</f>
        <v>0</v>
      </c>
      <c r="BC61" s="861">
        <f>IFERROR(('12. Разходи'!AM61-'12. Разходи'!$AI61)/'12. Разходи'!$AI61,0)</f>
        <v>0</v>
      </c>
      <c r="BD61" s="1107">
        <f>'12. Разходи'!AN61-'12. Разходи'!$AI61</f>
        <v>0</v>
      </c>
      <c r="BE61" s="866">
        <f>IFERROR(('12. Разходи'!AN61-'12. Разходи'!$AI61)/'12. Разходи'!$AI61,0)</f>
        <v>0</v>
      </c>
      <c r="BF61" s="4422"/>
      <c r="BG61" s="4438">
        <f t="shared" si="1"/>
        <v>353.30268990658698</v>
      </c>
      <c r="BH61" s="4438">
        <f t="shared" si="2"/>
        <v>105.99080697197613</v>
      </c>
      <c r="BI61" s="4438">
        <f t="shared" si="3"/>
        <v>128.95548181590434</v>
      </c>
      <c r="BJ61" s="4438">
        <f t="shared" si="4"/>
        <v>143.4232269675791</v>
      </c>
      <c r="BK61" s="4438">
        <f t="shared" si="5"/>
        <v>133.48870863009574</v>
      </c>
      <c r="BL61" s="4438">
        <f t="shared" si="6"/>
        <v>114.01705268862843</v>
      </c>
      <c r="BM61" s="4438">
        <f t="shared" si="7"/>
        <v>0</v>
      </c>
      <c r="BN61" s="4438">
        <f t="shared" si="8"/>
        <v>0</v>
      </c>
      <c r="BO61" s="4438">
        <f t="shared" si="9"/>
        <v>0</v>
      </c>
      <c r="BP61" s="4438">
        <f t="shared" si="10"/>
        <v>0</v>
      </c>
      <c r="BQ61" s="4438">
        <f t="shared" si="11"/>
        <v>0</v>
      </c>
      <c r="BR61" s="4438">
        <f t="shared" si="12"/>
        <v>0</v>
      </c>
      <c r="BS61" s="4438">
        <f t="shared" si="13"/>
        <v>0.51129188119621849</v>
      </c>
      <c r="BT61" s="4438">
        <f t="shared" si="14"/>
        <v>-0.51129188119621849</v>
      </c>
      <c r="BU61" s="4438">
        <f t="shared" si="15"/>
        <v>-0.51129188119621849</v>
      </c>
      <c r="BV61" s="4438">
        <f t="shared" si="16"/>
        <v>-0.51129188119621849</v>
      </c>
      <c r="BW61" s="4438">
        <f t="shared" si="17"/>
        <v>-0.51129188119621849</v>
      </c>
      <c r="BX61" s="4438">
        <f t="shared" si="18"/>
        <v>-0.51129188119621849</v>
      </c>
      <c r="BY61" s="4438">
        <f t="shared" si="19"/>
        <v>0</v>
      </c>
      <c r="BZ61" s="4438">
        <f t="shared" si="20"/>
        <v>0</v>
      </c>
      <c r="CA61" s="4438">
        <f t="shared" si="21"/>
        <v>0</v>
      </c>
      <c r="CB61" s="4438">
        <f t="shared" si="22"/>
        <v>0</v>
      </c>
      <c r="CC61" s="4438">
        <f t="shared" si="23"/>
        <v>0</v>
      </c>
      <c r="CD61" s="4438">
        <f t="shared" si="24"/>
        <v>0</v>
      </c>
      <c r="CE61" s="4438">
        <f t="shared" si="25"/>
        <v>0</v>
      </c>
      <c r="CF61" s="4438">
        <f t="shared" si="26"/>
        <v>0</v>
      </c>
      <c r="CG61" s="4438">
        <f t="shared" si="27"/>
        <v>0</v>
      </c>
      <c r="CH61" s="4438">
        <f t="shared" si="28"/>
        <v>0</v>
      </c>
      <c r="CI61" s="4438">
        <f t="shared" si="29"/>
        <v>0</v>
      </c>
      <c r="CJ61" s="4438">
        <f t="shared" si="30"/>
        <v>0</v>
      </c>
    </row>
    <row r="62" spans="1:88" ht="45.75" customHeight="1" thickBot="1">
      <c r="A62" s="108" t="s">
        <v>103</v>
      </c>
      <c r="B62" s="875" t="s">
        <v>1751</v>
      </c>
      <c r="C62" s="1088">
        <f>'12. Разходи'!C62</f>
        <v>0</v>
      </c>
      <c r="D62" s="1115">
        <f>'12. Разходи'!D62-'12. Разходи'!$C62</f>
        <v>0</v>
      </c>
      <c r="E62" s="1095">
        <f>IFERROR(('12. Разходи'!D62-'12. Разходи'!$C62)/'12. Разходи'!$C62,0)</f>
        <v>0</v>
      </c>
      <c r="F62" s="882">
        <f>'12. Разходи'!E62-'12. Разходи'!$C62</f>
        <v>0</v>
      </c>
      <c r="G62" s="1103">
        <f>IFERROR(('12. Разходи'!E62-'12. Разходи'!$C62)/'12. Разходи'!$C62,0)</f>
        <v>0</v>
      </c>
      <c r="H62" s="882">
        <f>'12. Разходи'!F62-'12. Разходи'!$C62</f>
        <v>0</v>
      </c>
      <c r="I62" s="1103">
        <f>IFERROR(('12. Разходи'!F62-'12. Разходи'!$C62)/'12. Разходи'!$C62,0)</f>
        <v>0</v>
      </c>
      <c r="J62" s="882">
        <f>'12. Разходи'!G62-'12. Разходи'!$C62</f>
        <v>0</v>
      </c>
      <c r="K62" s="1102">
        <f>IFERROR(('12. Разходи'!G62-'12. Разходи'!$C62)/'12. Разходи'!$C62,0)</f>
        <v>0</v>
      </c>
      <c r="L62" s="1110">
        <f>'12. Разходи'!H62-'12. Разходи'!$C62</f>
        <v>0</v>
      </c>
      <c r="M62" s="1102">
        <f>IFERROR(('12. Разходи'!H62-'12. Разходи'!$C62)/'12. Разходи'!$C62,0)</f>
        <v>0</v>
      </c>
      <c r="N62" s="1151">
        <f>'12. Разходи'!K62</f>
        <v>0</v>
      </c>
      <c r="O62" s="1115">
        <f>'12. Разходи'!L62-'12. Разходи'!$K62</f>
        <v>0</v>
      </c>
      <c r="P62" s="1095">
        <f>IFERROR(('12. Разходи'!L62-'12. Разходи'!$K62)/'12. Разходи'!$K62,0)</f>
        <v>0</v>
      </c>
      <c r="Q62" s="882">
        <f>'12. Разходи'!M62-'12. Разходи'!$K62</f>
        <v>0</v>
      </c>
      <c r="R62" s="1103">
        <f>IFERROR(('12. Разходи'!M62-'12. Разходи'!$K62)/'12. Разходи'!$K62,0)</f>
        <v>0</v>
      </c>
      <c r="S62" s="882">
        <f>'12. Разходи'!N62-'12. Разходи'!$K62</f>
        <v>0</v>
      </c>
      <c r="T62" s="1103">
        <f>IFERROR(('12. Разходи'!N62-'12. Разходи'!$K62)/'12. Разходи'!$K62,0)</f>
        <v>0</v>
      </c>
      <c r="U62" s="882">
        <f>'12. Разходи'!O62-'12. Разходи'!$K62</f>
        <v>0</v>
      </c>
      <c r="V62" s="1102">
        <f>IFERROR(('12. Разходи'!O62-'12. Разходи'!$K62)/'12. Разходи'!$K62,0)</f>
        <v>0</v>
      </c>
      <c r="W62" s="1110">
        <f>'12. Разходи'!P62-'12. Разходи'!$K62</f>
        <v>0</v>
      </c>
      <c r="X62" s="1157">
        <f>IFERROR(('12. Разходи'!P62-'12. Разходи'!$K62)/'12. Разходи'!$K62,0)</f>
        <v>0</v>
      </c>
      <c r="Y62" s="1151">
        <f>'12. Разходи'!S62</f>
        <v>0</v>
      </c>
      <c r="Z62" s="1115">
        <f>'12. Разходи'!T62-'12. Разходи'!$S62</f>
        <v>0</v>
      </c>
      <c r="AA62" s="1095">
        <f>IFERROR(('12. Разходи'!T62-'12. Разходи'!$S62)/'12. Разходи'!$S62,0)</f>
        <v>0</v>
      </c>
      <c r="AB62" s="882">
        <f>'12. Разходи'!U62-'12. Разходи'!$S62</f>
        <v>0</v>
      </c>
      <c r="AC62" s="1103">
        <f>IFERROR(('12. Разходи'!U62-'12. Разходи'!$S62)/'12. Разходи'!$S62,0)</f>
        <v>0</v>
      </c>
      <c r="AD62" s="882">
        <f>'12. Разходи'!V62-'12. Разходи'!$S62</f>
        <v>0</v>
      </c>
      <c r="AE62" s="1103">
        <f>IFERROR(('12. Разходи'!V62-'12. Разходи'!$S62)/'12. Разходи'!$S62,0)</f>
        <v>0</v>
      </c>
      <c r="AF62" s="882">
        <f>'12. Разходи'!W62-'12. Разходи'!$S62</f>
        <v>0</v>
      </c>
      <c r="AG62" s="1102">
        <f>IFERROR(('12. Разходи'!W62-'12. Разходи'!$S62)/'12. Разходи'!$S62,0)</f>
        <v>0</v>
      </c>
      <c r="AH62" s="1110">
        <f>'12. Разходи'!X62-'12. Разходи'!$S62</f>
        <v>0</v>
      </c>
      <c r="AI62" s="1157">
        <f>IFERROR(('12. Разходи'!X62-'12. Разходи'!$S62)/'12. Разходи'!$S62,0)</f>
        <v>0</v>
      </c>
      <c r="AJ62" s="1151">
        <f>'12. Разходи'!AA62</f>
        <v>0</v>
      </c>
      <c r="AK62" s="1115">
        <f>'12. Разходи'!AB62-'12. Разходи'!$AA62</f>
        <v>0</v>
      </c>
      <c r="AL62" s="1095">
        <f>IFERROR(('12. Разходи'!AB62-'12. Разходи'!$AA62)/'12. Разходи'!$AA62,0)</f>
        <v>0</v>
      </c>
      <c r="AM62" s="882">
        <f>'12. Разходи'!AC62-'12. Разходи'!$AA62</f>
        <v>0</v>
      </c>
      <c r="AN62" s="1103">
        <f>IFERROR(('12. Разходи'!AC62-'12. Разходи'!$AA62)/'12. Разходи'!$AA62,0)</f>
        <v>0</v>
      </c>
      <c r="AO62" s="882">
        <f>'12. Разходи'!AD62-'12. Разходи'!$AA62</f>
        <v>0</v>
      </c>
      <c r="AP62" s="1103">
        <f>IFERROR(('12. Разходи'!AD62-'12. Разходи'!$AA62)/'12. Разходи'!$AA62,0)</f>
        <v>0</v>
      </c>
      <c r="AQ62" s="882">
        <f>'12. Разходи'!AE62-'12. Разходи'!$AA62</f>
        <v>0</v>
      </c>
      <c r="AR62" s="1102">
        <f>IFERROR(('12. Разходи'!AE62-'12. Разходи'!$AA62)/'12. Разходи'!$AA62,0)</f>
        <v>0</v>
      </c>
      <c r="AS62" s="1110">
        <f>'12. Разходи'!AF62-'12. Разходи'!$AA62</f>
        <v>0</v>
      </c>
      <c r="AT62" s="1157">
        <f>IFERROR(('12. Разходи'!AF62-'12. Разходи'!$AA62)/'12. Разходи'!$AA62,0)</f>
        <v>0</v>
      </c>
      <c r="AU62" s="1151">
        <f>'12. Разходи'!AI62</f>
        <v>0</v>
      </c>
      <c r="AV62" s="1115">
        <f>'12. Разходи'!AJ62-'12. Разходи'!$AI62</f>
        <v>0</v>
      </c>
      <c r="AW62" s="1095">
        <f>IFERROR(('12. Разходи'!AJ62-'12. Разходи'!$AI62)/'12. Разходи'!$AI62,0)</f>
        <v>0</v>
      </c>
      <c r="AX62" s="882">
        <f>'12. Разходи'!AK62-'12. Разходи'!$AI62</f>
        <v>0</v>
      </c>
      <c r="AY62" s="1103">
        <f>IFERROR(('12. Разходи'!AK62-'12. Разходи'!$AI62)/'12. Разходи'!$AI62,0)</f>
        <v>0</v>
      </c>
      <c r="AZ62" s="882">
        <f>'12. Разходи'!AL62-'12. Разходи'!$AI62</f>
        <v>0</v>
      </c>
      <c r="BA62" s="1103">
        <f>IFERROR(('12. Разходи'!AL62-'12. Разходи'!$AI62)/'12. Разходи'!$AI62,0)</f>
        <v>0</v>
      </c>
      <c r="BB62" s="882">
        <f>'12. Разходи'!AM62-'12. Разходи'!$AI62</f>
        <v>0</v>
      </c>
      <c r="BC62" s="1102">
        <f>IFERROR(('12. Разходи'!AM62-'12. Разходи'!$AI62)/'12. Разходи'!$AI62,0)</f>
        <v>0</v>
      </c>
      <c r="BD62" s="1110">
        <f>'12. Разходи'!AN62-'12. Разходи'!$AI62</f>
        <v>0</v>
      </c>
      <c r="BE62" s="1157">
        <f>IFERROR(('12. Разходи'!AN62-'12. Разходи'!$AI62)/'12. Разходи'!$AI62,0)</f>
        <v>0</v>
      </c>
      <c r="BF62" s="4422"/>
      <c r="BG62" s="4438">
        <f t="shared" si="1"/>
        <v>0</v>
      </c>
      <c r="BH62" s="4438">
        <f t="shared" si="2"/>
        <v>0</v>
      </c>
      <c r="BI62" s="4438">
        <f t="shared" si="3"/>
        <v>0</v>
      </c>
      <c r="BJ62" s="4438">
        <f t="shared" si="4"/>
        <v>0</v>
      </c>
      <c r="BK62" s="4438">
        <f t="shared" si="5"/>
        <v>0</v>
      </c>
      <c r="BL62" s="4438">
        <f t="shared" si="6"/>
        <v>0</v>
      </c>
      <c r="BM62" s="4438">
        <f t="shared" si="7"/>
        <v>0</v>
      </c>
      <c r="BN62" s="4438">
        <f t="shared" si="8"/>
        <v>0</v>
      </c>
      <c r="BO62" s="4438">
        <f t="shared" si="9"/>
        <v>0</v>
      </c>
      <c r="BP62" s="4438">
        <f t="shared" si="10"/>
        <v>0</v>
      </c>
      <c r="BQ62" s="4438">
        <f t="shared" si="11"/>
        <v>0</v>
      </c>
      <c r="BR62" s="4438">
        <f t="shared" si="12"/>
        <v>0</v>
      </c>
      <c r="BS62" s="4438">
        <f t="shared" si="13"/>
        <v>0</v>
      </c>
      <c r="BT62" s="4438">
        <f t="shared" si="14"/>
        <v>0</v>
      </c>
      <c r="BU62" s="4438">
        <f t="shared" si="15"/>
        <v>0</v>
      </c>
      <c r="BV62" s="4438">
        <f t="shared" si="16"/>
        <v>0</v>
      </c>
      <c r="BW62" s="4438">
        <f t="shared" si="17"/>
        <v>0</v>
      </c>
      <c r="BX62" s="4438">
        <f t="shared" si="18"/>
        <v>0</v>
      </c>
      <c r="BY62" s="4438">
        <f t="shared" si="19"/>
        <v>0</v>
      </c>
      <c r="BZ62" s="4438">
        <f t="shared" si="20"/>
        <v>0</v>
      </c>
      <c r="CA62" s="4438">
        <f t="shared" si="21"/>
        <v>0</v>
      </c>
      <c r="CB62" s="4438">
        <f t="shared" si="22"/>
        <v>0</v>
      </c>
      <c r="CC62" s="4438">
        <f t="shared" si="23"/>
        <v>0</v>
      </c>
      <c r="CD62" s="4438">
        <f t="shared" si="24"/>
        <v>0</v>
      </c>
      <c r="CE62" s="4438">
        <f t="shared" si="25"/>
        <v>0</v>
      </c>
      <c r="CF62" s="4438">
        <f t="shared" si="26"/>
        <v>0</v>
      </c>
      <c r="CG62" s="4438">
        <f t="shared" si="27"/>
        <v>0</v>
      </c>
      <c r="CH62" s="4438">
        <f t="shared" si="28"/>
        <v>0</v>
      </c>
      <c r="CI62" s="4438">
        <f t="shared" si="29"/>
        <v>0</v>
      </c>
      <c r="CJ62" s="4438">
        <f t="shared" si="30"/>
        <v>0</v>
      </c>
    </row>
    <row r="63" spans="1:88" s="1134" customFormat="1" ht="15.95" customHeight="1" thickBot="1">
      <c r="A63" s="110">
        <v>5</v>
      </c>
      <c r="B63" s="872" t="s">
        <v>449</v>
      </c>
      <c r="C63" s="1084">
        <f>'12. Разходи'!C63</f>
        <v>2800</v>
      </c>
      <c r="D63" s="1122">
        <f>'12. Разходи'!D63-'12. Разходи'!$C63</f>
        <v>1160</v>
      </c>
      <c r="E63" s="853">
        <f>IFERROR(('12. Разходи'!D63-'12. Разходи'!$C63)/'12. Разходи'!$C63,0)</f>
        <v>0.41428571428571431</v>
      </c>
      <c r="F63" s="1121">
        <f>'12. Разходи'!E63-'12. Разходи'!$C63</f>
        <v>1474.3999999999996</v>
      </c>
      <c r="G63" s="853">
        <f>IFERROR(('12. Разходи'!E63-'12. Разходи'!$C63)/'12. Разходи'!$C63,0)</f>
        <v>0.52657142857142847</v>
      </c>
      <c r="H63" s="1121">
        <f>'12. Разходи'!F63-'12. Разходи'!$C63</f>
        <v>1886.5280000000002</v>
      </c>
      <c r="I63" s="853">
        <f>IFERROR(('12. Разходи'!F63-'12. Разходи'!$C63)/'12. Разходи'!$C63,0)</f>
        <v>0.67376000000000014</v>
      </c>
      <c r="J63" s="1121">
        <f>'12. Разходи'!G63-'12. Разходи'!$C63</f>
        <v>2342.5071999999991</v>
      </c>
      <c r="K63" s="863">
        <f>IFERROR(('12. Разходи'!G63-'12. Разходи'!$C63)/'12. Разходи'!$C63,0)</f>
        <v>0.83660971428571396</v>
      </c>
      <c r="L63" s="1121">
        <f>'12. Разходи'!H63-'12. Разходи'!$C63</f>
        <v>2796.0480640000014</v>
      </c>
      <c r="M63" s="863">
        <f>IFERROR(('12. Разходи'!H63-'12. Разходи'!$C63)/'12. Разходи'!$C63,0)</f>
        <v>0.99858859428571478</v>
      </c>
      <c r="N63" s="1135">
        <f>'12. Разходи'!K63</f>
        <v>129</v>
      </c>
      <c r="O63" s="1122">
        <f>'12. Разходи'!L63-'12. Разходи'!$K63</f>
        <v>0.5473684210526244</v>
      </c>
      <c r="P63" s="853">
        <f>IFERROR(('12. Разходи'!L63-'12. Разходи'!$K63)/'12. Разходи'!$K63,0)</f>
        <v>4.2431660546715074E-3</v>
      </c>
      <c r="Q63" s="1121">
        <f>'12. Разходи'!M63-'12. Разходи'!$K63</f>
        <v>11.199999999999989</v>
      </c>
      <c r="R63" s="853">
        <f>IFERROR(('12. Разходи'!M63-'12. Разходи'!$K63)/'12. Разходи'!$K63,0)</f>
        <v>8.6821705426356505E-2</v>
      </c>
      <c r="S63" s="1121">
        <f>'12. Разходи'!N63-'12. Разходи'!$K63</f>
        <v>21.624000000000024</v>
      </c>
      <c r="T63" s="853">
        <f>IFERROR(('12. Разходи'!N63-'12. Разходи'!$K63)/'12. Разходи'!$K63,0)</f>
        <v>0.16762790697674437</v>
      </c>
      <c r="U63" s="1121">
        <f>'12. Разходи'!O63-'12. Разходи'!$K63</f>
        <v>34.418880000000001</v>
      </c>
      <c r="V63" s="863">
        <f>IFERROR(('12. Разходи'!O63-'12. Разходи'!$K63)/'12. Разходи'!$K63,0)</f>
        <v>0.26681302325581396</v>
      </c>
      <c r="W63" s="1121">
        <f>'12. Разходи'!P63-'12. Разходи'!$K63</f>
        <v>48.74914560000002</v>
      </c>
      <c r="X63" s="865">
        <f>IFERROR(('12. Разходи'!P63-'12. Разходи'!$K63)/'12. Разходи'!$K63,0)</f>
        <v>0.37790035348837225</v>
      </c>
      <c r="Y63" s="1135">
        <f>'12. Разходи'!S63</f>
        <v>221</v>
      </c>
      <c r="Z63" s="1122">
        <f>'12. Разходи'!T63-'12. Разходи'!$S63</f>
        <v>81</v>
      </c>
      <c r="AA63" s="853">
        <f>IFERROR(('12. Разходи'!T63-'12. Разходи'!$S63)/'12. Разходи'!$S63,0)</f>
        <v>0.36651583710407237</v>
      </c>
      <c r="AB63" s="1121">
        <f>'12. Разходи'!U63-'12. Разходи'!$S63</f>
        <v>104.40000000000003</v>
      </c>
      <c r="AC63" s="853">
        <f>IFERROR(('12. Разходи'!U63-'12. Разходи'!$S63)/'12. Разходи'!$S63,0)</f>
        <v>0.47239819004524902</v>
      </c>
      <c r="AD63" s="1121">
        <f>'12. Разходи'!V63-'12. Разходи'!$S63</f>
        <v>130.60800000000006</v>
      </c>
      <c r="AE63" s="853">
        <f>IFERROR(('12. Разходи'!V63-'12. Разходи'!$S63)/'12. Разходи'!$S63,0)</f>
        <v>0.59098642533936674</v>
      </c>
      <c r="AF63" s="1121">
        <f>'12. Разходи'!W63-'12. Разходи'!$S63</f>
        <v>193.29920000000004</v>
      </c>
      <c r="AG63" s="863">
        <f>IFERROR(('12. Разходи'!W63-'12. Разходи'!$S63)/'12. Разходи'!$S63,0)</f>
        <v>0.87465701357466086</v>
      </c>
      <c r="AH63" s="1121">
        <f>'12. Разходи'!X63-'12. Разходи'!$S63</f>
        <v>227.05510400000009</v>
      </c>
      <c r="AI63" s="865">
        <f>IFERROR(('12. Разходи'!X63-'12. Разходи'!$S63)/'12. Разходи'!$S63,0)</f>
        <v>1.0273986606334846</v>
      </c>
      <c r="AJ63" s="1135">
        <f>'12. Разходи'!AA63</f>
        <v>0</v>
      </c>
      <c r="AK63" s="1122">
        <f>'12. Разходи'!AB63-'12. Разходи'!$AA63</f>
        <v>0</v>
      </c>
      <c r="AL63" s="853">
        <f>IFERROR(('12. Разходи'!AB63-'12. Разходи'!$AA63)/'12. Разходи'!$AA63,0)</f>
        <v>0</v>
      </c>
      <c r="AM63" s="1121">
        <f>'12. Разходи'!AC63-'12. Разходи'!$AA63</f>
        <v>0</v>
      </c>
      <c r="AN63" s="853">
        <f>IFERROR(('12. Разходи'!AC63-'12. Разходи'!$AA63)/'12. Разходи'!$AA63,0)</f>
        <v>0</v>
      </c>
      <c r="AO63" s="1121">
        <f>'12. Разходи'!AD63-'12. Разходи'!$AA63</f>
        <v>0</v>
      </c>
      <c r="AP63" s="853">
        <f>IFERROR(('12. Разходи'!AD63-'12. Разходи'!$AA63)/'12. Разходи'!$AA63,0)</f>
        <v>0</v>
      </c>
      <c r="AQ63" s="1121">
        <f>'12. Разходи'!AE63-'12. Разходи'!$AA63</f>
        <v>0</v>
      </c>
      <c r="AR63" s="863">
        <f>IFERROR(('12. Разходи'!AE63-'12. Разходи'!$AA63)/'12. Разходи'!$AA63,0)</f>
        <v>0</v>
      </c>
      <c r="AS63" s="1121">
        <f>'12. Разходи'!AF63-'12. Разходи'!$AA63</f>
        <v>0</v>
      </c>
      <c r="AT63" s="865">
        <f>IFERROR(('12. Разходи'!AF63-'12. Разходи'!$AA63)/'12. Разходи'!$AA63,0)</f>
        <v>0</v>
      </c>
      <c r="AU63" s="1135">
        <f>'12. Разходи'!AI63</f>
        <v>0</v>
      </c>
      <c r="AV63" s="1122">
        <f>'12. Разходи'!AJ63-'12. Разходи'!$AI63</f>
        <v>0</v>
      </c>
      <c r="AW63" s="853">
        <f>IFERROR(('12. Разходи'!AJ63-'12. Разходи'!$AI63)/'12. Разходи'!$AI63,0)</f>
        <v>0</v>
      </c>
      <c r="AX63" s="1121">
        <f>'12. Разходи'!AK63-'12. Разходи'!$AI63</f>
        <v>0</v>
      </c>
      <c r="AY63" s="853">
        <f>IFERROR(('12. Разходи'!AK63-'12. Разходи'!$AI63)/'12. Разходи'!$AI63,0)</f>
        <v>0</v>
      </c>
      <c r="AZ63" s="1121">
        <f>'12. Разходи'!AL63-'12. Разходи'!$AI63</f>
        <v>0</v>
      </c>
      <c r="BA63" s="853">
        <f>IFERROR(('12. Разходи'!AL63-'12. Разходи'!$AI63)/'12. Разходи'!$AI63,0)</f>
        <v>0</v>
      </c>
      <c r="BB63" s="1121">
        <f>'12. Разходи'!AM63-'12. Разходи'!$AI63</f>
        <v>0</v>
      </c>
      <c r="BC63" s="863">
        <f>IFERROR(('12. Разходи'!AM63-'12. Разходи'!$AI63)/'12. Разходи'!$AI63,0)</f>
        <v>0</v>
      </c>
      <c r="BD63" s="1121">
        <f>'12. Разходи'!AN63-'12. Разходи'!$AI63</f>
        <v>0</v>
      </c>
      <c r="BE63" s="865">
        <f>IFERROR(('12. Разходи'!AN63-'12. Разходи'!$AI63)/'12. Разходи'!$AI63,0)</f>
        <v>0</v>
      </c>
      <c r="BF63" s="4422"/>
      <c r="BG63" s="4438">
        <f t="shared" si="1"/>
        <v>1431.6172673494118</v>
      </c>
      <c r="BH63" s="4438">
        <f t="shared" si="2"/>
        <v>593.09858218761349</v>
      </c>
      <c r="BI63" s="4438">
        <f t="shared" si="3"/>
        <v>753.84874963570439</v>
      </c>
      <c r="BJ63" s="4438">
        <f t="shared" si="4"/>
        <v>964.56645004933978</v>
      </c>
      <c r="BK63" s="4438">
        <f t="shared" si="5"/>
        <v>1197.704913003686</v>
      </c>
      <c r="BL63" s="4438">
        <f t="shared" si="6"/>
        <v>1429.5966745576054</v>
      </c>
      <c r="BM63" s="4438">
        <f t="shared" si="7"/>
        <v>65.956652674312181</v>
      </c>
      <c r="BN63" s="4438">
        <f t="shared" si="8"/>
        <v>0.27986502970740013</v>
      </c>
      <c r="BO63" s="4438">
        <f t="shared" si="9"/>
        <v>5.7264690693976412</v>
      </c>
      <c r="BP63" s="4438">
        <f t="shared" si="10"/>
        <v>11.056175638987041</v>
      </c>
      <c r="BQ63" s="4438">
        <f t="shared" si="11"/>
        <v>17.5980939038669</v>
      </c>
      <c r="BR63" s="4438">
        <f t="shared" si="12"/>
        <v>24.925042360532366</v>
      </c>
      <c r="BS63" s="4438">
        <f t="shared" si="13"/>
        <v>112.99550574436429</v>
      </c>
      <c r="BT63" s="4438">
        <f t="shared" si="14"/>
        <v>41.414642376893696</v>
      </c>
      <c r="BU63" s="4438">
        <f t="shared" si="15"/>
        <v>53.378872396885228</v>
      </c>
      <c r="BV63" s="4438">
        <f t="shared" si="16"/>
        <v>66.778810019275738</v>
      </c>
      <c r="BW63" s="4438">
        <f t="shared" si="17"/>
        <v>98.832311601724101</v>
      </c>
      <c r="BX63" s="4438">
        <f t="shared" si="18"/>
        <v>116.09143125936308</v>
      </c>
      <c r="BY63" s="4438">
        <f t="shared" si="19"/>
        <v>0</v>
      </c>
      <c r="BZ63" s="4438">
        <f t="shared" si="20"/>
        <v>0</v>
      </c>
      <c r="CA63" s="4438">
        <f t="shared" si="21"/>
        <v>0</v>
      </c>
      <c r="CB63" s="4438">
        <f t="shared" si="22"/>
        <v>0</v>
      </c>
      <c r="CC63" s="4438">
        <f t="shared" si="23"/>
        <v>0</v>
      </c>
      <c r="CD63" s="4438">
        <f t="shared" si="24"/>
        <v>0</v>
      </c>
      <c r="CE63" s="4438">
        <f t="shared" si="25"/>
        <v>0</v>
      </c>
      <c r="CF63" s="4438">
        <f t="shared" si="26"/>
        <v>0</v>
      </c>
      <c r="CG63" s="4438">
        <f t="shared" si="27"/>
        <v>0</v>
      </c>
      <c r="CH63" s="4438">
        <f t="shared" si="28"/>
        <v>0</v>
      </c>
      <c r="CI63" s="4438">
        <f t="shared" si="29"/>
        <v>0</v>
      </c>
      <c r="CJ63" s="4438">
        <f t="shared" si="30"/>
        <v>0</v>
      </c>
    </row>
    <row r="64" spans="1:88" ht="15.95" customHeight="1">
      <c r="A64" s="108" t="s">
        <v>105</v>
      </c>
      <c r="B64" s="873" t="s">
        <v>632</v>
      </c>
      <c r="C64" s="1087">
        <f>'12. Разходи'!C64</f>
        <v>1546</v>
      </c>
      <c r="D64" s="1113">
        <f>'12. Разходи'!D64-'12. Разходи'!$C64</f>
        <v>899.80000000000018</v>
      </c>
      <c r="E64" s="1099">
        <f>IFERROR(('12. Разходи'!D64-'12. Разходи'!$C64)/'12. Разходи'!$C64,0)</f>
        <v>0.58201811125485137</v>
      </c>
      <c r="F64" s="1114">
        <f>'12. Разходи'!E64-'12. Разходи'!$C64</f>
        <v>1205.4900000000002</v>
      </c>
      <c r="G64" s="1100">
        <f>IFERROR(('12. Разходи'!E64-'12. Разходи'!$C64)/'12. Разходи'!$C64,0)</f>
        <v>0.77974773609314374</v>
      </c>
      <c r="H64" s="1114">
        <f>'12. Разходи'!F64-'12. Разходи'!$C64</f>
        <v>1552.1307000000002</v>
      </c>
      <c r="I64" s="1100">
        <f>IFERROR(('12. Разходи'!F64-'12. Разходи'!$C64)/'12. Разходи'!$C64,0)</f>
        <v>1.0039655239327296</v>
      </c>
      <c r="J64" s="1114">
        <f>'12. Разходи'!G64-'12. Разходи'!$C64</f>
        <v>2048.8778459999999</v>
      </c>
      <c r="K64" s="1101">
        <f>IFERROR(('12. Разходи'!G64-'12. Разходи'!$C64)/'12. Разходи'!$C64,0)</f>
        <v>1.3252767438551099</v>
      </c>
      <c r="L64" s="1119">
        <f>'12. Разходи'!H64-'12. Разходи'!$C64</f>
        <v>2509.8038841600005</v>
      </c>
      <c r="M64" s="1101">
        <f>IFERROR(('12. Разходи'!H64-'12. Разходи'!$C64)/'12. Разходи'!$C64,0)</f>
        <v>1.6234177775937908</v>
      </c>
      <c r="N64" s="1155">
        <f>'12. Разходи'!K64</f>
        <v>83</v>
      </c>
      <c r="O64" s="1113">
        <f>'12. Разходи'!L64-'12. Разходи'!$K64</f>
        <v>2</v>
      </c>
      <c r="P64" s="1099">
        <f>IFERROR(('12. Разходи'!L64-'12. Разходи'!$K64)/'12. Разходи'!$K64,0)</f>
        <v>2.4096385542168676E-2</v>
      </c>
      <c r="Q64" s="1114">
        <f>'12. Разходи'!M64-'12. Разходи'!$K64</f>
        <v>12.200000000000003</v>
      </c>
      <c r="R64" s="1100">
        <f>IFERROR(('12. Разходи'!M64-'12. Разходи'!$K64)/'12. Разходи'!$K64,0)</f>
        <v>0.14698795180722896</v>
      </c>
      <c r="S64" s="1114">
        <f>'12. Разходи'!N64-'12. Разходи'!$K64</f>
        <v>23.624000000000009</v>
      </c>
      <c r="T64" s="1100">
        <f>IFERROR(('12. Разходи'!N64-'12. Разходи'!$K64)/'12. Разходи'!$K64,0)</f>
        <v>0.2846265060240965</v>
      </c>
      <c r="U64" s="1114">
        <f>'12. Разходи'!O64-'12. Разходи'!$K64</f>
        <v>36.418880000000016</v>
      </c>
      <c r="V64" s="1101">
        <f>IFERROR(('12. Разходи'!O64-'12. Разходи'!$K64)/'12. Разходи'!$K64,0)</f>
        <v>0.43878168674698814</v>
      </c>
      <c r="W64" s="1119">
        <f>'12. Разходи'!P64-'12. Разходи'!$K64</f>
        <v>50.74914560000002</v>
      </c>
      <c r="X64" s="1158">
        <f>IFERROR(('12. Разходи'!P64-'12. Разходи'!$K64)/'12. Разходи'!$K64,0)</f>
        <v>0.61143548915662671</v>
      </c>
      <c r="Y64" s="1155">
        <f>'12. Разходи'!S64</f>
        <v>131</v>
      </c>
      <c r="Z64" s="1113">
        <f>'12. Разходи'!T64-'12. Разходи'!$S64</f>
        <v>64</v>
      </c>
      <c r="AA64" s="1099">
        <f>IFERROR(('12. Разходи'!T64-'12. Разходи'!$S64)/'12. Разходи'!$S64,0)</f>
        <v>0.48854961832061067</v>
      </c>
      <c r="AB64" s="1114">
        <f>'12. Разходи'!U64-'12. Разходи'!$S64</f>
        <v>87.400000000000034</v>
      </c>
      <c r="AC64" s="1100">
        <f>IFERROR(('12. Разходи'!U64-'12. Разходи'!$S64)/'12. Разходи'!$S64,0)</f>
        <v>0.66717557251908421</v>
      </c>
      <c r="AD64" s="1114">
        <f>'12. Разходи'!V64-'12. Разходи'!$S64</f>
        <v>113.60800000000006</v>
      </c>
      <c r="AE64" s="1100">
        <f>IFERROR(('12. Разходи'!V64-'12. Разходи'!$S64)/'12. Разходи'!$S64,0)</f>
        <v>0.86723664122137456</v>
      </c>
      <c r="AF64" s="1114">
        <f>'12. Разходи'!W64-'12. Разходи'!$S64</f>
        <v>150.29920000000004</v>
      </c>
      <c r="AG64" s="1101">
        <f>IFERROR(('12. Разходи'!W64-'12. Разходи'!$S64)/'12. Разходи'!$S64,0)</f>
        <v>1.1473221374045806</v>
      </c>
      <c r="AH64" s="1119">
        <f>'12. Разходи'!X64-'12. Разходи'!$S64</f>
        <v>184.05510400000009</v>
      </c>
      <c r="AI64" s="1158">
        <f>IFERROR(('12. Разходи'!X64-'12. Разходи'!$S64)/'12. Разходи'!$S64,0)</f>
        <v>1.4050007938931304</v>
      </c>
      <c r="AJ64" s="1155">
        <f>'12. Разходи'!AA64</f>
        <v>0</v>
      </c>
      <c r="AK64" s="1113">
        <f>'12. Разходи'!AB64-'12. Разходи'!$AA64</f>
        <v>0</v>
      </c>
      <c r="AL64" s="1099">
        <f>IFERROR(('12. Разходи'!AB64-'12. Разходи'!$AA64)/'12. Разходи'!$AA64,0)</f>
        <v>0</v>
      </c>
      <c r="AM64" s="1114">
        <f>'12. Разходи'!AC64-'12. Разходи'!$AA64</f>
        <v>0</v>
      </c>
      <c r="AN64" s="1100">
        <f>IFERROR(('12. Разходи'!AC64-'12. Разходи'!$AA64)/'12. Разходи'!$AA64,0)</f>
        <v>0</v>
      </c>
      <c r="AO64" s="1114">
        <f>'12. Разходи'!AD64-'12. Разходи'!$AA64</f>
        <v>0</v>
      </c>
      <c r="AP64" s="1100">
        <f>IFERROR(('12. Разходи'!AD64-'12. Разходи'!$AA64)/'12. Разходи'!$AA64,0)</f>
        <v>0</v>
      </c>
      <c r="AQ64" s="1114">
        <f>'12. Разходи'!AE64-'12. Разходи'!$AA64</f>
        <v>0</v>
      </c>
      <c r="AR64" s="1101">
        <f>IFERROR(('12. Разходи'!AE64-'12. Разходи'!$AA64)/'12. Разходи'!$AA64,0)</f>
        <v>0</v>
      </c>
      <c r="AS64" s="1119">
        <f>'12. Разходи'!AF64-'12. Разходи'!$AA64</f>
        <v>0</v>
      </c>
      <c r="AT64" s="1158">
        <f>IFERROR(('12. Разходи'!AF64-'12. Разходи'!$AA64)/'12. Разходи'!$AA64,0)</f>
        <v>0</v>
      </c>
      <c r="AU64" s="1155">
        <f>'12. Разходи'!AI64</f>
        <v>0</v>
      </c>
      <c r="AV64" s="1113">
        <f>'12. Разходи'!AJ64-'12. Разходи'!$AI64</f>
        <v>0</v>
      </c>
      <c r="AW64" s="1099">
        <f>IFERROR(('12. Разходи'!AJ64-'12. Разходи'!$AI64)/'12. Разходи'!$AI64,0)</f>
        <v>0</v>
      </c>
      <c r="AX64" s="1114">
        <f>'12. Разходи'!AK64-'12. Разходи'!$AI64</f>
        <v>0</v>
      </c>
      <c r="AY64" s="1100">
        <f>IFERROR(('12. Разходи'!AK64-'12. Разходи'!$AI64)/'12. Разходи'!$AI64,0)</f>
        <v>0</v>
      </c>
      <c r="AZ64" s="1114">
        <f>'12. Разходи'!AL64-'12. Разходи'!$AI64</f>
        <v>0</v>
      </c>
      <c r="BA64" s="1100">
        <f>IFERROR(('12. Разходи'!AL64-'12. Разходи'!$AI64)/'12. Разходи'!$AI64,0)</f>
        <v>0</v>
      </c>
      <c r="BB64" s="1114">
        <f>'12. Разходи'!AM64-'12. Разходи'!$AI64</f>
        <v>0</v>
      </c>
      <c r="BC64" s="1101">
        <f>IFERROR(('12. Разходи'!AM64-'12. Разходи'!$AI64)/'12. Разходи'!$AI64,0)</f>
        <v>0</v>
      </c>
      <c r="BD64" s="1119">
        <f>'12. Разходи'!AN64-'12. Разходи'!$AI64</f>
        <v>0</v>
      </c>
      <c r="BE64" s="1158">
        <f>IFERROR(('12. Разходи'!AN64-'12. Разходи'!$AI64)/'12. Разходи'!$AI64,0)</f>
        <v>0</v>
      </c>
      <c r="BF64" s="4422"/>
      <c r="BG64" s="4438">
        <f t="shared" si="1"/>
        <v>790.45724832935377</v>
      </c>
      <c r="BH64" s="4438">
        <f t="shared" si="2"/>
        <v>460.06043470035752</v>
      </c>
      <c r="BI64" s="4438">
        <f t="shared" si="3"/>
        <v>616.35724986322953</v>
      </c>
      <c r="BJ64" s="4438">
        <f t="shared" si="4"/>
        <v>793.59182546540353</v>
      </c>
      <c r="BK64" s="4438">
        <f t="shared" si="5"/>
        <v>1047.574608222596</v>
      </c>
      <c r="BL64" s="4438">
        <f t="shared" si="6"/>
        <v>1283.2423493657427</v>
      </c>
      <c r="BM64" s="4438">
        <f t="shared" si="7"/>
        <v>42.437226139286132</v>
      </c>
      <c r="BN64" s="4438">
        <f t="shared" si="8"/>
        <v>1.022583762392437</v>
      </c>
      <c r="BO64" s="4438">
        <f t="shared" si="9"/>
        <v>6.2377609505938674</v>
      </c>
      <c r="BP64" s="4438">
        <f t="shared" si="10"/>
        <v>12.07875940137947</v>
      </c>
      <c r="BQ64" s="4438">
        <f t="shared" si="11"/>
        <v>18.620677666259347</v>
      </c>
      <c r="BR64" s="4438">
        <f t="shared" si="12"/>
        <v>25.947626122924806</v>
      </c>
      <c r="BS64" s="4438">
        <f t="shared" si="13"/>
        <v>66.979236436704625</v>
      </c>
      <c r="BT64" s="4438">
        <f t="shared" si="14"/>
        <v>32.722680396557983</v>
      </c>
      <c r="BU64" s="4438">
        <f t="shared" si="15"/>
        <v>44.686910416549516</v>
      </c>
      <c r="BV64" s="4438">
        <f t="shared" si="16"/>
        <v>58.086848038940019</v>
      </c>
      <c r="BW64" s="4438">
        <f t="shared" si="17"/>
        <v>76.846760710286702</v>
      </c>
      <c r="BX64" s="4438">
        <f t="shared" si="18"/>
        <v>94.105880367925678</v>
      </c>
      <c r="BY64" s="4438">
        <f t="shared" si="19"/>
        <v>0</v>
      </c>
      <c r="BZ64" s="4438">
        <f t="shared" si="20"/>
        <v>0</v>
      </c>
      <c r="CA64" s="4438">
        <f t="shared" si="21"/>
        <v>0</v>
      </c>
      <c r="CB64" s="4438">
        <f t="shared" si="22"/>
        <v>0</v>
      </c>
      <c r="CC64" s="4438">
        <f t="shared" si="23"/>
        <v>0</v>
      </c>
      <c r="CD64" s="4438">
        <f t="shared" si="24"/>
        <v>0</v>
      </c>
      <c r="CE64" s="4438">
        <f t="shared" si="25"/>
        <v>0</v>
      </c>
      <c r="CF64" s="4438">
        <f t="shared" si="26"/>
        <v>0</v>
      </c>
      <c r="CG64" s="4438">
        <f t="shared" si="27"/>
        <v>0</v>
      </c>
      <c r="CH64" s="4438">
        <f t="shared" si="28"/>
        <v>0</v>
      </c>
      <c r="CI64" s="4438">
        <f t="shared" si="29"/>
        <v>0</v>
      </c>
      <c r="CJ64" s="4438">
        <f t="shared" si="30"/>
        <v>0</v>
      </c>
    </row>
    <row r="65" spans="1:88" s="675" customFormat="1" ht="15.95" customHeight="1">
      <c r="A65" s="394" t="s">
        <v>109</v>
      </c>
      <c r="B65" s="876" t="s">
        <v>639</v>
      </c>
      <c r="C65" s="1089">
        <f>'12. Разходи'!C65</f>
        <v>134</v>
      </c>
      <c r="D65" s="1117">
        <f>'12. Разходи'!D65-'12. Разходи'!$C65</f>
        <v>40.200000000000017</v>
      </c>
      <c r="E65" s="855">
        <f>IFERROR(('12. Разходи'!D65-'12. Разходи'!$C65)/'12. Разходи'!$C65,0)</f>
        <v>0.3000000000000001</v>
      </c>
      <c r="F65" s="1107">
        <f>'12. Разходи'!E65-'12. Разходи'!$C65</f>
        <v>48.910000000000025</v>
      </c>
      <c r="G65" s="855">
        <f>IFERROR(('12. Разходи'!E65-'12. Разходи'!$C65)/'12. Разходи'!$C65,0)</f>
        <v>0.36500000000000021</v>
      </c>
      <c r="H65" s="1107">
        <f>'12. Разходи'!F65-'12. Разходи'!$C65</f>
        <v>54.39730000000003</v>
      </c>
      <c r="I65" s="855">
        <f>IFERROR(('12. Разходи'!F65-'12. Разходи'!$C65)/'12. Разходи'!$C65,0)</f>
        <v>0.4059500000000002</v>
      </c>
      <c r="J65" s="1107">
        <f>'12. Разходи'!G65-'12. Разходи'!$C65</f>
        <v>50.629354000000035</v>
      </c>
      <c r="K65" s="861">
        <f>IFERROR(('12. Разходи'!G65-'12. Разходи'!$C65)/'12. Разходи'!$C65,0)</f>
        <v>0.37783100000000025</v>
      </c>
      <c r="L65" s="1107">
        <f>'12. Разходи'!H65-'12. Разходи'!$C65</f>
        <v>43.244179840000015</v>
      </c>
      <c r="M65" s="861">
        <f>IFERROR(('12. Разходи'!H65-'12. Разходи'!$C65)/'12. Разходи'!$C65,0)</f>
        <v>0.32271776000000013</v>
      </c>
      <c r="N65" s="1137">
        <f>'12. Разходи'!K65</f>
        <v>0</v>
      </c>
      <c r="O65" s="1117">
        <f>'12. Разходи'!L65-'12. Разходи'!$K65</f>
        <v>0</v>
      </c>
      <c r="P65" s="855">
        <f>IFERROR(('12. Разходи'!L65-'12. Разходи'!$K65)/'12. Разходи'!$K65,0)</f>
        <v>0</v>
      </c>
      <c r="Q65" s="1107">
        <f>'12. Разходи'!M65-'12. Разходи'!$K65</f>
        <v>0</v>
      </c>
      <c r="R65" s="855">
        <f>IFERROR(('12. Разходи'!M65-'12. Разходи'!$K65)/'12. Разходи'!$K65,0)</f>
        <v>0</v>
      </c>
      <c r="S65" s="1107">
        <f>'12. Разходи'!N65-'12. Разходи'!$K65</f>
        <v>0</v>
      </c>
      <c r="T65" s="855">
        <f>IFERROR(('12. Разходи'!N65-'12. Разходи'!$K65)/'12. Разходи'!$K65,0)</f>
        <v>0</v>
      </c>
      <c r="U65" s="1107">
        <f>'12. Разходи'!O65-'12. Разходи'!$K65</f>
        <v>0</v>
      </c>
      <c r="V65" s="861">
        <f>IFERROR(('12. Разходи'!O65-'12. Разходи'!$K65)/'12. Разходи'!$K65,0)</f>
        <v>0</v>
      </c>
      <c r="W65" s="1107">
        <f>'12. Разходи'!P65-'12. Разходи'!$K65</f>
        <v>0</v>
      </c>
      <c r="X65" s="866">
        <f>IFERROR(('12. Разходи'!P65-'12. Разходи'!$K65)/'12. Разходи'!$K65,0)</f>
        <v>0</v>
      </c>
      <c r="Y65" s="1137">
        <f>'12. Разходи'!S65</f>
        <v>0</v>
      </c>
      <c r="Z65" s="1117">
        <f>'12. Разходи'!T65-'12. Разходи'!$S65</f>
        <v>0</v>
      </c>
      <c r="AA65" s="855">
        <f>IFERROR(('12. Разходи'!T65-'12. Разходи'!$S65)/'12. Разходи'!$S65,0)</f>
        <v>0</v>
      </c>
      <c r="AB65" s="1107">
        <f>'12. Разходи'!U65-'12. Разходи'!$S65</f>
        <v>0</v>
      </c>
      <c r="AC65" s="855">
        <f>IFERROR(('12. Разходи'!U65-'12. Разходи'!$S65)/'12. Разходи'!$S65,0)</f>
        <v>0</v>
      </c>
      <c r="AD65" s="1107">
        <f>'12. Разходи'!V65-'12. Разходи'!$S65</f>
        <v>0</v>
      </c>
      <c r="AE65" s="855">
        <f>IFERROR(('12. Разходи'!V65-'12. Разходи'!$S65)/'12. Разходи'!$S65,0)</f>
        <v>0</v>
      </c>
      <c r="AF65" s="1107">
        <f>'12. Разходи'!W65-'12. Разходи'!$S65</f>
        <v>0</v>
      </c>
      <c r="AG65" s="861">
        <f>IFERROR(('12. Разходи'!W65-'12. Разходи'!$S65)/'12. Разходи'!$S65,0)</f>
        <v>0</v>
      </c>
      <c r="AH65" s="1107">
        <f>'12. Разходи'!X65-'12. Разходи'!$S65</f>
        <v>0</v>
      </c>
      <c r="AI65" s="866">
        <f>IFERROR(('12. Разходи'!X65-'12. Разходи'!$S65)/'12. Разходи'!$S65,0)</f>
        <v>0</v>
      </c>
      <c r="AJ65" s="1137">
        <f>'12. Разходи'!AA65</f>
        <v>0</v>
      </c>
      <c r="AK65" s="1117">
        <f>'12. Разходи'!AB65-'12. Разходи'!$AA65</f>
        <v>0</v>
      </c>
      <c r="AL65" s="855">
        <f>IFERROR(('12. Разходи'!AB65-'12. Разходи'!$AA65)/'12. Разходи'!$AA65,0)</f>
        <v>0</v>
      </c>
      <c r="AM65" s="1107">
        <f>'12. Разходи'!AC65-'12. Разходи'!$AA65</f>
        <v>0</v>
      </c>
      <c r="AN65" s="855">
        <f>IFERROR(('12. Разходи'!AC65-'12. Разходи'!$AA65)/'12. Разходи'!$AA65,0)</f>
        <v>0</v>
      </c>
      <c r="AO65" s="1107">
        <f>'12. Разходи'!AD65-'12. Разходи'!$AA65</f>
        <v>0</v>
      </c>
      <c r="AP65" s="855">
        <f>IFERROR(('12. Разходи'!AD65-'12. Разходи'!$AA65)/'12. Разходи'!$AA65,0)</f>
        <v>0</v>
      </c>
      <c r="AQ65" s="1107">
        <f>'12. Разходи'!AE65-'12. Разходи'!$AA65</f>
        <v>0</v>
      </c>
      <c r="AR65" s="861">
        <f>IFERROR(('12. Разходи'!AE65-'12. Разходи'!$AA65)/'12. Разходи'!$AA65,0)</f>
        <v>0</v>
      </c>
      <c r="AS65" s="1107">
        <f>'12. Разходи'!AF65-'12. Разходи'!$AA65</f>
        <v>0</v>
      </c>
      <c r="AT65" s="866">
        <f>IFERROR(('12. Разходи'!AF65-'12. Разходи'!$AA65)/'12. Разходи'!$AA65,0)</f>
        <v>0</v>
      </c>
      <c r="AU65" s="1137">
        <f>'12. Разходи'!AI65</f>
        <v>0</v>
      </c>
      <c r="AV65" s="1117">
        <f>'12. Разходи'!AJ65-'12. Разходи'!$AI65</f>
        <v>0</v>
      </c>
      <c r="AW65" s="855">
        <f>IFERROR(('12. Разходи'!AJ65-'12. Разходи'!$AI65)/'12. Разходи'!$AI65,0)</f>
        <v>0</v>
      </c>
      <c r="AX65" s="1107">
        <f>'12. Разходи'!AK65-'12. Разходи'!$AI65</f>
        <v>0</v>
      </c>
      <c r="AY65" s="855">
        <f>IFERROR(('12. Разходи'!AK65-'12. Разходи'!$AI65)/'12. Разходи'!$AI65,0)</f>
        <v>0</v>
      </c>
      <c r="AZ65" s="1107">
        <f>'12. Разходи'!AL65-'12. Разходи'!$AI65</f>
        <v>0</v>
      </c>
      <c r="BA65" s="855">
        <f>IFERROR(('12. Разходи'!AL65-'12. Разходи'!$AI65)/'12. Разходи'!$AI65,0)</f>
        <v>0</v>
      </c>
      <c r="BB65" s="1107">
        <f>'12. Разходи'!AM65-'12. Разходи'!$AI65</f>
        <v>0</v>
      </c>
      <c r="BC65" s="861">
        <f>IFERROR(('12. Разходи'!AM65-'12. Разходи'!$AI65)/'12. Разходи'!$AI65,0)</f>
        <v>0</v>
      </c>
      <c r="BD65" s="1107">
        <f>'12. Разходи'!AN65-'12. Разходи'!$AI65</f>
        <v>0</v>
      </c>
      <c r="BE65" s="866">
        <f>IFERROR(('12. Разходи'!AN65-'12. Разходи'!$AI65)/'12. Разходи'!$AI65,0)</f>
        <v>0</v>
      </c>
      <c r="BF65" s="4422"/>
      <c r="BG65" s="4438">
        <f t="shared" si="1"/>
        <v>68.513112080293283</v>
      </c>
      <c r="BH65" s="4438">
        <f t="shared" si="2"/>
        <v>20.553933624087993</v>
      </c>
      <c r="BI65" s="4438">
        <f t="shared" si="3"/>
        <v>25.007285909307061</v>
      </c>
      <c r="BJ65" s="4438">
        <f t="shared" si="4"/>
        <v>27.812897848995071</v>
      </c>
      <c r="BK65" s="4438">
        <f t="shared" si="5"/>
        <v>25.886377650409308</v>
      </c>
      <c r="BL65" s="4438">
        <f t="shared" si="6"/>
        <v>22.110398061181193</v>
      </c>
      <c r="BM65" s="4438">
        <f t="shared" si="7"/>
        <v>0</v>
      </c>
      <c r="BN65" s="4438">
        <f t="shared" si="8"/>
        <v>0</v>
      </c>
      <c r="BO65" s="4438">
        <f t="shared" si="9"/>
        <v>0</v>
      </c>
      <c r="BP65" s="4438">
        <f t="shared" si="10"/>
        <v>0</v>
      </c>
      <c r="BQ65" s="4438">
        <f t="shared" si="11"/>
        <v>0</v>
      </c>
      <c r="BR65" s="4438">
        <f t="shared" si="12"/>
        <v>0</v>
      </c>
      <c r="BS65" s="4438">
        <f t="shared" si="13"/>
        <v>0</v>
      </c>
      <c r="BT65" s="4438">
        <f t="shared" si="14"/>
        <v>0</v>
      </c>
      <c r="BU65" s="4438">
        <f t="shared" si="15"/>
        <v>0</v>
      </c>
      <c r="BV65" s="4438">
        <f t="shared" si="16"/>
        <v>0</v>
      </c>
      <c r="BW65" s="4438">
        <f t="shared" si="17"/>
        <v>0</v>
      </c>
      <c r="BX65" s="4438">
        <f t="shared" si="18"/>
        <v>0</v>
      </c>
      <c r="BY65" s="4438">
        <f t="shared" si="19"/>
        <v>0</v>
      </c>
      <c r="BZ65" s="4438">
        <f t="shared" si="20"/>
        <v>0</v>
      </c>
      <c r="CA65" s="4438">
        <f t="shared" si="21"/>
        <v>0</v>
      </c>
      <c r="CB65" s="4438">
        <f t="shared" si="22"/>
        <v>0</v>
      </c>
      <c r="CC65" s="4438">
        <f t="shared" si="23"/>
        <v>0</v>
      </c>
      <c r="CD65" s="4438">
        <f t="shared" si="24"/>
        <v>0</v>
      </c>
      <c r="CE65" s="4438">
        <f t="shared" si="25"/>
        <v>0</v>
      </c>
      <c r="CF65" s="4438">
        <f t="shared" si="26"/>
        <v>0</v>
      </c>
      <c r="CG65" s="4438">
        <f t="shared" si="27"/>
        <v>0</v>
      </c>
      <c r="CH65" s="4438">
        <f t="shared" si="28"/>
        <v>0</v>
      </c>
      <c r="CI65" s="4438">
        <f t="shared" si="29"/>
        <v>0</v>
      </c>
      <c r="CJ65" s="4438">
        <f t="shared" si="30"/>
        <v>0</v>
      </c>
    </row>
    <row r="66" spans="1:88" s="675" customFormat="1" ht="43.5" customHeight="1">
      <c r="A66" s="394" t="s">
        <v>83</v>
      </c>
      <c r="B66" s="876" t="s">
        <v>1749</v>
      </c>
      <c r="C66" s="1089">
        <f>'12. Разходи'!C66</f>
        <v>0</v>
      </c>
      <c r="D66" s="1117">
        <f>'12. Разходи'!D66-'12. Разходи'!$C66</f>
        <v>0</v>
      </c>
      <c r="E66" s="855">
        <f>IFERROR(('12. Разходи'!D66-'12. Разходи'!$C66)/'12. Разходи'!$C66,0)</f>
        <v>0</v>
      </c>
      <c r="F66" s="1107">
        <f>'12. Разходи'!E66-'12. Разходи'!$C66</f>
        <v>0</v>
      </c>
      <c r="G66" s="855">
        <f>IFERROR(('12. Разходи'!E66-'12. Разходи'!$C66)/'12. Разходи'!$C66,0)</f>
        <v>0</v>
      </c>
      <c r="H66" s="1107">
        <f>'12. Разходи'!F66-'12. Разходи'!$C66</f>
        <v>0</v>
      </c>
      <c r="I66" s="855">
        <f>IFERROR(('12. Разходи'!F66-'12. Разходи'!$C66)/'12. Разходи'!$C66,0)</f>
        <v>0</v>
      </c>
      <c r="J66" s="1107">
        <f>'12. Разходи'!G66-'12. Разходи'!$C66</f>
        <v>0</v>
      </c>
      <c r="K66" s="861">
        <f>IFERROR(('12. Разходи'!G66-'12. Разходи'!$C66)/'12. Разходи'!$C66,0)</f>
        <v>0</v>
      </c>
      <c r="L66" s="1107">
        <f>'12. Разходи'!H66-'12. Разходи'!$C66</f>
        <v>0</v>
      </c>
      <c r="M66" s="861">
        <f>IFERROR(('12. Разходи'!H66-'12. Разходи'!$C66)/'12. Разходи'!$C66,0)</f>
        <v>0</v>
      </c>
      <c r="N66" s="1137">
        <f>'12. Разходи'!K66</f>
        <v>0</v>
      </c>
      <c r="O66" s="1117">
        <f>'12. Разходи'!L66-'12. Разходи'!$K66</f>
        <v>0</v>
      </c>
      <c r="P66" s="855">
        <f>IFERROR(('12. Разходи'!L66-'12. Разходи'!$K66)/'12. Разходи'!$K66,0)</f>
        <v>0</v>
      </c>
      <c r="Q66" s="1107">
        <f>'12. Разходи'!M66-'12. Разходи'!$K66</f>
        <v>0</v>
      </c>
      <c r="R66" s="855">
        <f>IFERROR(('12. Разходи'!M66-'12. Разходи'!$K66)/'12. Разходи'!$K66,0)</f>
        <v>0</v>
      </c>
      <c r="S66" s="1107">
        <f>'12. Разходи'!N66-'12. Разходи'!$K66</f>
        <v>0</v>
      </c>
      <c r="T66" s="855">
        <f>IFERROR(('12. Разходи'!N66-'12. Разходи'!$K66)/'12. Разходи'!$K66,0)</f>
        <v>0</v>
      </c>
      <c r="U66" s="1107">
        <f>'12. Разходи'!O66-'12. Разходи'!$K66</f>
        <v>0</v>
      </c>
      <c r="V66" s="861">
        <f>IFERROR(('12. Разходи'!O66-'12. Разходи'!$K66)/'12. Разходи'!$K66,0)</f>
        <v>0</v>
      </c>
      <c r="W66" s="1107">
        <f>'12. Разходи'!P66-'12. Разходи'!$K66</f>
        <v>0</v>
      </c>
      <c r="X66" s="866">
        <f>IFERROR(('12. Разходи'!P66-'12. Разходи'!$K66)/'12. Разходи'!$K66,0)</f>
        <v>0</v>
      </c>
      <c r="Y66" s="1137">
        <f>'12. Разходи'!S66</f>
        <v>0</v>
      </c>
      <c r="Z66" s="1117">
        <f>'12. Разходи'!T66-'12. Разходи'!$S66</f>
        <v>0</v>
      </c>
      <c r="AA66" s="855">
        <f>IFERROR(('12. Разходи'!T66-'12. Разходи'!$S66)/'12. Разходи'!$S66,0)</f>
        <v>0</v>
      </c>
      <c r="AB66" s="1107">
        <f>'12. Разходи'!U66-'12. Разходи'!$S66</f>
        <v>0</v>
      </c>
      <c r="AC66" s="855">
        <f>IFERROR(('12. Разходи'!U66-'12. Разходи'!$S66)/'12. Разходи'!$S66,0)</f>
        <v>0</v>
      </c>
      <c r="AD66" s="1107">
        <f>'12. Разходи'!V66-'12. Разходи'!$S66</f>
        <v>0</v>
      </c>
      <c r="AE66" s="855">
        <f>IFERROR(('12. Разходи'!V66-'12. Разходи'!$S66)/'12. Разходи'!$S66,0)</f>
        <v>0</v>
      </c>
      <c r="AF66" s="1107">
        <f>'12. Разходи'!W66-'12. Разходи'!$S66</f>
        <v>0</v>
      </c>
      <c r="AG66" s="861">
        <f>IFERROR(('12. Разходи'!W66-'12. Разходи'!$S66)/'12. Разходи'!$S66,0)</f>
        <v>0</v>
      </c>
      <c r="AH66" s="1107">
        <f>'12. Разходи'!X66-'12. Разходи'!$S66</f>
        <v>0</v>
      </c>
      <c r="AI66" s="866">
        <f>IFERROR(('12. Разходи'!X66-'12. Разходи'!$S66)/'12. Разходи'!$S66,0)</f>
        <v>0</v>
      </c>
      <c r="AJ66" s="1137">
        <f>'12. Разходи'!AA66</f>
        <v>0</v>
      </c>
      <c r="AK66" s="1117">
        <f>'12. Разходи'!AB66-'12. Разходи'!$AA66</f>
        <v>0</v>
      </c>
      <c r="AL66" s="855">
        <f>IFERROR(('12. Разходи'!AB66-'12. Разходи'!$AA66)/'12. Разходи'!$AA66,0)</f>
        <v>0</v>
      </c>
      <c r="AM66" s="1107">
        <f>'12. Разходи'!AC66-'12. Разходи'!$AA66</f>
        <v>0</v>
      </c>
      <c r="AN66" s="855">
        <f>IFERROR(('12. Разходи'!AC66-'12. Разходи'!$AA66)/'12. Разходи'!$AA66,0)</f>
        <v>0</v>
      </c>
      <c r="AO66" s="1107">
        <f>'12. Разходи'!AD66-'12. Разходи'!$AA66</f>
        <v>0</v>
      </c>
      <c r="AP66" s="855">
        <f>IFERROR(('12. Разходи'!AD66-'12. Разходи'!$AA66)/'12. Разходи'!$AA66,0)</f>
        <v>0</v>
      </c>
      <c r="AQ66" s="1107">
        <f>'12. Разходи'!AE66-'12. Разходи'!$AA66</f>
        <v>0</v>
      </c>
      <c r="AR66" s="861">
        <f>IFERROR(('12. Разходи'!AE66-'12. Разходи'!$AA66)/'12. Разходи'!$AA66,0)</f>
        <v>0</v>
      </c>
      <c r="AS66" s="1107">
        <f>'12. Разходи'!AF66-'12. Разходи'!$AA66</f>
        <v>0</v>
      </c>
      <c r="AT66" s="866">
        <f>IFERROR(('12. Разходи'!AF66-'12. Разходи'!$AA66)/'12. Разходи'!$AA66,0)</f>
        <v>0</v>
      </c>
      <c r="AU66" s="1137">
        <f>'12. Разходи'!AI66</f>
        <v>0</v>
      </c>
      <c r="AV66" s="1117">
        <f>'12. Разходи'!AJ66-'12. Разходи'!$AI66</f>
        <v>0</v>
      </c>
      <c r="AW66" s="855">
        <f>IFERROR(('12. Разходи'!AJ66-'12. Разходи'!$AI66)/'12. Разходи'!$AI66,0)</f>
        <v>0</v>
      </c>
      <c r="AX66" s="1107">
        <f>'12. Разходи'!AK66-'12. Разходи'!$AI66</f>
        <v>0</v>
      </c>
      <c r="AY66" s="855">
        <f>IFERROR(('12. Разходи'!AK66-'12. Разходи'!$AI66)/'12. Разходи'!$AI66,0)</f>
        <v>0</v>
      </c>
      <c r="AZ66" s="1107">
        <f>'12. Разходи'!AL66-'12. Разходи'!$AI66</f>
        <v>0</v>
      </c>
      <c r="BA66" s="855">
        <f>IFERROR(('12. Разходи'!AL66-'12. Разходи'!$AI66)/'12. Разходи'!$AI66,0)</f>
        <v>0</v>
      </c>
      <c r="BB66" s="1107">
        <f>'12. Разходи'!AM66-'12. Разходи'!$AI66</f>
        <v>0</v>
      </c>
      <c r="BC66" s="861">
        <f>IFERROR(('12. Разходи'!AM66-'12. Разходи'!$AI66)/'12. Разходи'!$AI66,0)</f>
        <v>0</v>
      </c>
      <c r="BD66" s="1107">
        <f>'12. Разходи'!AN66-'12. Разходи'!$AI66</f>
        <v>0</v>
      </c>
      <c r="BE66" s="866">
        <f>IFERROR(('12. Разходи'!AN66-'12. Разходи'!$AI66)/'12. Разходи'!$AI66,0)</f>
        <v>0</v>
      </c>
      <c r="BF66" s="4422"/>
      <c r="BG66" s="4438">
        <f t="shared" si="1"/>
        <v>0</v>
      </c>
      <c r="BH66" s="4438">
        <f t="shared" si="2"/>
        <v>0</v>
      </c>
      <c r="BI66" s="4438">
        <f t="shared" si="3"/>
        <v>0</v>
      </c>
      <c r="BJ66" s="4438">
        <f t="shared" si="4"/>
        <v>0</v>
      </c>
      <c r="BK66" s="4438">
        <f t="shared" si="5"/>
        <v>0</v>
      </c>
      <c r="BL66" s="4438">
        <f t="shared" si="6"/>
        <v>0</v>
      </c>
      <c r="BM66" s="4438">
        <f t="shared" si="7"/>
        <v>0</v>
      </c>
      <c r="BN66" s="4438">
        <f t="shared" si="8"/>
        <v>0</v>
      </c>
      <c r="BO66" s="4438">
        <f t="shared" si="9"/>
        <v>0</v>
      </c>
      <c r="BP66" s="4438">
        <f t="shared" si="10"/>
        <v>0</v>
      </c>
      <c r="BQ66" s="4438">
        <f t="shared" si="11"/>
        <v>0</v>
      </c>
      <c r="BR66" s="4438">
        <f t="shared" si="12"/>
        <v>0</v>
      </c>
      <c r="BS66" s="4438">
        <f t="shared" si="13"/>
        <v>0</v>
      </c>
      <c r="BT66" s="4438">
        <f t="shared" si="14"/>
        <v>0</v>
      </c>
      <c r="BU66" s="4438">
        <f t="shared" si="15"/>
        <v>0</v>
      </c>
      <c r="BV66" s="4438">
        <f t="shared" si="16"/>
        <v>0</v>
      </c>
      <c r="BW66" s="4438">
        <f t="shared" si="17"/>
        <v>0</v>
      </c>
      <c r="BX66" s="4438">
        <f t="shared" si="18"/>
        <v>0</v>
      </c>
      <c r="BY66" s="4438">
        <f t="shared" si="19"/>
        <v>0</v>
      </c>
      <c r="BZ66" s="4438">
        <f t="shared" si="20"/>
        <v>0</v>
      </c>
      <c r="CA66" s="4438">
        <f t="shared" si="21"/>
        <v>0</v>
      </c>
      <c r="CB66" s="4438">
        <f t="shared" si="22"/>
        <v>0</v>
      </c>
      <c r="CC66" s="4438">
        <f t="shared" si="23"/>
        <v>0</v>
      </c>
      <c r="CD66" s="4438">
        <f t="shared" si="24"/>
        <v>0</v>
      </c>
      <c r="CE66" s="4438">
        <f t="shared" si="25"/>
        <v>0</v>
      </c>
      <c r="CF66" s="4438">
        <f t="shared" si="26"/>
        <v>0</v>
      </c>
      <c r="CG66" s="4438">
        <f t="shared" si="27"/>
        <v>0</v>
      </c>
      <c r="CH66" s="4438">
        <f t="shared" si="28"/>
        <v>0</v>
      </c>
      <c r="CI66" s="4438">
        <f t="shared" si="29"/>
        <v>0</v>
      </c>
      <c r="CJ66" s="4438">
        <f t="shared" si="30"/>
        <v>0</v>
      </c>
    </row>
    <row r="67" spans="1:88" ht="15.95" customHeight="1">
      <c r="A67" s="108" t="s">
        <v>84</v>
      </c>
      <c r="B67" s="876" t="s">
        <v>1306</v>
      </c>
      <c r="C67" s="1089">
        <f>'12. Разходи'!C67</f>
        <v>1053.4266699999998</v>
      </c>
      <c r="D67" s="1115">
        <f>'12. Разходи'!D67-'12. Разходи'!$C67</f>
        <v>200.02800100000059</v>
      </c>
      <c r="E67" s="1095">
        <f>IFERROR(('12. Разходи'!D67-'12. Разходи'!$C67)/'12. Разходи'!$C67,0)</f>
        <v>0.18988317525699308</v>
      </c>
      <c r="F67" s="882">
        <f>'12. Разходи'!E67-'12. Разходи'!$C67</f>
        <v>195.70073455000124</v>
      </c>
      <c r="G67" s="1103">
        <f>IFERROR(('12. Разходи'!E67-'12. Разходи'!$C67)/'12. Разходи'!$C67,0)</f>
        <v>0.18577537490103727</v>
      </c>
      <c r="H67" s="882">
        <f>'12. Разходи'!F67-'12. Разходи'!$C67</f>
        <v>252.97455668650059</v>
      </c>
      <c r="I67" s="1103">
        <f>IFERROR(('12. Разходи'!F67-'12. Разходи'!$C67)/'12. Разходи'!$C67,0)</f>
        <v>0.24014443899213281</v>
      </c>
      <c r="J67" s="882">
        <f>'12. Разходи'!G67-'12. Разходи'!$C67</f>
        <v>335.35254112084613</v>
      </c>
      <c r="K67" s="1102">
        <f>IFERROR(('12. Разходи'!G67-'12. Разходи'!$C67)/'12. Разходи'!$C67,0)</f>
        <v>0.31834445687695201</v>
      </c>
      <c r="L67" s="1110">
        <f>'12. Разходи'!H67-'12. Разходи'!$C67</f>
        <v>334.32137267601183</v>
      </c>
      <c r="M67" s="1102">
        <f>IFERROR(('12. Разходи'!H67-'12. Разходи'!$C67)/'12. Разходи'!$C67,0)</f>
        <v>0.31736558623108707</v>
      </c>
      <c r="N67" s="1151">
        <f>'12. Разходи'!K67</f>
        <v>31.966350000000034</v>
      </c>
      <c r="O67" s="1115">
        <f>'12. Разходи'!L67-'12. Разходи'!$K67</f>
        <v>-5.6627265789473995</v>
      </c>
      <c r="P67" s="1095">
        <f>IFERROR(('12. Разходи'!L67-'12. Разходи'!$K67)/'12. Разходи'!$K67,0)</f>
        <v>-0.17714648619399442</v>
      </c>
      <c r="Q67" s="882">
        <f>'12. Разходи'!M67-'12. Разходи'!$K67</f>
        <v>-6.1222822500002394</v>
      </c>
      <c r="R67" s="1103">
        <f>IFERROR(('12. Разходи'!M67-'12. Разходи'!$K67)/'12. Разходи'!$K67,0)</f>
        <v>-0.19152271842109697</v>
      </c>
      <c r="S67" s="882">
        <f>'12. Разходи'!N67-'12. Разходи'!$K67</f>
        <v>-7.6969602174999636</v>
      </c>
      <c r="T67" s="1103">
        <f>IFERROR(('12. Разходи'!N67-'12. Разходи'!$K67)/'12. Разходи'!$K67,0)</f>
        <v>-0.24078320538628761</v>
      </c>
      <c r="U67" s="882">
        <f>'12. Разходи'!O67-'12. Разходи'!$K67</f>
        <v>-7.3023480131500946</v>
      </c>
      <c r="V67" s="1102">
        <f>IFERROR(('12. Разходи'!O67-'12. Разходи'!$K67)/'12. Разходи'!$K67,0)</f>
        <v>-0.22843859286875376</v>
      </c>
      <c r="W67" s="1110">
        <f>'12. Разходи'!P67-'12. Разходи'!$K67</f>
        <v>-6.5289080926241922</v>
      </c>
      <c r="X67" s="1157">
        <f>IFERROR(('12. Разходи'!P67-'12. Разходи'!$K67)/'12. Разходи'!$K67,0)</f>
        <v>-0.20424315233438242</v>
      </c>
      <c r="Y67" s="1151">
        <f>'12. Разходи'!S67</f>
        <v>91.756219999999985</v>
      </c>
      <c r="Z67" s="1115">
        <f>'12. Разходи'!T67-'12. Разходи'!$S67</f>
        <v>16.226865999999987</v>
      </c>
      <c r="AA67" s="1095">
        <f>IFERROR(('12. Разходи'!T67-'12. Разходи'!$S67)/'12. Разходи'!$S67,0)</f>
        <v>0.17684758591842592</v>
      </c>
      <c r="AB67" s="882">
        <f>'12. Разходи'!U67-'12. Разходи'!$S67</f>
        <v>16.276020299999985</v>
      </c>
      <c r="AC67" s="1103">
        <f>IFERROR(('12. Разходи'!U67-'12. Разходи'!$S67)/'12. Разходи'!$S67,0)</f>
        <v>0.17738329129077013</v>
      </c>
      <c r="AD67" s="882">
        <f>'12. Разходи'!V67-'12. Разходи'!$S67</f>
        <v>16.30698750900001</v>
      </c>
      <c r="AE67" s="1103">
        <f>IFERROR(('12. Разходи'!V67-'12. Разходи'!$S67)/'12. Разходи'!$S67,0)</f>
        <v>0.17772078567534727</v>
      </c>
      <c r="AF67" s="882">
        <f>'12. Разходи'!W67-'12. Разходи'!$S67</f>
        <v>42.285723358819951</v>
      </c>
      <c r="AG67" s="1102">
        <f>IFERROR(('12. Разходи'!W67-'12. Разходи'!$S67)/'12. Разходи'!$S67,0)</f>
        <v>0.46084857635613102</v>
      </c>
      <c r="AH67" s="1110">
        <f>'12. Разходи'!X67-'12. Разходи'!$S67</f>
        <v>42.244045624467219</v>
      </c>
      <c r="AI67" s="1157">
        <f>IFERROR(('12. Разходи'!X67-'12. Разходи'!$S67)/'12. Разходи'!$S67,0)</f>
        <v>0.46039435391374262</v>
      </c>
      <c r="AJ67" s="1151">
        <f>'12. Разходи'!AA67</f>
        <v>0</v>
      </c>
      <c r="AK67" s="1115">
        <f>'12. Разходи'!AB67-'12. Разходи'!$AA67</f>
        <v>0</v>
      </c>
      <c r="AL67" s="1095">
        <f>IFERROR(('12. Разходи'!AB67-'12. Разходи'!$AA67)/'12. Разходи'!$AA67,0)</f>
        <v>0</v>
      </c>
      <c r="AM67" s="882">
        <f>'12. Разходи'!AC67-'12. Разходи'!$AA67</f>
        <v>0</v>
      </c>
      <c r="AN67" s="1103">
        <f>IFERROR(('12. Разходи'!AC67-'12. Разходи'!$AA67)/'12. Разходи'!$AA67,0)</f>
        <v>0</v>
      </c>
      <c r="AO67" s="882">
        <f>'12. Разходи'!AD67-'12. Разходи'!$AA67</f>
        <v>0</v>
      </c>
      <c r="AP67" s="1103">
        <f>IFERROR(('12. Разходи'!AD67-'12. Разходи'!$AA67)/'12. Разходи'!$AA67,0)</f>
        <v>0</v>
      </c>
      <c r="AQ67" s="882">
        <f>'12. Разходи'!AE67-'12. Разходи'!$AA67</f>
        <v>0</v>
      </c>
      <c r="AR67" s="1102">
        <f>IFERROR(('12. Разходи'!AE67-'12. Разходи'!$AA67)/'12. Разходи'!$AA67,0)</f>
        <v>0</v>
      </c>
      <c r="AS67" s="1110">
        <f>'12. Разходи'!AF67-'12. Разходи'!$AA67</f>
        <v>0</v>
      </c>
      <c r="AT67" s="1157">
        <f>IFERROR(('12. Разходи'!AF67-'12. Разходи'!$AA67)/'12. Разходи'!$AA67,0)</f>
        <v>0</v>
      </c>
      <c r="AU67" s="1151">
        <f>'12. Разходи'!AI67</f>
        <v>0</v>
      </c>
      <c r="AV67" s="1115">
        <f>'12. Разходи'!AJ67-'12. Разходи'!$AI67</f>
        <v>0</v>
      </c>
      <c r="AW67" s="1095">
        <f>IFERROR(('12. Разходи'!AJ67-'12. Разходи'!$AI67)/'12. Разходи'!$AI67,0)</f>
        <v>0</v>
      </c>
      <c r="AX67" s="882">
        <f>'12. Разходи'!AK67-'12. Разходи'!$AI67</f>
        <v>0</v>
      </c>
      <c r="AY67" s="1103">
        <f>IFERROR(('12. Разходи'!AK67-'12. Разходи'!$AI67)/'12. Разходи'!$AI67,0)</f>
        <v>0</v>
      </c>
      <c r="AZ67" s="882">
        <f>'12. Разходи'!AL67-'12. Разходи'!$AI67</f>
        <v>0</v>
      </c>
      <c r="BA67" s="1103">
        <f>IFERROR(('12. Разходи'!AL67-'12. Разходи'!$AI67)/'12. Разходи'!$AI67,0)</f>
        <v>0</v>
      </c>
      <c r="BB67" s="882">
        <f>'12. Разходи'!AM67-'12. Разходи'!$AI67</f>
        <v>0</v>
      </c>
      <c r="BC67" s="1102">
        <f>IFERROR(('12. Разходи'!AM67-'12. Разходи'!$AI67)/'12. Разходи'!$AI67,0)</f>
        <v>0</v>
      </c>
      <c r="BD67" s="1110">
        <f>'12. Разходи'!AN67-'12. Разходи'!$AI67</f>
        <v>0</v>
      </c>
      <c r="BE67" s="1157">
        <f>IFERROR(('12. Разходи'!AN67-'12. Разходи'!$AI67)/'12. Разходи'!$AI67,0)</f>
        <v>0</v>
      </c>
      <c r="BF67" s="4422"/>
      <c r="BG67" s="4438">
        <f t="shared" si="1"/>
        <v>538.60850380656802</v>
      </c>
      <c r="BH67" s="4438">
        <f t="shared" si="2"/>
        <v>102.27269292320938</v>
      </c>
      <c r="BI67" s="4438">
        <f t="shared" si="3"/>
        <v>100.06019671955193</v>
      </c>
      <c r="BJ67" s="4438">
        <f t="shared" si="4"/>
        <v>129.34383698302031</v>
      </c>
      <c r="BK67" s="4438">
        <f t="shared" si="5"/>
        <v>171.46303161360964</v>
      </c>
      <c r="BL67" s="4438">
        <f t="shared" si="6"/>
        <v>170.93580355962013</v>
      </c>
      <c r="BM67" s="4438">
        <f t="shared" si="7"/>
        <v>16.344135226476755</v>
      </c>
      <c r="BN67" s="4438">
        <f t="shared" si="8"/>
        <v>-2.8953061252498427</v>
      </c>
      <c r="BO67" s="4438">
        <f t="shared" si="9"/>
        <v>-3.1302732088168397</v>
      </c>
      <c r="BP67" s="4438">
        <f t="shared" si="10"/>
        <v>-3.9353932690980113</v>
      </c>
      <c r="BQ67" s="4438">
        <f t="shared" si="11"/>
        <v>-3.7336312527929802</v>
      </c>
      <c r="BR67" s="4438">
        <f t="shared" si="12"/>
        <v>-3.338177700835038</v>
      </c>
      <c r="BS67" s="4438">
        <f t="shared" si="13"/>
        <v>46.914210335254083</v>
      </c>
      <c r="BT67" s="4438">
        <f t="shared" si="14"/>
        <v>8.2966648430589505</v>
      </c>
      <c r="BU67" s="4438">
        <f t="shared" si="15"/>
        <v>8.3217970375748322</v>
      </c>
      <c r="BV67" s="4438">
        <f t="shared" si="16"/>
        <v>8.3376303201198514</v>
      </c>
      <c r="BW67" s="4438">
        <f t="shared" si="17"/>
        <v>21.620347043873931</v>
      </c>
      <c r="BX67" s="4438">
        <f t="shared" si="18"/>
        <v>21.599037556672727</v>
      </c>
      <c r="BY67" s="4438">
        <f t="shared" si="19"/>
        <v>0</v>
      </c>
      <c r="BZ67" s="4438">
        <f t="shared" si="20"/>
        <v>0</v>
      </c>
      <c r="CA67" s="4438">
        <f t="shared" si="21"/>
        <v>0</v>
      </c>
      <c r="CB67" s="4438">
        <f t="shared" si="22"/>
        <v>0</v>
      </c>
      <c r="CC67" s="4438">
        <f t="shared" si="23"/>
        <v>0</v>
      </c>
      <c r="CD67" s="4438">
        <f t="shared" si="24"/>
        <v>0</v>
      </c>
      <c r="CE67" s="4438">
        <f t="shared" si="25"/>
        <v>0</v>
      </c>
      <c r="CF67" s="4438">
        <f t="shared" si="26"/>
        <v>0</v>
      </c>
      <c r="CG67" s="4438">
        <f t="shared" si="27"/>
        <v>0</v>
      </c>
      <c r="CH67" s="4438">
        <f t="shared" si="28"/>
        <v>0</v>
      </c>
      <c r="CI67" s="4438">
        <f t="shared" si="29"/>
        <v>0</v>
      </c>
      <c r="CJ67" s="4438">
        <f t="shared" si="30"/>
        <v>0</v>
      </c>
    </row>
    <row r="68" spans="1:88" s="675" customFormat="1" ht="24">
      <c r="A68" s="394" t="s">
        <v>1280</v>
      </c>
      <c r="B68" s="876" t="s">
        <v>1307</v>
      </c>
      <c r="C68" s="1089">
        <f>'12. Разходи'!C68</f>
        <v>66.573330000000283</v>
      </c>
      <c r="D68" s="1115">
        <f>'12. Разходи'!D68-'12. Разходи'!$C68</f>
        <v>19.971998999999215</v>
      </c>
      <c r="E68" s="1095">
        <f>IFERROR(('12. Разходи'!D68-'12. Разходи'!$C68)/'12. Разходи'!$C68,0)</f>
        <v>0.29999999999998694</v>
      </c>
      <c r="F68" s="882">
        <f>'12. Разходи'!E68-'12. Разходи'!$C68</f>
        <v>24.2992654499987</v>
      </c>
      <c r="G68" s="1103">
        <f>IFERROR(('12. Разходи'!E68-'12. Разходи'!$C68)/'12. Разходи'!$C68,0)</f>
        <v>0.3649999999999789</v>
      </c>
      <c r="H68" s="882">
        <f>'12. Разходи'!F68-'12. Разходи'!$C68</f>
        <v>27.025443313499352</v>
      </c>
      <c r="I68" s="1103">
        <f>IFERROR(('12. Разходи'!F68-'12. Разходи'!$C68)/'12. Разходи'!$C68,0)</f>
        <v>0.40594999999998854</v>
      </c>
      <c r="J68" s="882">
        <f>'12. Разходи'!G68-'12. Разходи'!$C68</f>
        <v>-92.352541120846354</v>
      </c>
      <c r="K68" s="1102">
        <f>IFERROR(('12. Разходи'!G68-'12. Разходи'!$C68)/'12. Разходи'!$C68,0)</f>
        <v>-1.3872303086062536</v>
      </c>
      <c r="L68" s="1110">
        <f>'12. Разходи'!H68-'12. Разходи'!$C68</f>
        <v>-91.321372676011833</v>
      </c>
      <c r="M68" s="1102">
        <f>IFERROR(('12. Разходи'!H68-'12. Разходи'!$C68)/'12. Разходи'!$C68,0)</f>
        <v>-1.3717410962619934</v>
      </c>
      <c r="N68" s="1151">
        <f>'12. Разходи'!K68</f>
        <v>14.033649999999966</v>
      </c>
      <c r="O68" s="1115">
        <f>'12. Разходи'!L68-'12. Разходи'!$K68</f>
        <v>4.2100950000000239</v>
      </c>
      <c r="P68" s="1095">
        <f>IFERROR(('12. Разходи'!L68-'12. Разходи'!$K68)/'12. Разходи'!$K68,0)</f>
        <v>0.30000000000000243</v>
      </c>
      <c r="Q68" s="882">
        <f>'12. Разходи'!M68-'12. Разходи'!$K68</f>
        <v>5.1222822500002394</v>
      </c>
      <c r="R68" s="1103">
        <f>IFERROR(('12. Разходи'!M68-'12. Разходи'!$K68)/'12. Разходи'!$K68,0)</f>
        <v>0.36500000000001792</v>
      </c>
      <c r="S68" s="882">
        <f>'12. Разходи'!N68-'12. Разходи'!$K68</f>
        <v>5.6969602174999636</v>
      </c>
      <c r="T68" s="1103">
        <f>IFERROR(('12. Разходи'!N68-'12. Разходи'!$K68)/'12. Разходи'!$K68,0)</f>
        <v>0.40594999999999837</v>
      </c>
      <c r="U68" s="882">
        <f>'12. Разходи'!O68-'12. Разходи'!$K68</f>
        <v>5.3023480131500946</v>
      </c>
      <c r="V68" s="1102">
        <f>IFERROR(('12. Разходи'!O68-'12. Разходи'!$K68)/'12. Разходи'!$K68,0)</f>
        <v>0.37783100000000763</v>
      </c>
      <c r="W68" s="1110">
        <f>'12. Разходи'!P68-'12. Разходи'!$K68</f>
        <v>4.5289080926241922</v>
      </c>
      <c r="X68" s="1157">
        <f>IFERROR(('12. Разходи'!P68-'12. Разходи'!$K68)/'12. Разходи'!$K68,0)</f>
        <v>0.32271776000001451</v>
      </c>
      <c r="Y68" s="1151">
        <f>'12. Разходи'!S68</f>
        <v>-1.7562199999999919</v>
      </c>
      <c r="Z68" s="1115">
        <f>'12. Разходи'!T68-'12. Разходи'!$S68</f>
        <v>0.77313400000002019</v>
      </c>
      <c r="AA68" s="1095">
        <f>IFERROR(('12. Разходи'!T68-'12. Разходи'!$S68)/'12. Разходи'!$S68,0)</f>
        <v>-0.44022616756444166</v>
      </c>
      <c r="AB68" s="882">
        <f>'12. Разходи'!U68-'12. Разходи'!$S68</f>
        <v>0.72397970000002232</v>
      </c>
      <c r="AC68" s="1103">
        <f>IFERROR(('12. Разходи'!U68-'12. Разходи'!$S68)/'12. Разходи'!$S68,0)</f>
        <v>-0.41223747594266419</v>
      </c>
      <c r="AD68" s="882">
        <f>'12. Разходи'!V68-'12. Разходи'!$S68</f>
        <v>0.69301249099999751</v>
      </c>
      <c r="AE68" s="1103">
        <f>IFERROR(('12. Разходи'!V68-'12. Разходи'!$S68)/'12. Разходи'!$S68,0)</f>
        <v>-0.39460460022092947</v>
      </c>
      <c r="AF68" s="882">
        <f>'12. Разходи'!W68-'12. Разходи'!$S68</f>
        <v>0.7142766411800423</v>
      </c>
      <c r="AG68" s="1102">
        <f>IFERROR(('12. Разходи'!W68-'12. Разходи'!$S68)/'12. Разходи'!$S68,0)</f>
        <v>-0.40671250821653643</v>
      </c>
      <c r="AH68" s="1110">
        <f>'12. Разходи'!X68-'12. Разходи'!$S68</f>
        <v>0.7559543755328022</v>
      </c>
      <c r="AI68" s="1157">
        <f>IFERROR(('12. Разходи'!X68-'12. Разходи'!$S68)/'12. Разходи'!$S68,0)</f>
        <v>-0.43044400788785331</v>
      </c>
      <c r="AJ68" s="1151">
        <f>'12. Разходи'!AA68</f>
        <v>0</v>
      </c>
      <c r="AK68" s="1115">
        <f>'12. Разходи'!AB68-'12. Разходи'!$AA68</f>
        <v>0</v>
      </c>
      <c r="AL68" s="1095">
        <f>IFERROR(('12. Разходи'!AB68-'12. Разходи'!$AA68)/'12. Разходи'!$AA68,0)</f>
        <v>0</v>
      </c>
      <c r="AM68" s="882">
        <f>'12. Разходи'!AC68-'12. Разходи'!$AA68</f>
        <v>0</v>
      </c>
      <c r="AN68" s="1103">
        <f>IFERROR(('12. Разходи'!AC68-'12. Разходи'!$AA68)/'12. Разходи'!$AA68,0)</f>
        <v>0</v>
      </c>
      <c r="AO68" s="882">
        <f>'12. Разходи'!AD68-'12. Разходи'!$AA68</f>
        <v>0</v>
      </c>
      <c r="AP68" s="1103">
        <f>IFERROR(('12. Разходи'!AD68-'12. Разходи'!$AA68)/'12. Разходи'!$AA68,0)</f>
        <v>0</v>
      </c>
      <c r="AQ68" s="882">
        <f>'12. Разходи'!AE68-'12. Разходи'!$AA68</f>
        <v>0</v>
      </c>
      <c r="AR68" s="1102">
        <f>IFERROR(('12. Разходи'!AE68-'12. Разходи'!$AA68)/'12. Разходи'!$AA68,0)</f>
        <v>0</v>
      </c>
      <c r="AS68" s="1110">
        <f>'12. Разходи'!AF68-'12. Разходи'!$AA68</f>
        <v>0</v>
      </c>
      <c r="AT68" s="1157">
        <f>IFERROR(('12. Разходи'!AF68-'12. Разходи'!$AA68)/'12. Разходи'!$AA68,0)</f>
        <v>0</v>
      </c>
      <c r="AU68" s="1151">
        <f>'12. Разходи'!AI68</f>
        <v>0</v>
      </c>
      <c r="AV68" s="1115">
        <f>'12. Разходи'!AJ68-'12. Разходи'!$AI68</f>
        <v>0</v>
      </c>
      <c r="AW68" s="1095">
        <f>IFERROR(('12. Разходи'!AJ68-'12. Разходи'!$AI68)/'12. Разходи'!$AI68,0)</f>
        <v>0</v>
      </c>
      <c r="AX68" s="882">
        <f>'12. Разходи'!AK68-'12. Разходи'!$AI68</f>
        <v>0</v>
      </c>
      <c r="AY68" s="1103">
        <f>IFERROR(('12. Разходи'!AK68-'12. Разходи'!$AI68)/'12. Разходи'!$AI68,0)</f>
        <v>0</v>
      </c>
      <c r="AZ68" s="882">
        <f>'12. Разходи'!AL68-'12. Разходи'!$AI68</f>
        <v>0</v>
      </c>
      <c r="BA68" s="1103">
        <f>IFERROR(('12. Разходи'!AL68-'12. Разходи'!$AI68)/'12. Разходи'!$AI68,0)</f>
        <v>0</v>
      </c>
      <c r="BB68" s="882">
        <f>'12. Разходи'!AM68-'12. Разходи'!$AI68</f>
        <v>0</v>
      </c>
      <c r="BC68" s="1102">
        <f>IFERROR(('12. Разходи'!AM68-'12. Разходи'!$AI68)/'12. Разходи'!$AI68,0)</f>
        <v>0</v>
      </c>
      <c r="BD68" s="1110">
        <f>'12. Разходи'!AN68-'12. Разходи'!$AI68</f>
        <v>0</v>
      </c>
      <c r="BE68" s="1157">
        <f>IFERROR(('12. Разходи'!AN68-'12. Разходи'!$AI68)/'12. Разходи'!$AI68,0)</f>
        <v>0</v>
      </c>
      <c r="BF68" s="4422"/>
      <c r="BG68" s="4438">
        <f t="shared" si="1"/>
        <v>34.038403133196795</v>
      </c>
      <c r="BH68" s="4438">
        <f t="shared" si="2"/>
        <v>10.211520939958593</v>
      </c>
      <c r="BI68" s="4438">
        <f t="shared" si="3"/>
        <v>12.424017143616112</v>
      </c>
      <c r="BJ68" s="4438">
        <f t="shared" si="4"/>
        <v>13.817889751920848</v>
      </c>
      <c r="BK68" s="4438">
        <f t="shared" si="5"/>
        <v>-47.219104482928657</v>
      </c>
      <c r="BL68" s="4438">
        <f t="shared" si="6"/>
        <v>-46.69187642893904</v>
      </c>
      <c r="BM68" s="4438">
        <f t="shared" si="7"/>
        <v>7.1752913085492942</v>
      </c>
      <c r="BN68" s="4438">
        <f t="shared" si="8"/>
        <v>2.1525873925648056</v>
      </c>
      <c r="BO68" s="4438">
        <f t="shared" si="9"/>
        <v>2.6189813276206211</v>
      </c>
      <c r="BP68" s="4438">
        <f t="shared" si="10"/>
        <v>2.9128095067055746</v>
      </c>
      <c r="BQ68" s="4438">
        <f t="shared" si="11"/>
        <v>2.7110474904005435</v>
      </c>
      <c r="BR68" s="4438">
        <f t="shared" si="12"/>
        <v>2.3155939384426012</v>
      </c>
      <c r="BS68" s="4438">
        <f t="shared" si="13"/>
        <v>-0.89794102759441874</v>
      </c>
      <c r="BT68" s="4438">
        <f t="shared" si="14"/>
        <v>0.39529713727676752</v>
      </c>
      <c r="BU68" s="4438">
        <f t="shared" si="15"/>
        <v>0.3701649427608853</v>
      </c>
      <c r="BV68" s="4438">
        <f t="shared" si="16"/>
        <v>0.35433166021586615</v>
      </c>
      <c r="BW68" s="4438">
        <f t="shared" si="17"/>
        <v>0.36520384756346019</v>
      </c>
      <c r="BX68" s="4438">
        <f t="shared" si="18"/>
        <v>0.38651333476467903</v>
      </c>
      <c r="BY68" s="4438">
        <f t="shared" si="19"/>
        <v>0</v>
      </c>
      <c r="BZ68" s="4438">
        <f t="shared" si="20"/>
        <v>0</v>
      </c>
      <c r="CA68" s="4438">
        <f t="shared" si="21"/>
        <v>0</v>
      </c>
      <c r="CB68" s="4438">
        <f t="shared" si="22"/>
        <v>0</v>
      </c>
      <c r="CC68" s="4438">
        <f t="shared" si="23"/>
        <v>0</v>
      </c>
      <c r="CD68" s="4438">
        <f t="shared" si="24"/>
        <v>0</v>
      </c>
      <c r="CE68" s="4438">
        <f t="shared" si="25"/>
        <v>0</v>
      </c>
      <c r="CF68" s="4438">
        <f t="shared" si="26"/>
        <v>0</v>
      </c>
      <c r="CG68" s="4438">
        <f t="shared" si="27"/>
        <v>0</v>
      </c>
      <c r="CH68" s="4438">
        <f t="shared" si="28"/>
        <v>0</v>
      </c>
      <c r="CI68" s="4438">
        <f t="shared" si="29"/>
        <v>0</v>
      </c>
      <c r="CJ68" s="4438">
        <f t="shared" si="30"/>
        <v>0</v>
      </c>
    </row>
    <row r="69" spans="1:88" ht="41.25" customHeight="1" thickBot="1">
      <c r="A69" s="3894" t="s">
        <v>1281</v>
      </c>
      <c r="B69" s="875" t="s">
        <v>1750</v>
      </c>
      <c r="C69" s="1090">
        <f>'12. Разходи'!C69</f>
        <v>0</v>
      </c>
      <c r="D69" s="3895">
        <f>'12. Разходи'!D69-'12. Разходи'!$C69</f>
        <v>0</v>
      </c>
      <c r="E69" s="3896">
        <f>IFERROR(('12. Разходи'!D69-'12. Разходи'!$C69)/'12. Разходи'!$C69,0)</f>
        <v>0</v>
      </c>
      <c r="F69" s="3897">
        <f>'12. Разходи'!E69-'12. Разходи'!$C69</f>
        <v>0</v>
      </c>
      <c r="G69" s="3898">
        <f>IFERROR(('12. Разходи'!E69-'12. Разходи'!$C69)/'12. Разходи'!$C69,0)</f>
        <v>0</v>
      </c>
      <c r="H69" s="3897">
        <f>'12. Разходи'!F69-'12. Разходи'!$C69</f>
        <v>0</v>
      </c>
      <c r="I69" s="3898">
        <f>IFERROR(('12. Разходи'!F69-'12. Разходи'!$C69)/'12. Разходи'!$C69,0)</f>
        <v>0</v>
      </c>
      <c r="J69" s="3897">
        <f>'12. Разходи'!G69-'12. Разходи'!$C69</f>
        <v>0</v>
      </c>
      <c r="K69" s="3899">
        <f>IFERROR(('12. Разходи'!G69-'12. Разходи'!$C69)/'12. Разходи'!$C69,0)</f>
        <v>0</v>
      </c>
      <c r="L69" s="3636">
        <f>'12. Разходи'!H69-'12. Разходи'!$C69</f>
        <v>0</v>
      </c>
      <c r="M69" s="3899">
        <f>IFERROR(('12. Разходи'!H69-'12. Разходи'!$C69)/'12. Разходи'!$C69,0)</f>
        <v>0</v>
      </c>
      <c r="N69" s="1153">
        <f>'12. Разходи'!K69</f>
        <v>0</v>
      </c>
      <c r="O69" s="3895">
        <f>'12. Разходи'!L69-'12. Разходи'!$K69</f>
        <v>0</v>
      </c>
      <c r="P69" s="3896">
        <f>IFERROR(('12. Разходи'!L69-'12. Разходи'!$K69)/'12. Разходи'!$K69,0)</f>
        <v>0</v>
      </c>
      <c r="Q69" s="3897">
        <f>'12. Разходи'!M69-'12. Разходи'!$K69</f>
        <v>0</v>
      </c>
      <c r="R69" s="3898">
        <f>IFERROR(('12. Разходи'!M69-'12. Разходи'!$K69)/'12. Разходи'!$K69,0)</f>
        <v>0</v>
      </c>
      <c r="S69" s="3897">
        <f>'12. Разходи'!N69-'12. Разходи'!$K69</f>
        <v>0</v>
      </c>
      <c r="T69" s="3898">
        <f>IFERROR(('12. Разходи'!N69-'12. Разходи'!$K69)/'12. Разходи'!$K69,0)</f>
        <v>0</v>
      </c>
      <c r="U69" s="3897">
        <f>'12. Разходи'!O69-'12. Разходи'!$K69</f>
        <v>0</v>
      </c>
      <c r="V69" s="3899">
        <f>IFERROR(('12. Разходи'!O69-'12. Разходи'!$K69)/'12. Разходи'!$K69,0)</f>
        <v>0</v>
      </c>
      <c r="W69" s="3636">
        <f>'12. Разходи'!P69-'12. Разходи'!$K69</f>
        <v>0</v>
      </c>
      <c r="X69" s="3900">
        <f>IFERROR(('12. Разходи'!P69-'12. Разходи'!$K69)/'12. Разходи'!$K69,0)</f>
        <v>0</v>
      </c>
      <c r="Y69" s="1153">
        <f>'12. Разходи'!S69</f>
        <v>0</v>
      </c>
      <c r="Z69" s="3895">
        <f>'12. Разходи'!T69-'12. Разходи'!$S69</f>
        <v>0</v>
      </c>
      <c r="AA69" s="3896">
        <f>IFERROR(('12. Разходи'!T69-'12. Разходи'!$S69)/'12. Разходи'!$S69,0)</f>
        <v>0</v>
      </c>
      <c r="AB69" s="3897">
        <f>'12. Разходи'!U69-'12. Разходи'!$S69</f>
        <v>0</v>
      </c>
      <c r="AC69" s="3898">
        <f>IFERROR(('12. Разходи'!U69-'12. Разходи'!$S69)/'12. Разходи'!$S69,0)</f>
        <v>0</v>
      </c>
      <c r="AD69" s="3897">
        <f>'12. Разходи'!V69-'12. Разходи'!$S69</f>
        <v>0</v>
      </c>
      <c r="AE69" s="3898">
        <f>IFERROR(('12. Разходи'!V69-'12. Разходи'!$S69)/'12. Разходи'!$S69,0)</f>
        <v>0</v>
      </c>
      <c r="AF69" s="3897">
        <f>'12. Разходи'!W69-'12. Разходи'!$S69</f>
        <v>0</v>
      </c>
      <c r="AG69" s="3899">
        <f>IFERROR(('12. Разходи'!W69-'12. Разходи'!$S69)/'12. Разходи'!$S69,0)</f>
        <v>0</v>
      </c>
      <c r="AH69" s="3636">
        <f>'12. Разходи'!X69-'12. Разходи'!$S69</f>
        <v>0</v>
      </c>
      <c r="AI69" s="3900">
        <f>IFERROR(('12. Разходи'!X69-'12. Разходи'!$S69)/'12. Разходи'!$S69,0)</f>
        <v>0</v>
      </c>
      <c r="AJ69" s="1153">
        <f>'12. Разходи'!AA69</f>
        <v>0</v>
      </c>
      <c r="AK69" s="3895">
        <f>'12. Разходи'!AB69-'12. Разходи'!$AA69</f>
        <v>0</v>
      </c>
      <c r="AL69" s="3896">
        <f>IFERROR(('12. Разходи'!AB69-'12. Разходи'!$AA69)/'12. Разходи'!$AA69,0)</f>
        <v>0</v>
      </c>
      <c r="AM69" s="3897">
        <f>'12. Разходи'!AC69-'12. Разходи'!$AA69</f>
        <v>0</v>
      </c>
      <c r="AN69" s="3898">
        <f>IFERROR(('12. Разходи'!AC69-'12. Разходи'!$AA69)/'12. Разходи'!$AA69,0)</f>
        <v>0</v>
      </c>
      <c r="AO69" s="3897">
        <f>'12. Разходи'!AD69-'12. Разходи'!$AA69</f>
        <v>0</v>
      </c>
      <c r="AP69" s="3898">
        <f>IFERROR(('12. Разходи'!AD69-'12. Разходи'!$AA69)/'12. Разходи'!$AA69,0)</f>
        <v>0</v>
      </c>
      <c r="AQ69" s="3897">
        <f>'12. Разходи'!AE69-'12. Разходи'!$AA69</f>
        <v>0</v>
      </c>
      <c r="AR69" s="3899">
        <f>IFERROR(('12. Разходи'!AE69-'12. Разходи'!$AA69)/'12. Разходи'!$AA69,0)</f>
        <v>0</v>
      </c>
      <c r="AS69" s="3636">
        <f>'12. Разходи'!AF69-'12. Разходи'!$AA69</f>
        <v>0</v>
      </c>
      <c r="AT69" s="3900">
        <f>IFERROR(('12. Разходи'!AF69-'12. Разходи'!$AA69)/'12. Разходи'!$AA69,0)</f>
        <v>0</v>
      </c>
      <c r="AU69" s="1153">
        <f>'12. Разходи'!AI69</f>
        <v>0</v>
      </c>
      <c r="AV69" s="3895">
        <f>'12. Разходи'!AJ69-'12. Разходи'!$AI69</f>
        <v>0</v>
      </c>
      <c r="AW69" s="3896">
        <f>IFERROR(('12. Разходи'!AJ69-'12. Разходи'!$AI69)/'12. Разходи'!$AI69,0)</f>
        <v>0</v>
      </c>
      <c r="AX69" s="3897">
        <f>'12. Разходи'!AK69-'12. Разходи'!$AI69</f>
        <v>0</v>
      </c>
      <c r="AY69" s="3898">
        <f>IFERROR(('12. Разходи'!AK69-'12. Разходи'!$AI69)/'12. Разходи'!$AI69,0)</f>
        <v>0</v>
      </c>
      <c r="AZ69" s="3897">
        <f>'12. Разходи'!AL69-'12. Разходи'!$AI69</f>
        <v>0</v>
      </c>
      <c r="BA69" s="3898">
        <f>IFERROR(('12. Разходи'!AL69-'12. Разходи'!$AI69)/'12. Разходи'!$AI69,0)</f>
        <v>0</v>
      </c>
      <c r="BB69" s="3897">
        <f>'12. Разходи'!AM69-'12. Разходи'!$AI69</f>
        <v>0</v>
      </c>
      <c r="BC69" s="3899">
        <f>IFERROR(('12. Разходи'!AM69-'12. Разходи'!$AI69)/'12. Разходи'!$AI69,0)</f>
        <v>0</v>
      </c>
      <c r="BD69" s="3636">
        <f>'12. Разходи'!AN69-'12. Разходи'!$AI69</f>
        <v>0</v>
      </c>
      <c r="BE69" s="3900">
        <f>IFERROR(('12. Разходи'!AN69-'12. Разходи'!$AI69)/'12. Разходи'!$AI69,0)</f>
        <v>0</v>
      </c>
      <c r="BF69" s="4422"/>
      <c r="BG69" s="4438">
        <f t="shared" si="1"/>
        <v>0</v>
      </c>
      <c r="BH69" s="4438">
        <f t="shared" si="2"/>
        <v>0</v>
      </c>
      <c r="BI69" s="4438">
        <f t="shared" si="3"/>
        <v>0</v>
      </c>
      <c r="BJ69" s="4438">
        <f t="shared" si="4"/>
        <v>0</v>
      </c>
      <c r="BK69" s="4438">
        <f t="shared" si="5"/>
        <v>0</v>
      </c>
      <c r="BL69" s="4438">
        <f t="shared" si="6"/>
        <v>0</v>
      </c>
      <c r="BM69" s="4438">
        <f t="shared" si="7"/>
        <v>0</v>
      </c>
      <c r="BN69" s="4438">
        <f t="shared" si="8"/>
        <v>0</v>
      </c>
      <c r="BO69" s="4438">
        <f t="shared" si="9"/>
        <v>0</v>
      </c>
      <c r="BP69" s="4438">
        <f t="shared" si="10"/>
        <v>0</v>
      </c>
      <c r="BQ69" s="4438">
        <f t="shared" si="11"/>
        <v>0</v>
      </c>
      <c r="BR69" s="4438">
        <f t="shared" si="12"/>
        <v>0</v>
      </c>
      <c r="BS69" s="4438">
        <f t="shared" si="13"/>
        <v>0</v>
      </c>
      <c r="BT69" s="4438">
        <f t="shared" si="14"/>
        <v>0</v>
      </c>
      <c r="BU69" s="4438">
        <f t="shared" si="15"/>
        <v>0</v>
      </c>
      <c r="BV69" s="4438">
        <f t="shared" si="16"/>
        <v>0</v>
      </c>
      <c r="BW69" s="4438">
        <f t="shared" si="17"/>
        <v>0</v>
      </c>
      <c r="BX69" s="4438">
        <f t="shared" si="18"/>
        <v>0</v>
      </c>
      <c r="BY69" s="4438">
        <f t="shared" si="19"/>
        <v>0</v>
      </c>
      <c r="BZ69" s="4438">
        <f t="shared" si="20"/>
        <v>0</v>
      </c>
      <c r="CA69" s="4438">
        <f t="shared" si="21"/>
        <v>0</v>
      </c>
      <c r="CB69" s="4438">
        <f t="shared" si="22"/>
        <v>0</v>
      </c>
      <c r="CC69" s="4438">
        <f t="shared" si="23"/>
        <v>0</v>
      </c>
      <c r="CD69" s="4438">
        <f t="shared" si="24"/>
        <v>0</v>
      </c>
      <c r="CE69" s="4438">
        <f t="shared" si="25"/>
        <v>0</v>
      </c>
      <c r="CF69" s="4438">
        <f t="shared" si="26"/>
        <v>0</v>
      </c>
      <c r="CG69" s="4438">
        <f t="shared" si="27"/>
        <v>0</v>
      </c>
      <c r="CH69" s="4438">
        <f t="shared" si="28"/>
        <v>0</v>
      </c>
      <c r="CI69" s="4438">
        <f t="shared" si="29"/>
        <v>0</v>
      </c>
      <c r="CJ69" s="4438">
        <f t="shared" si="30"/>
        <v>0</v>
      </c>
    </row>
    <row r="70" spans="1:88" s="1134" customFormat="1" ht="15.95" customHeight="1" thickBot="1">
      <c r="A70" s="110">
        <v>6</v>
      </c>
      <c r="B70" s="872" t="s">
        <v>450</v>
      </c>
      <c r="C70" s="1084">
        <f>'12. Разходи'!C70</f>
        <v>665.75099999999998</v>
      </c>
      <c r="D70" s="1122">
        <f>'12. Разходи'!D70-'12. Разходи'!$C70</f>
        <v>8.0190000000000055</v>
      </c>
      <c r="E70" s="853">
        <f>IFERROR(('12. Разходи'!D70-'12. Разходи'!$C70)/'12. Разходи'!$C70,0)</f>
        <v>1.2045043867752367E-2</v>
      </c>
      <c r="F70" s="1121">
        <f>'12. Разходи'!E70-'12. Разходи'!$C70</f>
        <v>11.582100000000082</v>
      </c>
      <c r="G70" s="853">
        <f>IFERROR(('12. Разходи'!E70-'12. Разходи'!$C70)/'12. Разходи'!$C70,0)</f>
        <v>1.7397044841089362E-2</v>
      </c>
      <c r="H70" s="1121">
        <f>'12. Разходи'!F70-'12. Разходи'!$C70</f>
        <v>15.252092999999945</v>
      </c>
      <c r="I70" s="853">
        <f>IFERROR(('12. Разходи'!F70-'12. Разходи'!$C70)/'12. Разходи'!$C70,0)</f>
        <v>2.2909605843626141E-2</v>
      </c>
      <c r="J70" s="1121">
        <f>'12. Разходи'!G70-'12. Разходи'!$C70</f>
        <v>19.032185789999971</v>
      </c>
      <c r="K70" s="863">
        <f>IFERROR(('12. Разходи'!G70-'12. Разходи'!$C70)/'12. Разходи'!$C70,0)</f>
        <v>2.8587543676239273E-2</v>
      </c>
      <c r="L70" s="1121">
        <f>'12. Разходи'!H70-'12. Разходи'!$C70</f>
        <v>22.92568136370005</v>
      </c>
      <c r="M70" s="863">
        <f>IFERROR(('12. Разходи'!H70-'12. Разходи'!$C70)/'12. Разходи'!$C70,0)</f>
        <v>3.4435819643830877E-2</v>
      </c>
      <c r="N70" s="1135">
        <f>'12. Разходи'!K70</f>
        <v>17.933099873137945</v>
      </c>
      <c r="O70" s="1122">
        <f>'12. Разходи'!L70-'12. Разходи'!$K70</f>
        <v>1.2553169911196562</v>
      </c>
      <c r="P70" s="853">
        <f>IFERROR(('12. Разходи'!L70-'12. Разходи'!$K70)/'12. Разходи'!$K70,0)</f>
        <v>7.0000000000000007E-2</v>
      </c>
      <c r="Q70" s="1121">
        <f>'12. Разходи'!M70-'12. Разходи'!$K70</f>
        <v>1.8309694970473842</v>
      </c>
      <c r="R70" s="853">
        <f>IFERROR(('12. Разходи'!M70-'12. Разходи'!$K70)/'12. Разходи'!$K70,0)</f>
        <v>0.10210000000000001</v>
      </c>
      <c r="S70" s="1121">
        <f>'12. Разходи'!N70-'12. Разходи'!$K70</f>
        <v>2.4238915781529435</v>
      </c>
      <c r="T70" s="853">
        <f>IFERROR(('12. Разходи'!N70-'12. Разходи'!$K70)/'12. Разходи'!$K70,0)</f>
        <v>0.13516299999999998</v>
      </c>
      <c r="U70" s="1121">
        <f>'12. Разходи'!O70-'12. Разходи'!$K70</f>
        <v>3.034601321691671</v>
      </c>
      <c r="V70" s="863">
        <f>IFERROR(('12. Разходи'!O70-'12. Разходи'!$K70)/'12. Разходи'!$K70,0)</f>
        <v>0.16921789000000001</v>
      </c>
      <c r="W70" s="1121">
        <f>'12. Разходи'!P70-'12. Разходи'!$K70</f>
        <v>3.6636323575365601</v>
      </c>
      <c r="X70" s="865">
        <f>IFERROR(('12. Разходи'!P70-'12. Разходи'!$K70)/'12. Разходи'!$K70,0)</f>
        <v>0.20429442670000006</v>
      </c>
      <c r="Y70" s="1135">
        <f>'12. Разходи'!S70</f>
        <v>54.088151822085202</v>
      </c>
      <c r="Z70" s="1122">
        <f>'12. Разходи'!T70-'12. Разходи'!$S70</f>
        <v>1.3818481779148044</v>
      </c>
      <c r="AA70" s="853">
        <f>IFERROR(('12. Разходи'!T70-'12. Разходи'!$S70)/'12. Разходи'!$S70,0)</f>
        <v>2.5548075343010148E-2</v>
      </c>
      <c r="AB70" s="1121">
        <f>'12. Разходи'!U70-'12. Разходи'!$S70</f>
        <v>2.0559481779148001</v>
      </c>
      <c r="AC70" s="853">
        <f>IFERROR(('12. Разходи'!U70-'12. Разходи'!$S70)/'12. Разходи'!$S70,0)</f>
        <v>3.801106358149435E-2</v>
      </c>
      <c r="AD70" s="1121">
        <f>'12. Разходи'!V70-'12. Разходи'!$S70</f>
        <v>2.7502711779147972</v>
      </c>
      <c r="AE70" s="853">
        <f>IFERROR(('12. Разходи'!V70-'12. Разходи'!$S70)/'12. Разходи'!$S70,0)</f>
        <v>5.0847941467133111E-2</v>
      </c>
      <c r="AF70" s="1121">
        <f>'12. Разходи'!W70-'12. Разходи'!$S70</f>
        <v>3.4654238679148008</v>
      </c>
      <c r="AG70" s="863">
        <f>IFERROR(('12. Разходи'!W70-'12. Разходи'!$S70)/'12. Разходи'!$S70,0)</f>
        <v>6.4069925689341153E-2</v>
      </c>
      <c r="AH70" s="1121">
        <f>'12. Разходи'!X70-'12. Разходи'!$S70</f>
        <v>4.2020311386148066</v>
      </c>
      <c r="AI70" s="865">
        <f>IFERROR(('12. Разходи'!X70-'12. Разходи'!$S70)/'12. Разходи'!$S70,0)</f>
        <v>7.7688569438215463E-2</v>
      </c>
      <c r="AJ70" s="1135">
        <f>'12. Разходи'!AA70</f>
        <v>0</v>
      </c>
      <c r="AK70" s="1122">
        <f>'12. Разходи'!AB70-'12. Разходи'!$AA70</f>
        <v>0</v>
      </c>
      <c r="AL70" s="853">
        <f>IFERROR(('12. Разходи'!AB70-'12. Разходи'!$AA70)/'12. Разходи'!$AA70,0)</f>
        <v>0</v>
      </c>
      <c r="AM70" s="1121">
        <f>'12. Разходи'!AC70-'12. Разходи'!$AA70</f>
        <v>0</v>
      </c>
      <c r="AN70" s="853">
        <f>IFERROR(('12. Разходи'!AC70-'12. Разходи'!$AA70)/'12. Разходи'!$AA70,0)</f>
        <v>0</v>
      </c>
      <c r="AO70" s="1121">
        <f>'12. Разходи'!AD70-'12. Разходи'!$AA70</f>
        <v>0</v>
      </c>
      <c r="AP70" s="853">
        <f>IFERROR(('12. Разходи'!AD70-'12. Разходи'!$AA70)/'12. Разходи'!$AA70,0)</f>
        <v>0</v>
      </c>
      <c r="AQ70" s="1121">
        <f>'12. Разходи'!AE70-'12. Разходи'!$AA70</f>
        <v>0</v>
      </c>
      <c r="AR70" s="863">
        <f>IFERROR(('12. Разходи'!AE70-'12. Разходи'!$AA70)/'12. Разходи'!$AA70,0)</f>
        <v>0</v>
      </c>
      <c r="AS70" s="1121">
        <f>'12. Разходи'!AF70-'12. Разходи'!$AA70</f>
        <v>0</v>
      </c>
      <c r="AT70" s="865">
        <f>IFERROR(('12. Разходи'!AF70-'12. Разходи'!$AA70)/'12. Разходи'!$AA70,0)</f>
        <v>0</v>
      </c>
      <c r="AU70" s="1135">
        <f>'12. Разходи'!AI70</f>
        <v>0</v>
      </c>
      <c r="AV70" s="1122">
        <f>'12. Разходи'!AJ70-'12. Разходи'!$AI70</f>
        <v>0</v>
      </c>
      <c r="AW70" s="853">
        <f>IFERROR(('12. Разходи'!AJ70-'12. Разходи'!$AI70)/'12. Разходи'!$AI70,0)</f>
        <v>0</v>
      </c>
      <c r="AX70" s="1121">
        <f>'12. Разходи'!AK70-'12. Разходи'!$AI70</f>
        <v>0</v>
      </c>
      <c r="AY70" s="853">
        <f>IFERROR(('12. Разходи'!AK70-'12. Разходи'!$AI70)/'12. Разходи'!$AI70,0)</f>
        <v>0</v>
      </c>
      <c r="AZ70" s="1121">
        <f>'12. Разходи'!AL70-'12. Разходи'!$AI70</f>
        <v>0</v>
      </c>
      <c r="BA70" s="853">
        <f>IFERROR(('12. Разходи'!AL70-'12. Разходи'!$AI70)/'12. Разходи'!$AI70,0)</f>
        <v>0</v>
      </c>
      <c r="BB70" s="1121">
        <f>'12. Разходи'!AM70-'12. Разходи'!$AI70</f>
        <v>0</v>
      </c>
      <c r="BC70" s="863">
        <f>IFERROR(('12. Разходи'!AM70-'12. Разходи'!$AI70)/'12. Разходи'!$AI70,0)</f>
        <v>0</v>
      </c>
      <c r="BD70" s="1121">
        <f>'12. Разходи'!AN70-'12. Разходи'!$AI70</f>
        <v>0</v>
      </c>
      <c r="BE70" s="865">
        <f>IFERROR(('12. Разходи'!AN70-'12. Разходи'!$AI70)/'12. Разходи'!$AI70,0)</f>
        <v>0</v>
      </c>
      <c r="BF70" s="4422"/>
      <c r="BG70" s="4438">
        <f t="shared" si="1"/>
        <v>340.39308119826364</v>
      </c>
      <c r="BH70" s="4438">
        <f t="shared" si="2"/>
        <v>4.1000495953124787</v>
      </c>
      <c r="BI70" s="4438">
        <f t="shared" si="3"/>
        <v>5.9218336972027643</v>
      </c>
      <c r="BJ70" s="4438">
        <f t="shared" si="4"/>
        <v>7.798271322149648</v>
      </c>
      <c r="BK70" s="4438">
        <f t="shared" si="5"/>
        <v>9.7310020758450229</v>
      </c>
      <c r="BL70" s="4438">
        <f t="shared" si="6"/>
        <v>11.721714752151287</v>
      </c>
      <c r="BM70" s="4438">
        <f t="shared" si="7"/>
        <v>9.1690483698163661</v>
      </c>
      <c r="BN70" s="4438">
        <f t="shared" si="8"/>
        <v>0.64183338588714578</v>
      </c>
      <c r="BO70" s="4438">
        <f t="shared" si="9"/>
        <v>0.93615983855825113</v>
      </c>
      <c r="BP70" s="4438">
        <f t="shared" si="10"/>
        <v>1.2393160848094893</v>
      </c>
      <c r="BQ70" s="4438">
        <f t="shared" si="11"/>
        <v>1.5515670184482655</v>
      </c>
      <c r="BR70" s="4438">
        <f t="shared" si="12"/>
        <v>1.8731854800962049</v>
      </c>
      <c r="BS70" s="4438">
        <f t="shared" si="13"/>
        <v>27.654832895540615</v>
      </c>
      <c r="BT70" s="4438">
        <f t="shared" si="14"/>
        <v>0.70652775441362714</v>
      </c>
      <c r="BU70" s="4438">
        <f t="shared" si="15"/>
        <v>1.0511896115279959</v>
      </c>
      <c r="BV70" s="4438">
        <f t="shared" si="16"/>
        <v>1.4061913243557964</v>
      </c>
      <c r="BW70" s="4438">
        <f t="shared" si="17"/>
        <v>1.7718430885684344</v>
      </c>
      <c r="BX70" s="4438">
        <f t="shared" si="18"/>
        <v>2.1484644057074522</v>
      </c>
      <c r="BY70" s="4438">
        <f t="shared" si="19"/>
        <v>0</v>
      </c>
      <c r="BZ70" s="4438">
        <f t="shared" si="20"/>
        <v>0</v>
      </c>
      <c r="CA70" s="4438">
        <f t="shared" si="21"/>
        <v>0</v>
      </c>
      <c r="CB70" s="4438">
        <f t="shared" si="22"/>
        <v>0</v>
      </c>
      <c r="CC70" s="4438">
        <f t="shared" si="23"/>
        <v>0</v>
      </c>
      <c r="CD70" s="4438">
        <f t="shared" si="24"/>
        <v>0</v>
      </c>
      <c r="CE70" s="4438">
        <f t="shared" si="25"/>
        <v>0</v>
      </c>
      <c r="CF70" s="4438">
        <f t="shared" si="26"/>
        <v>0</v>
      </c>
      <c r="CG70" s="4438">
        <f t="shared" si="27"/>
        <v>0</v>
      </c>
      <c r="CH70" s="4438">
        <f t="shared" si="28"/>
        <v>0</v>
      </c>
      <c r="CI70" s="4438">
        <f t="shared" si="29"/>
        <v>0</v>
      </c>
      <c r="CJ70" s="4438">
        <f t="shared" si="30"/>
        <v>0</v>
      </c>
    </row>
    <row r="71" spans="1:88" ht="15.95" customHeight="1">
      <c r="A71" s="108" t="s">
        <v>268</v>
      </c>
      <c r="B71" s="870" t="s">
        <v>451</v>
      </c>
      <c r="C71" s="1085">
        <f>'12. Разходи'!C71</f>
        <v>40</v>
      </c>
      <c r="D71" s="1115">
        <f>'12. Разходи'!D71-'12. Разходи'!$C71</f>
        <v>2.8000000000000043</v>
      </c>
      <c r="E71" s="1095">
        <f>IFERROR(('12. Разходи'!D71-'12. Разходи'!$C71)/'12. Разходи'!$C71,0)</f>
        <v>7.0000000000000104E-2</v>
      </c>
      <c r="F71" s="882">
        <f>'12. Разходи'!E71-'12. Разходи'!$C71</f>
        <v>4.0840000000000032</v>
      </c>
      <c r="G71" s="1103">
        <f>IFERROR(('12. Разходи'!E71-'12. Разходи'!$C71)/'12. Разходи'!$C71,0)</f>
        <v>0.10210000000000008</v>
      </c>
      <c r="H71" s="882">
        <f>'12. Разходи'!F71-'12. Разходи'!$C71</f>
        <v>5.4065200000000075</v>
      </c>
      <c r="I71" s="1103">
        <f>IFERROR(('12. Разходи'!F71-'12. Разходи'!$C71)/'12. Разходи'!$C71,0)</f>
        <v>0.1351630000000002</v>
      </c>
      <c r="J71" s="882">
        <f>'12. Разходи'!G71-'12. Разходи'!$C71</f>
        <v>6.7687156000000073</v>
      </c>
      <c r="K71" s="1102">
        <f>IFERROR(('12. Разходи'!G71-'12. Разходи'!$C71)/'12. Разходи'!$C71,0)</f>
        <v>0.16921789000000018</v>
      </c>
      <c r="L71" s="1110">
        <f>'12. Разходи'!H71-'12. Разходи'!$C71</f>
        <v>8.1717770680000115</v>
      </c>
      <c r="M71" s="1102">
        <f>IFERROR(('12. Разходи'!H71-'12. Разходи'!$C71)/'12. Разходи'!$C71,0)</f>
        <v>0.20429442670000028</v>
      </c>
      <c r="N71" s="1151">
        <f>'12. Разходи'!K71</f>
        <v>0</v>
      </c>
      <c r="O71" s="1115">
        <f>'12. Разходи'!L71-'12. Разходи'!$K71</f>
        <v>0</v>
      </c>
      <c r="P71" s="1095">
        <f>IFERROR(('12. Разходи'!L71-'12. Разходи'!$K71)/'12. Разходи'!$K71,0)</f>
        <v>0</v>
      </c>
      <c r="Q71" s="882">
        <f>'12. Разходи'!M71-'12. Разходи'!$K71</f>
        <v>0</v>
      </c>
      <c r="R71" s="1103">
        <f>IFERROR(('12. Разходи'!M71-'12. Разходи'!$K71)/'12. Разходи'!$K71,0)</f>
        <v>0</v>
      </c>
      <c r="S71" s="882">
        <f>'12. Разходи'!N71-'12. Разходи'!$K71</f>
        <v>0</v>
      </c>
      <c r="T71" s="1103">
        <f>IFERROR(('12. Разходи'!N71-'12. Разходи'!$K71)/'12. Разходи'!$K71,0)</f>
        <v>0</v>
      </c>
      <c r="U71" s="882">
        <f>'12. Разходи'!O71-'12. Разходи'!$K71</f>
        <v>0</v>
      </c>
      <c r="V71" s="1102">
        <f>IFERROR(('12. Разходи'!O71-'12. Разходи'!$K71)/'12. Разходи'!$K71,0)</f>
        <v>0</v>
      </c>
      <c r="W71" s="1110">
        <f>'12. Разходи'!P71-'12. Разходи'!$K71</f>
        <v>0</v>
      </c>
      <c r="X71" s="1157">
        <f>IFERROR(('12. Разходи'!P71-'12. Разходи'!$K71)/'12. Разходи'!$K71,0)</f>
        <v>0</v>
      </c>
      <c r="Y71" s="1151">
        <f>'12. Разходи'!S71</f>
        <v>16</v>
      </c>
      <c r="Z71" s="1115">
        <f>'12. Разходи'!T71-'12. Разходи'!$S71</f>
        <v>1.120000000000001</v>
      </c>
      <c r="AA71" s="1095">
        <f>IFERROR(('12. Разходи'!T71-'12. Разходи'!$S71)/'12. Разходи'!$S71,0)</f>
        <v>7.0000000000000062E-2</v>
      </c>
      <c r="AB71" s="882">
        <f>'12. Разходи'!U71-'12. Разходи'!$S71</f>
        <v>1.6336000000000013</v>
      </c>
      <c r="AC71" s="1103">
        <f>IFERROR(('12. Разходи'!U71-'12. Разходи'!$S71)/'12. Разходи'!$S71,0)</f>
        <v>0.10210000000000008</v>
      </c>
      <c r="AD71" s="882">
        <f>'12. Разходи'!V71-'12. Разходи'!$S71</f>
        <v>2.1626080000000023</v>
      </c>
      <c r="AE71" s="1103">
        <f>IFERROR(('12. Разходи'!V71-'12. Разходи'!$S71)/'12. Разходи'!$S71,0)</f>
        <v>0.13516300000000014</v>
      </c>
      <c r="AF71" s="882">
        <f>'12. Разходи'!W71-'12. Разходи'!$S71</f>
        <v>2.7074862400000015</v>
      </c>
      <c r="AG71" s="1102">
        <f>IFERROR(('12. Разходи'!W71-'12. Разходи'!$S71)/'12. Разходи'!$S71,0)</f>
        <v>0.16921789000000009</v>
      </c>
      <c r="AH71" s="1110">
        <f>'12. Разходи'!X71-'12. Разходи'!$S71</f>
        <v>3.2687108272000032</v>
      </c>
      <c r="AI71" s="1157">
        <f>IFERROR(('12. Разходи'!X71-'12. Разходи'!$S71)/'12. Разходи'!$S71,0)</f>
        <v>0.2042944267000002</v>
      </c>
      <c r="AJ71" s="1151">
        <f>'12. Разходи'!AA71</f>
        <v>0</v>
      </c>
      <c r="AK71" s="1115">
        <f>'12. Разходи'!AB71-'12. Разходи'!$AA71</f>
        <v>0</v>
      </c>
      <c r="AL71" s="1095">
        <f>IFERROR(('12. Разходи'!AB71-'12. Разходи'!$AA71)/'12. Разходи'!$AA71,0)</f>
        <v>0</v>
      </c>
      <c r="AM71" s="882">
        <f>'12. Разходи'!AC71-'12. Разходи'!$AA71</f>
        <v>0</v>
      </c>
      <c r="AN71" s="1103">
        <f>IFERROR(('12. Разходи'!AC71-'12. Разходи'!$AA71)/'12. Разходи'!$AA71,0)</f>
        <v>0</v>
      </c>
      <c r="AO71" s="882">
        <f>'12. Разходи'!AD71-'12. Разходи'!$AA71</f>
        <v>0</v>
      </c>
      <c r="AP71" s="1103">
        <f>IFERROR(('12. Разходи'!AD71-'12. Разходи'!$AA71)/'12. Разходи'!$AA71,0)</f>
        <v>0</v>
      </c>
      <c r="AQ71" s="882">
        <f>'12. Разходи'!AE71-'12. Разходи'!$AA71</f>
        <v>0</v>
      </c>
      <c r="AR71" s="1102">
        <f>IFERROR(('12. Разходи'!AE71-'12. Разходи'!$AA71)/'12. Разходи'!$AA71,0)</f>
        <v>0</v>
      </c>
      <c r="AS71" s="1110">
        <f>'12. Разходи'!AF71-'12. Разходи'!$AA71</f>
        <v>0</v>
      </c>
      <c r="AT71" s="1157">
        <f>IFERROR(('12. Разходи'!AF71-'12. Разходи'!$AA71)/'12. Разходи'!$AA71,0)</f>
        <v>0</v>
      </c>
      <c r="AU71" s="1151">
        <f>'12. Разходи'!AI71</f>
        <v>0</v>
      </c>
      <c r="AV71" s="1115">
        <f>'12. Разходи'!AJ71-'12. Разходи'!$AI71</f>
        <v>0</v>
      </c>
      <c r="AW71" s="1095">
        <f>IFERROR(('12. Разходи'!AJ71-'12. Разходи'!$AI71)/'12. Разходи'!$AI71,0)</f>
        <v>0</v>
      </c>
      <c r="AX71" s="882">
        <f>'12. Разходи'!AK71-'12. Разходи'!$AI71</f>
        <v>0</v>
      </c>
      <c r="AY71" s="1103">
        <f>IFERROR(('12. Разходи'!AK71-'12. Разходи'!$AI71)/'12. Разходи'!$AI71,0)</f>
        <v>0</v>
      </c>
      <c r="AZ71" s="882">
        <f>'12. Разходи'!AL71-'12. Разходи'!$AI71</f>
        <v>0</v>
      </c>
      <c r="BA71" s="1103">
        <f>IFERROR(('12. Разходи'!AL71-'12. Разходи'!$AI71)/'12. Разходи'!$AI71,0)</f>
        <v>0</v>
      </c>
      <c r="BB71" s="882">
        <f>'12. Разходи'!AM71-'12. Разходи'!$AI71</f>
        <v>0</v>
      </c>
      <c r="BC71" s="1102">
        <f>IFERROR(('12. Разходи'!AM71-'12. Разходи'!$AI71)/'12. Разходи'!$AI71,0)</f>
        <v>0</v>
      </c>
      <c r="BD71" s="1110">
        <f>'12. Разходи'!AN71-'12. Разходи'!$AI71</f>
        <v>0</v>
      </c>
      <c r="BE71" s="1157">
        <f>IFERROR(('12. Разходи'!AN71-'12. Разходи'!$AI71)/'12. Разходи'!$AI71,0)</f>
        <v>0</v>
      </c>
      <c r="BF71" s="4422"/>
      <c r="BG71" s="4438">
        <f t="shared" si="1"/>
        <v>20.45167524784874</v>
      </c>
      <c r="BH71" s="4438">
        <f t="shared" si="2"/>
        <v>1.4316172673494141</v>
      </c>
      <c r="BI71" s="4438">
        <f t="shared" si="3"/>
        <v>2.0881160428053578</v>
      </c>
      <c r="BJ71" s="4438">
        <f t="shared" si="4"/>
        <v>2.7643097815249833</v>
      </c>
      <c r="BK71" s="4438">
        <f t="shared" si="5"/>
        <v>3.4607893324061947</v>
      </c>
      <c r="BL71" s="4438">
        <f t="shared" si="6"/>
        <v>4.1781632698138447</v>
      </c>
      <c r="BM71" s="4438">
        <f t="shared" si="7"/>
        <v>0</v>
      </c>
      <c r="BN71" s="4438">
        <f t="shared" si="8"/>
        <v>0</v>
      </c>
      <c r="BO71" s="4438">
        <f t="shared" si="9"/>
        <v>0</v>
      </c>
      <c r="BP71" s="4438">
        <f t="shared" si="10"/>
        <v>0</v>
      </c>
      <c r="BQ71" s="4438">
        <f t="shared" si="11"/>
        <v>0</v>
      </c>
      <c r="BR71" s="4438">
        <f t="shared" si="12"/>
        <v>0</v>
      </c>
      <c r="BS71" s="4438">
        <f t="shared" si="13"/>
        <v>8.1806700991394958</v>
      </c>
      <c r="BT71" s="4438">
        <f t="shared" si="14"/>
        <v>0.57264690693976528</v>
      </c>
      <c r="BU71" s="4438">
        <f t="shared" si="15"/>
        <v>0.8352464171221432</v>
      </c>
      <c r="BV71" s="4438">
        <f t="shared" si="16"/>
        <v>1.1057239126099929</v>
      </c>
      <c r="BW71" s="4438">
        <f t="shared" si="17"/>
        <v>1.3843157329624771</v>
      </c>
      <c r="BX71" s="4438">
        <f t="shared" si="18"/>
        <v>1.6712653079255371</v>
      </c>
      <c r="BY71" s="4438">
        <f t="shared" si="19"/>
        <v>0</v>
      </c>
      <c r="BZ71" s="4438">
        <f t="shared" si="20"/>
        <v>0</v>
      </c>
      <c r="CA71" s="4438">
        <f t="shared" si="21"/>
        <v>0</v>
      </c>
      <c r="CB71" s="4438">
        <f t="shared" si="22"/>
        <v>0</v>
      </c>
      <c r="CC71" s="4438">
        <f t="shared" si="23"/>
        <v>0</v>
      </c>
      <c r="CD71" s="4438">
        <f t="shared" si="24"/>
        <v>0</v>
      </c>
      <c r="CE71" s="4438">
        <f t="shared" si="25"/>
        <v>0</v>
      </c>
      <c r="CF71" s="4438">
        <f t="shared" si="26"/>
        <v>0</v>
      </c>
      <c r="CG71" s="4438">
        <f t="shared" si="27"/>
        <v>0</v>
      </c>
      <c r="CH71" s="4438">
        <f t="shared" si="28"/>
        <v>0</v>
      </c>
      <c r="CI71" s="4438">
        <f t="shared" si="29"/>
        <v>0</v>
      </c>
      <c r="CJ71" s="4438">
        <f t="shared" si="30"/>
        <v>0</v>
      </c>
    </row>
    <row r="72" spans="1:88" ht="15.95" customHeight="1">
      <c r="A72" s="108" t="s">
        <v>270</v>
      </c>
      <c r="B72" s="877" t="s">
        <v>452</v>
      </c>
      <c r="C72" s="1086">
        <f>'12. Разходи'!C72</f>
        <v>35</v>
      </c>
      <c r="D72" s="1115">
        <f>'12. Разходи'!D72-'12. Разходи'!$C72</f>
        <v>2.4500000000000028</v>
      </c>
      <c r="E72" s="1095">
        <f>IFERROR(('12. Разходи'!D72-'12. Разходи'!$C72)/'12. Разходи'!$C72,0)</f>
        <v>7.0000000000000076E-2</v>
      </c>
      <c r="F72" s="882">
        <f>'12. Разходи'!E72-'12. Разходи'!$C72</f>
        <v>3.5735000000000028</v>
      </c>
      <c r="G72" s="1103">
        <f>IFERROR(('12. Разходи'!E72-'12. Разходи'!$C72)/'12. Разходи'!$C72,0)</f>
        <v>0.10210000000000008</v>
      </c>
      <c r="H72" s="882">
        <f>'12. Разходи'!F72-'12. Разходи'!$C72</f>
        <v>4.7307050000000004</v>
      </c>
      <c r="I72" s="1103">
        <f>IFERROR(('12. Разходи'!F72-'12. Разходи'!$C72)/'12. Разходи'!$C72,0)</f>
        <v>0.13516300000000001</v>
      </c>
      <c r="J72" s="882">
        <f>'12. Разходи'!G72-'12. Разходи'!$C72</f>
        <v>5.9226261499999993</v>
      </c>
      <c r="K72" s="1102">
        <f>IFERROR(('12. Разходи'!G72-'12. Разходи'!$C72)/'12. Разходи'!$C72,0)</f>
        <v>0.16921788999999998</v>
      </c>
      <c r="L72" s="1110">
        <f>'12. Разходи'!H72-'12. Разходи'!$C72</f>
        <v>7.1503049344999994</v>
      </c>
      <c r="M72" s="1102">
        <f>IFERROR(('12. Разходи'!H72-'12. Разходи'!$C72)/'12. Разходи'!$C72,0)</f>
        <v>0.20429442669999998</v>
      </c>
      <c r="N72" s="1151">
        <f>'12. Разходи'!K72</f>
        <v>2</v>
      </c>
      <c r="O72" s="1115">
        <f>'12. Разходи'!L72-'12. Разходи'!$K72</f>
        <v>0.14000000000000012</v>
      </c>
      <c r="P72" s="1095">
        <f>IFERROR(('12. Разходи'!L72-'12. Разходи'!$K72)/'12. Разходи'!$K72,0)</f>
        <v>7.0000000000000062E-2</v>
      </c>
      <c r="Q72" s="882">
        <f>'12. Разходи'!M72-'12. Разходи'!$K72</f>
        <v>0.20420000000000016</v>
      </c>
      <c r="R72" s="1103">
        <f>IFERROR(('12. Разходи'!M72-'12. Разходи'!$K72)/'12. Разходи'!$K72,0)</f>
        <v>0.10210000000000008</v>
      </c>
      <c r="S72" s="882">
        <f>'12. Разходи'!N72-'12. Разходи'!$K72</f>
        <v>0.27032600000000029</v>
      </c>
      <c r="T72" s="1103">
        <f>IFERROR(('12. Разходи'!N72-'12. Разходи'!$K72)/'12. Разходи'!$K72,0)</f>
        <v>0.13516300000000014</v>
      </c>
      <c r="U72" s="882">
        <f>'12. Разходи'!O72-'12. Разходи'!$K72</f>
        <v>0.33843578000000019</v>
      </c>
      <c r="V72" s="1102">
        <f>IFERROR(('12. Разходи'!O72-'12. Разходи'!$K72)/'12. Разходи'!$K72,0)</f>
        <v>0.16921789000000009</v>
      </c>
      <c r="W72" s="1110">
        <f>'12. Разходи'!P72-'12. Разходи'!$K72</f>
        <v>0.4085888534000004</v>
      </c>
      <c r="X72" s="1157">
        <f>IFERROR(('12. Разходи'!P72-'12. Разходи'!$K72)/'12. Разходи'!$K72,0)</f>
        <v>0.2042944267000002</v>
      </c>
      <c r="Y72" s="1151">
        <f>'12. Разходи'!S72</f>
        <v>4</v>
      </c>
      <c r="Z72" s="1115">
        <f>'12. Разходи'!T72-'12. Разходи'!$S72</f>
        <v>0.28000000000000025</v>
      </c>
      <c r="AA72" s="1095">
        <f>IFERROR(('12. Разходи'!T72-'12. Разходи'!$S72)/'12. Разходи'!$S72,0)</f>
        <v>7.0000000000000062E-2</v>
      </c>
      <c r="AB72" s="882">
        <f>'12. Разходи'!U72-'12. Разходи'!$S72</f>
        <v>0.40840000000000032</v>
      </c>
      <c r="AC72" s="1103">
        <f>IFERROR(('12. Разходи'!U72-'12. Разходи'!$S72)/'12. Разходи'!$S72,0)</f>
        <v>0.10210000000000008</v>
      </c>
      <c r="AD72" s="882">
        <f>'12. Разходи'!V72-'12. Разходи'!$S72</f>
        <v>0.54065200000000058</v>
      </c>
      <c r="AE72" s="1103">
        <f>IFERROR(('12. Разходи'!V72-'12. Разходи'!$S72)/'12. Разходи'!$S72,0)</f>
        <v>0.13516300000000014</v>
      </c>
      <c r="AF72" s="882">
        <f>'12. Разходи'!W72-'12. Разходи'!$S72</f>
        <v>0.67687156000000037</v>
      </c>
      <c r="AG72" s="1102">
        <f>IFERROR(('12. Разходи'!W72-'12. Разходи'!$S72)/'12. Разходи'!$S72,0)</f>
        <v>0.16921789000000009</v>
      </c>
      <c r="AH72" s="1110">
        <f>'12. Разходи'!X72-'12. Разходи'!$S72</f>
        <v>0.81717770680000079</v>
      </c>
      <c r="AI72" s="1157">
        <f>IFERROR(('12. Разходи'!X72-'12. Разходи'!$S72)/'12. Разходи'!$S72,0)</f>
        <v>0.2042944267000002</v>
      </c>
      <c r="AJ72" s="3097"/>
      <c r="AK72" s="3098"/>
      <c r="AL72" s="3025"/>
      <c r="AM72" s="3099"/>
      <c r="AN72" s="3025"/>
      <c r="AO72" s="3099"/>
      <c r="AP72" s="3025"/>
      <c r="AQ72" s="3099"/>
      <c r="AR72" s="3100"/>
      <c r="AS72" s="3099"/>
      <c r="AT72" s="3101"/>
      <c r="AU72" s="3097"/>
      <c r="AV72" s="3098"/>
      <c r="AW72" s="3025"/>
      <c r="AX72" s="3099"/>
      <c r="AY72" s="3025"/>
      <c r="AZ72" s="3099"/>
      <c r="BA72" s="3025"/>
      <c r="BB72" s="3099"/>
      <c r="BC72" s="3100"/>
      <c r="BD72" s="3099"/>
      <c r="BE72" s="3101"/>
      <c r="BF72" s="4422"/>
      <c r="BG72" s="4438">
        <f t="shared" si="1"/>
        <v>17.895215841867646</v>
      </c>
      <c r="BH72" s="4438">
        <f t="shared" si="2"/>
        <v>1.2526651089307368</v>
      </c>
      <c r="BI72" s="4438">
        <f t="shared" si="3"/>
        <v>1.8271015374546882</v>
      </c>
      <c r="BJ72" s="4438">
        <f t="shared" si="4"/>
        <v>2.4187710588343569</v>
      </c>
      <c r="BK72" s="4438">
        <f t="shared" si="5"/>
        <v>3.0281906658554165</v>
      </c>
      <c r="BL72" s="4438">
        <f t="shared" si="6"/>
        <v>3.6558928610871084</v>
      </c>
      <c r="BM72" s="4438">
        <f t="shared" si="7"/>
        <v>1.022583762392437</v>
      </c>
      <c r="BN72" s="4438">
        <f t="shared" si="8"/>
        <v>7.158086336747066E-2</v>
      </c>
      <c r="BO72" s="4438">
        <f t="shared" si="9"/>
        <v>0.1044058021402679</v>
      </c>
      <c r="BP72" s="4438">
        <f t="shared" si="10"/>
        <v>0.13821548907624912</v>
      </c>
      <c r="BQ72" s="4438">
        <f t="shared" si="11"/>
        <v>0.17303946662030964</v>
      </c>
      <c r="BR72" s="4438">
        <f t="shared" si="12"/>
        <v>0.20890816349069213</v>
      </c>
      <c r="BS72" s="4438">
        <f t="shared" si="13"/>
        <v>2.045167524784874</v>
      </c>
      <c r="BT72" s="4438">
        <f t="shared" si="14"/>
        <v>0.14316172673494132</v>
      </c>
      <c r="BU72" s="4438">
        <f t="shared" si="15"/>
        <v>0.2088116042805358</v>
      </c>
      <c r="BV72" s="4438">
        <f t="shared" si="16"/>
        <v>0.27643097815249823</v>
      </c>
      <c r="BW72" s="4438">
        <f t="shared" si="17"/>
        <v>0.34607893324061928</v>
      </c>
      <c r="BX72" s="4438">
        <f t="shared" si="18"/>
        <v>0.41781632698138427</v>
      </c>
      <c r="BY72" s="4438">
        <f t="shared" si="19"/>
        <v>0</v>
      </c>
      <c r="BZ72" s="4438">
        <f t="shared" si="20"/>
        <v>0</v>
      </c>
      <c r="CA72" s="4438">
        <f t="shared" si="21"/>
        <v>0</v>
      </c>
      <c r="CB72" s="4438">
        <f t="shared" si="22"/>
        <v>0</v>
      </c>
      <c r="CC72" s="4438">
        <f t="shared" si="23"/>
        <v>0</v>
      </c>
      <c r="CD72" s="4438">
        <f t="shared" si="24"/>
        <v>0</v>
      </c>
      <c r="CE72" s="4438">
        <f t="shared" si="25"/>
        <v>0</v>
      </c>
      <c r="CF72" s="4438">
        <f t="shared" si="26"/>
        <v>0</v>
      </c>
      <c r="CG72" s="4438">
        <f t="shared" si="27"/>
        <v>0</v>
      </c>
      <c r="CH72" s="4438">
        <f t="shared" si="28"/>
        <v>0</v>
      </c>
      <c r="CI72" s="4438">
        <f t="shared" si="29"/>
        <v>0</v>
      </c>
      <c r="CJ72" s="4438">
        <f t="shared" si="30"/>
        <v>0</v>
      </c>
    </row>
    <row r="73" spans="1:88" ht="15.95" customHeight="1">
      <c r="A73" s="108" t="s">
        <v>272</v>
      </c>
      <c r="B73" s="871" t="s">
        <v>453</v>
      </c>
      <c r="C73" s="1086">
        <f>'12. Разходи'!C73</f>
        <v>554.75099999999998</v>
      </c>
      <c r="D73" s="1115">
        <f>'12. Разходи'!D73-'12. Разходи'!$C73</f>
        <v>0.24900000000002365</v>
      </c>
      <c r="E73" s="1095">
        <f>IFERROR(('12. Разходи'!D73-'12. Разходи'!$C73)/'12. Разходи'!$C73,0)</f>
        <v>4.4885002460567653E-4</v>
      </c>
      <c r="F73" s="882">
        <f>'12. Разходи'!E73-'12. Разходи'!$C73</f>
        <v>0.24900000000002365</v>
      </c>
      <c r="G73" s="1103">
        <f>IFERROR(('12. Разходи'!E73-'12. Разходи'!$C73)/'12. Разходи'!$C73,0)</f>
        <v>4.4885002460567653E-4</v>
      </c>
      <c r="H73" s="882">
        <f>'12. Разходи'!F73-'12. Разходи'!$C73</f>
        <v>0.24900000000002365</v>
      </c>
      <c r="I73" s="1103">
        <f>IFERROR(('12. Разходи'!F73-'12. Разходи'!$C73)/'12. Разходи'!$C73,0)</f>
        <v>4.4885002460567653E-4</v>
      </c>
      <c r="J73" s="882">
        <f>'12. Разходи'!G73-'12. Разходи'!$C73</f>
        <v>0.24900000000002365</v>
      </c>
      <c r="K73" s="1102">
        <f>IFERROR(('12. Разходи'!G73-'12. Разходи'!$C73)/'12. Разходи'!$C73,0)</f>
        <v>4.4885002460567653E-4</v>
      </c>
      <c r="L73" s="1110">
        <f>'12. Разходи'!H73-'12. Разходи'!$C73</f>
        <v>0.24900000000002365</v>
      </c>
      <c r="M73" s="1102">
        <f>IFERROR(('12. Разходи'!H73-'12. Разходи'!$C73)/'12. Разходи'!$C73,0)</f>
        <v>4.4885002460567653E-4</v>
      </c>
      <c r="N73" s="3097"/>
      <c r="O73" s="3098"/>
      <c r="P73" s="3025"/>
      <c r="Q73" s="3099"/>
      <c r="R73" s="3025"/>
      <c r="S73" s="3099"/>
      <c r="T73" s="3025"/>
      <c r="U73" s="3099"/>
      <c r="V73" s="3100"/>
      <c r="W73" s="3099"/>
      <c r="X73" s="3101"/>
      <c r="Y73" s="3097"/>
      <c r="Z73" s="3098"/>
      <c r="AA73" s="3025"/>
      <c r="AB73" s="3099"/>
      <c r="AC73" s="3025"/>
      <c r="AD73" s="3099"/>
      <c r="AE73" s="3025"/>
      <c r="AF73" s="3099"/>
      <c r="AG73" s="3100"/>
      <c r="AH73" s="3099"/>
      <c r="AI73" s="3101"/>
      <c r="AJ73" s="3102">
        <f>'12. Разходи'!AA73</f>
        <v>0</v>
      </c>
      <c r="AK73" s="1115">
        <f>'12. Разходи'!AB73-'12. Разходи'!$AA73</f>
        <v>0</v>
      </c>
      <c r="AL73" s="1095">
        <f>IFERROR(('12. Разходи'!AB73-'12. Разходи'!$AA73)/'12. Разходи'!$AA73,0)</f>
        <v>0</v>
      </c>
      <c r="AM73" s="882">
        <f>'12. Разходи'!AC73-'12. Разходи'!$AA73</f>
        <v>0</v>
      </c>
      <c r="AN73" s="1103">
        <f>IFERROR(('12. Разходи'!AC73-'12. Разходи'!$AA73)/'12. Разходи'!$AA73,0)</f>
        <v>0</v>
      </c>
      <c r="AO73" s="882">
        <f>'12. Разходи'!AD73-'12. Разходи'!$AA73</f>
        <v>0</v>
      </c>
      <c r="AP73" s="1103">
        <f>IFERROR(('12. Разходи'!AD73-'12. Разходи'!$AA73)/'12. Разходи'!$AA73,0)</f>
        <v>0</v>
      </c>
      <c r="AQ73" s="882">
        <f>'12. Разходи'!AE73-'12. Разходи'!$AA73</f>
        <v>0</v>
      </c>
      <c r="AR73" s="1102">
        <f>IFERROR(('12. Разходи'!AE73-'12. Разходи'!$AA73)/'12. Разходи'!$AA73,0)</f>
        <v>0</v>
      </c>
      <c r="AS73" s="1110">
        <f>'12. Разходи'!AF73-'12. Разходи'!$AA73</f>
        <v>0</v>
      </c>
      <c r="AT73" s="1157">
        <f>IFERROR(('12. Разходи'!AF73-'12. Разходи'!$AA73)/'12. Разходи'!$AA73,0)</f>
        <v>0</v>
      </c>
      <c r="AU73" s="1151">
        <f>'12. Разходи'!AI73</f>
        <v>0</v>
      </c>
      <c r="AV73" s="1115">
        <f>'12. Разходи'!AJ73-'12. Разходи'!$AI73</f>
        <v>0</v>
      </c>
      <c r="AW73" s="1095">
        <f>IFERROR(('12. Разходи'!AJ73-'12. Разходи'!$AI73)/'12. Разходи'!$AI73,0)</f>
        <v>0</v>
      </c>
      <c r="AX73" s="882">
        <f>'12. Разходи'!AK73-'12. Разходи'!$AI73</f>
        <v>0</v>
      </c>
      <c r="AY73" s="1103">
        <f>IFERROR(('12. Разходи'!AK73-'12. Разходи'!$AI73)/'12. Разходи'!$AI73,0)</f>
        <v>0</v>
      </c>
      <c r="AZ73" s="882">
        <f>'12. Разходи'!AL73-'12. Разходи'!$AI73</f>
        <v>0</v>
      </c>
      <c r="BA73" s="1103">
        <f>IFERROR(('12. Разходи'!AL73-'12. Разходи'!$AI73)/'12. Разходи'!$AI73,0)</f>
        <v>0</v>
      </c>
      <c r="BB73" s="882">
        <f>'12. Разходи'!AM73-'12. Разходи'!$AI73</f>
        <v>0</v>
      </c>
      <c r="BC73" s="1102">
        <f>IFERROR(('12. Разходи'!AM73-'12. Разходи'!$AI73)/'12. Разходи'!$AI73,0)</f>
        <v>0</v>
      </c>
      <c r="BD73" s="1110">
        <f>'12. Разходи'!AN73-'12. Разходи'!$AI73</f>
        <v>0</v>
      </c>
      <c r="BE73" s="1157">
        <f>IFERROR(('12. Разходи'!AN73-'12. Разходи'!$AI73)/'12. Разходи'!$AI73,0)</f>
        <v>0</v>
      </c>
      <c r="BF73" s="4422"/>
      <c r="BG73" s="4438">
        <f t="shared" si="1"/>
        <v>283.63968238548341</v>
      </c>
      <c r="BH73" s="4438">
        <f t="shared" si="2"/>
        <v>0.1273116784178705</v>
      </c>
      <c r="BI73" s="4438">
        <f t="shared" si="3"/>
        <v>0.1273116784178705</v>
      </c>
      <c r="BJ73" s="4438">
        <f t="shared" si="4"/>
        <v>0.1273116784178705</v>
      </c>
      <c r="BK73" s="4438">
        <f t="shared" si="5"/>
        <v>0.1273116784178705</v>
      </c>
      <c r="BL73" s="4438">
        <f t="shared" si="6"/>
        <v>0.1273116784178705</v>
      </c>
      <c r="BM73" s="4438">
        <f t="shared" si="7"/>
        <v>0</v>
      </c>
      <c r="BN73" s="4438">
        <f t="shared" si="8"/>
        <v>0</v>
      </c>
      <c r="BO73" s="4438">
        <f t="shared" si="9"/>
        <v>0</v>
      </c>
      <c r="BP73" s="4438">
        <f t="shared" si="10"/>
        <v>0</v>
      </c>
      <c r="BQ73" s="4438">
        <f t="shared" si="11"/>
        <v>0</v>
      </c>
      <c r="BR73" s="4438">
        <f t="shared" si="12"/>
        <v>0</v>
      </c>
      <c r="BS73" s="4438">
        <f t="shared" si="13"/>
        <v>0</v>
      </c>
      <c r="BT73" s="4438">
        <f t="shared" si="14"/>
        <v>0</v>
      </c>
      <c r="BU73" s="4438">
        <f t="shared" si="15"/>
        <v>0</v>
      </c>
      <c r="BV73" s="4438">
        <f t="shared" si="16"/>
        <v>0</v>
      </c>
      <c r="BW73" s="4438">
        <f t="shared" si="17"/>
        <v>0</v>
      </c>
      <c r="BX73" s="4438">
        <f t="shared" si="18"/>
        <v>0</v>
      </c>
      <c r="BY73" s="4438">
        <f t="shared" si="19"/>
        <v>0</v>
      </c>
      <c r="BZ73" s="4438">
        <f t="shared" si="20"/>
        <v>0</v>
      </c>
      <c r="CA73" s="4438">
        <f t="shared" si="21"/>
        <v>0</v>
      </c>
      <c r="CB73" s="4438">
        <f t="shared" si="22"/>
        <v>0</v>
      </c>
      <c r="CC73" s="4438">
        <f t="shared" si="23"/>
        <v>0</v>
      </c>
      <c r="CD73" s="4438">
        <f t="shared" si="24"/>
        <v>0</v>
      </c>
      <c r="CE73" s="4438">
        <f t="shared" si="25"/>
        <v>0</v>
      </c>
      <c r="CF73" s="4438">
        <f t="shared" si="26"/>
        <v>0</v>
      </c>
      <c r="CG73" s="4438">
        <f t="shared" si="27"/>
        <v>0</v>
      </c>
      <c r="CH73" s="4438">
        <f t="shared" si="28"/>
        <v>0</v>
      </c>
      <c r="CI73" s="4438">
        <f t="shared" si="29"/>
        <v>0</v>
      </c>
      <c r="CJ73" s="4438">
        <f t="shared" si="30"/>
        <v>0</v>
      </c>
    </row>
    <row r="74" spans="1:88" ht="15.95" customHeight="1">
      <c r="A74" s="108" t="s">
        <v>274</v>
      </c>
      <c r="B74" s="871" t="s">
        <v>1336</v>
      </c>
      <c r="C74" s="3097"/>
      <c r="D74" s="3098"/>
      <c r="E74" s="3025"/>
      <c r="F74" s="3099"/>
      <c r="G74" s="3025"/>
      <c r="H74" s="3099"/>
      <c r="I74" s="3025"/>
      <c r="J74" s="3099"/>
      <c r="K74" s="3100"/>
      <c r="L74" s="3099"/>
      <c r="M74" s="3100"/>
      <c r="N74" s="3102">
        <f>'12. Разходи'!K74</f>
        <v>14.933099873137945</v>
      </c>
      <c r="O74" s="1115">
        <f>'12. Разходи'!L74-'12. Разходи'!$K74</f>
        <v>1.0453169911196571</v>
      </c>
      <c r="P74" s="1095">
        <f>IFERROR(('12. Разходи'!L74-'12. Разходи'!$K74)/'12. Разходи'!$K74,0)</f>
        <v>7.0000000000000062E-2</v>
      </c>
      <c r="Q74" s="882">
        <f>'12. Разходи'!M74-'12. Разходи'!$K74</f>
        <v>1.524669497047384</v>
      </c>
      <c r="R74" s="1103">
        <f>IFERROR(('12. Разходи'!M74-'12. Разходи'!$K74)/'12. Разходи'!$K74,0)</f>
        <v>0.10209999999999998</v>
      </c>
      <c r="S74" s="882">
        <f>'12. Разходи'!N74-'12. Разходи'!$K74</f>
        <v>2.0184025781529442</v>
      </c>
      <c r="T74" s="1103">
        <f>IFERROR(('12. Разходи'!N74-'12. Разходи'!$K74)/'12. Разходи'!$K74,0)</f>
        <v>0.13516300000000001</v>
      </c>
      <c r="U74" s="882">
        <f>'12. Разходи'!O74-'12. Разходи'!$K74</f>
        <v>2.5269476516916711</v>
      </c>
      <c r="V74" s="1102">
        <f>IFERROR(('12. Разходи'!O74-'12. Разходи'!$K74)/'12. Разходи'!$K74,0)</f>
        <v>0.16921789000000004</v>
      </c>
      <c r="W74" s="1110">
        <f>'12. Разходи'!P74-'12. Разходи'!$K74</f>
        <v>3.05074907743656</v>
      </c>
      <c r="X74" s="1157">
        <f>IFERROR(('12. Разходи'!P74-'12. Разходи'!$K74)/'12. Разходи'!$K74,0)</f>
        <v>0.20429442670000006</v>
      </c>
      <c r="Y74" s="1151">
        <f>'12. Разходи'!S74</f>
        <v>33.088151822085202</v>
      </c>
      <c r="Z74" s="1115">
        <f>'12. Разходи'!T74-'12. Разходи'!$S74</f>
        <v>-8.8151822085201559E-2</v>
      </c>
      <c r="AA74" s="1095">
        <f>IFERROR(('12. Разходи'!T74-'12. Разходи'!$S74)/'12. Разходи'!$S74,0)</f>
        <v>-2.6641506772331494E-3</v>
      </c>
      <c r="AB74" s="882">
        <f>'12. Разходи'!U74-'12. Разходи'!$S74</f>
        <v>-8.8151822085201559E-2</v>
      </c>
      <c r="AC74" s="1103">
        <f>IFERROR(('12. Разходи'!U74-'12. Разходи'!$S74)/'12. Разходи'!$S74,0)</f>
        <v>-2.6641506772331494E-3</v>
      </c>
      <c r="AD74" s="882">
        <f>'12. Разходи'!V74-'12. Разходи'!$S74</f>
        <v>-8.8151822085201559E-2</v>
      </c>
      <c r="AE74" s="1103">
        <f>IFERROR(('12. Разходи'!V74-'12. Разходи'!$S74)/'12. Разходи'!$S74,0)</f>
        <v>-2.6641506772331494E-3</v>
      </c>
      <c r="AF74" s="882">
        <f>'12. Разходи'!W74-'12. Разходи'!$S74</f>
        <v>-8.8151822085201559E-2</v>
      </c>
      <c r="AG74" s="1102">
        <f>IFERROR(('12. Разходи'!W74-'12. Разходи'!$S74)/'12. Разходи'!$S74,0)</f>
        <v>-2.6641506772331494E-3</v>
      </c>
      <c r="AH74" s="1110">
        <f>'12. Разходи'!X74-'12. Разходи'!$S74</f>
        <v>-8.8151822085201559E-2</v>
      </c>
      <c r="AI74" s="1157">
        <f>IFERROR(('12. Разходи'!X74-'12. Разходи'!$S74)/'12. Разходи'!$S74,0)</f>
        <v>-2.6641506772331494E-3</v>
      </c>
      <c r="AJ74" s="3097"/>
      <c r="AK74" s="3098"/>
      <c r="AL74" s="3025"/>
      <c r="AM74" s="3099"/>
      <c r="AN74" s="3025"/>
      <c r="AO74" s="3099"/>
      <c r="AP74" s="3025"/>
      <c r="AQ74" s="3099"/>
      <c r="AR74" s="3100"/>
      <c r="AS74" s="3099"/>
      <c r="AT74" s="3101"/>
      <c r="AU74" s="3097"/>
      <c r="AV74" s="3098"/>
      <c r="AW74" s="3025"/>
      <c r="AX74" s="3099"/>
      <c r="AY74" s="3025"/>
      <c r="AZ74" s="3099"/>
      <c r="BA74" s="3025"/>
      <c r="BB74" s="3099"/>
      <c r="BC74" s="3100"/>
      <c r="BD74" s="3099"/>
      <c r="BE74" s="3101"/>
      <c r="BF74" s="4422"/>
      <c r="BG74" s="4438">
        <f t="shared" si="1"/>
        <v>0</v>
      </c>
      <c r="BH74" s="4438">
        <f t="shared" si="2"/>
        <v>0</v>
      </c>
      <c r="BI74" s="4438">
        <f t="shared" si="3"/>
        <v>0</v>
      </c>
      <c r="BJ74" s="4438">
        <f t="shared" si="4"/>
        <v>0</v>
      </c>
      <c r="BK74" s="4438">
        <f t="shared" si="5"/>
        <v>0</v>
      </c>
      <c r="BL74" s="4438">
        <f t="shared" si="6"/>
        <v>0</v>
      </c>
      <c r="BM74" s="4438">
        <f t="shared" si="7"/>
        <v>7.6351727262277116</v>
      </c>
      <c r="BN74" s="4438">
        <f t="shared" si="8"/>
        <v>0.53446209083594032</v>
      </c>
      <c r="BO74" s="4438">
        <f t="shared" si="9"/>
        <v>0.77955113534784926</v>
      </c>
      <c r="BP74" s="4438">
        <f t="shared" si="10"/>
        <v>1.0319928511951162</v>
      </c>
      <c r="BQ74" s="4438">
        <f t="shared" si="11"/>
        <v>1.2920078185178012</v>
      </c>
      <c r="BR74" s="4438">
        <f t="shared" si="12"/>
        <v>1.5598232348601668</v>
      </c>
      <c r="BS74" s="4438">
        <f t="shared" si="13"/>
        <v>16.917703390420026</v>
      </c>
      <c r="BT74" s="4438">
        <f t="shared" si="14"/>
        <v>-4.5071310944817068E-2</v>
      </c>
      <c r="BU74" s="4438">
        <f t="shared" si="15"/>
        <v>-4.5071310944817068E-2</v>
      </c>
      <c r="BV74" s="4438">
        <f t="shared" si="16"/>
        <v>-4.5071310944817068E-2</v>
      </c>
      <c r="BW74" s="4438">
        <f t="shared" si="17"/>
        <v>-4.5071310944817068E-2</v>
      </c>
      <c r="BX74" s="4438">
        <f t="shared" si="18"/>
        <v>-4.5071310944817068E-2</v>
      </c>
      <c r="BY74" s="4438">
        <f t="shared" si="19"/>
        <v>0</v>
      </c>
      <c r="BZ74" s="4438">
        <f t="shared" si="20"/>
        <v>0</v>
      </c>
      <c r="CA74" s="4438">
        <f t="shared" si="21"/>
        <v>0</v>
      </c>
      <c r="CB74" s="4438">
        <f t="shared" si="22"/>
        <v>0</v>
      </c>
      <c r="CC74" s="4438">
        <f t="shared" si="23"/>
        <v>0</v>
      </c>
      <c r="CD74" s="4438">
        <f t="shared" si="24"/>
        <v>0</v>
      </c>
      <c r="CE74" s="4438">
        <f t="shared" si="25"/>
        <v>0</v>
      </c>
      <c r="CF74" s="4438">
        <f t="shared" si="26"/>
        <v>0</v>
      </c>
      <c r="CG74" s="4438">
        <f t="shared" si="27"/>
        <v>0</v>
      </c>
      <c r="CH74" s="4438">
        <f t="shared" si="28"/>
        <v>0</v>
      </c>
      <c r="CI74" s="4438">
        <f t="shared" si="29"/>
        <v>0</v>
      </c>
      <c r="CJ74" s="4438">
        <f t="shared" si="30"/>
        <v>0</v>
      </c>
    </row>
    <row r="75" spans="1:88" ht="15.95" customHeight="1" thickBot="1">
      <c r="A75" s="108" t="s">
        <v>276</v>
      </c>
      <c r="B75" s="132" t="s">
        <v>455</v>
      </c>
      <c r="C75" s="1091">
        <f>'12. Разходи'!C75</f>
        <v>36</v>
      </c>
      <c r="D75" s="1115">
        <f>'12. Разходи'!D75-'12. Разходи'!$C75</f>
        <v>2.5200000000000031</v>
      </c>
      <c r="E75" s="1095">
        <f>IFERROR(('12. Разходи'!D75-'12. Разходи'!$C75)/'12. Разходи'!$C75,0)</f>
        <v>7.000000000000009E-2</v>
      </c>
      <c r="F75" s="882">
        <f>'12. Разходи'!E75-'12. Разходи'!$C75</f>
        <v>3.6756000000000029</v>
      </c>
      <c r="G75" s="1103">
        <f>IFERROR(('12. Разходи'!E75-'12. Разходи'!$C75)/'12. Разходи'!$C75,0)</f>
        <v>0.10210000000000008</v>
      </c>
      <c r="H75" s="882">
        <f>'12. Разходи'!F75-'12. Разходи'!$C75</f>
        <v>4.8658680000000061</v>
      </c>
      <c r="I75" s="1103">
        <f>IFERROR(('12. Разходи'!F75-'12. Разходи'!$C75)/'12. Разходи'!$C75,0)</f>
        <v>0.13516300000000017</v>
      </c>
      <c r="J75" s="882">
        <f>'12. Разходи'!G75-'12. Разходи'!$C75</f>
        <v>6.0918440400000051</v>
      </c>
      <c r="K75" s="1102">
        <f>IFERROR(('12. Разходи'!G75-'12. Разходи'!$C75)/'12. Разходи'!$C75,0)</f>
        <v>0.16921789000000015</v>
      </c>
      <c r="L75" s="1110">
        <f>'12. Разходи'!H75-'12. Разходи'!$C75</f>
        <v>7.3545993612000089</v>
      </c>
      <c r="M75" s="1102">
        <f>IFERROR(('12. Разходи'!H75-'12. Разходи'!$C75)/'12. Разходи'!$C75,0)</f>
        <v>0.20429442670000025</v>
      </c>
      <c r="N75" s="1151">
        <f>'12. Разходи'!K75</f>
        <v>1</v>
      </c>
      <c r="O75" s="1115">
        <f>'12. Разходи'!L75-'12. Разходи'!$K75</f>
        <v>7.0000000000000062E-2</v>
      </c>
      <c r="P75" s="1095">
        <f>IFERROR(('12. Разходи'!L75-'12. Разходи'!$K75)/'12. Разходи'!$K75,0)</f>
        <v>7.0000000000000062E-2</v>
      </c>
      <c r="Q75" s="882">
        <f>'12. Разходи'!M75-'12. Разходи'!$K75</f>
        <v>0.10210000000000008</v>
      </c>
      <c r="R75" s="1103">
        <f>IFERROR(('12. Разходи'!M75-'12. Разходи'!$K75)/'12. Разходи'!$K75,0)</f>
        <v>0.10210000000000008</v>
      </c>
      <c r="S75" s="882">
        <f>'12. Разходи'!N75-'12. Разходи'!$K75</f>
        <v>0.13516300000000014</v>
      </c>
      <c r="T75" s="1103">
        <f>IFERROR(('12. Разходи'!N75-'12. Разходи'!$K75)/'12. Разходи'!$K75,0)</f>
        <v>0.13516300000000014</v>
      </c>
      <c r="U75" s="882">
        <f>'12. Разходи'!O75-'12. Разходи'!$K75</f>
        <v>0.16921789000000009</v>
      </c>
      <c r="V75" s="1102">
        <f>IFERROR(('12. Разходи'!O75-'12. Разходи'!$K75)/'12. Разходи'!$K75,0)</f>
        <v>0.16921789000000009</v>
      </c>
      <c r="W75" s="1110">
        <f>'12. Разходи'!P75-'12. Разходи'!$K75</f>
        <v>0.2042944267000002</v>
      </c>
      <c r="X75" s="1157">
        <f>IFERROR(('12. Разходи'!P75-'12. Разходи'!$K75)/'12. Разходи'!$K75,0)</f>
        <v>0.2042944267000002</v>
      </c>
      <c r="Y75" s="1151">
        <f>'12. Разходи'!S75</f>
        <v>1</v>
      </c>
      <c r="Z75" s="1115">
        <f>'12. Разходи'!T75-'12. Разходи'!$S75</f>
        <v>7.0000000000000062E-2</v>
      </c>
      <c r="AA75" s="1095">
        <f>IFERROR(('12. Разходи'!T75-'12. Разходи'!$S75)/'12. Разходи'!$S75,0)</f>
        <v>7.0000000000000062E-2</v>
      </c>
      <c r="AB75" s="882">
        <f>'12. Разходи'!U75-'12. Разходи'!$S75</f>
        <v>0.10210000000000008</v>
      </c>
      <c r="AC75" s="1103">
        <f>IFERROR(('12. Разходи'!U75-'12. Разходи'!$S75)/'12. Разходи'!$S75,0)</f>
        <v>0.10210000000000008</v>
      </c>
      <c r="AD75" s="882">
        <f>'12. Разходи'!V75-'12. Разходи'!$S75</f>
        <v>0.13516300000000014</v>
      </c>
      <c r="AE75" s="1103">
        <f>IFERROR(('12. Разходи'!V75-'12. Разходи'!$S75)/'12. Разходи'!$S75,0)</f>
        <v>0.13516300000000014</v>
      </c>
      <c r="AF75" s="882">
        <f>'12. Разходи'!W75-'12. Разходи'!$S75</f>
        <v>0.16921789000000009</v>
      </c>
      <c r="AG75" s="1102">
        <f>IFERROR(('12. Разходи'!W75-'12. Разходи'!$S75)/'12. Разходи'!$S75,0)</f>
        <v>0.16921789000000009</v>
      </c>
      <c r="AH75" s="1110">
        <f>'12. Разходи'!X75-'12. Разходи'!$S75</f>
        <v>0.2042944267000002</v>
      </c>
      <c r="AI75" s="1157">
        <f>IFERROR(('12. Разходи'!X75-'12. Разходи'!$S75)/'12. Разходи'!$S75,0)</f>
        <v>0.2042944267000002</v>
      </c>
      <c r="AJ75" s="1151">
        <f>'12. Разходи'!AA75</f>
        <v>0</v>
      </c>
      <c r="AK75" s="1115">
        <f>'12. Разходи'!AB75-'12. Разходи'!$AA75</f>
        <v>0</v>
      </c>
      <c r="AL75" s="1095">
        <f>IFERROR(('12. Разходи'!AB75-'12. Разходи'!$AA75)/'12. Разходи'!$AA75,0)</f>
        <v>0</v>
      </c>
      <c r="AM75" s="882">
        <f>'12. Разходи'!AC75-'12. Разходи'!$AA75</f>
        <v>0</v>
      </c>
      <c r="AN75" s="1103">
        <f>IFERROR(('12. Разходи'!AC75-'12. Разходи'!$AA75)/'12. Разходи'!$AA75,0)</f>
        <v>0</v>
      </c>
      <c r="AO75" s="882">
        <f>'12. Разходи'!AD75-'12. Разходи'!$AA75</f>
        <v>0</v>
      </c>
      <c r="AP75" s="1103">
        <f>IFERROR(('12. Разходи'!AD75-'12. Разходи'!$AA75)/'12. Разходи'!$AA75,0)</f>
        <v>0</v>
      </c>
      <c r="AQ75" s="882">
        <f>'12. Разходи'!AE75-'12. Разходи'!$AA75</f>
        <v>0</v>
      </c>
      <c r="AR75" s="1102">
        <f>IFERROR(('12. Разходи'!AE75-'12. Разходи'!$AA75)/'12. Разходи'!$AA75,0)</f>
        <v>0</v>
      </c>
      <c r="AS75" s="1110">
        <f>'12. Разходи'!AF75-'12. Разходи'!$AA75</f>
        <v>0</v>
      </c>
      <c r="AT75" s="1157">
        <f>IFERROR(('12. Разходи'!AF75-'12. Разходи'!$AA75)/'12. Разходи'!$AA75,0)</f>
        <v>0</v>
      </c>
      <c r="AU75" s="1151">
        <f>'12. Разходи'!AI75</f>
        <v>0</v>
      </c>
      <c r="AV75" s="1115">
        <f>'12. Разходи'!AJ75-'12. Разходи'!$AI75</f>
        <v>0</v>
      </c>
      <c r="AW75" s="1095">
        <f>IFERROR(('12. Разходи'!AJ75-'12. Разходи'!$AI75)/'12. Разходи'!$AI75,0)</f>
        <v>0</v>
      </c>
      <c r="AX75" s="882">
        <f>'12. Разходи'!AK75-'12. Разходи'!$AI75</f>
        <v>0</v>
      </c>
      <c r="AY75" s="1103">
        <f>IFERROR(('12. Разходи'!AK75-'12. Разходи'!$AI75)/'12. Разходи'!$AI75,0)</f>
        <v>0</v>
      </c>
      <c r="AZ75" s="882">
        <f>'12. Разходи'!AL75-'12. Разходи'!$AI75</f>
        <v>0</v>
      </c>
      <c r="BA75" s="1103">
        <f>IFERROR(('12. Разходи'!AL75-'12. Разходи'!$AI75)/'12. Разходи'!$AI75,0)</f>
        <v>0</v>
      </c>
      <c r="BB75" s="882">
        <f>'12. Разходи'!AM75-'12. Разходи'!$AI75</f>
        <v>0</v>
      </c>
      <c r="BC75" s="1102">
        <f>IFERROR(('12. Разходи'!AM75-'12. Разходи'!$AI75)/'12. Разходи'!$AI75,0)</f>
        <v>0</v>
      </c>
      <c r="BD75" s="1110">
        <f>'12. Разходи'!AN75-'12. Разходи'!$AI75</f>
        <v>0</v>
      </c>
      <c r="BE75" s="1157">
        <f>IFERROR(('12. Разходи'!AN75-'12. Разходи'!$AI75)/'12. Разходи'!$AI75,0)</f>
        <v>0</v>
      </c>
      <c r="BF75" s="4422"/>
      <c r="BG75" s="4438">
        <f t="shared" si="1"/>
        <v>18.406507723063864</v>
      </c>
      <c r="BH75" s="4438">
        <f t="shared" si="2"/>
        <v>1.2884555406144722</v>
      </c>
      <c r="BI75" s="4438">
        <f t="shared" si="3"/>
        <v>1.8793044385248221</v>
      </c>
      <c r="BJ75" s="4438">
        <f t="shared" si="4"/>
        <v>2.4878788033724843</v>
      </c>
      <c r="BK75" s="4438">
        <f t="shared" si="5"/>
        <v>3.1147103991655745</v>
      </c>
      <c r="BL75" s="4438">
        <f t="shared" si="6"/>
        <v>3.7603469428324594</v>
      </c>
      <c r="BM75" s="4438">
        <f t="shared" si="7"/>
        <v>0.51129188119621849</v>
      </c>
      <c r="BN75" s="4438">
        <f t="shared" si="8"/>
        <v>3.579043168373533E-2</v>
      </c>
      <c r="BO75" s="4438">
        <f t="shared" si="9"/>
        <v>5.220290107013395E-2</v>
      </c>
      <c r="BP75" s="4438">
        <f t="shared" si="10"/>
        <v>6.9107744538124558E-2</v>
      </c>
      <c r="BQ75" s="4438">
        <f t="shared" si="11"/>
        <v>8.651973331015482E-2</v>
      </c>
      <c r="BR75" s="4438">
        <f t="shared" si="12"/>
        <v>0.10445408174534607</v>
      </c>
      <c r="BS75" s="4438">
        <f t="shared" si="13"/>
        <v>0.51129188119621849</v>
      </c>
      <c r="BT75" s="4438">
        <f t="shared" si="14"/>
        <v>3.579043168373533E-2</v>
      </c>
      <c r="BU75" s="4438">
        <f t="shared" si="15"/>
        <v>5.220290107013395E-2</v>
      </c>
      <c r="BV75" s="4438">
        <f t="shared" si="16"/>
        <v>6.9107744538124558E-2</v>
      </c>
      <c r="BW75" s="4438">
        <f t="shared" si="17"/>
        <v>8.651973331015482E-2</v>
      </c>
      <c r="BX75" s="4438">
        <f t="shared" si="18"/>
        <v>0.10445408174534607</v>
      </c>
      <c r="BY75" s="4438">
        <f t="shared" si="19"/>
        <v>0</v>
      </c>
      <c r="BZ75" s="4438">
        <f t="shared" si="20"/>
        <v>0</v>
      </c>
      <c r="CA75" s="4438">
        <f t="shared" si="21"/>
        <v>0</v>
      </c>
      <c r="CB75" s="4438">
        <f t="shared" si="22"/>
        <v>0</v>
      </c>
      <c r="CC75" s="4438">
        <f t="shared" si="23"/>
        <v>0</v>
      </c>
      <c r="CD75" s="4438">
        <f t="shared" si="24"/>
        <v>0</v>
      </c>
      <c r="CE75" s="4438">
        <f t="shared" si="25"/>
        <v>0</v>
      </c>
      <c r="CF75" s="4438">
        <f t="shared" si="26"/>
        <v>0</v>
      </c>
      <c r="CG75" s="4438">
        <f t="shared" si="27"/>
        <v>0</v>
      </c>
      <c r="CH75" s="4438">
        <f t="shared" si="28"/>
        <v>0</v>
      </c>
      <c r="CI75" s="4438">
        <f t="shared" si="29"/>
        <v>0</v>
      </c>
      <c r="CJ75" s="4438">
        <f t="shared" si="30"/>
        <v>0</v>
      </c>
    </row>
    <row r="76" spans="1:88" s="1134" customFormat="1" ht="15.95" customHeight="1" thickBot="1">
      <c r="A76" s="110">
        <v>7</v>
      </c>
      <c r="B76" s="872" t="s">
        <v>267</v>
      </c>
      <c r="C76" s="1084">
        <f>'12. Разходи'!C76</f>
        <v>83</v>
      </c>
      <c r="D76" s="1122">
        <f>'12. Разходи'!D76-'12. Разходи'!$C76</f>
        <v>3.6700000000000017</v>
      </c>
      <c r="E76" s="853">
        <f>IFERROR(('12. Разходи'!D76-'12. Разходи'!$C76)/'12. Разходи'!$C76,0)</f>
        <v>4.4216867469879538E-2</v>
      </c>
      <c r="F76" s="1121">
        <f>'12. Разходи'!E76-'12. Разходи'!$C76</f>
        <v>6.2700999999999993</v>
      </c>
      <c r="G76" s="853">
        <f>IFERROR(('12. Разходи'!E76-'12. Разходи'!$C76)/'12. Разходи'!$C76,0)</f>
        <v>7.5543373493975899E-2</v>
      </c>
      <c r="H76" s="1121">
        <f>'12. Разходи'!F76-'12. Разходи'!$C76</f>
        <v>8.9482030000000066</v>
      </c>
      <c r="I76" s="853">
        <f>IFERROR(('12. Разходи'!F76-'12. Разходи'!$C76)/'12. Разходи'!$C76,0)</f>
        <v>0.10780967469879527</v>
      </c>
      <c r="J76" s="1121">
        <f>'12. Разходи'!G76-'12. Разходи'!$C76</f>
        <v>11.706649090000013</v>
      </c>
      <c r="K76" s="863">
        <f>IFERROR(('12. Разходи'!G76-'12. Разходи'!$C76)/'12. Разходи'!$C76,0)</f>
        <v>0.14104396493975921</v>
      </c>
      <c r="L76" s="1121">
        <f>'12. Разходи'!H76-'12. Разходи'!$C76</f>
        <v>14.547848562700011</v>
      </c>
      <c r="M76" s="863">
        <f>IFERROR(('12. Разходи'!H76-'12. Разходи'!$C76)/'12. Разходи'!$C76,0)</f>
        <v>0.17527528388795194</v>
      </c>
      <c r="N76" s="1135">
        <f>'12. Разходи'!K76</f>
        <v>3</v>
      </c>
      <c r="O76" s="1122">
        <f>'12. Разходи'!L76-'12. Разходи'!$K76</f>
        <v>0.20999999999999996</v>
      </c>
      <c r="P76" s="853">
        <f>IFERROR(('12. Разходи'!L76-'12. Разходи'!$K76)/'12. Разходи'!$K76,0)</f>
        <v>6.9999999999999993E-2</v>
      </c>
      <c r="Q76" s="1121">
        <f>'12. Разходи'!M76-'12. Разходи'!$K76</f>
        <v>0.30630000000000024</v>
      </c>
      <c r="R76" s="853">
        <f>IFERROR(('12. Разходи'!M76-'12. Разходи'!$K76)/'12. Разходи'!$K76,0)</f>
        <v>0.10210000000000008</v>
      </c>
      <c r="S76" s="1121">
        <f>'12. Разходи'!N76-'12. Разходи'!$K76</f>
        <v>0.40548900000000021</v>
      </c>
      <c r="T76" s="853">
        <f>IFERROR(('12. Разходи'!N76-'12. Разходи'!$K76)/'12. Разходи'!$K76,0)</f>
        <v>0.13516300000000006</v>
      </c>
      <c r="U76" s="1121">
        <f>'12. Разходи'!O76-'12. Разходи'!$K76</f>
        <v>0.50765367000000028</v>
      </c>
      <c r="V76" s="863">
        <f>IFERROR(('12. Разходи'!O76-'12. Разходи'!$K76)/'12. Разходи'!$K76,0)</f>
        <v>0.16921789000000009</v>
      </c>
      <c r="W76" s="1121">
        <f>'12. Разходи'!P76-'12. Разходи'!$K76</f>
        <v>0.61288328010000059</v>
      </c>
      <c r="X76" s="865">
        <f>IFERROR(('12. Разходи'!P76-'12. Разходи'!$K76)/'12. Разходи'!$K76,0)</f>
        <v>0.2042944267000002</v>
      </c>
      <c r="Y76" s="1135">
        <f>'12. Разходи'!S76</f>
        <v>4</v>
      </c>
      <c r="Z76" s="1122">
        <f>'12. Разходи'!T76-'12. Разходи'!$S76</f>
        <v>0.28000000000000025</v>
      </c>
      <c r="AA76" s="853">
        <f>IFERROR(('12. Разходи'!T76-'12. Разходи'!$S76)/'12. Разходи'!$S76,0)</f>
        <v>7.0000000000000062E-2</v>
      </c>
      <c r="AB76" s="1121">
        <f>'12. Разходи'!U76-'12. Разходи'!$S76</f>
        <v>0.40840000000000032</v>
      </c>
      <c r="AC76" s="853">
        <f>IFERROR(('12. Разходи'!U76-'12. Разходи'!$S76)/'12. Разходи'!$S76,0)</f>
        <v>0.10210000000000008</v>
      </c>
      <c r="AD76" s="1121">
        <f>'12. Разходи'!V76-'12. Разходи'!$S76</f>
        <v>0.54065200000000058</v>
      </c>
      <c r="AE76" s="853">
        <f>IFERROR(('12. Разходи'!V76-'12. Разходи'!$S76)/'12. Разходи'!$S76,0)</f>
        <v>0.13516300000000014</v>
      </c>
      <c r="AF76" s="1121">
        <f>'12. Разходи'!W76-'12. Разходи'!$S76</f>
        <v>0.67687156000000037</v>
      </c>
      <c r="AG76" s="863">
        <f>IFERROR(('12. Разходи'!W76-'12. Разходи'!$S76)/'12. Разходи'!$S76,0)</f>
        <v>0.16921789000000009</v>
      </c>
      <c r="AH76" s="1121">
        <f>'12. Разходи'!X76-'12. Разходи'!$S76</f>
        <v>0.81717770680000079</v>
      </c>
      <c r="AI76" s="865">
        <f>IFERROR(('12. Разходи'!X76-'12. Разходи'!$S76)/'12. Разходи'!$S76,0)</f>
        <v>0.2042944267000002</v>
      </c>
      <c r="AJ76" s="1135">
        <f>'12. Разходи'!AA76</f>
        <v>0</v>
      </c>
      <c r="AK76" s="1122">
        <f>'12. Разходи'!AB76-'12. Разходи'!$AA76</f>
        <v>0</v>
      </c>
      <c r="AL76" s="853">
        <f>IFERROR(('12. Разходи'!AB76-'12. Разходи'!$AA76)/'12. Разходи'!$AA76,0)</f>
        <v>0</v>
      </c>
      <c r="AM76" s="1121">
        <f>'12. Разходи'!AC76-'12. Разходи'!$AA76</f>
        <v>0</v>
      </c>
      <c r="AN76" s="853">
        <f>IFERROR(('12. Разходи'!AC76-'12. Разходи'!$AA76)/'12. Разходи'!$AA76,0)</f>
        <v>0</v>
      </c>
      <c r="AO76" s="1121">
        <f>'12. Разходи'!AD76-'12. Разходи'!$AA76</f>
        <v>0</v>
      </c>
      <c r="AP76" s="853">
        <f>IFERROR(('12. Разходи'!AD76-'12. Разходи'!$AA76)/'12. Разходи'!$AA76,0)</f>
        <v>0</v>
      </c>
      <c r="AQ76" s="1121">
        <f>'12. Разходи'!AE76-'12. Разходи'!$AA76</f>
        <v>0</v>
      </c>
      <c r="AR76" s="863">
        <f>IFERROR(('12. Разходи'!AE76-'12. Разходи'!$AA76)/'12. Разходи'!$AA76,0)</f>
        <v>0</v>
      </c>
      <c r="AS76" s="1121">
        <f>'12. Разходи'!AF76-'12. Разходи'!$AA76</f>
        <v>0</v>
      </c>
      <c r="AT76" s="865">
        <f>IFERROR(('12. Разходи'!AF76-'12. Разходи'!$AA76)/'12. Разходи'!$AA76,0)</f>
        <v>0</v>
      </c>
      <c r="AU76" s="1135">
        <f>'12. Разходи'!AI76</f>
        <v>0</v>
      </c>
      <c r="AV76" s="1122">
        <f>'12. Разходи'!AJ76-'12. Разходи'!$AI76</f>
        <v>0</v>
      </c>
      <c r="AW76" s="853">
        <f>IFERROR(('12. Разходи'!AJ76-'12. Разходи'!$AI76)/'12. Разходи'!$AI76,0)</f>
        <v>0</v>
      </c>
      <c r="AX76" s="1121">
        <f>'12. Разходи'!AK76-'12. Разходи'!$AI76</f>
        <v>0</v>
      </c>
      <c r="AY76" s="853">
        <f>IFERROR(('12. Разходи'!AK76-'12. Разходи'!$AI76)/'12. Разходи'!$AI76,0)</f>
        <v>0</v>
      </c>
      <c r="AZ76" s="1121">
        <f>'12. Разходи'!AL76-'12. Разходи'!$AI76</f>
        <v>0</v>
      </c>
      <c r="BA76" s="853">
        <f>IFERROR(('12. Разходи'!AL76-'12. Разходи'!$AI76)/'12. Разходи'!$AI76,0)</f>
        <v>0</v>
      </c>
      <c r="BB76" s="1121">
        <f>'12. Разходи'!AM76-'12. Разходи'!$AI76</f>
        <v>0</v>
      </c>
      <c r="BC76" s="863">
        <f>IFERROR(('12. Разходи'!AM76-'12. Разходи'!$AI76)/'12. Разходи'!$AI76,0)</f>
        <v>0</v>
      </c>
      <c r="BD76" s="1121">
        <f>'12. Разходи'!AN76-'12. Разходи'!$AI76</f>
        <v>0</v>
      </c>
      <c r="BE76" s="865">
        <f>IFERROR(('12. Разходи'!AN76-'12. Разходи'!$AI76)/'12. Разходи'!$AI76,0)</f>
        <v>0</v>
      </c>
      <c r="BF76" s="4422"/>
      <c r="BG76" s="4438">
        <f t="shared" ref="BG76:BG95" si="31">IFERROR(C76/$D$1,0)</f>
        <v>42.437226139286132</v>
      </c>
      <c r="BH76" s="4438">
        <f t="shared" ref="BH76:BH95" si="32">IFERROR(D76/$D$1,0)</f>
        <v>1.8764412039901228</v>
      </c>
      <c r="BI76" s="4438">
        <f t="shared" ref="BI76:BI95" si="33">IFERROR(F76/$D$1,0)</f>
        <v>3.2058512242884092</v>
      </c>
      <c r="BJ76" s="4438">
        <f t="shared" ref="BJ76:BJ95" si="34">IFERROR(H76/$D$1,0)</f>
        <v>4.5751435451956493</v>
      </c>
      <c r="BK76" s="4438">
        <f t="shared" ref="BK76:BK95" si="35">IFERROR(J76/$D$1,0)</f>
        <v>5.9855146357301061</v>
      </c>
      <c r="BL76" s="4438">
        <f t="shared" ref="BL76:BL95" si="36">IFERROR(L76/$D$1,0)</f>
        <v>7.438196858980592</v>
      </c>
      <c r="BM76" s="4438">
        <f t="shared" ref="BM76:BM95" si="37">IFERROR(N76/$D$1,0)</f>
        <v>1.5338756435886556</v>
      </c>
      <c r="BN76" s="4438">
        <f t="shared" ref="BN76:BN95" si="38">IFERROR(O76/$D$1,0)</f>
        <v>0.10737129505120586</v>
      </c>
      <c r="BO76" s="4438">
        <f t="shared" ref="BO76:BO95" si="39">IFERROR(Q76/$D$1,0)</f>
        <v>0.15660870321040185</v>
      </c>
      <c r="BP76" s="4438">
        <f t="shared" ref="BP76:BP95" si="40">IFERROR(S76/$D$1,0)</f>
        <v>0.20732323361437355</v>
      </c>
      <c r="BQ76" s="4438">
        <f t="shared" ref="BQ76:BQ95" si="41">IFERROR(U76/$D$1,0)</f>
        <v>0.25955919993046445</v>
      </c>
      <c r="BR76" s="4438">
        <f t="shared" ref="BR76:BR95" si="42">IFERROR(W76/$D$1,0)</f>
        <v>0.31336224523603823</v>
      </c>
      <c r="BS76" s="4438">
        <f t="shared" ref="BS76:BS95" si="43">IFERROR(Y76/$D$1,0)</f>
        <v>2.045167524784874</v>
      </c>
      <c r="BT76" s="4438">
        <f t="shared" ref="BT76:BT95" si="44">IFERROR(Z76/$D$1,0)</f>
        <v>0.14316172673494132</v>
      </c>
      <c r="BU76" s="4438">
        <f t="shared" ref="BU76:BU95" si="45">IFERROR(AB76/$D$1,0)</f>
        <v>0.2088116042805358</v>
      </c>
      <c r="BV76" s="4438">
        <f t="shared" ref="BV76:BV95" si="46">IFERROR(AD76/$D$1,0)</f>
        <v>0.27643097815249823</v>
      </c>
      <c r="BW76" s="4438">
        <f t="shared" ref="BW76:BW95" si="47">IFERROR(AF76/$D$1,0)</f>
        <v>0.34607893324061928</v>
      </c>
      <c r="BX76" s="4438">
        <f t="shared" ref="BX76:BX95" si="48">IFERROR(AH76/$D$1,0)</f>
        <v>0.41781632698138427</v>
      </c>
      <c r="BY76" s="4438">
        <f t="shared" ref="BY76:BY95" si="49">IFERROR(AJ76/$D$1,0)</f>
        <v>0</v>
      </c>
      <c r="BZ76" s="4438">
        <f t="shared" ref="BZ76:BZ95" si="50">IFERROR(AK76/$D$1,0)</f>
        <v>0</v>
      </c>
      <c r="CA76" s="4438">
        <f t="shared" ref="CA76:CA95" si="51">IFERROR(AM76/$D$1,0)</f>
        <v>0</v>
      </c>
      <c r="CB76" s="4438">
        <f t="shared" ref="CB76:CB95" si="52">IFERROR(AO76/$D$1,0)</f>
        <v>0</v>
      </c>
      <c r="CC76" s="4438">
        <f t="shared" ref="CC76:CC95" si="53">IFERROR(AQ76/$D$1,0)</f>
        <v>0</v>
      </c>
      <c r="CD76" s="4438">
        <f t="shared" ref="CD76:CD95" si="54">IFERROR(AS76/$D$1,0)</f>
        <v>0</v>
      </c>
      <c r="CE76" s="4438">
        <f t="shared" ref="CE76:CE95" si="55">IFERROR(AU76/$D$1,0)</f>
        <v>0</v>
      </c>
      <c r="CF76" s="4438">
        <f t="shared" ref="CF76:CF95" si="56">IFERROR(AV76/$D$1,0)</f>
        <v>0</v>
      </c>
      <c r="CG76" s="4438">
        <f t="shared" ref="CG76:CG95" si="57">IFERROR(AX76/$D$1,0)</f>
        <v>0</v>
      </c>
      <c r="CH76" s="4438">
        <f t="shared" ref="CH76:CH95" si="58">IFERROR(AZ76/$D$1,0)</f>
        <v>0</v>
      </c>
      <c r="CI76" s="4438">
        <f t="shared" ref="CI76:CI95" si="59">IFERROR(BB76/$D$1,0)</f>
        <v>0</v>
      </c>
      <c r="CJ76" s="4438">
        <f t="shared" ref="CJ76:CJ95" si="60">IFERROR(BD76/$D$1,0)</f>
        <v>0</v>
      </c>
    </row>
    <row r="77" spans="1:88" ht="15.95" customHeight="1">
      <c r="A77" s="108" t="s">
        <v>176</v>
      </c>
      <c r="B77" s="870" t="s">
        <v>269</v>
      </c>
      <c r="C77" s="1085">
        <f>'12. Разходи'!C77</f>
        <v>0</v>
      </c>
      <c r="D77" s="1115">
        <f>'12. Разходи'!D77-'12. Разходи'!$C77</f>
        <v>0</v>
      </c>
      <c r="E77" s="1095">
        <f>IFERROR(('12. Разходи'!D77-'12. Разходи'!$C77)/'12. Разходи'!$C77,0)</f>
        <v>0</v>
      </c>
      <c r="F77" s="882">
        <f>'12. Разходи'!E77-'12. Разходи'!$C77</f>
        <v>0</v>
      </c>
      <c r="G77" s="1103">
        <f>IFERROR(('12. Разходи'!E77-'12. Разходи'!$C77)/'12. Разходи'!$C77,0)</f>
        <v>0</v>
      </c>
      <c r="H77" s="882">
        <f>'12. Разходи'!F77-'12. Разходи'!$C77</f>
        <v>0</v>
      </c>
      <c r="I77" s="1103">
        <f>IFERROR(('12. Разходи'!F77-'12. Разходи'!$C77)/'12. Разходи'!$C77,0)</f>
        <v>0</v>
      </c>
      <c r="J77" s="882">
        <f>'12. Разходи'!G77-'12. Разходи'!$C77</f>
        <v>0</v>
      </c>
      <c r="K77" s="1102">
        <f>IFERROR(('12. Разходи'!G77-'12. Разходи'!$C77)/'12. Разходи'!$C77,0)</f>
        <v>0</v>
      </c>
      <c r="L77" s="1110">
        <f>'12. Разходи'!H77-'12. Разходи'!$C77</f>
        <v>0</v>
      </c>
      <c r="M77" s="1102">
        <f>IFERROR(('12. Разходи'!H77-'12. Разходи'!$C77)/'12. Разходи'!$C77,0)</f>
        <v>0</v>
      </c>
      <c r="N77" s="1151">
        <f>'12. Разходи'!K77</f>
        <v>0</v>
      </c>
      <c r="O77" s="1115">
        <f>'12. Разходи'!L77-'12. Разходи'!$K77</f>
        <v>0</v>
      </c>
      <c r="P77" s="1095">
        <f>IFERROR(('12. Разходи'!L77-'12. Разходи'!$K77)/'12. Разходи'!$K77,0)</f>
        <v>0</v>
      </c>
      <c r="Q77" s="882">
        <f>'12. Разходи'!M77-'12. Разходи'!$K77</f>
        <v>0</v>
      </c>
      <c r="R77" s="1103">
        <f>IFERROR(('12. Разходи'!M77-'12. Разходи'!$K77)/'12. Разходи'!$K77,0)</f>
        <v>0</v>
      </c>
      <c r="S77" s="882">
        <f>'12. Разходи'!N77-'12. Разходи'!$K77</f>
        <v>0</v>
      </c>
      <c r="T77" s="1103">
        <f>IFERROR(('12. Разходи'!N77-'12. Разходи'!$K77)/'12. Разходи'!$K77,0)</f>
        <v>0</v>
      </c>
      <c r="U77" s="882">
        <f>'12. Разходи'!O77-'12. Разходи'!$K77</f>
        <v>0</v>
      </c>
      <c r="V77" s="1102">
        <f>IFERROR(('12. Разходи'!O77-'12. Разходи'!$K77)/'12. Разходи'!$K77,0)</f>
        <v>0</v>
      </c>
      <c r="W77" s="1110">
        <f>'12. Разходи'!P77-'12. Разходи'!$K77</f>
        <v>0</v>
      </c>
      <c r="X77" s="1157">
        <f>IFERROR(('12. Разходи'!P77-'12. Разходи'!$K77)/'12. Разходи'!$K77,0)</f>
        <v>0</v>
      </c>
      <c r="Y77" s="1151">
        <f>'12. Разходи'!S77</f>
        <v>0</v>
      </c>
      <c r="Z77" s="1115">
        <f>'12. Разходи'!T77-'12. Разходи'!$S77</f>
        <v>0</v>
      </c>
      <c r="AA77" s="1095">
        <f>IFERROR(('12. Разходи'!T77-'12. Разходи'!$S77)/'12. Разходи'!$S77,0)</f>
        <v>0</v>
      </c>
      <c r="AB77" s="882">
        <f>'12. Разходи'!U77-'12. Разходи'!$S77</f>
        <v>0</v>
      </c>
      <c r="AC77" s="1103">
        <f>IFERROR(('12. Разходи'!U77-'12. Разходи'!$S77)/'12. Разходи'!$S77,0)</f>
        <v>0</v>
      </c>
      <c r="AD77" s="882">
        <f>'12. Разходи'!V77-'12. Разходи'!$S77</f>
        <v>0</v>
      </c>
      <c r="AE77" s="1103">
        <f>IFERROR(('12. Разходи'!V77-'12. Разходи'!$S77)/'12. Разходи'!$S77,0)</f>
        <v>0</v>
      </c>
      <c r="AF77" s="882">
        <f>'12. Разходи'!W77-'12. Разходи'!$S77</f>
        <v>0</v>
      </c>
      <c r="AG77" s="1102">
        <f>IFERROR(('12. Разходи'!W77-'12. Разходи'!$S77)/'12. Разходи'!$S77,0)</f>
        <v>0</v>
      </c>
      <c r="AH77" s="1110">
        <f>'12. Разходи'!X77-'12. Разходи'!$S77</f>
        <v>0</v>
      </c>
      <c r="AI77" s="1157">
        <f>IFERROR(('12. Разходи'!X77-'12. Разходи'!$S77)/'12. Разходи'!$S77,0)</f>
        <v>0</v>
      </c>
      <c r="AJ77" s="1151">
        <f>'12. Разходи'!AA77</f>
        <v>0</v>
      </c>
      <c r="AK77" s="1115">
        <f>'12. Разходи'!AB77-'12. Разходи'!$AA77</f>
        <v>0</v>
      </c>
      <c r="AL77" s="1095">
        <f>IFERROR(('12. Разходи'!AB77-'12. Разходи'!$AA77)/'12. Разходи'!$AA77,0)</f>
        <v>0</v>
      </c>
      <c r="AM77" s="882">
        <f>'12. Разходи'!AC77-'12. Разходи'!$AA77</f>
        <v>0</v>
      </c>
      <c r="AN77" s="1103">
        <f>IFERROR(('12. Разходи'!AC77-'12. Разходи'!$AA77)/'12. Разходи'!$AA77,0)</f>
        <v>0</v>
      </c>
      <c r="AO77" s="882">
        <f>'12. Разходи'!AD77-'12. Разходи'!$AA77</f>
        <v>0</v>
      </c>
      <c r="AP77" s="1103">
        <f>IFERROR(('12. Разходи'!AD77-'12. Разходи'!$AA77)/'12. Разходи'!$AA77,0)</f>
        <v>0</v>
      </c>
      <c r="AQ77" s="882">
        <f>'12. Разходи'!AE77-'12. Разходи'!$AA77</f>
        <v>0</v>
      </c>
      <c r="AR77" s="1102">
        <f>IFERROR(('12. Разходи'!AE77-'12. Разходи'!$AA77)/'12. Разходи'!$AA77,0)</f>
        <v>0</v>
      </c>
      <c r="AS77" s="1110">
        <f>'12. Разходи'!AF77-'12. Разходи'!$AA77</f>
        <v>0</v>
      </c>
      <c r="AT77" s="1157">
        <f>IFERROR(('12. Разходи'!AF77-'12. Разходи'!$AA77)/'12. Разходи'!$AA77,0)</f>
        <v>0</v>
      </c>
      <c r="AU77" s="1151">
        <f>'12. Разходи'!AI77</f>
        <v>0</v>
      </c>
      <c r="AV77" s="1115">
        <f>'12. Разходи'!AJ77-'12. Разходи'!$AI77</f>
        <v>0</v>
      </c>
      <c r="AW77" s="1095">
        <f>IFERROR(('12. Разходи'!AJ77-'12. Разходи'!$AI77)/'12. Разходи'!$AI77,0)</f>
        <v>0</v>
      </c>
      <c r="AX77" s="882">
        <f>'12. Разходи'!AK77-'12. Разходи'!$AI77</f>
        <v>0</v>
      </c>
      <c r="AY77" s="1103">
        <f>IFERROR(('12. Разходи'!AK77-'12. Разходи'!$AI77)/'12. Разходи'!$AI77,0)</f>
        <v>0</v>
      </c>
      <c r="AZ77" s="882">
        <f>'12. Разходи'!AL77-'12. Разходи'!$AI77</f>
        <v>0</v>
      </c>
      <c r="BA77" s="1103">
        <f>IFERROR(('12. Разходи'!AL77-'12. Разходи'!$AI77)/'12. Разходи'!$AI77,0)</f>
        <v>0</v>
      </c>
      <c r="BB77" s="882">
        <f>'12. Разходи'!AM77-'12. Разходи'!$AI77</f>
        <v>0</v>
      </c>
      <c r="BC77" s="1102">
        <f>IFERROR(('12. Разходи'!AM77-'12. Разходи'!$AI77)/'12. Разходи'!$AI77,0)</f>
        <v>0</v>
      </c>
      <c r="BD77" s="1110">
        <f>'12. Разходи'!AN77-'12. Разходи'!$AI77</f>
        <v>0</v>
      </c>
      <c r="BE77" s="1157">
        <f>IFERROR(('12. Разходи'!AN77-'12. Разходи'!$AI77)/'12. Разходи'!$AI77,0)</f>
        <v>0</v>
      </c>
      <c r="BF77" s="4422"/>
      <c r="BG77" s="4438">
        <f t="shared" si="31"/>
        <v>0</v>
      </c>
      <c r="BH77" s="4438">
        <f t="shared" si="32"/>
        <v>0</v>
      </c>
      <c r="BI77" s="4438">
        <f t="shared" si="33"/>
        <v>0</v>
      </c>
      <c r="BJ77" s="4438">
        <f t="shared" si="34"/>
        <v>0</v>
      </c>
      <c r="BK77" s="4438">
        <f t="shared" si="35"/>
        <v>0</v>
      </c>
      <c r="BL77" s="4438">
        <f t="shared" si="36"/>
        <v>0</v>
      </c>
      <c r="BM77" s="4438">
        <f t="shared" si="37"/>
        <v>0</v>
      </c>
      <c r="BN77" s="4438">
        <f t="shared" si="38"/>
        <v>0</v>
      </c>
      <c r="BO77" s="4438">
        <f t="shared" si="39"/>
        <v>0</v>
      </c>
      <c r="BP77" s="4438">
        <f t="shared" si="40"/>
        <v>0</v>
      </c>
      <c r="BQ77" s="4438">
        <f t="shared" si="41"/>
        <v>0</v>
      </c>
      <c r="BR77" s="4438">
        <f t="shared" si="42"/>
        <v>0</v>
      </c>
      <c r="BS77" s="4438">
        <f t="shared" si="43"/>
        <v>0</v>
      </c>
      <c r="BT77" s="4438">
        <f t="shared" si="44"/>
        <v>0</v>
      </c>
      <c r="BU77" s="4438">
        <f t="shared" si="45"/>
        <v>0</v>
      </c>
      <c r="BV77" s="4438">
        <f t="shared" si="46"/>
        <v>0</v>
      </c>
      <c r="BW77" s="4438">
        <f t="shared" si="47"/>
        <v>0</v>
      </c>
      <c r="BX77" s="4438">
        <f t="shared" si="48"/>
        <v>0</v>
      </c>
      <c r="BY77" s="4438">
        <f t="shared" si="49"/>
        <v>0</v>
      </c>
      <c r="BZ77" s="4438">
        <f t="shared" si="50"/>
        <v>0</v>
      </c>
      <c r="CA77" s="4438">
        <f t="shared" si="51"/>
        <v>0</v>
      </c>
      <c r="CB77" s="4438">
        <f t="shared" si="52"/>
        <v>0</v>
      </c>
      <c r="CC77" s="4438">
        <f t="shared" si="53"/>
        <v>0</v>
      </c>
      <c r="CD77" s="4438">
        <f t="shared" si="54"/>
        <v>0</v>
      </c>
      <c r="CE77" s="4438">
        <f t="shared" si="55"/>
        <v>0</v>
      </c>
      <c r="CF77" s="4438">
        <f t="shared" si="56"/>
        <v>0</v>
      </c>
      <c r="CG77" s="4438">
        <f t="shared" si="57"/>
        <v>0</v>
      </c>
      <c r="CH77" s="4438">
        <f t="shared" si="58"/>
        <v>0</v>
      </c>
      <c r="CI77" s="4438">
        <f t="shared" si="59"/>
        <v>0</v>
      </c>
      <c r="CJ77" s="4438">
        <f t="shared" si="60"/>
        <v>0</v>
      </c>
    </row>
    <row r="78" spans="1:88" ht="15.95" customHeight="1">
      <c r="A78" s="108" t="s">
        <v>178</v>
      </c>
      <c r="B78" s="878" t="s">
        <v>271</v>
      </c>
      <c r="C78" s="1091">
        <f>'12. Разходи'!C78</f>
        <v>13</v>
      </c>
      <c r="D78" s="1115">
        <f>'12. Разходи'!D78-'12. Разходи'!$C78</f>
        <v>0.91000000000000014</v>
      </c>
      <c r="E78" s="1095">
        <f>IFERROR(('12. Разходи'!D78-'12. Разходи'!$C78)/'12. Разходи'!$C78,0)</f>
        <v>7.0000000000000007E-2</v>
      </c>
      <c r="F78" s="882">
        <f>'12. Разходи'!E78-'12. Разходи'!$C78</f>
        <v>1.327300000000001</v>
      </c>
      <c r="G78" s="1103">
        <f>IFERROR(('12. Разходи'!E78-'12. Разходи'!$C78)/'12. Разходи'!$C78,0)</f>
        <v>0.10210000000000008</v>
      </c>
      <c r="H78" s="882">
        <f>'12. Разходи'!F78-'12. Разходи'!$C78</f>
        <v>1.7571190000000012</v>
      </c>
      <c r="I78" s="1103">
        <f>IFERROR(('12. Разходи'!F78-'12. Разходи'!$C78)/'12. Разходи'!$C78,0)</f>
        <v>0.13516300000000009</v>
      </c>
      <c r="J78" s="882">
        <f>'12. Разходи'!G78-'12. Разходи'!$C78</f>
        <v>2.1998325700000017</v>
      </c>
      <c r="K78" s="1102">
        <f>IFERROR(('12. Разходи'!G78-'12. Разходи'!$C78)/'12. Разходи'!$C78,0)</f>
        <v>0.16921789000000012</v>
      </c>
      <c r="L78" s="1110">
        <f>'12. Разходи'!H78-'12. Разходи'!$C78</f>
        <v>2.6558275471000012</v>
      </c>
      <c r="M78" s="1102">
        <f>IFERROR(('12. Разходи'!H78-'12. Разходи'!$C78)/'12. Разходи'!$C78,0)</f>
        <v>0.20429442670000009</v>
      </c>
      <c r="N78" s="1151">
        <f>'12. Разходи'!K78</f>
        <v>1</v>
      </c>
      <c r="O78" s="1115">
        <f>'12. Разходи'!L78-'12. Разходи'!$K78</f>
        <v>7.0000000000000062E-2</v>
      </c>
      <c r="P78" s="1095">
        <f>IFERROR(('12. Разходи'!L78-'12. Разходи'!$K78)/'12. Разходи'!$K78,0)</f>
        <v>7.0000000000000062E-2</v>
      </c>
      <c r="Q78" s="882">
        <f>'12. Разходи'!M78-'12. Разходи'!$K78</f>
        <v>0.10210000000000008</v>
      </c>
      <c r="R78" s="1103">
        <f>IFERROR(('12. Разходи'!M78-'12. Разходи'!$K78)/'12. Разходи'!$K78,0)</f>
        <v>0.10210000000000008</v>
      </c>
      <c r="S78" s="882">
        <f>'12. Разходи'!N78-'12. Разходи'!$K78</f>
        <v>0.13516300000000014</v>
      </c>
      <c r="T78" s="1103">
        <f>IFERROR(('12. Разходи'!N78-'12. Разходи'!$K78)/'12. Разходи'!$K78,0)</f>
        <v>0.13516300000000014</v>
      </c>
      <c r="U78" s="882">
        <f>'12. Разходи'!O78-'12. Разходи'!$K78</f>
        <v>0.16921789000000009</v>
      </c>
      <c r="V78" s="1102">
        <f>IFERROR(('12. Разходи'!O78-'12. Разходи'!$K78)/'12. Разходи'!$K78,0)</f>
        <v>0.16921789000000009</v>
      </c>
      <c r="W78" s="1110">
        <f>'12. Разходи'!P78-'12. Разходи'!$K78</f>
        <v>0.2042944267000002</v>
      </c>
      <c r="X78" s="1157">
        <f>IFERROR(('12. Разходи'!P78-'12. Разходи'!$K78)/'12. Разходи'!$K78,0)</f>
        <v>0.2042944267000002</v>
      </c>
      <c r="Y78" s="1151">
        <f>'12. Разходи'!S78</f>
        <v>1</v>
      </c>
      <c r="Z78" s="1115">
        <f>'12. Разходи'!T78-'12. Разходи'!$S78</f>
        <v>7.0000000000000062E-2</v>
      </c>
      <c r="AA78" s="1095">
        <f>IFERROR(('12. Разходи'!T78-'12. Разходи'!$S78)/'12. Разходи'!$S78,0)</f>
        <v>7.0000000000000062E-2</v>
      </c>
      <c r="AB78" s="882">
        <f>'12. Разходи'!U78-'12. Разходи'!$S78</f>
        <v>0.10210000000000008</v>
      </c>
      <c r="AC78" s="1103">
        <f>IFERROR(('12. Разходи'!U78-'12. Разходи'!$S78)/'12. Разходи'!$S78,0)</f>
        <v>0.10210000000000008</v>
      </c>
      <c r="AD78" s="882">
        <f>'12. Разходи'!V78-'12. Разходи'!$S78</f>
        <v>0.13516300000000014</v>
      </c>
      <c r="AE78" s="1103">
        <f>IFERROR(('12. Разходи'!V78-'12. Разходи'!$S78)/'12. Разходи'!$S78,0)</f>
        <v>0.13516300000000014</v>
      </c>
      <c r="AF78" s="882">
        <f>'12. Разходи'!W78-'12. Разходи'!$S78</f>
        <v>0.16921789000000009</v>
      </c>
      <c r="AG78" s="1102">
        <f>IFERROR(('12. Разходи'!W78-'12. Разходи'!$S78)/'12. Разходи'!$S78,0)</f>
        <v>0.16921789000000009</v>
      </c>
      <c r="AH78" s="1110">
        <f>'12. Разходи'!X78-'12. Разходи'!$S78</f>
        <v>0.2042944267000002</v>
      </c>
      <c r="AI78" s="1157">
        <f>IFERROR(('12. Разходи'!X78-'12. Разходи'!$S78)/'12. Разходи'!$S78,0)</f>
        <v>0.2042944267000002</v>
      </c>
      <c r="AJ78" s="1151">
        <f>'12. Разходи'!AA78</f>
        <v>0</v>
      </c>
      <c r="AK78" s="1115">
        <f>'12. Разходи'!AB78-'12. Разходи'!$AA78</f>
        <v>0</v>
      </c>
      <c r="AL78" s="1095">
        <f>IFERROR(('12. Разходи'!AB78-'12. Разходи'!$AA78)/'12. Разходи'!$AA78,0)</f>
        <v>0</v>
      </c>
      <c r="AM78" s="882">
        <f>'12. Разходи'!AC78-'12. Разходи'!$AA78</f>
        <v>0</v>
      </c>
      <c r="AN78" s="1103">
        <f>IFERROR(('12. Разходи'!AC78-'12. Разходи'!$AA78)/'12. Разходи'!$AA78,0)</f>
        <v>0</v>
      </c>
      <c r="AO78" s="882">
        <f>'12. Разходи'!AD78-'12. Разходи'!$AA78</f>
        <v>0</v>
      </c>
      <c r="AP78" s="1103">
        <f>IFERROR(('12. Разходи'!AD78-'12. Разходи'!$AA78)/'12. Разходи'!$AA78,0)</f>
        <v>0</v>
      </c>
      <c r="AQ78" s="882">
        <f>'12. Разходи'!AE78-'12. Разходи'!$AA78</f>
        <v>0</v>
      </c>
      <c r="AR78" s="1102">
        <f>IFERROR(('12. Разходи'!AE78-'12. Разходи'!$AA78)/'12. Разходи'!$AA78,0)</f>
        <v>0</v>
      </c>
      <c r="AS78" s="1110">
        <f>'12. Разходи'!AF78-'12. Разходи'!$AA78</f>
        <v>0</v>
      </c>
      <c r="AT78" s="1157">
        <f>IFERROR(('12. Разходи'!AF78-'12. Разходи'!$AA78)/'12. Разходи'!$AA78,0)</f>
        <v>0</v>
      </c>
      <c r="AU78" s="1151">
        <f>'12. Разходи'!AI78</f>
        <v>0</v>
      </c>
      <c r="AV78" s="1115">
        <f>'12. Разходи'!AJ78-'12. Разходи'!$AI78</f>
        <v>0</v>
      </c>
      <c r="AW78" s="1095">
        <f>IFERROR(('12. Разходи'!AJ78-'12. Разходи'!$AI78)/'12. Разходи'!$AI78,0)</f>
        <v>0</v>
      </c>
      <c r="AX78" s="882">
        <f>'12. Разходи'!AK78-'12. Разходи'!$AI78</f>
        <v>0</v>
      </c>
      <c r="AY78" s="1103">
        <f>IFERROR(('12. Разходи'!AK78-'12. Разходи'!$AI78)/'12. Разходи'!$AI78,0)</f>
        <v>0</v>
      </c>
      <c r="AZ78" s="882">
        <f>'12. Разходи'!AL78-'12. Разходи'!$AI78</f>
        <v>0</v>
      </c>
      <c r="BA78" s="1103">
        <f>IFERROR(('12. Разходи'!AL78-'12. Разходи'!$AI78)/'12. Разходи'!$AI78,0)</f>
        <v>0</v>
      </c>
      <c r="BB78" s="882">
        <f>'12. Разходи'!AM78-'12. Разходи'!$AI78</f>
        <v>0</v>
      </c>
      <c r="BC78" s="1102">
        <f>IFERROR(('12. Разходи'!AM78-'12. Разходи'!$AI78)/'12. Разходи'!$AI78,0)</f>
        <v>0</v>
      </c>
      <c r="BD78" s="1110">
        <f>'12. Разходи'!AN78-'12. Разходи'!$AI78</f>
        <v>0</v>
      </c>
      <c r="BE78" s="1157">
        <f>IFERROR(('12. Разходи'!AN78-'12. Разходи'!$AI78)/'12. Разходи'!$AI78,0)</f>
        <v>0</v>
      </c>
      <c r="BF78" s="4422"/>
      <c r="BG78" s="4438">
        <f t="shared" si="31"/>
        <v>6.6467944555508405</v>
      </c>
      <c r="BH78" s="4438">
        <f t="shared" si="32"/>
        <v>0.46527561188855893</v>
      </c>
      <c r="BI78" s="4438">
        <f t="shared" si="33"/>
        <v>0.67863771391174132</v>
      </c>
      <c r="BJ78" s="4438">
        <f t="shared" si="34"/>
        <v>0.89840067899561882</v>
      </c>
      <c r="BK78" s="4438">
        <f t="shared" si="35"/>
        <v>1.1247565330320128</v>
      </c>
      <c r="BL78" s="4438">
        <f t="shared" si="36"/>
        <v>1.3579030626894981</v>
      </c>
      <c r="BM78" s="4438">
        <f t="shared" si="37"/>
        <v>0.51129188119621849</v>
      </c>
      <c r="BN78" s="4438">
        <f t="shared" si="38"/>
        <v>3.579043168373533E-2</v>
      </c>
      <c r="BO78" s="4438">
        <f t="shared" si="39"/>
        <v>5.220290107013395E-2</v>
      </c>
      <c r="BP78" s="4438">
        <f t="shared" si="40"/>
        <v>6.9107744538124558E-2</v>
      </c>
      <c r="BQ78" s="4438">
        <f t="shared" si="41"/>
        <v>8.651973331015482E-2</v>
      </c>
      <c r="BR78" s="4438">
        <f t="shared" si="42"/>
        <v>0.10445408174534607</v>
      </c>
      <c r="BS78" s="4438">
        <f t="shared" si="43"/>
        <v>0.51129188119621849</v>
      </c>
      <c r="BT78" s="4438">
        <f t="shared" si="44"/>
        <v>3.579043168373533E-2</v>
      </c>
      <c r="BU78" s="4438">
        <f t="shared" si="45"/>
        <v>5.220290107013395E-2</v>
      </c>
      <c r="BV78" s="4438">
        <f t="shared" si="46"/>
        <v>6.9107744538124558E-2</v>
      </c>
      <c r="BW78" s="4438">
        <f t="shared" si="47"/>
        <v>8.651973331015482E-2</v>
      </c>
      <c r="BX78" s="4438">
        <f t="shared" si="48"/>
        <v>0.10445408174534607</v>
      </c>
      <c r="BY78" s="4438">
        <f t="shared" si="49"/>
        <v>0</v>
      </c>
      <c r="BZ78" s="4438">
        <f t="shared" si="50"/>
        <v>0</v>
      </c>
      <c r="CA78" s="4438">
        <f t="shared" si="51"/>
        <v>0</v>
      </c>
      <c r="CB78" s="4438">
        <f t="shared" si="52"/>
        <v>0</v>
      </c>
      <c r="CC78" s="4438">
        <f t="shared" si="53"/>
        <v>0</v>
      </c>
      <c r="CD78" s="4438">
        <f t="shared" si="54"/>
        <v>0</v>
      </c>
      <c r="CE78" s="4438">
        <f t="shared" si="55"/>
        <v>0</v>
      </c>
      <c r="CF78" s="4438">
        <f t="shared" si="56"/>
        <v>0</v>
      </c>
      <c r="CG78" s="4438">
        <f t="shared" si="57"/>
        <v>0</v>
      </c>
      <c r="CH78" s="4438">
        <f t="shared" si="58"/>
        <v>0</v>
      </c>
      <c r="CI78" s="4438">
        <f t="shared" si="59"/>
        <v>0</v>
      </c>
      <c r="CJ78" s="4438">
        <f t="shared" si="60"/>
        <v>0</v>
      </c>
    </row>
    <row r="79" spans="1:88" ht="15.95" customHeight="1">
      <c r="A79" s="108" t="s">
        <v>456</v>
      </c>
      <c r="B79" s="132" t="s">
        <v>266</v>
      </c>
      <c r="C79" s="1091">
        <f>'12. Разходи'!C79</f>
        <v>22</v>
      </c>
      <c r="D79" s="1115">
        <f>'12. Разходи'!D79-'12. Разходи'!$C79</f>
        <v>1.5400000000000027</v>
      </c>
      <c r="E79" s="1095">
        <f>IFERROR(('12. Разходи'!D79-'12. Разходи'!$C79)/'12. Разходи'!$C79,0)</f>
        <v>7.0000000000000118E-2</v>
      </c>
      <c r="F79" s="882">
        <f>'12. Разходи'!E79-'12. Разходи'!$C79</f>
        <v>2.2462000000000018</v>
      </c>
      <c r="G79" s="1103">
        <f>IFERROR(('12. Разходи'!E79-'12. Разходи'!$C79)/'12. Разходи'!$C79,0)</f>
        <v>0.10210000000000008</v>
      </c>
      <c r="H79" s="882">
        <f>'12. Разходи'!F79-'12. Разходи'!$C79</f>
        <v>2.973586000000001</v>
      </c>
      <c r="I79" s="1103">
        <f>IFERROR(('12. Разходи'!F79-'12. Разходи'!$C79)/'12. Разходи'!$C79,0)</f>
        <v>0.13516300000000003</v>
      </c>
      <c r="J79" s="882">
        <f>'12. Разходи'!G79-'12. Разходи'!$C79</f>
        <v>3.7227935800000012</v>
      </c>
      <c r="K79" s="1102">
        <f>IFERROR(('12. Разходи'!G79-'12. Разходи'!$C79)/'12. Разходи'!$C79,0)</f>
        <v>0.16921789000000007</v>
      </c>
      <c r="L79" s="1110">
        <f>'12. Разходи'!H79-'12. Разходи'!$C79</f>
        <v>4.4944773874000035</v>
      </c>
      <c r="M79" s="1102">
        <f>IFERROR(('12. Разходи'!H79-'12. Разходи'!$C79)/'12. Разходи'!$C79,0)</f>
        <v>0.20429442670000017</v>
      </c>
      <c r="N79" s="1151">
        <f>'12. Разходи'!K79</f>
        <v>1</v>
      </c>
      <c r="O79" s="1115">
        <f>'12. Разходи'!L79-'12. Разходи'!$K79</f>
        <v>7.0000000000000062E-2</v>
      </c>
      <c r="P79" s="1095">
        <f>IFERROR(('12. Разходи'!L79-'12. Разходи'!$K79)/'12. Разходи'!$K79,0)</f>
        <v>7.0000000000000062E-2</v>
      </c>
      <c r="Q79" s="882">
        <f>'12. Разходи'!M79-'12. Разходи'!$K79</f>
        <v>0.10210000000000008</v>
      </c>
      <c r="R79" s="1103">
        <f>IFERROR(('12. Разходи'!M79-'12. Разходи'!$K79)/'12. Разходи'!$K79,0)</f>
        <v>0.10210000000000008</v>
      </c>
      <c r="S79" s="882">
        <f>'12. Разходи'!N79-'12. Разходи'!$K79</f>
        <v>0.13516300000000014</v>
      </c>
      <c r="T79" s="1103">
        <f>IFERROR(('12. Разходи'!N79-'12. Разходи'!$K79)/'12. Разходи'!$K79,0)</f>
        <v>0.13516300000000014</v>
      </c>
      <c r="U79" s="882">
        <f>'12. Разходи'!O79-'12. Разходи'!$K79</f>
        <v>0.16921789000000009</v>
      </c>
      <c r="V79" s="1102">
        <f>IFERROR(('12. Разходи'!O79-'12. Разходи'!$K79)/'12. Разходи'!$K79,0)</f>
        <v>0.16921789000000009</v>
      </c>
      <c r="W79" s="1110">
        <f>'12. Разходи'!P79-'12. Разходи'!$K79</f>
        <v>0.2042944267000002</v>
      </c>
      <c r="X79" s="1157">
        <f>IFERROR(('12. Разходи'!P79-'12. Разходи'!$K79)/'12. Разходи'!$K79,0)</f>
        <v>0.2042944267000002</v>
      </c>
      <c r="Y79" s="1151">
        <f>'12. Разходи'!S79</f>
        <v>2</v>
      </c>
      <c r="Z79" s="1115">
        <f>'12. Разходи'!T79-'12. Разходи'!$S79</f>
        <v>0.14000000000000012</v>
      </c>
      <c r="AA79" s="1095">
        <f>IFERROR(('12. Разходи'!T79-'12. Разходи'!$S79)/'12. Разходи'!$S79,0)</f>
        <v>7.0000000000000062E-2</v>
      </c>
      <c r="AB79" s="882">
        <f>'12. Разходи'!U79-'12. Разходи'!$S79</f>
        <v>0.20420000000000016</v>
      </c>
      <c r="AC79" s="1103">
        <f>IFERROR(('12. Разходи'!U79-'12. Разходи'!$S79)/'12. Разходи'!$S79,0)</f>
        <v>0.10210000000000008</v>
      </c>
      <c r="AD79" s="882">
        <f>'12. Разходи'!V79-'12. Разходи'!$S79</f>
        <v>0.27032600000000029</v>
      </c>
      <c r="AE79" s="1103">
        <f>IFERROR(('12. Разходи'!V79-'12. Разходи'!$S79)/'12. Разходи'!$S79,0)</f>
        <v>0.13516300000000014</v>
      </c>
      <c r="AF79" s="882">
        <f>'12. Разходи'!W79-'12. Разходи'!$S79</f>
        <v>0.33843578000000019</v>
      </c>
      <c r="AG79" s="1102">
        <f>IFERROR(('12. Разходи'!W79-'12. Разходи'!$S79)/'12. Разходи'!$S79,0)</f>
        <v>0.16921789000000009</v>
      </c>
      <c r="AH79" s="1110">
        <f>'12. Разходи'!X79-'12. Разходи'!$S79</f>
        <v>0.4085888534000004</v>
      </c>
      <c r="AI79" s="1157">
        <f>IFERROR(('12. Разходи'!X79-'12. Разходи'!$S79)/'12. Разходи'!$S79,0)</f>
        <v>0.2042944267000002</v>
      </c>
      <c r="AJ79" s="1151">
        <f>'12. Разходи'!AA79</f>
        <v>0</v>
      </c>
      <c r="AK79" s="1115">
        <f>'12. Разходи'!AB79-'12. Разходи'!$AA79</f>
        <v>0</v>
      </c>
      <c r="AL79" s="1095">
        <f>IFERROR(('12. Разходи'!AB79-'12. Разходи'!$AA79)/'12. Разходи'!$AA79,0)</f>
        <v>0</v>
      </c>
      <c r="AM79" s="882">
        <f>'12. Разходи'!AC79-'12. Разходи'!$AA79</f>
        <v>0</v>
      </c>
      <c r="AN79" s="1103">
        <f>IFERROR(('12. Разходи'!AC79-'12. Разходи'!$AA79)/'12. Разходи'!$AA79,0)</f>
        <v>0</v>
      </c>
      <c r="AO79" s="882">
        <f>'12. Разходи'!AD79-'12. Разходи'!$AA79</f>
        <v>0</v>
      </c>
      <c r="AP79" s="1103">
        <f>IFERROR(('12. Разходи'!AD79-'12. Разходи'!$AA79)/'12. Разходи'!$AA79,0)</f>
        <v>0</v>
      </c>
      <c r="AQ79" s="882">
        <f>'12. Разходи'!AE79-'12. Разходи'!$AA79</f>
        <v>0</v>
      </c>
      <c r="AR79" s="1102">
        <f>IFERROR(('12. Разходи'!AE79-'12. Разходи'!$AA79)/'12. Разходи'!$AA79,0)</f>
        <v>0</v>
      </c>
      <c r="AS79" s="1110">
        <f>'12. Разходи'!AF79-'12. Разходи'!$AA79</f>
        <v>0</v>
      </c>
      <c r="AT79" s="1157">
        <f>IFERROR(('12. Разходи'!AF79-'12. Разходи'!$AA79)/'12. Разходи'!$AA79,0)</f>
        <v>0</v>
      </c>
      <c r="AU79" s="1151">
        <f>'12. Разходи'!AI79</f>
        <v>0</v>
      </c>
      <c r="AV79" s="1115">
        <f>'12. Разходи'!AJ79-'12. Разходи'!$AI79</f>
        <v>0</v>
      </c>
      <c r="AW79" s="1095">
        <f>IFERROR(('12. Разходи'!AJ79-'12. Разходи'!$AI79)/'12. Разходи'!$AI79,0)</f>
        <v>0</v>
      </c>
      <c r="AX79" s="882">
        <f>'12. Разходи'!AK79-'12. Разходи'!$AI79</f>
        <v>0</v>
      </c>
      <c r="AY79" s="1103">
        <f>IFERROR(('12. Разходи'!AK79-'12. Разходи'!$AI79)/'12. Разходи'!$AI79,0)</f>
        <v>0</v>
      </c>
      <c r="AZ79" s="882">
        <f>'12. Разходи'!AL79-'12. Разходи'!$AI79</f>
        <v>0</v>
      </c>
      <c r="BA79" s="1103">
        <f>IFERROR(('12. Разходи'!AL79-'12. Разходи'!$AI79)/'12. Разходи'!$AI79,0)</f>
        <v>0</v>
      </c>
      <c r="BB79" s="882">
        <f>'12. Разходи'!AM79-'12. Разходи'!$AI79</f>
        <v>0</v>
      </c>
      <c r="BC79" s="1102">
        <f>IFERROR(('12. Разходи'!AM79-'12. Разходи'!$AI79)/'12. Разходи'!$AI79,0)</f>
        <v>0</v>
      </c>
      <c r="BD79" s="1110">
        <f>'12. Разходи'!AN79-'12. Разходи'!$AI79</f>
        <v>0</v>
      </c>
      <c r="BE79" s="1157">
        <f>IFERROR(('12. Разходи'!AN79-'12. Разходи'!$AI79)/'12. Разходи'!$AI79,0)</f>
        <v>0</v>
      </c>
      <c r="BF79" s="4422"/>
      <c r="BG79" s="4438">
        <f t="shared" si="31"/>
        <v>11.248421386316807</v>
      </c>
      <c r="BH79" s="4438">
        <f t="shared" si="32"/>
        <v>0.78738949704217787</v>
      </c>
      <c r="BI79" s="4438">
        <f t="shared" si="33"/>
        <v>1.148463823542947</v>
      </c>
      <c r="BJ79" s="4438">
        <f t="shared" si="34"/>
        <v>1.5203703798387391</v>
      </c>
      <c r="BK79" s="4438">
        <f t="shared" si="35"/>
        <v>1.9034341328234055</v>
      </c>
      <c r="BL79" s="4438">
        <f t="shared" si="36"/>
        <v>2.2979897983976132</v>
      </c>
      <c r="BM79" s="4438">
        <f t="shared" si="37"/>
        <v>0.51129188119621849</v>
      </c>
      <c r="BN79" s="4438">
        <f t="shared" si="38"/>
        <v>3.579043168373533E-2</v>
      </c>
      <c r="BO79" s="4438">
        <f t="shared" si="39"/>
        <v>5.220290107013395E-2</v>
      </c>
      <c r="BP79" s="4438">
        <f t="shared" si="40"/>
        <v>6.9107744538124558E-2</v>
      </c>
      <c r="BQ79" s="4438">
        <f t="shared" si="41"/>
        <v>8.651973331015482E-2</v>
      </c>
      <c r="BR79" s="4438">
        <f t="shared" si="42"/>
        <v>0.10445408174534607</v>
      </c>
      <c r="BS79" s="4438">
        <f t="shared" si="43"/>
        <v>1.022583762392437</v>
      </c>
      <c r="BT79" s="4438">
        <f t="shared" si="44"/>
        <v>7.158086336747066E-2</v>
      </c>
      <c r="BU79" s="4438">
        <f t="shared" si="45"/>
        <v>0.1044058021402679</v>
      </c>
      <c r="BV79" s="4438">
        <f t="shared" si="46"/>
        <v>0.13821548907624912</v>
      </c>
      <c r="BW79" s="4438">
        <f t="shared" si="47"/>
        <v>0.17303946662030964</v>
      </c>
      <c r="BX79" s="4438">
        <f t="shared" si="48"/>
        <v>0.20890816349069213</v>
      </c>
      <c r="BY79" s="4438">
        <f t="shared" si="49"/>
        <v>0</v>
      </c>
      <c r="BZ79" s="4438">
        <f t="shared" si="50"/>
        <v>0</v>
      </c>
      <c r="CA79" s="4438">
        <f t="shared" si="51"/>
        <v>0</v>
      </c>
      <c r="CB79" s="4438">
        <f t="shared" si="52"/>
        <v>0</v>
      </c>
      <c r="CC79" s="4438">
        <f t="shared" si="53"/>
        <v>0</v>
      </c>
      <c r="CD79" s="4438">
        <f t="shared" si="54"/>
        <v>0</v>
      </c>
      <c r="CE79" s="4438">
        <f t="shared" si="55"/>
        <v>0</v>
      </c>
      <c r="CF79" s="4438">
        <f t="shared" si="56"/>
        <v>0</v>
      </c>
      <c r="CG79" s="4438">
        <f t="shared" si="57"/>
        <v>0</v>
      </c>
      <c r="CH79" s="4438">
        <f t="shared" si="58"/>
        <v>0</v>
      </c>
      <c r="CI79" s="4438">
        <f t="shared" si="59"/>
        <v>0</v>
      </c>
      <c r="CJ79" s="4438">
        <f t="shared" si="60"/>
        <v>0</v>
      </c>
    </row>
    <row r="80" spans="1:88" ht="15.95" customHeight="1">
      <c r="A80" s="108" t="s">
        <v>457</v>
      </c>
      <c r="B80" s="870" t="s">
        <v>273</v>
      </c>
      <c r="C80" s="1085">
        <f>'12. Разходи'!C80</f>
        <v>28</v>
      </c>
      <c r="D80" s="1115">
        <f>'12. Разходи'!D80-'12. Разходи'!$C80</f>
        <v>1.9600000000000009</v>
      </c>
      <c r="E80" s="1095">
        <f>IFERROR(('12. Разходи'!D80-'12. Разходи'!$C80)/'12. Разходи'!$C80,0)</f>
        <v>7.0000000000000034E-2</v>
      </c>
      <c r="F80" s="882">
        <f>'12. Разходи'!E80-'12. Разходи'!$C80</f>
        <v>2.8588000000000022</v>
      </c>
      <c r="G80" s="1103">
        <f>IFERROR(('12. Разходи'!E80-'12. Разходи'!$C80)/'12. Разходи'!$C80,0)</f>
        <v>0.10210000000000008</v>
      </c>
      <c r="H80" s="882">
        <f>'12. Разходи'!F80-'12. Разходи'!$C80</f>
        <v>3.7845640000000031</v>
      </c>
      <c r="I80" s="1103">
        <f>IFERROR(('12. Разходи'!F80-'12. Разходи'!$C80)/'12. Разходи'!$C80,0)</f>
        <v>0.13516300000000012</v>
      </c>
      <c r="J80" s="882">
        <f>'12. Разходи'!G80-'12. Разходи'!$C80</f>
        <v>4.7381009200000008</v>
      </c>
      <c r="K80" s="1102">
        <f>IFERROR(('12. Разходи'!G80-'12. Разходи'!$C80)/'12. Разходи'!$C80,0)</f>
        <v>0.16921789000000004</v>
      </c>
      <c r="L80" s="1110">
        <f>'12. Разходи'!H80-'12. Разходи'!$C80</f>
        <v>5.7202439476000038</v>
      </c>
      <c r="M80" s="1102">
        <f>IFERROR(('12. Разходи'!H80-'12. Разходи'!$C80)/'12. Разходи'!$C80,0)</f>
        <v>0.20429442670000014</v>
      </c>
      <c r="N80" s="1151">
        <f>'12. Разходи'!K80</f>
        <v>0</v>
      </c>
      <c r="O80" s="1115">
        <f>'12. Разходи'!L80-'12. Разходи'!$K80</f>
        <v>0</v>
      </c>
      <c r="P80" s="1095">
        <f>IFERROR(('12. Разходи'!L80-'12. Разходи'!$K80)/'12. Разходи'!$K80,0)</f>
        <v>0</v>
      </c>
      <c r="Q80" s="882">
        <f>'12. Разходи'!M80-'12. Разходи'!$K80</f>
        <v>0</v>
      </c>
      <c r="R80" s="1103">
        <f>IFERROR(('12. Разходи'!M80-'12. Разходи'!$K80)/'12. Разходи'!$K80,0)</f>
        <v>0</v>
      </c>
      <c r="S80" s="882">
        <f>'12. Разходи'!N80-'12. Разходи'!$K80</f>
        <v>0</v>
      </c>
      <c r="T80" s="1103">
        <f>IFERROR(('12. Разходи'!N80-'12. Разходи'!$K80)/'12. Разходи'!$K80,0)</f>
        <v>0</v>
      </c>
      <c r="U80" s="882">
        <f>'12. Разходи'!O80-'12. Разходи'!$K80</f>
        <v>0</v>
      </c>
      <c r="V80" s="1102">
        <f>IFERROR(('12. Разходи'!O80-'12. Разходи'!$K80)/'12. Разходи'!$K80,0)</f>
        <v>0</v>
      </c>
      <c r="W80" s="1110">
        <f>'12. Разходи'!P80-'12. Разходи'!$K80</f>
        <v>0</v>
      </c>
      <c r="X80" s="1157">
        <f>IFERROR(('12. Разходи'!P80-'12. Разходи'!$K80)/'12. Разходи'!$K80,0)</f>
        <v>0</v>
      </c>
      <c r="Y80" s="1151">
        <f>'12. Разходи'!S80</f>
        <v>0</v>
      </c>
      <c r="Z80" s="1115">
        <f>'12. Разходи'!T80-'12. Разходи'!$S80</f>
        <v>0</v>
      </c>
      <c r="AA80" s="1095">
        <f>IFERROR(('12. Разходи'!T80-'12. Разходи'!$S80)/'12. Разходи'!$S80,0)</f>
        <v>0</v>
      </c>
      <c r="AB80" s="882">
        <f>'12. Разходи'!U80-'12. Разходи'!$S80</f>
        <v>0</v>
      </c>
      <c r="AC80" s="1103">
        <f>IFERROR(('12. Разходи'!U80-'12. Разходи'!$S80)/'12. Разходи'!$S80,0)</f>
        <v>0</v>
      </c>
      <c r="AD80" s="882">
        <f>'12. Разходи'!V80-'12. Разходи'!$S80</f>
        <v>0</v>
      </c>
      <c r="AE80" s="1103">
        <f>IFERROR(('12. Разходи'!V80-'12. Разходи'!$S80)/'12. Разходи'!$S80,0)</f>
        <v>0</v>
      </c>
      <c r="AF80" s="882">
        <f>'12. Разходи'!W80-'12. Разходи'!$S80</f>
        <v>0</v>
      </c>
      <c r="AG80" s="1102">
        <f>IFERROR(('12. Разходи'!W80-'12. Разходи'!$S80)/'12. Разходи'!$S80,0)</f>
        <v>0</v>
      </c>
      <c r="AH80" s="1110">
        <f>'12. Разходи'!X80-'12. Разходи'!$S80</f>
        <v>0</v>
      </c>
      <c r="AI80" s="1157">
        <f>IFERROR(('12. Разходи'!X80-'12. Разходи'!$S80)/'12. Разходи'!$S80,0)</f>
        <v>0</v>
      </c>
      <c r="AJ80" s="1151">
        <f>'12. Разходи'!AA80</f>
        <v>0</v>
      </c>
      <c r="AK80" s="1115">
        <f>'12. Разходи'!AB80-'12. Разходи'!$AA80</f>
        <v>0</v>
      </c>
      <c r="AL80" s="1095">
        <f>IFERROR(('12. Разходи'!AB80-'12. Разходи'!$AA80)/'12. Разходи'!$AA80,0)</f>
        <v>0</v>
      </c>
      <c r="AM80" s="882">
        <f>'12. Разходи'!AC80-'12. Разходи'!$AA80</f>
        <v>0</v>
      </c>
      <c r="AN80" s="1103">
        <f>IFERROR(('12. Разходи'!AC80-'12. Разходи'!$AA80)/'12. Разходи'!$AA80,0)</f>
        <v>0</v>
      </c>
      <c r="AO80" s="882">
        <f>'12. Разходи'!AD80-'12. Разходи'!$AA80</f>
        <v>0</v>
      </c>
      <c r="AP80" s="1103">
        <f>IFERROR(('12. Разходи'!AD80-'12. Разходи'!$AA80)/'12. Разходи'!$AA80,0)</f>
        <v>0</v>
      </c>
      <c r="AQ80" s="882">
        <f>'12. Разходи'!AE80-'12. Разходи'!$AA80</f>
        <v>0</v>
      </c>
      <c r="AR80" s="1102">
        <f>IFERROR(('12. Разходи'!AE80-'12. Разходи'!$AA80)/'12. Разходи'!$AA80,0)</f>
        <v>0</v>
      </c>
      <c r="AS80" s="1110">
        <f>'12. Разходи'!AF80-'12. Разходи'!$AA80</f>
        <v>0</v>
      </c>
      <c r="AT80" s="1157">
        <f>IFERROR(('12. Разходи'!AF80-'12. Разходи'!$AA80)/'12. Разходи'!$AA80,0)</f>
        <v>0</v>
      </c>
      <c r="AU80" s="1151">
        <f>'12. Разходи'!AI80</f>
        <v>0</v>
      </c>
      <c r="AV80" s="1115">
        <f>'12. Разходи'!AJ80-'12. Разходи'!$AI80</f>
        <v>0</v>
      </c>
      <c r="AW80" s="1095">
        <f>IFERROR(('12. Разходи'!AJ80-'12. Разходи'!$AI80)/'12. Разходи'!$AI80,0)</f>
        <v>0</v>
      </c>
      <c r="AX80" s="882">
        <f>'12. Разходи'!AK80-'12. Разходи'!$AI80</f>
        <v>0</v>
      </c>
      <c r="AY80" s="1103">
        <f>IFERROR(('12. Разходи'!AK80-'12. Разходи'!$AI80)/'12. Разходи'!$AI80,0)</f>
        <v>0</v>
      </c>
      <c r="AZ80" s="882">
        <f>'12. Разходи'!AL80-'12. Разходи'!$AI80</f>
        <v>0</v>
      </c>
      <c r="BA80" s="1103">
        <f>IFERROR(('12. Разходи'!AL80-'12. Разходи'!$AI80)/'12. Разходи'!$AI80,0)</f>
        <v>0</v>
      </c>
      <c r="BB80" s="882">
        <f>'12. Разходи'!AM80-'12. Разходи'!$AI80</f>
        <v>0</v>
      </c>
      <c r="BC80" s="1102">
        <f>IFERROR(('12. Разходи'!AM80-'12. Разходи'!$AI80)/'12. Разходи'!$AI80,0)</f>
        <v>0</v>
      </c>
      <c r="BD80" s="1110">
        <f>'12. Разходи'!AN80-'12. Разходи'!$AI80</f>
        <v>0</v>
      </c>
      <c r="BE80" s="1157">
        <f>IFERROR(('12. Разходи'!AN80-'12. Разходи'!$AI80)/'12. Разходи'!$AI80,0)</f>
        <v>0</v>
      </c>
      <c r="BF80" s="4422"/>
      <c r="BG80" s="4438">
        <f t="shared" si="31"/>
        <v>14.316172673494117</v>
      </c>
      <c r="BH80" s="4438">
        <f t="shared" si="32"/>
        <v>1.0021320871445887</v>
      </c>
      <c r="BI80" s="4438">
        <f t="shared" si="33"/>
        <v>1.4616812299637505</v>
      </c>
      <c r="BJ80" s="4438">
        <f t="shared" si="34"/>
        <v>1.9350168470674871</v>
      </c>
      <c r="BK80" s="4438">
        <f t="shared" si="35"/>
        <v>2.422552532684334</v>
      </c>
      <c r="BL80" s="4438">
        <f t="shared" si="36"/>
        <v>2.9247142888696889</v>
      </c>
      <c r="BM80" s="4438">
        <f t="shared" si="37"/>
        <v>0</v>
      </c>
      <c r="BN80" s="4438">
        <f t="shared" si="38"/>
        <v>0</v>
      </c>
      <c r="BO80" s="4438">
        <f t="shared" si="39"/>
        <v>0</v>
      </c>
      <c r="BP80" s="4438">
        <f t="shared" si="40"/>
        <v>0</v>
      </c>
      <c r="BQ80" s="4438">
        <f t="shared" si="41"/>
        <v>0</v>
      </c>
      <c r="BR80" s="4438">
        <f t="shared" si="42"/>
        <v>0</v>
      </c>
      <c r="BS80" s="4438">
        <f t="shared" si="43"/>
        <v>0</v>
      </c>
      <c r="BT80" s="4438">
        <f t="shared" si="44"/>
        <v>0</v>
      </c>
      <c r="BU80" s="4438">
        <f t="shared" si="45"/>
        <v>0</v>
      </c>
      <c r="BV80" s="4438">
        <f t="shared" si="46"/>
        <v>0</v>
      </c>
      <c r="BW80" s="4438">
        <f t="shared" si="47"/>
        <v>0</v>
      </c>
      <c r="BX80" s="4438">
        <f t="shared" si="48"/>
        <v>0</v>
      </c>
      <c r="BY80" s="4438">
        <f t="shared" si="49"/>
        <v>0</v>
      </c>
      <c r="BZ80" s="4438">
        <f t="shared" si="50"/>
        <v>0</v>
      </c>
      <c r="CA80" s="4438">
        <f t="shared" si="51"/>
        <v>0</v>
      </c>
      <c r="CB80" s="4438">
        <f t="shared" si="52"/>
        <v>0</v>
      </c>
      <c r="CC80" s="4438">
        <f t="shared" si="53"/>
        <v>0</v>
      </c>
      <c r="CD80" s="4438">
        <f t="shared" si="54"/>
        <v>0</v>
      </c>
      <c r="CE80" s="4438">
        <f t="shared" si="55"/>
        <v>0</v>
      </c>
      <c r="CF80" s="4438">
        <f t="shared" si="56"/>
        <v>0</v>
      </c>
      <c r="CG80" s="4438">
        <f t="shared" si="57"/>
        <v>0</v>
      </c>
      <c r="CH80" s="4438">
        <f t="shared" si="58"/>
        <v>0</v>
      </c>
      <c r="CI80" s="4438">
        <f t="shared" si="59"/>
        <v>0</v>
      </c>
      <c r="CJ80" s="4438">
        <f t="shared" si="60"/>
        <v>0</v>
      </c>
    </row>
    <row r="81" spans="1:88" ht="15.95" customHeight="1">
      <c r="A81" s="108" t="s">
        <v>458</v>
      </c>
      <c r="B81" s="132" t="s">
        <v>275</v>
      </c>
      <c r="C81" s="1091">
        <f>'12. Разходи'!C81</f>
        <v>18</v>
      </c>
      <c r="D81" s="1115">
        <f>'12. Разходи'!D81-'12. Разходи'!$C81</f>
        <v>1.2600000000000016</v>
      </c>
      <c r="E81" s="1095">
        <f>IFERROR(('12. Разходи'!D81-'12. Разходи'!$C81)/'12. Разходи'!$C81,0)</f>
        <v>7.000000000000009E-2</v>
      </c>
      <c r="F81" s="882">
        <f>'12. Разходи'!E81-'12. Разходи'!$C81</f>
        <v>1.8378000000000014</v>
      </c>
      <c r="G81" s="1103">
        <f>IFERROR(('12. Разходи'!E81-'12. Разходи'!$C81)/'12. Разходи'!$C81,0)</f>
        <v>0.10210000000000008</v>
      </c>
      <c r="H81" s="882">
        <f>'12. Разходи'!F81-'12. Разходи'!$C81</f>
        <v>2.432934000000003</v>
      </c>
      <c r="I81" s="1103">
        <f>IFERROR(('12. Разходи'!F81-'12. Разходи'!$C81)/'12. Разходи'!$C81,0)</f>
        <v>0.13516300000000017</v>
      </c>
      <c r="J81" s="882">
        <f>'12. Разходи'!G81-'12. Разходи'!$C81</f>
        <v>3.0459220200000026</v>
      </c>
      <c r="K81" s="1102">
        <f>IFERROR(('12. Разходи'!G81-'12. Разходи'!$C81)/'12. Разходи'!$C81,0)</f>
        <v>0.16921789000000015</v>
      </c>
      <c r="L81" s="1110">
        <f>'12. Разходи'!H81-'12. Разходи'!$C81</f>
        <v>3.6772996806000045</v>
      </c>
      <c r="M81" s="1102">
        <f>IFERROR(('12. Разходи'!H81-'12. Разходи'!$C81)/'12. Разходи'!$C81,0)</f>
        <v>0.20429442670000025</v>
      </c>
      <c r="N81" s="1151">
        <f>'12. Разходи'!K81</f>
        <v>1</v>
      </c>
      <c r="O81" s="1115">
        <f>'12. Разходи'!L81-'12. Разходи'!$K81</f>
        <v>7.0000000000000062E-2</v>
      </c>
      <c r="P81" s="1095">
        <f>IFERROR(('12. Разходи'!L81-'12. Разходи'!$K81)/'12. Разходи'!$K81,0)</f>
        <v>7.0000000000000062E-2</v>
      </c>
      <c r="Q81" s="882">
        <f>'12. Разходи'!M81-'12. Разходи'!$K81</f>
        <v>0.10210000000000008</v>
      </c>
      <c r="R81" s="1103">
        <f>IFERROR(('12. Разходи'!M81-'12. Разходи'!$K81)/'12. Разходи'!$K81,0)</f>
        <v>0.10210000000000008</v>
      </c>
      <c r="S81" s="882">
        <f>'12. Разходи'!N81-'12. Разходи'!$K81</f>
        <v>0.13516300000000014</v>
      </c>
      <c r="T81" s="1103">
        <f>IFERROR(('12. Разходи'!N81-'12. Разходи'!$K81)/'12. Разходи'!$K81,0)</f>
        <v>0.13516300000000014</v>
      </c>
      <c r="U81" s="882">
        <f>'12. Разходи'!O81-'12. Разходи'!$K81</f>
        <v>0.16921789000000009</v>
      </c>
      <c r="V81" s="1102">
        <f>IFERROR(('12. Разходи'!O81-'12. Разходи'!$K81)/'12. Разходи'!$K81,0)</f>
        <v>0.16921789000000009</v>
      </c>
      <c r="W81" s="1110">
        <f>'12. Разходи'!P81-'12. Разходи'!$K81</f>
        <v>0.2042944267000002</v>
      </c>
      <c r="X81" s="1157">
        <f>IFERROR(('12. Разходи'!P81-'12. Разходи'!$K81)/'12. Разходи'!$K81,0)</f>
        <v>0.2042944267000002</v>
      </c>
      <c r="Y81" s="1151">
        <f>'12. Разходи'!S81</f>
        <v>1</v>
      </c>
      <c r="Z81" s="1115">
        <f>'12. Разходи'!T81-'12. Разходи'!$S81</f>
        <v>7.0000000000000062E-2</v>
      </c>
      <c r="AA81" s="1095">
        <f>IFERROR(('12. Разходи'!T81-'12. Разходи'!$S81)/'12. Разходи'!$S81,0)</f>
        <v>7.0000000000000062E-2</v>
      </c>
      <c r="AB81" s="882">
        <f>'12. Разходи'!U81-'12. Разходи'!$S81</f>
        <v>0.10210000000000008</v>
      </c>
      <c r="AC81" s="1103">
        <f>IFERROR(('12. Разходи'!U81-'12. Разходи'!$S81)/'12. Разходи'!$S81,0)</f>
        <v>0.10210000000000008</v>
      </c>
      <c r="AD81" s="882">
        <f>'12. Разходи'!V81-'12. Разходи'!$S81</f>
        <v>0.13516300000000014</v>
      </c>
      <c r="AE81" s="1103">
        <f>IFERROR(('12. Разходи'!V81-'12. Разходи'!$S81)/'12. Разходи'!$S81,0)</f>
        <v>0.13516300000000014</v>
      </c>
      <c r="AF81" s="882">
        <f>'12. Разходи'!W81-'12. Разходи'!$S81</f>
        <v>0.16921789000000009</v>
      </c>
      <c r="AG81" s="1102">
        <f>IFERROR(('12. Разходи'!W81-'12. Разходи'!$S81)/'12. Разходи'!$S81,0)</f>
        <v>0.16921789000000009</v>
      </c>
      <c r="AH81" s="1110">
        <f>'12. Разходи'!X81-'12. Разходи'!$S81</f>
        <v>0.2042944267000002</v>
      </c>
      <c r="AI81" s="1157">
        <f>IFERROR(('12. Разходи'!X81-'12. Разходи'!$S81)/'12. Разходи'!$S81,0)</f>
        <v>0.2042944267000002</v>
      </c>
      <c r="AJ81" s="1151">
        <f>'12. Разходи'!AA81</f>
        <v>0</v>
      </c>
      <c r="AK81" s="1115">
        <f>'12. Разходи'!AB81-'12. Разходи'!$AA81</f>
        <v>0</v>
      </c>
      <c r="AL81" s="1095">
        <f>IFERROR(('12. Разходи'!AB81-'12. Разходи'!$AA81)/'12. Разходи'!$AA81,0)</f>
        <v>0</v>
      </c>
      <c r="AM81" s="882">
        <f>'12. Разходи'!AC81-'12. Разходи'!$AA81</f>
        <v>0</v>
      </c>
      <c r="AN81" s="1103">
        <f>IFERROR(('12. Разходи'!AC81-'12. Разходи'!$AA81)/'12. Разходи'!$AA81,0)</f>
        <v>0</v>
      </c>
      <c r="AO81" s="882">
        <f>'12. Разходи'!AD81-'12. Разходи'!$AA81</f>
        <v>0</v>
      </c>
      <c r="AP81" s="1103">
        <f>IFERROR(('12. Разходи'!AD81-'12. Разходи'!$AA81)/'12. Разходи'!$AA81,0)</f>
        <v>0</v>
      </c>
      <c r="AQ81" s="882">
        <f>'12. Разходи'!AE81-'12. Разходи'!$AA81</f>
        <v>0</v>
      </c>
      <c r="AR81" s="1102">
        <f>IFERROR(('12. Разходи'!AE81-'12. Разходи'!$AA81)/'12. Разходи'!$AA81,0)</f>
        <v>0</v>
      </c>
      <c r="AS81" s="1110">
        <f>'12. Разходи'!AF81-'12. Разходи'!$AA81</f>
        <v>0</v>
      </c>
      <c r="AT81" s="1157">
        <f>IFERROR(('12. Разходи'!AF81-'12. Разходи'!$AA81)/'12. Разходи'!$AA81,0)</f>
        <v>0</v>
      </c>
      <c r="AU81" s="1151">
        <f>'12. Разходи'!AI81</f>
        <v>0</v>
      </c>
      <c r="AV81" s="1115">
        <f>'12. Разходи'!AJ81-'12. Разходи'!$AI81</f>
        <v>0</v>
      </c>
      <c r="AW81" s="1095">
        <f>IFERROR(('12. Разходи'!AJ81-'12. Разходи'!$AI81)/'12. Разходи'!$AI81,0)</f>
        <v>0</v>
      </c>
      <c r="AX81" s="882">
        <f>'12. Разходи'!AK81-'12. Разходи'!$AI81</f>
        <v>0</v>
      </c>
      <c r="AY81" s="1103">
        <f>IFERROR(('12. Разходи'!AK81-'12. Разходи'!$AI81)/'12. Разходи'!$AI81,0)</f>
        <v>0</v>
      </c>
      <c r="AZ81" s="882">
        <f>'12. Разходи'!AL81-'12. Разходи'!$AI81</f>
        <v>0</v>
      </c>
      <c r="BA81" s="1103">
        <f>IFERROR(('12. Разходи'!AL81-'12. Разходи'!$AI81)/'12. Разходи'!$AI81,0)</f>
        <v>0</v>
      </c>
      <c r="BB81" s="882">
        <f>'12. Разходи'!AM81-'12. Разходи'!$AI81</f>
        <v>0</v>
      </c>
      <c r="BC81" s="1102">
        <f>IFERROR(('12. Разходи'!AM81-'12. Разходи'!$AI81)/'12. Разходи'!$AI81,0)</f>
        <v>0</v>
      </c>
      <c r="BD81" s="1110">
        <f>'12. Разходи'!AN81-'12. Разходи'!$AI81</f>
        <v>0</v>
      </c>
      <c r="BE81" s="1157">
        <f>IFERROR(('12. Разходи'!AN81-'12. Разходи'!$AI81)/'12. Разходи'!$AI81,0)</f>
        <v>0</v>
      </c>
      <c r="BF81" s="4422"/>
      <c r="BG81" s="4438">
        <f t="shared" si="31"/>
        <v>9.2032538615319321</v>
      </c>
      <c r="BH81" s="4438">
        <f t="shared" si="32"/>
        <v>0.6442277703072361</v>
      </c>
      <c r="BI81" s="4438">
        <f t="shared" si="33"/>
        <v>0.93965221926241105</v>
      </c>
      <c r="BJ81" s="4438">
        <f t="shared" si="34"/>
        <v>1.2439394016862422</v>
      </c>
      <c r="BK81" s="4438">
        <f t="shared" si="35"/>
        <v>1.5573551995827872</v>
      </c>
      <c r="BL81" s="4438">
        <f t="shared" si="36"/>
        <v>1.8801734714162297</v>
      </c>
      <c r="BM81" s="4438">
        <f t="shared" si="37"/>
        <v>0.51129188119621849</v>
      </c>
      <c r="BN81" s="4438">
        <f t="shared" si="38"/>
        <v>3.579043168373533E-2</v>
      </c>
      <c r="BO81" s="4438">
        <f t="shared" si="39"/>
        <v>5.220290107013395E-2</v>
      </c>
      <c r="BP81" s="4438">
        <f t="shared" si="40"/>
        <v>6.9107744538124558E-2</v>
      </c>
      <c r="BQ81" s="4438">
        <f t="shared" si="41"/>
        <v>8.651973331015482E-2</v>
      </c>
      <c r="BR81" s="4438">
        <f t="shared" si="42"/>
        <v>0.10445408174534607</v>
      </c>
      <c r="BS81" s="4438">
        <f t="shared" si="43"/>
        <v>0.51129188119621849</v>
      </c>
      <c r="BT81" s="4438">
        <f t="shared" si="44"/>
        <v>3.579043168373533E-2</v>
      </c>
      <c r="BU81" s="4438">
        <f t="shared" si="45"/>
        <v>5.220290107013395E-2</v>
      </c>
      <c r="BV81" s="4438">
        <f t="shared" si="46"/>
        <v>6.9107744538124558E-2</v>
      </c>
      <c r="BW81" s="4438">
        <f t="shared" si="47"/>
        <v>8.651973331015482E-2</v>
      </c>
      <c r="BX81" s="4438">
        <f t="shared" si="48"/>
        <v>0.10445408174534607</v>
      </c>
      <c r="BY81" s="4438">
        <f t="shared" si="49"/>
        <v>0</v>
      </c>
      <c r="BZ81" s="4438">
        <f t="shared" si="50"/>
        <v>0</v>
      </c>
      <c r="CA81" s="4438">
        <f t="shared" si="51"/>
        <v>0</v>
      </c>
      <c r="CB81" s="4438">
        <f t="shared" si="52"/>
        <v>0</v>
      </c>
      <c r="CC81" s="4438">
        <f t="shared" si="53"/>
        <v>0</v>
      </c>
      <c r="CD81" s="4438">
        <f t="shared" si="54"/>
        <v>0</v>
      </c>
      <c r="CE81" s="4438">
        <f t="shared" si="55"/>
        <v>0</v>
      </c>
      <c r="CF81" s="4438">
        <f t="shared" si="56"/>
        <v>0</v>
      </c>
      <c r="CG81" s="4438">
        <f t="shared" si="57"/>
        <v>0</v>
      </c>
      <c r="CH81" s="4438">
        <f t="shared" si="58"/>
        <v>0</v>
      </c>
      <c r="CI81" s="4438">
        <f t="shared" si="59"/>
        <v>0</v>
      </c>
      <c r="CJ81" s="4438">
        <f t="shared" si="60"/>
        <v>0</v>
      </c>
    </row>
    <row r="82" spans="1:88" ht="15.95" customHeight="1">
      <c r="A82" s="108" t="s">
        <v>459</v>
      </c>
      <c r="B82" s="247" t="s">
        <v>261</v>
      </c>
      <c r="C82" s="1092">
        <f>'12. Разходи'!C82</f>
        <v>0</v>
      </c>
      <c r="D82" s="1115">
        <f>'12. Разходи'!D82-'12. Разходи'!$C82</f>
        <v>0</v>
      </c>
      <c r="E82" s="1095">
        <f>IFERROR(('12. Разходи'!D82-'12. Разходи'!$C82)/'12. Разходи'!$C82,0)</f>
        <v>0</v>
      </c>
      <c r="F82" s="882">
        <f>'12. Разходи'!E82-'12. Разходи'!$C82</f>
        <v>0</v>
      </c>
      <c r="G82" s="1103">
        <f>IFERROR(('12. Разходи'!E82-'12. Разходи'!$C82)/'12. Разходи'!$C82,0)</f>
        <v>0</v>
      </c>
      <c r="H82" s="882">
        <f>'12. Разходи'!F82-'12. Разходи'!$C82</f>
        <v>0</v>
      </c>
      <c r="I82" s="1103">
        <f>IFERROR(('12. Разходи'!F82-'12. Разходи'!$C82)/'12. Разходи'!$C82,0)</f>
        <v>0</v>
      </c>
      <c r="J82" s="882">
        <f>'12. Разходи'!G82-'12. Разходи'!$C82</f>
        <v>0</v>
      </c>
      <c r="K82" s="1102">
        <f>IFERROR(('12. Разходи'!G82-'12. Разходи'!$C82)/'12. Разходи'!$C82,0)</f>
        <v>0</v>
      </c>
      <c r="L82" s="1110">
        <f>'12. Разходи'!H82-'12. Разходи'!$C82</f>
        <v>0</v>
      </c>
      <c r="M82" s="1102">
        <f>IFERROR(('12. Разходи'!H82-'12. Разходи'!$C82)/'12. Разходи'!$C82,0)</f>
        <v>0</v>
      </c>
      <c r="N82" s="1151">
        <f>'12. Разходи'!K82</f>
        <v>0</v>
      </c>
      <c r="O82" s="1115">
        <f>'12. Разходи'!L82-'12. Разходи'!$K82</f>
        <v>0</v>
      </c>
      <c r="P82" s="1095">
        <f>IFERROR(('12. Разходи'!L82-'12. Разходи'!$K82)/'12. Разходи'!$K82,0)</f>
        <v>0</v>
      </c>
      <c r="Q82" s="882">
        <f>'12. Разходи'!M82-'12. Разходи'!$K82</f>
        <v>0</v>
      </c>
      <c r="R82" s="1103">
        <f>IFERROR(('12. Разходи'!M82-'12. Разходи'!$K82)/'12. Разходи'!$K82,0)</f>
        <v>0</v>
      </c>
      <c r="S82" s="882">
        <f>'12. Разходи'!N82-'12. Разходи'!$K82</f>
        <v>0</v>
      </c>
      <c r="T82" s="1103">
        <f>IFERROR(('12. Разходи'!N82-'12. Разходи'!$K82)/'12. Разходи'!$K82,0)</f>
        <v>0</v>
      </c>
      <c r="U82" s="882">
        <f>'12. Разходи'!O82-'12. Разходи'!$K82</f>
        <v>0</v>
      </c>
      <c r="V82" s="1102">
        <f>IFERROR(('12. Разходи'!O82-'12. Разходи'!$K82)/'12. Разходи'!$K82,0)</f>
        <v>0</v>
      </c>
      <c r="W82" s="1110">
        <f>'12. Разходи'!P82-'12. Разходи'!$K82</f>
        <v>0</v>
      </c>
      <c r="X82" s="1157">
        <f>IFERROR(('12. Разходи'!P82-'12. Разходи'!$K82)/'12. Разходи'!$K82,0)</f>
        <v>0</v>
      </c>
      <c r="Y82" s="1151">
        <f>'12. Разходи'!S82</f>
        <v>0</v>
      </c>
      <c r="Z82" s="1115">
        <f>'12. Разходи'!T82-'12. Разходи'!$S82</f>
        <v>0</v>
      </c>
      <c r="AA82" s="1095">
        <f>IFERROR(('12. Разходи'!T82-'12. Разходи'!$S82)/'12. Разходи'!$S82,0)</f>
        <v>0</v>
      </c>
      <c r="AB82" s="882">
        <f>'12. Разходи'!U82-'12. Разходи'!$S82</f>
        <v>0</v>
      </c>
      <c r="AC82" s="1103">
        <f>IFERROR(('12. Разходи'!U82-'12. Разходи'!$S82)/'12. Разходи'!$S82,0)</f>
        <v>0</v>
      </c>
      <c r="AD82" s="882">
        <f>'12. Разходи'!V82-'12. Разходи'!$S82</f>
        <v>0</v>
      </c>
      <c r="AE82" s="1103">
        <f>IFERROR(('12. Разходи'!V82-'12. Разходи'!$S82)/'12. Разходи'!$S82,0)</f>
        <v>0</v>
      </c>
      <c r="AF82" s="882">
        <f>'12. Разходи'!W82-'12. Разходи'!$S82</f>
        <v>0</v>
      </c>
      <c r="AG82" s="1102">
        <f>IFERROR(('12. Разходи'!W82-'12. Разходи'!$S82)/'12. Разходи'!$S82,0)</f>
        <v>0</v>
      </c>
      <c r="AH82" s="1110">
        <f>'12. Разходи'!X82-'12. Разходи'!$S82</f>
        <v>0</v>
      </c>
      <c r="AI82" s="1157">
        <f>IFERROR(('12. Разходи'!X82-'12. Разходи'!$S82)/'12. Разходи'!$S82,0)</f>
        <v>0</v>
      </c>
      <c r="AJ82" s="1151">
        <f>'12. Разходи'!AA82</f>
        <v>0</v>
      </c>
      <c r="AK82" s="1115">
        <f>'12. Разходи'!AB82-'12. Разходи'!$AA82</f>
        <v>0</v>
      </c>
      <c r="AL82" s="1095">
        <f>IFERROR(('12. Разходи'!AB82-'12. Разходи'!$AA82)/'12. Разходи'!$AA82,0)</f>
        <v>0</v>
      </c>
      <c r="AM82" s="882">
        <f>'12. Разходи'!AC82-'12. Разходи'!$AA82</f>
        <v>0</v>
      </c>
      <c r="AN82" s="1103">
        <f>IFERROR(('12. Разходи'!AC82-'12. Разходи'!$AA82)/'12. Разходи'!$AA82,0)</f>
        <v>0</v>
      </c>
      <c r="AO82" s="882">
        <f>'12. Разходи'!AD82-'12. Разходи'!$AA82</f>
        <v>0</v>
      </c>
      <c r="AP82" s="1103">
        <f>IFERROR(('12. Разходи'!AD82-'12. Разходи'!$AA82)/'12. Разходи'!$AA82,0)</f>
        <v>0</v>
      </c>
      <c r="AQ82" s="882">
        <f>'12. Разходи'!AE82-'12. Разходи'!$AA82</f>
        <v>0</v>
      </c>
      <c r="AR82" s="1102">
        <f>IFERROR(('12. Разходи'!AE82-'12. Разходи'!$AA82)/'12. Разходи'!$AA82,0)</f>
        <v>0</v>
      </c>
      <c r="AS82" s="1110">
        <f>'12. Разходи'!AF82-'12. Разходи'!$AA82</f>
        <v>0</v>
      </c>
      <c r="AT82" s="1157">
        <f>IFERROR(('12. Разходи'!AF82-'12. Разходи'!$AA82)/'12. Разходи'!$AA82,0)</f>
        <v>0</v>
      </c>
      <c r="AU82" s="1151">
        <f>'12. Разходи'!AI82</f>
        <v>0</v>
      </c>
      <c r="AV82" s="1115">
        <f>'12. Разходи'!AJ82-'12. Разходи'!$AI82</f>
        <v>0</v>
      </c>
      <c r="AW82" s="1095">
        <f>IFERROR(('12. Разходи'!AJ82-'12. Разходи'!$AI82)/'12. Разходи'!$AI82,0)</f>
        <v>0</v>
      </c>
      <c r="AX82" s="882">
        <f>'12. Разходи'!AK82-'12. Разходи'!$AI82</f>
        <v>0</v>
      </c>
      <c r="AY82" s="1103">
        <f>IFERROR(('12. Разходи'!AK82-'12. Разходи'!$AI82)/'12. Разходи'!$AI82,0)</f>
        <v>0</v>
      </c>
      <c r="AZ82" s="882">
        <f>'12. Разходи'!AL82-'12. Разходи'!$AI82</f>
        <v>0</v>
      </c>
      <c r="BA82" s="1103">
        <f>IFERROR(('12. Разходи'!AL82-'12. Разходи'!$AI82)/'12. Разходи'!$AI82,0)</f>
        <v>0</v>
      </c>
      <c r="BB82" s="882">
        <f>'12. Разходи'!AM82-'12. Разходи'!$AI82</f>
        <v>0</v>
      </c>
      <c r="BC82" s="1102">
        <f>IFERROR(('12. Разходи'!AM82-'12. Разходи'!$AI82)/'12. Разходи'!$AI82,0)</f>
        <v>0</v>
      </c>
      <c r="BD82" s="1110">
        <f>'12. Разходи'!AN82-'12. Разходи'!$AI82</f>
        <v>0</v>
      </c>
      <c r="BE82" s="1157">
        <f>IFERROR(('12. Разходи'!AN82-'12. Разходи'!$AI82)/'12. Разходи'!$AI82,0)</f>
        <v>0</v>
      </c>
      <c r="BF82" s="4422"/>
      <c r="BG82" s="4438">
        <f t="shared" si="31"/>
        <v>0</v>
      </c>
      <c r="BH82" s="4438">
        <f t="shared" si="32"/>
        <v>0</v>
      </c>
      <c r="BI82" s="4438">
        <f t="shared" si="33"/>
        <v>0</v>
      </c>
      <c r="BJ82" s="4438">
        <f t="shared" si="34"/>
        <v>0</v>
      </c>
      <c r="BK82" s="4438">
        <f t="shared" si="35"/>
        <v>0</v>
      </c>
      <c r="BL82" s="4438">
        <f t="shared" si="36"/>
        <v>0</v>
      </c>
      <c r="BM82" s="4438">
        <f t="shared" si="37"/>
        <v>0</v>
      </c>
      <c r="BN82" s="4438">
        <f t="shared" si="38"/>
        <v>0</v>
      </c>
      <c r="BO82" s="4438">
        <f t="shared" si="39"/>
        <v>0</v>
      </c>
      <c r="BP82" s="4438">
        <f t="shared" si="40"/>
        <v>0</v>
      </c>
      <c r="BQ82" s="4438">
        <f t="shared" si="41"/>
        <v>0</v>
      </c>
      <c r="BR82" s="4438">
        <f t="shared" si="42"/>
        <v>0</v>
      </c>
      <c r="BS82" s="4438">
        <f t="shared" si="43"/>
        <v>0</v>
      </c>
      <c r="BT82" s="4438">
        <f t="shared" si="44"/>
        <v>0</v>
      </c>
      <c r="BU82" s="4438">
        <f t="shared" si="45"/>
        <v>0</v>
      </c>
      <c r="BV82" s="4438">
        <f t="shared" si="46"/>
        <v>0</v>
      </c>
      <c r="BW82" s="4438">
        <f t="shared" si="47"/>
        <v>0</v>
      </c>
      <c r="BX82" s="4438">
        <f t="shared" si="48"/>
        <v>0</v>
      </c>
      <c r="BY82" s="4438">
        <f t="shared" si="49"/>
        <v>0</v>
      </c>
      <c r="BZ82" s="4438">
        <f t="shared" si="50"/>
        <v>0</v>
      </c>
      <c r="CA82" s="4438">
        <f t="shared" si="51"/>
        <v>0</v>
      </c>
      <c r="CB82" s="4438">
        <f t="shared" si="52"/>
        <v>0</v>
      </c>
      <c r="CC82" s="4438">
        <f t="shared" si="53"/>
        <v>0</v>
      </c>
      <c r="CD82" s="4438">
        <f t="shared" si="54"/>
        <v>0</v>
      </c>
      <c r="CE82" s="4438">
        <f t="shared" si="55"/>
        <v>0</v>
      </c>
      <c r="CF82" s="4438">
        <f t="shared" si="56"/>
        <v>0</v>
      </c>
      <c r="CG82" s="4438">
        <f t="shared" si="57"/>
        <v>0</v>
      </c>
      <c r="CH82" s="4438">
        <f t="shared" si="58"/>
        <v>0</v>
      </c>
      <c r="CI82" s="4438">
        <f t="shared" si="59"/>
        <v>0</v>
      </c>
      <c r="CJ82" s="4438">
        <f t="shared" si="60"/>
        <v>0</v>
      </c>
    </row>
    <row r="83" spans="1:88" ht="15.95" customHeight="1">
      <c r="A83" s="108" t="s">
        <v>460</v>
      </c>
      <c r="B83" s="132" t="s">
        <v>238</v>
      </c>
      <c r="C83" s="1159">
        <f>'12. Разходи'!C83</f>
        <v>2</v>
      </c>
      <c r="D83" s="1116">
        <f>'12. Разходи'!D83-'12. Разходи'!$C83</f>
        <v>-2</v>
      </c>
      <c r="E83" s="856">
        <f>IFERROR(('12. Разходи'!D83-'12. Разходи'!$C83)/'12. Разходи'!$C83,0)</f>
        <v>-1</v>
      </c>
      <c r="F83" s="1109">
        <f>'12. Разходи'!E83-'12. Разходи'!$C83</f>
        <v>-2</v>
      </c>
      <c r="G83" s="856">
        <f>IFERROR(('12. Разходи'!E83-'12. Разходи'!$C83)/'12. Разходи'!$C83,0)</f>
        <v>-1</v>
      </c>
      <c r="H83" s="1109">
        <f>'12. Разходи'!F83-'12. Разходи'!$C83</f>
        <v>-2</v>
      </c>
      <c r="I83" s="856">
        <f>IFERROR(('12. Разходи'!F83-'12. Разходи'!$C83)/'12. Разходи'!$C83,0)</f>
        <v>-1</v>
      </c>
      <c r="J83" s="1109">
        <f>'12. Разходи'!G83-'12. Разходи'!$C83</f>
        <v>-2</v>
      </c>
      <c r="K83" s="860">
        <f>IFERROR(('12. Разходи'!G83-'12. Разходи'!$C83)/'12. Разходи'!$C83,0)</f>
        <v>-1</v>
      </c>
      <c r="L83" s="1109">
        <f>'12. Разходи'!H83-'12. Разходи'!$C83</f>
        <v>-2</v>
      </c>
      <c r="M83" s="860">
        <f>IFERROR(('12. Разходи'!H83-'12. Разходи'!$C83)/'12. Разходи'!$C83,0)</f>
        <v>-1</v>
      </c>
      <c r="N83" s="1138">
        <f>'12. Разходи'!K83</f>
        <v>0</v>
      </c>
      <c r="O83" s="1116">
        <f>'12. Разходи'!L83-'12. Разходи'!$K83</f>
        <v>0</v>
      </c>
      <c r="P83" s="856">
        <f>IFERROR(('12. Разходи'!L83-'12. Разходи'!$K83)/'12. Разходи'!$K83,0)</f>
        <v>0</v>
      </c>
      <c r="Q83" s="1109">
        <f>'12. Разходи'!M83-'12. Разходи'!$K83</f>
        <v>0</v>
      </c>
      <c r="R83" s="856">
        <f>IFERROR(('12. Разходи'!M83-'12. Разходи'!$K83)/'12. Разходи'!$K83,0)</f>
        <v>0</v>
      </c>
      <c r="S83" s="1109">
        <f>'12. Разходи'!N83-'12. Разходи'!$K83</f>
        <v>0</v>
      </c>
      <c r="T83" s="856">
        <f>IFERROR(('12. Разходи'!N83-'12. Разходи'!$K83)/'12. Разходи'!$K83,0)</f>
        <v>0</v>
      </c>
      <c r="U83" s="1109">
        <f>'12. Разходи'!O83-'12. Разходи'!$K83</f>
        <v>0</v>
      </c>
      <c r="V83" s="860">
        <f>IFERROR(('12. Разходи'!O83-'12. Разходи'!$K83)/'12. Разходи'!$K83,0)</f>
        <v>0</v>
      </c>
      <c r="W83" s="1109">
        <f>'12. Разходи'!P83-'12. Разходи'!$K83</f>
        <v>0</v>
      </c>
      <c r="X83" s="701">
        <f>IFERROR(('12. Разходи'!P83-'12. Разходи'!$K83)/'12. Разходи'!$K83,0)</f>
        <v>0</v>
      </c>
      <c r="Y83" s="1138">
        <f>'12. Разходи'!S83</f>
        <v>0</v>
      </c>
      <c r="Z83" s="1116">
        <f>'12. Разходи'!T83-'12. Разходи'!$S83</f>
        <v>0</v>
      </c>
      <c r="AA83" s="856">
        <f>IFERROR(('12. Разходи'!T83-'12. Разходи'!$S83)/'12. Разходи'!$S83,0)</f>
        <v>0</v>
      </c>
      <c r="AB83" s="1109">
        <f>'12. Разходи'!U83-'12. Разходи'!$S83</f>
        <v>0</v>
      </c>
      <c r="AC83" s="856">
        <f>IFERROR(('12. Разходи'!U83-'12. Разходи'!$S83)/'12. Разходи'!$S83,0)</f>
        <v>0</v>
      </c>
      <c r="AD83" s="1109">
        <f>'12. Разходи'!V83-'12. Разходи'!$S83</f>
        <v>0</v>
      </c>
      <c r="AE83" s="856">
        <f>IFERROR(('12. Разходи'!V83-'12. Разходи'!$S83)/'12. Разходи'!$S83,0)</f>
        <v>0</v>
      </c>
      <c r="AF83" s="1109">
        <f>'12. Разходи'!W83-'12. Разходи'!$S83</f>
        <v>0</v>
      </c>
      <c r="AG83" s="860">
        <f>IFERROR(('12. Разходи'!W83-'12. Разходи'!$S83)/'12. Разходи'!$S83,0)</f>
        <v>0</v>
      </c>
      <c r="AH83" s="1109">
        <f>'12. Разходи'!X83-'12. Разходи'!$S83</f>
        <v>0</v>
      </c>
      <c r="AI83" s="701">
        <f>IFERROR(('12. Разходи'!X83-'12. Разходи'!$S83)/'12. Разходи'!$S83,0)</f>
        <v>0</v>
      </c>
      <c r="AJ83" s="1138">
        <f>'12. Разходи'!AA83</f>
        <v>0</v>
      </c>
      <c r="AK83" s="1116">
        <f>'12. Разходи'!AB83-'12. Разходи'!$AA83</f>
        <v>0</v>
      </c>
      <c r="AL83" s="856">
        <f>IFERROR(('12. Разходи'!AB83-'12. Разходи'!$AA83)/'12. Разходи'!$AA83,0)</f>
        <v>0</v>
      </c>
      <c r="AM83" s="1109">
        <f>'12. Разходи'!AC83-'12. Разходи'!$AA83</f>
        <v>0</v>
      </c>
      <c r="AN83" s="856">
        <f>IFERROR(('12. Разходи'!AC83-'12. Разходи'!$AA83)/'12. Разходи'!$AA83,0)</f>
        <v>0</v>
      </c>
      <c r="AO83" s="1109">
        <f>'12. Разходи'!AD83-'12. Разходи'!$AA83</f>
        <v>0</v>
      </c>
      <c r="AP83" s="856">
        <f>IFERROR(('12. Разходи'!AD83-'12. Разходи'!$AA83)/'12. Разходи'!$AA83,0)</f>
        <v>0</v>
      </c>
      <c r="AQ83" s="1109">
        <f>'12. Разходи'!AE83-'12. Разходи'!$AA83</f>
        <v>0</v>
      </c>
      <c r="AR83" s="860">
        <f>IFERROR(('12. Разходи'!AE83-'12. Разходи'!$AA83)/'12. Разходи'!$AA83,0)</f>
        <v>0</v>
      </c>
      <c r="AS83" s="1109">
        <f>'12. Разходи'!AF83-'12. Разходи'!$AA83</f>
        <v>0</v>
      </c>
      <c r="AT83" s="1161">
        <f>IFERROR(('12. Разходи'!AF83-'12. Разходи'!$AA83)/'12. Разходи'!$AA83,0)</f>
        <v>0</v>
      </c>
      <c r="AU83" s="1138">
        <f>'12. Разходи'!AI83</f>
        <v>0</v>
      </c>
      <c r="AV83" s="1116">
        <f>'12. Разходи'!AJ83-'12. Разходи'!$AI83</f>
        <v>0</v>
      </c>
      <c r="AW83" s="856">
        <f>IFERROR(('12. Разходи'!AJ83-'12. Разходи'!$AI83)/'12. Разходи'!$AI83,0)</f>
        <v>0</v>
      </c>
      <c r="AX83" s="1109">
        <f>'12. Разходи'!AK83-'12. Разходи'!$AI83</f>
        <v>0</v>
      </c>
      <c r="AY83" s="856">
        <f>IFERROR(('12. Разходи'!AK83-'12. Разходи'!$AI83)/'12. Разходи'!$AI83,0)</f>
        <v>0</v>
      </c>
      <c r="AZ83" s="1109">
        <f>'12. Разходи'!AL83-'12. Разходи'!$AI83</f>
        <v>0</v>
      </c>
      <c r="BA83" s="856">
        <f>IFERROR(('12. Разходи'!AL83-'12. Разходи'!$AI83)/'12. Разходи'!$AI83,0)</f>
        <v>0</v>
      </c>
      <c r="BB83" s="1109">
        <f>'12. Разходи'!AM83-'12. Разходи'!$AI83</f>
        <v>0</v>
      </c>
      <c r="BC83" s="860">
        <f>IFERROR(('12. Разходи'!AM83-'12. Разходи'!$AI83)/'12. Разходи'!$AI83,0)</f>
        <v>0</v>
      </c>
      <c r="BD83" s="1109">
        <f>'12. Разходи'!AN83-'12. Разходи'!$AI83</f>
        <v>0</v>
      </c>
      <c r="BE83" s="1161">
        <f>IFERROR(('12. Разходи'!AN83-'12. Разходи'!$AI83)/'12. Разходи'!$AI83,0)</f>
        <v>0</v>
      </c>
      <c r="BF83" s="4422"/>
      <c r="BG83" s="4438">
        <f t="shared" si="31"/>
        <v>1.022583762392437</v>
      </c>
      <c r="BH83" s="4438">
        <f t="shared" si="32"/>
        <v>-1.022583762392437</v>
      </c>
      <c r="BI83" s="4438">
        <f t="shared" si="33"/>
        <v>-1.022583762392437</v>
      </c>
      <c r="BJ83" s="4438">
        <f t="shared" si="34"/>
        <v>-1.022583762392437</v>
      </c>
      <c r="BK83" s="4438">
        <f t="shared" si="35"/>
        <v>-1.022583762392437</v>
      </c>
      <c r="BL83" s="4438">
        <f t="shared" si="36"/>
        <v>-1.022583762392437</v>
      </c>
      <c r="BM83" s="4438">
        <f t="shared" si="37"/>
        <v>0</v>
      </c>
      <c r="BN83" s="4438">
        <f t="shared" si="38"/>
        <v>0</v>
      </c>
      <c r="BO83" s="4438">
        <f t="shared" si="39"/>
        <v>0</v>
      </c>
      <c r="BP83" s="4438">
        <f t="shared" si="40"/>
        <v>0</v>
      </c>
      <c r="BQ83" s="4438">
        <f t="shared" si="41"/>
        <v>0</v>
      </c>
      <c r="BR83" s="4438">
        <f t="shared" si="42"/>
        <v>0</v>
      </c>
      <c r="BS83" s="4438">
        <f t="shared" si="43"/>
        <v>0</v>
      </c>
      <c r="BT83" s="4438">
        <f t="shared" si="44"/>
        <v>0</v>
      </c>
      <c r="BU83" s="4438">
        <f t="shared" si="45"/>
        <v>0</v>
      </c>
      <c r="BV83" s="4438">
        <f t="shared" si="46"/>
        <v>0</v>
      </c>
      <c r="BW83" s="4438">
        <f t="shared" si="47"/>
        <v>0</v>
      </c>
      <c r="BX83" s="4438">
        <f t="shared" si="48"/>
        <v>0</v>
      </c>
      <c r="BY83" s="4438">
        <f t="shared" si="49"/>
        <v>0</v>
      </c>
      <c r="BZ83" s="4438">
        <f t="shared" si="50"/>
        <v>0</v>
      </c>
      <c r="CA83" s="4438">
        <f t="shared" si="51"/>
        <v>0</v>
      </c>
      <c r="CB83" s="4438">
        <f t="shared" si="52"/>
        <v>0</v>
      </c>
      <c r="CC83" s="4438">
        <f t="shared" si="53"/>
        <v>0</v>
      </c>
      <c r="CD83" s="4438">
        <f t="shared" si="54"/>
        <v>0</v>
      </c>
      <c r="CE83" s="4438">
        <f t="shared" si="55"/>
        <v>0</v>
      </c>
      <c r="CF83" s="4438">
        <f t="shared" si="56"/>
        <v>0</v>
      </c>
      <c r="CG83" s="4438">
        <f t="shared" si="57"/>
        <v>0</v>
      </c>
      <c r="CH83" s="4438">
        <f t="shared" si="58"/>
        <v>0</v>
      </c>
      <c r="CI83" s="4438">
        <f t="shared" si="59"/>
        <v>0</v>
      </c>
      <c r="CJ83" s="4438">
        <f t="shared" si="60"/>
        <v>0</v>
      </c>
    </row>
    <row r="84" spans="1:88" s="673" customFormat="1" ht="15.95" customHeight="1">
      <c r="A84" s="817" t="s">
        <v>633</v>
      </c>
      <c r="B84" s="3089">
        <f>'12. Разходи'!B84</f>
        <v>0</v>
      </c>
      <c r="C84" s="3090">
        <f>'12. Разходи'!C84</f>
        <v>2</v>
      </c>
      <c r="D84" s="1115">
        <f>'12. Разходи'!D84-'12. Разходи'!$C84</f>
        <v>-2</v>
      </c>
      <c r="E84" s="1095">
        <f>IFERROR(('12. Разходи'!D84-'12. Разходи'!$C84)/'12. Разходи'!$C84,0)</f>
        <v>-1</v>
      </c>
      <c r="F84" s="882">
        <f>'12. Разходи'!E84-'12. Разходи'!$C84</f>
        <v>-2</v>
      </c>
      <c r="G84" s="1103">
        <f>IFERROR(('12. Разходи'!E84-'12. Разходи'!$C84)/'12. Разходи'!$C84,0)</f>
        <v>-1</v>
      </c>
      <c r="H84" s="882">
        <f>'12. Разходи'!F84-'12. Разходи'!$C84</f>
        <v>-2</v>
      </c>
      <c r="I84" s="1103">
        <f>IFERROR(('12. Разходи'!F84-'12. Разходи'!$C84)/'12. Разходи'!$C84,0)</f>
        <v>-1</v>
      </c>
      <c r="J84" s="882">
        <f>'12. Разходи'!G84-'12. Разходи'!$C84</f>
        <v>-2</v>
      </c>
      <c r="K84" s="1102">
        <f>IFERROR(('12. Разходи'!G84-'12. Разходи'!$C84)/'12. Разходи'!$C84,0)</f>
        <v>-1</v>
      </c>
      <c r="L84" s="1110">
        <f>'12. Разходи'!H84-'12. Разходи'!$C84</f>
        <v>-2</v>
      </c>
      <c r="M84" s="1102">
        <f>IFERROR(('12. Разходи'!H84-'12. Разходи'!$C84)/'12. Разходи'!$C84,0)</f>
        <v>-1</v>
      </c>
      <c r="N84" s="1151">
        <f>'12. Разходи'!K84</f>
        <v>0</v>
      </c>
      <c r="O84" s="1115">
        <f>'12. Разходи'!L84-'12. Разходи'!$K84</f>
        <v>0</v>
      </c>
      <c r="P84" s="1095">
        <f>IFERROR(('12. Разходи'!L84-'12. Разходи'!$K84)/'12. Разходи'!$K84,0)</f>
        <v>0</v>
      </c>
      <c r="Q84" s="882">
        <f>'12. Разходи'!M84-'12. Разходи'!$K84</f>
        <v>0</v>
      </c>
      <c r="R84" s="1103">
        <f>IFERROR(('12. Разходи'!M84-'12. Разходи'!$K84)/'12. Разходи'!$K84,0)</f>
        <v>0</v>
      </c>
      <c r="S84" s="882">
        <f>'12. Разходи'!N84-'12. Разходи'!$K84</f>
        <v>0</v>
      </c>
      <c r="T84" s="1103">
        <f>IFERROR(('12. Разходи'!N84-'12. Разходи'!$K84)/'12. Разходи'!$K84,0)</f>
        <v>0</v>
      </c>
      <c r="U84" s="882">
        <f>'12. Разходи'!O84-'12. Разходи'!$K84</f>
        <v>0</v>
      </c>
      <c r="V84" s="1102">
        <f>IFERROR(('12. Разходи'!O84-'12. Разходи'!$K84)/'12. Разходи'!$K84,0)</f>
        <v>0</v>
      </c>
      <c r="W84" s="1110">
        <f>'12. Разходи'!P84-'12. Разходи'!$K84</f>
        <v>0</v>
      </c>
      <c r="X84" s="1157">
        <f>IFERROR(('12. Разходи'!P84-'12. Разходи'!$K84)/'12. Разходи'!$K84,0)</f>
        <v>0</v>
      </c>
      <c r="Y84" s="1151">
        <f>'12. Разходи'!S84</f>
        <v>0</v>
      </c>
      <c r="Z84" s="1115">
        <f>'12. Разходи'!T84-'12. Разходи'!$S84</f>
        <v>0</v>
      </c>
      <c r="AA84" s="1095">
        <f>IFERROR(('12. Разходи'!T84-'12. Разходи'!$S84)/'12. Разходи'!$S84,0)</f>
        <v>0</v>
      </c>
      <c r="AB84" s="882">
        <f>'12. Разходи'!U84-'12. Разходи'!$S84</f>
        <v>0</v>
      </c>
      <c r="AC84" s="1103">
        <f>IFERROR(('12. Разходи'!U84-'12. Разходи'!$S84)/'12. Разходи'!$S84,0)</f>
        <v>0</v>
      </c>
      <c r="AD84" s="882">
        <f>'12. Разходи'!V84-'12. Разходи'!$S84</f>
        <v>0</v>
      </c>
      <c r="AE84" s="1103">
        <f>IFERROR(('12. Разходи'!V84-'12. Разходи'!$S84)/'12. Разходи'!$S84,0)</f>
        <v>0</v>
      </c>
      <c r="AF84" s="882">
        <f>'12. Разходи'!W84-'12. Разходи'!$S84</f>
        <v>0</v>
      </c>
      <c r="AG84" s="1102">
        <f>IFERROR(('12. Разходи'!W84-'12. Разходи'!$S84)/'12. Разходи'!$S84,0)</f>
        <v>0</v>
      </c>
      <c r="AH84" s="1110">
        <f>'12. Разходи'!X84-'12. Разходи'!$S84</f>
        <v>0</v>
      </c>
      <c r="AI84" s="1157">
        <f>IFERROR(('12. Разходи'!X84-'12. Разходи'!$S84)/'12. Разходи'!$S84,0)</f>
        <v>0</v>
      </c>
      <c r="AJ84" s="1151">
        <f>'12. Разходи'!AA84</f>
        <v>0</v>
      </c>
      <c r="AK84" s="1115">
        <f>'12. Разходи'!AB84-'12. Разходи'!$AA84</f>
        <v>0</v>
      </c>
      <c r="AL84" s="1095">
        <f>IFERROR(('12. Разходи'!AB84-'12. Разходи'!$AA84)/'12. Разходи'!$AA84,0)</f>
        <v>0</v>
      </c>
      <c r="AM84" s="882">
        <f>'12. Разходи'!AC84-'12. Разходи'!$AA84</f>
        <v>0</v>
      </c>
      <c r="AN84" s="1103">
        <f>IFERROR(('12. Разходи'!AC84-'12. Разходи'!$AA84)/'12. Разходи'!$AA84,0)</f>
        <v>0</v>
      </c>
      <c r="AO84" s="882">
        <f>'12. Разходи'!AD84-'12. Разходи'!$AA84</f>
        <v>0</v>
      </c>
      <c r="AP84" s="1103">
        <f>IFERROR(('12. Разходи'!AD84-'12. Разходи'!$AA84)/'12. Разходи'!$AA84,0)</f>
        <v>0</v>
      </c>
      <c r="AQ84" s="882">
        <f>'12. Разходи'!AE84-'12. Разходи'!$AA84</f>
        <v>0</v>
      </c>
      <c r="AR84" s="1102">
        <f>IFERROR(('12. Разходи'!AE84-'12. Разходи'!$AA84)/'12. Разходи'!$AA84,0)</f>
        <v>0</v>
      </c>
      <c r="AS84" s="1110">
        <f>'12. Разходи'!AF84-'12. Разходи'!$AA84</f>
        <v>0</v>
      </c>
      <c r="AT84" s="1157">
        <f>IFERROR(('12. Разходи'!AF84-'12. Разходи'!$AA84)/'12. Разходи'!$AA84,0)</f>
        <v>0</v>
      </c>
      <c r="AU84" s="1151">
        <f>'12. Разходи'!AI84</f>
        <v>0</v>
      </c>
      <c r="AV84" s="1115">
        <f>'12. Разходи'!AJ84-'12. Разходи'!$AI84</f>
        <v>0</v>
      </c>
      <c r="AW84" s="1095">
        <f>IFERROR(('12. Разходи'!AJ84-'12. Разходи'!$AI84)/'12. Разходи'!$AI84,0)</f>
        <v>0</v>
      </c>
      <c r="AX84" s="882">
        <f>'12. Разходи'!AK84-'12. Разходи'!$AI84</f>
        <v>0</v>
      </c>
      <c r="AY84" s="1103">
        <f>IFERROR(('12. Разходи'!AK84-'12. Разходи'!$AI84)/'12. Разходи'!$AI84,0)</f>
        <v>0</v>
      </c>
      <c r="AZ84" s="882">
        <f>'12. Разходи'!AL84-'12. Разходи'!$AI84</f>
        <v>0</v>
      </c>
      <c r="BA84" s="1103">
        <f>IFERROR(('12. Разходи'!AL84-'12. Разходи'!$AI84)/'12. Разходи'!$AI84,0)</f>
        <v>0</v>
      </c>
      <c r="BB84" s="882">
        <f>'12. Разходи'!AM84-'12. Разходи'!$AI84</f>
        <v>0</v>
      </c>
      <c r="BC84" s="1102">
        <f>IFERROR(('12. Разходи'!AM84-'12. Разходи'!$AI84)/'12. Разходи'!$AI84,0)</f>
        <v>0</v>
      </c>
      <c r="BD84" s="1110">
        <f>'12. Разходи'!AN84-'12. Разходи'!$AI84</f>
        <v>0</v>
      </c>
      <c r="BE84" s="1157">
        <f>IFERROR(('12. Разходи'!AN84-'12. Разходи'!$AI84)/'12. Разходи'!$AI84,0)</f>
        <v>0</v>
      </c>
      <c r="BF84" s="4422"/>
      <c r="BG84" s="4438">
        <f t="shared" si="31"/>
        <v>1.022583762392437</v>
      </c>
      <c r="BH84" s="4438">
        <f t="shared" si="32"/>
        <v>-1.022583762392437</v>
      </c>
      <c r="BI84" s="4438">
        <f t="shared" si="33"/>
        <v>-1.022583762392437</v>
      </c>
      <c r="BJ84" s="4438">
        <f t="shared" si="34"/>
        <v>-1.022583762392437</v>
      </c>
      <c r="BK84" s="4438">
        <f t="shared" si="35"/>
        <v>-1.022583762392437</v>
      </c>
      <c r="BL84" s="4438">
        <f t="shared" si="36"/>
        <v>-1.022583762392437</v>
      </c>
      <c r="BM84" s="4438">
        <f t="shared" si="37"/>
        <v>0</v>
      </c>
      <c r="BN84" s="4438">
        <f t="shared" si="38"/>
        <v>0</v>
      </c>
      <c r="BO84" s="4438">
        <f t="shared" si="39"/>
        <v>0</v>
      </c>
      <c r="BP84" s="4438">
        <f t="shared" si="40"/>
        <v>0</v>
      </c>
      <c r="BQ84" s="4438">
        <f t="shared" si="41"/>
        <v>0</v>
      </c>
      <c r="BR84" s="4438">
        <f t="shared" si="42"/>
        <v>0</v>
      </c>
      <c r="BS84" s="4438">
        <f t="shared" si="43"/>
        <v>0</v>
      </c>
      <c r="BT84" s="4438">
        <f t="shared" si="44"/>
        <v>0</v>
      </c>
      <c r="BU84" s="4438">
        <f t="shared" si="45"/>
        <v>0</v>
      </c>
      <c r="BV84" s="4438">
        <f t="shared" si="46"/>
        <v>0</v>
      </c>
      <c r="BW84" s="4438">
        <f t="shared" si="47"/>
        <v>0</v>
      </c>
      <c r="BX84" s="4438">
        <f t="shared" si="48"/>
        <v>0</v>
      </c>
      <c r="BY84" s="4438">
        <f t="shared" si="49"/>
        <v>0</v>
      </c>
      <c r="BZ84" s="4438">
        <f t="shared" si="50"/>
        <v>0</v>
      </c>
      <c r="CA84" s="4438">
        <f t="shared" si="51"/>
        <v>0</v>
      </c>
      <c r="CB84" s="4438">
        <f t="shared" si="52"/>
        <v>0</v>
      </c>
      <c r="CC84" s="4438">
        <f t="shared" si="53"/>
        <v>0</v>
      </c>
      <c r="CD84" s="4438">
        <f t="shared" si="54"/>
        <v>0</v>
      </c>
      <c r="CE84" s="4438">
        <f t="shared" si="55"/>
        <v>0</v>
      </c>
      <c r="CF84" s="4438">
        <f t="shared" si="56"/>
        <v>0</v>
      </c>
      <c r="CG84" s="4438">
        <f t="shared" si="57"/>
        <v>0</v>
      </c>
      <c r="CH84" s="4438">
        <f t="shared" si="58"/>
        <v>0</v>
      </c>
      <c r="CI84" s="4438">
        <f t="shared" si="59"/>
        <v>0</v>
      </c>
      <c r="CJ84" s="4438">
        <f t="shared" si="60"/>
        <v>0</v>
      </c>
    </row>
    <row r="85" spans="1:88" s="673" customFormat="1" ht="15.95" customHeight="1">
      <c r="A85" s="817" t="s">
        <v>634</v>
      </c>
      <c r="B85" s="3089">
        <f>'12. Разходи'!B85</f>
        <v>0</v>
      </c>
      <c r="C85" s="3090">
        <f>'12. Разходи'!C85</f>
        <v>0</v>
      </c>
      <c r="D85" s="1115">
        <f>'12. Разходи'!D85-'12. Разходи'!$C85</f>
        <v>0</v>
      </c>
      <c r="E85" s="1095">
        <f>IFERROR(('12. Разходи'!D85-'12. Разходи'!$C85)/'12. Разходи'!$C85,0)</f>
        <v>0</v>
      </c>
      <c r="F85" s="882">
        <f>'12. Разходи'!E85-'12. Разходи'!$C85</f>
        <v>0</v>
      </c>
      <c r="G85" s="1103">
        <f>IFERROR(('12. Разходи'!E85-'12. Разходи'!$C85)/'12. Разходи'!$C85,0)</f>
        <v>0</v>
      </c>
      <c r="H85" s="882">
        <f>'12. Разходи'!F85-'12. Разходи'!$C85</f>
        <v>0</v>
      </c>
      <c r="I85" s="1103">
        <f>IFERROR(('12. Разходи'!F85-'12. Разходи'!$C85)/'12. Разходи'!$C85,0)</f>
        <v>0</v>
      </c>
      <c r="J85" s="882">
        <f>'12. Разходи'!G85-'12. Разходи'!$C85</f>
        <v>0</v>
      </c>
      <c r="K85" s="1102">
        <f>IFERROR(('12. Разходи'!G85-'12. Разходи'!$C85)/'12. Разходи'!$C85,0)</f>
        <v>0</v>
      </c>
      <c r="L85" s="1110">
        <f>'12. Разходи'!H85-'12. Разходи'!$C85</f>
        <v>0</v>
      </c>
      <c r="M85" s="1102">
        <f>IFERROR(('12. Разходи'!H85-'12. Разходи'!$C85)/'12. Разходи'!$C85,0)</f>
        <v>0</v>
      </c>
      <c r="N85" s="1151">
        <f>'12. Разходи'!K85</f>
        <v>0</v>
      </c>
      <c r="O85" s="1115">
        <f>'12. Разходи'!L85-'12. Разходи'!$K85</f>
        <v>0</v>
      </c>
      <c r="P85" s="1095">
        <f>IFERROR(('12. Разходи'!L85-'12. Разходи'!$K85)/'12. Разходи'!$K85,0)</f>
        <v>0</v>
      </c>
      <c r="Q85" s="882">
        <f>'12. Разходи'!M85-'12. Разходи'!$K85</f>
        <v>0</v>
      </c>
      <c r="R85" s="1103">
        <f>IFERROR(('12. Разходи'!M85-'12. Разходи'!$K85)/'12. Разходи'!$K85,0)</f>
        <v>0</v>
      </c>
      <c r="S85" s="882">
        <f>'12. Разходи'!N85-'12. Разходи'!$K85</f>
        <v>0</v>
      </c>
      <c r="T85" s="1103">
        <f>IFERROR(('12. Разходи'!N85-'12. Разходи'!$K85)/'12. Разходи'!$K85,0)</f>
        <v>0</v>
      </c>
      <c r="U85" s="882">
        <f>'12. Разходи'!O85-'12. Разходи'!$K85</f>
        <v>0</v>
      </c>
      <c r="V85" s="1102">
        <f>IFERROR(('12. Разходи'!O85-'12. Разходи'!$K85)/'12. Разходи'!$K85,0)</f>
        <v>0</v>
      </c>
      <c r="W85" s="1110">
        <f>'12. Разходи'!P85-'12. Разходи'!$K85</f>
        <v>0</v>
      </c>
      <c r="X85" s="1157">
        <f>IFERROR(('12. Разходи'!P85-'12. Разходи'!$K85)/'12. Разходи'!$K85,0)</f>
        <v>0</v>
      </c>
      <c r="Y85" s="1151">
        <f>'12. Разходи'!S85</f>
        <v>0</v>
      </c>
      <c r="Z85" s="1115">
        <f>'12. Разходи'!T85-'12. Разходи'!$S85</f>
        <v>0</v>
      </c>
      <c r="AA85" s="1095">
        <f>IFERROR(('12. Разходи'!T85-'12. Разходи'!$S85)/'12. Разходи'!$S85,0)</f>
        <v>0</v>
      </c>
      <c r="AB85" s="882">
        <f>'12. Разходи'!U85-'12. Разходи'!$S85</f>
        <v>0</v>
      </c>
      <c r="AC85" s="1103">
        <f>IFERROR(('12. Разходи'!U85-'12. Разходи'!$S85)/'12. Разходи'!$S85,0)</f>
        <v>0</v>
      </c>
      <c r="AD85" s="882">
        <f>'12. Разходи'!V85-'12. Разходи'!$S85</f>
        <v>0</v>
      </c>
      <c r="AE85" s="1103">
        <f>IFERROR(('12. Разходи'!V85-'12. Разходи'!$S85)/'12. Разходи'!$S85,0)</f>
        <v>0</v>
      </c>
      <c r="AF85" s="882">
        <f>'12. Разходи'!W85-'12. Разходи'!$S85</f>
        <v>0</v>
      </c>
      <c r="AG85" s="1102">
        <f>IFERROR(('12. Разходи'!W85-'12. Разходи'!$S85)/'12. Разходи'!$S85,0)</f>
        <v>0</v>
      </c>
      <c r="AH85" s="1110">
        <f>'12. Разходи'!X85-'12. Разходи'!$S85</f>
        <v>0</v>
      </c>
      <c r="AI85" s="1157">
        <f>IFERROR(('12. Разходи'!X85-'12. Разходи'!$S85)/'12. Разходи'!$S85,0)</f>
        <v>0</v>
      </c>
      <c r="AJ85" s="1151">
        <f>'12. Разходи'!AA85</f>
        <v>0</v>
      </c>
      <c r="AK85" s="1115">
        <f>'12. Разходи'!AB85-'12. Разходи'!$AA85</f>
        <v>0</v>
      </c>
      <c r="AL85" s="1095">
        <f>IFERROR(('12. Разходи'!AB85-'12. Разходи'!$AA85)/'12. Разходи'!$AA85,0)</f>
        <v>0</v>
      </c>
      <c r="AM85" s="882">
        <f>'12. Разходи'!AC85-'12. Разходи'!$AA85</f>
        <v>0</v>
      </c>
      <c r="AN85" s="1103">
        <f>IFERROR(('12. Разходи'!AC85-'12. Разходи'!$AA85)/'12. Разходи'!$AA85,0)</f>
        <v>0</v>
      </c>
      <c r="AO85" s="882">
        <f>'12. Разходи'!AD85-'12. Разходи'!$AA85</f>
        <v>0</v>
      </c>
      <c r="AP85" s="1103">
        <f>IFERROR(('12. Разходи'!AD85-'12. Разходи'!$AA85)/'12. Разходи'!$AA85,0)</f>
        <v>0</v>
      </c>
      <c r="AQ85" s="882">
        <f>'12. Разходи'!AE85-'12. Разходи'!$AA85</f>
        <v>0</v>
      </c>
      <c r="AR85" s="1102">
        <f>IFERROR(('12. Разходи'!AE85-'12. Разходи'!$AA85)/'12. Разходи'!$AA85,0)</f>
        <v>0</v>
      </c>
      <c r="AS85" s="1110">
        <f>'12. Разходи'!AF85-'12. Разходи'!$AA85</f>
        <v>0</v>
      </c>
      <c r="AT85" s="1157">
        <f>IFERROR(('12. Разходи'!AF85-'12. Разходи'!$AA85)/'12. Разходи'!$AA85,0)</f>
        <v>0</v>
      </c>
      <c r="AU85" s="1151">
        <f>'12. Разходи'!AI85</f>
        <v>0</v>
      </c>
      <c r="AV85" s="1115">
        <f>'12. Разходи'!AJ85-'12. Разходи'!$AI85</f>
        <v>0</v>
      </c>
      <c r="AW85" s="1095">
        <f>IFERROR(('12. Разходи'!AJ85-'12. Разходи'!$AI85)/'12. Разходи'!$AI85,0)</f>
        <v>0</v>
      </c>
      <c r="AX85" s="882">
        <f>'12. Разходи'!AK85-'12. Разходи'!$AI85</f>
        <v>0</v>
      </c>
      <c r="AY85" s="1103">
        <f>IFERROR(('12. Разходи'!AK85-'12. Разходи'!$AI85)/'12. Разходи'!$AI85,0)</f>
        <v>0</v>
      </c>
      <c r="AZ85" s="882">
        <f>'12. Разходи'!AL85-'12. Разходи'!$AI85</f>
        <v>0</v>
      </c>
      <c r="BA85" s="1103">
        <f>IFERROR(('12. Разходи'!AL85-'12. Разходи'!$AI85)/'12. Разходи'!$AI85,0)</f>
        <v>0</v>
      </c>
      <c r="BB85" s="882">
        <f>'12. Разходи'!AM85-'12. Разходи'!$AI85</f>
        <v>0</v>
      </c>
      <c r="BC85" s="1102">
        <f>IFERROR(('12. Разходи'!AM85-'12. Разходи'!$AI85)/'12. Разходи'!$AI85,0)</f>
        <v>0</v>
      </c>
      <c r="BD85" s="1110">
        <f>'12. Разходи'!AN85-'12. Разходи'!$AI85</f>
        <v>0</v>
      </c>
      <c r="BE85" s="1157">
        <f>IFERROR(('12. Разходи'!AN85-'12. Разходи'!$AI85)/'12. Разходи'!$AI85,0)</f>
        <v>0</v>
      </c>
      <c r="BF85" s="4422"/>
      <c r="BG85" s="4438">
        <f t="shared" si="31"/>
        <v>0</v>
      </c>
      <c r="BH85" s="4438">
        <f t="shared" si="32"/>
        <v>0</v>
      </c>
      <c r="BI85" s="4438">
        <f t="shared" si="33"/>
        <v>0</v>
      </c>
      <c r="BJ85" s="4438">
        <f t="shared" si="34"/>
        <v>0</v>
      </c>
      <c r="BK85" s="4438">
        <f t="shared" si="35"/>
        <v>0</v>
      </c>
      <c r="BL85" s="4438">
        <f t="shared" si="36"/>
        <v>0</v>
      </c>
      <c r="BM85" s="4438">
        <f t="shared" si="37"/>
        <v>0</v>
      </c>
      <c r="BN85" s="4438">
        <f t="shared" si="38"/>
        <v>0</v>
      </c>
      <c r="BO85" s="4438">
        <f t="shared" si="39"/>
        <v>0</v>
      </c>
      <c r="BP85" s="4438">
        <f t="shared" si="40"/>
        <v>0</v>
      </c>
      <c r="BQ85" s="4438">
        <f t="shared" si="41"/>
        <v>0</v>
      </c>
      <c r="BR85" s="4438">
        <f t="shared" si="42"/>
        <v>0</v>
      </c>
      <c r="BS85" s="4438">
        <f t="shared" si="43"/>
        <v>0</v>
      </c>
      <c r="BT85" s="4438">
        <f t="shared" si="44"/>
        <v>0</v>
      </c>
      <c r="BU85" s="4438">
        <f t="shared" si="45"/>
        <v>0</v>
      </c>
      <c r="BV85" s="4438">
        <f t="shared" si="46"/>
        <v>0</v>
      </c>
      <c r="BW85" s="4438">
        <f t="shared" si="47"/>
        <v>0</v>
      </c>
      <c r="BX85" s="4438">
        <f t="shared" si="48"/>
        <v>0</v>
      </c>
      <c r="BY85" s="4438">
        <f t="shared" si="49"/>
        <v>0</v>
      </c>
      <c r="BZ85" s="4438">
        <f t="shared" si="50"/>
        <v>0</v>
      </c>
      <c r="CA85" s="4438">
        <f t="shared" si="51"/>
        <v>0</v>
      </c>
      <c r="CB85" s="4438">
        <f t="shared" si="52"/>
        <v>0</v>
      </c>
      <c r="CC85" s="4438">
        <f t="shared" si="53"/>
        <v>0</v>
      </c>
      <c r="CD85" s="4438">
        <f t="shared" si="54"/>
        <v>0</v>
      </c>
      <c r="CE85" s="4438">
        <f t="shared" si="55"/>
        <v>0</v>
      </c>
      <c r="CF85" s="4438">
        <f t="shared" si="56"/>
        <v>0</v>
      </c>
      <c r="CG85" s="4438">
        <f t="shared" si="57"/>
        <v>0</v>
      </c>
      <c r="CH85" s="4438">
        <f t="shared" si="58"/>
        <v>0</v>
      </c>
      <c r="CI85" s="4438">
        <f t="shared" si="59"/>
        <v>0</v>
      </c>
      <c r="CJ85" s="4438">
        <f t="shared" si="60"/>
        <v>0</v>
      </c>
    </row>
    <row r="86" spans="1:88" s="673" customFormat="1" ht="15.95" customHeight="1">
      <c r="A86" s="817" t="s">
        <v>635</v>
      </c>
      <c r="B86" s="3089">
        <f>'12. Разходи'!B86</f>
        <v>0</v>
      </c>
      <c r="C86" s="3090">
        <f>'12. Разходи'!C86</f>
        <v>0</v>
      </c>
      <c r="D86" s="1115">
        <f>'12. Разходи'!D86-'12. Разходи'!$C86</f>
        <v>0</v>
      </c>
      <c r="E86" s="1095">
        <f>IFERROR(('12. Разходи'!D86-'12. Разходи'!$C86)/'12. Разходи'!$C86,0)</f>
        <v>0</v>
      </c>
      <c r="F86" s="882">
        <f>'12. Разходи'!E86-'12. Разходи'!$C86</f>
        <v>0</v>
      </c>
      <c r="G86" s="1103">
        <f>IFERROR(('12. Разходи'!E86-'12. Разходи'!$C86)/'12. Разходи'!$C86,0)</f>
        <v>0</v>
      </c>
      <c r="H86" s="882">
        <f>'12. Разходи'!F86-'12. Разходи'!$C86</f>
        <v>0</v>
      </c>
      <c r="I86" s="1103">
        <f>IFERROR(('12. Разходи'!F86-'12. Разходи'!$C86)/'12. Разходи'!$C86,0)</f>
        <v>0</v>
      </c>
      <c r="J86" s="882">
        <f>'12. Разходи'!G86-'12. Разходи'!$C86</f>
        <v>0</v>
      </c>
      <c r="K86" s="1102">
        <f>IFERROR(('12. Разходи'!G86-'12. Разходи'!$C86)/'12. Разходи'!$C86,0)</f>
        <v>0</v>
      </c>
      <c r="L86" s="1110">
        <f>'12. Разходи'!H86-'12. Разходи'!$C86</f>
        <v>0</v>
      </c>
      <c r="M86" s="1102">
        <f>IFERROR(('12. Разходи'!H86-'12. Разходи'!$C86)/'12. Разходи'!$C86,0)</f>
        <v>0</v>
      </c>
      <c r="N86" s="1151">
        <f>'12. Разходи'!K86</f>
        <v>0</v>
      </c>
      <c r="O86" s="1115">
        <f>'12. Разходи'!L86-'12. Разходи'!$K86</f>
        <v>0</v>
      </c>
      <c r="P86" s="1095">
        <f>IFERROR(('12. Разходи'!L86-'12. Разходи'!$K86)/'12. Разходи'!$K86,0)</f>
        <v>0</v>
      </c>
      <c r="Q86" s="882">
        <f>'12. Разходи'!M86-'12. Разходи'!$K86</f>
        <v>0</v>
      </c>
      <c r="R86" s="1103">
        <f>IFERROR(('12. Разходи'!M86-'12. Разходи'!$K86)/'12. Разходи'!$K86,0)</f>
        <v>0</v>
      </c>
      <c r="S86" s="882">
        <f>'12. Разходи'!N86-'12. Разходи'!$K86</f>
        <v>0</v>
      </c>
      <c r="T86" s="1103">
        <f>IFERROR(('12. Разходи'!N86-'12. Разходи'!$K86)/'12. Разходи'!$K86,0)</f>
        <v>0</v>
      </c>
      <c r="U86" s="882">
        <f>'12. Разходи'!O86-'12. Разходи'!$K86</f>
        <v>0</v>
      </c>
      <c r="V86" s="1102">
        <f>IFERROR(('12. Разходи'!O86-'12. Разходи'!$K86)/'12. Разходи'!$K86,0)</f>
        <v>0</v>
      </c>
      <c r="W86" s="1110">
        <f>'12. Разходи'!P86-'12. Разходи'!$K86</f>
        <v>0</v>
      </c>
      <c r="X86" s="1157">
        <f>IFERROR(('12. Разходи'!P86-'12. Разходи'!$K86)/'12. Разходи'!$K86,0)</f>
        <v>0</v>
      </c>
      <c r="Y86" s="1151">
        <f>'12. Разходи'!S86</f>
        <v>0</v>
      </c>
      <c r="Z86" s="1115">
        <f>'12. Разходи'!T86-'12. Разходи'!$S86</f>
        <v>0</v>
      </c>
      <c r="AA86" s="1095">
        <f>IFERROR(('12. Разходи'!T86-'12. Разходи'!$S86)/'12. Разходи'!$S86,0)</f>
        <v>0</v>
      </c>
      <c r="AB86" s="882">
        <f>'12. Разходи'!U86-'12. Разходи'!$S86</f>
        <v>0</v>
      </c>
      <c r="AC86" s="1103">
        <f>IFERROR(('12. Разходи'!U86-'12. Разходи'!$S86)/'12. Разходи'!$S86,0)</f>
        <v>0</v>
      </c>
      <c r="AD86" s="882">
        <f>'12. Разходи'!V86-'12. Разходи'!$S86</f>
        <v>0</v>
      </c>
      <c r="AE86" s="1103">
        <f>IFERROR(('12. Разходи'!V86-'12. Разходи'!$S86)/'12. Разходи'!$S86,0)</f>
        <v>0</v>
      </c>
      <c r="AF86" s="882">
        <f>'12. Разходи'!W86-'12. Разходи'!$S86</f>
        <v>0</v>
      </c>
      <c r="AG86" s="1102">
        <f>IFERROR(('12. Разходи'!W86-'12. Разходи'!$S86)/'12. Разходи'!$S86,0)</f>
        <v>0</v>
      </c>
      <c r="AH86" s="1110">
        <f>'12. Разходи'!X86-'12. Разходи'!$S86</f>
        <v>0</v>
      </c>
      <c r="AI86" s="1157">
        <f>IFERROR(('12. Разходи'!X86-'12. Разходи'!$S86)/'12. Разходи'!$S86,0)</f>
        <v>0</v>
      </c>
      <c r="AJ86" s="1151">
        <f>'12. Разходи'!AA86</f>
        <v>0</v>
      </c>
      <c r="AK86" s="1115">
        <f>'12. Разходи'!AB86-'12. Разходи'!$AA86</f>
        <v>0</v>
      </c>
      <c r="AL86" s="1095">
        <f>IFERROR(('12. Разходи'!AB86-'12. Разходи'!$AA86)/'12. Разходи'!$AA86,0)</f>
        <v>0</v>
      </c>
      <c r="AM86" s="882">
        <f>'12. Разходи'!AC86-'12. Разходи'!$AA86</f>
        <v>0</v>
      </c>
      <c r="AN86" s="1103">
        <f>IFERROR(('12. Разходи'!AC86-'12. Разходи'!$AA86)/'12. Разходи'!$AA86,0)</f>
        <v>0</v>
      </c>
      <c r="AO86" s="882">
        <f>'12. Разходи'!AD86-'12. Разходи'!$AA86</f>
        <v>0</v>
      </c>
      <c r="AP86" s="1103">
        <f>IFERROR(('12. Разходи'!AD86-'12. Разходи'!$AA86)/'12. Разходи'!$AA86,0)</f>
        <v>0</v>
      </c>
      <c r="AQ86" s="882">
        <f>'12. Разходи'!AE86-'12. Разходи'!$AA86</f>
        <v>0</v>
      </c>
      <c r="AR86" s="1102">
        <f>IFERROR(('12. Разходи'!AE86-'12. Разходи'!$AA86)/'12. Разходи'!$AA86,0)</f>
        <v>0</v>
      </c>
      <c r="AS86" s="1110">
        <f>'12. Разходи'!AF86-'12. Разходи'!$AA86</f>
        <v>0</v>
      </c>
      <c r="AT86" s="1157">
        <f>IFERROR(('12. Разходи'!AF86-'12. Разходи'!$AA86)/'12. Разходи'!$AA86,0)</f>
        <v>0</v>
      </c>
      <c r="AU86" s="1151">
        <f>'12. Разходи'!AI86</f>
        <v>0</v>
      </c>
      <c r="AV86" s="1115">
        <f>'12. Разходи'!AJ86-'12. Разходи'!$AI86</f>
        <v>0</v>
      </c>
      <c r="AW86" s="1095">
        <f>IFERROR(('12. Разходи'!AJ86-'12. Разходи'!$AI86)/'12. Разходи'!$AI86,0)</f>
        <v>0</v>
      </c>
      <c r="AX86" s="882">
        <f>'12. Разходи'!AK86-'12. Разходи'!$AI86</f>
        <v>0</v>
      </c>
      <c r="AY86" s="1103">
        <f>IFERROR(('12. Разходи'!AK86-'12. Разходи'!$AI86)/'12. Разходи'!$AI86,0)</f>
        <v>0</v>
      </c>
      <c r="AZ86" s="882">
        <f>'12. Разходи'!AL86-'12. Разходи'!$AI86</f>
        <v>0</v>
      </c>
      <c r="BA86" s="1103">
        <f>IFERROR(('12. Разходи'!AL86-'12. Разходи'!$AI86)/'12. Разходи'!$AI86,0)</f>
        <v>0</v>
      </c>
      <c r="BB86" s="882">
        <f>'12. Разходи'!AM86-'12. Разходи'!$AI86</f>
        <v>0</v>
      </c>
      <c r="BC86" s="1102">
        <f>IFERROR(('12. Разходи'!AM86-'12. Разходи'!$AI86)/'12. Разходи'!$AI86,0)</f>
        <v>0</v>
      </c>
      <c r="BD86" s="1110">
        <f>'12. Разходи'!AN86-'12. Разходи'!$AI86</f>
        <v>0</v>
      </c>
      <c r="BE86" s="1157">
        <f>IFERROR(('12. Разходи'!AN86-'12. Разходи'!$AI86)/'12. Разходи'!$AI86,0)</f>
        <v>0</v>
      </c>
      <c r="BF86" s="4422"/>
      <c r="BG86" s="4438">
        <f t="shared" si="31"/>
        <v>0</v>
      </c>
      <c r="BH86" s="4438">
        <f t="shared" si="32"/>
        <v>0</v>
      </c>
      <c r="BI86" s="4438">
        <f t="shared" si="33"/>
        <v>0</v>
      </c>
      <c r="BJ86" s="4438">
        <f t="shared" si="34"/>
        <v>0</v>
      </c>
      <c r="BK86" s="4438">
        <f t="shared" si="35"/>
        <v>0</v>
      </c>
      <c r="BL86" s="4438">
        <f t="shared" si="36"/>
        <v>0</v>
      </c>
      <c r="BM86" s="4438">
        <f t="shared" si="37"/>
        <v>0</v>
      </c>
      <c r="BN86" s="4438">
        <f t="shared" si="38"/>
        <v>0</v>
      </c>
      <c r="BO86" s="4438">
        <f t="shared" si="39"/>
        <v>0</v>
      </c>
      <c r="BP86" s="4438">
        <f t="shared" si="40"/>
        <v>0</v>
      </c>
      <c r="BQ86" s="4438">
        <f t="shared" si="41"/>
        <v>0</v>
      </c>
      <c r="BR86" s="4438">
        <f t="shared" si="42"/>
        <v>0</v>
      </c>
      <c r="BS86" s="4438">
        <f t="shared" si="43"/>
        <v>0</v>
      </c>
      <c r="BT86" s="4438">
        <f t="shared" si="44"/>
        <v>0</v>
      </c>
      <c r="BU86" s="4438">
        <f t="shared" si="45"/>
        <v>0</v>
      </c>
      <c r="BV86" s="4438">
        <f t="shared" si="46"/>
        <v>0</v>
      </c>
      <c r="BW86" s="4438">
        <f t="shared" si="47"/>
        <v>0</v>
      </c>
      <c r="BX86" s="4438">
        <f t="shared" si="48"/>
        <v>0</v>
      </c>
      <c r="BY86" s="4438">
        <f t="shared" si="49"/>
        <v>0</v>
      </c>
      <c r="BZ86" s="4438">
        <f t="shared" si="50"/>
        <v>0</v>
      </c>
      <c r="CA86" s="4438">
        <f t="shared" si="51"/>
        <v>0</v>
      </c>
      <c r="CB86" s="4438">
        <f t="shared" si="52"/>
        <v>0</v>
      </c>
      <c r="CC86" s="4438">
        <f t="shared" si="53"/>
        <v>0</v>
      </c>
      <c r="CD86" s="4438">
        <f t="shared" si="54"/>
        <v>0</v>
      </c>
      <c r="CE86" s="4438">
        <f t="shared" si="55"/>
        <v>0</v>
      </c>
      <c r="CF86" s="4438">
        <f t="shared" si="56"/>
        <v>0</v>
      </c>
      <c r="CG86" s="4438">
        <f t="shared" si="57"/>
        <v>0</v>
      </c>
      <c r="CH86" s="4438">
        <f t="shared" si="58"/>
        <v>0</v>
      </c>
      <c r="CI86" s="4438">
        <f t="shared" si="59"/>
        <v>0</v>
      </c>
      <c r="CJ86" s="4438">
        <f t="shared" si="60"/>
        <v>0</v>
      </c>
    </row>
    <row r="87" spans="1:88" s="673" customFormat="1" ht="15.95" customHeight="1" thickBot="1">
      <c r="A87" s="819" t="s">
        <v>636</v>
      </c>
      <c r="B87" s="3089">
        <f>'12. Разходи'!B87</f>
        <v>0</v>
      </c>
      <c r="C87" s="3090">
        <f>'12. Разходи'!C87</f>
        <v>0</v>
      </c>
      <c r="D87" s="1115">
        <f>'12. Разходи'!D87-'12. Разходи'!$C87</f>
        <v>0</v>
      </c>
      <c r="E87" s="1095">
        <f>IFERROR(('12. Разходи'!D87-'12. Разходи'!$C87)/'12. Разходи'!$C87,0)</f>
        <v>0</v>
      </c>
      <c r="F87" s="882">
        <f>'12. Разходи'!E87-'12. Разходи'!$C87</f>
        <v>0</v>
      </c>
      <c r="G87" s="1103">
        <f>IFERROR(('12. Разходи'!E87-'12. Разходи'!$C87)/'12. Разходи'!$C87,0)</f>
        <v>0</v>
      </c>
      <c r="H87" s="882">
        <f>'12. Разходи'!F87-'12. Разходи'!$C87</f>
        <v>0</v>
      </c>
      <c r="I87" s="1103">
        <f>IFERROR(('12. Разходи'!F87-'12. Разходи'!$C87)/'12. Разходи'!$C87,0)</f>
        <v>0</v>
      </c>
      <c r="J87" s="882">
        <f>'12. Разходи'!G87-'12. Разходи'!$C87</f>
        <v>0</v>
      </c>
      <c r="K87" s="1102">
        <f>IFERROR(('12. Разходи'!G87-'12. Разходи'!$C87)/'12. Разходи'!$C87,0)</f>
        <v>0</v>
      </c>
      <c r="L87" s="1110">
        <f>'12. Разходи'!H87-'12. Разходи'!$C87</f>
        <v>0</v>
      </c>
      <c r="M87" s="1102">
        <f>IFERROR(('12. Разходи'!H87-'12. Разходи'!$C87)/'12. Разходи'!$C87,0)</f>
        <v>0</v>
      </c>
      <c r="N87" s="1151">
        <f>'12. Разходи'!K87</f>
        <v>0</v>
      </c>
      <c r="O87" s="1115">
        <f>'12. Разходи'!L87-'12. Разходи'!$K87</f>
        <v>0</v>
      </c>
      <c r="P87" s="1095">
        <f>IFERROR(('12. Разходи'!L87-'12. Разходи'!$K87)/'12. Разходи'!$K87,0)</f>
        <v>0</v>
      </c>
      <c r="Q87" s="882">
        <f>'12. Разходи'!M87-'12. Разходи'!$K87</f>
        <v>0</v>
      </c>
      <c r="R87" s="1103">
        <f>IFERROR(('12. Разходи'!M87-'12. Разходи'!$K87)/'12. Разходи'!$K87,0)</f>
        <v>0</v>
      </c>
      <c r="S87" s="882">
        <f>'12. Разходи'!N87-'12. Разходи'!$K87</f>
        <v>0</v>
      </c>
      <c r="T87" s="1103">
        <f>IFERROR(('12. Разходи'!N87-'12. Разходи'!$K87)/'12. Разходи'!$K87,0)</f>
        <v>0</v>
      </c>
      <c r="U87" s="882">
        <f>'12. Разходи'!O87-'12. Разходи'!$K87</f>
        <v>0</v>
      </c>
      <c r="V87" s="1102">
        <f>IFERROR(('12. Разходи'!O87-'12. Разходи'!$K87)/'12. Разходи'!$K87,0)</f>
        <v>0</v>
      </c>
      <c r="W87" s="1110">
        <f>'12. Разходи'!P87-'12. Разходи'!$K87</f>
        <v>0</v>
      </c>
      <c r="X87" s="1157">
        <f>IFERROR(('12. Разходи'!P87-'12. Разходи'!$K87)/'12. Разходи'!$K87,0)</f>
        <v>0</v>
      </c>
      <c r="Y87" s="1151">
        <f>'12. Разходи'!S87</f>
        <v>0</v>
      </c>
      <c r="Z87" s="1115">
        <f>'12. Разходи'!T87-'12. Разходи'!$S87</f>
        <v>0</v>
      </c>
      <c r="AA87" s="1095">
        <f>IFERROR(('12. Разходи'!T87-'12. Разходи'!$S87)/'12. Разходи'!$S87,0)</f>
        <v>0</v>
      </c>
      <c r="AB87" s="882">
        <f>'12. Разходи'!U87-'12. Разходи'!$S87</f>
        <v>0</v>
      </c>
      <c r="AC87" s="1103">
        <f>IFERROR(('12. Разходи'!U87-'12. Разходи'!$S87)/'12. Разходи'!$S87,0)</f>
        <v>0</v>
      </c>
      <c r="AD87" s="882">
        <f>'12. Разходи'!V87-'12. Разходи'!$S87</f>
        <v>0</v>
      </c>
      <c r="AE87" s="1103">
        <f>IFERROR(('12. Разходи'!V87-'12. Разходи'!$S87)/'12. Разходи'!$S87,0)</f>
        <v>0</v>
      </c>
      <c r="AF87" s="882">
        <f>'12. Разходи'!W87-'12. Разходи'!$S87</f>
        <v>0</v>
      </c>
      <c r="AG87" s="1102">
        <f>IFERROR(('12. Разходи'!W87-'12. Разходи'!$S87)/'12. Разходи'!$S87,0)</f>
        <v>0</v>
      </c>
      <c r="AH87" s="1110">
        <f>'12. Разходи'!X87-'12. Разходи'!$S87</f>
        <v>0</v>
      </c>
      <c r="AI87" s="1157">
        <f>IFERROR(('12. Разходи'!X87-'12. Разходи'!$S87)/'12. Разходи'!$S87,0)</f>
        <v>0</v>
      </c>
      <c r="AJ87" s="1151">
        <f>'12. Разходи'!AA87</f>
        <v>0</v>
      </c>
      <c r="AK87" s="1115">
        <f>'12. Разходи'!AB87-'12. Разходи'!$AA87</f>
        <v>0</v>
      </c>
      <c r="AL87" s="1095">
        <f>IFERROR(('12. Разходи'!AB87-'12. Разходи'!$AA87)/'12. Разходи'!$AA87,0)</f>
        <v>0</v>
      </c>
      <c r="AM87" s="882">
        <f>'12. Разходи'!AC87-'12. Разходи'!$AA87</f>
        <v>0</v>
      </c>
      <c r="AN87" s="1103">
        <f>IFERROR(('12. Разходи'!AC87-'12. Разходи'!$AA87)/'12. Разходи'!$AA87,0)</f>
        <v>0</v>
      </c>
      <c r="AO87" s="882">
        <f>'12. Разходи'!AD87-'12. Разходи'!$AA87</f>
        <v>0</v>
      </c>
      <c r="AP87" s="1103">
        <f>IFERROR(('12. Разходи'!AD87-'12. Разходи'!$AA87)/'12. Разходи'!$AA87,0)</f>
        <v>0</v>
      </c>
      <c r="AQ87" s="882">
        <f>'12. Разходи'!AE87-'12. Разходи'!$AA87</f>
        <v>0</v>
      </c>
      <c r="AR87" s="1102">
        <f>IFERROR(('12. Разходи'!AE87-'12. Разходи'!$AA87)/'12. Разходи'!$AA87,0)</f>
        <v>0</v>
      </c>
      <c r="AS87" s="1110">
        <f>'12. Разходи'!AF87-'12. Разходи'!$AA87</f>
        <v>0</v>
      </c>
      <c r="AT87" s="1157">
        <f>IFERROR(('12. Разходи'!AF87-'12. Разходи'!$AA87)/'12. Разходи'!$AA87,0)</f>
        <v>0</v>
      </c>
      <c r="AU87" s="1151">
        <f>'12. Разходи'!AI87</f>
        <v>0</v>
      </c>
      <c r="AV87" s="1115">
        <f>'12. Разходи'!AJ87-'12. Разходи'!$AI87</f>
        <v>0</v>
      </c>
      <c r="AW87" s="1095">
        <f>IFERROR(('12. Разходи'!AJ87-'12. Разходи'!$AI87)/'12. Разходи'!$AI87,0)</f>
        <v>0</v>
      </c>
      <c r="AX87" s="882">
        <f>'12. Разходи'!AK87-'12. Разходи'!$AI87</f>
        <v>0</v>
      </c>
      <c r="AY87" s="1103">
        <f>IFERROR(('12. Разходи'!AK87-'12. Разходи'!$AI87)/'12. Разходи'!$AI87,0)</f>
        <v>0</v>
      </c>
      <c r="AZ87" s="882">
        <f>'12. Разходи'!AL87-'12. Разходи'!$AI87</f>
        <v>0</v>
      </c>
      <c r="BA87" s="1103">
        <f>IFERROR(('12. Разходи'!AL87-'12. Разходи'!$AI87)/'12. Разходи'!$AI87,0)</f>
        <v>0</v>
      </c>
      <c r="BB87" s="882">
        <f>'12. Разходи'!AM87-'12. Разходи'!$AI87</f>
        <v>0</v>
      </c>
      <c r="BC87" s="1102">
        <f>IFERROR(('12. Разходи'!AM87-'12. Разходи'!$AI87)/'12. Разходи'!$AI87,0)</f>
        <v>0</v>
      </c>
      <c r="BD87" s="1110">
        <f>'12. Разходи'!AN87-'12. Разходи'!$AI87</f>
        <v>0</v>
      </c>
      <c r="BE87" s="1157">
        <f>IFERROR(('12. Разходи'!AN87-'12. Разходи'!$AI87)/'12. Разходи'!$AI87,0)</f>
        <v>0</v>
      </c>
      <c r="BF87" s="4422"/>
      <c r="BG87" s="4438">
        <f t="shared" si="31"/>
        <v>0</v>
      </c>
      <c r="BH87" s="4438">
        <f t="shared" si="32"/>
        <v>0</v>
      </c>
      <c r="BI87" s="4438">
        <f t="shared" si="33"/>
        <v>0</v>
      </c>
      <c r="BJ87" s="4438">
        <f t="shared" si="34"/>
        <v>0</v>
      </c>
      <c r="BK87" s="4438">
        <f t="shared" si="35"/>
        <v>0</v>
      </c>
      <c r="BL87" s="4438">
        <f t="shared" si="36"/>
        <v>0</v>
      </c>
      <c r="BM87" s="4438">
        <f t="shared" si="37"/>
        <v>0</v>
      </c>
      <c r="BN87" s="4438">
        <f t="shared" si="38"/>
        <v>0</v>
      </c>
      <c r="BO87" s="4438">
        <f t="shared" si="39"/>
        <v>0</v>
      </c>
      <c r="BP87" s="4438">
        <f t="shared" si="40"/>
        <v>0</v>
      </c>
      <c r="BQ87" s="4438">
        <f t="shared" si="41"/>
        <v>0</v>
      </c>
      <c r="BR87" s="4438">
        <f t="shared" si="42"/>
        <v>0</v>
      </c>
      <c r="BS87" s="4438">
        <f t="shared" si="43"/>
        <v>0</v>
      </c>
      <c r="BT87" s="4438">
        <f t="shared" si="44"/>
        <v>0</v>
      </c>
      <c r="BU87" s="4438">
        <f t="shared" si="45"/>
        <v>0</v>
      </c>
      <c r="BV87" s="4438">
        <f t="shared" si="46"/>
        <v>0</v>
      </c>
      <c r="BW87" s="4438">
        <f t="shared" si="47"/>
        <v>0</v>
      </c>
      <c r="BX87" s="4438">
        <f t="shared" si="48"/>
        <v>0</v>
      </c>
      <c r="BY87" s="4438">
        <f t="shared" si="49"/>
        <v>0</v>
      </c>
      <c r="BZ87" s="4438">
        <f t="shared" si="50"/>
        <v>0</v>
      </c>
      <c r="CA87" s="4438">
        <f t="shared" si="51"/>
        <v>0</v>
      </c>
      <c r="CB87" s="4438">
        <f t="shared" si="52"/>
        <v>0</v>
      </c>
      <c r="CC87" s="4438">
        <f t="shared" si="53"/>
        <v>0</v>
      </c>
      <c r="CD87" s="4438">
        <f t="shared" si="54"/>
        <v>0</v>
      </c>
      <c r="CE87" s="4438">
        <f t="shared" si="55"/>
        <v>0</v>
      </c>
      <c r="CF87" s="4438">
        <f t="shared" si="56"/>
        <v>0</v>
      </c>
      <c r="CG87" s="4438">
        <f t="shared" si="57"/>
        <v>0</v>
      </c>
      <c r="CH87" s="4438">
        <f t="shared" si="58"/>
        <v>0</v>
      </c>
      <c r="CI87" s="4438">
        <f t="shared" si="59"/>
        <v>0</v>
      </c>
      <c r="CJ87" s="4438">
        <f t="shared" si="60"/>
        <v>0</v>
      </c>
    </row>
    <row r="88" spans="1:88" s="1134" customFormat="1" ht="15.95" customHeight="1" thickBot="1">
      <c r="A88" s="5218" t="s">
        <v>277</v>
      </c>
      <c r="B88" s="5219"/>
      <c r="C88" s="1084">
        <f>'12. Разходи'!C88</f>
        <v>25733.361613812984</v>
      </c>
      <c r="D88" s="1122">
        <f>'12. Разходи'!D88-'12. Разходи'!$C88</f>
        <v>7029.7697300488071</v>
      </c>
      <c r="E88" s="853">
        <f>IFERROR(('12. Разходи'!D88-'12. Разходи'!$C88)/'12. Разходи'!$C88,0)</f>
        <v>0.27317727996622926</v>
      </c>
      <c r="F88" s="1121">
        <f>'12. Разходи'!E88-'12. Разходи'!$C88</f>
        <v>9218.4584046745767</v>
      </c>
      <c r="G88" s="853">
        <f>IFERROR(('12. Разходи'!E88-'12. Разходи'!$C88)/'12. Разходи'!$C88,0)</f>
        <v>0.35822985519802253</v>
      </c>
      <c r="H88" s="1121">
        <f>'12. Разходи'!F88-'12. Разходи'!$C88</f>
        <v>11720.422416075558</v>
      </c>
      <c r="I88" s="859">
        <f>IFERROR(('12. Разходи'!F88-'12. Разходи'!$C88)/'12. Разходи'!$C88,0)</f>
        <v>0.45545632910176598</v>
      </c>
      <c r="J88" s="1124">
        <f>'12. Разходи'!G88-'12. Разходи'!$C88</f>
        <v>15468.750470597417</v>
      </c>
      <c r="K88" s="859">
        <f>IFERROR(('12. Разходи'!G88-'12. Разходи'!$C88)/'12. Разходи'!$C88,0)</f>
        <v>0.6011165856502092</v>
      </c>
      <c r="L88" s="1121">
        <f>'12. Разходи'!H88-'12. Разходи'!$C88</f>
        <v>18259.225642354413</v>
      </c>
      <c r="M88" s="863">
        <f>IFERROR(('12. Разходи'!H88-'12. Разходи'!$C88)/'12. Разходи'!$C88,0)</f>
        <v>0.70955462082160869</v>
      </c>
      <c r="N88" s="1135">
        <f>'12. Разходи'!K88</f>
        <v>1264.4729663706046</v>
      </c>
      <c r="O88" s="1122">
        <f>'12. Разходи'!L88-'12. Разходи'!$K88</f>
        <v>609.13375717706435</v>
      </c>
      <c r="P88" s="853">
        <f>IFERROR(('12. Разходи'!L88-'12. Разходи'!$K88)/'12. Разходи'!$K88,0)</f>
        <v>0.48172936344020917</v>
      </c>
      <c r="Q88" s="1121">
        <f>'12. Разходи'!M88-'12. Разходи'!$K88</f>
        <v>732.40403145773757</v>
      </c>
      <c r="R88" s="853">
        <f>IFERROR(('12. Разходи'!M88-'12. Разходи'!$K88)/'12. Разходи'!$K88,0)</f>
        <v>0.57921683652909128</v>
      </c>
      <c r="S88" s="1121">
        <f>'12. Разходи'!N88-'12. Разходи'!$K88</f>
        <v>634.55180190331089</v>
      </c>
      <c r="T88" s="859">
        <f>IFERROR(('12. Разходи'!N88-'12. Разходи'!$K88)/'12. Разходи'!$K88,0)</f>
        <v>0.50183105434405151</v>
      </c>
      <c r="U88" s="1124">
        <f>'12. Разходи'!O88-'12. Разходи'!$K88</f>
        <v>894.14201809221845</v>
      </c>
      <c r="V88" s="859">
        <f>IFERROR(('12. Разходи'!O88-'12. Разходи'!$K88)/'12. Разходи'!$K88,0)</f>
        <v>0.70712624300593729</v>
      </c>
      <c r="W88" s="1121">
        <f>'12. Разходи'!P88-'12. Разходи'!$K88</f>
        <v>1009.8100929376644</v>
      </c>
      <c r="X88" s="865">
        <f>IFERROR(('12. Разходи'!P88-'12. Разходи'!$K88)/'12. Разходи'!$K88,0)</f>
        <v>0.79860156744679589</v>
      </c>
      <c r="Y88" s="1135">
        <f>'12. Разходи'!S88</f>
        <v>2113.830382919552</v>
      </c>
      <c r="Z88" s="1122">
        <f>'12. Разходи'!T88-'12. Разходи'!$S88</f>
        <v>981.35749712269535</v>
      </c>
      <c r="AA88" s="853">
        <f>IFERROR(('12. Разходи'!T88-'12. Разходи'!$S88)/'12. Разходи'!$S88,0)</f>
        <v>0.46425555477506059</v>
      </c>
      <c r="AB88" s="1121">
        <f>'12. Разходи'!U88-'12. Разходи'!$S88</f>
        <v>1230.9348400561394</v>
      </c>
      <c r="AC88" s="853">
        <f>IFERROR(('12. Разходи'!U88-'12. Разходи'!$S88)/'12. Разходи'!$S88,0)</f>
        <v>0.58232431987093181</v>
      </c>
      <c r="AD88" s="1121">
        <f>'12. Разходи'!V88-'12. Разходи'!$S88</f>
        <v>1363.6811880186838</v>
      </c>
      <c r="AE88" s="859">
        <f>IFERROR(('12. Разходи'!V88-'12. Разходи'!$S88)/'12. Разходи'!$S88,0)</f>
        <v>0.64512327906613431</v>
      </c>
      <c r="AF88" s="1124">
        <f>'12. Разходи'!W88-'12. Разходи'!$S88</f>
        <v>1745.2537870046031</v>
      </c>
      <c r="AG88" s="859">
        <f>IFERROR(('12. Разходи'!W88-'12. Разходи'!$S88)/'12. Разходи'!$S88,0)</f>
        <v>0.82563568066143356</v>
      </c>
      <c r="AH88" s="1121">
        <f>'12. Разходи'!X88-'12. Разходи'!$S88</f>
        <v>1951.5073619099621</v>
      </c>
      <c r="AI88" s="865">
        <f>IFERROR(('12. Разходи'!X88-'12. Разходи'!$S88)/'12. Разходи'!$S88,0)</f>
        <v>0.92320906051818841</v>
      </c>
      <c r="AJ88" s="1135">
        <f>'12. Разходи'!AA88</f>
        <v>0</v>
      </c>
      <c r="AK88" s="1122">
        <f>'12. Разходи'!AB88-'12. Разходи'!$AA88</f>
        <v>0</v>
      </c>
      <c r="AL88" s="853">
        <f>IFERROR(('12. Разходи'!AB88-'12. Разходи'!$AA88)/'12. Разходи'!$AA88,0)</f>
        <v>0</v>
      </c>
      <c r="AM88" s="1121">
        <f>'12. Разходи'!AC88-'12. Разходи'!$AA88</f>
        <v>0</v>
      </c>
      <c r="AN88" s="853">
        <f>IFERROR(('12. Разходи'!AC88-'12. Разходи'!$AA88)/'12. Разходи'!$AA88,0)</f>
        <v>0</v>
      </c>
      <c r="AO88" s="1121">
        <f>'12. Разходи'!AD88-'12. Разходи'!$AA88</f>
        <v>0</v>
      </c>
      <c r="AP88" s="853">
        <f>IFERROR(('12. Разходи'!AD88-'12. Разходи'!$AA88)/'12. Разходи'!$AA88,0)</f>
        <v>0</v>
      </c>
      <c r="AQ88" s="1121">
        <f>'12. Разходи'!AE88-'12. Разходи'!$AA88</f>
        <v>0</v>
      </c>
      <c r="AR88" s="863">
        <f>IFERROR(('12. Разходи'!AE88-'12. Разходи'!$AA88)/'12. Разходи'!$AA88,0)</f>
        <v>0</v>
      </c>
      <c r="AS88" s="1121">
        <f>'12. Разходи'!AF88-'12. Разходи'!$AA88</f>
        <v>0</v>
      </c>
      <c r="AT88" s="865">
        <f>IFERROR(('12. Разходи'!AF88-'12. Разходи'!$AA88)/'12. Разходи'!$AA88,0)</f>
        <v>0</v>
      </c>
      <c r="AU88" s="1135">
        <f>'12. Разходи'!AI88</f>
        <v>0</v>
      </c>
      <c r="AV88" s="1122">
        <f>'12. Разходи'!AJ88-'12. Разходи'!$AI88</f>
        <v>0</v>
      </c>
      <c r="AW88" s="853">
        <f>IFERROR(('12. Разходи'!AJ88-'12. Разходи'!$AI88)/'12. Разходи'!$AI88,0)</f>
        <v>0</v>
      </c>
      <c r="AX88" s="1121">
        <f>'12. Разходи'!AK88-'12. Разходи'!$AI88</f>
        <v>0</v>
      </c>
      <c r="AY88" s="853">
        <f>IFERROR(('12. Разходи'!AK88-'12. Разходи'!$AI88)/'12. Разходи'!$AI88,0)</f>
        <v>0</v>
      </c>
      <c r="AZ88" s="1121">
        <f>'12. Разходи'!AL88-'12. Разходи'!$AI88</f>
        <v>0</v>
      </c>
      <c r="BA88" s="853">
        <f>IFERROR(('12. Разходи'!AL88-'12. Разходи'!$AI88)/'12. Разходи'!$AI88,0)</f>
        <v>0</v>
      </c>
      <c r="BB88" s="1121">
        <f>'12. Разходи'!AM88-'12. Разходи'!$AI88</f>
        <v>0</v>
      </c>
      <c r="BC88" s="863">
        <f>IFERROR(('12. Разходи'!AM88-'12. Разходи'!$AI88)/'12. Разходи'!$AI88,0)</f>
        <v>0</v>
      </c>
      <c r="BD88" s="1121">
        <f>'12. Разходи'!AN88-'12. Разходи'!$AI88</f>
        <v>0</v>
      </c>
      <c r="BE88" s="865">
        <f>IFERROR(('12. Разходи'!AN88-'12. Разходи'!$AI88)/'12. Разходи'!$AI88,0)</f>
        <v>0</v>
      </c>
      <c r="BF88" s="4422"/>
      <c r="BG88" s="4438">
        <f t="shared" si="31"/>
        <v>13157.258869028998</v>
      </c>
      <c r="BH88" s="4438">
        <f t="shared" si="32"/>
        <v>3594.2641896528876</v>
      </c>
      <c r="BI88" s="4438">
        <f t="shared" si="33"/>
        <v>4713.3229394551554</v>
      </c>
      <c r="BJ88" s="4438">
        <f t="shared" si="34"/>
        <v>5992.5568255296002</v>
      </c>
      <c r="BK88" s="4438">
        <f t="shared" si="35"/>
        <v>7909.0465278666434</v>
      </c>
      <c r="BL88" s="4438">
        <f t="shared" si="36"/>
        <v>9335.7938278656184</v>
      </c>
      <c r="BM88" s="4438">
        <f t="shared" si="37"/>
        <v>646.51476169738919</v>
      </c>
      <c r="BN88" s="4438">
        <f t="shared" si="38"/>
        <v>311.44514460718182</v>
      </c>
      <c r="BO88" s="4438">
        <f t="shared" si="39"/>
        <v>374.47223503972106</v>
      </c>
      <c r="BP88" s="4438">
        <f t="shared" si="40"/>
        <v>324.44118451159403</v>
      </c>
      <c r="BQ88" s="4438">
        <f t="shared" si="41"/>
        <v>457.16755448695358</v>
      </c>
      <c r="BR88" s="4438">
        <f t="shared" si="42"/>
        <v>516.30770206902673</v>
      </c>
      <c r="BS88" s="4438">
        <f t="shared" si="43"/>
        <v>1080.7843130126607</v>
      </c>
      <c r="BT88" s="4438">
        <f t="shared" si="44"/>
        <v>501.76012082987546</v>
      </c>
      <c r="BU88" s="4438">
        <f t="shared" si="45"/>
        <v>629.36699000226986</v>
      </c>
      <c r="BV88" s="4438">
        <f t="shared" si="46"/>
        <v>697.23911997396692</v>
      </c>
      <c r="BW88" s="4438">
        <f t="shared" si="47"/>
        <v>892.33409192240788</v>
      </c>
      <c r="BX88" s="4438">
        <f t="shared" si="48"/>
        <v>997.78987023921411</v>
      </c>
      <c r="BY88" s="4438">
        <f t="shared" si="49"/>
        <v>0</v>
      </c>
      <c r="BZ88" s="4438">
        <f t="shared" si="50"/>
        <v>0</v>
      </c>
      <c r="CA88" s="4438">
        <f t="shared" si="51"/>
        <v>0</v>
      </c>
      <c r="CB88" s="4438">
        <f t="shared" si="52"/>
        <v>0</v>
      </c>
      <c r="CC88" s="4438">
        <f t="shared" si="53"/>
        <v>0</v>
      </c>
      <c r="CD88" s="4438">
        <f t="shared" si="54"/>
        <v>0</v>
      </c>
      <c r="CE88" s="4438">
        <f t="shared" si="55"/>
        <v>0</v>
      </c>
      <c r="CF88" s="4438">
        <f t="shared" si="56"/>
        <v>0</v>
      </c>
      <c r="CG88" s="4438">
        <f t="shared" si="57"/>
        <v>0</v>
      </c>
      <c r="CH88" s="4438">
        <f t="shared" si="58"/>
        <v>0</v>
      </c>
      <c r="CI88" s="4438">
        <f t="shared" si="59"/>
        <v>0</v>
      </c>
      <c r="CJ88" s="4438">
        <f t="shared" si="60"/>
        <v>0</v>
      </c>
    </row>
    <row r="89" spans="1:88" s="1189" customFormat="1" ht="15.95" customHeight="1" thickBot="1">
      <c r="A89" s="248"/>
      <c r="B89" s="249" t="s">
        <v>1232</v>
      </c>
      <c r="C89" s="1093">
        <f>'12. Разходи'!C89</f>
        <v>8392.3463271463152</v>
      </c>
      <c r="D89" s="1127">
        <f>'12. Разходи'!D89-'12. Разходи'!$C89</f>
        <v>1243.3444556456852</v>
      </c>
      <c r="E89" s="858">
        <f>IFERROR(('12. Разходи'!D89-'12. Разходи'!$C89)/'12. Разходи'!$C89,0)</f>
        <v>0.14815218619182804</v>
      </c>
      <c r="F89" s="1128">
        <f>'12. Разходи'!E89-'12. Разходи'!$C89</f>
        <v>1208.7266342206858</v>
      </c>
      <c r="G89" s="858">
        <f>IFERROR(('12. Разходи'!E89-'12. Разходи'!$C89)/'12. Разходи'!$C89,0)</f>
        <v>0.14402725854042467</v>
      </c>
      <c r="H89" s="1128">
        <f>'12. Разходи'!F89-'12. Разходи'!$C89</f>
        <v>1174.6054063856864</v>
      </c>
      <c r="I89" s="858">
        <f>IFERROR(('12. Разходи'!F89-'12. Разходи'!$C89)/'12. Разходи'!$C89,0)</f>
        <v>0.13996150308838509</v>
      </c>
      <c r="J89" s="1128">
        <f>'12. Разходи'!G89-'12. Разходи'!$C89</f>
        <v>1411.184492399685</v>
      </c>
      <c r="K89" s="864">
        <f>IFERROR(('12. Разходи'!G89-'12. Разходи'!$C89)/'12. Разходи'!$C89,0)</f>
        <v>0.16815136523084076</v>
      </c>
      <c r="L89" s="1128">
        <f>'12. Разходи'!H89-'12. Разходи'!$C89</f>
        <v>1376.6381013950831</v>
      </c>
      <c r="M89" s="864">
        <f>IFERROR(('12. Разходи'!H89-'12. Разходи'!$C89)/'12. Разходи'!$C89,0)</f>
        <v>0.16403494895606713</v>
      </c>
      <c r="N89" s="1140">
        <f>'12. Разходи'!K89</f>
        <v>120.13673970393796</v>
      </c>
      <c r="O89" s="1127">
        <f>'12. Разходи'!L89-'12. Разходи'!$K89</f>
        <v>18.505727893919669</v>
      </c>
      <c r="P89" s="858">
        <f>IFERROR(('12. Разходи'!L89-'12. Разходи'!$K89)/'12. Разходи'!$K89,0)</f>
        <v>0.15403887220116619</v>
      </c>
      <c r="Q89" s="1128">
        <f>'12. Разходи'!M89-'12. Разходи'!$K89</f>
        <v>19.04928039984739</v>
      </c>
      <c r="R89" s="858">
        <f>IFERROR(('12. Разходи'!M89-'12. Разходи'!$K89)/'12. Разходи'!$K89,0)</f>
        <v>0.15856332081919294</v>
      </c>
      <c r="S89" s="1128">
        <f>'12. Разходи'!N89-'12. Разходи'!$K89</f>
        <v>19.609139480952933</v>
      </c>
      <c r="T89" s="858">
        <f>IFERROR(('12. Разходи'!N89-'12. Разходи'!$K89)/'12. Разходи'!$K89,0)</f>
        <v>0.1632235028957604</v>
      </c>
      <c r="U89" s="1128">
        <f>'12. Разходи'!O89-'12. Разходи'!$K89</f>
        <v>65.210183828891672</v>
      </c>
      <c r="V89" s="864">
        <f>IFERROR(('12. Разходи'!O89-'12. Разходи'!$K89)/'12. Разходи'!$K89,0)</f>
        <v>0.54279967967829035</v>
      </c>
      <c r="W89" s="1128">
        <f>'12. Разходи'!P89-'12. Разходи'!$K89</f>
        <v>65.804138328036544</v>
      </c>
      <c r="X89" s="805">
        <f>IFERROR(('12. Разходи'!P89-'12. Разходи'!$K89)/'12. Разходи'!$K89,0)</f>
        <v>0.54774366684332076</v>
      </c>
      <c r="Y89" s="1140">
        <f>'12. Разходи'!S89</f>
        <v>802.88555625288518</v>
      </c>
      <c r="Z89" s="1127">
        <f>'12. Разходи'!T89-'12. Разходи'!$S89</f>
        <v>228.00190802791485</v>
      </c>
      <c r="AA89" s="858">
        <f>IFERROR(('12. Разходи'!T89-'12. Разходи'!$S89)/'12. Разходи'!$S89,0)</f>
        <v>0.28397809158756493</v>
      </c>
      <c r="AB89" s="1128">
        <f>'12. Разходи'!U89-'12. Разходи'!$S89</f>
        <v>241.5193080279148</v>
      </c>
      <c r="AC89" s="858">
        <f>IFERROR(('12. Разходи'!U89-'12. Разходи'!$S89)/'12. Разходи'!$S89,0)</f>
        <v>0.30081411497187699</v>
      </c>
      <c r="AD89" s="1128">
        <f>'12. Разходи'!V89-'12. Разходи'!$S89</f>
        <v>255.65223002791481</v>
      </c>
      <c r="AE89" s="858">
        <f>IFERROR(('12. Разходи'!V89-'12. Разходи'!$S89)/'12. Разходи'!$S89,0)</f>
        <v>0.31841677563743831</v>
      </c>
      <c r="AF89" s="1128">
        <f>'12. Разходи'!W89-'12. Разходи'!$S89</f>
        <v>310.04150172711502</v>
      </c>
      <c r="AG89" s="864">
        <f>IFERROR(('12. Разходи'!W89-'12. Разходи'!$S89)/'12. Разходи'!$S89,0)</f>
        <v>0.38615902268076313</v>
      </c>
      <c r="AH89" s="1128">
        <f>'12. Разходи'!X89-'12. Разходи'!$S89</f>
        <v>269.41622742691493</v>
      </c>
      <c r="AI89" s="805">
        <f>IFERROR(('12. Разходи'!X89-'12. Разходи'!$S89)/'12. Разходи'!$S89,0)</f>
        <v>0.33555993793722799</v>
      </c>
      <c r="AJ89" s="1140">
        <f>'12. Разходи'!AA89</f>
        <v>0</v>
      </c>
      <c r="AK89" s="1127">
        <f>'12. Разходи'!AB89-'12. Разходи'!$AA89</f>
        <v>0</v>
      </c>
      <c r="AL89" s="858">
        <f>IFERROR(('12. Разходи'!AB89-'12. Разходи'!$AA89)/'12. Разходи'!$AA89,0)</f>
        <v>0</v>
      </c>
      <c r="AM89" s="1128">
        <f>'12. Разходи'!AC89-'12. Разходи'!$AA89</f>
        <v>0</v>
      </c>
      <c r="AN89" s="858">
        <f>IFERROR(('12. Разходи'!AC89-'12. Разходи'!$AA89)/'12. Разходи'!$AA89,0)</f>
        <v>0</v>
      </c>
      <c r="AO89" s="1128">
        <f>'12. Разходи'!AD89-'12. Разходи'!$AA89</f>
        <v>0</v>
      </c>
      <c r="AP89" s="858">
        <f>IFERROR(('12. Разходи'!AD89-'12. Разходи'!$AA89)/'12. Разходи'!$AA89,0)</f>
        <v>0</v>
      </c>
      <c r="AQ89" s="1128">
        <f>'12. Разходи'!AE89-'12. Разходи'!$AA89</f>
        <v>0</v>
      </c>
      <c r="AR89" s="864">
        <f>IFERROR(('12. Разходи'!AE89-'12. Разходи'!$AA89)/'12. Разходи'!$AA89,0)</f>
        <v>0</v>
      </c>
      <c r="AS89" s="1128">
        <f>'12. Разходи'!AF89-'12. Разходи'!$AA89</f>
        <v>0</v>
      </c>
      <c r="AT89" s="1188">
        <f>IFERROR(('12. Разходи'!AF89-'12. Разходи'!$AA89)/'12. Разходи'!$AA89,0)</f>
        <v>0</v>
      </c>
      <c r="AU89" s="1140">
        <f>'12. Разходи'!AI89</f>
        <v>0</v>
      </c>
      <c r="AV89" s="1127">
        <f>'12. Разходи'!AJ89-'12. Разходи'!$AI89</f>
        <v>0</v>
      </c>
      <c r="AW89" s="858">
        <f>IFERROR(('12. Разходи'!AJ89-'12. Разходи'!$AI89)/'12. Разходи'!$AI89,0)</f>
        <v>0</v>
      </c>
      <c r="AX89" s="1128">
        <f>'12. Разходи'!AK89-'12. Разходи'!$AI89</f>
        <v>0</v>
      </c>
      <c r="AY89" s="858">
        <f>IFERROR(('12. Разходи'!AK89-'12. Разходи'!$AI89)/'12. Разходи'!$AI89,0)</f>
        <v>0</v>
      </c>
      <c r="AZ89" s="1128">
        <f>'12. Разходи'!AL89-'12. Разходи'!$AI89</f>
        <v>0</v>
      </c>
      <c r="BA89" s="858">
        <f>IFERROR(('12. Разходи'!AL89-'12. Разходи'!$AI89)/'12. Разходи'!$AI89,0)</f>
        <v>0</v>
      </c>
      <c r="BB89" s="1128">
        <f>'12. Разходи'!AM89-'12. Разходи'!$AI89</f>
        <v>0</v>
      </c>
      <c r="BC89" s="864">
        <f>IFERROR(('12. Разходи'!AM89-'12. Разходи'!$AI89)/'12. Разходи'!$AI89,0)</f>
        <v>0</v>
      </c>
      <c r="BD89" s="1128">
        <f>'12. Разходи'!AN89-'12. Разходи'!$AI89</f>
        <v>0</v>
      </c>
      <c r="BE89" s="1188">
        <f>IFERROR(('12. Разходи'!AN89-'12. Разходи'!$AI89)/'12. Разходи'!$AI89,0)</f>
        <v>0</v>
      </c>
      <c r="BF89" s="4422"/>
      <c r="BG89" s="4438">
        <f t="shared" si="31"/>
        <v>4290.9385412568145</v>
      </c>
      <c r="BH89" s="4438">
        <f t="shared" si="32"/>
        <v>635.7119257019707</v>
      </c>
      <c r="BI89" s="4438">
        <f t="shared" si="33"/>
        <v>618.01211466266795</v>
      </c>
      <c r="BJ89" s="4438">
        <f t="shared" si="34"/>
        <v>600.56620789418628</v>
      </c>
      <c r="BK89" s="4438">
        <f t="shared" si="35"/>
        <v>721.52717383396566</v>
      </c>
      <c r="BL89" s="4438">
        <f t="shared" si="36"/>
        <v>703.86388458868259</v>
      </c>
      <c r="BM89" s="4438">
        <f t="shared" si="37"/>
        <v>61.424939644006876</v>
      </c>
      <c r="BN89" s="4438">
        <f t="shared" si="38"/>
        <v>9.4618284277875215</v>
      </c>
      <c r="BO89" s="4438">
        <f t="shared" si="39"/>
        <v>9.7397424110722248</v>
      </c>
      <c r="BP89" s="4438">
        <f t="shared" si="40"/>
        <v>10.025993813855465</v>
      </c>
      <c r="BQ89" s="4438">
        <f t="shared" si="41"/>
        <v>33.341437563025252</v>
      </c>
      <c r="BR89" s="4438">
        <f t="shared" si="42"/>
        <v>33.645121676237991</v>
      </c>
      <c r="BS89" s="4438">
        <f t="shared" si="43"/>
        <v>410.50886644180997</v>
      </c>
      <c r="BT89" s="4438">
        <f t="shared" si="44"/>
        <v>116.57552447191978</v>
      </c>
      <c r="BU89" s="4438">
        <f t="shared" si="45"/>
        <v>123.48686134680152</v>
      </c>
      <c r="BV89" s="4438">
        <f t="shared" si="46"/>
        <v>130.71290962298093</v>
      </c>
      <c r="BW89" s="4438">
        <f t="shared" si="47"/>
        <v>158.52170266695725</v>
      </c>
      <c r="BX89" s="4438">
        <f t="shared" si="48"/>
        <v>137.75032974589558</v>
      </c>
      <c r="BY89" s="4438">
        <f t="shared" si="49"/>
        <v>0</v>
      </c>
      <c r="BZ89" s="4438">
        <f t="shared" si="50"/>
        <v>0</v>
      </c>
      <c r="CA89" s="4438">
        <f t="shared" si="51"/>
        <v>0</v>
      </c>
      <c r="CB89" s="4438">
        <f t="shared" si="52"/>
        <v>0</v>
      </c>
      <c r="CC89" s="4438">
        <f t="shared" si="53"/>
        <v>0</v>
      </c>
      <c r="CD89" s="4438">
        <f t="shared" si="54"/>
        <v>0</v>
      </c>
      <c r="CE89" s="4438">
        <f t="shared" si="55"/>
        <v>0</v>
      </c>
      <c r="CF89" s="4438">
        <f t="shared" si="56"/>
        <v>0</v>
      </c>
      <c r="CG89" s="4438">
        <f t="shared" si="57"/>
        <v>0</v>
      </c>
      <c r="CH89" s="4438">
        <f t="shared" si="58"/>
        <v>0</v>
      </c>
      <c r="CI89" s="4438">
        <f t="shared" si="59"/>
        <v>0</v>
      </c>
      <c r="CJ89" s="4438">
        <f t="shared" si="60"/>
        <v>0</v>
      </c>
    </row>
    <row r="90" spans="1:88" s="1190" customFormat="1" ht="15.95" customHeight="1" thickBot="1">
      <c r="A90" s="248"/>
      <c r="B90" s="249" t="s">
        <v>637</v>
      </c>
      <c r="C90" s="1093">
        <f>'12. Разходи'!C90</f>
        <v>2785.9219500000004</v>
      </c>
      <c r="D90" s="1129">
        <f>'12. Разходи'!D90-'12. Разходи'!$C90</f>
        <v>835.77658499999961</v>
      </c>
      <c r="E90" s="858">
        <f>IFERROR(('12. Разходи'!D90-'12. Разходи'!$C90)/'12. Разходи'!$C90,0)</f>
        <v>0.29999999999999982</v>
      </c>
      <c r="F90" s="1130">
        <f>'12. Разходи'!E90-'12. Разходи'!$C90</f>
        <v>1016.861511749999</v>
      </c>
      <c r="G90" s="858">
        <f>IFERROR(('12. Разходи'!E90-'12. Разходи'!$C90)/'12. Разходи'!$C90,0)</f>
        <v>0.36499999999999955</v>
      </c>
      <c r="H90" s="1130">
        <f>'12. Разходи'!F90-'12. Разходи'!$C90</f>
        <v>1130.9450156024996</v>
      </c>
      <c r="I90" s="858">
        <f>IFERROR(('12. Разходи'!F90-'12. Разходи'!$C90)/'12. Разходи'!$C90,0)</f>
        <v>0.40594999999999981</v>
      </c>
      <c r="J90" s="1130">
        <f>'12. Разходи'!G90-'12. Разходи'!$C90</f>
        <v>935.1016673223744</v>
      </c>
      <c r="K90" s="864">
        <f>IFERROR(('12. Разходи'!G90-'12. Разходи'!$C90)/'12. Разходи'!$C90,0)</f>
        <v>0.33565249999999974</v>
      </c>
      <c r="L90" s="1130">
        <f>'12. Разходи'!H90-'12. Разходи'!$C90</f>
        <v>786.26072262947991</v>
      </c>
      <c r="M90" s="864">
        <f>IFERROR(('12. Разходи'!H90-'12. Разходи'!$C90)/'12. Разходи'!$C90,0)</f>
        <v>0.28222639999999993</v>
      </c>
      <c r="N90" s="1140">
        <f>'12. Разходи'!K90</f>
        <v>425.70320999999996</v>
      </c>
      <c r="O90" s="1129">
        <f>'12. Разходи'!L90-'12. Разходи'!$K90</f>
        <v>127.71096300000005</v>
      </c>
      <c r="P90" s="858">
        <f>IFERROR(('12. Разходи'!L90-'12. Разходи'!$K90)/'12. Разходи'!$K90,0)</f>
        <v>0.30000000000000016</v>
      </c>
      <c r="Q90" s="1130">
        <f>'12. Разходи'!M90-'12. Разходи'!$K90</f>
        <v>155.38167165000033</v>
      </c>
      <c r="R90" s="858">
        <f>IFERROR(('12. Разходи'!M90-'12. Разходи'!$K90)/'12. Разходи'!$K90,0)</f>
        <v>0.36500000000000082</v>
      </c>
      <c r="S90" s="1130">
        <f>'12. Разходи'!N90-'12. Разходи'!$K90</f>
        <v>172.81421809950012</v>
      </c>
      <c r="T90" s="858">
        <f>IFERROR(('12. Разходи'!N90-'12. Разходи'!$K90)/'12. Разходи'!$K90,0)</f>
        <v>0.40595000000000031</v>
      </c>
      <c r="U90" s="1130">
        <f>'12. Разходи'!O90-'12. Разходи'!$K90</f>
        <v>160.84386953751022</v>
      </c>
      <c r="V90" s="864">
        <f>IFERROR(('12. Разходи'!O90-'12. Разходи'!$K90)/'12. Разходи'!$K90,0)</f>
        <v>0.37783100000000053</v>
      </c>
      <c r="W90" s="1130">
        <f>'12. Разходи'!P90-'12. Разходи'!$K90</f>
        <v>137.3819863560098</v>
      </c>
      <c r="X90" s="805">
        <f>IFERROR(('12. Разходи'!P90-'12. Разходи'!$K90)/'12. Разходи'!$K90,0)</f>
        <v>0.32271776000000052</v>
      </c>
      <c r="Y90" s="1140">
        <f>'12. Разходи'!S90</f>
        <v>71.521940000000001</v>
      </c>
      <c r="Z90" s="1129">
        <f>'12. Разходи'!T90-'12. Разходи'!$S90</f>
        <v>21.456582000000012</v>
      </c>
      <c r="AA90" s="858">
        <f>IFERROR(('12. Разходи'!T90-'12. Разходи'!$S90)/'12. Разходи'!$S90,0)</f>
        <v>0.30000000000000016</v>
      </c>
      <c r="AB90" s="1130">
        <f>'12. Разходи'!U90-'12. Разходи'!$S90</f>
        <v>26.105508100000023</v>
      </c>
      <c r="AC90" s="858">
        <f>IFERROR(('12. Разходи'!U90-'12. Разходи'!$S90)/'12. Разходи'!$S90,0)</f>
        <v>0.36500000000000032</v>
      </c>
      <c r="AD90" s="1130">
        <f>'12. Разходи'!V90-'12. Разходи'!$S90</f>
        <v>29.034331543000008</v>
      </c>
      <c r="AE90" s="858">
        <f>IFERROR(('12. Разходи'!V90-'12. Разходи'!$S90)/'12. Разходи'!$S90,0)</f>
        <v>0.40595000000000009</v>
      </c>
      <c r="AF90" s="1130">
        <f>'12. Разходи'!W90-'12. Разходи'!$S90</f>
        <v>27.023206112140045</v>
      </c>
      <c r="AG90" s="864">
        <f>IFERROR(('12. Разходи'!W90-'12. Разходи'!$S90)/'12. Разходи'!$S90,0)</f>
        <v>0.37783100000000064</v>
      </c>
      <c r="AH90" s="1130">
        <f>'12. Разходи'!X90-'12. Разходи'!$S90</f>
        <v>23.081400267654402</v>
      </c>
      <c r="AI90" s="805">
        <f>IFERROR(('12. Разходи'!X90-'12. Разходи'!$S90)/'12. Разходи'!$S90,0)</f>
        <v>0.32271776000000002</v>
      </c>
      <c r="AJ90" s="1140">
        <f>'12. Разходи'!AA90</f>
        <v>0</v>
      </c>
      <c r="AK90" s="1129">
        <f>'12. Разходи'!AB90-'12. Разходи'!$AA90</f>
        <v>0</v>
      </c>
      <c r="AL90" s="858">
        <f>IFERROR(('12. Разходи'!AB90-'12. Разходи'!$AA90)/'12. Разходи'!$AA90,0)</f>
        <v>0</v>
      </c>
      <c r="AM90" s="1130">
        <f>'12. Разходи'!AC90-'12. Разходи'!$AA90</f>
        <v>0</v>
      </c>
      <c r="AN90" s="858">
        <f>IFERROR(('12. Разходи'!AC90-'12. Разходи'!$AA90)/'12. Разходи'!$AA90,0)</f>
        <v>0</v>
      </c>
      <c r="AO90" s="1130">
        <f>'12. Разходи'!AD90-'12. Разходи'!$AA90</f>
        <v>0</v>
      </c>
      <c r="AP90" s="858">
        <f>IFERROR(('12. Разходи'!AD90-'12. Разходи'!$AA90)/'12. Разходи'!$AA90,0)</f>
        <v>0</v>
      </c>
      <c r="AQ90" s="1130">
        <f>'12. Разходи'!AE90-'12. Разходи'!$AA90</f>
        <v>0</v>
      </c>
      <c r="AR90" s="864">
        <f>IFERROR(('12. Разходи'!AE90-'12. Разходи'!$AA90)/'12. Разходи'!$AA90,0)</f>
        <v>0</v>
      </c>
      <c r="AS90" s="1130">
        <f>'12. Разходи'!AF90-'12. Разходи'!$AA90</f>
        <v>0</v>
      </c>
      <c r="AT90" s="1188">
        <f>IFERROR(('12. Разходи'!AF90-'12. Разходи'!$AA90)/'12. Разходи'!$AA90,0)</f>
        <v>0</v>
      </c>
      <c r="AU90" s="1140">
        <f>'12. Разходи'!AI90</f>
        <v>0</v>
      </c>
      <c r="AV90" s="1129">
        <f>'12. Разходи'!AJ90-'12. Разходи'!$AI90</f>
        <v>0</v>
      </c>
      <c r="AW90" s="858">
        <f>IFERROR(('12. Разходи'!AJ90-'12. Разходи'!$AI90)/'12. Разходи'!$AI90,0)</f>
        <v>0</v>
      </c>
      <c r="AX90" s="1130">
        <f>'12. Разходи'!AK90-'12. Разходи'!$AI90</f>
        <v>0</v>
      </c>
      <c r="AY90" s="858">
        <f>IFERROR(('12. Разходи'!AK90-'12. Разходи'!$AI90)/'12. Разходи'!$AI90,0)</f>
        <v>0</v>
      </c>
      <c r="AZ90" s="1130">
        <f>'12. Разходи'!AL90-'12. Разходи'!$AI90</f>
        <v>0</v>
      </c>
      <c r="BA90" s="858">
        <f>IFERROR(('12. Разходи'!AL90-'12. Разходи'!$AI90)/'12. Разходи'!$AI90,0)</f>
        <v>0</v>
      </c>
      <c r="BB90" s="1130">
        <f>'12. Разходи'!AM90-'12. Разходи'!$AI90</f>
        <v>0</v>
      </c>
      <c r="BC90" s="864">
        <f>IFERROR(('12. Разходи'!AM90-'12. Разходи'!$AI90)/'12. Разходи'!$AI90,0)</f>
        <v>0</v>
      </c>
      <c r="BD90" s="1130">
        <f>'12. Разходи'!AN90-'12. Разходи'!$AI90</f>
        <v>0</v>
      </c>
      <c r="BE90" s="1188">
        <f>IFERROR(('12. Разходи'!AN90-'12. Разходи'!$AI90)/'12. Разходи'!$AI90,0)</f>
        <v>0</v>
      </c>
      <c r="BF90" s="4422"/>
      <c r="BG90" s="4438">
        <f t="shared" si="31"/>
        <v>1424.4192746813376</v>
      </c>
      <c r="BH90" s="4438">
        <f t="shared" si="32"/>
        <v>427.32578240440102</v>
      </c>
      <c r="BI90" s="4438">
        <f t="shared" si="33"/>
        <v>519.91303525868761</v>
      </c>
      <c r="BJ90" s="4438">
        <f t="shared" si="34"/>
        <v>578.24300455688865</v>
      </c>
      <c r="BK90" s="4438">
        <f t="shared" si="35"/>
        <v>478.10989059497729</v>
      </c>
      <c r="BL90" s="4438">
        <f t="shared" si="36"/>
        <v>402.00872398392494</v>
      </c>
      <c r="BM90" s="4438">
        <f t="shared" si="37"/>
        <v>217.65859507216882</v>
      </c>
      <c r="BN90" s="4438">
        <f t="shared" si="38"/>
        <v>65.297578521650678</v>
      </c>
      <c r="BO90" s="4438">
        <f t="shared" si="39"/>
        <v>79.445387201341802</v>
      </c>
      <c r="BP90" s="4438">
        <f t="shared" si="40"/>
        <v>88.358506669547012</v>
      </c>
      <c r="BQ90" s="4438">
        <f t="shared" si="41"/>
        <v>82.238164634712746</v>
      </c>
      <c r="BR90" s="4438">
        <f t="shared" si="42"/>
        <v>70.242294246437481</v>
      </c>
      <c r="BS90" s="4438">
        <f t="shared" si="43"/>
        <v>36.568587249403066</v>
      </c>
      <c r="BT90" s="4438">
        <f t="shared" si="44"/>
        <v>10.970576174820927</v>
      </c>
      <c r="BU90" s="4438">
        <f t="shared" si="45"/>
        <v>13.347534346032131</v>
      </c>
      <c r="BV90" s="4438">
        <f t="shared" si="46"/>
        <v>14.84501799389518</v>
      </c>
      <c r="BW90" s="4438">
        <f t="shared" si="47"/>
        <v>13.816745889029233</v>
      </c>
      <c r="BX90" s="4438">
        <f t="shared" si="48"/>
        <v>11.80133256349192</v>
      </c>
      <c r="BY90" s="4438">
        <f t="shared" si="49"/>
        <v>0</v>
      </c>
      <c r="BZ90" s="4438">
        <f t="shared" si="50"/>
        <v>0</v>
      </c>
      <c r="CA90" s="4438">
        <f t="shared" si="51"/>
        <v>0</v>
      </c>
      <c r="CB90" s="4438">
        <f t="shared" si="52"/>
        <v>0</v>
      </c>
      <c r="CC90" s="4438">
        <f t="shared" si="53"/>
        <v>0</v>
      </c>
      <c r="CD90" s="4438">
        <f t="shared" si="54"/>
        <v>0</v>
      </c>
      <c r="CE90" s="4438">
        <f t="shared" si="55"/>
        <v>0</v>
      </c>
      <c r="CF90" s="4438">
        <f t="shared" si="56"/>
        <v>0</v>
      </c>
      <c r="CG90" s="4438">
        <f t="shared" si="57"/>
        <v>0</v>
      </c>
      <c r="CH90" s="4438">
        <f t="shared" si="58"/>
        <v>0</v>
      </c>
      <c r="CI90" s="4438">
        <f t="shared" si="59"/>
        <v>0</v>
      </c>
      <c r="CJ90" s="4438">
        <f t="shared" si="60"/>
        <v>0</v>
      </c>
    </row>
    <row r="91" spans="1:88" s="1190" customFormat="1" ht="15.95" customHeight="1" thickBot="1">
      <c r="A91" s="248"/>
      <c r="B91" s="249" t="s">
        <v>1230</v>
      </c>
      <c r="C91" s="1093">
        <f>'12. Разходи'!C91</f>
        <v>23457.694947146316</v>
      </c>
      <c r="D91" s="1127">
        <f>'12. Разходи'!D91-'12. Разходи'!$C91</f>
        <v>7723.5490416456814</v>
      </c>
      <c r="E91" s="858">
        <f>IFERROR(('12. Разходи'!D91-'12. Разходи'!$C91)/'12. Разходи'!$C91,0)</f>
        <v>0.32925439004335205</v>
      </c>
      <c r="F91" s="1128">
        <f>'12. Разходи'!E91-'12. Разходи'!$C91</f>
        <v>9790.020880520693</v>
      </c>
      <c r="G91" s="858">
        <f>IFERROR(('12. Разходи'!E91-'12. Разходи'!$C91)/'12. Разходи'!$C91,0)</f>
        <v>0.41734794925840196</v>
      </c>
      <c r="H91" s="1128">
        <f>'12. Разходи'!F91-'12. Разходи'!$C91</f>
        <v>12104.249338674686</v>
      </c>
      <c r="I91" s="858">
        <f>IFERROR(('12. Разходи'!F91-'12. Разходи'!$C91)/'12. Разходи'!$C91,0)</f>
        <v>0.51600335693457366</v>
      </c>
      <c r="J91" s="1128">
        <f>'12. Разходи'!G91-'12. Разходи'!$C91</f>
        <v>15324.919369282914</v>
      </c>
      <c r="K91" s="864">
        <f>IFERROR(('12. Разходи'!G91-'12. Разходи'!$C91)/'12. Разходи'!$C91,0)</f>
        <v>0.65330030950663487</v>
      </c>
      <c r="L91" s="1128">
        <f>'12. Разходи'!H91-'12. Разходи'!$C91</f>
        <v>18021.614740643781</v>
      </c>
      <c r="M91" s="864">
        <f>IFERROR(('12. Разходи'!H91-'12. Разходи'!$C91)/'12. Разходи'!$C91,0)</f>
        <v>0.76826025665561626</v>
      </c>
      <c r="N91" s="1140">
        <f>'12. Разходи'!K91</f>
        <v>1087.8062997039378</v>
      </c>
      <c r="O91" s="1127">
        <f>'12. Разходи'!L91-'12. Разходи'!$K91</f>
        <v>264.75396431497234</v>
      </c>
      <c r="P91" s="858">
        <f>IFERROR(('12. Разходи'!L91-'12. Разходи'!$K91)/'12. Разходи'!$K91,0)</f>
        <v>0.24338337109008187</v>
      </c>
      <c r="Q91" s="1128">
        <f>'12. Разходи'!M91-'12. Разходи'!$K91</f>
        <v>362.83466979984746</v>
      </c>
      <c r="R91" s="858">
        <f>IFERROR(('12. Разходи'!M91-'12. Разходи'!$K91)/'12. Разходи'!$K91,0)</f>
        <v>0.33354713049427837</v>
      </c>
      <c r="S91" s="1128">
        <f>'12. Разходи'!N91-'12. Разходи'!$K91</f>
        <v>457.84417736295336</v>
      </c>
      <c r="T91" s="858">
        <f>IFERROR(('12. Разходи'!N91-'12. Разходи'!$K91)/'12. Разходи'!$K91,0)</f>
        <v>0.42088759505029733</v>
      </c>
      <c r="U91" s="1128">
        <f>'12. Разходи'!O91-'12. Разходи'!$K91</f>
        <v>579.7137387532523</v>
      </c>
      <c r="V91" s="864">
        <f>IFERROR(('12. Разходи'!O91-'12. Разходи'!$K91)/'12. Разходи'!$K91,0)</f>
        <v>0.53292000506986381</v>
      </c>
      <c r="W91" s="1128">
        <f>'12. Разходи'!P91-'12. Разходи'!$K91</f>
        <v>655.82091739342331</v>
      </c>
      <c r="X91" s="805">
        <f>IFERROR(('12. Разходи'!P91-'12. Разходи'!$K91)/'12. Разходи'!$K91,0)</f>
        <v>0.60288391193534585</v>
      </c>
      <c r="Y91" s="1140">
        <f>'12. Разходи'!S91</f>
        <v>1965.1637162528853</v>
      </c>
      <c r="Z91" s="1127">
        <f>'12. Разходи'!T91-'12. Разходи'!$S91</f>
        <v>662.86535602791469</v>
      </c>
      <c r="AA91" s="858">
        <f>IFERROR(('12. Разходи'!T91-'12. Разходи'!$S91)/'12. Разходи'!$S91,0)</f>
        <v>0.33730795584392648</v>
      </c>
      <c r="AB91" s="1128">
        <f>'12. Разходи'!U91-'12. Разходи'!$S91</f>
        <v>831.86623642791506</v>
      </c>
      <c r="AC91" s="858">
        <f>IFERROR(('12. Разходи'!U91-'12. Разходи'!$S91)/'12. Разходи'!$S91,0)</f>
        <v>0.42330632788910455</v>
      </c>
      <c r="AD91" s="1128">
        <f>'12. Разходи'!V91-'12. Разходи'!$S91</f>
        <v>1017.3359110799149</v>
      </c>
      <c r="AE91" s="858">
        <f>IFERROR(('12. Разходи'!V91-'12. Разходи'!$S91)/'12. Разходи'!$S91,0)</f>
        <v>0.5176850674913438</v>
      </c>
      <c r="AF91" s="1128">
        <f>'12. Разходи'!W91-'12. Разходи'!$S91</f>
        <v>1329.2919440580752</v>
      </c>
      <c r="AG91" s="864">
        <f>IFERROR(('12. Разходи'!W91-'12. Разходи'!$S91)/'12. Разходи'!$S91,0)</f>
        <v>0.67642809251166558</v>
      </c>
      <c r="AH91" s="1128">
        <f>'12. Разходи'!X91-'12. Разходи'!$S91</f>
        <v>1500.2462155648366</v>
      </c>
      <c r="AI91" s="805">
        <f>IFERROR(('12. Разходи'!X91-'12. Разходи'!$S91)/'12. Разходи'!$S91,0)</f>
        <v>0.76342047390609302</v>
      </c>
      <c r="AJ91" s="1140">
        <f>'12. Разходи'!AA91</f>
        <v>0</v>
      </c>
      <c r="AK91" s="1127">
        <f>'12. Разходи'!AB91-'12. Разходи'!$AA91</f>
        <v>0</v>
      </c>
      <c r="AL91" s="858">
        <f>IFERROR(('12. Разходи'!AB91-'12. Разходи'!$AA91)/'12. Разходи'!$AA91,0)</f>
        <v>0</v>
      </c>
      <c r="AM91" s="1128">
        <f>'12. Разходи'!AC91-'12. Разходи'!$AA91</f>
        <v>0</v>
      </c>
      <c r="AN91" s="858">
        <f>IFERROR(('12. Разходи'!AC91-'12. Разходи'!$AA91)/'12. Разходи'!$AA91,0)</f>
        <v>0</v>
      </c>
      <c r="AO91" s="1128">
        <f>'12. Разходи'!AD91-'12. Разходи'!$AA91</f>
        <v>0</v>
      </c>
      <c r="AP91" s="858">
        <f>IFERROR(('12. Разходи'!AD91-'12. Разходи'!$AA91)/'12. Разходи'!$AA91,0)</f>
        <v>0</v>
      </c>
      <c r="AQ91" s="1128">
        <f>'12. Разходи'!AE91-'12. Разходи'!$AA91</f>
        <v>0</v>
      </c>
      <c r="AR91" s="864">
        <f>IFERROR(('12. Разходи'!AE91-'12. Разходи'!$AA91)/'12. Разходи'!$AA91,0)</f>
        <v>0</v>
      </c>
      <c r="AS91" s="1128">
        <f>'12. Разходи'!AF91-'12. Разходи'!$AA91</f>
        <v>0</v>
      </c>
      <c r="AT91" s="1188">
        <f>IFERROR(('12. Разходи'!AF91-'12. Разходи'!$AA91)/'12. Разходи'!$AA91,0)</f>
        <v>0</v>
      </c>
      <c r="AU91" s="1140">
        <f>'12. Разходи'!AI91</f>
        <v>0</v>
      </c>
      <c r="AV91" s="1127">
        <f>'12. Разходи'!AJ91-'12. Разходи'!$AI91</f>
        <v>0</v>
      </c>
      <c r="AW91" s="858">
        <f>IFERROR(('12. Разходи'!AJ91-'12. Разходи'!$AI91)/'12. Разходи'!$AI91,0)</f>
        <v>0</v>
      </c>
      <c r="AX91" s="1128">
        <f>'12. Разходи'!AK91-'12. Разходи'!$AI91</f>
        <v>0</v>
      </c>
      <c r="AY91" s="858">
        <f>IFERROR(('12. Разходи'!AK91-'12. Разходи'!$AI91)/'12. Разходи'!$AI91,0)</f>
        <v>0</v>
      </c>
      <c r="AZ91" s="1128">
        <f>'12. Разходи'!AL91-'12. Разходи'!$AI91</f>
        <v>0</v>
      </c>
      <c r="BA91" s="858">
        <f>IFERROR(('12. Разходи'!AL91-'12. Разходи'!$AI91)/'12. Разходи'!$AI91,0)</f>
        <v>0</v>
      </c>
      <c r="BB91" s="1128">
        <f>'12. Разходи'!AM91-'12. Разходи'!$AI91</f>
        <v>0</v>
      </c>
      <c r="BC91" s="864">
        <f>IFERROR(('12. Разходи'!AM91-'12. Разходи'!$AI91)/'12. Разходи'!$AI91,0)</f>
        <v>0</v>
      </c>
      <c r="BD91" s="1128">
        <f>'12. Разходи'!AN91-'12. Разходи'!$AI91</f>
        <v>0</v>
      </c>
      <c r="BE91" s="1188">
        <f>IFERROR(('12. Разходи'!AN91-'12. Разходи'!$AI91)/'12. Разходи'!$AI91,0)</f>
        <v>0</v>
      </c>
      <c r="BF91" s="4422"/>
      <c r="BG91" s="4438">
        <f t="shared" si="31"/>
        <v>11993.728978053468</v>
      </c>
      <c r="BH91" s="4438">
        <f t="shared" si="32"/>
        <v>3948.987919014271</v>
      </c>
      <c r="BI91" s="4438">
        <f t="shared" si="33"/>
        <v>5005.5581929516848</v>
      </c>
      <c r="BJ91" s="4438">
        <f t="shared" si="34"/>
        <v>6188.8044148390645</v>
      </c>
      <c r="BK91" s="4438">
        <f t="shared" si="35"/>
        <v>7835.5068535010278</v>
      </c>
      <c r="BL91" s="4438">
        <f t="shared" si="36"/>
        <v>9214.3053029372604</v>
      </c>
      <c r="BM91" s="4438">
        <f t="shared" si="37"/>
        <v>556.18652935272382</v>
      </c>
      <c r="BN91" s="4438">
        <f t="shared" si="38"/>
        <v>135.3665524687587</v>
      </c>
      <c r="BO91" s="4438">
        <f t="shared" si="39"/>
        <v>185.51442088517277</v>
      </c>
      <c r="BP91" s="4438">
        <f t="shared" si="40"/>
        <v>234.09201073863954</v>
      </c>
      <c r="BQ91" s="4438">
        <f t="shared" si="41"/>
        <v>296.40292804244353</v>
      </c>
      <c r="BR91" s="4438">
        <f t="shared" si="42"/>
        <v>335.31591058191322</v>
      </c>
      <c r="BS91" s="4438">
        <f t="shared" si="43"/>
        <v>1004.7722533414894</v>
      </c>
      <c r="BT91" s="4438">
        <f t="shared" si="44"/>
        <v>338.91767486331361</v>
      </c>
      <c r="BU91" s="4438">
        <f t="shared" si="45"/>
        <v>425.32645292684697</v>
      </c>
      <c r="BV91" s="4438">
        <f t="shared" si="46"/>
        <v>520.15559178451861</v>
      </c>
      <c r="BW91" s="4438">
        <f t="shared" si="47"/>
        <v>679.65617873643168</v>
      </c>
      <c r="BX91" s="4438">
        <f t="shared" si="48"/>
        <v>767.06370981365285</v>
      </c>
      <c r="BY91" s="4438">
        <f t="shared" si="49"/>
        <v>0</v>
      </c>
      <c r="BZ91" s="4438">
        <f t="shared" si="50"/>
        <v>0</v>
      </c>
      <c r="CA91" s="4438">
        <f t="shared" si="51"/>
        <v>0</v>
      </c>
      <c r="CB91" s="4438">
        <f t="shared" si="52"/>
        <v>0</v>
      </c>
      <c r="CC91" s="4438">
        <f t="shared" si="53"/>
        <v>0</v>
      </c>
      <c r="CD91" s="4438">
        <f t="shared" si="54"/>
        <v>0</v>
      </c>
      <c r="CE91" s="4438">
        <f t="shared" si="55"/>
        <v>0</v>
      </c>
      <c r="CF91" s="4438">
        <f t="shared" si="56"/>
        <v>0</v>
      </c>
      <c r="CG91" s="4438">
        <f t="shared" si="57"/>
        <v>0</v>
      </c>
      <c r="CH91" s="4438">
        <f t="shared" si="58"/>
        <v>0</v>
      </c>
      <c r="CI91" s="4438">
        <f t="shared" si="59"/>
        <v>0</v>
      </c>
      <c r="CJ91" s="4438">
        <f t="shared" si="60"/>
        <v>0</v>
      </c>
    </row>
    <row r="92" spans="1:88" s="1196" customFormat="1" ht="15.95" customHeight="1">
      <c r="A92" s="767"/>
      <c r="B92" s="768" t="s">
        <v>1516</v>
      </c>
      <c r="C92" s="1094">
        <f>'12. Разходи'!C92</f>
        <v>19778</v>
      </c>
      <c r="D92" s="1131">
        <f>'12. Разходи'!D92-'12. Разходи'!$C92</f>
        <v>6511.9933262774139</v>
      </c>
      <c r="E92" s="1191">
        <f>IFERROR(('12. Разходи'!D92-'12. Разходи'!$C92)/'12. Разходи'!$C92,0)</f>
        <v>0.32925439004335189</v>
      </c>
      <c r="F92" s="1132">
        <f>'12. Разходи'!E92-'12. Разходи'!$C92</f>
        <v>8254.3077404326723</v>
      </c>
      <c r="G92" s="1192">
        <f>IFERROR(('12. Разходи'!E92-'12. Разходи'!$C92)/'12. Разходи'!$C92,0)</f>
        <v>0.41734794925840185</v>
      </c>
      <c r="H92" s="1132">
        <f>'12. Разходи'!F92-'12. Разходи'!$C92</f>
        <v>10205.514393451998</v>
      </c>
      <c r="I92" s="1192">
        <f>IFERROR(('12. Разходи'!F92-'12. Разходи'!$C92)/'12. Разходи'!$C92,0)</f>
        <v>0.51600335693457366</v>
      </c>
      <c r="J92" s="1132">
        <f>'12. Разходи'!G92-'12. Разходи'!$C92</f>
        <v>12920.973521422224</v>
      </c>
      <c r="K92" s="1193">
        <f>IFERROR(('12. Разходи'!G92-'12. Разходи'!$C92)/'12. Разходи'!$C92,0)</f>
        <v>0.65330030950663487</v>
      </c>
      <c r="L92" s="1133">
        <f>'12. Разходи'!H92-'12. Разходи'!$C92</f>
        <v>15194.651356134782</v>
      </c>
      <c r="M92" s="1193">
        <f>IFERROR(('12. Разходи'!H92-'12. Разходи'!$C92)/'12. Разходи'!$C92,0)</f>
        <v>0.76826025665561648</v>
      </c>
      <c r="N92" s="1141">
        <f>'12. Разходи'!K92</f>
        <v>917</v>
      </c>
      <c r="O92" s="1131">
        <f>'12. Разходи'!L92-'12. Разходи'!$K92</f>
        <v>-917</v>
      </c>
      <c r="P92" s="1191">
        <f>IFERROR(('12. Разходи'!L92-'12. Разходи'!$K92)/'12. Разходи'!$K92,0)</f>
        <v>-1</v>
      </c>
      <c r="Q92" s="1132">
        <f>'12. Разходи'!M92-'12. Разходи'!$K92</f>
        <v>-917</v>
      </c>
      <c r="R92" s="1192">
        <f>IFERROR(('12. Разходи'!M92-'12. Разходи'!$K92)/'12. Разходи'!$K92,0)</f>
        <v>-1</v>
      </c>
      <c r="S92" s="1132">
        <f>'12. Разходи'!N92-'12. Разходи'!$K92</f>
        <v>-917</v>
      </c>
      <c r="T92" s="1192">
        <f>IFERROR(('12. Разходи'!N92-'12. Разходи'!$K92)/'12. Разходи'!$K92,0)</f>
        <v>-1</v>
      </c>
      <c r="U92" s="1132">
        <f>'12. Разходи'!O92-'12. Разходи'!$K92</f>
        <v>-917</v>
      </c>
      <c r="V92" s="1193">
        <f>IFERROR(('12. Разходи'!O92-'12. Разходи'!$K92)/'12. Разходи'!$K92,0)</f>
        <v>-1</v>
      </c>
      <c r="W92" s="1133">
        <f>'12. Разходи'!P92-'12. Разходи'!$K92</f>
        <v>-917</v>
      </c>
      <c r="X92" s="1194">
        <f>IFERROR(('12. Разходи'!P92-'12. Разходи'!$K92)/'12. Разходи'!$K92,0)</f>
        <v>-1</v>
      </c>
      <c r="Y92" s="1195">
        <f>'12. Разходи'!S92</f>
        <v>1655</v>
      </c>
      <c r="Z92" s="1131">
        <f>'12. Разходи'!T92-'12. Разходи'!$S92</f>
        <v>-1655</v>
      </c>
      <c r="AA92" s="1191">
        <f>IFERROR(('12. Разходи'!T92-'12. Разходи'!$S92)/'12. Разходи'!$S92,0)</f>
        <v>-1</v>
      </c>
      <c r="AB92" s="1132">
        <f>'12. Разходи'!U92-'12. Разходи'!$S92</f>
        <v>-1655</v>
      </c>
      <c r="AC92" s="1192">
        <f>IFERROR(('12. Разходи'!U92-'12. Разходи'!$S92)/'12. Разходи'!$S92,0)</f>
        <v>-1</v>
      </c>
      <c r="AD92" s="1132">
        <f>'12. Разходи'!V92-'12. Разходи'!$S92</f>
        <v>-1655</v>
      </c>
      <c r="AE92" s="1192">
        <f>IFERROR(('12. Разходи'!V92-'12. Разходи'!$S92)/'12. Разходи'!$S92,0)</f>
        <v>-1</v>
      </c>
      <c r="AF92" s="1132">
        <f>'12. Разходи'!W92-'12. Разходи'!$S92</f>
        <v>-1655</v>
      </c>
      <c r="AG92" s="1193">
        <f>IFERROR(('12. Разходи'!W92-'12. Разходи'!$S92)/'12. Разходи'!$S92,0)</f>
        <v>-1</v>
      </c>
      <c r="AH92" s="1133">
        <f>'12. Разходи'!X92-'12. Разходи'!$S92</f>
        <v>-1655</v>
      </c>
      <c r="AI92" s="1194">
        <f>IFERROR(('12. Разходи'!X92-'12. Разходи'!$S92)/'12. Разходи'!$S92,0)</f>
        <v>-1</v>
      </c>
      <c r="AJ92" s="1195">
        <f>'12. Разходи'!AA92</f>
        <v>0</v>
      </c>
      <c r="AK92" s="1131">
        <f>'12. Разходи'!AB92-'12. Разходи'!$AA92</f>
        <v>0</v>
      </c>
      <c r="AL92" s="1191">
        <f>IFERROR(('12. Разходи'!AB92-'12. Разходи'!$AA92)/'12. Разходи'!$AA92,0)</f>
        <v>0</v>
      </c>
      <c r="AM92" s="1132">
        <f>'12. Разходи'!AC92-'12. Разходи'!$AA92</f>
        <v>0</v>
      </c>
      <c r="AN92" s="1192">
        <f>IFERROR(('12. Разходи'!AC92-'12. Разходи'!$AA92)/'12. Разходи'!$AA92,0)</f>
        <v>0</v>
      </c>
      <c r="AO92" s="1132">
        <f>'12. Разходи'!AD92-'12. Разходи'!$AA92</f>
        <v>0</v>
      </c>
      <c r="AP92" s="1192">
        <f>IFERROR(('12. Разходи'!AD92-'12. Разходи'!$AA92)/'12. Разходи'!$AA92,0)</f>
        <v>0</v>
      </c>
      <c r="AQ92" s="1132">
        <f>'12. Разходи'!AE92-'12. Разходи'!$AA92</f>
        <v>0</v>
      </c>
      <c r="AR92" s="1193">
        <f>IFERROR(('12. Разходи'!AE92-'12. Разходи'!$AA92)/'12. Разходи'!$AA92,0)</f>
        <v>0</v>
      </c>
      <c r="AS92" s="1133">
        <f>'12. Разходи'!AF92-'12. Разходи'!$AA92</f>
        <v>0</v>
      </c>
      <c r="AT92" s="1194">
        <f>IFERROR(('12. Разходи'!AF92-'12. Разходи'!$AA92)/'12. Разходи'!$AA92,0)</f>
        <v>0</v>
      </c>
      <c r="AU92" s="1195">
        <f>'12. Разходи'!AI92</f>
        <v>0</v>
      </c>
      <c r="AV92" s="1131">
        <f>'12. Разходи'!AJ92-'12. Разходи'!$AI92</f>
        <v>0</v>
      </c>
      <c r="AW92" s="1191">
        <f>IFERROR(('12. Разходи'!AJ92-'12. Разходи'!$AI92)/'12. Разходи'!$AI92,0)</f>
        <v>0</v>
      </c>
      <c r="AX92" s="1132">
        <f>'12. Разходи'!AK92-'12. Разходи'!$AI92</f>
        <v>0</v>
      </c>
      <c r="AY92" s="1192">
        <f>IFERROR(('12. Разходи'!AK92-'12. Разходи'!$AI92)/'12. Разходи'!$AI92,0)</f>
        <v>0</v>
      </c>
      <c r="AZ92" s="1132">
        <f>'12. Разходи'!AL92-'12. Разходи'!$AI92</f>
        <v>0</v>
      </c>
      <c r="BA92" s="1192">
        <f>IFERROR(('12. Разходи'!AL92-'12. Разходи'!$AI92)/'12. Разходи'!$AI92,0)</f>
        <v>0</v>
      </c>
      <c r="BB92" s="1132">
        <f>'12. Разходи'!AM92-'12. Разходи'!$AI92</f>
        <v>0</v>
      </c>
      <c r="BC92" s="1193">
        <f>IFERROR(('12. Разходи'!AM92-'12. Разходи'!$AI92)/'12. Разходи'!$AI92,0)</f>
        <v>0</v>
      </c>
      <c r="BD92" s="1133">
        <f>'12. Разходи'!AN92-'12. Разходи'!$AI92</f>
        <v>0</v>
      </c>
      <c r="BE92" s="1194">
        <f>IFERROR(('12. Разходи'!AN92-'12. Разходи'!$AI92)/'12. Разходи'!$AI92,0)</f>
        <v>0</v>
      </c>
      <c r="BF92" s="4422"/>
      <c r="BG92" s="4438">
        <f t="shared" si="31"/>
        <v>10112.33082629881</v>
      </c>
      <c r="BH92" s="4438">
        <f t="shared" si="32"/>
        <v>3329.5293181295992</v>
      </c>
      <c r="BI92" s="4438">
        <f t="shared" si="33"/>
        <v>4220.3605325783283</v>
      </c>
      <c r="BJ92" s="4438">
        <f t="shared" si="34"/>
        <v>5217.9966528031573</v>
      </c>
      <c r="BK92" s="4438">
        <f t="shared" si="35"/>
        <v>6606.3888586544963</v>
      </c>
      <c r="BL92" s="4438">
        <f t="shared" si="36"/>
        <v>7768.9018759988248</v>
      </c>
      <c r="BM92" s="4438">
        <f t="shared" si="37"/>
        <v>468.85465505693236</v>
      </c>
      <c r="BN92" s="4438">
        <f t="shared" si="38"/>
        <v>-468.85465505693236</v>
      </c>
      <c r="BO92" s="4438">
        <f t="shared" si="39"/>
        <v>-468.85465505693236</v>
      </c>
      <c r="BP92" s="4438">
        <f t="shared" si="40"/>
        <v>-468.85465505693236</v>
      </c>
      <c r="BQ92" s="4438">
        <f t="shared" si="41"/>
        <v>-468.85465505693236</v>
      </c>
      <c r="BR92" s="4438">
        <f t="shared" si="42"/>
        <v>-468.85465505693236</v>
      </c>
      <c r="BS92" s="4438">
        <f t="shared" si="43"/>
        <v>846.18806337974161</v>
      </c>
      <c r="BT92" s="4438">
        <f t="shared" si="44"/>
        <v>-846.18806337974161</v>
      </c>
      <c r="BU92" s="4438">
        <f t="shared" si="45"/>
        <v>-846.18806337974161</v>
      </c>
      <c r="BV92" s="4438">
        <f t="shared" si="46"/>
        <v>-846.18806337974161</v>
      </c>
      <c r="BW92" s="4438">
        <f t="shared" si="47"/>
        <v>-846.18806337974161</v>
      </c>
      <c r="BX92" s="4438">
        <f t="shared" si="48"/>
        <v>-846.18806337974161</v>
      </c>
      <c r="BY92" s="4438">
        <f t="shared" si="49"/>
        <v>0</v>
      </c>
      <c r="BZ92" s="4438">
        <f t="shared" si="50"/>
        <v>0</v>
      </c>
      <c r="CA92" s="4438">
        <f t="shared" si="51"/>
        <v>0</v>
      </c>
      <c r="CB92" s="4438">
        <f t="shared" si="52"/>
        <v>0</v>
      </c>
      <c r="CC92" s="4438">
        <f t="shared" si="53"/>
        <v>0</v>
      </c>
      <c r="CD92" s="4438">
        <f t="shared" si="54"/>
        <v>0</v>
      </c>
      <c r="CE92" s="4438">
        <f t="shared" si="55"/>
        <v>0</v>
      </c>
      <c r="CF92" s="4438">
        <f t="shared" si="56"/>
        <v>0</v>
      </c>
      <c r="CG92" s="4438">
        <f t="shared" si="57"/>
        <v>0</v>
      </c>
      <c r="CH92" s="4438">
        <f t="shared" si="58"/>
        <v>0</v>
      </c>
      <c r="CI92" s="4438">
        <f t="shared" si="59"/>
        <v>0</v>
      </c>
      <c r="CJ92" s="4438">
        <f t="shared" si="60"/>
        <v>0</v>
      </c>
    </row>
    <row r="93" spans="1:88" s="1197" customFormat="1" ht="15.95" customHeight="1">
      <c r="A93" s="3355"/>
      <c r="B93" s="3354" t="s">
        <v>1518</v>
      </c>
      <c r="C93" s="3356">
        <f>'12. Разходи'!C93</f>
        <v>3679.6949471463158</v>
      </c>
      <c r="D93" s="1131">
        <f>'12. Разходи'!D93-'12. Разходи'!$C93</f>
        <v>1211.5557153682676</v>
      </c>
      <c r="E93" s="1191">
        <f>IFERROR(('12. Разходи'!D93-'12. Разходи'!$C93)/'12. Разходи'!$C93,0)</f>
        <v>0.32925439004335283</v>
      </c>
      <c r="F93" s="1132">
        <f>'12. Разходи'!E93-'12. Разходи'!$C93</f>
        <v>1535.7131400880207</v>
      </c>
      <c r="G93" s="1192">
        <f>IFERROR(('12. Разходи'!E93-'12. Разходи'!$C93)/'12. Разходи'!$C93,0)</f>
        <v>0.41734794925840252</v>
      </c>
      <c r="H93" s="1132">
        <f>'12. Разходи'!F93-'12. Разходи'!$C93</f>
        <v>1898.7349452226881</v>
      </c>
      <c r="I93" s="1192">
        <f>IFERROR(('12. Разходи'!F93-'12. Разходи'!$C93)/'12. Разходи'!$C93,0)</f>
        <v>0.51600335693457378</v>
      </c>
      <c r="J93" s="1132">
        <f>'12. Разходи'!G93-'12. Разходи'!$C93</f>
        <v>2403.9458478606903</v>
      </c>
      <c r="K93" s="1193">
        <f>IFERROR(('12. Разходи'!G93-'12. Разходи'!$C93)/'12. Разходи'!$C93,0)</f>
        <v>0.65330030950663531</v>
      </c>
      <c r="L93" s="1133">
        <f>'12. Разходи'!H93-'12. Разходи'!$C93</f>
        <v>2826.9633845089993</v>
      </c>
      <c r="M93" s="1193">
        <f>IFERROR(('12. Разходи'!H93-'12. Разходи'!$C93)/'12. Разходи'!$C93,0)</f>
        <v>0.76826025665561526</v>
      </c>
      <c r="N93" s="1141">
        <f>'12. Разходи'!K93</f>
        <v>170.80629970393784</v>
      </c>
      <c r="O93" s="1131">
        <f>'12. Разходи'!L93-'12. Разходи'!$K93</f>
        <v>1181.7539643149723</v>
      </c>
      <c r="P93" s="1191">
        <f>IFERROR(('12. Разходи'!L93-'12. Разходи'!$K93)/'12. Разходи'!$K93,0)</f>
        <v>6.9186790321160956</v>
      </c>
      <c r="Q93" s="1132">
        <f>'12. Разходи'!M93-'12. Разходи'!$K93</f>
        <v>1279.8346697998475</v>
      </c>
      <c r="R93" s="1192">
        <f>IFERROR(('12. Разходи'!M93-'12. Разходи'!$K93)/'12. Разходи'!$K93,0)</f>
        <v>7.492900859149878</v>
      </c>
      <c r="S93" s="1132">
        <f>'12. Разходи'!N93-'12. Разходи'!$K93</f>
        <v>1374.8441773629534</v>
      </c>
      <c r="T93" s="1192">
        <f>IFERROR(('12. Разходи'!N93-'12. Разходи'!$K93)/'12. Разходи'!$K93,0)</f>
        <v>8.0491420969015763</v>
      </c>
      <c r="U93" s="1132">
        <f>'12. Разходи'!O93-'12. Разходи'!$K93</f>
        <v>1496.7137387532523</v>
      </c>
      <c r="V93" s="1193">
        <f>IFERROR(('12. Разходи'!O93-'12. Разходи'!$K93)/'12. Разходи'!$K93,0)</f>
        <v>8.7626378028652212</v>
      </c>
      <c r="W93" s="1133">
        <f>'12. Разходи'!P93-'12. Разходи'!$K93</f>
        <v>1572.8209173934233</v>
      </c>
      <c r="X93" s="1194">
        <f>IFERROR(('12. Разходи'!P93-'12. Разходи'!$K93)/'12. Разходи'!$K93,0)</f>
        <v>9.2082137492564797</v>
      </c>
      <c r="Y93" s="1195">
        <f>'12. Разходи'!S93</f>
        <v>310.16371625288525</v>
      </c>
      <c r="Z93" s="1131">
        <f>'12. Разходи'!T93-'12. Разходи'!$S93</f>
        <v>2317.8653560279145</v>
      </c>
      <c r="AA93" s="1191">
        <f>IFERROR(('12. Разходи'!T93-'12. Разходи'!$S93)/'12. Разходи'!$S93,0)</f>
        <v>7.4730383812466741</v>
      </c>
      <c r="AB93" s="1132">
        <f>'12. Разходи'!U93-'12. Разходи'!$S93</f>
        <v>2486.8662364279153</v>
      </c>
      <c r="AC93" s="1192">
        <f>IFERROR(('12. Разходи'!U93-'12. Разходи'!$S93)/'12. Разходи'!$S93,0)</f>
        <v>8.0179147531244528</v>
      </c>
      <c r="AD93" s="1132">
        <f>'12. Разходи'!V93-'12. Разходи'!$S93</f>
        <v>2672.3359110799147</v>
      </c>
      <c r="AE93" s="1192">
        <f>IFERROR(('12. Разходи'!V93-'12. Разходи'!$S93)/'12. Разходи'!$S93,0)</f>
        <v>8.6158882262717142</v>
      </c>
      <c r="AF93" s="1132">
        <f>'12. Разходи'!W93-'12. Разходи'!$S93</f>
        <v>2984.2919440580754</v>
      </c>
      <c r="AG93" s="1193">
        <f>IFERROR(('12. Разходи'!W93-'12. Разходи'!$S93)/'12. Разходи'!$S93,0)</f>
        <v>9.6216668413429041</v>
      </c>
      <c r="AH93" s="1133">
        <f>'12. Разходи'!X93-'12. Разходи'!$S93</f>
        <v>3155.2462155648363</v>
      </c>
      <c r="AI93" s="1194">
        <f>IFERROR(('12. Разходи'!X93-'12. Разходи'!$S93)/'12. Разходи'!$S93,0)</f>
        <v>10.172841148808892</v>
      </c>
      <c r="AJ93" s="1195">
        <f>'12. Разходи'!AA93</f>
        <v>0</v>
      </c>
      <c r="AK93" s="1131">
        <f>'12. Разходи'!AB93-'12. Разходи'!$AA93</f>
        <v>0</v>
      </c>
      <c r="AL93" s="1191">
        <f>IFERROR(('12. Разходи'!AB93-'12. Разходи'!$AA93)/'12. Разходи'!$AA93,0)</f>
        <v>0</v>
      </c>
      <c r="AM93" s="1132">
        <f>'12. Разходи'!AC93-'12. Разходи'!$AA93</f>
        <v>0</v>
      </c>
      <c r="AN93" s="1192">
        <f>IFERROR(('12. Разходи'!AC93-'12. Разходи'!$AA93)/'12. Разходи'!$AA93,0)</f>
        <v>0</v>
      </c>
      <c r="AO93" s="1132">
        <f>'12. Разходи'!AD93-'12. Разходи'!$AA93</f>
        <v>0</v>
      </c>
      <c r="AP93" s="1192">
        <f>IFERROR(('12. Разходи'!AD93-'12. Разходи'!$AA93)/'12. Разходи'!$AA93,0)</f>
        <v>0</v>
      </c>
      <c r="AQ93" s="1132">
        <f>'12. Разходи'!AE93-'12. Разходи'!$AA93</f>
        <v>0</v>
      </c>
      <c r="AR93" s="1193">
        <f>IFERROR(('12. Разходи'!AE93-'12. Разходи'!$AA93)/'12. Разходи'!$AA93,0)</f>
        <v>0</v>
      </c>
      <c r="AS93" s="1133">
        <f>'12. Разходи'!AF93-'12. Разходи'!$AA93</f>
        <v>0</v>
      </c>
      <c r="AT93" s="1194">
        <f>IFERROR(('12. Разходи'!AF93-'12. Разходи'!$AA93)/'12. Разходи'!$AA93,0)</f>
        <v>0</v>
      </c>
      <c r="AU93" s="1195">
        <f>'12. Разходи'!AI93</f>
        <v>0</v>
      </c>
      <c r="AV93" s="1131">
        <f>'12. Разходи'!AJ93-'12. Разходи'!$AI93</f>
        <v>0</v>
      </c>
      <c r="AW93" s="1191">
        <f>IFERROR(('12. Разходи'!AJ93-'12. Разходи'!$AI93)/'12. Разходи'!$AI93,0)</f>
        <v>0</v>
      </c>
      <c r="AX93" s="1132">
        <f>'12. Разходи'!AK93-'12. Разходи'!$AI93</f>
        <v>0</v>
      </c>
      <c r="AY93" s="1192">
        <f>IFERROR(('12. Разходи'!AK93-'12. Разходи'!$AI93)/'12. Разходи'!$AI93,0)</f>
        <v>0</v>
      </c>
      <c r="AZ93" s="1132">
        <f>'12. Разходи'!AL93-'12. Разходи'!$AI93</f>
        <v>0</v>
      </c>
      <c r="BA93" s="1192">
        <f>IFERROR(('12. Разходи'!AL93-'12. Разходи'!$AI93)/'12. Разходи'!$AI93,0)</f>
        <v>0</v>
      </c>
      <c r="BB93" s="1132">
        <f>'12. Разходи'!AM93-'12. Разходи'!$AI93</f>
        <v>0</v>
      </c>
      <c r="BC93" s="1193">
        <f>IFERROR(('12. Разходи'!AM93-'12. Разходи'!$AI93)/'12. Разходи'!$AI93,0)</f>
        <v>0</v>
      </c>
      <c r="BD93" s="1133">
        <f>'12. Разходи'!AN93-'12. Разходи'!$AI93</f>
        <v>0</v>
      </c>
      <c r="BE93" s="1194">
        <f>IFERROR(('12. Разходи'!AN93-'12. Разходи'!$AI93)/'12. Разходи'!$AI93,0)</f>
        <v>0</v>
      </c>
      <c r="BF93" s="4422"/>
      <c r="BG93" s="4438">
        <f t="shared" si="31"/>
        <v>1881.3981517546597</v>
      </c>
      <c r="BH93" s="4438">
        <f t="shared" si="32"/>
        <v>619.4586008846718</v>
      </c>
      <c r="BI93" s="4438">
        <f t="shared" si="33"/>
        <v>785.19766037335592</v>
      </c>
      <c r="BJ93" s="4438">
        <f t="shared" si="34"/>
        <v>970.8077620359071</v>
      </c>
      <c r="BK93" s="4438">
        <f t="shared" si="35"/>
        <v>1229.1179948465308</v>
      </c>
      <c r="BL93" s="4438">
        <f t="shared" si="36"/>
        <v>1445.4034269384349</v>
      </c>
      <c r="BM93" s="4438">
        <f t="shared" si="37"/>
        <v>87.331874295791479</v>
      </c>
      <c r="BN93" s="4438">
        <f t="shared" si="38"/>
        <v>604.22120752569106</v>
      </c>
      <c r="BO93" s="4438">
        <f t="shared" si="39"/>
        <v>654.36907594210516</v>
      </c>
      <c r="BP93" s="4438">
        <f t="shared" si="40"/>
        <v>702.9466657955719</v>
      </c>
      <c r="BQ93" s="4438">
        <f t="shared" si="41"/>
        <v>765.25758309937589</v>
      </c>
      <c r="BR93" s="4438">
        <f t="shared" si="42"/>
        <v>804.17056563884557</v>
      </c>
      <c r="BS93" s="4438">
        <f t="shared" si="43"/>
        <v>158.58418996174782</v>
      </c>
      <c r="BT93" s="4438">
        <f t="shared" si="44"/>
        <v>1185.1057382430552</v>
      </c>
      <c r="BU93" s="4438">
        <f t="shared" si="45"/>
        <v>1271.5145163065886</v>
      </c>
      <c r="BV93" s="4438">
        <f t="shared" si="46"/>
        <v>1366.3436551642601</v>
      </c>
      <c r="BW93" s="4438">
        <f t="shared" si="47"/>
        <v>1525.8442421161735</v>
      </c>
      <c r="BX93" s="4438">
        <f t="shared" si="48"/>
        <v>1613.2517731933942</v>
      </c>
      <c r="BY93" s="4438">
        <f t="shared" si="49"/>
        <v>0</v>
      </c>
      <c r="BZ93" s="4438">
        <f t="shared" si="50"/>
        <v>0</v>
      </c>
      <c r="CA93" s="4438">
        <f t="shared" si="51"/>
        <v>0</v>
      </c>
      <c r="CB93" s="4438">
        <f t="shared" si="52"/>
        <v>0</v>
      </c>
      <c r="CC93" s="4438">
        <f t="shared" si="53"/>
        <v>0</v>
      </c>
      <c r="CD93" s="4438">
        <f t="shared" si="54"/>
        <v>0</v>
      </c>
      <c r="CE93" s="4438">
        <f t="shared" si="55"/>
        <v>0</v>
      </c>
      <c r="CF93" s="4438">
        <f t="shared" si="56"/>
        <v>0</v>
      </c>
      <c r="CG93" s="4438">
        <f t="shared" si="57"/>
        <v>0</v>
      </c>
      <c r="CH93" s="4438">
        <f t="shared" si="58"/>
        <v>0</v>
      </c>
      <c r="CI93" s="4438">
        <f t="shared" si="59"/>
        <v>0</v>
      </c>
      <c r="CJ93" s="4438">
        <f t="shared" si="60"/>
        <v>0</v>
      </c>
    </row>
    <row r="94" spans="1:88" s="1197" customFormat="1" ht="15.95" customHeight="1" thickBot="1">
      <c r="A94" s="820"/>
      <c r="B94" s="1082" t="s">
        <v>1466</v>
      </c>
      <c r="C94" s="3356">
        <f>'12. Разходи'!C94</f>
        <v>1216</v>
      </c>
      <c r="D94" s="1131">
        <f>'12. Разходи'!D94-'12. Разходи'!$C94</f>
        <v>400.37333829271688</v>
      </c>
      <c r="E94" s="1191">
        <f>IFERROR(('12. Разходи'!D94-'12. Разходи'!$C94)/'12. Разходи'!$C94,0)</f>
        <v>0.32925439004335272</v>
      </c>
      <c r="F94" s="1132">
        <f>'12. Разходи'!E94-'12. Разходи'!$C94</f>
        <v>-1216</v>
      </c>
      <c r="G94" s="1192">
        <f>IFERROR(('12. Разходи'!E94-'12. Разходи'!$C94)/'12. Разходи'!$C94,0)</f>
        <v>-1</v>
      </c>
      <c r="H94" s="1132">
        <f>'12. Разходи'!F94-'12. Разходи'!$C94</f>
        <v>-1216</v>
      </c>
      <c r="I94" s="1192">
        <f>IFERROR(('12. Разходи'!F94-'12. Разходи'!$C94)/'12. Разходи'!$C94,0)</f>
        <v>-1</v>
      </c>
      <c r="J94" s="1132">
        <f>'12. Разходи'!G94-'12. Разходи'!$C94</f>
        <v>-1216</v>
      </c>
      <c r="K94" s="1193">
        <f>IFERROR(('12. Разходи'!G94-'12. Разходи'!$C94)/'12. Разходи'!$C94,0)</f>
        <v>-1</v>
      </c>
      <c r="L94" s="1133">
        <f>'12. Разходи'!H94-'12. Разходи'!$C94</f>
        <v>-1216</v>
      </c>
      <c r="M94" s="1193">
        <f>IFERROR(('12. Разходи'!H94-'12. Разходи'!$C94)/'12. Разходи'!$C94,0)</f>
        <v>-1</v>
      </c>
      <c r="N94" s="1141">
        <f>'12. Разходи'!K94</f>
        <v>56</v>
      </c>
      <c r="O94" s="1131">
        <f>'12. Разходи'!L94-'12. Разходи'!$K94</f>
        <v>-56</v>
      </c>
      <c r="P94" s="1191">
        <f>IFERROR(('12. Разходи'!L94-'12. Разходи'!$K94)/'12. Разходи'!$K94,0)</f>
        <v>-1</v>
      </c>
      <c r="Q94" s="1132">
        <f>'12. Разходи'!M94-'12. Разходи'!$K94</f>
        <v>-56</v>
      </c>
      <c r="R94" s="1192">
        <f>IFERROR(('12. Разходи'!M94-'12. Разходи'!$K94)/'12. Разходи'!$K94,0)</f>
        <v>-1</v>
      </c>
      <c r="S94" s="1132">
        <f>'12. Разходи'!N94-'12. Разходи'!$K94</f>
        <v>-56</v>
      </c>
      <c r="T94" s="1192">
        <f>IFERROR(('12. Разходи'!N94-'12. Разходи'!$K94)/'12. Разходи'!$K94,0)</f>
        <v>-1</v>
      </c>
      <c r="U94" s="1132">
        <f>'12. Разходи'!O94-'12. Разходи'!$K94</f>
        <v>-56</v>
      </c>
      <c r="V94" s="1193">
        <f>IFERROR(('12. Разходи'!O94-'12. Разходи'!$K94)/'12. Разходи'!$K94,0)</f>
        <v>-1</v>
      </c>
      <c r="W94" s="1133">
        <f>'12. Разходи'!P94-'12. Разходи'!$K94</f>
        <v>-56</v>
      </c>
      <c r="X94" s="1194">
        <f>IFERROR(('12. Разходи'!P94-'12. Разходи'!$K94)/'12. Разходи'!$K94,0)</f>
        <v>-1</v>
      </c>
      <c r="Y94" s="1195">
        <f>'12. Разходи'!S94</f>
        <v>102</v>
      </c>
      <c r="Z94" s="1131">
        <f>'12. Разходи'!T94-'12. Разходи'!$S94</f>
        <v>-102</v>
      </c>
      <c r="AA94" s="1191">
        <f>IFERROR(('12. Разходи'!T94-'12. Разходи'!$S94)/'12. Разходи'!$S94,0)</f>
        <v>-1</v>
      </c>
      <c r="AB94" s="1132">
        <f>'12. Разходи'!U94-'12. Разходи'!$S94</f>
        <v>-102</v>
      </c>
      <c r="AC94" s="1192">
        <f>IFERROR(('12. Разходи'!U94-'12. Разходи'!$S94)/'12. Разходи'!$S94,0)</f>
        <v>-1</v>
      </c>
      <c r="AD94" s="1132">
        <f>'12. Разходи'!V94-'12. Разходи'!$S94</f>
        <v>-102</v>
      </c>
      <c r="AE94" s="1192">
        <f>IFERROR(('12. Разходи'!V94-'12. Разходи'!$S94)/'12. Разходи'!$S94,0)</f>
        <v>-1</v>
      </c>
      <c r="AF94" s="1132">
        <f>'12. Разходи'!W94-'12. Разходи'!$S94</f>
        <v>-102</v>
      </c>
      <c r="AG94" s="1193">
        <f>IFERROR(('12. Разходи'!W94-'12. Разходи'!$S94)/'12. Разходи'!$S94,0)</f>
        <v>-1</v>
      </c>
      <c r="AH94" s="1133">
        <f>'12. Разходи'!X94-'12. Разходи'!$S94</f>
        <v>-102</v>
      </c>
      <c r="AI94" s="1194">
        <f>IFERROR(('12. Разходи'!X94-'12. Разходи'!$S94)/'12. Разходи'!$S94,0)</f>
        <v>-1</v>
      </c>
      <c r="AJ94" s="1195">
        <f>'12. Разходи'!AA94</f>
        <v>0</v>
      </c>
      <c r="AK94" s="1131">
        <f>'12. Разходи'!AB94-'12. Разходи'!$AA94</f>
        <v>0</v>
      </c>
      <c r="AL94" s="1191">
        <f>IFERROR(('12. Разходи'!AB94-'12. Разходи'!$AA94)/'12. Разходи'!$AA94,0)</f>
        <v>0</v>
      </c>
      <c r="AM94" s="1132">
        <f>'12. Разходи'!AC94-'12. Разходи'!$AA94</f>
        <v>0</v>
      </c>
      <c r="AN94" s="1192">
        <f>IFERROR(('12. Разходи'!AC94-'12. Разходи'!$AA94)/'12. Разходи'!$AA94,0)</f>
        <v>0</v>
      </c>
      <c r="AO94" s="1132">
        <f>'12. Разходи'!AD94-'12. Разходи'!$AA94</f>
        <v>0</v>
      </c>
      <c r="AP94" s="1192">
        <f>IFERROR(('12. Разходи'!AD94-'12. Разходи'!$AA94)/'12. Разходи'!$AA94,0)</f>
        <v>0</v>
      </c>
      <c r="AQ94" s="1132">
        <f>'12. Разходи'!AE94-'12. Разходи'!$AA94</f>
        <v>0</v>
      </c>
      <c r="AR94" s="1193">
        <f>IFERROR(('12. Разходи'!AE94-'12. Разходи'!$AA94)/'12. Разходи'!$AA94,0)</f>
        <v>0</v>
      </c>
      <c r="AS94" s="1133">
        <f>'12. Разходи'!AF94-'12. Разходи'!$AA94</f>
        <v>0</v>
      </c>
      <c r="AT94" s="1194">
        <f>IFERROR(('12. Разходи'!AF94-'12. Разходи'!$AA94)/'12. Разходи'!$AA94,0)</f>
        <v>0</v>
      </c>
      <c r="AU94" s="1195">
        <f>'12. Разходи'!AI94</f>
        <v>0</v>
      </c>
      <c r="AV94" s="1131">
        <f>'12. Разходи'!AJ94-'12. Разходи'!$AI94</f>
        <v>0</v>
      </c>
      <c r="AW94" s="1191">
        <f>IFERROR(('12. Разходи'!AJ94-'12. Разходи'!$AI94)/'12. Разходи'!$AI94,0)</f>
        <v>0</v>
      </c>
      <c r="AX94" s="1132">
        <f>'12. Разходи'!AK94-'12. Разходи'!$AI94</f>
        <v>0</v>
      </c>
      <c r="AY94" s="1192">
        <f>IFERROR(('12. Разходи'!AK94-'12. Разходи'!$AI94)/'12. Разходи'!$AI94,0)</f>
        <v>0</v>
      </c>
      <c r="AZ94" s="1132">
        <f>'12. Разходи'!AL94-'12. Разходи'!$AI94</f>
        <v>0</v>
      </c>
      <c r="BA94" s="1192">
        <f>IFERROR(('12. Разходи'!AL94-'12. Разходи'!$AI94)/'12. Разходи'!$AI94,0)</f>
        <v>0</v>
      </c>
      <c r="BB94" s="1132">
        <f>'12. Разходи'!AM94-'12. Разходи'!$AI94</f>
        <v>0</v>
      </c>
      <c r="BC94" s="1193">
        <f>IFERROR(('12. Разходи'!AM94-'12. Разходи'!$AI94)/'12. Разходи'!$AI94,0)</f>
        <v>0</v>
      </c>
      <c r="BD94" s="1133">
        <f>'12. Разходи'!AN94-'12. Разходи'!$AI94</f>
        <v>0</v>
      </c>
      <c r="BE94" s="1194">
        <f>IFERROR(('12. Разходи'!AN94-'12. Разходи'!$AI94)/'12. Разходи'!$AI94,0)</f>
        <v>0</v>
      </c>
      <c r="BF94" s="4422"/>
      <c r="BG94" s="4438">
        <f t="shared" si="31"/>
        <v>621.73092753460173</v>
      </c>
      <c r="BH94" s="4438">
        <f t="shared" si="32"/>
        <v>204.70763731649319</v>
      </c>
      <c r="BI94" s="4438">
        <f t="shared" si="33"/>
        <v>-621.73092753460173</v>
      </c>
      <c r="BJ94" s="4438">
        <f t="shared" si="34"/>
        <v>-621.73092753460173</v>
      </c>
      <c r="BK94" s="4438">
        <f t="shared" si="35"/>
        <v>-621.73092753460173</v>
      </c>
      <c r="BL94" s="4438">
        <f t="shared" si="36"/>
        <v>-621.73092753460173</v>
      </c>
      <c r="BM94" s="4438">
        <f t="shared" si="37"/>
        <v>28.632345346988235</v>
      </c>
      <c r="BN94" s="4438">
        <f t="shared" si="38"/>
        <v>-28.632345346988235</v>
      </c>
      <c r="BO94" s="4438">
        <f t="shared" si="39"/>
        <v>-28.632345346988235</v>
      </c>
      <c r="BP94" s="4438">
        <f t="shared" si="40"/>
        <v>-28.632345346988235</v>
      </c>
      <c r="BQ94" s="4438">
        <f t="shared" si="41"/>
        <v>-28.632345346988235</v>
      </c>
      <c r="BR94" s="4438">
        <f t="shared" si="42"/>
        <v>-28.632345346988235</v>
      </c>
      <c r="BS94" s="4438">
        <f t="shared" si="43"/>
        <v>52.151771882014287</v>
      </c>
      <c r="BT94" s="4438">
        <f t="shared" si="44"/>
        <v>-52.151771882014287</v>
      </c>
      <c r="BU94" s="4438">
        <f t="shared" si="45"/>
        <v>-52.151771882014287</v>
      </c>
      <c r="BV94" s="4438">
        <f t="shared" si="46"/>
        <v>-52.151771882014287</v>
      </c>
      <c r="BW94" s="4438">
        <f t="shared" si="47"/>
        <v>-52.151771882014287</v>
      </c>
      <c r="BX94" s="4438">
        <f t="shared" si="48"/>
        <v>-52.151771882014287</v>
      </c>
      <c r="BY94" s="4438">
        <f t="shared" si="49"/>
        <v>0</v>
      </c>
      <c r="BZ94" s="4438">
        <f t="shared" si="50"/>
        <v>0</v>
      </c>
      <c r="CA94" s="4438">
        <f t="shared" si="51"/>
        <v>0</v>
      </c>
      <c r="CB94" s="4438">
        <f t="shared" si="52"/>
        <v>0</v>
      </c>
      <c r="CC94" s="4438">
        <f t="shared" si="53"/>
        <v>0</v>
      </c>
      <c r="CD94" s="4438">
        <f t="shared" si="54"/>
        <v>0</v>
      </c>
      <c r="CE94" s="4438">
        <f t="shared" si="55"/>
        <v>0</v>
      </c>
      <c r="CF94" s="4438">
        <f t="shared" si="56"/>
        <v>0</v>
      </c>
      <c r="CG94" s="4438">
        <f t="shared" si="57"/>
        <v>0</v>
      </c>
      <c r="CH94" s="4438">
        <f t="shared" si="58"/>
        <v>0</v>
      </c>
      <c r="CI94" s="4438">
        <f t="shared" si="59"/>
        <v>0</v>
      </c>
      <c r="CJ94" s="4438">
        <f t="shared" si="60"/>
        <v>0</v>
      </c>
    </row>
    <row r="95" spans="1:88" s="1190" customFormat="1" ht="24.75" thickBot="1">
      <c r="A95" s="248"/>
      <c r="B95" s="249" t="s">
        <v>1231</v>
      </c>
      <c r="C95" s="1093">
        <f>'12. Разходи'!C95</f>
        <v>23906.694947146316</v>
      </c>
      <c r="D95" s="1127">
        <f>'12. Разходи'!D95-'12. Разходи'!$C95</f>
        <v>8277.8863967154757</v>
      </c>
      <c r="E95" s="858">
        <f>IFERROR(('12. Разходи'!D95-'12. Разходи'!$C95)/'12. Разходи'!$C95,0)</f>
        <v>0.34625808439922334</v>
      </c>
      <c r="F95" s="1128">
        <f>'12. Разходи'!E95-'12. Разходи'!$C95</f>
        <v>10669.625071341245</v>
      </c>
      <c r="G95" s="858">
        <f>IFERROR(('12. Разходи'!E95-'12. Разходи'!$C95)/'12. Разходи'!$C95,0)</f>
        <v>0.44630280743239464</v>
      </c>
      <c r="H95" s="1128">
        <f>'12. Разходи'!F95-'12. Разходи'!$C95</f>
        <v>13341.839082742226</v>
      </c>
      <c r="I95" s="858">
        <f>IFERROR(('12. Разходи'!F95-'12. Разходи'!$C95)/'12. Разходи'!$C95,0)</f>
        <v>0.55807961377508641</v>
      </c>
      <c r="J95" s="1128">
        <f>'12. Разходи'!G95-'12. Разходи'!$C95</f>
        <v>16799.117137264082</v>
      </c>
      <c r="K95" s="864">
        <f>IFERROR(('12. Разходи'!G95-'12. Разходи'!$C95)/'12. Разходи'!$C95,0)</f>
        <v>0.70269508915406775</v>
      </c>
      <c r="L95" s="1128">
        <f>'12. Разходи'!H95-'12. Разходи'!$C95</f>
        <v>19619.832309021083</v>
      </c>
      <c r="M95" s="864">
        <f>IFERROR(('12. Разходи'!H95-'12. Разходи'!$C95)/'12. Разходи'!$C95,0)</f>
        <v>0.82068359312724881</v>
      </c>
      <c r="N95" s="1140">
        <f>'12. Разходи'!K95</f>
        <v>1161.8062997039378</v>
      </c>
      <c r="O95" s="1127">
        <f>'12. Разходи'!L95-'12. Разходи'!$K95</f>
        <v>305.38042384373102</v>
      </c>
      <c r="P95" s="858">
        <f>IFERROR(('12. Разходи'!L95-'12. Разходи'!$K95)/'12. Разходи'!$K95,0)</f>
        <v>0.26284968838742817</v>
      </c>
      <c r="Q95" s="1128">
        <f>'12. Разходи'!M95-'12. Разходи'!$K95</f>
        <v>445.75069812440438</v>
      </c>
      <c r="R95" s="858">
        <f>IFERROR(('12. Разходи'!M95-'12. Разходи'!$K95)/'12. Разходи'!$K95,0)</f>
        <v>0.38367040894682242</v>
      </c>
      <c r="S95" s="1128">
        <f>'12. Разходи'!N95-'12. Разходи'!$K95</f>
        <v>520.98846856997761</v>
      </c>
      <c r="T95" s="858">
        <f>IFERROR(('12. Разходи'!N95-'12. Разходи'!$K95)/'12. Разходи'!$K95,0)</f>
        <v>0.44842971560985739</v>
      </c>
      <c r="U95" s="1128">
        <f>'12. Разходи'!O95-'12. Разходи'!$K95</f>
        <v>668.99868475888525</v>
      </c>
      <c r="V95" s="864">
        <f>IFERROR(('12. Разходи'!O95-'12. Разходи'!$K95)/'12. Разходи'!$K95,0)</f>
        <v>0.57582635326505427</v>
      </c>
      <c r="W95" s="1128">
        <f>'12. Разходи'!P95-'12. Разходи'!$K95</f>
        <v>748.84675960433106</v>
      </c>
      <c r="X95" s="805">
        <f>IFERROR(('12. Разходи'!P95-'12. Разходи'!$K95)/'12. Разходи'!$K95,0)</f>
        <v>0.64455388113763812</v>
      </c>
      <c r="Y95" s="1140">
        <f>'12. Разходи'!S95</f>
        <v>2045.1637162528853</v>
      </c>
      <c r="Z95" s="1127">
        <f>'12. Разходи'!T95-'12. Разходи'!$S95</f>
        <v>725.67416378936218</v>
      </c>
      <c r="AA95" s="858">
        <f>IFERROR(('12. Разходи'!T95-'12. Разходи'!$S95)/'12. Разходи'!$S95,0)</f>
        <v>0.3548244856988419</v>
      </c>
      <c r="AB95" s="1128">
        <f>'12. Разходи'!U95-'12. Разходи'!$S95</f>
        <v>982.98150672280622</v>
      </c>
      <c r="AC95" s="858">
        <f>IFERROR(('12. Разходи'!U95-'12. Разходи'!$S95)/'12. Разходи'!$S95,0)</f>
        <v>0.48063707512071868</v>
      </c>
      <c r="AD95" s="1128">
        <f>'12. Разходи'!V95-'12. Разходи'!$S95</f>
        <v>1280.3878546853505</v>
      </c>
      <c r="AE95" s="858">
        <f>IFERROR(('12. Разходи'!V95-'12. Разходи'!$S95)/'12. Разходи'!$S95,0)</f>
        <v>0.62605641030599535</v>
      </c>
      <c r="AF95" s="1128">
        <f>'12. Разходи'!W95-'12. Разходи'!$S95</f>
        <v>1651.47045367127</v>
      </c>
      <c r="AG95" s="864">
        <f>IFERROR(('12. Разходи'!W95-'12. Разходи'!$S95)/'12. Разходи'!$S95,0)</f>
        <v>0.80750036808645642</v>
      </c>
      <c r="AH95" s="1128">
        <f>'12. Разходи'!X95-'12. Разходи'!$S95</f>
        <v>1833.054028576629</v>
      </c>
      <c r="AI95" s="805">
        <f>IFERROR(('12. Разходи'!X95-'12. Разходи'!$S95)/'12. Разходи'!$S95,0)</f>
        <v>0.89628718425296527</v>
      </c>
      <c r="AJ95" s="1140">
        <f>'12. Разходи'!AA95</f>
        <v>0</v>
      </c>
      <c r="AK95" s="1127">
        <f>'12. Разходи'!AB95-'12. Разходи'!$AA95</f>
        <v>0</v>
      </c>
      <c r="AL95" s="858">
        <f>IFERROR(('12. Разходи'!AB95-'12. Разходи'!$AA95)/'12. Разходи'!$AA95,0)</f>
        <v>0</v>
      </c>
      <c r="AM95" s="1128">
        <f>'12. Разходи'!AC95-'12. Разходи'!$AA95</f>
        <v>0</v>
      </c>
      <c r="AN95" s="858">
        <f>IFERROR(('12. Разходи'!AC95-'12. Разходи'!$AA95)/'12. Разходи'!$AA95,0)</f>
        <v>0</v>
      </c>
      <c r="AO95" s="1128">
        <f>'12. Разходи'!AD95-'12. Разходи'!$AA95</f>
        <v>0</v>
      </c>
      <c r="AP95" s="858">
        <f>IFERROR(('12. Разходи'!AD95-'12. Разходи'!$AA95)/'12. Разходи'!$AA95,0)</f>
        <v>0</v>
      </c>
      <c r="AQ95" s="1128">
        <f>'12. Разходи'!AE95-'12. Разходи'!$AA95</f>
        <v>0</v>
      </c>
      <c r="AR95" s="864">
        <f>IFERROR(('12. Разходи'!AE95-'12. Разходи'!$AA95)/'12. Разходи'!$AA95,0)</f>
        <v>0</v>
      </c>
      <c r="AS95" s="1128">
        <f>'12. Разходи'!AF95-'12. Разходи'!$AA95</f>
        <v>0</v>
      </c>
      <c r="AT95" s="1188">
        <f>IFERROR(('12. Разходи'!AF95-'12. Разходи'!$AA95)/'12. Разходи'!$AA95,0)</f>
        <v>0</v>
      </c>
      <c r="AU95" s="1140">
        <f>'12. Разходи'!AI95</f>
        <v>0</v>
      </c>
      <c r="AV95" s="1127">
        <f>'12. Разходи'!AJ95-'12. Разходи'!$AI95</f>
        <v>0</v>
      </c>
      <c r="AW95" s="858">
        <f>IFERROR(('12. Разходи'!AJ95-'12. Разходи'!$AI95)/'12. Разходи'!$AI95,0)</f>
        <v>0</v>
      </c>
      <c r="AX95" s="1128">
        <f>'12. Разходи'!AK95-'12. Разходи'!$AI95</f>
        <v>0</v>
      </c>
      <c r="AY95" s="858">
        <f>IFERROR(('12. Разходи'!AK95-'12. Разходи'!$AI95)/'12. Разходи'!$AI95,0)</f>
        <v>0</v>
      </c>
      <c r="AZ95" s="1128">
        <f>'12. Разходи'!AL95-'12. Разходи'!$AI95</f>
        <v>0</v>
      </c>
      <c r="BA95" s="858">
        <f>IFERROR(('12. Разходи'!AL95-'12. Разходи'!$AI95)/'12. Разходи'!$AI95,0)</f>
        <v>0</v>
      </c>
      <c r="BB95" s="1128">
        <f>'12. Разходи'!AM95-'12. Разходи'!$AI95</f>
        <v>0</v>
      </c>
      <c r="BC95" s="864">
        <f>IFERROR(('12. Разходи'!AM95-'12. Разходи'!$AI95)/'12. Разходи'!$AI95,0)</f>
        <v>0</v>
      </c>
      <c r="BD95" s="1128">
        <f>'12. Разходи'!AN95-'12. Разходи'!$AI95</f>
        <v>0</v>
      </c>
      <c r="BE95" s="1188">
        <f>IFERROR(('12. Разходи'!AN95-'12. Разходи'!$AI95)/'12. Разходи'!$AI95,0)</f>
        <v>0</v>
      </c>
      <c r="BF95" s="4422"/>
      <c r="BG95" s="4438">
        <f t="shared" si="31"/>
        <v>12223.299032710571</v>
      </c>
      <c r="BH95" s="4438">
        <f t="shared" si="32"/>
        <v>4232.4161081052425</v>
      </c>
      <c r="BI95" s="4438">
        <f t="shared" si="33"/>
        <v>5455.2926743844018</v>
      </c>
      <c r="BJ95" s="4438">
        <f t="shared" si="34"/>
        <v>6821.5740032325029</v>
      </c>
      <c r="BK95" s="4438">
        <f t="shared" si="35"/>
        <v>8589.2522035473849</v>
      </c>
      <c r="BL95" s="4438">
        <f t="shared" si="36"/>
        <v>10031.460970033737</v>
      </c>
      <c r="BM95" s="4438">
        <f t="shared" si="37"/>
        <v>594.02212856124402</v>
      </c>
      <c r="BN95" s="4438">
        <f t="shared" si="38"/>
        <v>156.13853138755977</v>
      </c>
      <c r="BO95" s="4438">
        <f t="shared" si="39"/>
        <v>227.90871298855441</v>
      </c>
      <c r="BP95" s="4438">
        <f t="shared" si="40"/>
        <v>266.3771741766808</v>
      </c>
      <c r="BQ95" s="4438">
        <f t="shared" si="41"/>
        <v>342.05359604816641</v>
      </c>
      <c r="BR95" s="4438">
        <f t="shared" si="42"/>
        <v>382.87926844579084</v>
      </c>
      <c r="BS95" s="4438">
        <f t="shared" si="43"/>
        <v>1045.6756038371868</v>
      </c>
      <c r="BT95" s="4438">
        <f t="shared" si="44"/>
        <v>371.03130833935575</v>
      </c>
      <c r="BU95" s="4438">
        <f t="shared" si="45"/>
        <v>502.59046375339688</v>
      </c>
      <c r="BV95" s="4438">
        <f t="shared" si="46"/>
        <v>654.65191488286325</v>
      </c>
      <c r="BW95" s="4438">
        <f t="shared" si="47"/>
        <v>844.38343499755604</v>
      </c>
      <c r="BX95" s="4438">
        <f t="shared" si="48"/>
        <v>937.22564260525144</v>
      </c>
      <c r="BY95" s="4438">
        <f t="shared" si="49"/>
        <v>0</v>
      </c>
      <c r="BZ95" s="4438">
        <f t="shared" si="50"/>
        <v>0</v>
      </c>
      <c r="CA95" s="4438">
        <f t="shared" si="51"/>
        <v>0</v>
      </c>
      <c r="CB95" s="4438">
        <f t="shared" si="52"/>
        <v>0</v>
      </c>
      <c r="CC95" s="4438">
        <f t="shared" si="53"/>
        <v>0</v>
      </c>
      <c r="CD95" s="4438">
        <f t="shared" si="54"/>
        <v>0</v>
      </c>
      <c r="CE95" s="4438">
        <f t="shared" si="55"/>
        <v>0</v>
      </c>
      <c r="CF95" s="4438">
        <f t="shared" si="56"/>
        <v>0</v>
      </c>
      <c r="CG95" s="4438">
        <f t="shared" si="57"/>
        <v>0</v>
      </c>
      <c r="CH95" s="4438">
        <f t="shared" si="58"/>
        <v>0</v>
      </c>
      <c r="CI95" s="4438">
        <f t="shared" si="59"/>
        <v>0</v>
      </c>
      <c r="CJ95" s="4438">
        <f t="shared" si="60"/>
        <v>0</v>
      </c>
    </row>
    <row r="96" spans="1:88" ht="15.75" thickBot="1">
      <c r="A96" s="1142"/>
      <c r="B96" s="1142"/>
      <c r="C96" s="1142"/>
      <c r="D96" s="1143"/>
      <c r="E96" s="1144"/>
      <c r="F96" s="1143"/>
      <c r="G96" s="1144"/>
      <c r="H96" s="1143"/>
      <c r="I96" s="1144"/>
      <c r="J96" s="1143"/>
      <c r="K96" s="1144"/>
      <c r="L96" s="1143"/>
      <c r="M96" s="1144"/>
      <c r="N96" s="1144"/>
      <c r="O96" s="1145"/>
      <c r="P96" s="1146"/>
      <c r="Q96" s="1145"/>
      <c r="R96" s="1146"/>
      <c r="S96" s="1145"/>
      <c r="T96" s="1146"/>
      <c r="U96" s="1145"/>
      <c r="V96" s="1146"/>
      <c r="W96" s="1145"/>
      <c r="X96" s="1146"/>
      <c r="Y96" s="1146"/>
      <c r="Z96" s="1147"/>
      <c r="AA96" s="1146"/>
      <c r="AB96" s="1147"/>
      <c r="AC96" s="1146"/>
      <c r="AD96" s="1147"/>
      <c r="AE96" s="1146"/>
      <c r="AF96" s="1147"/>
      <c r="AG96" s="1144"/>
      <c r="AH96" s="1148"/>
      <c r="AI96" s="1144"/>
      <c r="AJ96" s="678"/>
      <c r="AK96" s="678"/>
      <c r="AL96" s="678"/>
      <c r="AM96" s="1147"/>
      <c r="AN96" s="1146"/>
      <c r="AO96" s="1147"/>
      <c r="AP96" s="1146"/>
      <c r="AQ96" s="1147"/>
      <c r="AR96" s="1146"/>
      <c r="AS96" s="1148"/>
      <c r="AT96" s="1144"/>
      <c r="AU96" s="1144"/>
      <c r="AV96" s="1147"/>
      <c r="AW96" s="1146"/>
      <c r="AX96" s="1147"/>
      <c r="AY96" s="1146"/>
      <c r="AZ96" s="1147"/>
      <c r="BA96" s="1146"/>
      <c r="BB96" s="1147"/>
      <c r="BC96" s="1146"/>
      <c r="BD96" s="1148"/>
      <c r="BE96" s="1144"/>
      <c r="BF96" s="4422"/>
    </row>
    <row r="97" spans="1:76" s="44" customFormat="1" ht="15" customHeight="1" thickBot="1">
      <c r="A97" s="5152" t="s">
        <v>1426</v>
      </c>
      <c r="B97" s="5154"/>
      <c r="C97" s="5252" t="str">
        <f>C8</f>
        <v>Доставяне на вода на потребителите</v>
      </c>
      <c r="D97" s="5253"/>
      <c r="E97" s="5253"/>
      <c r="F97" s="5253"/>
      <c r="G97" s="5253"/>
      <c r="H97" s="5253"/>
      <c r="I97" s="5253"/>
      <c r="J97" s="5253"/>
      <c r="K97" s="5253"/>
      <c r="L97" s="5253"/>
      <c r="M97" s="5254"/>
      <c r="N97" s="5247" t="s">
        <v>208</v>
      </c>
      <c r="O97" s="5255"/>
      <c r="P97" s="5255"/>
      <c r="Q97" s="5255"/>
      <c r="R97" s="5255"/>
      <c r="S97" s="5255"/>
      <c r="T97" s="5255"/>
      <c r="U97" s="5255"/>
      <c r="V97" s="5255"/>
      <c r="W97" s="5255"/>
      <c r="X97" s="5256"/>
      <c r="Y97" s="5232" t="s">
        <v>209</v>
      </c>
      <c r="Z97" s="5233"/>
      <c r="AA97" s="5233"/>
      <c r="AB97" s="5233"/>
      <c r="AC97" s="5233"/>
      <c r="AD97" s="5233"/>
      <c r="AE97" s="5233"/>
      <c r="AF97" s="5233"/>
      <c r="AG97" s="5233"/>
      <c r="AH97" s="5233"/>
      <c r="AI97" s="5234"/>
      <c r="AJ97" s="678"/>
      <c r="AK97" s="678"/>
      <c r="AL97" s="678"/>
      <c r="AM97" s="1150"/>
      <c r="AN97" s="1149"/>
      <c r="AO97" s="1150"/>
      <c r="AP97" s="1149"/>
      <c r="AQ97" s="1150"/>
      <c r="AR97" s="1149"/>
      <c r="AS97" s="1150"/>
      <c r="AT97" s="1149"/>
      <c r="AU97" s="1149"/>
      <c r="AV97" s="1150"/>
      <c r="AW97" s="1149"/>
      <c r="AX97" s="1150"/>
      <c r="AY97" s="1149"/>
      <c r="AZ97" s="1150"/>
      <c r="BA97" s="1149"/>
      <c r="BB97" s="1150"/>
      <c r="BC97" s="1149"/>
      <c r="BD97" s="1150"/>
      <c r="BE97" s="1149"/>
      <c r="BF97" s="4422"/>
    </row>
    <row r="98" spans="1:76" s="44" customFormat="1" ht="15.75" thickBot="1">
      <c r="A98" s="5268"/>
      <c r="B98" s="5269"/>
      <c r="C98" s="1555"/>
      <c r="D98" s="5248" t="str">
        <f>+D9</f>
        <v>2027 г.</v>
      </c>
      <c r="E98" s="5249"/>
      <c r="F98" s="5249" t="str">
        <f>+F9</f>
        <v>2028 г.</v>
      </c>
      <c r="G98" s="5249"/>
      <c r="H98" s="5249" t="str">
        <f>+H9</f>
        <v>2029 г.</v>
      </c>
      <c r="I98" s="5249"/>
      <c r="J98" s="5250" t="str">
        <f>+J9</f>
        <v>2030 г.</v>
      </c>
      <c r="K98" s="5249"/>
      <c r="L98" s="5250" t="str">
        <f>+L9</f>
        <v>2031 г.</v>
      </c>
      <c r="M98" s="5251"/>
      <c r="N98" s="1556"/>
      <c r="O98" s="5248" t="str">
        <f>+O9</f>
        <v>2027 г.</v>
      </c>
      <c r="P98" s="5249"/>
      <c r="Q98" s="5249" t="str">
        <f>+Q9</f>
        <v>2028 г.</v>
      </c>
      <c r="R98" s="5249"/>
      <c r="S98" s="5249" t="str">
        <f>+S9</f>
        <v>2029 г.</v>
      </c>
      <c r="T98" s="5249"/>
      <c r="U98" s="5250" t="str">
        <f>+U9</f>
        <v>2030 г.</v>
      </c>
      <c r="V98" s="5249"/>
      <c r="W98" s="5250" t="str">
        <f>+W9</f>
        <v>2031 г.</v>
      </c>
      <c r="X98" s="5251"/>
      <c r="Y98" s="1557"/>
      <c r="Z98" s="5248" t="str">
        <f>+Z9</f>
        <v>2027 г.</v>
      </c>
      <c r="AA98" s="5249"/>
      <c r="AB98" s="5249" t="str">
        <f>+AB9</f>
        <v>2028 г.</v>
      </c>
      <c r="AC98" s="5249"/>
      <c r="AD98" s="5249" t="str">
        <f>+AD9</f>
        <v>2029 г.</v>
      </c>
      <c r="AE98" s="5249"/>
      <c r="AF98" s="5250" t="str">
        <f>+AF9</f>
        <v>2030 г.</v>
      </c>
      <c r="AG98" s="5249"/>
      <c r="AH98" s="5250" t="str">
        <f>+AH9</f>
        <v>2031 г.</v>
      </c>
      <c r="AI98" s="5251"/>
      <c r="AJ98" s="678"/>
      <c r="AL98" s="678"/>
      <c r="AM98" s="1150"/>
      <c r="AN98" s="1149"/>
      <c r="AO98" s="1150"/>
      <c r="AP98" s="1149"/>
      <c r="AQ98" s="1150"/>
      <c r="AR98" s="1149"/>
      <c r="AS98" s="1150"/>
      <c r="AT98" s="1149"/>
      <c r="AU98" s="1149"/>
      <c r="AV98" s="1150"/>
      <c r="AW98" s="1149"/>
      <c r="AX98" s="1150"/>
      <c r="AY98" s="1149"/>
      <c r="AZ98" s="1150"/>
      <c r="BA98" s="1149"/>
      <c r="BB98" s="1150"/>
      <c r="BC98" s="1149"/>
      <c r="BD98" s="1150"/>
      <c r="BE98" s="1149"/>
      <c r="BF98" s="4422"/>
    </row>
    <row r="99" spans="1:76" s="44" customFormat="1" ht="60.75" thickBot="1">
      <c r="A99" s="5270"/>
      <c r="B99" s="5271"/>
      <c r="C99" s="1558"/>
      <c r="D99" s="1367" t="s">
        <v>1424</v>
      </c>
      <c r="E99" s="1368" t="s">
        <v>1425</v>
      </c>
      <c r="F99" s="1368" t="s">
        <v>1424</v>
      </c>
      <c r="G99" s="1368" t="s">
        <v>1425</v>
      </c>
      <c r="H99" s="1368" t="s">
        <v>1424</v>
      </c>
      <c r="I99" s="1368" t="s">
        <v>1425</v>
      </c>
      <c r="J99" s="1368" t="s">
        <v>1424</v>
      </c>
      <c r="K99" s="1368" t="s">
        <v>1425</v>
      </c>
      <c r="L99" s="1368" t="s">
        <v>1424</v>
      </c>
      <c r="M99" s="1369" t="s">
        <v>1425</v>
      </c>
      <c r="N99" s="1370"/>
      <c r="O99" s="1367" t="s">
        <v>1424</v>
      </c>
      <c r="P99" s="1368" t="s">
        <v>1425</v>
      </c>
      <c r="Q99" s="1368" t="s">
        <v>1424</v>
      </c>
      <c r="R99" s="1368" t="s">
        <v>1425</v>
      </c>
      <c r="S99" s="1368" t="s">
        <v>1424</v>
      </c>
      <c r="T99" s="1368" t="s">
        <v>1425</v>
      </c>
      <c r="U99" s="1368" t="s">
        <v>1424</v>
      </c>
      <c r="V99" s="1368" t="s">
        <v>1425</v>
      </c>
      <c r="W99" s="1368" t="s">
        <v>1424</v>
      </c>
      <c r="X99" s="1369" t="s">
        <v>1425</v>
      </c>
      <c r="Y99" s="1559"/>
      <c r="Z99" s="1389" t="s">
        <v>1424</v>
      </c>
      <c r="AA99" s="1390" t="s">
        <v>1425</v>
      </c>
      <c r="AB99" s="1390" t="s">
        <v>1424</v>
      </c>
      <c r="AC99" s="1390" t="s">
        <v>1425</v>
      </c>
      <c r="AD99" s="1391" t="s">
        <v>1424</v>
      </c>
      <c r="AE99" s="1390" t="s">
        <v>1425</v>
      </c>
      <c r="AF99" s="1390" t="s">
        <v>1424</v>
      </c>
      <c r="AG99" s="1390" t="s">
        <v>1425</v>
      </c>
      <c r="AH99" s="1388" t="s">
        <v>1424</v>
      </c>
      <c r="AI99" s="1368" t="s">
        <v>1425</v>
      </c>
      <c r="AJ99" s="678"/>
      <c r="AK99" s="678"/>
      <c r="AL99" s="678"/>
      <c r="AM99" s="1150"/>
      <c r="AN99" s="1149"/>
      <c r="AU99" s="1149"/>
      <c r="AV99" s="1150"/>
      <c r="AW99" s="1149"/>
      <c r="AX99" s="1150"/>
      <c r="AY99" s="1149"/>
      <c r="AZ99" s="1150"/>
      <c r="BA99" s="1149"/>
      <c r="BB99" s="1150"/>
      <c r="BC99" s="1149"/>
      <c r="BD99" s="1150"/>
      <c r="BE99" s="1149"/>
      <c r="BF99" s="4422"/>
      <c r="BH99" s="4467" t="s">
        <v>1424</v>
      </c>
      <c r="BI99" s="4467" t="s">
        <v>1424</v>
      </c>
      <c r="BJ99" s="4467" t="s">
        <v>1424</v>
      </c>
      <c r="BK99" s="4467" t="s">
        <v>1424</v>
      </c>
      <c r="BL99" s="4467" t="s">
        <v>1424</v>
      </c>
      <c r="BN99" s="4467" t="s">
        <v>1424</v>
      </c>
      <c r="BO99" s="4467" t="s">
        <v>1424</v>
      </c>
      <c r="BP99" s="4467" t="s">
        <v>1424</v>
      </c>
      <c r="BQ99" s="4467" t="s">
        <v>1424</v>
      </c>
      <c r="BR99" s="4467" t="s">
        <v>1424</v>
      </c>
      <c r="BT99" s="4467" t="s">
        <v>1424</v>
      </c>
      <c r="BU99" s="4467" t="s">
        <v>1424</v>
      </c>
      <c r="BV99" s="4467" t="s">
        <v>1424</v>
      </c>
      <c r="BW99" s="4467" t="s">
        <v>1424</v>
      </c>
      <c r="BX99" s="4467" t="s">
        <v>1424</v>
      </c>
    </row>
    <row r="100" spans="1:76" s="44" customFormat="1">
      <c r="A100" s="5265" t="s">
        <v>1233</v>
      </c>
      <c r="B100" s="1207" t="s">
        <v>226</v>
      </c>
      <c r="C100" s="1211"/>
      <c r="D100" s="881">
        <f>'12.2.Нови дейности или обекти'!C22+'12.2.Нови дейности или обекти'!H22+'12.2.Нови дейности или обекти'!M22+'12.2.Нови дейности или обекти'!R22+'12.2.Нови дейности или обекти'!W22+'12.2.Нови дейности или обекти'!C45+'12.2.Нови дейности или обекти'!H45+'12.2.Нови дейности или обекти'!M45+'12.2.Нови дейности или обекти'!R45+'12.2.Нови дейности или обекти'!W45</f>
        <v>0</v>
      </c>
      <c r="E100" s="881">
        <f>D11-D100</f>
        <v>1624.7122746456826</v>
      </c>
      <c r="F100" s="1200">
        <f>'12.2.Нови дейности или обекти'!D22+'12.2.Нови дейности или обекти'!I22+'12.2.Нови дейности или обекти'!N22+'12.2.Нови дейности или обекти'!S22+'12.2.Нови дейности или обекти'!X22++'12.2.Нови дейности или обекти'!D45+'12.2.Нови дейности или обекти'!I45+'12.2.Нови дейности или обекти'!N45+'12.2.Нови дейности или обекти'!S45+'12.2.Нови дейности или обекти'!X45</f>
        <v>0</v>
      </c>
      <c r="G100" s="1200">
        <f>F11-F100</f>
        <v>1677.5702306706862</v>
      </c>
      <c r="H100" s="1200">
        <f>'12.2.Нови дейности или обекти'!E22+'12.2.Нови дейности или обекти'!J22+'12.2.Нови дейности или обекти'!O22+'12.2.Нови дейности или обекти'!T22+'12.2.Нови дейности или обекти'!Y22+'12.2.Нови дейности или обекти'!E45+'12.2.Нови дейности или обекти'!J45+'12.2.Нови дейности или обекти'!O45+'12.2.Нови дейности или обекти'!T45+'12.2.Нови дейности или обекти'!Y45</f>
        <v>0</v>
      </c>
      <c r="I100" s="1200">
        <f>H11-H100</f>
        <v>1702.1924626291857</v>
      </c>
      <c r="J100" s="1200">
        <f>'12.2.Нови дейности или обекти'!F22+'12.2.Нови дейности или обекти'!K22+'12.2.Нови дейности или обекти'!P22+'12.2.Нови дейности или обекти'!U22+'12.2.Нови дейности или обекти'!Z22+'12.2.Нови дейности или обекти'!F45+'12.2.Нови дейности или обекти'!K45+'12.2.Нови дейности или обекти'!P45+'12.2.Нови дейности или обекти'!U45+'12.2.Нови дейности или обекти'!Z45</f>
        <v>0</v>
      </c>
      <c r="K100" s="1200">
        <f>IF(J100=0,0,J11-J100)</f>
        <v>0</v>
      </c>
      <c r="L100" s="1200">
        <f>'12.2.Нови дейности или обекти'!G22+'12.2.Нови дейности или обекти'!L22+'12.2.Нови дейности или обекти'!Q22+'12.2.Нови дейности или обекти'!V22+'12.2.Нови дейности или обекти'!AA22+'12.2.Нови дейности или обекти'!G45+'12.2.Нови дейности или обекти'!L45+'12.2.Нови дейности или обекти'!Q45+'12.2.Нови дейности или обекти'!V45+'12.2.Нови дейности или обекти'!AA45</f>
        <v>0</v>
      </c>
      <c r="M100" s="1201">
        <f>IF(L100=0,0,L11-L100)</f>
        <v>0</v>
      </c>
      <c r="N100" s="1211"/>
      <c r="O100" s="1206">
        <f>'12.2.Нови дейности или обекти'!C69+'12.2.Нови дейности или обекти'!H69+'12.2.Нови дейности или обекти'!M69+'12.2.Нови дейности или обекти'!R69+'12.2.Нови дейности или обекти'!W69+'12.2.Нови дейности или обекти'!C92+'12.2.Нови дейности или обекти'!H92+'12.2.Нови дейности или обекти'!M92+'12.2.Нови дейности или обекти'!R92+'12.2.Нови дейности или обекти'!W92</f>
        <v>0</v>
      </c>
      <c r="P100" s="1200">
        <f>O11-O100</f>
        <v>22.739837902799962</v>
      </c>
      <c r="Q100" s="1200">
        <f>'12.2.Нови дейности или обекти'!D69+'12.2.Нови дейности или обекти'!I69+'12.2.Нови дейности или обекти'!N69+'12.2.Нови дейности или обекти'!S69+'12.2.Нови дейности или обекти'!X69+'12.2.Нови дейности или обекти'!D92+'12.2.Нови дейности или обекти'!I92+'12.2.Нови дейности или обекти'!N92+'12.2.Нови дейности или обекти'!S92+'12.2.Нови дейности или обекти'!X92</f>
        <v>0</v>
      </c>
      <c r="R100" s="1200">
        <f>Q11-Q100</f>
        <v>24.049513752799982</v>
      </c>
      <c r="S100" s="1200">
        <f>'12.2.Нови дейности или обекти'!E69+'12.2.Нови дейности или обекти'!J69+'12.2.Нови дейности или обекти'!O69+'12.2.Нови дейности или обекти'!T69+'12.2.Нови дейности или обекти'!Y69+'12.2.Нови дейности или обекти'!E92+'12.2.Нови дейности или обекти'!J92+'12.2.Нови дейности или обекти'!O92+'12.2.Нови дейности или обекти'!T92+'12.2.Нови дейности или обекти'!Y92</f>
        <v>0</v>
      </c>
      <c r="T100" s="1200">
        <f>S11-S100</f>
        <v>24.977329538300069</v>
      </c>
      <c r="U100" s="1200">
        <f>'12.2.Нови дейности или обекти'!F69+'12.2.Нови дейности или обекти'!K69+'12.2.Нови дейности или обекти'!P69+'12.2.Нови дейности или обекти'!U69+'12.2.Нови дейности или обекти'!Z69+'12.2.Нови дейности или обекти'!F92+'12.2.Нови дейности или обекти'!K92+'12.2.Нови дейности или обекти'!P92+'12.2.Нови дейности или обекти'!U92+'12.2.Нови дейности или обекти'!Z92</f>
        <v>0</v>
      </c>
      <c r="V100" s="1200">
        <f>IF(U100=0,0,U11-U100)</f>
        <v>0</v>
      </c>
      <c r="W100" s="1200">
        <f>'12.2.Нови дейности или обекти'!G69+'12.2.Нови дейности или обекти'!L69+'12.2.Нови дейности или обекти'!Q69+'12.2.Нови дейности или обекти'!V69+'12.2.Нови дейности или обекти'!AA69+'12.2.Нови дейности или обекти'!G92+'12.2.Нови дейности или обекти'!L92+'12.2.Нови дейности или обекти'!Q92+'12.2.Нови дейности или обекти'!V92+'12.2.Нови дейности или обекти'!AA92</f>
        <v>0</v>
      </c>
      <c r="X100" s="1201">
        <f>IF(W100=0,0,W11-W100)</f>
        <v>0</v>
      </c>
      <c r="Y100" s="1211"/>
      <c r="Z100" s="1206">
        <f>'12.2.Нови дейности или обекти'!C116+'12.2.Нови дейности или обекти'!H116+'12.2.Нови дейности или обекти'!M116+'12.2.Нови дейности или обекти'!R116+'12.2.Нови дейности или обекти'!W116+'12.2.Нови дейности или обекти'!C139+'12.2.Нови дейности или обекти'!H139+'12.2.Нови дейности или обекти'!M139+'12.2.Нови дейности или обекти'!R139+'12.2.Нови дейности или обекти'!W139</f>
        <v>0</v>
      </c>
      <c r="AA100" s="1200">
        <f>Z11-Z100</f>
        <v>110.64997985000014</v>
      </c>
      <c r="AB100" s="1200">
        <f>'12.2.Нови дейности или обекти'!D116+'12.2.Нови дейности или обекти'!I116+'12.2.Нови дейности или обекти'!N116+'12.2.Нови дейности или обекти'!S116+'12.2.Нови дейности или обекти'!X116+'12.2.Нови дейности или обекти'!D139+'12.2.Нови дейности или обекти'!I139+'12.2.Нови дейности или обекти'!N139+'12.2.Нови дейности или обекти'!S139+'12.2.Нови дейности или обекти'!X139</f>
        <v>0</v>
      </c>
      <c r="AC100" s="1200">
        <f>AB11-AB100</f>
        <v>115.01889585000015</v>
      </c>
      <c r="AD100" s="1200">
        <f>'12.2.Нови дейности или обекти'!E116+'12.2.Нови дейности или обекти'!J116+'12.2.Нови дейности или обекти'!O116+'12.2.Нови дейности или обекти'!T116+'12.2.Нови дейности или обекти'!Y116+'12.2.Нови дейности или обекти'!E139+'12.2.Нови дейности или обекти'!J139+'12.2.Нови дейности или обекти'!O139+'12.2.Нови дейности или обекти'!T139+'12.2.Нови дейности или обекти'!Y139</f>
        <v>0</v>
      </c>
      <c r="AE100" s="1200">
        <f>AD11-AD100</f>
        <v>119.13235293000002</v>
      </c>
      <c r="AF100" s="1200">
        <f>'12.2.Нови дейности или обекти'!F116+'12.2.Нови дейности или обекти'!K116+'12.2.Нови дейности или обекти'!P116+'12.2.Нови дейности или обекти'!U116+'12.2.Нови дейности или обекти'!Z116+'12.2.Нови дейности или обекти'!F139+'12.2.Нови дейности или обекти'!K139+'12.2.Нови дейности или обекти'!P139+'12.2.Нови дейности или обекти'!U139+'12.2.Нови дейности или обекти'!Z139</f>
        <v>145</v>
      </c>
      <c r="AG100" s="1200">
        <f>IF(AF100=0,0,AF11-AF100)</f>
        <v>88.486630007600525</v>
      </c>
      <c r="AH100" s="1200">
        <f>'12.2.Нови дейности или обекти'!G116+'12.2.Нови дейности или обекти'!L116+'12.2.Нови дейности или обекти'!Q116+'12.2.Нови дейности или обекти'!V116+'12.2.Нови дейности или обекти'!AA116+'12.2.Нови дейности или обекти'!G139+'12.2.Нови дейности или обекти'!L139+'12.2.Нови дейности или обекти'!Q139+'12.2.Нови дейности или обекти'!V139+'12.2.Нови дейности или обекти'!AA139</f>
        <v>145</v>
      </c>
      <c r="AI100" s="1201">
        <f>IF(AH100=0,0,AH11-AH100)</f>
        <v>91.385407426664301</v>
      </c>
      <c r="AJ100" s="678"/>
      <c r="AK100" s="678"/>
      <c r="AL100" s="678"/>
      <c r="AM100" s="1150"/>
      <c r="AN100" s="1149"/>
      <c r="AO100" s="45"/>
      <c r="AP100" s="45"/>
      <c r="AQ100" s="3106"/>
      <c r="AR100" s="3107"/>
      <c r="AS100" s="32"/>
      <c r="AT100" s="32"/>
      <c r="AU100" s="1149"/>
      <c r="AV100" s="1150"/>
      <c r="AW100" s="1149"/>
      <c r="AX100" s="1150"/>
      <c r="AY100" s="1149"/>
      <c r="AZ100" s="1150"/>
      <c r="BA100" s="1149"/>
      <c r="BB100" s="1150"/>
      <c r="BC100" s="1149"/>
      <c r="BD100" s="1150"/>
      <c r="BE100" s="1149"/>
      <c r="BF100" s="4422"/>
      <c r="BH100" s="4451">
        <f t="shared" ref="BH100:BH106" si="61">IFERROR(D100/$D$1,0)</f>
        <v>0</v>
      </c>
      <c r="BI100" s="4451">
        <f t="shared" ref="BI100:BI106" si="62">IFERROR(F100/$D$1,0)</f>
        <v>0</v>
      </c>
      <c r="BJ100" s="4451">
        <f t="shared" ref="BJ100:BJ106" si="63">IFERROR(H100/$D$1,0)</f>
        <v>0</v>
      </c>
      <c r="BK100" s="4451">
        <f t="shared" ref="BK100:BK106" si="64">IFERROR(J100/$D$1,0)</f>
        <v>0</v>
      </c>
      <c r="BL100" s="4451">
        <f t="shared" ref="BL100:BL106" si="65">IFERROR(L100/$D$1,0)</f>
        <v>0</v>
      </c>
      <c r="BN100" s="4438">
        <f t="shared" ref="BN100:BN106" si="66">IFERROR(O100/$D$1,0)</f>
        <v>0</v>
      </c>
      <c r="BO100" s="4438">
        <f t="shared" ref="BO100:BO106" si="67">IFERROR(Q100/$D$1,0)</f>
        <v>0</v>
      </c>
      <c r="BP100" s="4438">
        <f t="shared" ref="BP100:BP106" si="68">IFERROR(S100/$D$1,0)</f>
        <v>0</v>
      </c>
      <c r="BQ100" s="4438">
        <f t="shared" ref="BQ100:BQ106" si="69">IFERROR(U100/$D$1,0)</f>
        <v>0</v>
      </c>
      <c r="BR100" s="4438">
        <f t="shared" ref="BR100:BR106" si="70">IFERROR(W100/$D$1,0)</f>
        <v>0</v>
      </c>
      <c r="BT100" s="4438">
        <f t="shared" ref="BT100:BT106" si="71">IFERROR(Z100/$D$1,0)</f>
        <v>0</v>
      </c>
      <c r="BU100" s="4438">
        <f t="shared" ref="BU100:BU106" si="72">IFERROR(AB100/$D$1,0)</f>
        <v>0</v>
      </c>
      <c r="BV100" s="4438">
        <f t="shared" ref="BV100:BV106" si="73">IFERROR(AD100/$D$1,0)</f>
        <v>0</v>
      </c>
      <c r="BW100" s="4438">
        <f t="shared" ref="BW100:BW106" si="74">IFERROR(AF100/$D$1,0)</f>
        <v>74.137322773451686</v>
      </c>
      <c r="BX100" s="4438">
        <f t="shared" ref="BX100:BX106" si="75">IFERROR(AH100/$D$1,0)</f>
        <v>74.137322773451686</v>
      </c>
    </row>
    <row r="101" spans="1:76" s="44" customFormat="1">
      <c r="A101" s="5266"/>
      <c r="B101" s="1208" t="s">
        <v>239</v>
      </c>
      <c r="C101" s="1211"/>
      <c r="D101" s="883">
        <f>'12.2.Нови дейности или обекти'!C27+'12.2.Нови дейности или обекти'!H27+'12.2.Нови дейности или обекти'!M27+'12.2.Нови дейности или обекти'!R27+'12.2.Нови дейности или обекти'!W27+'12.2.Нови дейности или обекти'!C50+'12.2.Нови дейности или обекти'!H50+'12.2.Нови дейности или обекти'!M50+'12.2.Нови дейности или обекти'!R50+'12.2.Нови дейности или обекти'!W50</f>
        <v>0</v>
      </c>
      <c r="E101" s="1198">
        <f>D29-D101</f>
        <v>283.14776699999993</v>
      </c>
      <c r="F101" s="1198">
        <f>'12.2.Нови дейности или обекти'!D23+'12.2.Нови дейности или обекти'!I23+'12.2.Нови дейности или обекти'!N23+'12.2.Нови дейности или обекти'!S23+'12.2.Нови дейности или обекти'!X23++'12.2.Нови дейности или обекти'!D46+'12.2.Нови дейности или обекти'!I46+'12.2.Нови дейности или обекти'!N46+'12.2.Нови дейности или обекти'!S46+'12.2.Нови дейности или обекти'!X46</f>
        <v>0</v>
      </c>
      <c r="G101" s="1198">
        <f>F29-F101</f>
        <v>363.03844985000023</v>
      </c>
      <c r="H101" s="1198">
        <f>'12.2.Нови дейности или обекти'!E23+'12.2.Нови дейности или обекти'!J23+'12.2.Нови дейности или обекти'!O23+'12.2.Нови дейности или обекти'!T23+'12.2.Нови дейности или обекти'!Y23+'12.2.Нови дейности или обекти'!E46+'12.2.Нови дейности или обекти'!J46+'12.2.Нови дейности или обекти'!O46+'12.2.Нови дейности или обекти'!T46+'12.2.Нови дейности или обекти'!Y46</f>
        <v>0</v>
      </c>
      <c r="I101" s="1198">
        <f>H29-H101</f>
        <v>427.42938004550024</v>
      </c>
      <c r="J101" s="1198">
        <f>'12.2.Нови дейности или обекти'!F23+'12.2.Нови дейности или обекти'!K23+'12.2.Нови дейности или обекти'!P23+'12.2.Нови дейности или обекти'!U23+'12.2.Нови дейности или обекти'!Z23+'12.2.Нови дейности или обекти'!F46+'12.2.Нови дейности или обекти'!K46+'12.2.Нови дейности или обекти'!P46+'12.2.Нови дейности или обекти'!U46+'12.2.Нови дейности или обекти'!Z46</f>
        <v>40</v>
      </c>
      <c r="K101" s="1198">
        <f>J29-J101</f>
        <v>403.84232503458998</v>
      </c>
      <c r="L101" s="1198">
        <f>'12.2.Нови дейности или обекти'!G23+'12.2.Нови дейности или обекти'!L23+'12.2.Нови дейности или обекти'!Q23+'12.2.Нови дейности или обекти'!V23+'12.2.Нови дейности или обекти'!AA23+'12.2.Нови дейности или обекти'!G46+'12.2.Нови дейности или обекти'!L46+'12.2.Нови дейности или обекти'!Q46+'12.2.Нови дейности или обекти'!V46+'12.2.Нови дейности или обекти'!AA46</f>
        <v>40</v>
      </c>
      <c r="M101" s="1203">
        <f>L29-L101</f>
        <v>404.26959903150646</v>
      </c>
      <c r="N101" s="1211"/>
      <c r="O101" s="1202">
        <f>'12.2.Нови дейности или обекти'!C74+'12.2.Нови дейности или обекти'!H74+'12.2.Нови дейности или обекти'!M74+'12.2.Нови дейности или обекти'!R74+'12.2.Нови дейности или обекти'!W74+'12.2.Нови дейности или обекти'!C97+'12.2.Нови дейности или обекти'!H97+'12.2.Нови дейности или обекти'!M97+'12.2.Нови дейности или обекти'!R97+'12.2.Нови дейности или обекти'!W97</f>
        <v>0</v>
      </c>
      <c r="P101" s="1198">
        <f>O29-O101</f>
        <v>122.00144100000006</v>
      </c>
      <c r="Q101" s="1198">
        <f>'12.2.Нови дейности или обекти'!D74+'12.2.Нови дейности или обекти'!I74+'12.2.Нови дейности или обекти'!N74+'12.2.Нови дейности или обекти'!S74+'12.2.Нови дейности или обекти'!X74+'12.2.Нови дейности или обекти'!D97+'12.2.Нови дейности или обекти'!I97+'12.2.Нови дейности или обекти'!N97+'12.2.Нови дейности или обекти'!S97+'12.2.Нови дейности или обекти'!X97</f>
        <v>0</v>
      </c>
      <c r="R101" s="1198">
        <f>Q29-Q101</f>
        <v>149.24788655000003</v>
      </c>
      <c r="S101" s="1198">
        <f>'12.2.Нови дейности или обекти'!E74+'12.2.Нови дейности или обекти'!J74+'12.2.Нови дейности или обекти'!O74+'12.2.Нови дейности или обекти'!T74+'12.2.Нови дейности или обекти'!Y74+'12.2.Нови дейности или обекти'!E97+'12.2.Нови дейности или обекти'!J97+'12.2.Нови дейности или обекти'!O97+'12.2.Нови дейности или обекти'!T97+'12.2.Нови дейности или обекти'!Y97</f>
        <v>0</v>
      </c>
      <c r="T101" s="1198">
        <f>S29-S101</f>
        <v>167.02946724649991</v>
      </c>
      <c r="U101" s="1198">
        <f>'12.2.Нови дейности или обекти'!F74+'12.2.Нови дейности или обекти'!K74+'12.2.Нови дейности или обекти'!P74+'12.2.Нови дейности или обекти'!U74+'12.2.Нови дейности или обекти'!Z74+'12.2.Нови дейности или обекти'!F97+'12.2.Нови дейности или обекти'!K97+'12.2.Нови дейности или обекти'!P97+'12.2.Нови дейности или обекти'!U97+'12.2.Нови дейности или обекти'!Z97</f>
        <v>0</v>
      </c>
      <c r="V101" s="1198">
        <f>U29-U101</f>
        <v>157.54383970156999</v>
      </c>
      <c r="W101" s="1198">
        <f>'12.2.Нови дейности или обекти'!G74+'12.2.Нови дейности или обекти'!L74+'12.2.Нови дейности или обекти'!Q74+'12.2.Нови дейности или обекти'!V74+'12.2.Нови дейности или обекти'!AA74+'12.2.Нови дейности или обекти'!G97+'12.2.Нови дейности или обекти'!L97+'12.2.Нови дейности или обекти'!Q97+'12.2.Нови дейности или обекти'!V97+'12.2.Нови дейности или обекти'!AA97</f>
        <v>0</v>
      </c>
      <c r="X101" s="1203">
        <f>W29-W101</f>
        <v>137.43179942390731</v>
      </c>
      <c r="Y101" s="1211"/>
      <c r="Z101" s="1202">
        <f>'12.2.Нови дейности или обекти'!C121+'12.2.Нови дейности или обекти'!H121+'12.2.Нови дейности или обекти'!M121+'12.2.Нови дейности или обекти'!R121+'12.2.Нови дейности или обекти'!W121+'12.2.Нови дейности или обекти'!C144+'12.2.Нови дейности или обекти'!H144+'12.2.Нови дейности или обекти'!M144+'12.2.Нови дейности или обекти'!R144+'12.2.Нови дейности или обекти'!W144</f>
        <v>0</v>
      </c>
      <c r="AA101" s="1198">
        <f>Z29-Z101</f>
        <v>149.55352799999997</v>
      </c>
      <c r="AB101" s="1198">
        <f>'12.2.Нови дейности или обекти'!D121+'12.2.Нови дейности или обекти'!I121+'12.2.Нови дейности или обекти'!N121+'12.2.Нови дейности или обекти'!S121+'12.2.Нови дейности или обекти'!X121+'12.2.Нови дейности или обекти'!D144+'12.2.Нови дейности или обекти'!I144+'12.2.Нови дейности или обекти'!N144+'12.2.Нови дейности или обекти'!S144+'12.2.Нови дейности или обекти'!X144</f>
        <v>0</v>
      </c>
      <c r="AC101" s="1198">
        <f>AB29-AB101</f>
        <v>168.18299239999999</v>
      </c>
      <c r="AD101" s="1198">
        <f>'12.2.Нови дейности или обекти'!E121+'12.2.Нови дейности или обекти'!J121+'12.2.Нови дейности или обекти'!O121+'12.2.Нови дейности или обекти'!T121+'12.2.Нови дейности или обекти'!Y121+'12.2.Нови дейности или обекти'!E144+'12.2.Нови дейности или обекти'!J144+'12.2.Нови дейности или обекти'!O144+'12.2.Нови дейности или обекти'!T144+'12.2.Нови дейности или обекти'!Y144</f>
        <v>0</v>
      </c>
      <c r="AE101" s="1198">
        <f>AD29-AD101</f>
        <v>186.08863497200002</v>
      </c>
      <c r="AF101" s="1198">
        <f>'12.2.Нови дейности или обекти'!F121+'12.2.Нови дейности или обекти'!K121+'12.2.Нови дейности или обекти'!P121+'12.2.Нови дейности или обекти'!U121+'12.2.Нови дейности или обекти'!Z121+'12.2.Нови дейности или обекти'!F144+'12.2.Нови дейности или обекти'!K144+'12.2.Нови дейности или обекти'!P144+'12.2.Нови дейности или обекти'!U144+'12.2.Нови дейности или обекти'!Z144</f>
        <v>22</v>
      </c>
      <c r="AG101" s="1198">
        <f>AF29-AF101</f>
        <v>107.16541862256003</v>
      </c>
      <c r="AH101" s="1198">
        <f>'12.2.Нови дейности или обекти'!G121+'12.2.Нови дейности или обекти'!L121+'12.2.Нови дейности или обекти'!Q121+'12.2.Нови дейности или обекти'!V121+'12.2.Нови дейности или обекти'!AA121+'12.2.Нови дейности или обекти'!G144+'12.2.Нови дейности или обекти'!L144+'12.2.Нови дейности или обекти'!Q144+'12.2.Нови дейности или обекти'!V144+'12.2.Нови дейности или обекти'!AA144</f>
        <v>22</v>
      </c>
      <c r="AI101" s="1203">
        <f>AH29-AH101</f>
        <v>64.88428729275762</v>
      </c>
      <c r="AJ101" s="678"/>
      <c r="AK101" s="678"/>
      <c r="AL101" s="678"/>
      <c r="AM101" s="1150"/>
      <c r="AN101" s="1149"/>
      <c r="AO101" s="45"/>
      <c r="AP101" s="45"/>
      <c r="AQ101" s="3106"/>
      <c r="AR101" s="3109"/>
      <c r="AS101" s="681"/>
      <c r="AT101" s="682"/>
      <c r="AU101" s="1149"/>
      <c r="AV101" s="1150"/>
      <c r="AW101" s="1149"/>
      <c r="AX101" s="1150"/>
      <c r="AY101" s="1149"/>
      <c r="AZ101" s="1150"/>
      <c r="BA101" s="1149"/>
      <c r="BB101" s="1150"/>
      <c r="BC101" s="1149"/>
      <c r="BD101" s="1150"/>
      <c r="BE101" s="1149"/>
      <c r="BF101" s="4422"/>
      <c r="BH101" s="4438">
        <f t="shared" si="61"/>
        <v>0</v>
      </c>
      <c r="BI101" s="4438">
        <f t="shared" si="62"/>
        <v>0</v>
      </c>
      <c r="BJ101" s="4438">
        <f t="shared" si="63"/>
        <v>0</v>
      </c>
      <c r="BK101" s="4438">
        <f t="shared" si="64"/>
        <v>20.45167524784874</v>
      </c>
      <c r="BL101" s="4438">
        <f t="shared" si="65"/>
        <v>20.45167524784874</v>
      </c>
      <c r="BN101" s="4438">
        <f t="shared" si="66"/>
        <v>0</v>
      </c>
      <c r="BO101" s="4438">
        <f t="shared" si="67"/>
        <v>0</v>
      </c>
      <c r="BP101" s="4438">
        <f t="shared" si="68"/>
        <v>0</v>
      </c>
      <c r="BQ101" s="4438">
        <f t="shared" si="69"/>
        <v>0</v>
      </c>
      <c r="BR101" s="4438">
        <f t="shared" si="70"/>
        <v>0</v>
      </c>
      <c r="BT101" s="4438">
        <f t="shared" si="71"/>
        <v>0</v>
      </c>
      <c r="BU101" s="4438">
        <f t="shared" si="72"/>
        <v>0</v>
      </c>
      <c r="BV101" s="4438">
        <f t="shared" si="73"/>
        <v>0</v>
      </c>
      <c r="BW101" s="4438">
        <f t="shared" si="74"/>
        <v>11.248421386316807</v>
      </c>
      <c r="BX101" s="4438">
        <f t="shared" si="75"/>
        <v>11.248421386316807</v>
      </c>
    </row>
    <row r="102" spans="1:76" s="44" customFormat="1">
      <c r="A102" s="5266"/>
      <c r="B102" s="1208" t="s">
        <v>448</v>
      </c>
      <c r="C102" s="1211"/>
      <c r="D102" s="883">
        <f>'12.2.Нови дейности или обекти'!C28+'12.2.Нови дейности или обекти'!H28+'12.2.Нови дейности или обекти'!M28+'12.2.Нови дейности или обекти'!R28+'12.2.Нови дейности или обекти'!W28+'12.2.Нови дейности или обекти'!C51+'12.2.Нови дейности или обекти'!H51+'12.2.Нови дейности или обекти'!M51+'12.2.Нови дейности или обекти'!R51+'12.2.Нови дейности или обекти'!W51</f>
        <v>0</v>
      </c>
      <c r="E102" s="1198">
        <f>D59-D102</f>
        <v>4644</v>
      </c>
      <c r="F102" s="1198">
        <f>'12.2.Нови дейности или обекти'!D24+'12.2.Нови дейности или обекти'!I24+'12.2.Нови дейности или обекти'!N24+'12.2.Нови дейности или обекти'!S24+'12.2.Нови дейности или обекти'!X24++'12.2.Нови дейности или обекти'!D47+'12.2.Нови дейности или обекти'!I47+'12.2.Нови дейности или обекти'!N47+'12.2.Нови дейности или обекти'!S47+'12.2.Нови дейности или обекти'!X47</f>
        <v>0</v>
      </c>
      <c r="G102" s="1198">
        <f>F59-F102</f>
        <v>6257.1600000000017</v>
      </c>
      <c r="H102" s="1198">
        <f>'12.2.Нови дейности или обекти'!E24+'12.2.Нови дейности или обекти'!J24+'12.2.Нови дейности или обекти'!O24+'12.2.Нови дейности или обекти'!T24+'12.2.Нови дейности или обекти'!Y24+'12.2.Нови дейности или обекти'!E47+'12.2.Нови дейности или обекти'!J47+'12.2.Нови дейности или обекти'!O47+'12.2.Нови дейности или обекти'!T47+'12.2.Нови дейности или обекти'!Y47</f>
        <v>0</v>
      </c>
      <c r="I102" s="1198">
        <f>H59-H102</f>
        <v>8063.8992000000035</v>
      </c>
      <c r="J102" s="1198">
        <f>'12.2.Нови дейности или обекти'!F24+'12.2.Нови дейности или обекти'!K24+'12.2.Нови дейности или обекти'!P24+'12.2.Нови дейности или обекти'!U24+'12.2.Нови дейности или обекти'!Z24+'12.2.Нови дейности или обекти'!F47+'12.2.Нови дейности или обекти'!K47+'12.2.Нови дейности или обекти'!P47+'12.2.Нови дейности или обекти'!U47+'12.2.Нови дейности или обекти'!Z47</f>
        <v>0</v>
      </c>
      <c r="K102" s="1198">
        <f>J59-J102</f>
        <v>10593.334080000001</v>
      </c>
      <c r="L102" s="1198">
        <f>'12.2.Нови дейности или обекти'!G24+'12.2.Нови дейности или обекти'!L24+'12.2.Нови дейности или обекти'!Q24+'12.2.Нови дейности или обекти'!V24+'12.2.Нови дейности или обекти'!AA24+'12.2.Нови дейности или обекти'!G47+'12.2.Нови дейности или обекти'!L47+'12.2.Нови дейности или обекти'!Q47+'12.2.Нови дейности или обекти'!V47+'12.2.Нови дейности или обекти'!AA47</f>
        <v>0</v>
      </c>
      <c r="M102" s="1203">
        <f>L59-L102</f>
        <v>12920.414169600001</v>
      </c>
      <c r="N102" s="1211"/>
      <c r="O102" s="1202">
        <f>'12.2.Нови дейности или обекти'!C75+'12.2.Нови дейности или обекти'!H75+'12.2.Нови дейности или обекти'!M75+'12.2.Нови дейности или обекти'!R75+'12.2.Нови дейности или обекти'!W75+'12.2.Нови дейности или обекти'!C98+'12.2.Нови дейности или обекти'!H98+'12.2.Нови дейности или обекти'!M98+'12.2.Нови дейности или обекти'!R98+'12.2.Нови дейности или обекти'!W98</f>
        <v>0</v>
      </c>
      <c r="P102" s="1198">
        <f>O59-O102</f>
        <v>118</v>
      </c>
      <c r="Q102" s="1198">
        <f>'12.2.Нови дейности или обекти'!D75+'12.2.Нови дейности или обекти'!I75+'12.2.Нови дейности или обекти'!N75+'12.2.Нови дейности или обекти'!S75+'12.2.Нови дейности или обекти'!X75+'12.2.Нови дейности или обекти'!D98+'12.2.Нови дейности или обекти'!I98+'12.2.Нови дейности или обекти'!N98+'12.2.Нови дейности или обекти'!S98+'12.2.Нови дейности или обекти'!X98</f>
        <v>0</v>
      </c>
      <c r="R102" s="1198">
        <f>Q59-Q102</f>
        <v>176.20000000000005</v>
      </c>
      <c r="S102" s="1198">
        <f>'12.2.Нови дейности или обекти'!E75+'12.2.Нови дейности или обекти'!J75+'12.2.Нови дейности или обекти'!O75+'12.2.Нови дейности или обекти'!T75+'12.2.Нови дейности или обекти'!Y75+'12.2.Нови дейности или обекти'!E98+'12.2.Нови дейности или обекти'!J98+'12.2.Нови дейности или обекти'!O98+'12.2.Нови дейности или обекти'!T98+'12.2.Нови дейности или обекти'!Y98</f>
        <v>0</v>
      </c>
      <c r="T102" s="1198">
        <f>S59-S102</f>
        <v>241.38400000000013</v>
      </c>
      <c r="U102" s="1198">
        <f>'12.2.Нови дейности или обекти'!F75+'12.2.Нови дейности или обекти'!K75+'12.2.Нови дейности или обекти'!P75+'12.2.Нови дейности или обекти'!U75+'12.2.Нови дейности или обекти'!Z75+'12.2.Нови дейности или обекти'!F98+'12.2.Нови дейности или обекти'!K98+'12.2.Нови дейности или обекти'!P98+'12.2.Нови дейности или обекти'!U98+'12.2.Нови дейности или обекти'!Z98</f>
        <v>0</v>
      </c>
      <c r="V102" s="1198">
        <f>U59-U102</f>
        <v>314.39008000000024</v>
      </c>
      <c r="W102" s="1198">
        <f>'12.2.Нови дейности или обекти'!G75+'12.2.Нови дейности или обекти'!L75+'12.2.Нови дейности или обекти'!Q75+'12.2.Нови дейности или обекти'!V75+'12.2.Нови дейности или обекти'!AA75+'12.2.Нови дейности или обекти'!G98+'12.2.Нови дейности или обекти'!L98+'12.2.Нови дейности или обекти'!Q98+'12.2.Нови дейности или обекти'!V98+'12.2.Нови дейности или обекти'!AA98</f>
        <v>0</v>
      </c>
      <c r="X102" s="1203">
        <f>W59-W102</f>
        <v>396.15688960000023</v>
      </c>
      <c r="Y102" s="1211"/>
      <c r="Z102" s="1202">
        <f>'12.2.Нови дейности или обекти'!C122+'12.2.Нови дейности или обекти'!H122+'12.2.Нови дейности или обекти'!M122+'12.2.Нови дейности или обекти'!R122+'12.2.Нови дейности или обекти'!W122+'12.2.Нови дейности или обекти'!C145+'12.2.Нови дейности или обекти'!H145+'12.2.Нови дейности или обекти'!M145+'12.2.Нови дейности или обекти'!R145+'12.2.Нови дейности или обекти'!W145</f>
        <v>0</v>
      </c>
      <c r="AA102" s="1198">
        <f>Z59-Z102</f>
        <v>320</v>
      </c>
      <c r="AB102" s="1198">
        <f>'12.2.Нови дейности или обекти'!D122+'12.2.Нови дейности или обекти'!I122+'12.2.Нови дейности или обекти'!N122+'12.2.Нови дейности или обекти'!S122+'12.2.Нови дейности или обекти'!X122+'12.2.Нови дейности или обекти'!D145+'12.2.Нови дейности или обекти'!I145+'12.2.Нови дейности или обекти'!N145+'12.2.Нови дейности или обекти'!S145+'12.2.Нови дейности или обекти'!X145</f>
        <v>0</v>
      </c>
      <c r="AC102" s="1198">
        <f>AB59-AB102</f>
        <v>441.80000000000018</v>
      </c>
      <c r="AD102" s="1198">
        <f>'12.2.Нови дейности или обекти'!E122+'12.2.Нови дейности или обекти'!J122+'12.2.Нови дейности или обекти'!O122+'12.2.Нови дейности или обекти'!T122+'12.2.Нови дейности или обекти'!Y122+'12.2.Нови дейности или обекти'!E145+'12.2.Нови дейности или обекти'!J145+'12.2.Нови дейности или обекти'!O145+'12.2.Нови дейности или обекти'!T145+'12.2.Нови дейности или обекти'!Y145</f>
        <v>0</v>
      </c>
      <c r="AE102" s="1198">
        <f>AD59-AD102</f>
        <v>578.21600000000012</v>
      </c>
      <c r="AF102" s="1198">
        <f>'12.2.Нови дейности или обекти'!F122+'12.2.Нови дейности или обекти'!K122+'12.2.Нови дейности или обекти'!P122+'12.2.Нови дейности или обекти'!U122+'12.2.Нови дейности или обекти'!Z122+'12.2.Нови дейности или обекти'!F145+'12.2.Нови дейности или обекти'!K145+'12.2.Нови дейности или обекти'!P145+'12.2.Нови дейности или обекти'!U145+'12.2.Нови дейности или обекти'!Z145</f>
        <v>236</v>
      </c>
      <c r="AG102" s="1198">
        <f>AF59-AF102</f>
        <v>533.19840000000022</v>
      </c>
      <c r="AH102" s="1198">
        <f>'12.2.Нови дейности или обекти'!G122+'12.2.Нови дейности или обекти'!L122+'12.2.Нови дейности или обекти'!Q122+'12.2.Нови дейности или обекти'!V122+'12.2.Нови дейности или обекти'!AA122+'12.2.Нови дейности или обекти'!G145+'12.2.Нови дейности или обекти'!L145+'12.2.Нови дейности или обекти'!Q145+'12.2.Нови дейности или обекти'!V145+'12.2.Нови дейности или обекти'!AA145</f>
        <v>307</v>
      </c>
      <c r="AI102" s="1203">
        <f>AH59-AH102</f>
        <v>637.9022080000002</v>
      </c>
      <c r="AJ102" s="678"/>
      <c r="AK102" s="678"/>
      <c r="AL102" s="678"/>
      <c r="AM102" s="1150"/>
      <c r="AN102" s="1149"/>
      <c r="AO102" s="45"/>
      <c r="AP102" s="45"/>
      <c r="AQ102" s="3106"/>
      <c r="AR102" s="3107"/>
      <c r="AS102" s="681"/>
      <c r="AT102" s="682"/>
      <c r="AU102" s="1149"/>
      <c r="AV102" s="1150"/>
      <c r="AW102" s="1149"/>
      <c r="AX102" s="1150"/>
      <c r="AY102" s="1149"/>
      <c r="AZ102" s="1150"/>
      <c r="BA102" s="1149"/>
      <c r="BB102" s="1150"/>
      <c r="BC102" s="1149"/>
      <c r="BD102" s="1150"/>
      <c r="BE102" s="1149"/>
      <c r="BF102" s="4422"/>
      <c r="BH102" s="4438">
        <f t="shared" si="61"/>
        <v>0</v>
      </c>
      <c r="BI102" s="4438">
        <f t="shared" si="62"/>
        <v>0</v>
      </c>
      <c r="BJ102" s="4438">
        <f t="shared" si="63"/>
        <v>0</v>
      </c>
      <c r="BK102" s="4438">
        <f t="shared" si="64"/>
        <v>0</v>
      </c>
      <c r="BL102" s="4438">
        <f t="shared" si="65"/>
        <v>0</v>
      </c>
      <c r="BN102" s="4438">
        <f t="shared" si="66"/>
        <v>0</v>
      </c>
      <c r="BO102" s="4438">
        <f t="shared" si="67"/>
        <v>0</v>
      </c>
      <c r="BP102" s="4438">
        <f t="shared" si="68"/>
        <v>0</v>
      </c>
      <c r="BQ102" s="4438">
        <f t="shared" si="69"/>
        <v>0</v>
      </c>
      <c r="BR102" s="4438">
        <f t="shared" si="70"/>
        <v>0</v>
      </c>
      <c r="BT102" s="4438">
        <f t="shared" si="71"/>
        <v>0</v>
      </c>
      <c r="BU102" s="4438">
        <f t="shared" si="72"/>
        <v>0</v>
      </c>
      <c r="BV102" s="4438">
        <f t="shared" si="73"/>
        <v>0</v>
      </c>
      <c r="BW102" s="4438">
        <f t="shared" si="74"/>
        <v>120.66488396230757</v>
      </c>
      <c r="BX102" s="4438">
        <f t="shared" si="75"/>
        <v>156.96660752723909</v>
      </c>
    </row>
    <row r="103" spans="1:76" s="44" customFormat="1">
      <c r="A103" s="5266"/>
      <c r="B103" s="1208" t="s">
        <v>449</v>
      </c>
      <c r="C103" s="1211"/>
      <c r="D103" s="883">
        <f>'12.2.Нови дейности или обекти'!C29+'12.2.Нови дейности или обекти'!H29+'12.2.Нови дейности или обекти'!M29+'12.2.Нови дейности или обекти'!R29+'12.2.Нови дейности или обекти'!W29+'12.2.Нови дейности или обекти'!C52+'12.2.Нови дейности или обекти'!H52+'12.2.Нови дейности или обекти'!M52+'12.2.Нови дейности или обекти'!R52+'12.2.Нови дейности или обекти'!W52</f>
        <v>0</v>
      </c>
      <c r="E103" s="1198">
        <f>D63-D103</f>
        <v>1160</v>
      </c>
      <c r="F103" s="1198">
        <f>'12.2.Нови дейности или обекти'!D25+'12.2.Нови дейности или обекти'!I25+'12.2.Нови дейности или обекти'!N25+'12.2.Нови дейности или обекти'!S25+'12.2.Нови дейности или обекти'!X25++'12.2.Нови дейности или обекти'!D48+'12.2.Нови дейности или обекти'!I48+'12.2.Нови дейности или обекти'!N48+'12.2.Нови дейности или обекти'!S48+'12.2.Нови дейности или обекти'!X48</f>
        <v>0</v>
      </c>
      <c r="G103" s="1198">
        <f>F63-F103</f>
        <v>1474.3999999999996</v>
      </c>
      <c r="H103" s="1198">
        <f>'12.2.Нови дейности или обекти'!E25+'12.2.Нови дейности или обекти'!J25+'12.2.Нови дейности или обекти'!O25+'12.2.Нови дейности или обекти'!T25+'12.2.Нови дейности или обекти'!Y25+'12.2.Нови дейности или обекти'!E48+'12.2.Нови дейности или обекти'!J48+'12.2.Нови дейности или обекти'!O48+'12.2.Нови дейности или обекти'!T48+'12.2.Нови дейности или обекти'!Y48</f>
        <v>0</v>
      </c>
      <c r="I103" s="1198">
        <f>H63-H103</f>
        <v>1886.5280000000002</v>
      </c>
      <c r="J103" s="1198">
        <f>'12.2.Нови дейности или обекти'!F25+'12.2.Нови дейности или обекти'!K25+'12.2.Нови дейности или обекти'!P25+'12.2.Нови дейности или обекти'!U25+'12.2.Нови дейности или обекти'!Z25+'12.2.Нови дейности или обекти'!F48+'12.2.Нови дейности или обекти'!K48+'12.2.Нови дейности или обекти'!P48+'12.2.Нови дейности или обекти'!U48+'12.2.Нови дейности или обекти'!Z48</f>
        <v>0</v>
      </c>
      <c r="K103" s="1198">
        <f>J63-J103</f>
        <v>2342.5071999999991</v>
      </c>
      <c r="L103" s="1198">
        <f>'12.2.Нови дейности или обекти'!G25+'12.2.Нови дейности или обекти'!L25+'12.2.Нови дейности или обекти'!Q25+'12.2.Нови дейности или обекти'!V25+'12.2.Нови дейности или обекти'!AA25+'12.2.Нови дейности или обекти'!G48+'12.2.Нови дейности или обекти'!L48+'12.2.Нови дейности или обекти'!Q48+'12.2.Нови дейности или обекти'!V48+'12.2.Нови дейности или обекти'!AA48</f>
        <v>0</v>
      </c>
      <c r="M103" s="1203">
        <f>L63-L103</f>
        <v>2796.0480640000014</v>
      </c>
      <c r="N103" s="1211"/>
      <c r="O103" s="1202">
        <f>'12.2.Нови дейности или обекти'!C76+'12.2.Нови дейности или обекти'!H76+'12.2.Нови дейности или обекти'!M76+'12.2.Нови дейности или обекти'!R76+'12.2.Нови дейности или обекти'!W76+'12.2.Нови дейности или обекти'!C99+'12.2.Нови дейности или обекти'!H99+'12.2.Нови дейности или обекти'!M99+'12.2.Нови дейности или обекти'!R99+'12.2.Нови дейности или обекти'!W99</f>
        <v>0</v>
      </c>
      <c r="P103" s="1198">
        <f>O63-O103</f>
        <v>0.5473684210526244</v>
      </c>
      <c r="Q103" s="1198">
        <f>'12.2.Нови дейности или обекти'!D76+'12.2.Нови дейности или обекти'!I76+'12.2.Нови дейности или обекти'!N76+'12.2.Нови дейности или обекти'!S76+'12.2.Нови дейности или обекти'!X76+'12.2.Нови дейности или обекти'!D99+'12.2.Нови дейности или обекти'!I99+'12.2.Нови дейности или обекти'!N99+'12.2.Нови дейности или обекти'!S99+'12.2.Нови дейности или обекти'!X99</f>
        <v>0</v>
      </c>
      <c r="R103" s="1198">
        <f>Q63-Q103</f>
        <v>11.199999999999989</v>
      </c>
      <c r="S103" s="1198">
        <f>'12.2.Нови дейности или обекти'!E76+'12.2.Нови дейности или обекти'!J76+'12.2.Нови дейности или обекти'!O76+'12.2.Нови дейности или обекти'!T76+'12.2.Нови дейности или обекти'!Y76+'12.2.Нови дейности или обекти'!E99+'12.2.Нови дейности или обекти'!J99+'12.2.Нови дейности или обекти'!O99+'12.2.Нови дейности или обекти'!T99+'12.2.Нови дейности или обекти'!Y99</f>
        <v>0</v>
      </c>
      <c r="T103" s="1198">
        <f>S63-S103</f>
        <v>21.624000000000024</v>
      </c>
      <c r="U103" s="1198">
        <f>'12.2.Нови дейности или обекти'!F76+'12.2.Нови дейности или обекти'!K76+'12.2.Нови дейности или обекти'!P76+'12.2.Нови дейности или обекти'!U76+'12.2.Нови дейности или обекти'!Z76+'12.2.Нови дейности или обекти'!F99+'12.2.Нови дейности или обекти'!K99+'12.2.Нови дейности или обекти'!P99+'12.2.Нови дейности или обекти'!U99+'12.2.Нови дейности или обекти'!Z99</f>
        <v>0</v>
      </c>
      <c r="V103" s="1198">
        <f>U63-U103</f>
        <v>34.418880000000001</v>
      </c>
      <c r="W103" s="1198">
        <f>'12.2.Нови дейности или обекти'!G76+'12.2.Нови дейности или обекти'!L76+'12.2.Нови дейности или обекти'!Q76+'12.2.Нови дейности или обекти'!V76+'12.2.Нови дейности или обекти'!AA76+'12.2.Нови дейности или обекти'!G99+'12.2.Нови дейности или обекти'!L99+'12.2.Нови дейности или обекти'!Q99+'12.2.Нови дейности или обекти'!V99+'12.2.Нови дейности или обекти'!AA99</f>
        <v>0</v>
      </c>
      <c r="X103" s="1203">
        <f>W63-W103</f>
        <v>48.74914560000002</v>
      </c>
      <c r="Y103" s="1211"/>
      <c r="Z103" s="1202">
        <f>'12.2.Нови дейности или обекти'!C123+'12.2.Нови дейности или обекти'!H123+'12.2.Нови дейности или обекти'!M123+'12.2.Нови дейности или обекти'!R123+'12.2.Нови дейности или обекти'!W123+'12.2.Нови дейности или обекти'!C146+'12.2.Нови дейности или обекти'!H146+'12.2.Нови дейности или обекти'!M146+'12.2.Нови дейности или обекти'!R146+'12.2.Нови дейности или обекти'!W146</f>
        <v>0</v>
      </c>
      <c r="AA103" s="1198">
        <f>Z63-Z103</f>
        <v>81</v>
      </c>
      <c r="AB103" s="1198">
        <f>'12.2.Нови дейности или обекти'!D123+'12.2.Нови дейности или обекти'!I123+'12.2.Нови дейности или обекти'!N123+'12.2.Нови дейности или обекти'!S123+'12.2.Нови дейности или обекти'!X123+'12.2.Нови дейности или обекти'!D146+'12.2.Нови дейности или обекти'!I146+'12.2.Нови дейности или обекти'!N146+'12.2.Нови дейности или обекти'!S146+'12.2.Нови дейности или обекти'!X146</f>
        <v>0</v>
      </c>
      <c r="AC103" s="1198">
        <f>AB63-AB103</f>
        <v>104.40000000000003</v>
      </c>
      <c r="AD103" s="1198">
        <f>'12.2.Нови дейности или обекти'!E123+'12.2.Нови дейности или обекти'!J123+'12.2.Нови дейности или обекти'!O123+'12.2.Нови дейности или обекти'!T123+'12.2.Нови дейности или обекти'!Y123+'12.2.Нови дейности или обекти'!E146+'12.2.Нови дейности или обекти'!J146+'12.2.Нови дейности или обекти'!O146+'12.2.Нови дейности или обекти'!T146+'12.2.Нови дейности или обекти'!Y146</f>
        <v>0</v>
      </c>
      <c r="AE103" s="1198">
        <f>AD63-AD103</f>
        <v>130.60800000000006</v>
      </c>
      <c r="AF103" s="1198">
        <f>'12.2.Нови дейности или обекти'!F123+'12.2.Нови дейности или обекти'!K123+'12.2.Нови дейности или обекти'!P123+'12.2.Нови дейности или обекти'!U123+'12.2.Нови дейности или обекти'!Z123+'12.2.Нови дейности или обекти'!F146+'12.2.Нови дейности или обекти'!K146+'12.2.Нови дейности или обекти'!P146+'12.2.Нови дейности или обекти'!U146+'12.2.Нови дейности или обекти'!Z146</f>
        <v>55</v>
      </c>
      <c r="AG103" s="1198">
        <f>AF63-AF103</f>
        <v>138.29920000000004</v>
      </c>
      <c r="AH103" s="1198">
        <f>'12.2.Нови дейности или обекти'!G123+'12.2.Нови дейности или обекти'!L123+'12.2.Нови дейности или обекти'!Q123+'12.2.Нови дейности или обекти'!V123+'12.2.Нови дейности или обекти'!AA123+'12.2.Нови дейности или обекти'!G146+'12.2.Нови дейности или обекти'!L146+'12.2.Нови дейности или обекти'!Q146+'12.2.Нови дейности или обекти'!V146+'12.2.Нови дейности или обекти'!AA146</f>
        <v>70</v>
      </c>
      <c r="AI103" s="1203">
        <f>AH63-AH103</f>
        <v>157.05510400000009</v>
      </c>
      <c r="AJ103" s="678"/>
      <c r="AK103" s="678"/>
      <c r="AL103" s="678"/>
      <c r="AM103" s="1150"/>
      <c r="AN103" s="1149"/>
      <c r="AO103" s="1150"/>
      <c r="AP103" s="1149"/>
      <c r="AQ103" s="1150"/>
      <c r="AR103" s="1149"/>
      <c r="AS103" s="1150"/>
      <c r="AT103" s="1149"/>
      <c r="AU103" s="1149"/>
      <c r="AV103" s="1150"/>
      <c r="AW103" s="1149"/>
      <c r="AX103" s="1150"/>
      <c r="AY103" s="1149"/>
      <c r="AZ103" s="1150"/>
      <c r="BA103" s="1149"/>
      <c r="BB103" s="1150"/>
      <c r="BC103" s="1149"/>
      <c r="BD103" s="1150"/>
      <c r="BE103" s="1149"/>
      <c r="BF103" s="4422"/>
      <c r="BH103" s="4438">
        <f t="shared" si="61"/>
        <v>0</v>
      </c>
      <c r="BI103" s="4438">
        <f t="shared" si="62"/>
        <v>0</v>
      </c>
      <c r="BJ103" s="4438">
        <f t="shared" si="63"/>
        <v>0</v>
      </c>
      <c r="BK103" s="4438">
        <f t="shared" si="64"/>
        <v>0</v>
      </c>
      <c r="BL103" s="4438">
        <f t="shared" si="65"/>
        <v>0</v>
      </c>
      <c r="BN103" s="4438">
        <f t="shared" si="66"/>
        <v>0</v>
      </c>
      <c r="BO103" s="4438">
        <f t="shared" si="67"/>
        <v>0</v>
      </c>
      <c r="BP103" s="4438">
        <f t="shared" si="68"/>
        <v>0</v>
      </c>
      <c r="BQ103" s="4438">
        <f t="shared" si="69"/>
        <v>0</v>
      </c>
      <c r="BR103" s="4438">
        <f t="shared" si="70"/>
        <v>0</v>
      </c>
      <c r="BT103" s="4438">
        <f t="shared" si="71"/>
        <v>0</v>
      </c>
      <c r="BU103" s="4438">
        <f t="shared" si="72"/>
        <v>0</v>
      </c>
      <c r="BV103" s="4438">
        <f t="shared" si="73"/>
        <v>0</v>
      </c>
      <c r="BW103" s="4438">
        <f t="shared" si="74"/>
        <v>28.121053465792016</v>
      </c>
      <c r="BX103" s="4438">
        <f t="shared" si="75"/>
        <v>35.790431683735292</v>
      </c>
    </row>
    <row r="104" spans="1:76" s="44" customFormat="1">
      <c r="A104" s="5266"/>
      <c r="B104" s="1208" t="s">
        <v>450</v>
      </c>
      <c r="C104" s="1211"/>
      <c r="D104" s="883">
        <f>'12.2.Нови дейности или обекти'!C30+'12.2.Нови дейности или обекти'!H30+'12.2.Нови дейности или обекти'!M30+'12.2.Нови дейности или обекти'!R30+'12.2.Нови дейности или обекти'!W30+'12.2.Нови дейности или обекти'!C53+'12.2.Нови дейности или обекти'!H53+'12.2.Нови дейности или обекти'!M53+'12.2.Нови дейности или обекти'!R53+'12.2.Нови дейности или обекти'!W53</f>
        <v>0</v>
      </c>
      <c r="E104" s="1198">
        <f>D70-D104</f>
        <v>8.0190000000000055</v>
      </c>
      <c r="F104" s="1198">
        <f>'12.2.Нови дейности или обекти'!D26+'12.2.Нови дейности или обекти'!I26+'12.2.Нови дейности или обекти'!N26+'12.2.Нови дейности или обекти'!S26+'12.2.Нови дейности или обекти'!X26++'12.2.Нови дейности или обекти'!D49+'12.2.Нови дейности или обекти'!I49+'12.2.Нови дейности или обекти'!N49+'12.2.Нови дейности или обекти'!S49+'12.2.Нови дейности или обекти'!X49</f>
        <v>0</v>
      </c>
      <c r="G104" s="1198">
        <f>F70-F104</f>
        <v>11.582100000000082</v>
      </c>
      <c r="H104" s="1198">
        <f>'12.2.Нови дейности или обекти'!E26+'12.2.Нови дейности или обекти'!J26+'12.2.Нови дейности или обекти'!O26+'12.2.Нови дейности или обекти'!T26+'12.2.Нови дейности или обекти'!Y26+'12.2.Нови дейности или обекти'!E49+'12.2.Нови дейности или обекти'!J49+'12.2.Нови дейности или обекти'!O49+'12.2.Нови дейности или обекти'!T49+'12.2.Нови дейности или обекти'!Y49</f>
        <v>0</v>
      </c>
      <c r="I104" s="1198">
        <f>H70-H104</f>
        <v>15.252092999999945</v>
      </c>
      <c r="J104" s="1198">
        <f>'12.2.Нови дейности или обекти'!F26+'12.2.Нови дейности или обекти'!K26+'12.2.Нови дейности или обекти'!P26+'12.2.Нови дейности или обекти'!U26+'12.2.Нови дейности или обекти'!Z26+'12.2.Нови дейности или обекти'!F49+'12.2.Нови дейности или обекти'!K49+'12.2.Нови дейности или обекти'!P49+'12.2.Нови дейности или обекти'!U49+'12.2.Нови дейности или обекти'!Z49</f>
        <v>120</v>
      </c>
      <c r="K104" s="1198">
        <f>J70-J104</f>
        <v>-100.96781421000003</v>
      </c>
      <c r="L104" s="1198">
        <f>'12.2.Нови дейности или обекти'!G26+'12.2.Нови дейности или обекти'!L26+'12.2.Нови дейности или обекти'!Q26+'12.2.Нови дейности или обекти'!V26+'12.2.Нови дейности или обекти'!AA26+'12.2.Нови дейности или обекти'!G49+'12.2.Нови дейности или обекти'!L49+'12.2.Нови дейности или обекти'!Q49+'12.2.Нови дейности или обекти'!V49+'12.2.Нови дейности или обекти'!AA49</f>
        <v>120</v>
      </c>
      <c r="M104" s="1203">
        <f>L70-L104</f>
        <v>-97.07431863629995</v>
      </c>
      <c r="N104" s="1211"/>
      <c r="O104" s="1202">
        <f>'12.2.Нови дейности или обекти'!C77+'12.2.Нови дейности или обекти'!H77+'12.2.Нови дейности или обекти'!M77+'12.2.Нови дейности или обекти'!R77+'12.2.Нови дейности или обекти'!W77+'12.2.Нови дейности или обекти'!C100+'12.2.Нови дейности или обекти'!H100+'12.2.Нови дейности или обекти'!M100+'12.2.Нови дейности или обекти'!R100+'12.2.Нови дейности или обекти'!W100</f>
        <v>0</v>
      </c>
      <c r="P104" s="1198">
        <f>O70-O104</f>
        <v>1.2553169911196562</v>
      </c>
      <c r="Q104" s="1198">
        <f>'12.2.Нови дейности или обекти'!D77+'12.2.Нови дейности или обекти'!I77+'12.2.Нови дейности или обекти'!N77+'12.2.Нови дейности или обекти'!S77+'12.2.Нови дейности или обекти'!X77+'12.2.Нови дейности или обекти'!D100+'12.2.Нови дейности или обекти'!I100+'12.2.Нови дейности или обекти'!N100+'12.2.Нови дейности или обекти'!S100+'12.2.Нови дейности или обекти'!X100</f>
        <v>0</v>
      </c>
      <c r="R104" s="1198">
        <f>Q70-Q104</f>
        <v>1.8309694970473842</v>
      </c>
      <c r="S104" s="1198">
        <f>'12.2.Нови дейности или обекти'!E77+'12.2.Нови дейности или обекти'!J77+'12.2.Нови дейности или обекти'!O77+'12.2.Нови дейности или обекти'!T77+'12.2.Нови дейности или обекти'!Y77+'12.2.Нови дейности или обекти'!E100+'12.2.Нови дейности или обекти'!J100+'12.2.Нови дейности или обекти'!O100+'12.2.Нови дейности или обекти'!T100+'12.2.Нови дейности или обекти'!Y100</f>
        <v>0</v>
      </c>
      <c r="T104" s="1198">
        <f>S70-S104</f>
        <v>2.4238915781529435</v>
      </c>
      <c r="U104" s="1198">
        <f>'12.2.Нови дейности или обекти'!F77+'12.2.Нови дейности или обекти'!K77+'12.2.Нови дейности или обекти'!P77+'12.2.Нови дейности или обекти'!U77+'12.2.Нови дейности или обекти'!Z77+'12.2.Нови дейности или обекти'!F100+'12.2.Нови дейности или обекти'!K100+'12.2.Нови дейности или обекти'!P100+'12.2.Нови дейности или обекти'!U100+'12.2.Нови дейности или обекти'!Z100</f>
        <v>0</v>
      </c>
      <c r="V104" s="1198">
        <f>U70-U104</f>
        <v>3.034601321691671</v>
      </c>
      <c r="W104" s="1198">
        <f>'12.2.Нови дейности или обекти'!G77+'12.2.Нови дейности или обекти'!L77+'12.2.Нови дейности или обекти'!Q77+'12.2.Нови дейности или обекти'!V77+'12.2.Нови дейности или обекти'!AA77+'12.2.Нови дейности или обекти'!G100+'12.2.Нови дейности или обекти'!L100+'12.2.Нови дейности или обекти'!Q100+'12.2.Нови дейности или обекти'!V100+'12.2.Нови дейности или обекти'!AA100</f>
        <v>0</v>
      </c>
      <c r="X104" s="1203">
        <f>W70-W104</f>
        <v>3.6636323575365601</v>
      </c>
      <c r="Y104" s="1211"/>
      <c r="Z104" s="1202">
        <f>'12.2.Нови дейности или обекти'!C124+'12.2.Нови дейности или обекти'!H124+'12.2.Нови дейности или обекти'!M124+'12.2.Нови дейности или обекти'!R124+'12.2.Нови дейности или обекти'!W124+'12.2.Нови дейности или обекти'!C147+'12.2.Нови дейности или обекти'!H147+'12.2.Нови дейности или обекти'!M147+'12.2.Нови дейности или обекти'!R147+'12.2.Нови дейности или обекти'!W147</f>
        <v>0</v>
      </c>
      <c r="AA104" s="1198">
        <f>Z70-Z104</f>
        <v>1.3818481779148044</v>
      </c>
      <c r="AB104" s="1198">
        <f>'12.2.Нови дейности или обекти'!D124+'12.2.Нови дейности или обекти'!I124+'12.2.Нови дейности или обекти'!N124+'12.2.Нови дейности или обекти'!S124+'12.2.Нови дейности или обекти'!X124+'12.2.Нови дейности или обекти'!D147+'12.2.Нови дейности или обекти'!I147+'12.2.Нови дейности или обекти'!N147+'12.2.Нови дейности или обекти'!S147+'12.2.Нови дейности или обекти'!X147</f>
        <v>0</v>
      </c>
      <c r="AC104" s="1198">
        <f>AB70-AB104</f>
        <v>2.0559481779148001</v>
      </c>
      <c r="AD104" s="1198">
        <f>'12.2.Нови дейности или обекти'!E124+'12.2.Нови дейности или обекти'!J124+'12.2.Нови дейности или обекти'!O124+'12.2.Нови дейности или обекти'!T124+'12.2.Нови дейности или обекти'!Y124+'12.2.Нови дейности или обекти'!E147+'12.2.Нови дейности или обекти'!J147+'12.2.Нови дейности или обекти'!O147+'12.2.Нови дейности или обекти'!T147+'12.2.Нови дейности или обекти'!Y147</f>
        <v>0</v>
      </c>
      <c r="AE104" s="1198">
        <f>AD70-AD104</f>
        <v>2.7502711779147972</v>
      </c>
      <c r="AF104" s="1198">
        <f>'12.2.Нови дейности или обекти'!F124+'12.2.Нови дейности или обекти'!K124+'12.2.Нови дейности или обекти'!P124+'12.2.Нови дейности или обекти'!U124+'12.2.Нови дейности или обекти'!Z124+'12.2.Нови дейности или обекти'!F147+'12.2.Нови дейности или обекти'!K147+'12.2.Нови дейности или обекти'!P147+'12.2.Нови дейности или обекти'!U147+'12.2.Нови дейности или обекти'!Z147</f>
        <v>6</v>
      </c>
      <c r="AG104" s="1198">
        <f>AF70-AF104</f>
        <v>-2.5345761320851992</v>
      </c>
      <c r="AH104" s="1198">
        <f>'12.2.Нови дейности или обекти'!G124+'12.2.Нови дейности или обекти'!L124+'12.2.Нови дейности или обекти'!Q124+'12.2.Нови дейности или обекти'!V124+'12.2.Нови дейности или обекти'!AA124+'12.2.Нови дейности или обекти'!G147+'12.2.Нови дейности или обекти'!L147+'12.2.Нови дейности или обекти'!Q147+'12.2.Нови дейности или обекти'!V147+'12.2.Нови дейности или обекти'!AA147</f>
        <v>6</v>
      </c>
      <c r="AI104" s="1203">
        <f>AH70-AH104</f>
        <v>-1.7979688613851934</v>
      </c>
      <c r="AJ104" s="678"/>
      <c r="AK104" s="678"/>
      <c r="AL104" s="678"/>
      <c r="AM104" s="1150"/>
      <c r="AN104" s="1149"/>
      <c r="AO104" s="1150"/>
      <c r="AP104" s="1149"/>
      <c r="AQ104" s="1150"/>
      <c r="AR104" s="1149"/>
      <c r="AS104" s="1150"/>
      <c r="AT104" s="1149"/>
      <c r="AU104" s="1149"/>
      <c r="AV104" s="1150"/>
      <c r="AW104" s="1149"/>
      <c r="AX104" s="1150"/>
      <c r="AY104" s="1149"/>
      <c r="AZ104" s="1150"/>
      <c r="BA104" s="1149"/>
      <c r="BB104" s="1150"/>
      <c r="BC104" s="1149"/>
      <c r="BD104" s="1150"/>
      <c r="BE104" s="1149"/>
      <c r="BF104" s="4422"/>
      <c r="BH104" s="4438">
        <f t="shared" si="61"/>
        <v>0</v>
      </c>
      <c r="BI104" s="4438">
        <f t="shared" si="62"/>
        <v>0</v>
      </c>
      <c r="BJ104" s="4438">
        <f t="shared" si="63"/>
        <v>0</v>
      </c>
      <c r="BK104" s="4438">
        <f t="shared" si="64"/>
        <v>61.355025743546221</v>
      </c>
      <c r="BL104" s="4438">
        <f t="shared" si="65"/>
        <v>61.355025743546221</v>
      </c>
      <c r="BN104" s="4438">
        <f t="shared" si="66"/>
        <v>0</v>
      </c>
      <c r="BO104" s="4438">
        <f t="shared" si="67"/>
        <v>0</v>
      </c>
      <c r="BP104" s="4438">
        <f t="shared" si="68"/>
        <v>0</v>
      </c>
      <c r="BQ104" s="4438">
        <f t="shared" si="69"/>
        <v>0</v>
      </c>
      <c r="BR104" s="4438">
        <f t="shared" si="70"/>
        <v>0</v>
      </c>
      <c r="BT104" s="4438">
        <f t="shared" si="71"/>
        <v>0</v>
      </c>
      <c r="BU104" s="4438">
        <f t="shared" si="72"/>
        <v>0</v>
      </c>
      <c r="BV104" s="4438">
        <f t="shared" si="73"/>
        <v>0</v>
      </c>
      <c r="BW104" s="4438">
        <f t="shared" si="74"/>
        <v>3.0677512871773112</v>
      </c>
      <c r="BX104" s="4438">
        <f t="shared" si="75"/>
        <v>3.0677512871773112</v>
      </c>
    </row>
    <row r="105" spans="1:76" s="44" customFormat="1">
      <c r="A105" s="5266"/>
      <c r="B105" s="1208" t="s">
        <v>267</v>
      </c>
      <c r="C105" s="1211"/>
      <c r="D105" s="883">
        <f>'12.2.Нови дейности или обекти'!C31+'12.2.Нови дейности или обекти'!H31+'12.2.Нови дейности или обекти'!M31+'12.2.Нови дейности или обекти'!R31+'12.2.Нови дейности или обекти'!W31+'12.2.Нови дейности или обекти'!C54+'12.2.Нови дейности или обекти'!H54+'12.2.Нови дейности или обекти'!M54+'12.2.Нови дейности или обекти'!R54+'12.2.Нови дейности или обекти'!W54</f>
        <v>0</v>
      </c>
      <c r="E105" s="1198">
        <f>D76-D105</f>
        <v>3.6700000000000017</v>
      </c>
      <c r="F105" s="1198">
        <f>'12.2.Нови дейности или обекти'!D27+'12.2.Нови дейности или обекти'!I27+'12.2.Нови дейности или обекти'!N27+'12.2.Нови дейности или обекти'!S27+'12.2.Нови дейности или обекти'!X27++'12.2.Нови дейности или обекти'!D50+'12.2.Нови дейности или обекти'!I50+'12.2.Нови дейности или обекти'!N50+'12.2.Нови дейности или обекти'!S50+'12.2.Нови дейности или обекти'!X50</f>
        <v>0</v>
      </c>
      <c r="G105" s="1198">
        <f>F76-F105</f>
        <v>6.2700999999999993</v>
      </c>
      <c r="H105" s="1198">
        <f>'12.2.Нови дейности или обекти'!E27+'12.2.Нови дейности или обекти'!J27+'12.2.Нови дейности или обекти'!O27+'12.2.Нови дейности или обекти'!T27+'12.2.Нови дейности или обекти'!Y27+'12.2.Нови дейности или обекти'!E50+'12.2.Нови дейности или обекти'!J50+'12.2.Нови дейности или обекти'!O50+'12.2.Нови дейности или обекти'!T50+'12.2.Нови дейности или обекти'!Y50</f>
        <v>0</v>
      </c>
      <c r="I105" s="1198">
        <f>H76-H105</f>
        <v>8.9482030000000066</v>
      </c>
      <c r="J105" s="1198">
        <f>'12.2.Нови дейности или обекти'!F27+'12.2.Нови дейности или обекти'!K27+'12.2.Нови дейности или обекти'!P27+'12.2.Нови дейности или обекти'!U27+'12.2.Нови дейности или обекти'!Z27+'12.2.Нови дейности или обекти'!F50+'12.2.Нови дейности или обекти'!K50+'12.2.Нови дейности или обекти'!P50+'12.2.Нови дейности или обекти'!U50+'12.2.Нови дейности или обекти'!Z50</f>
        <v>0</v>
      </c>
      <c r="K105" s="1198">
        <f>J76-J105</f>
        <v>11.706649090000013</v>
      </c>
      <c r="L105" s="1198">
        <f>'12.2.Нови дейности или обекти'!G27+'12.2.Нови дейности или обекти'!L27+'12.2.Нови дейности или обекти'!Q27+'12.2.Нови дейности или обекти'!V27+'12.2.Нови дейности или обекти'!AA27+'12.2.Нови дейности или обекти'!G50+'12.2.Нови дейности или обекти'!L50+'12.2.Нови дейности или обекти'!Q50+'12.2.Нови дейности или обекти'!V50+'12.2.Нови дейности или обекти'!AA50</f>
        <v>0</v>
      </c>
      <c r="M105" s="1203">
        <f>L76-L105</f>
        <v>14.547848562700011</v>
      </c>
      <c r="N105" s="1211"/>
      <c r="O105" s="1202">
        <f>'12.2.Нови дейности или обекти'!C78+'12.2.Нови дейности или обекти'!H78+'12.2.Нови дейности или обекти'!M78+'12.2.Нови дейности или обекти'!R78+'12.2.Нови дейности или обекти'!W78+'12.2.Нови дейности или обекти'!C101+'12.2.Нови дейности или обекти'!H101+'12.2.Нови дейности или обекти'!M101+'12.2.Нови дейности или обекти'!R101+'12.2.Нови дейности или обекти'!W101</f>
        <v>0</v>
      </c>
      <c r="P105" s="1198">
        <f>O76-O105</f>
        <v>0.20999999999999996</v>
      </c>
      <c r="Q105" s="1198">
        <f>'12.2.Нови дейности или обекти'!D78+'12.2.Нови дейности или обекти'!I78+'12.2.Нови дейности или обекти'!N78+'12.2.Нови дейности или обекти'!S78+'12.2.Нови дейности или обекти'!X78+'12.2.Нови дейности или обекти'!D101+'12.2.Нови дейности или обекти'!I101+'12.2.Нови дейности или обекти'!N101+'12.2.Нови дейности или обекти'!S101+'12.2.Нови дейности или обекти'!X101</f>
        <v>0</v>
      </c>
      <c r="R105" s="1198">
        <f>Q76-Q105</f>
        <v>0.30630000000000024</v>
      </c>
      <c r="S105" s="1198">
        <f>'12.2.Нови дейности или обекти'!E78+'12.2.Нови дейности или обекти'!J78+'12.2.Нови дейности или обекти'!O78+'12.2.Нови дейности или обекти'!T78+'12.2.Нови дейности или обекти'!Y78+'12.2.Нови дейности или обекти'!E101+'12.2.Нови дейности или обекти'!J101+'12.2.Нови дейности или обекти'!O101+'12.2.Нови дейности или обекти'!T101+'12.2.Нови дейности или обекти'!Y101</f>
        <v>0</v>
      </c>
      <c r="T105" s="1198">
        <f>S76-S105</f>
        <v>0.40548900000000021</v>
      </c>
      <c r="U105" s="1198">
        <f>'12.2.Нови дейности или обекти'!F78+'12.2.Нови дейности или обекти'!K78+'12.2.Нови дейности или обекти'!P78+'12.2.Нови дейности или обекти'!U78+'12.2.Нови дейности или обекти'!Z78+'12.2.Нови дейности или обекти'!F101+'12.2.Нови дейности или обекти'!K101+'12.2.Нови дейности или обекти'!P101+'12.2.Нови дейности или обекти'!U101+'12.2.Нови дейности или обекти'!Z101</f>
        <v>0</v>
      </c>
      <c r="V105" s="1198">
        <f>U76-U105</f>
        <v>0.50765367000000028</v>
      </c>
      <c r="W105" s="1198">
        <f>'12.2.Нови дейности или обекти'!G78+'12.2.Нови дейности или обекти'!L78+'12.2.Нови дейности или обекти'!Q78+'12.2.Нови дейности или обекти'!V78+'12.2.Нови дейности или обекти'!AA78+'12.2.Нови дейности или обекти'!G101+'12.2.Нови дейности или обекти'!L101+'12.2.Нови дейности или обекти'!Q101+'12.2.Нови дейности или обекти'!V101+'12.2.Нови дейности или обекти'!AA101</f>
        <v>0</v>
      </c>
      <c r="X105" s="1203">
        <f>W76-W105</f>
        <v>0.61288328010000059</v>
      </c>
      <c r="Y105" s="1211"/>
      <c r="Z105" s="1202">
        <f>'12.2.Нови дейности или обекти'!C125+'12.2.Нови дейности или обекти'!H125+'12.2.Нови дейности или обекти'!M125+'12.2.Нови дейности или обекти'!R125+'12.2.Нови дейности или обекти'!W125+'12.2.Нови дейности или обекти'!C148+'12.2.Нови дейности или обекти'!H148+'12.2.Нови дейности или обекти'!M148+'12.2.Нови дейности или обекти'!R148+'12.2.Нови дейности или обекти'!W148</f>
        <v>0</v>
      </c>
      <c r="AA105" s="1198">
        <f>Z76-Z105</f>
        <v>0.28000000000000025</v>
      </c>
      <c r="AB105" s="1198">
        <f>'12.2.Нови дейности или обекти'!D125+'12.2.Нови дейности или обекти'!I125+'12.2.Нови дейности или обекти'!N125+'12.2.Нови дейности или обекти'!S125+'12.2.Нови дейности или обекти'!X125+'12.2.Нови дейности или обекти'!D148+'12.2.Нови дейности или обекти'!I148+'12.2.Нови дейности или обекти'!N148+'12.2.Нови дейности или обекти'!S148+'12.2.Нови дейности или обекти'!X148</f>
        <v>0</v>
      </c>
      <c r="AC105" s="1198">
        <f>AB76-AB105</f>
        <v>0.40840000000000032</v>
      </c>
      <c r="AD105" s="1198">
        <f>'12.2.Нови дейности или обекти'!E125+'12.2.Нови дейности или обекти'!J125+'12.2.Нови дейности или обекти'!O125+'12.2.Нови дейности или обекти'!T125+'12.2.Нови дейности или обекти'!Y125+'12.2.Нови дейности или обекти'!E148+'12.2.Нови дейности или обекти'!J148+'12.2.Нови дейности или обекти'!O148+'12.2.Нови дейности или обекти'!T148+'12.2.Нови дейности или обекти'!Y148</f>
        <v>0</v>
      </c>
      <c r="AE105" s="1198">
        <f>AD76-AD105</f>
        <v>0.54065200000000058</v>
      </c>
      <c r="AF105" s="1198">
        <f>'12.2.Нови дейности или обекти'!F125+'12.2.Нови дейности или обекти'!K125+'12.2.Нови дейности или обекти'!P125+'12.2.Нови дейности или обекти'!U125+'12.2.Нови дейности или обекти'!Z125+'12.2.Нови дейности или обекти'!F148+'12.2.Нови дейности или обекти'!K148+'12.2.Нови дейности или обекти'!P148+'12.2.Нови дейности или обекти'!U148+'12.2.Нови дейности или обекти'!Z148</f>
        <v>1</v>
      </c>
      <c r="AG105" s="1198">
        <f>AF76-AF105</f>
        <v>-0.32312843999999963</v>
      </c>
      <c r="AH105" s="1198">
        <f>'12.2.Нови дейности или обекти'!G125+'12.2.Нови дейности или обекти'!L125+'12.2.Нови дейности или обекти'!Q125+'12.2.Нови дейности или обекти'!V125+'12.2.Нови дейности или обекти'!AA125+'12.2.Нови дейности или обекти'!G148+'12.2.Нови дейности или обекти'!L148+'12.2.Нови дейности или обекти'!Q148+'12.2.Нови дейности или обекти'!V148+'12.2.Нови дейности или обекти'!AA148</f>
        <v>1</v>
      </c>
      <c r="AI105" s="1203">
        <f>AH76-AH105</f>
        <v>-0.18282229319999921</v>
      </c>
      <c r="AJ105" s="678"/>
      <c r="AK105" s="678"/>
      <c r="AL105" s="678"/>
      <c r="AM105" s="1150"/>
      <c r="AN105" s="1149"/>
      <c r="AO105" s="1150"/>
      <c r="AP105" s="1149"/>
      <c r="AQ105" s="1150"/>
      <c r="AR105" s="1149"/>
      <c r="AS105" s="1150"/>
      <c r="AT105" s="1149"/>
      <c r="AU105" s="1149"/>
      <c r="AV105" s="1150"/>
      <c r="AW105" s="1149"/>
      <c r="AX105" s="1150"/>
      <c r="AY105" s="1149"/>
      <c r="AZ105" s="1150"/>
      <c r="BA105" s="1149"/>
      <c r="BB105" s="1150"/>
      <c r="BC105" s="1149"/>
      <c r="BD105" s="1150"/>
      <c r="BE105" s="1149"/>
      <c r="BF105" s="4422"/>
      <c r="BH105" s="4438">
        <f t="shared" si="61"/>
        <v>0</v>
      </c>
      <c r="BI105" s="4438">
        <f t="shared" si="62"/>
        <v>0</v>
      </c>
      <c r="BJ105" s="4438">
        <f t="shared" si="63"/>
        <v>0</v>
      </c>
      <c r="BK105" s="4438">
        <f t="shared" si="64"/>
        <v>0</v>
      </c>
      <c r="BL105" s="4438">
        <f t="shared" si="65"/>
        <v>0</v>
      </c>
      <c r="BN105" s="4438">
        <f t="shared" si="66"/>
        <v>0</v>
      </c>
      <c r="BO105" s="4438">
        <f t="shared" si="67"/>
        <v>0</v>
      </c>
      <c r="BP105" s="4438">
        <f t="shared" si="68"/>
        <v>0</v>
      </c>
      <c r="BQ105" s="4438">
        <f t="shared" si="69"/>
        <v>0</v>
      </c>
      <c r="BR105" s="4438">
        <f t="shared" si="70"/>
        <v>0</v>
      </c>
      <c r="BT105" s="4438">
        <f t="shared" si="71"/>
        <v>0</v>
      </c>
      <c r="BU105" s="4438">
        <f t="shared" si="72"/>
        <v>0</v>
      </c>
      <c r="BV105" s="4438">
        <f t="shared" si="73"/>
        <v>0</v>
      </c>
      <c r="BW105" s="4438">
        <f t="shared" si="74"/>
        <v>0.51129188119621849</v>
      </c>
      <c r="BX105" s="4438">
        <f t="shared" si="75"/>
        <v>0.51129188119621849</v>
      </c>
    </row>
    <row r="106" spans="1:76" s="44" customFormat="1" ht="15.75" thickBot="1">
      <c r="A106" s="5267"/>
      <c r="B106" s="1209" t="s">
        <v>1234</v>
      </c>
      <c r="C106" s="1212"/>
      <c r="D106" s="1210">
        <f>'12.2.Нови дейности или обекти'!C21+'12.2.Нови дейности или обекти'!H21+'12.2.Нови дейности или обекти'!M21+'12.2.Нови дейности или обекти'!R21+'12.2.Нови дейности или обекти'!W21+'12.2.Нови дейности или обекти'!C44+'12.2.Нови дейности или обекти'!H44+'12.2.Нови дейности или обекти'!M44+'12.2.Нови дейности или обекти'!R44+'12.2.Нови дейности или обекти'!W44</f>
        <v>0</v>
      </c>
      <c r="E106" s="1199">
        <f>D88-D106</f>
        <v>7029.7697300488071</v>
      </c>
      <c r="F106" s="1199">
        <f>'12.2.Нови дейности или обекти'!D28+'12.2.Нови дейности или обекти'!I28+'12.2.Нови дейности или обекти'!N28+'12.2.Нови дейности или обекти'!S28+'12.2.Нови дейности или обекти'!X28++'12.2.Нови дейности или обекти'!D51+'12.2.Нови дейности или обекти'!I51+'12.2.Нови дейности или обекти'!N51+'12.2.Нови дейности или обекти'!S51+'12.2.Нови дейности или обекти'!X51</f>
        <v>0</v>
      </c>
      <c r="G106" s="1199">
        <f>F88-F106</f>
        <v>9218.4584046745767</v>
      </c>
      <c r="H106" s="1199">
        <f>'12.2.Нови дейности или обекти'!E28+'12.2.Нови дейности или обекти'!J28+'12.2.Нови дейности или обекти'!O28+'12.2.Нови дейности или обекти'!T28+'12.2.Нови дейности или обекти'!Y28+'12.2.Нови дейности или обекти'!E51+'12.2.Нови дейности или обекти'!J51+'12.2.Нови дейности или обекти'!O51+'12.2.Нови дейности или обекти'!T51+'12.2.Нови дейности или обекти'!Y51</f>
        <v>0</v>
      </c>
      <c r="I106" s="1199">
        <f>H88-H106</f>
        <v>11720.422416075558</v>
      </c>
      <c r="J106" s="1199">
        <f>'12.2.Нови дейности или обекти'!F28+'12.2.Нови дейности или обекти'!K28+'12.2.Нови дейности или обекти'!P28+'12.2.Нови дейности или обекти'!U28+'12.2.Нови дейности или обекти'!Z28+'12.2.Нови дейности или обекти'!F51+'12.2.Нови дейности или обекти'!K51+'12.2.Нови дейности или обекти'!P51+'12.2.Нови дейности или обекти'!U51+'12.2.Нови дейности или обекти'!Z51</f>
        <v>350</v>
      </c>
      <c r="K106" s="1199">
        <f>J88-J106</f>
        <v>15118.750470597417</v>
      </c>
      <c r="L106" s="1199">
        <f>'12.2.Нови дейности или обекти'!G28+'12.2.Нови дейности или обекти'!L28+'12.2.Нови дейности или обекти'!Q28+'12.2.Нови дейности или обекти'!V28+'12.2.Нови дейности или обекти'!AA28+'12.2.Нови дейности или обекти'!G51+'12.2.Нови дейности или обекти'!L51+'12.2.Нови дейности или обекти'!Q51+'12.2.Нови дейности или обекти'!V51+'12.2.Нови дейности или обекти'!AA51</f>
        <v>456</v>
      </c>
      <c r="M106" s="1205">
        <f>L88-L106</f>
        <v>17803.225642354413</v>
      </c>
      <c r="N106" s="1212"/>
      <c r="O106" s="1204">
        <f>'12.2.Нови дейности или обекти'!C68+'12.2.Нови дейности или обекти'!H68+'12.2.Нови дейности или обекти'!M68+'12.2.Нови дейности или обекти'!R68+'12.2.Нови дейности или обекти'!W68+'12.2.Нови дейности или обекти'!C91+'12.2.Нови дейности или обекти'!H91+'12.2.Нови дейности или обекти'!M91+'12.2.Нови дейности или обекти'!R91+'12.2.Нови дейности или обекти'!W91</f>
        <v>0</v>
      </c>
      <c r="P106" s="1199">
        <f>O88-O106</f>
        <v>609.13375717706435</v>
      </c>
      <c r="Q106" s="1199">
        <f>'12.2.Нови дейности или обекти'!D68+'12.2.Нови дейности или обекти'!I68+'12.2.Нови дейности или обекти'!N68+'12.2.Нови дейности или обекти'!S68+'12.2.Нови дейности или обекти'!X68+'12.2.Нови дейности или обекти'!D91+'12.2.Нови дейности или обекти'!I91+'12.2.Нови дейности или обекти'!N91+'12.2.Нови дейности или обекти'!S91+'12.2.Нови дейности или обекти'!X91</f>
        <v>0</v>
      </c>
      <c r="R106" s="1199">
        <f>Q88-Q106</f>
        <v>732.40403145773757</v>
      </c>
      <c r="S106" s="1199">
        <f>'12.2.Нови дейности или обекти'!E68+'12.2.Нови дейности или обекти'!J68+'12.2.Нови дейности или обекти'!O68+'12.2.Нови дейности или обекти'!T68+'12.2.Нови дейности или обекти'!Y68+'12.2.Нови дейности или обекти'!E91+'12.2.Нови дейности или обекти'!J91+'12.2.Нови дейности или обекти'!O91+'12.2.Нови дейности или обекти'!T91+'12.2.Нови дейности или обекти'!Y91</f>
        <v>0</v>
      </c>
      <c r="T106" s="1199">
        <f>S88-S106</f>
        <v>634.55180190331089</v>
      </c>
      <c r="U106" s="1199">
        <f>'12.2.Нови дейности или обекти'!F68+'12.2.Нови дейности или обекти'!K68+'12.2.Нови дейности или обекти'!P68+'12.2.Нови дейности или обекти'!U68+'12.2.Нови дейности или обекти'!Z68+'12.2.Нови дейности или обекти'!F91+'12.2.Нови дейности или обекти'!K91+'12.2.Нови дейности или обекти'!P91+'12.2.Нови дейности или обекти'!U91+'12.2.Нови дейности или обекти'!Z91</f>
        <v>0</v>
      </c>
      <c r="V106" s="1199">
        <f>U88-U106</f>
        <v>894.14201809221845</v>
      </c>
      <c r="W106" s="1199">
        <f>'12.2.Нови дейности или обекти'!G68+'12.2.Нови дейности или обекти'!L68+'12.2.Нови дейности или обекти'!Q68+'12.2.Нови дейности или обекти'!V68+'12.2.Нови дейности или обекти'!AA68+'12.2.Нови дейности или обекти'!G91+'12.2.Нови дейности или обекти'!L91+'12.2.Нови дейности или обекти'!Q91+'12.2.Нови дейности или обекти'!V91+'12.2.Нови дейности или обекти'!AA91</f>
        <v>0</v>
      </c>
      <c r="X106" s="1205">
        <f>W88-W106</f>
        <v>1009.8100929376644</v>
      </c>
      <c r="Y106" s="1212"/>
      <c r="Z106" s="1204">
        <f>'12.2.Нови дейности или обекти'!C115+'12.2.Нови дейности или обекти'!H115+'12.2.Нови дейности или обекти'!M115+'12.2.Нови дейности или обекти'!R115+'12.2.Нови дейности или обекти'!W115+'12.2.Нови дейности или обекти'!C138+'12.2.Нови дейности или обекти'!H138+'12.2.Нови дейности или обекти'!M138+'12.2.Нови дейности или обекти'!R138+'12.2.Нови дейности или обекти'!W138</f>
        <v>0</v>
      </c>
      <c r="AA106" s="1199">
        <f>Z88-Z106</f>
        <v>981.35749712269535</v>
      </c>
      <c r="AB106" s="1199">
        <f>'12.2.Нови дейности или обекти'!D115+'12.2.Нови дейности или обекти'!I115+'12.2.Нови дейности или обекти'!N115+'12.2.Нови дейности или обекти'!S115+'12.2.Нови дейности или обекти'!X115+'12.2.Нови дейности или обекти'!D138+'12.2.Нови дейности или обекти'!I138+'12.2.Нови дейности или обекти'!N138+'12.2.Нови дейности или обекти'!S138+'12.2.Нови дейности или обекти'!X138</f>
        <v>0</v>
      </c>
      <c r="AC106" s="1199">
        <f>AB88-AB106</f>
        <v>1230.9348400561394</v>
      </c>
      <c r="AD106" s="1199">
        <f>'12.2.Нови дейности или обекти'!E115+'12.2.Нови дейности или обекти'!J115+'12.2.Нови дейности или обекти'!O115+'12.2.Нови дейности или обекти'!T115+'12.2.Нови дейности или обекти'!Y115+'12.2.Нови дейности или обекти'!E138+'12.2.Нови дейности или обекти'!J138+'12.2.Нови дейности или обекти'!O138+'12.2.Нови дейности или обекти'!T138+'12.2.Нови дейности или обекти'!Y138</f>
        <v>0</v>
      </c>
      <c r="AE106" s="1199">
        <f>AD88-AD106</f>
        <v>1363.6811880186838</v>
      </c>
      <c r="AF106" s="1199">
        <f>'12.2.Нови дейности или обекти'!F115+'12.2.Нови дейности или обекти'!K115+'12.2.Нови дейности или обекти'!P115+'12.2.Нови дейности или обекти'!U115+'12.2.Нови дейности или обекти'!Z115+'12.2.Нови дейности или обекти'!F138+'12.2.Нови дейности или обекти'!K138+'12.2.Нови дейности или обекти'!P138+'12.2.Нови дейности или обекти'!U138+'12.2.Нови дейности или обекти'!Z138</f>
        <v>465</v>
      </c>
      <c r="AG106" s="1199">
        <f>AF88-AF106</f>
        <v>1280.2537870046031</v>
      </c>
      <c r="AH106" s="1199">
        <f>'12.2.Нови дейности или обекти'!G115+'12.2.Нови дейности или обекти'!L115+'12.2.Нови дейности или обекти'!Q115+'12.2.Нови дейности или обекти'!V115+'12.2.Нови дейности или обекти'!AA115+'12.2.Нови дейности или обекти'!G138+'12.2.Нови дейности или обекти'!L138+'12.2.Нови дейности или обекти'!Q138+'12.2.Нови дейности или обекти'!V138+'12.2.Нови дейности или обекти'!AA138</f>
        <v>551</v>
      </c>
      <c r="AI106" s="1205">
        <f>AH88-AH106</f>
        <v>1400.5073619099621</v>
      </c>
      <c r="AJ106" s="678"/>
      <c r="AK106" s="678"/>
      <c r="AL106" s="678"/>
      <c r="AM106" s="1150"/>
      <c r="AN106" s="1149"/>
      <c r="AO106" s="45"/>
      <c r="AP106" s="45"/>
      <c r="AQ106" s="3106"/>
      <c r="AR106" s="3107"/>
      <c r="AS106" s="681"/>
      <c r="AT106" s="682"/>
      <c r="AU106" s="1149"/>
      <c r="AV106" s="1150"/>
      <c r="AW106" s="1149"/>
      <c r="AX106" s="1150"/>
      <c r="AY106" s="1149"/>
      <c r="AZ106" s="1150"/>
      <c r="BA106" s="1149"/>
      <c r="BB106" s="1150"/>
      <c r="BC106" s="1149"/>
      <c r="BD106" s="1150"/>
      <c r="BE106" s="1149"/>
      <c r="BF106" s="4422"/>
      <c r="BH106" s="4438">
        <f t="shared" si="61"/>
        <v>0</v>
      </c>
      <c r="BI106" s="4438">
        <f t="shared" si="62"/>
        <v>0</v>
      </c>
      <c r="BJ106" s="4438">
        <f t="shared" si="63"/>
        <v>0</v>
      </c>
      <c r="BK106" s="4438">
        <f t="shared" si="64"/>
        <v>178.95215841867648</v>
      </c>
      <c r="BL106" s="4438">
        <f t="shared" si="65"/>
        <v>233.14909782547562</v>
      </c>
      <c r="BN106" s="4438">
        <f t="shared" si="66"/>
        <v>0</v>
      </c>
      <c r="BO106" s="4438">
        <f t="shared" si="67"/>
        <v>0</v>
      </c>
      <c r="BP106" s="4438">
        <f t="shared" si="68"/>
        <v>0</v>
      </c>
      <c r="BQ106" s="4438">
        <f t="shared" si="69"/>
        <v>0</v>
      </c>
      <c r="BR106" s="4438">
        <f t="shared" si="70"/>
        <v>0</v>
      </c>
      <c r="BT106" s="4438">
        <f t="shared" si="71"/>
        <v>0</v>
      </c>
      <c r="BU106" s="4438">
        <f t="shared" si="72"/>
        <v>0</v>
      </c>
      <c r="BV106" s="4438">
        <f t="shared" si="73"/>
        <v>0</v>
      </c>
      <c r="BW106" s="4438">
        <f t="shared" si="74"/>
        <v>237.7507247562416</v>
      </c>
      <c r="BX106" s="4438">
        <f t="shared" si="75"/>
        <v>281.72182653911636</v>
      </c>
    </row>
    <row r="107" spans="1:76" s="676" customFormat="1">
      <c r="A107" s="4343"/>
      <c r="B107" s="4344"/>
      <c r="C107" s="4345"/>
      <c r="D107" s="4346"/>
      <c r="E107" s="4346"/>
      <c r="F107" s="4346"/>
      <c r="G107" s="4346"/>
      <c r="H107" s="4346"/>
      <c r="I107" s="4346"/>
      <c r="J107" s="4346"/>
      <c r="K107" s="4346"/>
      <c r="L107" s="4346"/>
      <c r="M107" s="4346"/>
      <c r="N107" s="4345"/>
      <c r="O107" s="4346"/>
      <c r="P107" s="4346"/>
      <c r="Q107" s="4346"/>
      <c r="R107" s="4346"/>
      <c r="S107" s="4346"/>
      <c r="T107" s="4346"/>
      <c r="U107" s="4346"/>
      <c r="V107" s="4346"/>
      <c r="W107" s="4346"/>
      <c r="X107" s="4346"/>
      <c r="Y107" s="4345"/>
      <c r="Z107" s="4346"/>
      <c r="AA107" s="4346"/>
      <c r="AB107" s="4346"/>
      <c r="AC107" s="4346"/>
      <c r="AD107" s="4346"/>
      <c r="AE107" s="4346"/>
      <c r="AF107" s="4346"/>
      <c r="AG107" s="4346"/>
      <c r="AH107" s="4346"/>
      <c r="AI107" s="4346"/>
      <c r="AJ107" s="4347"/>
      <c r="AK107" s="4347"/>
      <c r="AL107" s="4347"/>
      <c r="AM107" s="4348"/>
      <c r="AN107" s="4349"/>
      <c r="AO107" s="4350"/>
      <c r="AP107" s="4350"/>
      <c r="AQ107" s="4351"/>
      <c r="AR107" s="2396"/>
      <c r="AS107" s="3954"/>
      <c r="AT107" s="4352"/>
      <c r="AU107" s="4349"/>
      <c r="AV107" s="4348"/>
      <c r="AW107" s="4349"/>
      <c r="AX107" s="4348"/>
      <c r="AY107" s="4349"/>
      <c r="AZ107" s="4348"/>
      <c r="BA107" s="4349"/>
      <c r="BB107" s="4348"/>
      <c r="BC107" s="4349"/>
      <c r="BD107" s="4348"/>
      <c r="BE107" s="4349"/>
    </row>
    <row r="108" spans="1:76" s="676" customFormat="1">
      <c r="A108" s="4343"/>
      <c r="B108" s="4344"/>
      <c r="C108" s="3103" t="str">
        <f>'Приложение '!B82</f>
        <v>Дата: 29.06.2026</v>
      </c>
      <c r="D108" s="4346"/>
      <c r="E108" s="4346"/>
      <c r="F108" s="4346"/>
      <c r="G108" s="4346"/>
      <c r="H108" s="4346"/>
      <c r="I108" s="4346"/>
      <c r="J108" s="4346"/>
      <c r="K108" s="4346"/>
      <c r="L108" s="4346"/>
      <c r="M108" s="4346"/>
      <c r="N108" s="4345"/>
      <c r="O108" s="4346"/>
      <c r="P108" s="4346"/>
      <c r="Q108" s="4346"/>
      <c r="R108" s="4346"/>
      <c r="S108" s="4346"/>
      <c r="T108" s="4346"/>
      <c r="U108" s="4346"/>
      <c r="V108" s="4346"/>
      <c r="W108" s="4346"/>
      <c r="X108" s="4346"/>
      <c r="Y108" s="4345"/>
      <c r="Z108" s="4346"/>
      <c r="AA108" s="4346"/>
      <c r="AB108" s="4346"/>
      <c r="AC108" s="4346"/>
      <c r="AD108" s="4346"/>
      <c r="AE108" s="4346"/>
      <c r="AF108" s="4346"/>
      <c r="AG108" s="4346"/>
      <c r="AH108" s="4346"/>
      <c r="AI108" s="4346"/>
      <c r="AJ108" s="4347"/>
      <c r="AK108" s="4347"/>
      <c r="AL108" s="4347"/>
      <c r="AM108" s="4348"/>
      <c r="AN108" s="4349"/>
      <c r="AO108" s="4350"/>
      <c r="AP108" s="4350"/>
      <c r="AQ108" s="4351"/>
      <c r="AR108" s="2396"/>
      <c r="AS108" s="3954"/>
      <c r="AT108" s="4352"/>
      <c r="AU108" s="4349"/>
      <c r="AV108" s="4348"/>
      <c r="AW108" s="4349"/>
      <c r="AX108" s="4348"/>
      <c r="AY108" s="4349"/>
      <c r="AZ108" s="4348"/>
      <c r="BA108" s="4349"/>
      <c r="BB108" s="4348"/>
      <c r="BC108" s="4349"/>
      <c r="BD108" s="4348"/>
      <c r="BE108" s="4349"/>
    </row>
    <row r="109" spans="1:76" s="676" customFormat="1">
      <c r="A109" s="4343"/>
      <c r="B109" s="4344"/>
      <c r="C109" s="3103"/>
      <c r="D109" s="4346"/>
      <c r="E109" s="4346"/>
      <c r="F109" s="4346"/>
      <c r="G109" s="4346"/>
      <c r="H109" s="4346"/>
      <c r="I109" s="4346"/>
      <c r="J109" s="4346"/>
      <c r="K109" s="4346"/>
      <c r="L109" s="4346"/>
      <c r="M109" s="4346"/>
      <c r="N109" s="4345"/>
      <c r="O109" s="4346"/>
      <c r="P109" s="4346"/>
      <c r="Q109" s="4346"/>
      <c r="R109" s="4346"/>
      <c r="S109" s="4346"/>
      <c r="T109" s="4346"/>
      <c r="U109" s="4346"/>
      <c r="V109" s="4346"/>
      <c r="W109" s="4346"/>
      <c r="X109" s="4346"/>
      <c r="Y109" s="4345"/>
      <c r="Z109" s="4346"/>
      <c r="AA109" s="4346"/>
      <c r="AB109" s="4346"/>
      <c r="AC109" s="4346"/>
      <c r="AD109" s="4346"/>
      <c r="AE109" s="4346"/>
      <c r="AF109" s="4346"/>
      <c r="AG109" s="4346"/>
      <c r="AH109" s="4346"/>
      <c r="AI109" s="4346"/>
      <c r="AJ109" s="4347"/>
      <c r="AK109" s="4347"/>
      <c r="AL109" s="4347"/>
      <c r="AM109" s="4348"/>
      <c r="AN109" s="4349"/>
      <c r="AO109" s="4350"/>
      <c r="AP109" s="4350"/>
      <c r="AQ109" s="4351"/>
      <c r="AR109" s="2396"/>
      <c r="AS109" s="3954"/>
      <c r="AT109" s="4352"/>
      <c r="AU109" s="4349"/>
      <c r="AV109" s="4348"/>
      <c r="AW109" s="4349"/>
      <c r="AX109" s="4348"/>
      <c r="AY109" s="4349"/>
      <c r="AZ109" s="4348"/>
      <c r="BA109" s="4349"/>
      <c r="BB109" s="4348"/>
      <c r="BC109" s="4349"/>
      <c r="BD109" s="4348"/>
      <c r="BE109" s="4349"/>
    </row>
    <row r="110" spans="1:76" s="676" customFormat="1">
      <c r="A110" s="4343"/>
      <c r="B110" s="4344"/>
      <c r="C110" s="4345"/>
      <c r="D110" s="4346"/>
      <c r="E110" s="4346"/>
      <c r="F110" s="4346"/>
      <c r="G110" s="4346"/>
      <c r="H110" s="4346"/>
      <c r="I110" s="4346"/>
      <c r="J110" s="4346"/>
      <c r="K110" s="4346"/>
      <c r="L110" s="4346"/>
      <c r="M110" s="4346"/>
      <c r="N110" s="4345"/>
      <c r="O110" s="4346"/>
      <c r="P110" s="4346"/>
      <c r="Q110" s="4346"/>
      <c r="R110" s="4346"/>
      <c r="S110" s="4346"/>
      <c r="T110" s="4346"/>
      <c r="U110" s="4346"/>
      <c r="V110" s="4346"/>
      <c r="W110" s="4346"/>
      <c r="X110" s="4346"/>
      <c r="Y110" s="4345"/>
      <c r="Z110" s="4346"/>
      <c r="AA110" s="4346"/>
      <c r="AB110" s="4346"/>
      <c r="AC110" s="4346"/>
      <c r="AD110" s="4346"/>
      <c r="AE110" s="4346"/>
      <c r="AF110" s="4346"/>
      <c r="AG110" s="4346"/>
      <c r="AH110" s="4346"/>
      <c r="AI110" s="4346"/>
      <c r="AJ110" s="4347"/>
      <c r="AK110" s="4347"/>
      <c r="AL110" s="4347"/>
      <c r="AM110" s="4348"/>
      <c r="AN110" s="4349"/>
      <c r="AO110" s="4350"/>
      <c r="AP110" s="4350"/>
      <c r="AQ110" s="4351"/>
      <c r="AR110" s="2396"/>
      <c r="AS110" s="3954"/>
      <c r="AT110" s="4352"/>
      <c r="AU110" s="4349"/>
      <c r="AV110" s="4348"/>
      <c r="AW110" s="4349"/>
      <c r="AX110" s="4348"/>
      <c r="AY110" s="4349"/>
      <c r="AZ110" s="4348"/>
      <c r="BA110" s="4349"/>
      <c r="BB110" s="4348"/>
      <c r="BC110" s="4349"/>
      <c r="BD110" s="4348"/>
      <c r="BE110" s="4349"/>
    </row>
    <row r="111" spans="1:76" s="676" customFormat="1">
      <c r="A111" s="4353"/>
      <c r="B111" s="4353"/>
      <c r="C111" s="4354" t="s">
        <v>187</v>
      </c>
      <c r="D111" s="4355"/>
      <c r="E111" s="4356"/>
      <c r="F111" s="4355"/>
      <c r="G111" s="4356"/>
      <c r="H111" s="4355"/>
      <c r="I111" s="4356"/>
      <c r="J111" s="4355"/>
      <c r="K111" s="4356"/>
      <c r="L111" s="4355"/>
      <c r="M111" s="4356"/>
      <c r="N111" s="4356"/>
      <c r="O111" s="4355"/>
      <c r="P111" s="4356"/>
      <c r="Q111" s="4355"/>
      <c r="R111" s="4356"/>
      <c r="S111" s="4355"/>
      <c r="T111" s="4356"/>
      <c r="U111" s="4355"/>
      <c r="V111" s="4356"/>
      <c r="W111" s="4355"/>
      <c r="X111" s="4356"/>
      <c r="Y111" s="4356"/>
      <c r="Z111" s="4357"/>
      <c r="AA111" s="4356"/>
      <c r="AB111" s="4357"/>
      <c r="AC111" s="4356"/>
      <c r="AD111" s="4357"/>
      <c r="AE111" s="4356"/>
      <c r="AF111" s="4357"/>
      <c r="AG111" s="4356"/>
      <c r="AH111" s="4357"/>
      <c r="AI111" s="4356"/>
      <c r="AJ111" s="4347"/>
      <c r="AK111" s="4347"/>
      <c r="AL111" s="4347"/>
      <c r="AM111" s="4357"/>
      <c r="AN111" s="4356"/>
      <c r="AO111" s="4350"/>
      <c r="AP111" s="4350"/>
      <c r="AQ111" s="4351"/>
      <c r="AR111" s="4358"/>
      <c r="AS111" s="4359"/>
      <c r="AT111" s="4359"/>
      <c r="AU111" s="4360"/>
      <c r="AV111" s="4360"/>
      <c r="AW111" s="4361"/>
      <c r="AX111" s="4360"/>
      <c r="AY111" s="4361"/>
      <c r="AZ111" s="4360"/>
      <c r="BA111" s="4361"/>
      <c r="BB111" s="4360"/>
      <c r="BC111" s="4356"/>
      <c r="BD111" s="4357"/>
      <c r="BE111" s="4356"/>
    </row>
    <row r="112" spans="1:76" s="44" customFormat="1" ht="34.5" customHeight="1">
      <c r="A112" s="690"/>
      <c r="B112" s="690"/>
      <c r="C112" s="5243" t="str">
        <f>"1. Справка №12.1. е резултативна от справка 12. и справка 12.2. и показва ефект за "&amp;D9&amp;" - "&amp;L9&amp;" от планираните разходи за нови обекти и/или дейности, вкл. в коефициента Qр, и ефективност на разходите  спрямо "&amp;C9</f>
        <v>1. Справка №12.1. е резултативна от справка 12. и справка 12.2. и показва ефект за 2027 г. - 2031 г. от планираните разходи за нови обекти и/или дейности, вкл. в коефициента Qр, и ефективност на разходите  спрямо 2024 г.</v>
      </c>
      <c r="D112" s="5243"/>
      <c r="E112" s="5243"/>
      <c r="F112" s="5243"/>
      <c r="G112" s="5243"/>
      <c r="H112" s="5243"/>
      <c r="I112" s="5243"/>
      <c r="J112" s="5243"/>
      <c r="K112" s="5243"/>
      <c r="L112" s="5243"/>
      <c r="M112" s="5243"/>
      <c r="N112" s="5243"/>
      <c r="O112" s="5243"/>
      <c r="P112" s="5243"/>
      <c r="Q112" s="5243"/>
      <c r="R112" s="5243"/>
      <c r="S112" s="5243"/>
      <c r="T112" s="5243"/>
      <c r="U112" s="5243"/>
      <c r="V112" s="5243"/>
      <c r="W112" s="5243"/>
      <c r="X112" s="5243"/>
      <c r="Y112" s="686"/>
      <c r="Z112" s="703"/>
      <c r="AA112" s="686"/>
      <c r="AB112" s="703"/>
      <c r="AC112" s="686"/>
      <c r="AD112" s="703"/>
      <c r="AE112" s="686"/>
      <c r="AF112" s="703"/>
      <c r="AG112" s="686"/>
      <c r="AH112" s="703"/>
      <c r="AI112" s="686"/>
      <c r="AJ112" s="686"/>
      <c r="AK112" s="703"/>
      <c r="AL112" s="686"/>
      <c r="AM112" s="703"/>
      <c r="AN112" s="686"/>
      <c r="AO112" s="703"/>
      <c r="AP112" s="686"/>
      <c r="AQ112" s="703"/>
      <c r="AR112" s="686"/>
      <c r="BB112" s="678"/>
      <c r="BC112" s="686"/>
      <c r="BD112" s="703"/>
      <c r="BE112" s="686"/>
    </row>
    <row r="113" spans="1:57">
      <c r="O113" s="827"/>
      <c r="P113" s="677"/>
      <c r="Q113" s="827"/>
      <c r="R113" s="677"/>
      <c r="S113" s="827"/>
      <c r="T113" s="677"/>
      <c r="U113" s="827"/>
      <c r="V113" s="677"/>
      <c r="AF113" s="3103"/>
      <c r="AK113" s="3103"/>
      <c r="AL113" s="677"/>
      <c r="AM113" s="3103"/>
      <c r="AN113" s="677"/>
      <c r="AO113" s="3103"/>
      <c r="AP113" s="677"/>
      <c r="AQ113" s="3103"/>
      <c r="AR113" s="677"/>
      <c r="BB113" s="678"/>
      <c r="BC113" s="677"/>
    </row>
    <row r="114" spans="1:57">
      <c r="B114" s="3104"/>
      <c r="C114" s="3104"/>
      <c r="AF114" s="686"/>
      <c r="AG114" s="41"/>
      <c r="AH114" s="3105"/>
      <c r="AI114" s="41"/>
      <c r="AJ114" s="41"/>
      <c r="AS114" s="703"/>
      <c r="AT114" s="822"/>
      <c r="BA114" s="32"/>
      <c r="BB114" s="678"/>
      <c r="BD114" s="3105"/>
      <c r="BE114" s="41"/>
    </row>
    <row r="115" spans="1:57">
      <c r="AF115" s="686"/>
      <c r="AG115" s="678"/>
      <c r="AH115" s="3108"/>
      <c r="AI115" s="678"/>
      <c r="AJ115" s="678"/>
      <c r="AT115" s="822"/>
      <c r="BA115" s="32"/>
      <c r="BB115" s="678"/>
      <c r="BD115" s="3108"/>
      <c r="BE115" s="678"/>
    </row>
    <row r="116" spans="1:57">
      <c r="AF116" s="686"/>
      <c r="AG116" s="678"/>
      <c r="AH116" s="3108"/>
      <c r="AI116" s="678"/>
      <c r="AJ116" s="678"/>
      <c r="AS116" s="3105"/>
      <c r="AT116" s="822"/>
      <c r="BA116" s="32"/>
      <c r="BB116" s="678"/>
      <c r="BD116" s="3108"/>
      <c r="BE116" s="678"/>
    </row>
    <row r="117" spans="1:57">
      <c r="AF117" s="686"/>
      <c r="AG117" s="678"/>
      <c r="AH117" s="3108"/>
      <c r="AI117" s="678"/>
      <c r="AJ117" s="678"/>
      <c r="AS117" s="3108"/>
      <c r="AT117" s="822"/>
      <c r="AV117" s="45"/>
      <c r="AW117" s="3106"/>
      <c r="AX117" s="3107"/>
      <c r="AY117" s="681"/>
      <c r="AZ117" s="682"/>
      <c r="BA117" s="32"/>
      <c r="BB117" s="678"/>
      <c r="BD117" s="3108"/>
      <c r="BE117" s="678"/>
    </row>
    <row r="118" spans="1:57">
      <c r="AF118" s="686"/>
      <c r="AG118" s="678"/>
      <c r="AH118" s="3108"/>
      <c r="AI118" s="678"/>
      <c r="AJ118" s="678"/>
      <c r="AS118" s="3108"/>
      <c r="AT118" s="822"/>
      <c r="BA118" s="32"/>
      <c r="BB118" s="678"/>
      <c r="BD118" s="3108"/>
      <c r="BE118" s="678"/>
    </row>
    <row r="119" spans="1:57" s="44" customFormat="1">
      <c r="D119" s="822"/>
      <c r="E119" s="45"/>
      <c r="F119" s="822"/>
      <c r="G119" s="45"/>
      <c r="H119" s="822"/>
      <c r="I119" s="45"/>
      <c r="J119" s="822"/>
      <c r="K119" s="45"/>
      <c r="L119" s="822"/>
      <c r="M119" s="45"/>
      <c r="N119" s="45"/>
      <c r="O119" s="822"/>
      <c r="P119" s="45"/>
      <c r="Q119" s="822"/>
      <c r="R119" s="45"/>
      <c r="S119" s="822"/>
      <c r="T119" s="45"/>
      <c r="U119" s="822"/>
      <c r="V119" s="45"/>
      <c r="AF119" s="686"/>
      <c r="AG119" s="678"/>
      <c r="AH119" s="3108"/>
      <c r="AI119" s="678"/>
      <c r="AJ119" s="678"/>
      <c r="AK119" s="702"/>
      <c r="AL119" s="45"/>
      <c r="AM119" s="702"/>
      <c r="AN119" s="45"/>
      <c r="AO119" s="702"/>
      <c r="AP119" s="45"/>
      <c r="AQ119" s="702"/>
      <c r="AR119" s="45"/>
      <c r="AS119" s="3108"/>
      <c r="AT119" s="822"/>
      <c r="BA119" s="32"/>
      <c r="BB119" s="45"/>
      <c r="BC119" s="45"/>
      <c r="BD119" s="3108"/>
      <c r="BE119" s="678"/>
    </row>
    <row r="120" spans="1:57" s="44" customFormat="1">
      <c r="D120" s="822"/>
      <c r="E120" s="683"/>
      <c r="F120" s="822"/>
      <c r="G120" s="683"/>
      <c r="H120" s="822"/>
      <c r="I120" s="683"/>
      <c r="J120" s="822"/>
      <c r="K120" s="683"/>
      <c r="L120" s="822"/>
      <c r="M120" s="683"/>
      <c r="N120" s="683"/>
      <c r="O120" s="822"/>
      <c r="P120" s="683"/>
      <c r="Q120" s="822"/>
      <c r="R120" s="683"/>
      <c r="S120" s="822"/>
      <c r="T120" s="683"/>
      <c r="U120" s="822"/>
      <c r="V120" s="683"/>
      <c r="AF120" s="686"/>
      <c r="AG120" s="678"/>
      <c r="AH120" s="3108"/>
      <c r="AI120" s="678"/>
      <c r="AJ120" s="678"/>
      <c r="AK120" s="702"/>
      <c r="AL120" s="683"/>
      <c r="AM120" s="702"/>
      <c r="AN120" s="683"/>
      <c r="AO120" s="702"/>
      <c r="AP120" s="683"/>
      <c r="AQ120" s="702"/>
      <c r="AR120" s="45"/>
      <c r="AS120" s="3108"/>
      <c r="AT120" s="822"/>
      <c r="AU120" s="683"/>
      <c r="AV120" s="683"/>
      <c r="AX120" s="685"/>
      <c r="AY120" s="681"/>
      <c r="AZ120" s="682"/>
      <c r="BA120" s="32"/>
      <c r="BB120" s="702"/>
      <c r="BC120" s="45"/>
      <c r="BD120" s="3108"/>
      <c r="BE120" s="678"/>
    </row>
    <row r="121" spans="1:57" s="44" customFormat="1">
      <c r="A121" s="23"/>
      <c r="C121" s="3110"/>
      <c r="D121" s="822"/>
      <c r="E121" s="45"/>
      <c r="F121" s="822"/>
      <c r="G121" s="45"/>
      <c r="H121" s="822"/>
      <c r="I121" s="45"/>
      <c r="J121" s="822"/>
      <c r="K121" s="45"/>
      <c r="L121" s="822"/>
      <c r="M121" s="45"/>
      <c r="N121" s="45"/>
      <c r="O121" s="822"/>
      <c r="P121" s="45"/>
      <c r="Q121" s="822"/>
      <c r="R121" s="45"/>
      <c r="S121" s="822"/>
      <c r="T121" s="45"/>
      <c r="U121" s="822"/>
      <c r="V121" s="45"/>
      <c r="AF121" s="702"/>
      <c r="AG121" s="678"/>
      <c r="AH121" s="3108"/>
      <c r="AI121" s="678"/>
      <c r="AJ121" s="678"/>
      <c r="AK121" s="702"/>
      <c r="AL121" s="45"/>
      <c r="AM121" s="702"/>
      <c r="AN121" s="45"/>
      <c r="AO121" s="702"/>
      <c r="AP121" s="45"/>
      <c r="AQ121" s="702"/>
      <c r="AR121" s="45"/>
      <c r="AS121" s="3108"/>
      <c r="AT121" s="678"/>
      <c r="AU121" s="678"/>
      <c r="AV121" s="702"/>
      <c r="AW121" s="45"/>
      <c r="AX121" s="702"/>
      <c r="AY121" s="45"/>
      <c r="AZ121" s="702"/>
      <c r="BA121" s="45"/>
      <c r="BB121" s="702"/>
      <c r="BC121" s="45"/>
      <c r="BD121" s="3108"/>
      <c r="BE121" s="678"/>
    </row>
    <row r="122" spans="1:57" s="44" customFormat="1">
      <c r="C122" s="380"/>
      <c r="D122" s="822"/>
      <c r="E122" s="45"/>
      <c r="F122" s="822"/>
      <c r="G122" s="45"/>
      <c r="H122" s="822"/>
      <c r="I122" s="45"/>
      <c r="J122" s="822"/>
      <c r="K122" s="45"/>
      <c r="L122" s="822"/>
      <c r="M122" s="45"/>
      <c r="N122" s="45"/>
      <c r="O122" s="822"/>
      <c r="P122" s="45"/>
      <c r="Q122" s="822"/>
      <c r="R122" s="45"/>
      <c r="S122" s="822"/>
      <c r="T122" s="45"/>
      <c r="U122" s="822"/>
      <c r="V122" s="45"/>
      <c r="W122" s="822"/>
      <c r="X122" s="45"/>
      <c r="Y122" s="45"/>
      <c r="Z122" s="702"/>
      <c r="AA122" s="45"/>
      <c r="AB122" s="702"/>
      <c r="AC122" s="45"/>
      <c r="AD122" s="702"/>
      <c r="AE122" s="45"/>
      <c r="AF122" s="702"/>
      <c r="AG122" s="45"/>
      <c r="AH122" s="702"/>
      <c r="AI122" s="45"/>
      <c r="AJ122" s="45"/>
      <c r="AK122" s="702"/>
      <c r="AL122" s="45"/>
      <c r="AM122" s="702"/>
      <c r="AN122" s="45"/>
      <c r="AO122" s="702"/>
      <c r="AP122" s="45"/>
      <c r="AQ122" s="702"/>
      <c r="AR122" s="45"/>
      <c r="AS122" s="702"/>
      <c r="AT122" s="45"/>
      <c r="AU122" s="45"/>
      <c r="AV122" s="702"/>
      <c r="AW122" s="45"/>
      <c r="AX122" s="702"/>
      <c r="AY122" s="45"/>
      <c r="AZ122" s="702"/>
      <c r="BA122" s="45"/>
      <c r="BB122" s="702"/>
      <c r="BC122" s="45"/>
      <c r="BD122" s="702"/>
      <c r="BE122" s="45"/>
    </row>
    <row r="123" spans="1:57" s="44" customFormat="1">
      <c r="A123" s="690"/>
      <c r="B123" s="690"/>
      <c r="C123" s="690"/>
      <c r="D123" s="823"/>
      <c r="E123" s="666"/>
      <c r="F123" s="823"/>
      <c r="G123" s="666"/>
      <c r="H123" s="823"/>
      <c r="I123" s="666"/>
      <c r="J123" s="825"/>
      <c r="K123" s="686"/>
      <c r="L123" s="825"/>
      <c r="M123" s="686"/>
      <c r="N123" s="686"/>
      <c r="O123" s="825"/>
      <c r="P123" s="686"/>
      <c r="Q123" s="825"/>
      <c r="R123" s="686"/>
      <c r="S123" s="825"/>
      <c r="T123" s="686"/>
      <c r="U123" s="825"/>
      <c r="V123" s="686"/>
      <c r="W123" s="825"/>
      <c r="X123" s="686"/>
      <c r="Y123" s="686"/>
      <c r="Z123" s="703"/>
      <c r="AA123" s="686"/>
      <c r="AB123" s="703"/>
      <c r="AC123" s="686"/>
      <c r="AD123" s="703"/>
      <c r="AE123" s="686"/>
      <c r="AF123" s="703"/>
      <c r="AG123" s="686"/>
      <c r="AH123" s="703"/>
      <c r="AI123" s="686"/>
      <c r="AJ123" s="686"/>
      <c r="AK123" s="703"/>
      <c r="AL123" s="686"/>
      <c r="AM123" s="703"/>
      <c r="AN123" s="686"/>
      <c r="AO123" s="703"/>
      <c r="AP123" s="686"/>
      <c r="AQ123" s="703"/>
      <c r="AR123" s="686"/>
      <c r="AS123" s="703"/>
      <c r="AT123" s="686"/>
      <c r="AU123" s="686"/>
      <c r="AV123" s="703"/>
      <c r="AW123" s="686"/>
      <c r="AX123" s="703"/>
      <c r="AY123" s="686"/>
      <c r="AZ123" s="703"/>
      <c r="BA123" s="686"/>
      <c r="BB123" s="703"/>
      <c r="BC123" s="686"/>
      <c r="BD123" s="703"/>
      <c r="BE123" s="686"/>
    </row>
    <row r="124" spans="1:57" s="44" customFormat="1">
      <c r="A124" s="690"/>
      <c r="B124" s="690"/>
      <c r="C124" s="690"/>
      <c r="D124" s="825"/>
      <c r="E124" s="686"/>
      <c r="F124" s="825"/>
      <c r="G124" s="686"/>
      <c r="H124" s="825"/>
      <c r="I124" s="686"/>
      <c r="J124" s="825"/>
      <c r="K124" s="686"/>
      <c r="L124" s="825"/>
      <c r="M124" s="686"/>
      <c r="N124" s="686"/>
      <c r="O124" s="825"/>
      <c r="P124" s="686"/>
      <c r="Q124" s="825"/>
      <c r="R124" s="686"/>
      <c r="S124" s="825"/>
      <c r="T124" s="686"/>
      <c r="U124" s="825"/>
      <c r="V124" s="686"/>
      <c r="W124" s="825"/>
      <c r="X124" s="686"/>
      <c r="Y124" s="686"/>
      <c r="Z124" s="703"/>
      <c r="AA124" s="686"/>
      <c r="AB124" s="703"/>
      <c r="AC124" s="686"/>
      <c r="AD124" s="703"/>
      <c r="AE124" s="686"/>
      <c r="AF124" s="703"/>
      <c r="AG124" s="686"/>
      <c r="AH124" s="703"/>
      <c r="AI124" s="686"/>
      <c r="AJ124" s="686"/>
      <c r="AK124" s="703"/>
      <c r="AL124" s="686"/>
      <c r="AM124" s="703"/>
      <c r="AN124" s="686"/>
      <c r="AO124" s="703"/>
      <c r="AP124" s="686"/>
      <c r="AQ124" s="703"/>
      <c r="AR124" s="686"/>
      <c r="AS124" s="703"/>
      <c r="AT124" s="686"/>
      <c r="AU124" s="686"/>
      <c r="AV124" s="703"/>
      <c r="AW124" s="686"/>
      <c r="AX124" s="703"/>
      <c r="AY124" s="686"/>
      <c r="AZ124" s="703"/>
      <c r="BA124" s="686"/>
      <c r="BB124" s="703"/>
      <c r="BC124" s="686"/>
      <c r="BD124" s="703"/>
      <c r="BE124" s="686"/>
    </row>
    <row r="125" spans="1:57" s="44" customFormat="1">
      <c r="A125" s="690"/>
      <c r="B125" s="690"/>
      <c r="C125" s="690"/>
      <c r="D125" s="825"/>
      <c r="E125" s="686"/>
      <c r="F125" s="825"/>
      <c r="G125" s="686"/>
      <c r="H125" s="825"/>
      <c r="I125" s="686"/>
      <c r="J125" s="825"/>
      <c r="K125" s="686"/>
      <c r="L125" s="825"/>
      <c r="M125" s="686"/>
      <c r="N125" s="686"/>
      <c r="O125" s="825"/>
      <c r="P125" s="686"/>
      <c r="Q125" s="825"/>
      <c r="R125" s="686"/>
      <c r="S125" s="825"/>
      <c r="T125" s="686"/>
      <c r="U125" s="825"/>
      <c r="V125" s="686"/>
      <c r="W125" s="825"/>
      <c r="X125" s="686"/>
      <c r="Y125" s="686"/>
      <c r="Z125" s="703"/>
      <c r="AA125" s="686"/>
      <c r="AB125" s="703"/>
      <c r="AC125" s="686"/>
      <c r="AD125" s="703"/>
      <c r="AE125" s="686"/>
      <c r="AF125" s="703"/>
      <c r="AG125" s="686"/>
      <c r="AH125" s="703"/>
      <c r="AI125" s="686"/>
      <c r="AJ125" s="686"/>
      <c r="AK125" s="703"/>
      <c r="AL125" s="686"/>
      <c r="AM125" s="703"/>
      <c r="AN125" s="686"/>
      <c r="AO125" s="703"/>
      <c r="AP125" s="686"/>
      <c r="AQ125" s="703"/>
      <c r="AR125" s="686"/>
      <c r="AS125" s="703"/>
      <c r="AT125" s="686"/>
      <c r="AU125" s="686"/>
      <c r="AV125" s="703"/>
      <c r="AW125" s="686"/>
      <c r="AX125" s="703"/>
      <c r="AY125" s="686"/>
      <c r="AZ125" s="703"/>
      <c r="BA125" s="686"/>
      <c r="BB125" s="703"/>
      <c r="BC125" s="686"/>
      <c r="BD125" s="703"/>
      <c r="BE125" s="686"/>
    </row>
    <row r="126" spans="1:57" s="44" customFormat="1">
      <c r="A126" s="690"/>
      <c r="B126" s="690"/>
      <c r="C126" s="690"/>
      <c r="D126" s="825"/>
      <c r="E126" s="686"/>
      <c r="F126" s="825"/>
      <c r="G126" s="686"/>
      <c r="H126" s="825"/>
      <c r="I126" s="686"/>
      <c r="J126" s="825"/>
      <c r="K126" s="686"/>
      <c r="L126" s="825"/>
      <c r="M126" s="686"/>
      <c r="N126" s="686"/>
      <c r="O126" s="825"/>
      <c r="P126" s="686"/>
      <c r="Q126" s="825"/>
      <c r="R126" s="686"/>
      <c r="S126" s="825"/>
      <c r="T126" s="686"/>
      <c r="U126" s="825"/>
      <c r="V126" s="686"/>
      <c r="W126" s="825"/>
      <c r="X126" s="686"/>
      <c r="Y126" s="686"/>
      <c r="Z126" s="703"/>
      <c r="AA126" s="686"/>
      <c r="AB126" s="703"/>
      <c r="AC126" s="686"/>
      <c r="AD126" s="703"/>
      <c r="AE126" s="686"/>
      <c r="AF126" s="703"/>
      <c r="AG126" s="686"/>
      <c r="AH126" s="703"/>
      <c r="AI126" s="686"/>
      <c r="AJ126" s="686"/>
      <c r="AK126" s="703"/>
      <c r="AL126" s="686"/>
      <c r="AM126" s="703"/>
      <c r="AN126" s="686"/>
      <c r="AO126" s="703"/>
      <c r="AP126" s="686"/>
      <c r="AQ126" s="703"/>
      <c r="AR126" s="686"/>
      <c r="AS126" s="703"/>
      <c r="AT126" s="686"/>
      <c r="AU126" s="686"/>
      <c r="AV126" s="703"/>
      <c r="AW126" s="686"/>
      <c r="AX126" s="703"/>
      <c r="AY126" s="686"/>
      <c r="AZ126" s="703"/>
      <c r="BA126" s="686"/>
      <c r="BB126" s="703"/>
      <c r="BC126" s="686"/>
      <c r="BD126" s="703"/>
      <c r="BE126" s="686"/>
    </row>
    <row r="127" spans="1:57" s="44" customFormat="1">
      <c r="A127" s="690"/>
      <c r="B127" s="690"/>
      <c r="C127" s="690"/>
      <c r="D127" s="825"/>
      <c r="E127" s="686"/>
      <c r="F127" s="825"/>
      <c r="G127" s="686"/>
      <c r="H127" s="825"/>
      <c r="I127" s="686"/>
      <c r="J127" s="825"/>
      <c r="K127" s="686"/>
      <c r="L127" s="825"/>
      <c r="M127" s="686"/>
      <c r="N127" s="686"/>
      <c r="O127" s="825"/>
      <c r="P127" s="686"/>
      <c r="Q127" s="825"/>
      <c r="R127" s="686"/>
      <c r="S127" s="825"/>
      <c r="T127" s="686"/>
      <c r="U127" s="825"/>
      <c r="V127" s="686"/>
      <c r="W127" s="825"/>
      <c r="X127" s="686"/>
      <c r="Y127" s="686"/>
      <c r="Z127" s="703"/>
      <c r="AA127" s="686"/>
      <c r="AB127" s="703"/>
      <c r="AC127" s="686"/>
      <c r="AD127" s="703"/>
      <c r="AE127" s="686"/>
      <c r="AF127" s="703"/>
      <c r="AG127" s="686"/>
      <c r="AH127" s="703"/>
      <c r="AI127" s="686"/>
      <c r="AJ127" s="686"/>
      <c r="AK127" s="703"/>
      <c r="AL127" s="686"/>
      <c r="AM127" s="703"/>
      <c r="AN127" s="686"/>
      <c r="AO127" s="703"/>
      <c r="AP127" s="686"/>
      <c r="AQ127" s="703"/>
      <c r="AR127" s="686"/>
      <c r="AS127" s="703"/>
      <c r="AT127" s="686"/>
      <c r="AU127" s="686"/>
      <c r="AV127" s="703"/>
      <c r="AW127" s="686"/>
      <c r="AX127" s="703"/>
      <c r="AY127" s="686"/>
      <c r="AZ127" s="703"/>
      <c r="BA127" s="686"/>
      <c r="BB127" s="703"/>
      <c r="BC127" s="686"/>
      <c r="BD127" s="703"/>
      <c r="BE127" s="686"/>
    </row>
    <row r="128" spans="1:57" s="44" customFormat="1">
      <c r="A128" s="690"/>
      <c r="B128" s="690"/>
      <c r="C128" s="690"/>
      <c r="D128" s="825"/>
      <c r="E128" s="686"/>
      <c r="F128" s="825"/>
      <c r="G128" s="686"/>
      <c r="H128" s="825"/>
      <c r="I128" s="686"/>
      <c r="J128" s="825"/>
      <c r="K128" s="686"/>
      <c r="L128" s="825"/>
      <c r="M128" s="686"/>
      <c r="N128" s="686"/>
      <c r="O128" s="825"/>
      <c r="P128" s="686"/>
      <c r="Q128" s="825"/>
      <c r="R128" s="686"/>
      <c r="S128" s="825"/>
      <c r="T128" s="686"/>
      <c r="U128" s="825"/>
      <c r="V128" s="686"/>
      <c r="W128" s="825"/>
      <c r="X128" s="686"/>
      <c r="Y128" s="686"/>
      <c r="Z128" s="703"/>
      <c r="AA128" s="686"/>
      <c r="AB128" s="703"/>
      <c r="AC128" s="686"/>
      <c r="AD128" s="703"/>
      <c r="AE128" s="686"/>
      <c r="AF128" s="703"/>
      <c r="AG128" s="686"/>
      <c r="AH128" s="703"/>
      <c r="AI128" s="686"/>
      <c r="AJ128" s="686"/>
      <c r="AK128" s="703"/>
      <c r="AL128" s="686"/>
      <c r="AM128" s="703"/>
      <c r="AN128" s="686"/>
      <c r="AO128" s="703"/>
      <c r="AP128" s="686"/>
      <c r="AQ128" s="703"/>
      <c r="AR128" s="686"/>
      <c r="AS128" s="703"/>
      <c r="AT128" s="686"/>
      <c r="AU128" s="686"/>
      <c r="AV128" s="703"/>
      <c r="AW128" s="686"/>
      <c r="AX128" s="703"/>
      <c r="AY128" s="686"/>
      <c r="AZ128" s="703"/>
      <c r="BA128" s="686"/>
      <c r="BB128" s="703"/>
      <c r="BC128" s="686"/>
      <c r="BD128" s="703"/>
      <c r="BE128" s="686"/>
    </row>
    <row r="129" spans="1:57" s="44" customFormat="1">
      <c r="A129" s="690"/>
      <c r="B129" s="690"/>
      <c r="C129" s="690"/>
      <c r="D129" s="825"/>
      <c r="E129" s="686"/>
      <c r="F129" s="825"/>
      <c r="G129" s="686"/>
      <c r="H129" s="825"/>
      <c r="I129" s="686"/>
      <c r="J129" s="825"/>
      <c r="K129" s="686"/>
      <c r="L129" s="825"/>
      <c r="M129" s="686"/>
      <c r="N129" s="686"/>
      <c r="O129" s="825"/>
      <c r="P129" s="686"/>
      <c r="Q129" s="825"/>
      <c r="R129" s="686"/>
      <c r="S129" s="825"/>
      <c r="T129" s="686"/>
      <c r="U129" s="825"/>
      <c r="V129" s="686"/>
      <c r="W129" s="825"/>
      <c r="X129" s="686"/>
      <c r="Y129" s="686"/>
      <c r="Z129" s="703"/>
      <c r="AA129" s="686"/>
      <c r="AB129" s="703"/>
      <c r="AC129" s="686"/>
      <c r="AD129" s="703"/>
      <c r="AE129" s="686"/>
      <c r="AF129" s="703"/>
      <c r="AG129" s="686"/>
      <c r="AH129" s="703"/>
      <c r="AI129" s="686"/>
      <c r="AJ129" s="686"/>
      <c r="AK129" s="703"/>
      <c r="AL129" s="686"/>
      <c r="AM129" s="703"/>
      <c r="AN129" s="686"/>
      <c r="AO129" s="703"/>
      <c r="AP129" s="686"/>
      <c r="AQ129" s="703"/>
      <c r="AR129" s="686"/>
      <c r="AS129" s="703"/>
      <c r="AT129" s="686"/>
      <c r="AU129" s="686"/>
      <c r="AV129" s="703"/>
      <c r="AW129" s="686"/>
      <c r="AX129" s="703"/>
      <c r="AY129" s="686"/>
      <c r="AZ129" s="703"/>
      <c r="BA129" s="686"/>
      <c r="BB129" s="703"/>
      <c r="BC129" s="686"/>
      <c r="BD129" s="703"/>
      <c r="BE129" s="686"/>
    </row>
    <row r="130" spans="1:57" s="44" customFormat="1">
      <c r="A130" s="690"/>
      <c r="B130" s="690"/>
      <c r="C130" s="690"/>
      <c r="D130" s="825"/>
      <c r="E130" s="686"/>
      <c r="F130" s="825"/>
      <c r="G130" s="686"/>
      <c r="H130" s="825"/>
      <c r="I130" s="686"/>
      <c r="J130" s="825"/>
      <c r="K130" s="686"/>
      <c r="L130" s="825"/>
      <c r="M130" s="686"/>
      <c r="N130" s="686"/>
      <c r="O130" s="825"/>
      <c r="P130" s="686"/>
      <c r="Q130" s="825"/>
      <c r="R130" s="686"/>
      <c r="S130" s="825"/>
      <c r="T130" s="686"/>
      <c r="U130" s="825"/>
      <c r="V130" s="686"/>
      <c r="W130" s="825"/>
      <c r="X130" s="686"/>
      <c r="Y130" s="686"/>
      <c r="Z130" s="703"/>
      <c r="AA130" s="686"/>
      <c r="AB130" s="703"/>
      <c r="AC130" s="686"/>
      <c r="AD130" s="703"/>
      <c r="AE130" s="686"/>
      <c r="AF130" s="703"/>
      <c r="AG130" s="686"/>
      <c r="AH130" s="703"/>
      <c r="AI130" s="686"/>
      <c r="AJ130" s="686"/>
      <c r="AK130" s="703"/>
      <c r="AL130" s="686"/>
      <c r="AM130" s="703"/>
      <c r="AN130" s="686"/>
      <c r="AO130" s="703"/>
      <c r="AP130" s="686"/>
      <c r="AQ130" s="703"/>
      <c r="AR130" s="686"/>
      <c r="AS130" s="703"/>
      <c r="AT130" s="686"/>
      <c r="AU130" s="686"/>
      <c r="AV130" s="703"/>
      <c r="AW130" s="686"/>
      <c r="AX130" s="703"/>
      <c r="AY130" s="686"/>
      <c r="AZ130" s="703"/>
      <c r="BA130" s="686"/>
      <c r="BB130" s="703"/>
      <c r="BC130" s="686"/>
      <c r="BD130" s="703"/>
      <c r="BE130" s="686"/>
    </row>
    <row r="131" spans="1:57" s="44" customFormat="1">
      <c r="A131" s="690"/>
      <c r="B131" s="690"/>
      <c r="C131" s="690"/>
      <c r="D131" s="825"/>
      <c r="E131" s="686"/>
      <c r="F131" s="825"/>
      <c r="G131" s="686"/>
      <c r="H131" s="825"/>
      <c r="I131" s="686"/>
      <c r="J131" s="825"/>
      <c r="K131" s="686"/>
      <c r="L131" s="825"/>
      <c r="M131" s="686"/>
      <c r="N131" s="686"/>
      <c r="O131" s="825"/>
      <c r="P131" s="686"/>
      <c r="Q131" s="825"/>
      <c r="R131" s="686"/>
      <c r="S131" s="825"/>
      <c r="T131" s="686"/>
      <c r="U131" s="825"/>
      <c r="V131" s="686"/>
      <c r="W131" s="825"/>
      <c r="X131" s="686"/>
      <c r="Y131" s="686"/>
      <c r="Z131" s="703"/>
      <c r="AA131" s="686"/>
      <c r="AB131" s="703"/>
      <c r="AC131" s="686"/>
      <c r="AD131" s="703"/>
      <c r="AE131" s="686"/>
      <c r="AF131" s="703"/>
      <c r="AG131" s="686"/>
      <c r="AH131" s="703"/>
      <c r="AI131" s="686"/>
      <c r="AJ131" s="686"/>
      <c r="AK131" s="703"/>
      <c r="AL131" s="686"/>
      <c r="AM131" s="703"/>
      <c r="AN131" s="686"/>
      <c r="AO131" s="703"/>
      <c r="AP131" s="686"/>
      <c r="AQ131" s="703"/>
      <c r="AR131" s="686"/>
      <c r="AS131" s="703"/>
      <c r="AT131" s="686"/>
      <c r="AU131" s="686"/>
      <c r="AV131" s="703"/>
      <c r="AW131" s="686"/>
      <c r="AX131" s="703"/>
      <c r="AY131" s="686"/>
      <c r="AZ131" s="703"/>
      <c r="BA131" s="686"/>
      <c r="BB131" s="703"/>
      <c r="BC131" s="686"/>
      <c r="BD131" s="703"/>
      <c r="BE131" s="686"/>
    </row>
    <row r="132" spans="1:57" s="44" customFormat="1">
      <c r="A132" s="690"/>
      <c r="B132" s="690"/>
      <c r="C132" s="690"/>
      <c r="D132" s="825"/>
      <c r="E132" s="686"/>
      <c r="F132" s="825"/>
      <c r="G132" s="686"/>
      <c r="H132" s="825"/>
      <c r="I132" s="686"/>
      <c r="J132" s="825"/>
      <c r="K132" s="686"/>
      <c r="L132" s="825"/>
      <c r="M132" s="686"/>
      <c r="N132" s="686"/>
      <c r="O132" s="825"/>
      <c r="P132" s="686"/>
      <c r="Q132" s="825"/>
      <c r="R132" s="686"/>
      <c r="S132" s="825"/>
      <c r="T132" s="686"/>
      <c r="U132" s="825"/>
      <c r="V132" s="686"/>
      <c r="W132" s="825"/>
      <c r="X132" s="686"/>
      <c r="Y132" s="686"/>
      <c r="Z132" s="703"/>
      <c r="AA132" s="686"/>
      <c r="AB132" s="703"/>
      <c r="AC132" s="686"/>
      <c r="AD132" s="703"/>
      <c r="AE132" s="686"/>
      <c r="AF132" s="703"/>
      <c r="AG132" s="686"/>
      <c r="AH132" s="703"/>
      <c r="AI132" s="686"/>
      <c r="AJ132" s="686"/>
      <c r="AK132" s="703"/>
      <c r="AL132" s="686"/>
      <c r="AM132" s="703"/>
      <c r="AN132" s="686"/>
      <c r="AO132" s="703"/>
      <c r="AP132" s="686"/>
      <c r="AQ132" s="703"/>
      <c r="AR132" s="686"/>
      <c r="AS132" s="703"/>
      <c r="AT132" s="686"/>
      <c r="AU132" s="686"/>
      <c r="AV132" s="703"/>
      <c r="AW132" s="686"/>
      <c r="AX132" s="703"/>
      <c r="AY132" s="686"/>
      <c r="AZ132" s="703"/>
      <c r="BA132" s="686"/>
      <c r="BB132" s="703"/>
      <c r="BC132" s="686"/>
      <c r="BD132" s="703"/>
      <c r="BE132" s="686"/>
    </row>
    <row r="133" spans="1:57" s="44" customFormat="1">
      <c r="A133" s="690"/>
      <c r="B133" s="690"/>
      <c r="C133" s="690"/>
      <c r="D133" s="825"/>
      <c r="E133" s="686"/>
      <c r="F133" s="825"/>
      <c r="G133" s="686"/>
      <c r="H133" s="825"/>
      <c r="I133" s="686"/>
      <c r="J133" s="825"/>
      <c r="K133" s="686"/>
      <c r="L133" s="825"/>
      <c r="M133" s="686"/>
      <c r="N133" s="686"/>
      <c r="O133" s="825"/>
      <c r="P133" s="686"/>
      <c r="Q133" s="825"/>
      <c r="R133" s="686"/>
      <c r="S133" s="825"/>
      <c r="T133" s="686"/>
      <c r="U133" s="825"/>
      <c r="V133" s="686"/>
      <c r="W133" s="825"/>
      <c r="X133" s="686"/>
      <c r="Y133" s="686"/>
      <c r="Z133" s="703"/>
      <c r="AA133" s="686"/>
      <c r="AB133" s="703"/>
      <c r="AC133" s="686"/>
      <c r="AD133" s="703"/>
      <c r="AE133" s="686"/>
      <c r="AF133" s="703"/>
      <c r="AG133" s="686"/>
      <c r="AH133" s="703"/>
      <c r="AI133" s="686"/>
      <c r="AJ133" s="686"/>
      <c r="AK133" s="703"/>
      <c r="AL133" s="686"/>
      <c r="AM133" s="703"/>
      <c r="AN133" s="686"/>
      <c r="AO133" s="703"/>
      <c r="AP133" s="686"/>
      <c r="AQ133" s="703"/>
      <c r="AR133" s="686"/>
      <c r="AS133" s="703"/>
      <c r="AT133" s="686"/>
      <c r="AU133" s="686"/>
      <c r="AV133" s="703"/>
      <c r="AW133" s="686"/>
      <c r="AX133" s="703"/>
      <c r="AY133" s="686"/>
      <c r="AZ133" s="703"/>
      <c r="BA133" s="686"/>
      <c r="BB133" s="703"/>
      <c r="BC133" s="686"/>
      <c r="BD133" s="703"/>
      <c r="BE133" s="686"/>
    </row>
    <row r="134" spans="1:57" s="44" customFormat="1">
      <c r="A134" s="690"/>
      <c r="B134" s="690"/>
      <c r="C134" s="690"/>
      <c r="D134" s="825"/>
      <c r="E134" s="686"/>
      <c r="F134" s="825"/>
      <c r="G134" s="686"/>
      <c r="H134" s="825"/>
      <c r="I134" s="686"/>
      <c r="J134" s="825"/>
      <c r="K134" s="686"/>
      <c r="L134" s="825"/>
      <c r="M134" s="686"/>
      <c r="N134" s="686"/>
      <c r="O134" s="825"/>
      <c r="P134" s="686"/>
      <c r="Q134" s="825"/>
      <c r="R134" s="686"/>
      <c r="S134" s="825"/>
      <c r="T134" s="686"/>
      <c r="U134" s="825"/>
      <c r="V134" s="686"/>
      <c r="W134" s="825"/>
      <c r="X134" s="686"/>
      <c r="Y134" s="686"/>
      <c r="Z134" s="703"/>
      <c r="AA134" s="686"/>
      <c r="AB134" s="703"/>
      <c r="AC134" s="686"/>
      <c r="AD134" s="703"/>
      <c r="AE134" s="686"/>
      <c r="AF134" s="703"/>
      <c r="AG134" s="686"/>
      <c r="AH134" s="703"/>
      <c r="AI134" s="686"/>
      <c r="AJ134" s="686"/>
      <c r="AK134" s="703"/>
      <c r="AL134" s="686"/>
      <c r="AM134" s="703"/>
      <c r="AN134" s="686"/>
      <c r="AO134" s="703"/>
      <c r="AP134" s="686"/>
      <c r="AQ134" s="703"/>
      <c r="AR134" s="686"/>
      <c r="AS134" s="703"/>
      <c r="AT134" s="686"/>
      <c r="AU134" s="686"/>
      <c r="AV134" s="703"/>
      <c r="AW134" s="686"/>
      <c r="AX134" s="703"/>
      <c r="AY134" s="686"/>
      <c r="AZ134" s="703"/>
      <c r="BA134" s="686"/>
      <c r="BB134" s="703"/>
      <c r="BC134" s="686"/>
      <c r="BD134" s="703"/>
      <c r="BE134" s="686"/>
    </row>
    <row r="135" spans="1:57" s="44" customFormat="1">
      <c r="A135" s="690"/>
      <c r="B135" s="690"/>
      <c r="C135" s="690"/>
      <c r="D135" s="825"/>
      <c r="E135" s="686"/>
      <c r="F135" s="825"/>
      <c r="G135" s="686"/>
      <c r="H135" s="825"/>
      <c r="I135" s="686"/>
      <c r="J135" s="825"/>
      <c r="K135" s="686"/>
      <c r="L135" s="825"/>
      <c r="M135" s="686"/>
      <c r="N135" s="686"/>
      <c r="O135" s="825"/>
      <c r="P135" s="686"/>
      <c r="Q135" s="825"/>
      <c r="R135" s="686"/>
      <c r="S135" s="825"/>
      <c r="T135" s="686"/>
      <c r="U135" s="825"/>
      <c r="V135" s="686"/>
      <c r="W135" s="825"/>
      <c r="X135" s="686"/>
      <c r="Y135" s="686"/>
      <c r="Z135" s="703"/>
      <c r="AA135" s="686"/>
      <c r="AB135" s="703"/>
      <c r="AC135" s="686"/>
      <c r="AD135" s="703"/>
      <c r="AE135" s="686"/>
      <c r="AF135" s="703"/>
      <c r="AG135" s="686"/>
      <c r="AH135" s="703"/>
      <c r="AI135" s="686"/>
      <c r="AJ135" s="686"/>
      <c r="AK135" s="703"/>
      <c r="AL135" s="686"/>
      <c r="AM135" s="703"/>
      <c r="AN135" s="686"/>
      <c r="AO135" s="703"/>
      <c r="AP135" s="686"/>
      <c r="AQ135" s="703"/>
      <c r="AR135" s="686"/>
      <c r="AS135" s="703"/>
      <c r="AT135" s="686"/>
      <c r="AU135" s="686"/>
      <c r="AV135" s="703"/>
      <c r="AW135" s="686"/>
      <c r="AX135" s="703"/>
      <c r="AY135" s="686"/>
      <c r="AZ135" s="703"/>
      <c r="BA135" s="686"/>
      <c r="BB135" s="703"/>
      <c r="BC135" s="686"/>
      <c r="BD135" s="703"/>
      <c r="BE135" s="686"/>
    </row>
    <row r="136" spans="1:57" s="44" customFormat="1">
      <c r="A136" s="690"/>
      <c r="B136" s="690"/>
      <c r="C136" s="690"/>
      <c r="D136" s="825"/>
      <c r="E136" s="686"/>
      <c r="F136" s="825"/>
      <c r="G136" s="686"/>
      <c r="H136" s="825"/>
      <c r="I136" s="686"/>
      <c r="J136" s="825"/>
      <c r="K136" s="686"/>
      <c r="L136" s="825"/>
      <c r="M136" s="686"/>
      <c r="N136" s="686"/>
      <c r="O136" s="825"/>
      <c r="P136" s="686"/>
      <c r="Q136" s="825"/>
      <c r="R136" s="686"/>
      <c r="S136" s="825"/>
      <c r="T136" s="686"/>
      <c r="U136" s="825"/>
      <c r="V136" s="686"/>
      <c r="W136" s="825"/>
      <c r="X136" s="686"/>
      <c r="Y136" s="686"/>
      <c r="Z136" s="703"/>
      <c r="AA136" s="686"/>
      <c r="AB136" s="703"/>
      <c r="AC136" s="686"/>
      <c r="AD136" s="703"/>
      <c r="AE136" s="686"/>
      <c r="AF136" s="703"/>
      <c r="AG136" s="686"/>
      <c r="AH136" s="703"/>
      <c r="AI136" s="686"/>
      <c r="AJ136" s="686"/>
      <c r="AK136" s="703"/>
      <c r="AL136" s="686"/>
      <c r="AM136" s="703"/>
      <c r="AN136" s="686"/>
      <c r="AO136" s="703"/>
      <c r="AP136" s="686"/>
      <c r="AQ136" s="703"/>
      <c r="AR136" s="686"/>
      <c r="AS136" s="703"/>
      <c r="AT136" s="686"/>
      <c r="AU136" s="686"/>
      <c r="AV136" s="703"/>
      <c r="AW136" s="686"/>
      <c r="AX136" s="703"/>
      <c r="AY136" s="686"/>
      <c r="AZ136" s="703"/>
      <c r="BA136" s="686"/>
      <c r="BB136" s="703"/>
      <c r="BC136" s="686"/>
      <c r="BD136" s="703"/>
      <c r="BE136" s="686"/>
    </row>
    <row r="137" spans="1:57" s="44" customFormat="1">
      <c r="A137" s="690"/>
      <c r="B137" s="690"/>
      <c r="C137" s="690"/>
      <c r="D137" s="825"/>
      <c r="E137" s="686"/>
      <c r="F137" s="825"/>
      <c r="G137" s="686"/>
      <c r="H137" s="825"/>
      <c r="I137" s="686"/>
      <c r="J137" s="825"/>
      <c r="K137" s="686"/>
      <c r="L137" s="825"/>
      <c r="M137" s="686"/>
      <c r="N137" s="686"/>
      <c r="O137" s="825"/>
      <c r="P137" s="686"/>
      <c r="Q137" s="825"/>
      <c r="R137" s="686"/>
      <c r="S137" s="825"/>
      <c r="T137" s="686"/>
      <c r="U137" s="825"/>
      <c r="V137" s="686"/>
      <c r="W137" s="825"/>
      <c r="X137" s="686"/>
      <c r="Y137" s="686"/>
      <c r="Z137" s="703"/>
      <c r="AA137" s="686"/>
      <c r="AB137" s="703"/>
      <c r="AC137" s="686"/>
      <c r="AD137" s="703"/>
      <c r="AE137" s="686"/>
      <c r="AF137" s="703"/>
      <c r="AG137" s="686"/>
      <c r="AH137" s="703"/>
      <c r="AI137" s="686"/>
      <c r="AJ137" s="686"/>
      <c r="AK137" s="703"/>
      <c r="AL137" s="686"/>
      <c r="AM137" s="703"/>
      <c r="AN137" s="686"/>
      <c r="AO137" s="703"/>
      <c r="AP137" s="686"/>
      <c r="AQ137" s="703"/>
      <c r="AR137" s="686"/>
      <c r="AS137" s="703"/>
      <c r="AT137" s="686"/>
      <c r="AU137" s="686"/>
      <c r="AV137" s="703"/>
      <c r="AW137" s="686"/>
      <c r="AX137" s="703"/>
      <c r="AY137" s="686"/>
      <c r="AZ137" s="703"/>
      <c r="BA137" s="686"/>
      <c r="BB137" s="703"/>
      <c r="BC137" s="686"/>
      <c r="BD137" s="703"/>
      <c r="BE137" s="686"/>
    </row>
    <row r="138" spans="1:57" s="44" customFormat="1">
      <c r="A138" s="690"/>
      <c r="B138" s="690"/>
      <c r="C138" s="690"/>
      <c r="D138" s="825"/>
      <c r="E138" s="686"/>
      <c r="F138" s="825"/>
      <c r="G138" s="686"/>
      <c r="H138" s="825"/>
      <c r="I138" s="686"/>
      <c r="J138" s="825"/>
      <c r="K138" s="686"/>
      <c r="L138" s="825"/>
      <c r="M138" s="686"/>
      <c r="N138" s="686"/>
      <c r="O138" s="825"/>
      <c r="P138" s="686"/>
      <c r="Q138" s="825"/>
      <c r="R138" s="686"/>
      <c r="S138" s="825"/>
      <c r="T138" s="686"/>
      <c r="U138" s="825"/>
      <c r="V138" s="686"/>
      <c r="W138" s="825"/>
      <c r="X138" s="686"/>
      <c r="Y138" s="686"/>
      <c r="Z138" s="703"/>
      <c r="AA138" s="686"/>
      <c r="AB138" s="703"/>
      <c r="AC138" s="686"/>
      <c r="AD138" s="703"/>
      <c r="AE138" s="686"/>
      <c r="AF138" s="703"/>
      <c r="AG138" s="686"/>
      <c r="AH138" s="703"/>
      <c r="AI138" s="686"/>
      <c r="AJ138" s="686"/>
      <c r="AK138" s="703"/>
      <c r="AL138" s="686"/>
      <c r="AM138" s="703"/>
      <c r="AN138" s="686"/>
      <c r="AO138" s="703"/>
      <c r="AP138" s="686"/>
      <c r="AQ138" s="703"/>
      <c r="AR138" s="686"/>
      <c r="AS138" s="703"/>
      <c r="AT138" s="686"/>
      <c r="AU138" s="686"/>
      <c r="AV138" s="703"/>
      <c r="AW138" s="686"/>
      <c r="AX138" s="703"/>
      <c r="AY138" s="686"/>
      <c r="AZ138" s="703"/>
      <c r="BA138" s="686"/>
      <c r="BB138" s="703"/>
      <c r="BC138" s="686"/>
      <c r="BD138" s="703"/>
      <c r="BE138" s="686"/>
    </row>
    <row r="139" spans="1:57" s="44" customFormat="1">
      <c r="A139" s="690"/>
      <c r="B139" s="690"/>
      <c r="C139" s="690"/>
      <c r="D139" s="825"/>
      <c r="E139" s="686"/>
      <c r="F139" s="825"/>
      <c r="G139" s="686"/>
      <c r="H139" s="825"/>
      <c r="I139" s="686"/>
      <c r="J139" s="825"/>
      <c r="K139" s="686"/>
      <c r="L139" s="825"/>
      <c r="M139" s="686"/>
      <c r="N139" s="686"/>
      <c r="O139" s="825"/>
      <c r="P139" s="686"/>
      <c r="Q139" s="825"/>
      <c r="R139" s="686"/>
      <c r="S139" s="825"/>
      <c r="T139" s="686"/>
      <c r="U139" s="825"/>
      <c r="V139" s="686"/>
      <c r="W139" s="825"/>
      <c r="X139" s="686"/>
      <c r="Y139" s="686"/>
      <c r="Z139" s="703"/>
      <c r="AA139" s="686"/>
      <c r="AB139" s="703"/>
      <c r="AC139" s="686"/>
      <c r="AD139" s="703"/>
      <c r="AE139" s="686"/>
      <c r="AF139" s="703"/>
      <c r="AG139" s="686"/>
      <c r="AH139" s="703"/>
      <c r="AI139" s="686"/>
      <c r="AJ139" s="686"/>
      <c r="AK139" s="703"/>
      <c r="AL139" s="686"/>
      <c r="AM139" s="703"/>
      <c r="AN139" s="686"/>
      <c r="AO139" s="703"/>
      <c r="AP139" s="686"/>
      <c r="AQ139" s="703"/>
      <c r="AR139" s="686"/>
      <c r="AS139" s="703"/>
      <c r="AT139" s="686"/>
      <c r="AU139" s="686"/>
      <c r="AV139" s="703"/>
      <c r="AW139" s="686"/>
      <c r="AX139" s="703"/>
      <c r="AY139" s="686"/>
      <c r="AZ139" s="703"/>
      <c r="BA139" s="686"/>
      <c r="BB139" s="703"/>
      <c r="BC139" s="686"/>
      <c r="BD139" s="703"/>
      <c r="BE139" s="686"/>
    </row>
    <row r="140" spans="1:57" s="44" customFormat="1">
      <c r="A140" s="690"/>
      <c r="B140" s="690"/>
      <c r="C140" s="690"/>
      <c r="D140" s="825"/>
      <c r="E140" s="686"/>
      <c r="F140" s="825"/>
      <c r="G140" s="686"/>
      <c r="H140" s="825"/>
      <c r="I140" s="686"/>
      <c r="J140" s="825"/>
      <c r="K140" s="686"/>
      <c r="L140" s="825"/>
      <c r="M140" s="686"/>
      <c r="N140" s="686"/>
      <c r="O140" s="825"/>
      <c r="P140" s="686"/>
      <c r="Q140" s="825"/>
      <c r="R140" s="686"/>
      <c r="S140" s="825"/>
      <c r="T140" s="686"/>
      <c r="U140" s="825"/>
      <c r="V140" s="686"/>
      <c r="W140" s="825"/>
      <c r="X140" s="686"/>
      <c r="Y140" s="686"/>
      <c r="Z140" s="703"/>
      <c r="AA140" s="686"/>
      <c r="AB140" s="703"/>
      <c r="AC140" s="686"/>
      <c r="AD140" s="703"/>
      <c r="AE140" s="686"/>
      <c r="AF140" s="703"/>
      <c r="AG140" s="686"/>
      <c r="AH140" s="703"/>
      <c r="AI140" s="686"/>
      <c r="AJ140" s="686"/>
      <c r="AK140" s="703"/>
      <c r="AL140" s="686"/>
      <c r="AM140" s="703"/>
      <c r="AN140" s="686"/>
      <c r="AO140" s="703"/>
      <c r="AP140" s="686"/>
      <c r="AQ140" s="703"/>
      <c r="AR140" s="686"/>
      <c r="AS140" s="703"/>
      <c r="AT140" s="686"/>
      <c r="AU140" s="686"/>
      <c r="AV140" s="703"/>
      <c r="AW140" s="686"/>
      <c r="AX140" s="703"/>
      <c r="AY140" s="686"/>
      <c r="AZ140" s="703"/>
      <c r="BA140" s="686"/>
      <c r="BB140" s="703"/>
      <c r="BC140" s="686"/>
      <c r="BD140" s="703"/>
      <c r="BE140" s="686"/>
    </row>
    <row r="141" spans="1:57" s="44" customFormat="1">
      <c r="A141" s="690"/>
      <c r="B141" s="690"/>
      <c r="C141" s="690"/>
      <c r="D141" s="825"/>
      <c r="E141" s="686"/>
      <c r="F141" s="825"/>
      <c r="G141" s="686"/>
      <c r="H141" s="825"/>
      <c r="I141" s="686"/>
      <c r="J141" s="825"/>
      <c r="K141" s="686"/>
      <c r="L141" s="825"/>
      <c r="M141" s="686"/>
      <c r="N141" s="686"/>
      <c r="O141" s="825"/>
      <c r="P141" s="686"/>
      <c r="Q141" s="825"/>
      <c r="R141" s="686"/>
      <c r="S141" s="825"/>
      <c r="T141" s="686"/>
      <c r="U141" s="825"/>
      <c r="V141" s="686"/>
      <c r="W141" s="825"/>
      <c r="X141" s="686"/>
      <c r="Y141" s="686"/>
      <c r="Z141" s="703"/>
      <c r="AA141" s="686"/>
      <c r="AB141" s="703"/>
      <c r="AC141" s="686"/>
      <c r="AD141" s="703"/>
      <c r="AE141" s="686"/>
      <c r="AF141" s="703"/>
      <c r="AG141" s="686"/>
      <c r="AH141" s="703"/>
      <c r="AI141" s="686"/>
      <c r="AJ141" s="686"/>
      <c r="AK141" s="703"/>
      <c r="AL141" s="686"/>
      <c r="AM141" s="703"/>
      <c r="AN141" s="686"/>
      <c r="AO141" s="703"/>
      <c r="AP141" s="686"/>
      <c r="AQ141" s="703"/>
      <c r="AR141" s="686"/>
      <c r="AS141" s="703"/>
      <c r="AT141" s="686"/>
      <c r="AU141" s="686"/>
      <c r="AV141" s="703"/>
      <c r="AW141" s="686"/>
      <c r="AX141" s="703"/>
      <c r="AY141" s="686"/>
      <c r="AZ141" s="703"/>
      <c r="BA141" s="686"/>
      <c r="BB141" s="703"/>
      <c r="BC141" s="686"/>
      <c r="BD141" s="703"/>
      <c r="BE141" s="686"/>
    </row>
    <row r="142" spans="1:57" s="44" customFormat="1">
      <c r="A142" s="690"/>
      <c r="B142" s="690"/>
      <c r="C142" s="690"/>
      <c r="D142" s="825"/>
      <c r="E142" s="686"/>
      <c r="F142" s="825"/>
      <c r="G142" s="686"/>
      <c r="H142" s="825"/>
      <c r="I142" s="686"/>
      <c r="J142" s="825"/>
      <c r="K142" s="686"/>
      <c r="L142" s="825"/>
      <c r="M142" s="686"/>
      <c r="N142" s="686"/>
      <c r="O142" s="825"/>
      <c r="P142" s="686"/>
      <c r="Q142" s="825"/>
      <c r="R142" s="686"/>
      <c r="S142" s="825"/>
      <c r="T142" s="686"/>
      <c r="U142" s="825"/>
      <c r="V142" s="686"/>
      <c r="W142" s="825"/>
      <c r="X142" s="686"/>
      <c r="Y142" s="686"/>
      <c r="Z142" s="703"/>
      <c r="AA142" s="686"/>
      <c r="AB142" s="703"/>
      <c r="AC142" s="686"/>
      <c r="AD142" s="703"/>
      <c r="AE142" s="686"/>
      <c r="AF142" s="703"/>
      <c r="AG142" s="686"/>
      <c r="AH142" s="703"/>
      <c r="AI142" s="686"/>
      <c r="AJ142" s="686"/>
      <c r="AK142" s="703"/>
      <c r="AL142" s="686"/>
      <c r="AM142" s="703"/>
      <c r="AN142" s="686"/>
      <c r="AO142" s="703"/>
      <c r="AP142" s="686"/>
      <c r="AQ142" s="703"/>
      <c r="AR142" s="686"/>
      <c r="AS142" s="703"/>
      <c r="AT142" s="686"/>
      <c r="AU142" s="686"/>
      <c r="AV142" s="703"/>
      <c r="AW142" s="686"/>
      <c r="AX142" s="703"/>
      <c r="AY142" s="686"/>
      <c r="AZ142" s="703"/>
      <c r="BA142" s="686"/>
      <c r="BB142" s="703"/>
      <c r="BC142" s="686"/>
      <c r="BD142" s="703"/>
      <c r="BE142" s="686"/>
    </row>
    <row r="143" spans="1:57" s="44" customFormat="1">
      <c r="A143" s="690"/>
      <c r="B143" s="690"/>
      <c r="C143" s="690"/>
      <c r="D143" s="825"/>
      <c r="E143" s="686"/>
      <c r="F143" s="825"/>
      <c r="G143" s="686"/>
      <c r="H143" s="825"/>
      <c r="I143" s="686"/>
      <c r="J143" s="825"/>
      <c r="K143" s="686"/>
      <c r="L143" s="825"/>
      <c r="M143" s="686"/>
      <c r="N143" s="686"/>
      <c r="O143" s="825"/>
      <c r="P143" s="686"/>
      <c r="Q143" s="825"/>
      <c r="R143" s="686"/>
      <c r="S143" s="825"/>
      <c r="T143" s="686"/>
      <c r="U143" s="825"/>
      <c r="V143" s="686"/>
      <c r="W143" s="825"/>
      <c r="X143" s="686"/>
      <c r="Y143" s="686"/>
      <c r="Z143" s="703"/>
      <c r="AA143" s="686"/>
      <c r="AB143" s="703"/>
      <c r="AC143" s="686"/>
      <c r="AD143" s="703"/>
      <c r="AE143" s="686"/>
      <c r="AF143" s="703"/>
      <c r="AG143" s="686"/>
      <c r="AH143" s="703"/>
      <c r="AI143" s="686"/>
      <c r="AJ143" s="686"/>
      <c r="AK143" s="703"/>
      <c r="AL143" s="686"/>
      <c r="AM143" s="703"/>
      <c r="AN143" s="686"/>
      <c r="AO143" s="703"/>
      <c r="AP143" s="686"/>
      <c r="AQ143" s="703"/>
      <c r="AR143" s="686"/>
      <c r="AS143" s="703"/>
      <c r="AT143" s="686"/>
      <c r="AU143" s="686"/>
      <c r="AV143" s="703"/>
      <c r="AW143" s="686"/>
      <c r="AX143" s="703"/>
      <c r="AY143" s="686"/>
      <c r="AZ143" s="703"/>
      <c r="BA143" s="686"/>
      <c r="BB143" s="703"/>
      <c r="BC143" s="686"/>
      <c r="BD143" s="703"/>
      <c r="BE143" s="686"/>
    </row>
    <row r="144" spans="1:57" s="44" customFormat="1">
      <c r="A144" s="690"/>
      <c r="B144" s="690"/>
      <c r="C144" s="690"/>
      <c r="D144" s="825"/>
      <c r="E144" s="686"/>
      <c r="F144" s="825"/>
      <c r="G144" s="686"/>
      <c r="H144" s="825"/>
      <c r="I144" s="686"/>
      <c r="J144" s="825"/>
      <c r="K144" s="686"/>
      <c r="L144" s="825"/>
      <c r="M144" s="686"/>
      <c r="N144" s="686"/>
      <c r="O144" s="825"/>
      <c r="P144" s="686"/>
      <c r="Q144" s="825"/>
      <c r="R144" s="686"/>
      <c r="S144" s="825"/>
      <c r="T144" s="686"/>
      <c r="U144" s="825"/>
      <c r="V144" s="686"/>
      <c r="W144" s="825"/>
      <c r="X144" s="686"/>
      <c r="Y144" s="686"/>
      <c r="Z144" s="703"/>
      <c r="AA144" s="686"/>
      <c r="AB144" s="703"/>
      <c r="AC144" s="686"/>
      <c r="AD144" s="703"/>
      <c r="AE144" s="686"/>
      <c r="AF144" s="703"/>
      <c r="AG144" s="686"/>
      <c r="AH144" s="703"/>
      <c r="AI144" s="686"/>
      <c r="AJ144" s="686"/>
      <c r="AK144" s="703"/>
      <c r="AL144" s="686"/>
      <c r="AM144" s="703"/>
      <c r="AN144" s="686"/>
      <c r="AO144" s="703"/>
      <c r="AP144" s="686"/>
      <c r="AQ144" s="703"/>
      <c r="AR144" s="686"/>
      <c r="AS144" s="703"/>
      <c r="AT144" s="686"/>
      <c r="AU144" s="686"/>
      <c r="AV144" s="703"/>
      <c r="AW144" s="686"/>
      <c r="AX144" s="703"/>
      <c r="AY144" s="686"/>
      <c r="AZ144" s="703"/>
      <c r="BA144" s="686"/>
      <c r="BB144" s="703"/>
      <c r="BC144" s="686"/>
      <c r="BD144" s="703"/>
      <c r="BE144" s="686"/>
    </row>
    <row r="145" spans="1:57" s="44" customFormat="1">
      <c r="A145" s="690"/>
      <c r="B145" s="690"/>
      <c r="C145" s="690"/>
      <c r="D145" s="825"/>
      <c r="E145" s="686"/>
      <c r="F145" s="825"/>
      <c r="G145" s="686"/>
      <c r="H145" s="825"/>
      <c r="I145" s="686"/>
      <c r="J145" s="825"/>
      <c r="K145" s="686"/>
      <c r="L145" s="825"/>
      <c r="M145" s="686"/>
      <c r="N145" s="686"/>
      <c r="O145" s="825"/>
      <c r="P145" s="686"/>
      <c r="Q145" s="825"/>
      <c r="R145" s="686"/>
      <c r="S145" s="825"/>
      <c r="T145" s="686"/>
      <c r="U145" s="825"/>
      <c r="V145" s="686"/>
      <c r="W145" s="825"/>
      <c r="X145" s="686"/>
      <c r="Y145" s="686"/>
      <c r="Z145" s="703"/>
      <c r="AA145" s="686"/>
      <c r="AB145" s="703"/>
      <c r="AC145" s="686"/>
      <c r="AD145" s="703"/>
      <c r="AE145" s="686"/>
      <c r="AF145" s="703"/>
      <c r="AG145" s="686"/>
      <c r="AH145" s="703"/>
      <c r="AI145" s="686"/>
      <c r="AJ145" s="686"/>
      <c r="AK145" s="703"/>
      <c r="AL145" s="686"/>
      <c r="AM145" s="703"/>
      <c r="AN145" s="686"/>
      <c r="AO145" s="703"/>
      <c r="AP145" s="686"/>
      <c r="AQ145" s="703"/>
      <c r="AR145" s="686"/>
      <c r="AS145" s="703"/>
      <c r="AT145" s="686"/>
      <c r="AU145" s="686"/>
      <c r="AV145" s="703"/>
      <c r="AW145" s="686"/>
      <c r="AX145" s="703"/>
      <c r="AY145" s="686"/>
      <c r="AZ145" s="703"/>
      <c r="BA145" s="686"/>
      <c r="BB145" s="703"/>
      <c r="BC145" s="686"/>
      <c r="BD145" s="703"/>
      <c r="BE145" s="686"/>
    </row>
    <row r="146" spans="1:57" s="44" customFormat="1">
      <c r="A146" s="690"/>
      <c r="B146" s="690"/>
      <c r="C146" s="690"/>
      <c r="D146" s="825"/>
      <c r="E146" s="686"/>
      <c r="F146" s="825"/>
      <c r="G146" s="686"/>
      <c r="H146" s="825"/>
      <c r="I146" s="686"/>
      <c r="J146" s="825"/>
      <c r="K146" s="686"/>
      <c r="L146" s="825"/>
      <c r="M146" s="686"/>
      <c r="N146" s="686"/>
      <c r="O146" s="825"/>
      <c r="P146" s="686"/>
      <c r="Q146" s="825"/>
      <c r="R146" s="686"/>
      <c r="S146" s="825"/>
      <c r="T146" s="686"/>
      <c r="U146" s="825"/>
      <c r="V146" s="686"/>
      <c r="W146" s="825"/>
      <c r="X146" s="686"/>
      <c r="Y146" s="686"/>
      <c r="Z146" s="703"/>
      <c r="AA146" s="686"/>
      <c r="AB146" s="703"/>
      <c r="AC146" s="686"/>
      <c r="AD146" s="703"/>
      <c r="AE146" s="686"/>
      <c r="AF146" s="703"/>
      <c r="AG146" s="686"/>
      <c r="AH146" s="703"/>
      <c r="AI146" s="686"/>
      <c r="AJ146" s="686"/>
      <c r="AK146" s="703"/>
      <c r="AL146" s="686"/>
      <c r="AM146" s="703"/>
      <c r="AN146" s="686"/>
      <c r="AO146" s="703"/>
      <c r="AP146" s="686"/>
      <c r="AQ146" s="703"/>
      <c r="AR146" s="686"/>
      <c r="AS146" s="703"/>
      <c r="AT146" s="686"/>
      <c r="AU146" s="686"/>
      <c r="AV146" s="703"/>
      <c r="AW146" s="686"/>
      <c r="AX146" s="703"/>
      <c r="AY146" s="686"/>
      <c r="AZ146" s="703"/>
      <c r="BA146" s="686"/>
      <c r="BB146" s="703"/>
      <c r="BC146" s="686"/>
      <c r="BD146" s="703"/>
      <c r="BE146" s="686"/>
    </row>
    <row r="147" spans="1:57" s="44" customFormat="1">
      <c r="A147" s="690"/>
      <c r="B147" s="690"/>
      <c r="C147" s="690"/>
      <c r="D147" s="825"/>
      <c r="E147" s="686"/>
      <c r="F147" s="825"/>
      <c r="G147" s="686"/>
      <c r="H147" s="825"/>
      <c r="I147" s="686"/>
      <c r="J147" s="825"/>
      <c r="K147" s="686"/>
      <c r="L147" s="825"/>
      <c r="M147" s="686"/>
      <c r="N147" s="686"/>
      <c r="O147" s="825"/>
      <c r="P147" s="686"/>
      <c r="Q147" s="825"/>
      <c r="R147" s="686"/>
      <c r="S147" s="825"/>
      <c r="T147" s="686"/>
      <c r="U147" s="825"/>
      <c r="V147" s="686"/>
      <c r="W147" s="825"/>
      <c r="X147" s="686"/>
      <c r="Y147" s="686"/>
      <c r="Z147" s="703"/>
      <c r="AA147" s="686"/>
      <c r="AB147" s="703"/>
      <c r="AC147" s="686"/>
      <c r="AD147" s="703"/>
      <c r="AE147" s="686"/>
      <c r="AF147" s="703"/>
      <c r="AG147" s="686"/>
      <c r="AH147" s="703"/>
      <c r="AI147" s="686"/>
      <c r="AJ147" s="686"/>
      <c r="AK147" s="703"/>
      <c r="AL147" s="686"/>
      <c r="AM147" s="703"/>
      <c r="AN147" s="686"/>
      <c r="AO147" s="703"/>
      <c r="AP147" s="686"/>
      <c r="AQ147" s="703"/>
      <c r="AR147" s="686"/>
      <c r="AS147" s="703"/>
      <c r="AT147" s="686"/>
      <c r="AU147" s="686"/>
      <c r="AV147" s="703"/>
      <c r="AW147" s="686"/>
      <c r="AX147" s="703"/>
      <c r="AY147" s="686"/>
      <c r="AZ147" s="703"/>
      <c r="BA147" s="686"/>
      <c r="BB147" s="703"/>
      <c r="BC147" s="686"/>
      <c r="BD147" s="703"/>
      <c r="BE147" s="686"/>
    </row>
    <row r="148" spans="1:57" s="44" customFormat="1">
      <c r="A148" s="690"/>
      <c r="B148" s="690"/>
      <c r="C148" s="690"/>
      <c r="D148" s="825"/>
      <c r="E148" s="686"/>
      <c r="F148" s="825"/>
      <c r="G148" s="686"/>
      <c r="H148" s="825"/>
      <c r="I148" s="686"/>
      <c r="J148" s="825"/>
      <c r="K148" s="686"/>
      <c r="L148" s="825"/>
      <c r="M148" s="686"/>
      <c r="N148" s="686"/>
      <c r="O148" s="825"/>
      <c r="P148" s="686"/>
      <c r="Q148" s="825"/>
      <c r="R148" s="686"/>
      <c r="S148" s="825"/>
      <c r="T148" s="686"/>
      <c r="U148" s="825"/>
      <c r="V148" s="686"/>
      <c r="W148" s="825"/>
      <c r="X148" s="686"/>
      <c r="Y148" s="686"/>
      <c r="Z148" s="703"/>
      <c r="AA148" s="686"/>
      <c r="AB148" s="703"/>
      <c r="AC148" s="686"/>
      <c r="AD148" s="703"/>
      <c r="AE148" s="686"/>
      <c r="AF148" s="703"/>
      <c r="AG148" s="686"/>
      <c r="AH148" s="703"/>
      <c r="AI148" s="686"/>
      <c r="AJ148" s="686"/>
      <c r="AK148" s="703"/>
      <c r="AL148" s="686"/>
      <c r="AM148" s="703"/>
      <c r="AN148" s="686"/>
      <c r="AO148" s="703"/>
      <c r="AP148" s="686"/>
      <c r="AQ148" s="703"/>
      <c r="AR148" s="686"/>
      <c r="AS148" s="703"/>
      <c r="AT148" s="686"/>
      <c r="AU148" s="686"/>
      <c r="AV148" s="703"/>
      <c r="AW148" s="686"/>
      <c r="AX148" s="703"/>
      <c r="AY148" s="686"/>
      <c r="AZ148" s="703"/>
      <c r="BA148" s="686"/>
      <c r="BB148" s="703"/>
      <c r="BC148" s="686"/>
      <c r="BD148" s="703"/>
      <c r="BE148" s="686"/>
    </row>
    <row r="149" spans="1:57" s="44" customFormat="1">
      <c r="A149" s="690"/>
      <c r="B149" s="690"/>
      <c r="C149" s="690"/>
      <c r="D149" s="825"/>
      <c r="E149" s="686"/>
      <c r="F149" s="825"/>
      <c r="G149" s="686"/>
      <c r="H149" s="825"/>
      <c r="I149" s="686"/>
      <c r="J149" s="825"/>
      <c r="K149" s="686"/>
      <c r="L149" s="825"/>
      <c r="M149" s="686"/>
      <c r="N149" s="686"/>
      <c r="O149" s="825"/>
      <c r="P149" s="686"/>
      <c r="Q149" s="825"/>
      <c r="R149" s="686"/>
      <c r="S149" s="825"/>
      <c r="T149" s="686"/>
      <c r="U149" s="825"/>
      <c r="V149" s="686"/>
      <c r="W149" s="825"/>
      <c r="X149" s="686"/>
      <c r="Y149" s="686"/>
      <c r="Z149" s="703"/>
      <c r="AA149" s="686"/>
      <c r="AB149" s="703"/>
      <c r="AC149" s="686"/>
      <c r="AD149" s="703"/>
      <c r="AE149" s="686"/>
      <c r="AF149" s="703"/>
      <c r="AG149" s="686"/>
      <c r="AH149" s="703"/>
      <c r="AI149" s="686"/>
      <c r="AJ149" s="686"/>
      <c r="AK149" s="703"/>
      <c r="AL149" s="686"/>
      <c r="AM149" s="703"/>
      <c r="AN149" s="686"/>
      <c r="AO149" s="703"/>
      <c r="AP149" s="686"/>
      <c r="AQ149" s="703"/>
      <c r="AR149" s="686"/>
      <c r="AS149" s="703"/>
      <c r="AT149" s="686"/>
      <c r="AU149" s="686"/>
      <c r="AV149" s="703"/>
      <c r="AW149" s="686"/>
      <c r="AX149" s="703"/>
      <c r="AY149" s="686"/>
      <c r="AZ149" s="703"/>
      <c r="BA149" s="686"/>
      <c r="BB149" s="703"/>
      <c r="BC149" s="686"/>
      <c r="BD149" s="703"/>
      <c r="BE149" s="686"/>
    </row>
    <row r="150" spans="1:57" s="44" customFormat="1">
      <c r="A150" s="690"/>
      <c r="B150" s="690"/>
      <c r="C150" s="690"/>
      <c r="D150" s="825"/>
      <c r="E150" s="686"/>
      <c r="F150" s="825"/>
      <c r="G150" s="686"/>
      <c r="H150" s="825"/>
      <c r="I150" s="686"/>
      <c r="J150" s="825"/>
      <c r="K150" s="686"/>
      <c r="L150" s="825"/>
      <c r="M150" s="686"/>
      <c r="N150" s="686"/>
      <c r="O150" s="825"/>
      <c r="P150" s="686"/>
      <c r="Q150" s="825"/>
      <c r="R150" s="686"/>
      <c r="S150" s="825"/>
      <c r="T150" s="686"/>
      <c r="U150" s="825"/>
      <c r="V150" s="686"/>
      <c r="W150" s="825"/>
      <c r="X150" s="686"/>
      <c r="Y150" s="686"/>
      <c r="Z150" s="703"/>
      <c r="AA150" s="686"/>
      <c r="AB150" s="703"/>
      <c r="AC150" s="686"/>
      <c r="AD150" s="703"/>
      <c r="AE150" s="686"/>
      <c r="AF150" s="703"/>
      <c r="AG150" s="686"/>
      <c r="AH150" s="703"/>
      <c r="AI150" s="686"/>
      <c r="AJ150" s="686"/>
      <c r="AK150" s="703"/>
      <c r="AL150" s="686"/>
      <c r="AM150" s="703"/>
      <c r="AN150" s="686"/>
      <c r="AO150" s="703"/>
      <c r="AP150" s="686"/>
      <c r="AQ150" s="703"/>
      <c r="AR150" s="686"/>
      <c r="AS150" s="703"/>
      <c r="AT150" s="686"/>
      <c r="AU150" s="686"/>
      <c r="AV150" s="703"/>
      <c r="AW150" s="686"/>
      <c r="AX150" s="703"/>
      <c r="AY150" s="686"/>
      <c r="AZ150" s="703"/>
      <c r="BA150" s="686"/>
      <c r="BB150" s="703"/>
      <c r="BC150" s="686"/>
      <c r="BD150" s="703"/>
      <c r="BE150" s="686"/>
    </row>
    <row r="151" spans="1:57" s="44" customFormat="1">
      <c r="A151" s="690"/>
      <c r="B151" s="690"/>
      <c r="C151" s="690"/>
      <c r="D151" s="825"/>
      <c r="E151" s="686"/>
      <c r="F151" s="825"/>
      <c r="G151" s="686"/>
      <c r="H151" s="825"/>
      <c r="I151" s="686"/>
      <c r="J151" s="825"/>
      <c r="K151" s="686"/>
      <c r="L151" s="825"/>
      <c r="M151" s="686"/>
      <c r="N151" s="686"/>
      <c r="O151" s="825"/>
      <c r="P151" s="686"/>
      <c r="Q151" s="825"/>
      <c r="R151" s="686"/>
      <c r="S151" s="825"/>
      <c r="T151" s="686"/>
      <c r="U151" s="825"/>
      <c r="V151" s="686"/>
      <c r="W151" s="825"/>
      <c r="X151" s="686"/>
      <c r="Y151" s="686"/>
      <c r="Z151" s="703"/>
      <c r="AA151" s="686"/>
      <c r="AB151" s="703"/>
      <c r="AC151" s="686"/>
      <c r="AD151" s="703"/>
      <c r="AE151" s="686"/>
      <c r="AF151" s="703"/>
      <c r="AG151" s="686"/>
      <c r="AH151" s="703"/>
      <c r="AI151" s="686"/>
      <c r="AJ151" s="686"/>
      <c r="AK151" s="703"/>
      <c r="AL151" s="686"/>
      <c r="AM151" s="703"/>
      <c r="AN151" s="686"/>
      <c r="AO151" s="703"/>
      <c r="AP151" s="686"/>
      <c r="AQ151" s="703"/>
      <c r="AR151" s="686"/>
      <c r="AS151" s="703"/>
      <c r="AT151" s="686"/>
      <c r="AU151" s="686"/>
      <c r="AV151" s="703"/>
      <c r="AW151" s="686"/>
      <c r="AX151" s="703"/>
      <c r="AY151" s="686"/>
      <c r="AZ151" s="703"/>
      <c r="BA151" s="686"/>
      <c r="BB151" s="703"/>
      <c r="BC151" s="686"/>
      <c r="BD151" s="703"/>
      <c r="BE151" s="686"/>
    </row>
    <row r="152" spans="1:57" s="44" customFormat="1">
      <c r="A152" s="690"/>
      <c r="B152" s="690"/>
      <c r="C152" s="690"/>
      <c r="D152" s="825"/>
      <c r="E152" s="686"/>
      <c r="F152" s="825"/>
      <c r="G152" s="686"/>
      <c r="H152" s="825"/>
      <c r="I152" s="686"/>
      <c r="J152" s="825"/>
      <c r="K152" s="686"/>
      <c r="L152" s="825"/>
      <c r="M152" s="686"/>
      <c r="N152" s="686"/>
      <c r="O152" s="825"/>
      <c r="P152" s="686"/>
      <c r="Q152" s="825"/>
      <c r="R152" s="686"/>
      <c r="S152" s="825"/>
      <c r="T152" s="686"/>
      <c r="U152" s="825"/>
      <c r="V152" s="686"/>
      <c r="W152" s="825"/>
      <c r="X152" s="686"/>
      <c r="Y152" s="686"/>
      <c r="Z152" s="703"/>
      <c r="AA152" s="686"/>
      <c r="AB152" s="703"/>
      <c r="AC152" s="686"/>
      <c r="AD152" s="703"/>
      <c r="AE152" s="686"/>
      <c r="AF152" s="703"/>
      <c r="AG152" s="686"/>
      <c r="AH152" s="703"/>
      <c r="AI152" s="686"/>
      <c r="AJ152" s="686"/>
      <c r="AK152" s="703"/>
      <c r="AL152" s="686"/>
      <c r="AM152" s="703"/>
      <c r="AN152" s="686"/>
      <c r="AO152" s="703"/>
      <c r="AP152" s="686"/>
      <c r="AQ152" s="703"/>
      <c r="AR152" s="686"/>
      <c r="AS152" s="703"/>
      <c r="AT152" s="686"/>
      <c r="AU152" s="686"/>
      <c r="AV152" s="703"/>
      <c r="AW152" s="686"/>
      <c r="AX152" s="703"/>
      <c r="AY152" s="686"/>
      <c r="AZ152" s="703"/>
      <c r="BA152" s="686"/>
      <c r="BB152" s="703"/>
      <c r="BC152" s="686"/>
      <c r="BD152" s="703"/>
      <c r="BE152" s="686"/>
    </row>
    <row r="153" spans="1:57" s="44" customFormat="1">
      <c r="A153" s="690"/>
      <c r="B153" s="690"/>
      <c r="C153" s="690"/>
      <c r="D153" s="825"/>
      <c r="E153" s="686"/>
      <c r="F153" s="825"/>
      <c r="G153" s="686"/>
      <c r="H153" s="825"/>
      <c r="I153" s="686"/>
      <c r="J153" s="825"/>
      <c r="K153" s="686"/>
      <c r="L153" s="825"/>
      <c r="M153" s="686"/>
      <c r="N153" s="686"/>
      <c r="O153" s="825"/>
      <c r="P153" s="686"/>
      <c r="Q153" s="825"/>
      <c r="R153" s="686"/>
      <c r="S153" s="825"/>
      <c r="T153" s="686"/>
      <c r="U153" s="825"/>
      <c r="V153" s="686"/>
      <c r="W153" s="825"/>
      <c r="X153" s="686"/>
      <c r="Y153" s="686"/>
      <c r="Z153" s="703"/>
      <c r="AA153" s="686"/>
      <c r="AB153" s="703"/>
      <c r="AC153" s="686"/>
      <c r="AD153" s="703"/>
      <c r="AE153" s="686"/>
      <c r="AF153" s="703"/>
      <c r="AG153" s="686"/>
      <c r="AH153" s="703"/>
      <c r="AI153" s="686"/>
      <c r="AJ153" s="686"/>
      <c r="AK153" s="703"/>
      <c r="AL153" s="686"/>
      <c r="AM153" s="703"/>
      <c r="AN153" s="686"/>
      <c r="AO153" s="703"/>
      <c r="AP153" s="686"/>
      <c r="AQ153" s="703"/>
      <c r="AR153" s="686"/>
      <c r="AS153" s="703"/>
      <c r="AT153" s="686"/>
      <c r="AU153" s="686"/>
      <c r="AV153" s="703"/>
      <c r="AW153" s="686"/>
      <c r="AX153" s="703"/>
      <c r="AY153" s="686"/>
      <c r="AZ153" s="703"/>
      <c r="BA153" s="686"/>
      <c r="BB153" s="703"/>
      <c r="BC153" s="686"/>
      <c r="BD153" s="703"/>
      <c r="BE153" s="686"/>
    </row>
    <row r="154" spans="1:57" s="44" customFormat="1">
      <c r="A154" s="690"/>
      <c r="B154" s="690"/>
      <c r="C154" s="690"/>
      <c r="D154" s="825"/>
      <c r="E154" s="686"/>
      <c r="F154" s="825"/>
      <c r="G154" s="686"/>
      <c r="H154" s="825"/>
      <c r="I154" s="686"/>
      <c r="J154" s="825"/>
      <c r="K154" s="686"/>
      <c r="L154" s="825"/>
      <c r="M154" s="686"/>
      <c r="N154" s="686"/>
      <c r="O154" s="825"/>
      <c r="P154" s="686"/>
      <c r="Q154" s="825"/>
      <c r="R154" s="686"/>
      <c r="S154" s="825"/>
      <c r="T154" s="686"/>
      <c r="U154" s="825"/>
      <c r="V154" s="686"/>
      <c r="W154" s="825"/>
      <c r="X154" s="686"/>
      <c r="Y154" s="686"/>
      <c r="Z154" s="703"/>
      <c r="AA154" s="686"/>
      <c r="AB154" s="703"/>
      <c r="AC154" s="686"/>
      <c r="AD154" s="703"/>
      <c r="AE154" s="686"/>
      <c r="AF154" s="703"/>
      <c r="AG154" s="686"/>
      <c r="AH154" s="703"/>
      <c r="AI154" s="686"/>
      <c r="AJ154" s="686"/>
      <c r="AK154" s="703"/>
      <c r="AL154" s="686"/>
      <c r="AM154" s="703"/>
      <c r="AN154" s="686"/>
      <c r="AO154" s="703"/>
      <c r="AP154" s="686"/>
      <c r="AQ154" s="703"/>
      <c r="AR154" s="686"/>
      <c r="AS154" s="703"/>
      <c r="AT154" s="686"/>
      <c r="AU154" s="686"/>
      <c r="AV154" s="703"/>
      <c r="AW154" s="686"/>
      <c r="AX154" s="703"/>
      <c r="AY154" s="686"/>
      <c r="AZ154" s="703"/>
      <c r="BA154" s="686"/>
      <c r="BB154" s="703"/>
      <c r="BC154" s="686"/>
      <c r="BD154" s="703"/>
      <c r="BE154" s="686"/>
    </row>
    <row r="155" spans="1:57" s="44" customFormat="1">
      <c r="A155" s="690"/>
      <c r="B155" s="690"/>
      <c r="C155" s="690"/>
      <c r="D155" s="825"/>
      <c r="E155" s="686"/>
      <c r="F155" s="825"/>
      <c r="G155" s="686"/>
      <c r="H155" s="825"/>
      <c r="I155" s="686"/>
      <c r="J155" s="825"/>
      <c r="K155" s="686"/>
      <c r="L155" s="825"/>
      <c r="M155" s="686"/>
      <c r="N155" s="686"/>
      <c r="O155" s="825"/>
      <c r="P155" s="686"/>
      <c r="Q155" s="825"/>
      <c r="R155" s="686"/>
      <c r="S155" s="825"/>
      <c r="T155" s="686"/>
      <c r="U155" s="825"/>
      <c r="V155" s="686"/>
      <c r="W155" s="825"/>
      <c r="X155" s="686"/>
      <c r="Y155" s="686"/>
      <c r="Z155" s="703"/>
      <c r="AA155" s="686"/>
      <c r="AB155" s="703"/>
      <c r="AC155" s="686"/>
      <c r="AD155" s="703"/>
      <c r="AE155" s="686"/>
      <c r="AF155" s="703"/>
      <c r="AG155" s="686"/>
      <c r="AH155" s="703"/>
      <c r="AI155" s="686"/>
      <c r="AJ155" s="686"/>
      <c r="AK155" s="703"/>
      <c r="AL155" s="686"/>
      <c r="AM155" s="703"/>
      <c r="AN155" s="686"/>
      <c r="AO155" s="703"/>
      <c r="AP155" s="686"/>
      <c r="AQ155" s="703"/>
      <c r="AR155" s="686"/>
      <c r="AS155" s="703"/>
      <c r="AT155" s="686"/>
      <c r="AU155" s="686"/>
      <c r="AV155" s="703"/>
      <c r="AW155" s="686"/>
      <c r="AX155" s="703"/>
      <c r="AY155" s="686"/>
      <c r="AZ155" s="703"/>
      <c r="BA155" s="686"/>
      <c r="BB155" s="703"/>
      <c r="BC155" s="686"/>
      <c r="BD155" s="703"/>
      <c r="BE155" s="686"/>
    </row>
    <row r="156" spans="1:57" s="44" customFormat="1">
      <c r="A156" s="690"/>
      <c r="B156" s="690"/>
      <c r="C156" s="690"/>
      <c r="D156" s="825"/>
      <c r="E156" s="686"/>
      <c r="F156" s="825"/>
      <c r="G156" s="686"/>
      <c r="H156" s="825"/>
      <c r="I156" s="686"/>
      <c r="J156" s="825"/>
      <c r="K156" s="686"/>
      <c r="L156" s="825"/>
      <c r="M156" s="686"/>
      <c r="N156" s="686"/>
      <c r="O156" s="825"/>
      <c r="P156" s="686"/>
      <c r="Q156" s="825"/>
      <c r="R156" s="686"/>
      <c r="S156" s="825"/>
      <c r="T156" s="686"/>
      <c r="U156" s="825"/>
      <c r="V156" s="686"/>
      <c r="W156" s="825"/>
      <c r="X156" s="686"/>
      <c r="Y156" s="686"/>
      <c r="Z156" s="703"/>
      <c r="AA156" s="686"/>
      <c r="AB156" s="703"/>
      <c r="AC156" s="686"/>
      <c r="AD156" s="703"/>
      <c r="AE156" s="686"/>
      <c r="AF156" s="703"/>
      <c r="AG156" s="686"/>
      <c r="AH156" s="703"/>
      <c r="AI156" s="686"/>
      <c r="AJ156" s="686"/>
      <c r="AK156" s="703"/>
      <c r="AL156" s="686"/>
      <c r="AM156" s="703"/>
      <c r="AN156" s="686"/>
      <c r="AO156" s="703"/>
      <c r="AP156" s="686"/>
      <c r="AQ156" s="703"/>
      <c r="AR156" s="686"/>
      <c r="AS156" s="703"/>
      <c r="AT156" s="686"/>
      <c r="AU156" s="686"/>
      <c r="AV156" s="703"/>
      <c r="AW156" s="686"/>
      <c r="AX156" s="703"/>
      <c r="AY156" s="686"/>
      <c r="AZ156" s="703"/>
      <c r="BA156" s="686"/>
      <c r="BB156" s="703"/>
      <c r="BC156" s="686"/>
      <c r="BD156" s="703"/>
      <c r="BE156" s="686"/>
    </row>
    <row r="157" spans="1:57" s="44" customFormat="1">
      <c r="A157" s="690"/>
      <c r="B157" s="690"/>
      <c r="C157" s="690"/>
      <c r="D157" s="825"/>
      <c r="E157" s="686"/>
      <c r="F157" s="825"/>
      <c r="G157" s="686"/>
      <c r="H157" s="825"/>
      <c r="I157" s="686"/>
      <c r="J157" s="825"/>
      <c r="K157" s="686"/>
      <c r="L157" s="825"/>
      <c r="M157" s="686"/>
      <c r="N157" s="686"/>
      <c r="O157" s="825"/>
      <c r="P157" s="686"/>
      <c r="Q157" s="825"/>
      <c r="R157" s="686"/>
      <c r="S157" s="825"/>
      <c r="T157" s="686"/>
      <c r="U157" s="825"/>
      <c r="V157" s="686"/>
      <c r="W157" s="825"/>
      <c r="X157" s="686"/>
      <c r="Y157" s="686"/>
      <c r="Z157" s="703"/>
      <c r="AA157" s="686"/>
      <c r="AB157" s="703"/>
      <c r="AC157" s="686"/>
      <c r="AD157" s="703"/>
      <c r="AE157" s="686"/>
      <c r="AF157" s="703"/>
      <c r="AG157" s="686"/>
      <c r="AH157" s="703"/>
      <c r="AI157" s="686"/>
      <c r="AJ157" s="686"/>
      <c r="AK157" s="703"/>
      <c r="AL157" s="686"/>
      <c r="AM157" s="703"/>
      <c r="AN157" s="686"/>
      <c r="AO157" s="703"/>
      <c r="AP157" s="686"/>
      <c r="AQ157" s="703"/>
      <c r="AR157" s="686"/>
      <c r="AS157" s="703"/>
      <c r="AT157" s="686"/>
      <c r="AU157" s="686"/>
      <c r="AV157" s="703"/>
      <c r="AW157" s="686"/>
      <c r="AX157" s="703"/>
      <c r="AY157" s="686"/>
      <c r="AZ157" s="703"/>
      <c r="BA157" s="686"/>
      <c r="BB157" s="703"/>
      <c r="BC157" s="686"/>
      <c r="BD157" s="703"/>
      <c r="BE157" s="686"/>
    </row>
    <row r="158" spans="1:57" s="44" customFormat="1">
      <c r="A158" s="690"/>
      <c r="B158" s="690"/>
      <c r="C158" s="690"/>
      <c r="D158" s="825"/>
      <c r="E158" s="686"/>
      <c r="F158" s="825"/>
      <c r="G158" s="686"/>
      <c r="H158" s="825"/>
      <c r="I158" s="686"/>
      <c r="J158" s="825"/>
      <c r="K158" s="686"/>
      <c r="L158" s="825"/>
      <c r="M158" s="686"/>
      <c r="N158" s="686"/>
      <c r="O158" s="825"/>
      <c r="P158" s="686"/>
      <c r="Q158" s="825"/>
      <c r="R158" s="686"/>
      <c r="S158" s="825"/>
      <c r="T158" s="686"/>
      <c r="U158" s="825"/>
      <c r="V158" s="686"/>
      <c r="W158" s="825"/>
      <c r="X158" s="686"/>
      <c r="Y158" s="686"/>
      <c r="Z158" s="703"/>
      <c r="AA158" s="686"/>
      <c r="AB158" s="703"/>
      <c r="AC158" s="686"/>
      <c r="AD158" s="703"/>
      <c r="AE158" s="686"/>
      <c r="AF158" s="703"/>
      <c r="AG158" s="686"/>
      <c r="AH158" s="703"/>
      <c r="AI158" s="686"/>
      <c r="AJ158" s="686"/>
      <c r="AK158" s="703"/>
      <c r="AL158" s="686"/>
      <c r="AM158" s="703"/>
      <c r="AN158" s="686"/>
      <c r="AO158" s="703"/>
      <c r="AP158" s="686"/>
      <c r="AQ158" s="703"/>
      <c r="AR158" s="686"/>
      <c r="AS158" s="703"/>
      <c r="AT158" s="686"/>
      <c r="AU158" s="686"/>
      <c r="AV158" s="703"/>
      <c r="AW158" s="686"/>
      <c r="AX158" s="703"/>
      <c r="AY158" s="686"/>
      <c r="AZ158" s="703"/>
      <c r="BA158" s="686"/>
      <c r="BB158" s="703"/>
      <c r="BC158" s="686"/>
      <c r="BD158" s="703"/>
      <c r="BE158" s="686"/>
    </row>
    <row r="159" spans="1:57" s="44" customFormat="1">
      <c r="A159" s="690"/>
      <c r="B159" s="690"/>
      <c r="C159" s="690"/>
      <c r="D159" s="825"/>
      <c r="E159" s="686"/>
      <c r="F159" s="825"/>
      <c r="G159" s="686"/>
      <c r="H159" s="825"/>
      <c r="I159" s="686"/>
      <c r="J159" s="825"/>
      <c r="K159" s="686"/>
      <c r="L159" s="825"/>
      <c r="M159" s="686"/>
      <c r="N159" s="686"/>
      <c r="O159" s="825"/>
      <c r="P159" s="686"/>
      <c r="Q159" s="825"/>
      <c r="R159" s="686"/>
      <c r="S159" s="825"/>
      <c r="T159" s="686"/>
      <c r="U159" s="825"/>
      <c r="V159" s="686"/>
      <c r="W159" s="825"/>
      <c r="X159" s="686"/>
      <c r="Y159" s="686"/>
      <c r="Z159" s="703"/>
      <c r="AA159" s="686"/>
      <c r="AB159" s="703"/>
      <c r="AC159" s="686"/>
      <c r="AD159" s="703"/>
      <c r="AE159" s="686"/>
      <c r="AF159" s="703"/>
      <c r="AG159" s="686"/>
      <c r="AH159" s="703"/>
      <c r="AI159" s="686"/>
      <c r="AJ159" s="686"/>
      <c r="AK159" s="703"/>
      <c r="AL159" s="686"/>
      <c r="AM159" s="703"/>
      <c r="AN159" s="686"/>
      <c r="AO159" s="703"/>
      <c r="AP159" s="686"/>
      <c r="AQ159" s="703"/>
      <c r="AR159" s="686"/>
      <c r="AS159" s="703"/>
      <c r="AT159" s="686"/>
      <c r="AU159" s="686"/>
      <c r="AV159" s="703"/>
      <c r="AW159" s="686"/>
      <c r="AX159" s="703"/>
      <c r="AY159" s="686"/>
      <c r="AZ159" s="703"/>
      <c r="BA159" s="686"/>
      <c r="BB159" s="703"/>
      <c r="BC159" s="686"/>
      <c r="BD159" s="703"/>
      <c r="BE159" s="686"/>
    </row>
    <row r="160" spans="1:57" s="44" customFormat="1">
      <c r="A160" s="690"/>
      <c r="B160" s="690"/>
      <c r="C160" s="690"/>
      <c r="D160" s="825"/>
      <c r="E160" s="686"/>
      <c r="F160" s="825"/>
      <c r="G160" s="686"/>
      <c r="H160" s="825"/>
      <c r="I160" s="686"/>
      <c r="J160" s="825"/>
      <c r="K160" s="686"/>
      <c r="L160" s="825"/>
      <c r="M160" s="686"/>
      <c r="N160" s="686"/>
      <c r="O160" s="825"/>
      <c r="P160" s="686"/>
      <c r="Q160" s="825"/>
      <c r="R160" s="686"/>
      <c r="S160" s="825"/>
      <c r="T160" s="686"/>
      <c r="U160" s="825"/>
      <c r="V160" s="686"/>
      <c r="W160" s="825"/>
      <c r="X160" s="686"/>
      <c r="Y160" s="686"/>
      <c r="Z160" s="703"/>
      <c r="AA160" s="686"/>
      <c r="AB160" s="703"/>
      <c r="AC160" s="686"/>
      <c r="AD160" s="703"/>
      <c r="AE160" s="686"/>
      <c r="AF160" s="703"/>
      <c r="AG160" s="686"/>
      <c r="AH160" s="703"/>
      <c r="AI160" s="686"/>
      <c r="AJ160" s="686"/>
      <c r="AK160" s="703"/>
      <c r="AL160" s="686"/>
      <c r="AM160" s="703"/>
      <c r="AN160" s="686"/>
      <c r="AO160" s="703"/>
      <c r="AP160" s="686"/>
      <c r="AQ160" s="703"/>
      <c r="AR160" s="686"/>
      <c r="AS160" s="703"/>
      <c r="AT160" s="686"/>
      <c r="AU160" s="686"/>
      <c r="AV160" s="703"/>
      <c r="AW160" s="686"/>
      <c r="AX160" s="703"/>
      <c r="AY160" s="686"/>
      <c r="AZ160" s="703"/>
      <c r="BA160" s="686"/>
      <c r="BB160" s="703"/>
      <c r="BC160" s="686"/>
      <c r="BD160" s="703"/>
      <c r="BE160" s="686"/>
    </row>
    <row r="161" spans="1:57" s="44" customFormat="1">
      <c r="A161" s="690"/>
      <c r="B161" s="690"/>
      <c r="C161" s="690"/>
      <c r="D161" s="825"/>
      <c r="E161" s="686"/>
      <c r="F161" s="825"/>
      <c r="G161" s="686"/>
      <c r="H161" s="825"/>
      <c r="I161" s="686"/>
      <c r="J161" s="825"/>
      <c r="K161" s="686"/>
      <c r="L161" s="825"/>
      <c r="M161" s="686"/>
      <c r="N161" s="686"/>
      <c r="O161" s="825"/>
      <c r="P161" s="686"/>
      <c r="Q161" s="825"/>
      <c r="R161" s="686"/>
      <c r="S161" s="825"/>
      <c r="T161" s="686"/>
      <c r="U161" s="825"/>
      <c r="V161" s="686"/>
      <c r="W161" s="825"/>
      <c r="X161" s="686"/>
      <c r="Y161" s="686"/>
      <c r="Z161" s="703"/>
      <c r="AA161" s="686"/>
      <c r="AB161" s="703"/>
      <c r="AC161" s="686"/>
      <c r="AD161" s="703"/>
      <c r="AE161" s="686"/>
      <c r="AF161" s="703"/>
      <c r="AG161" s="686"/>
      <c r="AH161" s="703"/>
      <c r="AI161" s="686"/>
      <c r="AJ161" s="686"/>
      <c r="AK161" s="703"/>
      <c r="AL161" s="686"/>
      <c r="AM161" s="703"/>
      <c r="AN161" s="686"/>
      <c r="AO161" s="703"/>
      <c r="AP161" s="686"/>
      <c r="AQ161" s="703"/>
      <c r="AR161" s="686"/>
      <c r="AS161" s="703"/>
      <c r="AT161" s="686"/>
      <c r="AU161" s="686"/>
      <c r="AV161" s="703"/>
      <c r="AW161" s="686"/>
      <c r="AX161" s="703"/>
      <c r="AY161" s="686"/>
      <c r="AZ161" s="703"/>
      <c r="BA161" s="686"/>
      <c r="BB161" s="703"/>
      <c r="BC161" s="686"/>
      <c r="BD161" s="703"/>
      <c r="BE161" s="686"/>
    </row>
    <row r="162" spans="1:57" s="44" customFormat="1">
      <c r="A162" s="690"/>
      <c r="B162" s="690"/>
      <c r="C162" s="690"/>
      <c r="D162" s="825"/>
      <c r="E162" s="686"/>
      <c r="F162" s="825"/>
      <c r="G162" s="686"/>
      <c r="H162" s="825"/>
      <c r="I162" s="686"/>
      <c r="J162" s="825"/>
      <c r="K162" s="686"/>
      <c r="L162" s="825"/>
      <c r="M162" s="686"/>
      <c r="N162" s="686"/>
      <c r="O162" s="825"/>
      <c r="P162" s="686"/>
      <c r="Q162" s="825"/>
      <c r="R162" s="686"/>
      <c r="S162" s="825"/>
      <c r="T162" s="686"/>
      <c r="U162" s="825"/>
      <c r="V162" s="686"/>
      <c r="W162" s="825"/>
      <c r="X162" s="686"/>
      <c r="Y162" s="686"/>
      <c r="Z162" s="703"/>
      <c r="AA162" s="686"/>
      <c r="AB162" s="703"/>
      <c r="AC162" s="686"/>
      <c r="AD162" s="703"/>
      <c r="AE162" s="686"/>
      <c r="AF162" s="703"/>
      <c r="AG162" s="686"/>
      <c r="AH162" s="703"/>
      <c r="AI162" s="686"/>
      <c r="AJ162" s="686"/>
      <c r="AK162" s="703"/>
      <c r="AL162" s="686"/>
      <c r="AM162" s="703"/>
      <c r="AN162" s="686"/>
      <c r="AO162" s="703"/>
      <c r="AP162" s="686"/>
      <c r="AQ162" s="703"/>
      <c r="AR162" s="686"/>
      <c r="AS162" s="703"/>
      <c r="AT162" s="686"/>
      <c r="AU162" s="686"/>
      <c r="AV162" s="703"/>
      <c r="AW162" s="686"/>
      <c r="AX162" s="703"/>
      <c r="AY162" s="686"/>
      <c r="AZ162" s="703"/>
      <c r="BA162" s="686"/>
      <c r="BB162" s="703"/>
      <c r="BC162" s="686"/>
      <c r="BD162" s="703"/>
      <c r="BE162" s="686"/>
    </row>
    <row r="163" spans="1:57" s="44" customFormat="1">
      <c r="A163" s="690"/>
      <c r="B163" s="690"/>
      <c r="C163" s="690"/>
      <c r="D163" s="825"/>
      <c r="E163" s="686"/>
      <c r="F163" s="825"/>
      <c r="G163" s="686"/>
      <c r="H163" s="825"/>
      <c r="I163" s="686"/>
      <c r="J163" s="825"/>
      <c r="K163" s="686"/>
      <c r="L163" s="825"/>
      <c r="M163" s="686"/>
      <c r="N163" s="686"/>
      <c r="O163" s="825"/>
      <c r="P163" s="686"/>
      <c r="Q163" s="825"/>
      <c r="R163" s="686"/>
      <c r="S163" s="825"/>
      <c r="T163" s="686"/>
      <c r="U163" s="825"/>
      <c r="V163" s="686"/>
      <c r="W163" s="825"/>
      <c r="X163" s="686"/>
      <c r="Y163" s="686"/>
      <c r="Z163" s="703"/>
      <c r="AA163" s="686"/>
      <c r="AB163" s="703"/>
      <c r="AC163" s="686"/>
      <c r="AD163" s="703"/>
      <c r="AE163" s="686"/>
      <c r="AF163" s="703"/>
      <c r="AG163" s="686"/>
      <c r="AH163" s="703"/>
      <c r="AI163" s="686"/>
      <c r="AJ163" s="686"/>
      <c r="AK163" s="703"/>
      <c r="AL163" s="686"/>
      <c r="AM163" s="703"/>
      <c r="AN163" s="686"/>
      <c r="AO163" s="703"/>
      <c r="AP163" s="686"/>
      <c r="AQ163" s="703"/>
      <c r="AR163" s="686"/>
      <c r="AS163" s="703"/>
      <c r="AT163" s="686"/>
      <c r="AU163" s="686"/>
      <c r="AV163" s="703"/>
      <c r="AW163" s="686"/>
      <c r="AX163" s="703"/>
      <c r="AY163" s="686"/>
      <c r="AZ163" s="703"/>
      <c r="BA163" s="686"/>
      <c r="BB163" s="703"/>
      <c r="BC163" s="686"/>
      <c r="BD163" s="703"/>
      <c r="BE163" s="686"/>
    </row>
    <row r="164" spans="1:57" s="44" customFormat="1">
      <c r="A164" s="690"/>
      <c r="B164" s="690"/>
      <c r="C164" s="690"/>
      <c r="D164" s="825"/>
      <c r="E164" s="686"/>
      <c r="F164" s="825"/>
      <c r="G164" s="686"/>
      <c r="H164" s="825"/>
      <c r="I164" s="686"/>
      <c r="J164" s="825"/>
      <c r="K164" s="686"/>
      <c r="L164" s="825"/>
      <c r="M164" s="686"/>
      <c r="N164" s="686"/>
      <c r="O164" s="825"/>
      <c r="P164" s="686"/>
      <c r="Q164" s="825"/>
      <c r="R164" s="686"/>
      <c r="S164" s="825"/>
      <c r="T164" s="686"/>
      <c r="U164" s="825"/>
      <c r="V164" s="686"/>
      <c r="W164" s="825"/>
      <c r="X164" s="686"/>
      <c r="Y164" s="686"/>
      <c r="Z164" s="703"/>
      <c r="AA164" s="686"/>
      <c r="AB164" s="703"/>
      <c r="AC164" s="686"/>
      <c r="AD164" s="703"/>
      <c r="AE164" s="686"/>
      <c r="AF164" s="703"/>
      <c r="AG164" s="686"/>
      <c r="AH164" s="703"/>
      <c r="AI164" s="686"/>
      <c r="AJ164" s="686"/>
      <c r="AK164" s="703"/>
      <c r="AL164" s="686"/>
      <c r="AM164" s="703"/>
      <c r="AN164" s="686"/>
      <c r="AO164" s="703"/>
      <c r="AP164" s="686"/>
      <c r="AQ164" s="703"/>
      <c r="AR164" s="686"/>
      <c r="AS164" s="703"/>
      <c r="AT164" s="686"/>
      <c r="AU164" s="686"/>
      <c r="AV164" s="703"/>
      <c r="AW164" s="686"/>
      <c r="AX164" s="703"/>
      <c r="AY164" s="686"/>
      <c r="AZ164" s="703"/>
      <c r="BA164" s="686"/>
      <c r="BB164" s="703"/>
      <c r="BC164" s="686"/>
      <c r="BD164" s="703"/>
      <c r="BE164" s="686"/>
    </row>
    <row r="165" spans="1:57" s="44" customFormat="1">
      <c r="A165" s="690"/>
      <c r="B165" s="690"/>
      <c r="C165" s="690"/>
      <c r="D165" s="825"/>
      <c r="E165" s="686"/>
      <c r="F165" s="825"/>
      <c r="G165" s="686"/>
      <c r="H165" s="825"/>
      <c r="I165" s="686"/>
      <c r="J165" s="825"/>
      <c r="K165" s="686"/>
      <c r="L165" s="825"/>
      <c r="M165" s="686"/>
      <c r="N165" s="686"/>
      <c r="O165" s="825"/>
      <c r="P165" s="686"/>
      <c r="Q165" s="825"/>
      <c r="R165" s="686"/>
      <c r="S165" s="825"/>
      <c r="T165" s="686"/>
      <c r="U165" s="825"/>
      <c r="V165" s="686"/>
      <c r="W165" s="825"/>
      <c r="X165" s="686"/>
      <c r="Y165" s="686"/>
      <c r="Z165" s="703"/>
      <c r="AA165" s="686"/>
      <c r="AB165" s="703"/>
      <c r="AC165" s="686"/>
      <c r="AD165" s="703"/>
      <c r="AE165" s="686"/>
      <c r="AF165" s="703"/>
      <c r="AG165" s="686"/>
      <c r="AH165" s="703"/>
      <c r="AI165" s="686"/>
      <c r="AJ165" s="686"/>
      <c r="AK165" s="703"/>
      <c r="AL165" s="686"/>
      <c r="AM165" s="703"/>
      <c r="AN165" s="686"/>
      <c r="AO165" s="703"/>
      <c r="AP165" s="686"/>
      <c r="AQ165" s="703"/>
      <c r="AR165" s="686"/>
      <c r="AS165" s="703"/>
      <c r="AT165" s="686"/>
      <c r="AU165" s="686"/>
      <c r="AV165" s="703"/>
      <c r="AW165" s="686"/>
      <c r="AX165" s="703"/>
      <c r="AY165" s="686"/>
      <c r="AZ165" s="703"/>
      <c r="BA165" s="686"/>
      <c r="BB165" s="703"/>
      <c r="BC165" s="686"/>
      <c r="BD165" s="703"/>
      <c r="BE165" s="686"/>
    </row>
    <row r="166" spans="1:57" s="44" customFormat="1">
      <c r="A166" s="690"/>
      <c r="B166" s="690"/>
      <c r="C166" s="690"/>
      <c r="D166" s="825"/>
      <c r="E166" s="686"/>
      <c r="F166" s="825"/>
      <c r="G166" s="686"/>
      <c r="H166" s="825"/>
      <c r="I166" s="686"/>
      <c r="J166" s="825"/>
      <c r="K166" s="686"/>
      <c r="L166" s="825"/>
      <c r="M166" s="686"/>
      <c r="N166" s="686"/>
      <c r="O166" s="825"/>
      <c r="P166" s="686"/>
      <c r="Q166" s="825"/>
      <c r="R166" s="686"/>
      <c r="S166" s="825"/>
      <c r="T166" s="686"/>
      <c r="U166" s="825"/>
      <c r="V166" s="686"/>
      <c r="W166" s="825"/>
      <c r="X166" s="686"/>
      <c r="Y166" s="686"/>
      <c r="Z166" s="703"/>
      <c r="AA166" s="686"/>
      <c r="AB166" s="703"/>
      <c r="AC166" s="686"/>
      <c r="AD166" s="703"/>
      <c r="AE166" s="686"/>
      <c r="AF166" s="703"/>
      <c r="AG166" s="686"/>
      <c r="AH166" s="703"/>
      <c r="AI166" s="686"/>
      <c r="AJ166" s="686"/>
      <c r="AK166" s="703"/>
      <c r="AL166" s="686"/>
      <c r="AM166" s="703"/>
      <c r="AN166" s="686"/>
      <c r="AO166" s="703"/>
      <c r="AP166" s="686"/>
      <c r="AQ166" s="703"/>
      <c r="AR166" s="686"/>
      <c r="AS166" s="703"/>
      <c r="AT166" s="686"/>
      <c r="AU166" s="686"/>
      <c r="AV166" s="703"/>
      <c r="AW166" s="686"/>
      <c r="AX166" s="703"/>
      <c r="AY166" s="686"/>
      <c r="AZ166" s="703"/>
      <c r="BA166" s="686"/>
      <c r="BB166" s="703"/>
      <c r="BC166" s="686"/>
      <c r="BD166" s="703"/>
      <c r="BE166" s="686"/>
    </row>
    <row r="167" spans="1:57" s="44" customFormat="1">
      <c r="A167" s="690"/>
      <c r="B167" s="690"/>
      <c r="C167" s="690"/>
      <c r="D167" s="825"/>
      <c r="E167" s="686"/>
      <c r="F167" s="825"/>
      <c r="G167" s="686"/>
      <c r="H167" s="825"/>
      <c r="I167" s="686"/>
      <c r="J167" s="825"/>
      <c r="K167" s="686"/>
      <c r="L167" s="825"/>
      <c r="M167" s="686"/>
      <c r="N167" s="686"/>
      <c r="O167" s="825"/>
      <c r="P167" s="686"/>
      <c r="Q167" s="825"/>
      <c r="R167" s="686"/>
      <c r="S167" s="825"/>
      <c r="T167" s="686"/>
      <c r="U167" s="825"/>
      <c r="V167" s="686"/>
      <c r="W167" s="825"/>
      <c r="X167" s="686"/>
      <c r="Y167" s="686"/>
      <c r="Z167" s="703"/>
      <c r="AA167" s="686"/>
      <c r="AB167" s="703"/>
      <c r="AC167" s="686"/>
      <c r="AD167" s="703"/>
      <c r="AE167" s="686"/>
      <c r="AF167" s="703"/>
      <c r="AG167" s="686"/>
      <c r="AH167" s="703"/>
      <c r="AI167" s="686"/>
      <c r="AJ167" s="686"/>
      <c r="AK167" s="703"/>
      <c r="AL167" s="686"/>
      <c r="AM167" s="703"/>
      <c r="AN167" s="686"/>
      <c r="AO167" s="703"/>
      <c r="AP167" s="686"/>
      <c r="AQ167" s="703"/>
      <c r="AR167" s="686"/>
      <c r="AS167" s="703"/>
      <c r="AT167" s="686"/>
      <c r="AU167" s="686"/>
      <c r="AV167" s="703"/>
      <c r="AW167" s="686"/>
      <c r="AX167" s="703"/>
      <c r="AY167" s="686"/>
      <c r="AZ167" s="703"/>
      <c r="BA167" s="686"/>
      <c r="BB167" s="703"/>
      <c r="BC167" s="686"/>
      <c r="BD167" s="703"/>
      <c r="BE167" s="686"/>
    </row>
    <row r="168" spans="1:57" s="44" customFormat="1">
      <c r="A168" s="690"/>
      <c r="B168" s="690"/>
      <c r="C168" s="690"/>
      <c r="D168" s="825"/>
      <c r="E168" s="686"/>
      <c r="F168" s="825"/>
      <c r="G168" s="686"/>
      <c r="H168" s="825"/>
      <c r="I168" s="686"/>
      <c r="J168" s="825"/>
      <c r="K168" s="686"/>
      <c r="L168" s="825"/>
      <c r="M168" s="686"/>
      <c r="N168" s="686"/>
      <c r="O168" s="825"/>
      <c r="P168" s="686"/>
      <c r="Q168" s="825"/>
      <c r="R168" s="686"/>
      <c r="S168" s="825"/>
      <c r="T168" s="686"/>
      <c r="U168" s="825"/>
      <c r="V168" s="686"/>
      <c r="W168" s="825"/>
      <c r="X168" s="686"/>
      <c r="Y168" s="686"/>
      <c r="Z168" s="703"/>
      <c r="AA168" s="686"/>
      <c r="AB168" s="703"/>
      <c r="AC168" s="686"/>
      <c r="AD168" s="703"/>
      <c r="AE168" s="686"/>
      <c r="AF168" s="703"/>
      <c r="AG168" s="686"/>
      <c r="AH168" s="703"/>
      <c r="AI168" s="686"/>
      <c r="AJ168" s="686"/>
      <c r="AK168" s="703"/>
      <c r="AL168" s="686"/>
      <c r="AM168" s="703"/>
      <c r="AN168" s="686"/>
      <c r="AO168" s="703"/>
      <c r="AP168" s="686"/>
      <c r="AQ168" s="703"/>
      <c r="AR168" s="686"/>
      <c r="AS168" s="703"/>
      <c r="AT168" s="686"/>
      <c r="AU168" s="686"/>
      <c r="AV168" s="703"/>
      <c r="AW168" s="686"/>
      <c r="AX168" s="703"/>
      <c r="AY168" s="686"/>
      <c r="AZ168" s="703"/>
      <c r="BA168" s="686"/>
      <c r="BB168" s="703"/>
      <c r="BC168" s="686"/>
      <c r="BD168" s="703"/>
      <c r="BE168" s="686"/>
    </row>
    <row r="169" spans="1:57" s="44" customFormat="1">
      <c r="A169" s="690"/>
      <c r="B169" s="690"/>
      <c r="C169" s="690"/>
      <c r="D169" s="825"/>
      <c r="E169" s="686"/>
      <c r="F169" s="825"/>
      <c r="G169" s="686"/>
      <c r="H169" s="825"/>
      <c r="I169" s="686"/>
      <c r="J169" s="825"/>
      <c r="K169" s="686"/>
      <c r="L169" s="825"/>
      <c r="M169" s="686"/>
      <c r="N169" s="686"/>
      <c r="O169" s="825"/>
      <c r="P169" s="686"/>
      <c r="Q169" s="825"/>
      <c r="R169" s="686"/>
      <c r="S169" s="825"/>
      <c r="T169" s="686"/>
      <c r="U169" s="825"/>
      <c r="V169" s="686"/>
      <c r="W169" s="825"/>
      <c r="X169" s="686"/>
      <c r="Y169" s="686"/>
      <c r="Z169" s="703"/>
      <c r="AA169" s="686"/>
      <c r="AB169" s="703"/>
      <c r="AC169" s="686"/>
      <c r="AD169" s="703"/>
      <c r="AE169" s="686"/>
      <c r="AF169" s="703"/>
      <c r="AG169" s="686"/>
      <c r="AH169" s="703"/>
      <c r="AI169" s="686"/>
      <c r="AJ169" s="686"/>
      <c r="AK169" s="703"/>
      <c r="AL169" s="686"/>
      <c r="AM169" s="703"/>
      <c r="AN169" s="686"/>
      <c r="AO169" s="703"/>
      <c r="AP169" s="686"/>
      <c r="AQ169" s="703"/>
      <c r="AR169" s="686"/>
      <c r="AS169" s="703"/>
      <c r="AT169" s="686"/>
      <c r="AU169" s="686"/>
      <c r="AV169" s="703"/>
      <c r="AW169" s="686"/>
      <c r="AX169" s="703"/>
      <c r="AY169" s="686"/>
      <c r="AZ169" s="703"/>
      <c r="BA169" s="686"/>
      <c r="BB169" s="703"/>
      <c r="BC169" s="686"/>
      <c r="BD169" s="703"/>
      <c r="BE169" s="686"/>
    </row>
    <row r="170" spans="1:57" s="44" customFormat="1">
      <c r="A170" s="690"/>
      <c r="B170" s="690"/>
      <c r="C170" s="690"/>
      <c r="D170" s="825"/>
      <c r="E170" s="686"/>
      <c r="F170" s="825"/>
      <c r="G170" s="686"/>
      <c r="H170" s="825"/>
      <c r="I170" s="686"/>
      <c r="J170" s="825"/>
      <c r="K170" s="686"/>
      <c r="L170" s="825"/>
      <c r="M170" s="686"/>
      <c r="N170" s="686"/>
      <c r="O170" s="825"/>
      <c r="P170" s="686"/>
      <c r="Q170" s="825"/>
      <c r="R170" s="686"/>
      <c r="S170" s="825"/>
      <c r="T170" s="686"/>
      <c r="U170" s="825"/>
      <c r="V170" s="686"/>
      <c r="W170" s="825"/>
      <c r="X170" s="686"/>
      <c r="Y170" s="686"/>
      <c r="Z170" s="703"/>
      <c r="AA170" s="686"/>
      <c r="AB170" s="703"/>
      <c r="AC170" s="686"/>
      <c r="AD170" s="703"/>
      <c r="AE170" s="686"/>
      <c r="AF170" s="703"/>
      <c r="AG170" s="686"/>
      <c r="AH170" s="703"/>
      <c r="AI170" s="686"/>
      <c r="AJ170" s="686"/>
      <c r="AK170" s="703"/>
      <c r="AL170" s="686"/>
      <c r="AM170" s="703"/>
      <c r="AN170" s="686"/>
      <c r="AO170" s="703"/>
      <c r="AP170" s="686"/>
      <c r="AQ170" s="703"/>
      <c r="AR170" s="686"/>
      <c r="AS170" s="703"/>
      <c r="AT170" s="686"/>
      <c r="AU170" s="686"/>
      <c r="AV170" s="703"/>
      <c r="AW170" s="686"/>
      <c r="AX170" s="703"/>
      <c r="AY170" s="686"/>
      <c r="AZ170" s="703"/>
      <c r="BA170" s="686"/>
      <c r="BB170" s="703"/>
      <c r="BC170" s="686"/>
      <c r="BD170" s="703"/>
      <c r="BE170" s="686"/>
    </row>
    <row r="171" spans="1:57" s="44" customFormat="1">
      <c r="A171" s="690"/>
      <c r="B171" s="690"/>
      <c r="C171" s="690"/>
      <c r="D171" s="825"/>
      <c r="E171" s="686"/>
      <c r="F171" s="825"/>
      <c r="G171" s="686"/>
      <c r="H171" s="825"/>
      <c r="I171" s="686"/>
      <c r="J171" s="825"/>
      <c r="K171" s="686"/>
      <c r="L171" s="825"/>
      <c r="M171" s="686"/>
      <c r="N171" s="686"/>
      <c r="O171" s="825"/>
      <c r="P171" s="686"/>
      <c r="Q171" s="825"/>
      <c r="R171" s="686"/>
      <c r="S171" s="825"/>
      <c r="T171" s="686"/>
      <c r="U171" s="825"/>
      <c r="V171" s="686"/>
      <c r="W171" s="825"/>
      <c r="X171" s="686"/>
      <c r="Y171" s="686"/>
      <c r="Z171" s="703"/>
      <c r="AA171" s="686"/>
      <c r="AB171" s="703"/>
      <c r="AC171" s="686"/>
      <c r="AD171" s="703"/>
      <c r="AE171" s="686"/>
      <c r="AF171" s="703"/>
      <c r="AG171" s="686"/>
      <c r="AH171" s="703"/>
      <c r="AI171" s="686"/>
      <c r="AJ171" s="686"/>
      <c r="AK171" s="703"/>
      <c r="AL171" s="686"/>
      <c r="AM171" s="703"/>
      <c r="AN171" s="686"/>
      <c r="AO171" s="703"/>
      <c r="AP171" s="686"/>
      <c r="AQ171" s="703"/>
      <c r="AR171" s="686"/>
      <c r="AS171" s="703"/>
      <c r="AT171" s="686"/>
      <c r="AU171" s="686"/>
      <c r="AV171" s="703"/>
      <c r="AW171" s="686"/>
      <c r="AX171" s="703"/>
      <c r="AY171" s="686"/>
      <c r="AZ171" s="703"/>
      <c r="BA171" s="686"/>
      <c r="BB171" s="703"/>
      <c r="BC171" s="686"/>
      <c r="BD171" s="703"/>
      <c r="BE171" s="686"/>
    </row>
    <row r="172" spans="1:57" s="44" customFormat="1">
      <c r="A172" s="690"/>
      <c r="B172" s="690"/>
      <c r="C172" s="690"/>
      <c r="D172" s="825"/>
      <c r="E172" s="686"/>
      <c r="F172" s="825"/>
      <c r="G172" s="686"/>
      <c r="H172" s="825"/>
      <c r="I172" s="686"/>
      <c r="J172" s="825"/>
      <c r="K172" s="686"/>
      <c r="L172" s="825"/>
      <c r="M172" s="686"/>
      <c r="N172" s="686"/>
      <c r="O172" s="825"/>
      <c r="P172" s="686"/>
      <c r="Q172" s="825"/>
      <c r="R172" s="686"/>
      <c r="S172" s="825"/>
      <c r="T172" s="686"/>
      <c r="U172" s="825"/>
      <c r="V172" s="686"/>
      <c r="W172" s="825"/>
      <c r="X172" s="686"/>
      <c r="Y172" s="686"/>
      <c r="Z172" s="703"/>
      <c r="AA172" s="686"/>
      <c r="AB172" s="703"/>
      <c r="AC172" s="686"/>
      <c r="AD172" s="703"/>
      <c r="AE172" s="686"/>
      <c r="AF172" s="703"/>
      <c r="AG172" s="686"/>
      <c r="AH172" s="703"/>
      <c r="AI172" s="686"/>
      <c r="AJ172" s="686"/>
      <c r="AK172" s="703"/>
      <c r="AL172" s="686"/>
      <c r="AM172" s="703"/>
      <c r="AN172" s="686"/>
      <c r="AO172" s="703"/>
      <c r="AP172" s="686"/>
      <c r="AQ172" s="703"/>
      <c r="AR172" s="686"/>
      <c r="AS172" s="703"/>
      <c r="AT172" s="686"/>
      <c r="AU172" s="686"/>
      <c r="AV172" s="703"/>
      <c r="AW172" s="686"/>
      <c r="AX172" s="703"/>
      <c r="AY172" s="686"/>
      <c r="AZ172" s="703"/>
      <c r="BA172" s="686"/>
      <c r="BB172" s="703"/>
      <c r="BC172" s="686"/>
      <c r="BD172" s="703"/>
      <c r="BE172" s="686"/>
    </row>
    <row r="173" spans="1:57" s="44" customFormat="1">
      <c r="A173" s="690"/>
      <c r="B173" s="690"/>
      <c r="C173" s="690"/>
      <c r="D173" s="825"/>
      <c r="E173" s="686"/>
      <c r="F173" s="825"/>
      <c r="G173" s="686"/>
      <c r="H173" s="825"/>
      <c r="I173" s="686"/>
      <c r="J173" s="825"/>
      <c r="K173" s="686"/>
      <c r="L173" s="825"/>
      <c r="M173" s="686"/>
      <c r="N173" s="686"/>
      <c r="O173" s="825"/>
      <c r="P173" s="686"/>
      <c r="Q173" s="825"/>
      <c r="R173" s="686"/>
      <c r="S173" s="825"/>
      <c r="T173" s="686"/>
      <c r="U173" s="825"/>
      <c r="V173" s="686"/>
      <c r="W173" s="825"/>
      <c r="X173" s="686"/>
      <c r="Y173" s="686"/>
      <c r="Z173" s="703"/>
      <c r="AA173" s="686"/>
      <c r="AB173" s="703"/>
      <c r="AC173" s="686"/>
      <c r="AD173" s="703"/>
      <c r="AE173" s="686"/>
      <c r="AF173" s="703"/>
      <c r="AG173" s="686"/>
      <c r="AH173" s="703"/>
      <c r="AI173" s="686"/>
      <c r="AJ173" s="686"/>
      <c r="AK173" s="703"/>
      <c r="AL173" s="686"/>
      <c r="AM173" s="703"/>
      <c r="AN173" s="686"/>
      <c r="AO173" s="703"/>
      <c r="AP173" s="686"/>
      <c r="AQ173" s="703"/>
      <c r="AR173" s="686"/>
      <c r="AS173" s="703"/>
      <c r="AT173" s="686"/>
      <c r="AU173" s="686"/>
      <c r="AV173" s="703"/>
      <c r="AW173" s="686"/>
      <c r="AX173" s="703"/>
      <c r="AY173" s="686"/>
      <c r="AZ173" s="703"/>
      <c r="BA173" s="686"/>
      <c r="BB173" s="703"/>
      <c r="BC173" s="686"/>
      <c r="BD173" s="703"/>
      <c r="BE173" s="686"/>
    </row>
    <row r="174" spans="1:57" s="44" customFormat="1">
      <c r="A174" s="690"/>
      <c r="B174" s="690"/>
      <c r="C174" s="690"/>
      <c r="D174" s="825"/>
      <c r="E174" s="686"/>
      <c r="F174" s="825"/>
      <c r="G174" s="686"/>
      <c r="H174" s="825"/>
      <c r="I174" s="686"/>
      <c r="J174" s="825"/>
      <c r="K174" s="686"/>
      <c r="L174" s="825"/>
      <c r="M174" s="686"/>
      <c r="N174" s="686"/>
      <c r="O174" s="825"/>
      <c r="P174" s="686"/>
      <c r="Q174" s="825"/>
      <c r="R174" s="686"/>
      <c r="S174" s="825"/>
      <c r="T174" s="686"/>
      <c r="U174" s="825"/>
      <c r="V174" s="686"/>
      <c r="W174" s="825"/>
      <c r="X174" s="686"/>
      <c r="Y174" s="686"/>
      <c r="Z174" s="703"/>
      <c r="AA174" s="686"/>
      <c r="AB174" s="703"/>
      <c r="AC174" s="686"/>
      <c r="AD174" s="703"/>
      <c r="AE174" s="686"/>
      <c r="AF174" s="703"/>
      <c r="AG174" s="686"/>
      <c r="AH174" s="703"/>
      <c r="AI174" s="686"/>
      <c r="AJ174" s="686"/>
      <c r="AK174" s="703"/>
      <c r="AL174" s="686"/>
      <c r="AM174" s="703"/>
      <c r="AN174" s="686"/>
      <c r="AO174" s="703"/>
      <c r="AP174" s="686"/>
      <c r="AQ174" s="703"/>
      <c r="AR174" s="686"/>
      <c r="AS174" s="703"/>
      <c r="AT174" s="686"/>
      <c r="AU174" s="686"/>
      <c r="AV174" s="703"/>
      <c r="AW174" s="686"/>
      <c r="AX174" s="703"/>
      <c r="AY174" s="686"/>
      <c r="AZ174" s="703"/>
      <c r="BA174" s="686"/>
      <c r="BB174" s="703"/>
      <c r="BC174" s="686"/>
      <c r="BD174" s="703"/>
      <c r="BE174" s="686"/>
    </row>
    <row r="175" spans="1:57" s="44" customFormat="1">
      <c r="A175" s="690"/>
      <c r="B175" s="690"/>
      <c r="C175" s="690"/>
      <c r="D175" s="825"/>
      <c r="E175" s="686"/>
      <c r="F175" s="825"/>
      <c r="G175" s="686"/>
      <c r="H175" s="825"/>
      <c r="I175" s="686"/>
      <c r="J175" s="825"/>
      <c r="K175" s="686"/>
      <c r="L175" s="825"/>
      <c r="M175" s="686"/>
      <c r="N175" s="686"/>
      <c r="O175" s="825"/>
      <c r="P175" s="686"/>
      <c r="Q175" s="825"/>
      <c r="R175" s="686"/>
      <c r="S175" s="825"/>
      <c r="T175" s="686"/>
      <c r="U175" s="825"/>
      <c r="V175" s="686"/>
      <c r="W175" s="825"/>
      <c r="X175" s="686"/>
      <c r="Y175" s="686"/>
      <c r="Z175" s="703"/>
      <c r="AA175" s="686"/>
      <c r="AB175" s="703"/>
      <c r="AC175" s="686"/>
      <c r="AD175" s="703"/>
      <c r="AE175" s="686"/>
      <c r="AF175" s="703"/>
      <c r="AG175" s="686"/>
      <c r="AH175" s="703"/>
      <c r="AI175" s="686"/>
      <c r="AJ175" s="686"/>
      <c r="AK175" s="703"/>
      <c r="AL175" s="686"/>
      <c r="AM175" s="703"/>
      <c r="AN175" s="686"/>
      <c r="AO175" s="703"/>
      <c r="AP175" s="686"/>
      <c r="AQ175" s="703"/>
      <c r="AR175" s="686"/>
      <c r="AS175" s="703"/>
      <c r="AT175" s="686"/>
      <c r="AU175" s="686"/>
      <c r="AV175" s="703"/>
      <c r="AW175" s="686"/>
      <c r="AX175" s="703"/>
      <c r="AY175" s="686"/>
      <c r="AZ175" s="703"/>
      <c r="BA175" s="686"/>
      <c r="BB175" s="703"/>
      <c r="BC175" s="686"/>
      <c r="BD175" s="703"/>
      <c r="BE175" s="686"/>
    </row>
    <row r="176" spans="1:57" s="44" customFormat="1">
      <c r="A176" s="690"/>
      <c r="B176" s="690"/>
      <c r="C176" s="690"/>
      <c r="D176" s="825"/>
      <c r="E176" s="686"/>
      <c r="F176" s="825"/>
      <c r="G176" s="686"/>
      <c r="H176" s="825"/>
      <c r="I176" s="686"/>
      <c r="J176" s="825"/>
      <c r="K176" s="686"/>
      <c r="L176" s="825"/>
      <c r="M176" s="686"/>
      <c r="N176" s="686"/>
      <c r="O176" s="825"/>
      <c r="P176" s="686"/>
      <c r="Q176" s="825"/>
      <c r="R176" s="686"/>
      <c r="S176" s="825"/>
      <c r="T176" s="686"/>
      <c r="U176" s="825"/>
      <c r="V176" s="686"/>
      <c r="W176" s="825"/>
      <c r="X176" s="686"/>
      <c r="Y176" s="686"/>
      <c r="Z176" s="703"/>
      <c r="AA176" s="686"/>
      <c r="AB176" s="703"/>
      <c r="AC176" s="686"/>
      <c r="AD176" s="703"/>
      <c r="AE176" s="686"/>
      <c r="AF176" s="703"/>
      <c r="AG176" s="686"/>
      <c r="AH176" s="703"/>
      <c r="AI176" s="686"/>
      <c r="AJ176" s="686"/>
      <c r="AK176" s="703"/>
      <c r="AL176" s="686"/>
      <c r="AM176" s="703"/>
      <c r="AN176" s="686"/>
      <c r="AO176" s="703"/>
      <c r="AP176" s="686"/>
      <c r="AQ176" s="703"/>
      <c r="AR176" s="686"/>
      <c r="AS176" s="703"/>
      <c r="AT176" s="686"/>
      <c r="AU176" s="686"/>
      <c r="AV176" s="703"/>
      <c r="AW176" s="686"/>
      <c r="AX176" s="703"/>
      <c r="AY176" s="686"/>
      <c r="AZ176" s="703"/>
      <c r="BA176" s="686"/>
      <c r="BB176" s="703"/>
      <c r="BC176" s="686"/>
      <c r="BD176" s="703"/>
      <c r="BE176" s="686"/>
    </row>
    <row r="177" spans="1:57" s="44" customFormat="1">
      <c r="A177" s="690"/>
      <c r="B177" s="690"/>
      <c r="C177" s="690"/>
      <c r="D177" s="825"/>
      <c r="E177" s="686"/>
      <c r="F177" s="825"/>
      <c r="G177" s="686"/>
      <c r="H177" s="825"/>
      <c r="I177" s="686"/>
      <c r="J177" s="825"/>
      <c r="K177" s="686"/>
      <c r="L177" s="825"/>
      <c r="M177" s="686"/>
      <c r="N177" s="686"/>
      <c r="O177" s="825"/>
      <c r="P177" s="686"/>
      <c r="Q177" s="825"/>
      <c r="R177" s="686"/>
      <c r="S177" s="825"/>
      <c r="T177" s="686"/>
      <c r="U177" s="825"/>
      <c r="V177" s="686"/>
      <c r="W177" s="825"/>
      <c r="X177" s="686"/>
      <c r="Y177" s="686"/>
      <c r="Z177" s="703"/>
      <c r="AA177" s="686"/>
      <c r="AB177" s="703"/>
      <c r="AC177" s="686"/>
      <c r="AD177" s="703"/>
      <c r="AE177" s="686"/>
      <c r="AF177" s="703"/>
      <c r="AG177" s="686"/>
      <c r="AH177" s="703"/>
      <c r="AI177" s="686"/>
      <c r="AJ177" s="686"/>
      <c r="AK177" s="703"/>
      <c r="AL177" s="686"/>
      <c r="AM177" s="703"/>
      <c r="AN177" s="686"/>
      <c r="AO177" s="703"/>
      <c r="AP177" s="686"/>
      <c r="AQ177" s="703"/>
      <c r="AR177" s="686"/>
      <c r="AS177" s="703"/>
      <c r="AT177" s="686"/>
      <c r="AU177" s="686"/>
      <c r="AV177" s="703"/>
      <c r="AW177" s="686"/>
      <c r="AX177" s="703"/>
      <c r="AY177" s="686"/>
      <c r="AZ177" s="703"/>
      <c r="BA177" s="686"/>
      <c r="BB177" s="703"/>
      <c r="BC177" s="686"/>
      <c r="BD177" s="703"/>
      <c r="BE177" s="686"/>
    </row>
    <row r="178" spans="1:57" s="44" customFormat="1">
      <c r="A178" s="690"/>
      <c r="B178" s="690"/>
      <c r="C178" s="690"/>
      <c r="D178" s="825"/>
      <c r="E178" s="686"/>
      <c r="F178" s="825"/>
      <c r="G178" s="686"/>
      <c r="H178" s="825"/>
      <c r="I178" s="686"/>
      <c r="J178" s="825"/>
      <c r="K178" s="686"/>
      <c r="L178" s="825"/>
      <c r="M178" s="686"/>
      <c r="N178" s="686"/>
      <c r="O178" s="825"/>
      <c r="P178" s="686"/>
      <c r="Q178" s="825"/>
      <c r="R178" s="686"/>
      <c r="S178" s="825"/>
      <c r="T178" s="686"/>
      <c r="U178" s="825"/>
      <c r="V178" s="686"/>
      <c r="W178" s="825"/>
      <c r="X178" s="686"/>
      <c r="Y178" s="686"/>
      <c r="Z178" s="703"/>
      <c r="AA178" s="686"/>
      <c r="AB178" s="703"/>
      <c r="AC178" s="686"/>
      <c r="AD178" s="703"/>
      <c r="AE178" s="686"/>
      <c r="AF178" s="703"/>
      <c r="AG178" s="686"/>
      <c r="AH178" s="703"/>
      <c r="AI178" s="686"/>
      <c r="AJ178" s="686"/>
      <c r="AK178" s="703"/>
      <c r="AL178" s="686"/>
      <c r="AM178" s="703"/>
      <c r="AN178" s="686"/>
      <c r="AO178" s="703"/>
      <c r="AP178" s="686"/>
      <c r="AQ178" s="703"/>
      <c r="AR178" s="686"/>
      <c r="AS178" s="703"/>
      <c r="AT178" s="686"/>
      <c r="AU178" s="686"/>
      <c r="AV178" s="703"/>
      <c r="AW178" s="686"/>
      <c r="AX178" s="703"/>
      <c r="AY178" s="686"/>
      <c r="AZ178" s="703"/>
      <c r="BA178" s="686"/>
      <c r="BB178" s="703"/>
      <c r="BC178" s="686"/>
      <c r="BD178" s="703"/>
      <c r="BE178" s="686"/>
    </row>
    <row r="179" spans="1:57" s="44" customFormat="1">
      <c r="A179" s="690"/>
      <c r="B179" s="690"/>
      <c r="C179" s="690"/>
      <c r="D179" s="825"/>
      <c r="E179" s="686"/>
      <c r="F179" s="825"/>
      <c r="G179" s="686"/>
      <c r="H179" s="825"/>
      <c r="I179" s="686"/>
      <c r="J179" s="825"/>
      <c r="K179" s="686"/>
      <c r="L179" s="825"/>
      <c r="M179" s="686"/>
      <c r="N179" s="686"/>
      <c r="O179" s="825"/>
      <c r="P179" s="686"/>
      <c r="Q179" s="825"/>
      <c r="R179" s="686"/>
      <c r="S179" s="825"/>
      <c r="T179" s="686"/>
      <c r="U179" s="825"/>
      <c r="V179" s="686"/>
      <c r="W179" s="825"/>
      <c r="X179" s="686"/>
      <c r="Y179" s="686"/>
      <c r="Z179" s="703"/>
      <c r="AA179" s="686"/>
      <c r="AB179" s="703"/>
      <c r="AC179" s="686"/>
      <c r="AD179" s="703"/>
      <c r="AE179" s="686"/>
      <c r="AF179" s="703"/>
      <c r="AG179" s="686"/>
      <c r="AH179" s="703"/>
      <c r="AI179" s="686"/>
      <c r="AJ179" s="686"/>
      <c r="AK179" s="703"/>
      <c r="AL179" s="686"/>
      <c r="AM179" s="703"/>
      <c r="AN179" s="686"/>
      <c r="AO179" s="703"/>
      <c r="AP179" s="686"/>
      <c r="AQ179" s="703"/>
      <c r="AR179" s="686"/>
      <c r="AS179" s="703"/>
      <c r="AT179" s="686"/>
      <c r="AU179" s="686"/>
      <c r="AV179" s="703"/>
      <c r="AW179" s="686"/>
      <c r="AX179" s="703"/>
      <c r="AY179" s="686"/>
      <c r="AZ179" s="703"/>
      <c r="BA179" s="686"/>
      <c r="BB179" s="703"/>
      <c r="BC179" s="686"/>
      <c r="BD179" s="703"/>
      <c r="BE179" s="686"/>
    </row>
    <row r="180" spans="1:57" s="44" customFormat="1">
      <c r="A180" s="690"/>
      <c r="B180" s="690"/>
      <c r="C180" s="690"/>
      <c r="D180" s="825"/>
      <c r="E180" s="686"/>
      <c r="F180" s="825"/>
      <c r="G180" s="686"/>
      <c r="H180" s="825"/>
      <c r="I180" s="686"/>
      <c r="J180" s="825"/>
      <c r="K180" s="686"/>
      <c r="L180" s="825"/>
      <c r="M180" s="686"/>
      <c r="N180" s="686"/>
      <c r="O180" s="825"/>
      <c r="P180" s="686"/>
      <c r="Q180" s="825"/>
      <c r="R180" s="686"/>
      <c r="S180" s="825"/>
      <c r="T180" s="686"/>
      <c r="U180" s="825"/>
      <c r="V180" s="686"/>
      <c r="W180" s="825"/>
      <c r="X180" s="686"/>
      <c r="Y180" s="686"/>
      <c r="Z180" s="703"/>
      <c r="AA180" s="686"/>
      <c r="AB180" s="703"/>
      <c r="AC180" s="686"/>
      <c r="AD180" s="703"/>
      <c r="AE180" s="686"/>
      <c r="AF180" s="703"/>
      <c r="AG180" s="686"/>
      <c r="AH180" s="703"/>
      <c r="AI180" s="686"/>
      <c r="AJ180" s="686"/>
      <c r="AK180" s="703"/>
      <c r="AL180" s="686"/>
      <c r="AM180" s="703"/>
      <c r="AN180" s="686"/>
      <c r="AO180" s="703"/>
      <c r="AP180" s="686"/>
      <c r="AQ180" s="703"/>
      <c r="AR180" s="686"/>
      <c r="AS180" s="703"/>
      <c r="AT180" s="686"/>
      <c r="AU180" s="686"/>
      <c r="AV180" s="703"/>
      <c r="AW180" s="686"/>
      <c r="AX180" s="703"/>
      <c r="AY180" s="686"/>
      <c r="AZ180" s="703"/>
      <c r="BA180" s="686"/>
      <c r="BB180" s="703"/>
      <c r="BC180" s="686"/>
      <c r="BD180" s="703"/>
      <c r="BE180" s="686"/>
    </row>
    <row r="181" spans="1:57" s="44" customFormat="1">
      <c r="A181" s="690"/>
      <c r="B181" s="690"/>
      <c r="C181" s="690"/>
      <c r="D181" s="825"/>
      <c r="E181" s="686"/>
      <c r="F181" s="825"/>
      <c r="G181" s="686"/>
      <c r="H181" s="825"/>
      <c r="I181" s="686"/>
      <c r="J181" s="825"/>
      <c r="K181" s="686"/>
      <c r="L181" s="825"/>
      <c r="M181" s="686"/>
      <c r="N181" s="686"/>
      <c r="O181" s="825"/>
      <c r="P181" s="686"/>
      <c r="Q181" s="825"/>
      <c r="R181" s="686"/>
      <c r="S181" s="825"/>
      <c r="T181" s="686"/>
      <c r="U181" s="825"/>
      <c r="V181" s="686"/>
      <c r="W181" s="825"/>
      <c r="X181" s="686"/>
      <c r="Y181" s="686"/>
      <c r="Z181" s="703"/>
      <c r="AA181" s="686"/>
      <c r="AB181" s="703"/>
      <c r="AC181" s="686"/>
      <c r="AD181" s="703"/>
      <c r="AE181" s="686"/>
      <c r="AF181" s="703"/>
      <c r="AG181" s="686"/>
      <c r="AH181" s="703"/>
      <c r="AI181" s="686"/>
      <c r="AJ181" s="686"/>
      <c r="AK181" s="703"/>
      <c r="AL181" s="686"/>
      <c r="AM181" s="703"/>
      <c r="AN181" s="686"/>
      <c r="AO181" s="703"/>
      <c r="AP181" s="686"/>
      <c r="AQ181" s="703"/>
      <c r="AR181" s="686"/>
      <c r="AS181" s="703"/>
      <c r="AT181" s="686"/>
      <c r="AU181" s="686"/>
      <c r="AV181" s="703"/>
      <c r="AW181" s="686"/>
      <c r="AX181" s="703"/>
      <c r="AY181" s="686"/>
      <c r="AZ181" s="703"/>
      <c r="BA181" s="686"/>
      <c r="BB181" s="703"/>
      <c r="BC181" s="686"/>
      <c r="BD181" s="703"/>
      <c r="BE181" s="686"/>
    </row>
    <row r="182" spans="1:57" s="44" customFormat="1">
      <c r="A182" s="690"/>
      <c r="B182" s="690"/>
      <c r="C182" s="690"/>
      <c r="D182" s="825"/>
      <c r="E182" s="686"/>
      <c r="F182" s="825"/>
      <c r="G182" s="686"/>
      <c r="H182" s="825"/>
      <c r="I182" s="686"/>
      <c r="J182" s="825"/>
      <c r="K182" s="686"/>
      <c r="L182" s="825"/>
      <c r="M182" s="686"/>
      <c r="N182" s="686"/>
      <c r="O182" s="825"/>
      <c r="P182" s="686"/>
      <c r="Q182" s="825"/>
      <c r="R182" s="686"/>
      <c r="S182" s="825"/>
      <c r="T182" s="686"/>
      <c r="U182" s="825"/>
      <c r="V182" s="686"/>
      <c r="W182" s="825"/>
      <c r="X182" s="686"/>
      <c r="Y182" s="686"/>
      <c r="Z182" s="703"/>
      <c r="AA182" s="686"/>
      <c r="AB182" s="703"/>
      <c r="AC182" s="686"/>
      <c r="AD182" s="703"/>
      <c r="AE182" s="686"/>
      <c r="AF182" s="703"/>
      <c r="AG182" s="686"/>
      <c r="AH182" s="703"/>
      <c r="AI182" s="686"/>
      <c r="AJ182" s="686"/>
      <c r="AK182" s="703"/>
      <c r="AL182" s="686"/>
      <c r="AM182" s="703"/>
      <c r="AN182" s="686"/>
      <c r="AO182" s="703"/>
      <c r="AP182" s="686"/>
      <c r="AQ182" s="703"/>
      <c r="AR182" s="686"/>
      <c r="AS182" s="703"/>
      <c r="AT182" s="686"/>
      <c r="AU182" s="686"/>
      <c r="AV182" s="703"/>
      <c r="AW182" s="686"/>
      <c r="AX182" s="703"/>
      <c r="AY182" s="686"/>
      <c r="AZ182" s="703"/>
      <c r="BA182" s="686"/>
      <c r="BB182" s="703"/>
      <c r="BC182" s="686"/>
      <c r="BD182" s="703"/>
      <c r="BE182" s="686"/>
    </row>
    <row r="183" spans="1:57" s="44" customFormat="1">
      <c r="A183" s="690"/>
      <c r="B183" s="690"/>
      <c r="C183" s="690"/>
      <c r="D183" s="825"/>
      <c r="E183" s="686"/>
      <c r="F183" s="825"/>
      <c r="G183" s="686"/>
      <c r="H183" s="825"/>
      <c r="I183" s="686"/>
      <c r="J183" s="825"/>
      <c r="K183" s="686"/>
      <c r="L183" s="825"/>
      <c r="M183" s="686"/>
      <c r="N183" s="686"/>
      <c r="O183" s="825"/>
      <c r="P183" s="686"/>
      <c r="Q183" s="825"/>
      <c r="R183" s="686"/>
      <c r="S183" s="825"/>
      <c r="T183" s="686"/>
      <c r="U183" s="825"/>
      <c r="V183" s="686"/>
      <c r="W183" s="825"/>
      <c r="X183" s="686"/>
      <c r="Y183" s="686"/>
      <c r="Z183" s="703"/>
      <c r="AA183" s="686"/>
      <c r="AB183" s="703"/>
      <c r="AC183" s="686"/>
      <c r="AD183" s="703"/>
      <c r="AE183" s="686"/>
      <c r="AF183" s="703"/>
      <c r="AG183" s="686"/>
      <c r="AH183" s="703"/>
      <c r="AI183" s="686"/>
      <c r="AJ183" s="686"/>
      <c r="AK183" s="703"/>
      <c r="AL183" s="686"/>
      <c r="AM183" s="703"/>
      <c r="AN183" s="686"/>
      <c r="AO183" s="703"/>
      <c r="AP183" s="686"/>
      <c r="AQ183" s="703"/>
      <c r="AR183" s="686"/>
      <c r="AS183" s="703"/>
      <c r="AT183" s="686"/>
      <c r="AU183" s="686"/>
      <c r="AV183" s="703"/>
      <c r="AW183" s="686"/>
      <c r="AX183" s="703"/>
      <c r="AY183" s="686"/>
      <c r="AZ183" s="703"/>
      <c r="BA183" s="686"/>
      <c r="BB183" s="703"/>
      <c r="BC183" s="686"/>
      <c r="BD183" s="703"/>
      <c r="BE183" s="686"/>
    </row>
    <row r="184" spans="1:57" s="44" customFormat="1">
      <c r="A184" s="690"/>
      <c r="B184" s="690"/>
      <c r="C184" s="690"/>
      <c r="D184" s="825"/>
      <c r="E184" s="686"/>
      <c r="F184" s="825"/>
      <c r="G184" s="686"/>
      <c r="H184" s="825"/>
      <c r="I184" s="686"/>
      <c r="J184" s="825"/>
      <c r="K184" s="686"/>
      <c r="L184" s="825"/>
      <c r="M184" s="686"/>
      <c r="N184" s="686"/>
      <c r="O184" s="825"/>
      <c r="P184" s="686"/>
      <c r="Q184" s="825"/>
      <c r="R184" s="686"/>
      <c r="S184" s="825"/>
      <c r="T184" s="686"/>
      <c r="U184" s="825"/>
      <c r="V184" s="686"/>
      <c r="W184" s="825"/>
      <c r="X184" s="686"/>
      <c r="Y184" s="686"/>
      <c r="Z184" s="703"/>
      <c r="AA184" s="686"/>
      <c r="AB184" s="703"/>
      <c r="AC184" s="686"/>
      <c r="AD184" s="703"/>
      <c r="AE184" s="686"/>
      <c r="AF184" s="703"/>
      <c r="AG184" s="686"/>
      <c r="AH184" s="703"/>
      <c r="AI184" s="686"/>
      <c r="AJ184" s="686"/>
      <c r="AK184" s="703"/>
      <c r="AL184" s="686"/>
      <c r="AM184" s="703"/>
      <c r="AN184" s="686"/>
      <c r="AO184" s="703"/>
      <c r="AP184" s="686"/>
      <c r="AQ184" s="703"/>
      <c r="AR184" s="686"/>
      <c r="AS184" s="703"/>
      <c r="AT184" s="686"/>
      <c r="AU184" s="686"/>
      <c r="AV184" s="703"/>
      <c r="AW184" s="686"/>
      <c r="AX184" s="703"/>
      <c r="AY184" s="686"/>
      <c r="AZ184" s="703"/>
      <c r="BA184" s="686"/>
      <c r="BB184" s="703"/>
      <c r="BC184" s="686"/>
      <c r="BD184" s="703"/>
      <c r="BE184" s="686"/>
    </row>
    <row r="185" spans="1:57" s="44" customFormat="1">
      <c r="A185" s="690"/>
      <c r="B185" s="690"/>
      <c r="C185" s="690"/>
      <c r="D185" s="825"/>
      <c r="E185" s="686"/>
      <c r="F185" s="825"/>
      <c r="G185" s="686"/>
      <c r="H185" s="825"/>
      <c r="I185" s="686"/>
      <c r="J185" s="825"/>
      <c r="K185" s="686"/>
      <c r="L185" s="825"/>
      <c r="M185" s="686"/>
      <c r="N185" s="686"/>
      <c r="O185" s="825"/>
      <c r="P185" s="686"/>
      <c r="Q185" s="825"/>
      <c r="R185" s="686"/>
      <c r="S185" s="825"/>
      <c r="T185" s="686"/>
      <c r="U185" s="825"/>
      <c r="V185" s="686"/>
      <c r="W185" s="825"/>
      <c r="X185" s="686"/>
      <c r="Y185" s="686"/>
      <c r="Z185" s="703"/>
      <c r="AA185" s="686"/>
      <c r="AB185" s="703"/>
      <c r="AC185" s="686"/>
      <c r="AD185" s="703"/>
      <c r="AE185" s="686"/>
      <c r="AF185" s="703"/>
      <c r="AG185" s="686"/>
      <c r="AH185" s="703"/>
      <c r="AI185" s="686"/>
      <c r="AJ185" s="686"/>
      <c r="AK185" s="703"/>
      <c r="AL185" s="686"/>
      <c r="AM185" s="703"/>
      <c r="AN185" s="686"/>
      <c r="AO185" s="703"/>
      <c r="AP185" s="686"/>
      <c r="AQ185" s="703"/>
      <c r="AR185" s="686"/>
      <c r="AS185" s="703"/>
      <c r="AT185" s="686"/>
      <c r="AU185" s="686"/>
      <c r="AV185" s="703"/>
      <c r="AW185" s="686"/>
      <c r="AX185" s="703"/>
      <c r="AY185" s="686"/>
      <c r="AZ185" s="703"/>
      <c r="BA185" s="686"/>
      <c r="BB185" s="703"/>
      <c r="BC185" s="686"/>
      <c r="BD185" s="703"/>
      <c r="BE185" s="686"/>
    </row>
    <row r="186" spans="1:57" s="44" customFormat="1">
      <c r="A186" s="690"/>
      <c r="B186" s="690"/>
      <c r="C186" s="690"/>
      <c r="D186" s="825"/>
      <c r="E186" s="686"/>
      <c r="F186" s="825"/>
      <c r="G186" s="686"/>
      <c r="H186" s="825"/>
      <c r="I186" s="686"/>
      <c r="J186" s="825"/>
      <c r="K186" s="686"/>
      <c r="L186" s="825"/>
      <c r="M186" s="686"/>
      <c r="N186" s="686"/>
      <c r="O186" s="825"/>
      <c r="P186" s="686"/>
      <c r="Q186" s="825"/>
      <c r="R186" s="686"/>
      <c r="S186" s="825"/>
      <c r="T186" s="686"/>
      <c r="U186" s="825"/>
      <c r="V186" s="686"/>
      <c r="W186" s="825"/>
      <c r="X186" s="686"/>
      <c r="Y186" s="686"/>
      <c r="Z186" s="703"/>
      <c r="AA186" s="686"/>
      <c r="AB186" s="703"/>
      <c r="AC186" s="686"/>
      <c r="AD186" s="703"/>
      <c r="AE186" s="686"/>
      <c r="AF186" s="703"/>
      <c r="AG186" s="686"/>
      <c r="AH186" s="703"/>
      <c r="AI186" s="686"/>
      <c r="AJ186" s="686"/>
      <c r="AK186" s="703"/>
      <c r="AL186" s="686"/>
      <c r="AM186" s="703"/>
      <c r="AN186" s="686"/>
      <c r="AO186" s="703"/>
      <c r="AP186" s="686"/>
      <c r="AQ186" s="703"/>
      <c r="AR186" s="686"/>
      <c r="AS186" s="703"/>
      <c r="AT186" s="686"/>
      <c r="AU186" s="686"/>
      <c r="AV186" s="703"/>
      <c r="AW186" s="686"/>
      <c r="AX186" s="703"/>
      <c r="AY186" s="686"/>
      <c r="AZ186" s="703"/>
      <c r="BA186" s="686"/>
      <c r="BB186" s="703"/>
      <c r="BC186" s="686"/>
      <c r="BD186" s="703"/>
      <c r="BE186" s="686"/>
    </row>
    <row r="187" spans="1:57" s="44" customFormat="1">
      <c r="A187" s="690"/>
      <c r="B187" s="690"/>
      <c r="C187" s="690"/>
      <c r="D187" s="825"/>
      <c r="E187" s="686"/>
      <c r="F187" s="825"/>
      <c r="G187" s="686"/>
      <c r="H187" s="825"/>
      <c r="I187" s="686"/>
      <c r="J187" s="825"/>
      <c r="K187" s="686"/>
      <c r="L187" s="825"/>
      <c r="M187" s="686"/>
      <c r="N187" s="686"/>
      <c r="O187" s="825"/>
      <c r="P187" s="686"/>
      <c r="Q187" s="825"/>
      <c r="R187" s="686"/>
      <c r="S187" s="825"/>
      <c r="T187" s="686"/>
      <c r="U187" s="825"/>
      <c r="V187" s="686"/>
      <c r="W187" s="825"/>
      <c r="X187" s="686"/>
      <c r="Y187" s="686"/>
      <c r="Z187" s="703"/>
      <c r="AA187" s="686"/>
      <c r="AB187" s="703"/>
      <c r="AC187" s="686"/>
      <c r="AD187" s="703"/>
      <c r="AE187" s="686"/>
      <c r="AF187" s="703"/>
      <c r="AG187" s="686"/>
      <c r="AH187" s="703"/>
      <c r="AI187" s="686"/>
      <c r="AJ187" s="686"/>
      <c r="AK187" s="703"/>
      <c r="AL187" s="686"/>
      <c r="AM187" s="703"/>
      <c r="AN187" s="686"/>
      <c r="AO187" s="703"/>
      <c r="AP187" s="686"/>
      <c r="AQ187" s="703"/>
      <c r="AR187" s="686"/>
      <c r="AS187" s="703"/>
      <c r="AT187" s="686"/>
      <c r="AU187" s="686"/>
      <c r="AV187" s="703"/>
      <c r="AW187" s="686"/>
      <c r="AX187" s="703"/>
      <c r="AY187" s="686"/>
      <c r="AZ187" s="703"/>
      <c r="BA187" s="686"/>
      <c r="BB187" s="703"/>
      <c r="BC187" s="686"/>
      <c r="BD187" s="703"/>
      <c r="BE187" s="686"/>
    </row>
    <row r="188" spans="1:57" s="44" customFormat="1">
      <c r="A188" s="690"/>
      <c r="B188" s="690"/>
      <c r="C188" s="690"/>
      <c r="D188" s="825"/>
      <c r="E188" s="686"/>
      <c r="F188" s="825"/>
      <c r="G188" s="686"/>
      <c r="H188" s="825"/>
      <c r="I188" s="686"/>
      <c r="J188" s="825"/>
      <c r="K188" s="686"/>
      <c r="L188" s="825"/>
      <c r="M188" s="686"/>
      <c r="N188" s="686"/>
      <c r="O188" s="825"/>
      <c r="P188" s="686"/>
      <c r="Q188" s="825"/>
      <c r="R188" s="686"/>
      <c r="S188" s="825"/>
      <c r="T188" s="686"/>
      <c r="U188" s="825"/>
      <c r="V188" s="686"/>
      <c r="W188" s="825"/>
      <c r="X188" s="686"/>
      <c r="Y188" s="686"/>
      <c r="Z188" s="703"/>
      <c r="AA188" s="686"/>
      <c r="AB188" s="703"/>
      <c r="AC188" s="686"/>
      <c r="AD188" s="703"/>
      <c r="AE188" s="686"/>
      <c r="AF188" s="703"/>
      <c r="AG188" s="686"/>
      <c r="AH188" s="703"/>
      <c r="AI188" s="686"/>
      <c r="AJ188" s="686"/>
      <c r="AK188" s="703"/>
      <c r="AL188" s="686"/>
      <c r="AM188" s="703"/>
      <c r="AN188" s="686"/>
      <c r="AO188" s="703"/>
      <c r="AP188" s="686"/>
      <c r="AQ188" s="703"/>
      <c r="AR188" s="686"/>
      <c r="AS188" s="703"/>
      <c r="AT188" s="686"/>
      <c r="AU188" s="686"/>
      <c r="AV188" s="703"/>
      <c r="AW188" s="686"/>
      <c r="AX188" s="703"/>
      <c r="AY188" s="686"/>
      <c r="AZ188" s="703"/>
      <c r="BA188" s="686"/>
      <c r="BB188" s="703"/>
      <c r="BC188" s="686"/>
      <c r="BD188" s="703"/>
      <c r="BE188" s="686"/>
    </row>
    <row r="189" spans="1:57" s="44" customFormat="1">
      <c r="A189" s="690"/>
      <c r="B189" s="690"/>
      <c r="C189" s="690"/>
      <c r="D189" s="825"/>
      <c r="E189" s="686"/>
      <c r="F189" s="825"/>
      <c r="G189" s="686"/>
      <c r="H189" s="825"/>
      <c r="I189" s="686"/>
      <c r="J189" s="825"/>
      <c r="K189" s="686"/>
      <c r="L189" s="825"/>
      <c r="M189" s="686"/>
      <c r="N189" s="686"/>
      <c r="O189" s="825"/>
      <c r="P189" s="686"/>
      <c r="Q189" s="825"/>
      <c r="R189" s="686"/>
      <c r="S189" s="825"/>
      <c r="T189" s="686"/>
      <c r="U189" s="825"/>
      <c r="V189" s="686"/>
      <c r="W189" s="825"/>
      <c r="X189" s="686"/>
      <c r="Y189" s="686"/>
      <c r="Z189" s="703"/>
      <c r="AA189" s="686"/>
      <c r="AB189" s="703"/>
      <c r="AC189" s="686"/>
      <c r="AD189" s="703"/>
      <c r="AE189" s="686"/>
      <c r="AF189" s="703"/>
      <c r="AG189" s="686"/>
      <c r="AH189" s="703"/>
      <c r="AI189" s="686"/>
      <c r="AJ189" s="686"/>
      <c r="AK189" s="703"/>
      <c r="AL189" s="686"/>
      <c r="AM189" s="703"/>
      <c r="AN189" s="686"/>
      <c r="AO189" s="703"/>
      <c r="AP189" s="686"/>
      <c r="AQ189" s="703"/>
      <c r="AR189" s="686"/>
      <c r="AS189" s="703"/>
      <c r="AT189" s="686"/>
      <c r="AU189" s="686"/>
      <c r="AV189" s="703"/>
      <c r="AW189" s="686"/>
      <c r="AX189" s="703"/>
      <c r="AY189" s="686"/>
      <c r="AZ189" s="703"/>
      <c r="BA189" s="686"/>
      <c r="BB189" s="703"/>
      <c r="BC189" s="686"/>
      <c r="BD189" s="703"/>
      <c r="BE189" s="686"/>
    </row>
    <row r="190" spans="1:57" s="44" customFormat="1">
      <c r="A190" s="690"/>
      <c r="B190" s="690"/>
      <c r="C190" s="690"/>
      <c r="D190" s="825"/>
      <c r="E190" s="686"/>
      <c r="F190" s="825"/>
      <c r="G190" s="686"/>
      <c r="H190" s="825"/>
      <c r="I190" s="686"/>
      <c r="J190" s="825"/>
      <c r="K190" s="686"/>
      <c r="L190" s="825"/>
      <c r="M190" s="686"/>
      <c r="N190" s="686"/>
      <c r="O190" s="825"/>
      <c r="P190" s="686"/>
      <c r="Q190" s="825"/>
      <c r="R190" s="686"/>
      <c r="S190" s="825"/>
      <c r="T190" s="686"/>
      <c r="U190" s="825"/>
      <c r="V190" s="686"/>
      <c r="W190" s="825"/>
      <c r="X190" s="686"/>
      <c r="Y190" s="686"/>
      <c r="Z190" s="703"/>
      <c r="AA190" s="686"/>
      <c r="AB190" s="703"/>
      <c r="AC190" s="686"/>
      <c r="AD190" s="703"/>
      <c r="AE190" s="686"/>
      <c r="AF190" s="703"/>
      <c r="AG190" s="686"/>
      <c r="AH190" s="703"/>
      <c r="AI190" s="686"/>
      <c r="AJ190" s="686"/>
      <c r="AK190" s="703"/>
      <c r="AL190" s="686"/>
      <c r="AM190" s="703"/>
      <c r="AN190" s="686"/>
      <c r="AO190" s="703"/>
      <c r="AP190" s="686"/>
      <c r="AQ190" s="703"/>
      <c r="AR190" s="686"/>
      <c r="AS190" s="703"/>
      <c r="AT190" s="686"/>
      <c r="AU190" s="686"/>
      <c r="AV190" s="703"/>
      <c r="AW190" s="686"/>
      <c r="AX190" s="703"/>
      <c r="AY190" s="686"/>
      <c r="AZ190" s="703"/>
      <c r="BA190" s="686"/>
      <c r="BB190" s="703"/>
      <c r="BC190" s="686"/>
      <c r="BD190" s="703"/>
      <c r="BE190" s="686"/>
    </row>
    <row r="191" spans="1:57" s="44" customFormat="1">
      <c r="A191" s="690"/>
      <c r="B191" s="690"/>
      <c r="C191" s="690"/>
      <c r="D191" s="825"/>
      <c r="E191" s="686"/>
      <c r="F191" s="825"/>
      <c r="G191" s="686"/>
      <c r="H191" s="825"/>
      <c r="I191" s="686"/>
      <c r="J191" s="825"/>
      <c r="K191" s="686"/>
      <c r="L191" s="825"/>
      <c r="M191" s="686"/>
      <c r="N191" s="686"/>
      <c r="O191" s="825"/>
      <c r="P191" s="686"/>
      <c r="Q191" s="825"/>
      <c r="R191" s="686"/>
      <c r="S191" s="825"/>
      <c r="T191" s="686"/>
      <c r="U191" s="825"/>
      <c r="V191" s="686"/>
      <c r="W191" s="825"/>
      <c r="X191" s="686"/>
      <c r="Y191" s="686"/>
      <c r="Z191" s="703"/>
      <c r="AA191" s="686"/>
      <c r="AB191" s="703"/>
      <c r="AC191" s="686"/>
      <c r="AD191" s="703"/>
      <c r="AE191" s="686"/>
      <c r="AF191" s="703"/>
      <c r="AG191" s="686"/>
      <c r="AH191" s="703"/>
      <c r="AI191" s="686"/>
      <c r="AJ191" s="686"/>
      <c r="AK191" s="703"/>
      <c r="AL191" s="686"/>
      <c r="AM191" s="703"/>
      <c r="AN191" s="686"/>
      <c r="AO191" s="703"/>
      <c r="AP191" s="686"/>
      <c r="AQ191" s="703"/>
      <c r="AR191" s="686"/>
      <c r="AS191" s="703"/>
      <c r="AT191" s="686"/>
      <c r="AU191" s="686"/>
      <c r="AV191" s="703"/>
      <c r="AW191" s="686"/>
      <c r="AX191" s="703"/>
      <c r="AY191" s="686"/>
      <c r="AZ191" s="703"/>
      <c r="BA191" s="686"/>
      <c r="BB191" s="703"/>
      <c r="BC191" s="686"/>
      <c r="BD191" s="703"/>
      <c r="BE191" s="686"/>
    </row>
    <row r="192" spans="1:57" s="44" customFormat="1">
      <c r="A192" s="690"/>
      <c r="B192" s="690"/>
      <c r="C192" s="690"/>
      <c r="D192" s="825"/>
      <c r="E192" s="686"/>
      <c r="F192" s="825"/>
      <c r="G192" s="686"/>
      <c r="H192" s="825"/>
      <c r="I192" s="686"/>
      <c r="J192" s="825"/>
      <c r="K192" s="686"/>
      <c r="L192" s="825"/>
      <c r="M192" s="686"/>
      <c r="N192" s="686"/>
      <c r="O192" s="825"/>
      <c r="P192" s="686"/>
      <c r="Q192" s="825"/>
      <c r="R192" s="686"/>
      <c r="S192" s="825"/>
      <c r="T192" s="686"/>
      <c r="U192" s="825"/>
      <c r="V192" s="686"/>
      <c r="W192" s="825"/>
      <c r="X192" s="686"/>
      <c r="Y192" s="686"/>
      <c r="Z192" s="703"/>
      <c r="AA192" s="686"/>
      <c r="AB192" s="703"/>
      <c r="AC192" s="686"/>
      <c r="AD192" s="703"/>
      <c r="AE192" s="686"/>
      <c r="AF192" s="703"/>
      <c r="AG192" s="686"/>
      <c r="AH192" s="703"/>
      <c r="AI192" s="686"/>
      <c r="AJ192" s="686"/>
      <c r="AK192" s="703"/>
      <c r="AL192" s="686"/>
      <c r="AM192" s="703"/>
      <c r="AN192" s="686"/>
      <c r="AO192" s="703"/>
      <c r="AP192" s="686"/>
      <c r="AQ192" s="703"/>
      <c r="AR192" s="686"/>
      <c r="AS192" s="703"/>
      <c r="AT192" s="686"/>
      <c r="AU192" s="686"/>
      <c r="AV192" s="703"/>
      <c r="AW192" s="686"/>
      <c r="AX192" s="703"/>
      <c r="AY192" s="686"/>
      <c r="AZ192" s="703"/>
      <c r="BA192" s="686"/>
      <c r="BB192" s="703"/>
      <c r="BC192" s="686"/>
      <c r="BD192" s="703"/>
      <c r="BE192" s="686"/>
    </row>
    <row r="193" spans="1:57" s="44" customFormat="1">
      <c r="A193" s="690"/>
      <c r="B193" s="690"/>
      <c r="C193" s="690"/>
      <c r="D193" s="825"/>
      <c r="E193" s="686"/>
      <c r="F193" s="825"/>
      <c r="G193" s="686"/>
      <c r="H193" s="825"/>
      <c r="I193" s="686"/>
      <c r="J193" s="825"/>
      <c r="K193" s="686"/>
      <c r="L193" s="825"/>
      <c r="M193" s="686"/>
      <c r="N193" s="686"/>
      <c r="O193" s="825"/>
      <c r="P193" s="686"/>
      <c r="Q193" s="825"/>
      <c r="R193" s="686"/>
      <c r="S193" s="825"/>
      <c r="T193" s="686"/>
      <c r="U193" s="825"/>
      <c r="V193" s="686"/>
      <c r="W193" s="825"/>
      <c r="X193" s="686"/>
      <c r="Y193" s="686"/>
      <c r="Z193" s="703"/>
      <c r="AA193" s="686"/>
      <c r="AB193" s="703"/>
      <c r="AC193" s="686"/>
      <c r="AD193" s="703"/>
      <c r="AE193" s="686"/>
      <c r="AF193" s="703"/>
      <c r="AG193" s="686"/>
      <c r="AH193" s="703"/>
      <c r="AI193" s="686"/>
      <c r="AJ193" s="686"/>
      <c r="AK193" s="703"/>
      <c r="AL193" s="686"/>
      <c r="AM193" s="703"/>
      <c r="AN193" s="686"/>
      <c r="AO193" s="703"/>
      <c r="AP193" s="686"/>
      <c r="AQ193" s="703"/>
      <c r="AR193" s="686"/>
      <c r="AS193" s="703"/>
      <c r="AT193" s="686"/>
      <c r="AU193" s="686"/>
      <c r="AV193" s="703"/>
      <c r="AW193" s="686"/>
      <c r="AX193" s="703"/>
      <c r="AY193" s="686"/>
      <c r="AZ193" s="703"/>
      <c r="BA193" s="686"/>
      <c r="BB193" s="703"/>
      <c r="BC193" s="686"/>
      <c r="BD193" s="703"/>
      <c r="BE193" s="686"/>
    </row>
    <row r="194" spans="1:57" s="44" customFormat="1">
      <c r="A194" s="690"/>
      <c r="B194" s="690"/>
      <c r="C194" s="690"/>
      <c r="D194" s="825"/>
      <c r="E194" s="686"/>
      <c r="F194" s="825"/>
      <c r="G194" s="686"/>
      <c r="H194" s="825"/>
      <c r="I194" s="686"/>
      <c r="J194" s="825"/>
      <c r="K194" s="686"/>
      <c r="L194" s="825"/>
      <c r="M194" s="686"/>
      <c r="N194" s="686"/>
      <c r="O194" s="825"/>
      <c r="P194" s="686"/>
      <c r="Q194" s="825"/>
      <c r="R194" s="686"/>
      <c r="S194" s="825"/>
      <c r="T194" s="686"/>
      <c r="U194" s="825"/>
      <c r="V194" s="686"/>
      <c r="W194" s="825"/>
      <c r="X194" s="686"/>
      <c r="Y194" s="686"/>
      <c r="Z194" s="703"/>
      <c r="AA194" s="686"/>
      <c r="AB194" s="703"/>
      <c r="AC194" s="686"/>
      <c r="AD194" s="703"/>
      <c r="AE194" s="686"/>
      <c r="AF194" s="703"/>
      <c r="AG194" s="686"/>
      <c r="AH194" s="703"/>
      <c r="AI194" s="686"/>
      <c r="AJ194" s="686"/>
      <c r="AK194" s="703"/>
      <c r="AL194" s="686"/>
      <c r="AM194" s="703"/>
      <c r="AN194" s="686"/>
      <c r="AO194" s="703"/>
      <c r="AP194" s="686"/>
      <c r="AQ194" s="703"/>
      <c r="AR194" s="686"/>
      <c r="AS194" s="703"/>
      <c r="AT194" s="686"/>
      <c r="AU194" s="686"/>
      <c r="AV194" s="703"/>
      <c r="AW194" s="686"/>
      <c r="AX194" s="703"/>
      <c r="AY194" s="686"/>
      <c r="AZ194" s="703"/>
      <c r="BA194" s="686"/>
      <c r="BB194" s="703"/>
      <c r="BC194" s="686"/>
      <c r="BD194" s="703"/>
      <c r="BE194" s="686"/>
    </row>
    <row r="195" spans="1:57" s="44" customFormat="1">
      <c r="A195" s="690"/>
      <c r="B195" s="690"/>
      <c r="C195" s="690"/>
      <c r="D195" s="825"/>
      <c r="E195" s="686"/>
      <c r="F195" s="825"/>
      <c r="G195" s="686"/>
      <c r="H195" s="825"/>
      <c r="I195" s="686"/>
      <c r="J195" s="825"/>
      <c r="K195" s="686"/>
      <c r="L195" s="825"/>
      <c r="M195" s="686"/>
      <c r="N195" s="686"/>
      <c r="O195" s="825"/>
      <c r="P195" s="686"/>
      <c r="Q195" s="825"/>
      <c r="R195" s="686"/>
      <c r="S195" s="825"/>
      <c r="T195" s="686"/>
      <c r="U195" s="825"/>
      <c r="V195" s="686"/>
      <c r="W195" s="825"/>
      <c r="X195" s="686"/>
      <c r="Y195" s="686"/>
      <c r="Z195" s="703"/>
      <c r="AA195" s="686"/>
      <c r="AB195" s="703"/>
      <c r="AC195" s="686"/>
      <c r="AD195" s="703"/>
      <c r="AE195" s="686"/>
      <c r="AF195" s="703"/>
      <c r="AG195" s="686"/>
      <c r="AH195" s="703"/>
      <c r="AI195" s="686"/>
      <c r="AJ195" s="686"/>
      <c r="AK195" s="703"/>
      <c r="AL195" s="686"/>
      <c r="AM195" s="703"/>
      <c r="AN195" s="686"/>
      <c r="AO195" s="703"/>
      <c r="AP195" s="686"/>
      <c r="AQ195" s="703"/>
      <c r="AR195" s="686"/>
      <c r="AS195" s="703"/>
      <c r="AT195" s="686"/>
      <c r="AU195" s="686"/>
      <c r="AV195" s="703"/>
      <c r="AW195" s="686"/>
      <c r="AX195" s="703"/>
      <c r="AY195" s="686"/>
      <c r="AZ195" s="703"/>
      <c r="BA195" s="686"/>
      <c r="BB195" s="703"/>
      <c r="BC195" s="686"/>
      <c r="BD195" s="703"/>
      <c r="BE195" s="686"/>
    </row>
    <row r="196" spans="1:57" s="44" customFormat="1">
      <c r="A196" s="690"/>
      <c r="B196" s="690"/>
      <c r="C196" s="690"/>
      <c r="D196" s="825"/>
      <c r="E196" s="686"/>
      <c r="F196" s="825"/>
      <c r="G196" s="686"/>
      <c r="H196" s="825"/>
      <c r="I196" s="686"/>
      <c r="J196" s="825"/>
      <c r="K196" s="686"/>
      <c r="L196" s="825"/>
      <c r="M196" s="686"/>
      <c r="N196" s="686"/>
      <c r="O196" s="825"/>
      <c r="P196" s="686"/>
      <c r="Q196" s="825"/>
      <c r="R196" s="686"/>
      <c r="S196" s="825"/>
      <c r="T196" s="686"/>
      <c r="U196" s="825"/>
      <c r="V196" s="686"/>
      <c r="W196" s="825"/>
      <c r="X196" s="686"/>
      <c r="Y196" s="686"/>
      <c r="Z196" s="703"/>
      <c r="AA196" s="686"/>
      <c r="AB196" s="703"/>
      <c r="AC196" s="686"/>
      <c r="AD196" s="703"/>
      <c r="AE196" s="686"/>
      <c r="AF196" s="703"/>
      <c r="AG196" s="686"/>
      <c r="AH196" s="703"/>
      <c r="AI196" s="686"/>
      <c r="AJ196" s="686"/>
      <c r="AK196" s="703"/>
      <c r="AL196" s="686"/>
      <c r="AM196" s="703"/>
      <c r="AN196" s="686"/>
      <c r="AO196" s="703"/>
      <c r="AP196" s="686"/>
      <c r="AQ196" s="703"/>
      <c r="AR196" s="686"/>
      <c r="AS196" s="703"/>
      <c r="AT196" s="686"/>
      <c r="AU196" s="686"/>
      <c r="AV196" s="703"/>
      <c r="AW196" s="686"/>
      <c r="AX196" s="703"/>
      <c r="AY196" s="686"/>
      <c r="AZ196" s="703"/>
      <c r="BA196" s="686"/>
      <c r="BB196" s="703"/>
      <c r="BC196" s="686"/>
      <c r="BD196" s="703"/>
      <c r="BE196" s="686"/>
    </row>
    <row r="197" spans="1:57" s="44" customFormat="1">
      <c r="A197" s="690"/>
      <c r="B197" s="690"/>
      <c r="C197" s="690"/>
      <c r="D197" s="825"/>
      <c r="E197" s="686"/>
      <c r="F197" s="825"/>
      <c r="G197" s="686"/>
      <c r="H197" s="825"/>
      <c r="I197" s="686"/>
      <c r="J197" s="825"/>
      <c r="K197" s="686"/>
      <c r="L197" s="825"/>
      <c r="M197" s="686"/>
      <c r="N197" s="686"/>
      <c r="O197" s="825"/>
      <c r="P197" s="686"/>
      <c r="Q197" s="825"/>
      <c r="R197" s="686"/>
      <c r="S197" s="825"/>
      <c r="T197" s="686"/>
      <c r="U197" s="825"/>
      <c r="V197" s="686"/>
      <c r="W197" s="825"/>
      <c r="X197" s="686"/>
      <c r="Y197" s="686"/>
      <c r="Z197" s="703"/>
      <c r="AA197" s="686"/>
      <c r="AB197" s="703"/>
      <c r="AC197" s="686"/>
      <c r="AD197" s="703"/>
      <c r="AE197" s="686"/>
      <c r="AF197" s="703"/>
      <c r="AG197" s="686"/>
      <c r="AH197" s="703"/>
      <c r="AI197" s="686"/>
      <c r="AJ197" s="686"/>
      <c r="AK197" s="703"/>
      <c r="AL197" s="686"/>
      <c r="AM197" s="703"/>
      <c r="AN197" s="686"/>
      <c r="AO197" s="703"/>
      <c r="AP197" s="686"/>
      <c r="AQ197" s="703"/>
      <c r="AR197" s="686"/>
      <c r="AS197" s="703"/>
      <c r="AT197" s="686"/>
      <c r="AU197" s="686"/>
      <c r="AV197" s="703"/>
      <c r="AW197" s="686"/>
      <c r="AX197" s="703"/>
      <c r="AY197" s="686"/>
      <c r="AZ197" s="703"/>
      <c r="BA197" s="686"/>
      <c r="BB197" s="703"/>
      <c r="BC197" s="686"/>
      <c r="BD197" s="703"/>
      <c r="BE197" s="686"/>
    </row>
    <row r="198" spans="1:57" s="44" customFormat="1">
      <c r="A198" s="690"/>
      <c r="B198" s="690"/>
      <c r="C198" s="690"/>
      <c r="D198" s="825"/>
      <c r="E198" s="686"/>
      <c r="F198" s="825"/>
      <c r="G198" s="686"/>
      <c r="H198" s="825"/>
      <c r="I198" s="686"/>
      <c r="J198" s="825"/>
      <c r="K198" s="686"/>
      <c r="L198" s="825"/>
      <c r="M198" s="686"/>
      <c r="N198" s="686"/>
      <c r="O198" s="825"/>
      <c r="P198" s="686"/>
      <c r="Q198" s="825"/>
      <c r="R198" s="686"/>
      <c r="S198" s="825"/>
      <c r="T198" s="686"/>
      <c r="U198" s="825"/>
      <c r="V198" s="686"/>
      <c r="W198" s="825"/>
      <c r="X198" s="686"/>
      <c r="Y198" s="686"/>
      <c r="Z198" s="703"/>
      <c r="AA198" s="686"/>
      <c r="AB198" s="703"/>
      <c r="AC198" s="686"/>
      <c r="AD198" s="703"/>
      <c r="AE198" s="686"/>
      <c r="AF198" s="703"/>
      <c r="AG198" s="686"/>
      <c r="AH198" s="703"/>
      <c r="AI198" s="686"/>
      <c r="AJ198" s="686"/>
      <c r="AK198" s="703"/>
      <c r="AL198" s="686"/>
      <c r="AM198" s="703"/>
      <c r="AN198" s="686"/>
      <c r="AO198" s="703"/>
      <c r="AP198" s="686"/>
      <c r="AQ198" s="703"/>
      <c r="AR198" s="686"/>
      <c r="AS198" s="703"/>
      <c r="AT198" s="686"/>
      <c r="AU198" s="686"/>
      <c r="AV198" s="703"/>
      <c r="AW198" s="686"/>
      <c r="AX198" s="703"/>
      <c r="AY198" s="686"/>
      <c r="AZ198" s="703"/>
      <c r="BA198" s="686"/>
      <c r="BB198" s="703"/>
      <c r="BC198" s="686"/>
      <c r="BD198" s="703"/>
      <c r="BE198" s="686"/>
    </row>
    <row r="199" spans="1:57" s="44" customFormat="1">
      <c r="A199" s="690"/>
      <c r="B199" s="690"/>
      <c r="C199" s="690"/>
      <c r="D199" s="825"/>
      <c r="E199" s="686"/>
      <c r="F199" s="825"/>
      <c r="G199" s="686"/>
      <c r="H199" s="825"/>
      <c r="I199" s="686"/>
      <c r="J199" s="825"/>
      <c r="K199" s="686"/>
      <c r="L199" s="825"/>
      <c r="M199" s="686"/>
      <c r="N199" s="686"/>
      <c r="O199" s="825"/>
      <c r="P199" s="686"/>
      <c r="Q199" s="825"/>
      <c r="R199" s="686"/>
      <c r="S199" s="825"/>
      <c r="T199" s="686"/>
      <c r="U199" s="825"/>
      <c r="V199" s="686"/>
      <c r="W199" s="825"/>
      <c r="X199" s="686"/>
      <c r="Y199" s="686"/>
      <c r="Z199" s="703"/>
      <c r="AA199" s="686"/>
      <c r="AB199" s="703"/>
      <c r="AC199" s="686"/>
      <c r="AD199" s="703"/>
      <c r="AE199" s="686"/>
      <c r="AF199" s="703"/>
      <c r="AG199" s="686"/>
      <c r="AH199" s="703"/>
      <c r="AI199" s="686"/>
      <c r="AJ199" s="686"/>
      <c r="AK199" s="703"/>
      <c r="AL199" s="686"/>
      <c r="AM199" s="703"/>
      <c r="AN199" s="686"/>
      <c r="AO199" s="703"/>
      <c r="AP199" s="686"/>
      <c r="AQ199" s="703"/>
      <c r="AR199" s="686"/>
      <c r="AS199" s="703"/>
      <c r="AT199" s="686"/>
      <c r="AU199" s="686"/>
      <c r="AV199" s="703"/>
      <c r="AW199" s="686"/>
      <c r="AX199" s="703"/>
      <c r="AY199" s="686"/>
      <c r="AZ199" s="703"/>
      <c r="BA199" s="686"/>
      <c r="BB199" s="703"/>
      <c r="BC199" s="686"/>
      <c r="BD199" s="703"/>
      <c r="BE199" s="686"/>
    </row>
    <row r="200" spans="1:57" s="44" customFormat="1">
      <c r="A200" s="690"/>
      <c r="B200" s="690"/>
      <c r="C200" s="690"/>
      <c r="D200" s="825"/>
      <c r="E200" s="686"/>
      <c r="F200" s="825"/>
      <c r="G200" s="686"/>
      <c r="H200" s="825"/>
      <c r="I200" s="686"/>
      <c r="J200" s="825"/>
      <c r="K200" s="686"/>
      <c r="L200" s="825"/>
      <c r="M200" s="686"/>
      <c r="N200" s="686"/>
      <c r="O200" s="825"/>
      <c r="P200" s="686"/>
      <c r="Q200" s="825"/>
      <c r="R200" s="686"/>
      <c r="S200" s="825"/>
      <c r="T200" s="686"/>
      <c r="U200" s="825"/>
      <c r="V200" s="686"/>
      <c r="W200" s="825"/>
      <c r="X200" s="686"/>
      <c r="Y200" s="686"/>
      <c r="Z200" s="703"/>
      <c r="AA200" s="686"/>
      <c r="AB200" s="703"/>
      <c r="AC200" s="686"/>
      <c r="AD200" s="703"/>
      <c r="AE200" s="686"/>
      <c r="AF200" s="703"/>
      <c r="AG200" s="686"/>
      <c r="AH200" s="703"/>
      <c r="AI200" s="686"/>
      <c r="AJ200" s="686"/>
      <c r="AK200" s="703"/>
      <c r="AL200" s="686"/>
      <c r="AM200" s="703"/>
      <c r="AN200" s="686"/>
      <c r="AO200" s="703"/>
      <c r="AP200" s="686"/>
      <c r="AQ200" s="703"/>
      <c r="AR200" s="686"/>
      <c r="AS200" s="703"/>
      <c r="AT200" s="686"/>
      <c r="AU200" s="686"/>
      <c r="AV200" s="703"/>
      <c r="AW200" s="686"/>
      <c r="AX200" s="703"/>
      <c r="AY200" s="686"/>
      <c r="AZ200" s="703"/>
      <c r="BA200" s="686"/>
      <c r="BB200" s="703"/>
      <c r="BC200" s="686"/>
      <c r="BD200" s="703"/>
      <c r="BE200" s="686"/>
    </row>
    <row r="201" spans="1:57" s="44" customFormat="1">
      <c r="A201" s="690"/>
      <c r="B201" s="690"/>
      <c r="C201" s="690"/>
      <c r="D201" s="825"/>
      <c r="E201" s="686"/>
      <c r="F201" s="825"/>
      <c r="G201" s="686"/>
      <c r="H201" s="825"/>
      <c r="I201" s="686"/>
      <c r="J201" s="825"/>
      <c r="K201" s="686"/>
      <c r="L201" s="825"/>
      <c r="M201" s="686"/>
      <c r="N201" s="686"/>
      <c r="O201" s="825"/>
      <c r="P201" s="686"/>
      <c r="Q201" s="825"/>
      <c r="R201" s="686"/>
      <c r="S201" s="825"/>
      <c r="T201" s="686"/>
      <c r="U201" s="825"/>
      <c r="V201" s="686"/>
      <c r="W201" s="825"/>
      <c r="X201" s="686"/>
      <c r="Y201" s="686"/>
      <c r="Z201" s="703"/>
      <c r="AA201" s="686"/>
      <c r="AB201" s="703"/>
      <c r="AC201" s="686"/>
      <c r="AD201" s="703"/>
      <c r="AE201" s="686"/>
      <c r="AF201" s="703"/>
      <c r="AG201" s="686"/>
      <c r="AH201" s="703"/>
      <c r="AI201" s="686"/>
      <c r="AJ201" s="686"/>
      <c r="AK201" s="703"/>
      <c r="AL201" s="686"/>
      <c r="AM201" s="703"/>
      <c r="AN201" s="686"/>
      <c r="AO201" s="703"/>
      <c r="AP201" s="686"/>
      <c r="AQ201" s="703"/>
      <c r="AR201" s="686"/>
      <c r="AS201" s="703"/>
      <c r="AT201" s="686"/>
      <c r="AU201" s="686"/>
      <c r="AV201" s="703"/>
      <c r="AW201" s="686"/>
      <c r="AX201" s="703"/>
      <c r="AY201" s="686"/>
      <c r="AZ201" s="703"/>
      <c r="BA201" s="686"/>
      <c r="BB201" s="703"/>
      <c r="BC201" s="686"/>
      <c r="BD201" s="703"/>
      <c r="BE201" s="686"/>
    </row>
    <row r="202" spans="1:57" s="44" customFormat="1">
      <c r="A202" s="690"/>
      <c r="B202" s="690"/>
      <c r="C202" s="690"/>
      <c r="D202" s="825"/>
      <c r="E202" s="686"/>
      <c r="F202" s="825"/>
      <c r="G202" s="686"/>
      <c r="H202" s="825"/>
      <c r="I202" s="686"/>
      <c r="J202" s="825"/>
      <c r="K202" s="686"/>
      <c r="L202" s="825"/>
      <c r="M202" s="686"/>
      <c r="N202" s="686"/>
      <c r="O202" s="825"/>
      <c r="P202" s="686"/>
      <c r="Q202" s="825"/>
      <c r="R202" s="686"/>
      <c r="S202" s="825"/>
      <c r="T202" s="686"/>
      <c r="U202" s="825"/>
      <c r="V202" s="686"/>
      <c r="W202" s="825"/>
      <c r="X202" s="686"/>
      <c r="Y202" s="686"/>
      <c r="Z202" s="703"/>
      <c r="AA202" s="686"/>
      <c r="AB202" s="703"/>
      <c r="AC202" s="686"/>
      <c r="AD202" s="703"/>
      <c r="AE202" s="686"/>
      <c r="AF202" s="703"/>
      <c r="AG202" s="686"/>
      <c r="AH202" s="703"/>
      <c r="AI202" s="686"/>
      <c r="AJ202" s="686"/>
      <c r="AK202" s="703"/>
      <c r="AL202" s="686"/>
      <c r="AM202" s="703"/>
      <c r="AN202" s="686"/>
      <c r="AO202" s="703"/>
      <c r="AP202" s="686"/>
      <c r="AQ202" s="703"/>
      <c r="AR202" s="686"/>
      <c r="AS202" s="703"/>
      <c r="AT202" s="686"/>
      <c r="AU202" s="686"/>
      <c r="AV202" s="703"/>
      <c r="AW202" s="686"/>
      <c r="AX202" s="703"/>
      <c r="AY202" s="686"/>
      <c r="AZ202" s="703"/>
      <c r="BA202" s="686"/>
      <c r="BB202" s="703"/>
      <c r="BC202" s="686"/>
      <c r="BD202" s="703"/>
      <c r="BE202" s="686"/>
    </row>
    <row r="203" spans="1:57" s="44" customFormat="1">
      <c r="A203" s="690"/>
      <c r="B203" s="690"/>
      <c r="C203" s="690"/>
      <c r="D203" s="825"/>
      <c r="E203" s="686"/>
      <c r="F203" s="825"/>
      <c r="G203" s="686"/>
      <c r="H203" s="825"/>
      <c r="I203" s="686"/>
      <c r="J203" s="825"/>
      <c r="K203" s="686"/>
      <c r="L203" s="825"/>
      <c r="M203" s="686"/>
      <c r="N203" s="686"/>
      <c r="O203" s="825"/>
      <c r="P203" s="686"/>
      <c r="Q203" s="825"/>
      <c r="R203" s="686"/>
      <c r="S203" s="825"/>
      <c r="T203" s="686"/>
      <c r="U203" s="825"/>
      <c r="V203" s="686"/>
      <c r="W203" s="825"/>
      <c r="X203" s="686"/>
      <c r="Y203" s="686"/>
      <c r="Z203" s="703"/>
      <c r="AA203" s="686"/>
      <c r="AB203" s="703"/>
      <c r="AC203" s="686"/>
      <c r="AD203" s="703"/>
      <c r="AE203" s="686"/>
      <c r="AF203" s="703"/>
      <c r="AG203" s="686"/>
      <c r="AH203" s="703"/>
      <c r="AI203" s="686"/>
      <c r="AJ203" s="686"/>
      <c r="AK203" s="703"/>
      <c r="AL203" s="686"/>
      <c r="AM203" s="703"/>
      <c r="AN203" s="686"/>
      <c r="AO203" s="703"/>
      <c r="AP203" s="686"/>
      <c r="AQ203" s="703"/>
      <c r="AR203" s="686"/>
      <c r="AS203" s="703"/>
      <c r="AT203" s="686"/>
      <c r="AU203" s="686"/>
      <c r="AV203" s="703"/>
      <c r="AW203" s="686"/>
      <c r="AX203" s="703"/>
      <c r="AY203" s="686"/>
      <c r="AZ203" s="703"/>
      <c r="BA203" s="686"/>
      <c r="BB203" s="703"/>
      <c r="BC203" s="686"/>
      <c r="BD203" s="703"/>
      <c r="BE203" s="686"/>
    </row>
    <row r="204" spans="1:57" s="44" customFormat="1">
      <c r="A204" s="690"/>
      <c r="B204" s="690"/>
      <c r="C204" s="690"/>
      <c r="D204" s="825"/>
      <c r="E204" s="686"/>
      <c r="F204" s="825"/>
      <c r="G204" s="686"/>
      <c r="H204" s="825"/>
      <c r="I204" s="686"/>
      <c r="J204" s="825"/>
      <c r="K204" s="686"/>
      <c r="L204" s="825"/>
      <c r="M204" s="686"/>
      <c r="N204" s="686"/>
      <c r="O204" s="825"/>
      <c r="P204" s="686"/>
      <c r="Q204" s="825"/>
      <c r="R204" s="686"/>
      <c r="S204" s="825"/>
      <c r="T204" s="686"/>
      <c r="U204" s="825"/>
      <c r="V204" s="686"/>
      <c r="W204" s="825"/>
      <c r="X204" s="686"/>
      <c r="Y204" s="686"/>
      <c r="Z204" s="703"/>
      <c r="AA204" s="686"/>
      <c r="AB204" s="703"/>
      <c r="AC204" s="686"/>
      <c r="AD204" s="703"/>
      <c r="AE204" s="686"/>
      <c r="AF204" s="703"/>
      <c r="AG204" s="686"/>
      <c r="AH204" s="703"/>
      <c r="AI204" s="686"/>
      <c r="AJ204" s="686"/>
      <c r="AK204" s="703"/>
      <c r="AL204" s="686"/>
      <c r="AM204" s="703"/>
      <c r="AN204" s="686"/>
      <c r="AO204" s="703"/>
      <c r="AP204" s="686"/>
      <c r="AQ204" s="703"/>
      <c r="AR204" s="686"/>
      <c r="AS204" s="703"/>
      <c r="AT204" s="686"/>
      <c r="AU204" s="686"/>
      <c r="AV204" s="703"/>
      <c r="AW204" s="686"/>
      <c r="AX204" s="703"/>
      <c r="AY204" s="686"/>
      <c r="AZ204" s="703"/>
      <c r="BA204" s="686"/>
      <c r="BB204" s="703"/>
      <c r="BC204" s="686"/>
      <c r="BD204" s="703"/>
      <c r="BE204" s="686"/>
    </row>
    <row r="205" spans="1:57" s="44" customFormat="1">
      <c r="A205" s="690"/>
      <c r="B205" s="690"/>
      <c r="C205" s="690"/>
      <c r="D205" s="825"/>
      <c r="E205" s="686"/>
      <c r="F205" s="825"/>
      <c r="G205" s="686"/>
      <c r="H205" s="825"/>
      <c r="I205" s="686"/>
      <c r="J205" s="825"/>
      <c r="K205" s="686"/>
      <c r="L205" s="825"/>
      <c r="M205" s="686"/>
      <c r="N205" s="686"/>
      <c r="O205" s="825"/>
      <c r="P205" s="686"/>
      <c r="Q205" s="825"/>
      <c r="R205" s="686"/>
      <c r="S205" s="825"/>
      <c r="T205" s="686"/>
      <c r="U205" s="825"/>
      <c r="V205" s="686"/>
      <c r="W205" s="825"/>
      <c r="X205" s="686"/>
      <c r="Y205" s="686"/>
      <c r="Z205" s="703"/>
      <c r="AA205" s="686"/>
      <c r="AB205" s="703"/>
      <c r="AC205" s="686"/>
      <c r="AD205" s="703"/>
      <c r="AE205" s="686"/>
      <c r="AF205" s="703"/>
      <c r="AG205" s="686"/>
      <c r="AH205" s="703"/>
      <c r="AI205" s="686"/>
      <c r="AJ205" s="686"/>
      <c r="AK205" s="703"/>
      <c r="AL205" s="686"/>
      <c r="AM205" s="703"/>
      <c r="AN205" s="686"/>
      <c r="AO205" s="703"/>
      <c r="AP205" s="686"/>
      <c r="AQ205" s="703"/>
      <c r="AR205" s="686"/>
      <c r="AS205" s="703"/>
      <c r="AT205" s="686"/>
      <c r="AU205" s="686"/>
      <c r="AV205" s="703"/>
      <c r="AW205" s="686"/>
      <c r="AX205" s="703"/>
      <c r="AY205" s="686"/>
      <c r="AZ205" s="703"/>
      <c r="BA205" s="686"/>
      <c r="BB205" s="703"/>
      <c r="BC205" s="686"/>
      <c r="BD205" s="703"/>
      <c r="BE205" s="686"/>
    </row>
    <row r="206" spans="1:57" s="44" customFormat="1">
      <c r="A206" s="690"/>
      <c r="B206" s="690"/>
      <c r="C206" s="690"/>
      <c r="D206" s="825"/>
      <c r="E206" s="686"/>
      <c r="F206" s="825"/>
      <c r="G206" s="686"/>
      <c r="H206" s="825"/>
      <c r="I206" s="686"/>
      <c r="J206" s="825"/>
      <c r="K206" s="686"/>
      <c r="L206" s="825"/>
      <c r="M206" s="686"/>
      <c r="N206" s="686"/>
      <c r="O206" s="825"/>
      <c r="P206" s="686"/>
      <c r="Q206" s="825"/>
      <c r="R206" s="686"/>
      <c r="S206" s="825"/>
      <c r="T206" s="686"/>
      <c r="U206" s="825"/>
      <c r="V206" s="686"/>
      <c r="W206" s="825"/>
      <c r="X206" s="686"/>
      <c r="Y206" s="686"/>
      <c r="Z206" s="703"/>
      <c r="AA206" s="686"/>
      <c r="AB206" s="703"/>
      <c r="AC206" s="686"/>
      <c r="AD206" s="703"/>
      <c r="AE206" s="686"/>
      <c r="AF206" s="703"/>
      <c r="AG206" s="686"/>
      <c r="AH206" s="703"/>
      <c r="AI206" s="686"/>
      <c r="AJ206" s="686"/>
      <c r="AK206" s="703"/>
      <c r="AL206" s="686"/>
      <c r="AM206" s="703"/>
      <c r="AN206" s="686"/>
      <c r="AO206" s="703"/>
      <c r="AP206" s="686"/>
      <c r="AQ206" s="703"/>
      <c r="AR206" s="686"/>
      <c r="AS206" s="703"/>
      <c r="AT206" s="686"/>
      <c r="AU206" s="686"/>
      <c r="AV206" s="703"/>
      <c r="AW206" s="686"/>
      <c r="AX206" s="703"/>
      <c r="AY206" s="686"/>
      <c r="AZ206" s="703"/>
      <c r="BA206" s="686"/>
      <c r="BB206" s="703"/>
      <c r="BC206" s="686"/>
      <c r="BD206" s="703"/>
      <c r="BE206" s="686"/>
    </row>
    <row r="207" spans="1:57" s="44" customFormat="1">
      <c r="A207" s="690"/>
      <c r="B207" s="690"/>
      <c r="C207" s="690"/>
      <c r="D207" s="825"/>
      <c r="E207" s="686"/>
      <c r="F207" s="825"/>
      <c r="G207" s="686"/>
      <c r="H207" s="825"/>
      <c r="I207" s="686"/>
      <c r="J207" s="825"/>
      <c r="K207" s="686"/>
      <c r="L207" s="825"/>
      <c r="M207" s="686"/>
      <c r="N207" s="686"/>
      <c r="O207" s="825"/>
      <c r="P207" s="686"/>
      <c r="Q207" s="825"/>
      <c r="R207" s="686"/>
      <c r="S207" s="825"/>
      <c r="T207" s="686"/>
      <c r="U207" s="825"/>
      <c r="V207" s="686"/>
      <c r="W207" s="825"/>
      <c r="X207" s="686"/>
      <c r="Y207" s="686"/>
      <c r="Z207" s="703"/>
      <c r="AA207" s="686"/>
      <c r="AB207" s="703"/>
      <c r="AC207" s="686"/>
      <c r="AD207" s="703"/>
      <c r="AE207" s="686"/>
      <c r="AF207" s="703"/>
      <c r="AG207" s="686"/>
      <c r="AH207" s="703"/>
      <c r="AI207" s="686"/>
      <c r="AJ207" s="686"/>
      <c r="AK207" s="703"/>
      <c r="AL207" s="686"/>
      <c r="AM207" s="703"/>
      <c r="AN207" s="686"/>
      <c r="AO207" s="703"/>
      <c r="AP207" s="686"/>
      <c r="AQ207" s="703"/>
      <c r="AR207" s="686"/>
      <c r="AS207" s="703"/>
      <c r="AT207" s="686"/>
      <c r="AU207" s="686"/>
      <c r="AV207" s="703"/>
      <c r="AW207" s="686"/>
      <c r="AX207" s="703"/>
      <c r="AY207" s="686"/>
      <c r="AZ207" s="703"/>
      <c r="BA207" s="686"/>
      <c r="BB207" s="703"/>
      <c r="BC207" s="686"/>
      <c r="BD207" s="703"/>
      <c r="BE207" s="686"/>
    </row>
    <row r="208" spans="1:57" s="44" customFormat="1">
      <c r="A208" s="690"/>
      <c r="B208" s="690"/>
      <c r="C208" s="690"/>
      <c r="D208" s="825"/>
      <c r="E208" s="686"/>
      <c r="F208" s="825"/>
      <c r="G208" s="686"/>
      <c r="H208" s="825"/>
      <c r="I208" s="686"/>
      <c r="J208" s="825"/>
      <c r="K208" s="686"/>
      <c r="L208" s="825"/>
      <c r="M208" s="686"/>
      <c r="N208" s="686"/>
      <c r="O208" s="825"/>
      <c r="P208" s="686"/>
      <c r="Q208" s="825"/>
      <c r="R208" s="686"/>
      <c r="S208" s="825"/>
      <c r="T208" s="686"/>
      <c r="U208" s="825"/>
      <c r="V208" s="686"/>
      <c r="W208" s="825"/>
      <c r="X208" s="686"/>
      <c r="Y208" s="686"/>
      <c r="Z208" s="703"/>
      <c r="AA208" s="686"/>
      <c r="AB208" s="703"/>
      <c r="AC208" s="686"/>
      <c r="AD208" s="703"/>
      <c r="AE208" s="686"/>
      <c r="AF208" s="703"/>
      <c r="AG208" s="686"/>
      <c r="AH208" s="703"/>
      <c r="AI208" s="686"/>
      <c r="AJ208" s="686"/>
      <c r="AK208" s="703"/>
      <c r="AL208" s="686"/>
      <c r="AM208" s="703"/>
      <c r="AN208" s="686"/>
      <c r="AO208" s="703"/>
      <c r="AP208" s="686"/>
      <c r="AQ208" s="703"/>
      <c r="AR208" s="686"/>
      <c r="AS208" s="703"/>
      <c r="AT208" s="686"/>
      <c r="AU208" s="686"/>
      <c r="AV208" s="703"/>
      <c r="AW208" s="686"/>
      <c r="AX208" s="703"/>
      <c r="AY208" s="686"/>
      <c r="AZ208" s="703"/>
      <c r="BA208" s="686"/>
      <c r="BB208" s="703"/>
      <c r="BC208" s="686"/>
      <c r="BD208" s="703"/>
      <c r="BE208" s="686"/>
    </row>
    <row r="209" spans="1:57" s="44" customFormat="1">
      <c r="A209" s="690"/>
      <c r="B209" s="690"/>
      <c r="C209" s="690"/>
      <c r="D209" s="825"/>
      <c r="E209" s="686"/>
      <c r="F209" s="825"/>
      <c r="G209" s="686"/>
      <c r="H209" s="825"/>
      <c r="I209" s="686"/>
      <c r="J209" s="825"/>
      <c r="K209" s="686"/>
      <c r="L209" s="825"/>
      <c r="M209" s="686"/>
      <c r="N209" s="686"/>
      <c r="O209" s="825"/>
      <c r="P209" s="686"/>
      <c r="Q209" s="825"/>
      <c r="R209" s="686"/>
      <c r="S209" s="825"/>
      <c r="T209" s="686"/>
      <c r="U209" s="825"/>
      <c r="V209" s="686"/>
      <c r="W209" s="825"/>
      <c r="X209" s="686"/>
      <c r="Y209" s="686"/>
      <c r="Z209" s="703"/>
      <c r="AA209" s="686"/>
      <c r="AB209" s="703"/>
      <c r="AC209" s="686"/>
      <c r="AD209" s="703"/>
      <c r="AE209" s="686"/>
      <c r="AF209" s="703"/>
      <c r="AG209" s="686"/>
      <c r="AH209" s="703"/>
      <c r="AI209" s="686"/>
      <c r="AJ209" s="686"/>
      <c r="AK209" s="703"/>
      <c r="AL209" s="686"/>
      <c r="AM209" s="703"/>
      <c r="AN209" s="686"/>
      <c r="AO209" s="703"/>
      <c r="AP209" s="686"/>
      <c r="AQ209" s="703"/>
      <c r="AR209" s="686"/>
      <c r="AS209" s="703"/>
      <c r="AT209" s="686"/>
      <c r="AU209" s="686"/>
      <c r="AV209" s="703"/>
      <c r="AW209" s="686"/>
      <c r="AX209" s="703"/>
      <c r="AY209" s="686"/>
      <c r="AZ209" s="703"/>
      <c r="BA209" s="686"/>
      <c r="BB209" s="703"/>
      <c r="BC209" s="686"/>
      <c r="BD209" s="703"/>
      <c r="BE209" s="686"/>
    </row>
    <row r="210" spans="1:57" s="44" customFormat="1">
      <c r="A210" s="690"/>
      <c r="B210" s="690"/>
      <c r="C210" s="690"/>
      <c r="D210" s="825"/>
      <c r="E210" s="686"/>
      <c r="F210" s="825"/>
      <c r="G210" s="686"/>
      <c r="H210" s="825"/>
      <c r="I210" s="686"/>
      <c r="J210" s="825"/>
      <c r="K210" s="686"/>
      <c r="L210" s="825"/>
      <c r="M210" s="686"/>
      <c r="N210" s="686"/>
      <c r="O210" s="825"/>
      <c r="P210" s="686"/>
      <c r="Q210" s="825"/>
      <c r="R210" s="686"/>
      <c r="S210" s="825"/>
      <c r="T210" s="686"/>
      <c r="U210" s="825"/>
      <c r="V210" s="686"/>
      <c r="W210" s="825"/>
      <c r="X210" s="686"/>
      <c r="Y210" s="686"/>
      <c r="Z210" s="703"/>
      <c r="AA210" s="686"/>
      <c r="AB210" s="703"/>
      <c r="AC210" s="686"/>
      <c r="AD210" s="703"/>
      <c r="AE210" s="686"/>
      <c r="AF210" s="703"/>
      <c r="AG210" s="686"/>
      <c r="AH210" s="703"/>
      <c r="AI210" s="686"/>
      <c r="AJ210" s="686"/>
      <c r="AK210" s="703"/>
      <c r="AL210" s="686"/>
      <c r="AM210" s="703"/>
      <c r="AN210" s="686"/>
      <c r="AO210" s="703"/>
      <c r="AP210" s="686"/>
      <c r="AQ210" s="703"/>
      <c r="AR210" s="686"/>
      <c r="AS210" s="703"/>
      <c r="AT210" s="686"/>
      <c r="AU210" s="686"/>
      <c r="AV210" s="703"/>
      <c r="AW210" s="686"/>
      <c r="AX210" s="703"/>
      <c r="AY210" s="686"/>
      <c r="AZ210" s="703"/>
      <c r="BA210" s="686"/>
      <c r="BB210" s="703"/>
      <c r="BC210" s="686"/>
      <c r="BD210" s="703"/>
      <c r="BE210" s="686"/>
    </row>
    <row r="211" spans="1:57" s="44" customFormat="1">
      <c r="A211" s="690"/>
      <c r="B211" s="690"/>
      <c r="C211" s="690"/>
      <c r="D211" s="825"/>
      <c r="E211" s="686"/>
      <c r="F211" s="825"/>
      <c r="G211" s="686"/>
      <c r="H211" s="825"/>
      <c r="I211" s="686"/>
      <c r="J211" s="825"/>
      <c r="K211" s="686"/>
      <c r="L211" s="825"/>
      <c r="M211" s="686"/>
      <c r="N211" s="686"/>
      <c r="O211" s="825"/>
      <c r="P211" s="686"/>
      <c r="Q211" s="825"/>
      <c r="R211" s="686"/>
      <c r="S211" s="825"/>
      <c r="T211" s="686"/>
      <c r="U211" s="825"/>
      <c r="V211" s="686"/>
      <c r="W211" s="825"/>
      <c r="X211" s="686"/>
      <c r="Y211" s="686"/>
      <c r="Z211" s="703"/>
      <c r="AA211" s="686"/>
      <c r="AB211" s="703"/>
      <c r="AC211" s="686"/>
      <c r="AD211" s="703"/>
      <c r="AE211" s="686"/>
      <c r="AF211" s="703"/>
      <c r="AG211" s="686"/>
      <c r="AH211" s="703"/>
      <c r="AI211" s="686"/>
      <c r="AJ211" s="686"/>
      <c r="AK211" s="703"/>
      <c r="AL211" s="686"/>
      <c r="AM211" s="703"/>
      <c r="AN211" s="686"/>
      <c r="AO211" s="703"/>
      <c r="AP211" s="686"/>
      <c r="AQ211" s="703"/>
      <c r="AR211" s="686"/>
      <c r="AS211" s="703"/>
      <c r="AT211" s="686"/>
      <c r="AU211" s="686"/>
      <c r="AV211" s="703"/>
      <c r="AW211" s="686"/>
      <c r="AX211" s="703"/>
      <c r="AY211" s="686"/>
      <c r="AZ211" s="703"/>
      <c r="BA211" s="686"/>
      <c r="BB211" s="703"/>
      <c r="BC211" s="686"/>
      <c r="BD211" s="703"/>
      <c r="BE211" s="686"/>
    </row>
    <row r="212" spans="1:57" s="44" customFormat="1">
      <c r="A212" s="690"/>
      <c r="B212" s="690"/>
      <c r="C212" s="690"/>
      <c r="D212" s="825"/>
      <c r="E212" s="686"/>
      <c r="F212" s="825"/>
      <c r="G212" s="686"/>
      <c r="H212" s="825"/>
      <c r="I212" s="686"/>
      <c r="J212" s="825"/>
      <c r="K212" s="686"/>
      <c r="L212" s="825"/>
      <c r="M212" s="686"/>
      <c r="N212" s="686"/>
      <c r="O212" s="825"/>
      <c r="P212" s="686"/>
      <c r="Q212" s="825"/>
      <c r="R212" s="686"/>
      <c r="S212" s="825"/>
      <c r="T212" s="686"/>
      <c r="U212" s="825"/>
      <c r="V212" s="686"/>
      <c r="W212" s="825"/>
      <c r="X212" s="686"/>
      <c r="Y212" s="686"/>
      <c r="Z212" s="703"/>
      <c r="AA212" s="686"/>
      <c r="AB212" s="703"/>
      <c r="AC212" s="686"/>
      <c r="AD212" s="703"/>
      <c r="AE212" s="686"/>
      <c r="AF212" s="703"/>
      <c r="AG212" s="686"/>
      <c r="AH212" s="703"/>
      <c r="AI212" s="686"/>
      <c r="AJ212" s="686"/>
      <c r="AK212" s="703"/>
      <c r="AL212" s="686"/>
      <c r="AM212" s="703"/>
      <c r="AN212" s="686"/>
      <c r="AO212" s="703"/>
      <c r="AP212" s="686"/>
      <c r="AQ212" s="703"/>
      <c r="AR212" s="686"/>
      <c r="AS212" s="703"/>
      <c r="AT212" s="686"/>
      <c r="AU212" s="686"/>
      <c r="AV212" s="703"/>
      <c r="AW212" s="686"/>
      <c r="AX212" s="703"/>
      <c r="AY212" s="686"/>
      <c r="AZ212" s="703"/>
      <c r="BA212" s="686"/>
      <c r="BB212" s="703"/>
      <c r="BC212" s="686"/>
      <c r="BD212" s="703"/>
      <c r="BE212" s="686"/>
    </row>
    <row r="213" spans="1:57" s="44" customFormat="1">
      <c r="A213" s="690"/>
      <c r="B213" s="690"/>
      <c r="C213" s="690"/>
      <c r="D213" s="825"/>
      <c r="E213" s="686"/>
      <c r="F213" s="825"/>
      <c r="G213" s="686"/>
      <c r="H213" s="825"/>
      <c r="I213" s="686"/>
      <c r="J213" s="825"/>
      <c r="K213" s="686"/>
      <c r="L213" s="825"/>
      <c r="M213" s="686"/>
      <c r="N213" s="686"/>
      <c r="O213" s="825"/>
      <c r="P213" s="686"/>
      <c r="Q213" s="825"/>
      <c r="R213" s="686"/>
      <c r="S213" s="825"/>
      <c r="T213" s="686"/>
      <c r="U213" s="825"/>
      <c r="V213" s="686"/>
      <c r="W213" s="825"/>
      <c r="X213" s="686"/>
      <c r="Y213" s="686"/>
      <c r="Z213" s="703"/>
      <c r="AA213" s="686"/>
      <c r="AB213" s="703"/>
      <c r="AC213" s="686"/>
      <c r="AD213" s="703"/>
      <c r="AE213" s="686"/>
      <c r="AF213" s="703"/>
      <c r="AG213" s="686"/>
      <c r="AH213" s="703"/>
      <c r="AI213" s="686"/>
      <c r="AJ213" s="686"/>
      <c r="AK213" s="703"/>
      <c r="AL213" s="686"/>
      <c r="AM213" s="703"/>
      <c r="AN213" s="686"/>
      <c r="AO213" s="703"/>
      <c r="AP213" s="686"/>
      <c r="AQ213" s="703"/>
      <c r="AR213" s="686"/>
      <c r="AS213" s="703"/>
      <c r="AT213" s="686"/>
      <c r="AU213" s="686"/>
      <c r="AV213" s="703"/>
      <c r="AW213" s="686"/>
      <c r="AX213" s="703"/>
      <c r="AY213" s="686"/>
      <c r="AZ213" s="703"/>
      <c r="BA213" s="686"/>
      <c r="BB213" s="703"/>
      <c r="BC213" s="686"/>
      <c r="BD213" s="703"/>
      <c r="BE213" s="686"/>
    </row>
    <row r="214" spans="1:57" s="44" customFormat="1">
      <c r="A214" s="690"/>
      <c r="B214" s="690"/>
      <c r="C214" s="690"/>
      <c r="D214" s="825"/>
      <c r="E214" s="686"/>
      <c r="F214" s="825"/>
      <c r="G214" s="686"/>
      <c r="H214" s="825"/>
      <c r="I214" s="686"/>
      <c r="J214" s="825"/>
      <c r="K214" s="686"/>
      <c r="L214" s="825"/>
      <c r="M214" s="686"/>
      <c r="N214" s="686"/>
      <c r="O214" s="825"/>
      <c r="P214" s="686"/>
      <c r="Q214" s="825"/>
      <c r="R214" s="686"/>
      <c r="S214" s="825"/>
      <c r="T214" s="686"/>
      <c r="U214" s="825"/>
      <c r="V214" s="686"/>
      <c r="W214" s="825"/>
      <c r="X214" s="686"/>
      <c r="Y214" s="686"/>
      <c r="Z214" s="703"/>
      <c r="AA214" s="686"/>
      <c r="AB214" s="703"/>
      <c r="AC214" s="686"/>
      <c r="AD214" s="703"/>
      <c r="AE214" s="686"/>
      <c r="AF214" s="703"/>
      <c r="AG214" s="686"/>
      <c r="AH214" s="703"/>
      <c r="AI214" s="686"/>
      <c r="AJ214" s="686"/>
      <c r="AK214" s="703"/>
      <c r="AL214" s="686"/>
      <c r="AM214" s="703"/>
      <c r="AN214" s="686"/>
      <c r="AO214" s="703"/>
      <c r="AP214" s="686"/>
      <c r="AQ214" s="703"/>
      <c r="AR214" s="686"/>
      <c r="AS214" s="703"/>
      <c r="AT214" s="686"/>
      <c r="AU214" s="686"/>
      <c r="AV214" s="703"/>
      <c r="AW214" s="686"/>
      <c r="AX214" s="703"/>
      <c r="AY214" s="686"/>
      <c r="AZ214" s="703"/>
      <c r="BA214" s="686"/>
      <c r="BB214" s="703"/>
      <c r="BC214" s="686"/>
      <c r="BD214" s="703"/>
      <c r="BE214" s="686"/>
    </row>
    <row r="215" spans="1:57" s="44" customFormat="1">
      <c r="A215" s="690"/>
      <c r="B215" s="690"/>
      <c r="C215" s="690"/>
      <c r="D215" s="825"/>
      <c r="E215" s="686"/>
      <c r="F215" s="825"/>
      <c r="G215" s="686"/>
      <c r="H215" s="825"/>
      <c r="I215" s="686"/>
      <c r="J215" s="825"/>
      <c r="K215" s="686"/>
      <c r="L215" s="825"/>
      <c r="M215" s="686"/>
      <c r="N215" s="686"/>
      <c r="O215" s="825"/>
      <c r="P215" s="686"/>
      <c r="Q215" s="825"/>
      <c r="R215" s="686"/>
      <c r="S215" s="825"/>
      <c r="T215" s="686"/>
      <c r="U215" s="825"/>
      <c r="V215" s="686"/>
      <c r="W215" s="825"/>
      <c r="X215" s="686"/>
      <c r="Y215" s="686"/>
      <c r="Z215" s="703"/>
      <c r="AA215" s="686"/>
      <c r="AB215" s="703"/>
      <c r="AC215" s="686"/>
      <c r="AD215" s="703"/>
      <c r="AE215" s="686"/>
      <c r="AF215" s="703"/>
      <c r="AG215" s="686"/>
      <c r="AH215" s="703"/>
      <c r="AI215" s="686"/>
      <c r="AJ215" s="686"/>
      <c r="AK215" s="703"/>
      <c r="AL215" s="686"/>
      <c r="AM215" s="703"/>
      <c r="AN215" s="686"/>
      <c r="AO215" s="703"/>
      <c r="AP215" s="686"/>
      <c r="AQ215" s="703"/>
      <c r="AR215" s="686"/>
      <c r="AS215" s="703"/>
      <c r="AT215" s="686"/>
      <c r="AU215" s="686"/>
      <c r="AV215" s="703"/>
      <c r="AW215" s="686"/>
      <c r="AX215" s="703"/>
      <c r="AY215" s="686"/>
      <c r="AZ215" s="703"/>
      <c r="BA215" s="686"/>
      <c r="BB215" s="703"/>
      <c r="BC215" s="686"/>
      <c r="BD215" s="703"/>
      <c r="BE215" s="686"/>
    </row>
    <row r="216" spans="1:57" s="44" customFormat="1">
      <c r="A216" s="690"/>
      <c r="B216" s="690"/>
      <c r="C216" s="690"/>
      <c r="D216" s="825"/>
      <c r="E216" s="686"/>
      <c r="F216" s="825"/>
      <c r="G216" s="686"/>
      <c r="H216" s="825"/>
      <c r="I216" s="686"/>
      <c r="J216" s="825"/>
      <c r="K216" s="686"/>
      <c r="L216" s="825"/>
      <c r="M216" s="686"/>
      <c r="N216" s="686"/>
      <c r="O216" s="825"/>
      <c r="P216" s="686"/>
      <c r="Q216" s="825"/>
      <c r="R216" s="686"/>
      <c r="S216" s="825"/>
      <c r="T216" s="686"/>
      <c r="U216" s="825"/>
      <c r="V216" s="686"/>
      <c r="W216" s="825"/>
      <c r="X216" s="686"/>
      <c r="Y216" s="686"/>
      <c r="Z216" s="703"/>
      <c r="AA216" s="686"/>
      <c r="AB216" s="703"/>
      <c r="AC216" s="686"/>
      <c r="AD216" s="703"/>
      <c r="AE216" s="686"/>
      <c r="AF216" s="703"/>
      <c r="AG216" s="686"/>
      <c r="AH216" s="703"/>
      <c r="AI216" s="686"/>
      <c r="AJ216" s="686"/>
      <c r="AK216" s="703"/>
      <c r="AL216" s="686"/>
      <c r="AM216" s="703"/>
      <c r="AN216" s="686"/>
      <c r="AO216" s="703"/>
      <c r="AP216" s="686"/>
      <c r="AQ216" s="703"/>
      <c r="AR216" s="686"/>
      <c r="AS216" s="703"/>
      <c r="AT216" s="686"/>
      <c r="AU216" s="686"/>
      <c r="AV216" s="703"/>
      <c r="AW216" s="686"/>
      <c r="AX216" s="703"/>
      <c r="AY216" s="686"/>
      <c r="AZ216" s="703"/>
      <c r="BA216" s="686"/>
      <c r="BB216" s="703"/>
      <c r="BC216" s="686"/>
      <c r="BD216" s="703"/>
      <c r="BE216" s="686"/>
    </row>
    <row r="217" spans="1:57" s="44" customFormat="1">
      <c r="A217" s="690"/>
      <c r="B217" s="690"/>
      <c r="C217" s="690"/>
      <c r="D217" s="825"/>
      <c r="E217" s="686"/>
      <c r="F217" s="825"/>
      <c r="G217" s="686"/>
      <c r="H217" s="825"/>
      <c r="I217" s="686"/>
      <c r="J217" s="825"/>
      <c r="K217" s="686"/>
      <c r="L217" s="825"/>
      <c r="M217" s="686"/>
      <c r="N217" s="686"/>
      <c r="O217" s="825"/>
      <c r="P217" s="686"/>
      <c r="Q217" s="825"/>
      <c r="R217" s="686"/>
      <c r="S217" s="825"/>
      <c r="T217" s="686"/>
      <c r="U217" s="825"/>
      <c r="V217" s="686"/>
      <c r="W217" s="825"/>
      <c r="X217" s="686"/>
      <c r="Y217" s="686"/>
      <c r="Z217" s="703"/>
      <c r="AA217" s="686"/>
      <c r="AB217" s="703"/>
      <c r="AC217" s="686"/>
      <c r="AD217" s="703"/>
      <c r="AE217" s="686"/>
      <c r="AF217" s="703"/>
      <c r="AG217" s="686"/>
      <c r="AH217" s="703"/>
      <c r="AI217" s="686"/>
      <c r="AJ217" s="686"/>
      <c r="AK217" s="703"/>
      <c r="AL217" s="686"/>
      <c r="AM217" s="703"/>
      <c r="AN217" s="686"/>
      <c r="AO217" s="703"/>
      <c r="AP217" s="686"/>
      <c r="AQ217" s="703"/>
      <c r="AR217" s="686"/>
      <c r="AS217" s="703"/>
      <c r="AT217" s="686"/>
      <c r="AU217" s="686"/>
      <c r="AV217" s="703"/>
      <c r="AW217" s="686"/>
      <c r="AX217" s="703"/>
      <c r="AY217" s="686"/>
      <c r="AZ217" s="703"/>
      <c r="BA217" s="686"/>
      <c r="BB217" s="703"/>
      <c r="BC217" s="686"/>
      <c r="BD217" s="703"/>
      <c r="BE217" s="686"/>
    </row>
    <row r="218" spans="1:57" s="44" customFormat="1">
      <c r="A218" s="690"/>
      <c r="B218" s="690"/>
      <c r="C218" s="690"/>
      <c r="D218" s="825"/>
      <c r="E218" s="686"/>
      <c r="F218" s="825"/>
      <c r="G218" s="686"/>
      <c r="H218" s="825"/>
      <c r="I218" s="686"/>
      <c r="J218" s="825"/>
      <c r="K218" s="686"/>
      <c r="L218" s="825"/>
      <c r="M218" s="686"/>
      <c r="N218" s="686"/>
      <c r="O218" s="825"/>
      <c r="P218" s="686"/>
      <c r="Q218" s="825"/>
      <c r="R218" s="686"/>
      <c r="S218" s="825"/>
      <c r="T218" s="686"/>
      <c r="U218" s="825"/>
      <c r="V218" s="686"/>
      <c r="W218" s="825"/>
      <c r="X218" s="686"/>
      <c r="Y218" s="686"/>
      <c r="Z218" s="703"/>
      <c r="AA218" s="686"/>
      <c r="AB218" s="703"/>
      <c r="AC218" s="686"/>
      <c r="AD218" s="703"/>
      <c r="AE218" s="686"/>
      <c r="AF218" s="703"/>
      <c r="AG218" s="686"/>
      <c r="AH218" s="703"/>
      <c r="AI218" s="686"/>
      <c r="AJ218" s="686"/>
      <c r="AK218" s="703"/>
      <c r="AL218" s="686"/>
      <c r="AM218" s="703"/>
      <c r="AN218" s="686"/>
      <c r="AO218" s="703"/>
      <c r="AP218" s="686"/>
      <c r="AQ218" s="703"/>
      <c r="AR218" s="686"/>
      <c r="AS218" s="703"/>
      <c r="AT218" s="686"/>
      <c r="AU218" s="686"/>
      <c r="AV218" s="703"/>
      <c r="AW218" s="686"/>
      <c r="AX218" s="703"/>
      <c r="AY218" s="686"/>
      <c r="AZ218" s="703"/>
      <c r="BA218" s="686"/>
      <c r="BB218" s="703"/>
      <c r="BC218" s="686"/>
      <c r="BD218" s="703"/>
      <c r="BE218" s="686"/>
    </row>
    <row r="219" spans="1:57" s="44" customFormat="1">
      <c r="A219" s="690"/>
      <c r="B219" s="690"/>
      <c r="C219" s="690"/>
      <c r="D219" s="825"/>
      <c r="E219" s="686"/>
      <c r="F219" s="825"/>
      <c r="G219" s="686"/>
      <c r="H219" s="825"/>
      <c r="I219" s="686"/>
      <c r="J219" s="825"/>
      <c r="K219" s="686"/>
      <c r="L219" s="825"/>
      <c r="M219" s="686"/>
      <c r="N219" s="686"/>
      <c r="O219" s="825"/>
      <c r="P219" s="686"/>
      <c r="Q219" s="825"/>
      <c r="R219" s="686"/>
      <c r="S219" s="825"/>
      <c r="T219" s="686"/>
      <c r="U219" s="825"/>
      <c r="V219" s="686"/>
      <c r="W219" s="825"/>
      <c r="X219" s="686"/>
      <c r="Y219" s="686"/>
      <c r="Z219" s="703"/>
      <c r="AA219" s="686"/>
      <c r="AB219" s="703"/>
      <c r="AC219" s="686"/>
      <c r="AD219" s="703"/>
      <c r="AE219" s="686"/>
      <c r="AF219" s="703"/>
      <c r="AG219" s="686"/>
      <c r="AH219" s="703"/>
      <c r="AI219" s="686"/>
      <c r="AJ219" s="686"/>
      <c r="AK219" s="703"/>
      <c r="AL219" s="686"/>
      <c r="AM219" s="703"/>
      <c r="AN219" s="686"/>
      <c r="AO219" s="703"/>
      <c r="AP219" s="686"/>
      <c r="AQ219" s="703"/>
      <c r="AR219" s="686"/>
      <c r="AS219" s="703"/>
      <c r="AT219" s="686"/>
      <c r="AU219" s="686"/>
      <c r="AV219" s="703"/>
      <c r="AW219" s="686"/>
      <c r="AX219" s="703"/>
      <c r="AY219" s="686"/>
      <c r="AZ219" s="703"/>
      <c r="BA219" s="686"/>
      <c r="BB219" s="703"/>
      <c r="BC219" s="686"/>
      <c r="BD219" s="703"/>
      <c r="BE219" s="686"/>
    </row>
    <row r="220" spans="1:57" s="44" customFormat="1">
      <c r="A220" s="690"/>
      <c r="B220" s="690"/>
      <c r="C220" s="690"/>
      <c r="D220" s="825"/>
      <c r="E220" s="686"/>
      <c r="F220" s="825"/>
      <c r="G220" s="686"/>
      <c r="H220" s="825"/>
      <c r="I220" s="686"/>
      <c r="J220" s="825"/>
      <c r="K220" s="686"/>
      <c r="L220" s="825"/>
      <c r="M220" s="686"/>
      <c r="N220" s="686"/>
      <c r="O220" s="825"/>
      <c r="P220" s="686"/>
      <c r="Q220" s="825"/>
      <c r="R220" s="686"/>
      <c r="S220" s="825"/>
      <c r="T220" s="686"/>
      <c r="U220" s="825"/>
      <c r="V220" s="686"/>
      <c r="W220" s="825"/>
      <c r="X220" s="686"/>
      <c r="Y220" s="686"/>
      <c r="Z220" s="703"/>
      <c r="AA220" s="686"/>
      <c r="AB220" s="703"/>
      <c r="AC220" s="686"/>
      <c r="AD220" s="703"/>
      <c r="AE220" s="686"/>
      <c r="AF220" s="703"/>
      <c r="AG220" s="686"/>
      <c r="AH220" s="703"/>
      <c r="AI220" s="686"/>
      <c r="AJ220" s="686"/>
      <c r="AK220" s="703"/>
      <c r="AL220" s="686"/>
      <c r="AM220" s="703"/>
      <c r="AN220" s="686"/>
      <c r="AO220" s="703"/>
      <c r="AP220" s="686"/>
      <c r="AQ220" s="703"/>
      <c r="AR220" s="686"/>
      <c r="AS220" s="703"/>
      <c r="AT220" s="686"/>
      <c r="AU220" s="686"/>
      <c r="AV220" s="703"/>
      <c r="AW220" s="686"/>
      <c r="AX220" s="703"/>
      <c r="AY220" s="686"/>
      <c r="AZ220" s="703"/>
      <c r="BA220" s="686"/>
      <c r="BB220" s="703"/>
      <c r="BC220" s="686"/>
      <c r="BD220" s="703"/>
      <c r="BE220" s="686"/>
    </row>
    <row r="221" spans="1:57" s="44" customFormat="1">
      <c r="A221" s="690"/>
      <c r="B221" s="690"/>
      <c r="C221" s="690"/>
      <c r="D221" s="825"/>
      <c r="E221" s="686"/>
      <c r="F221" s="825"/>
      <c r="G221" s="686"/>
      <c r="H221" s="825"/>
      <c r="I221" s="686"/>
      <c r="J221" s="825"/>
      <c r="K221" s="686"/>
      <c r="L221" s="825"/>
      <c r="M221" s="686"/>
      <c r="N221" s="686"/>
      <c r="O221" s="825"/>
      <c r="P221" s="686"/>
      <c r="Q221" s="825"/>
      <c r="R221" s="686"/>
      <c r="S221" s="825"/>
      <c r="T221" s="686"/>
      <c r="U221" s="825"/>
      <c r="V221" s="686"/>
      <c r="W221" s="825"/>
      <c r="X221" s="686"/>
      <c r="Y221" s="686"/>
      <c r="Z221" s="703"/>
      <c r="AA221" s="686"/>
      <c r="AB221" s="703"/>
      <c r="AC221" s="686"/>
      <c r="AD221" s="703"/>
      <c r="AE221" s="686"/>
      <c r="AF221" s="703"/>
      <c r="AG221" s="686"/>
      <c r="AH221" s="703"/>
      <c r="AI221" s="686"/>
      <c r="AJ221" s="686"/>
      <c r="AK221" s="703"/>
      <c r="AL221" s="686"/>
      <c r="AM221" s="703"/>
      <c r="AN221" s="686"/>
      <c r="AO221" s="703"/>
      <c r="AP221" s="686"/>
      <c r="AQ221" s="703"/>
      <c r="AR221" s="686"/>
      <c r="AS221" s="703"/>
      <c r="AT221" s="686"/>
      <c r="AU221" s="686"/>
      <c r="AV221" s="703"/>
      <c r="AW221" s="686"/>
      <c r="AX221" s="703"/>
      <c r="AY221" s="686"/>
      <c r="AZ221" s="703"/>
      <c r="BA221" s="686"/>
      <c r="BB221" s="703"/>
      <c r="BC221" s="686"/>
      <c r="BD221" s="703"/>
      <c r="BE221" s="686"/>
    </row>
    <row r="222" spans="1:57" s="44" customFormat="1">
      <c r="A222" s="690"/>
      <c r="B222" s="690"/>
      <c r="C222" s="690"/>
      <c r="D222" s="825"/>
      <c r="E222" s="686"/>
      <c r="F222" s="825"/>
      <c r="G222" s="686"/>
      <c r="H222" s="825"/>
      <c r="I222" s="686"/>
      <c r="J222" s="825"/>
      <c r="K222" s="686"/>
      <c r="L222" s="825"/>
      <c r="M222" s="686"/>
      <c r="N222" s="686"/>
      <c r="O222" s="825"/>
      <c r="P222" s="686"/>
      <c r="Q222" s="825"/>
      <c r="R222" s="686"/>
      <c r="S222" s="825"/>
      <c r="T222" s="686"/>
      <c r="U222" s="825"/>
      <c r="V222" s="686"/>
      <c r="W222" s="825"/>
      <c r="X222" s="686"/>
      <c r="Y222" s="686"/>
      <c r="Z222" s="703"/>
      <c r="AA222" s="686"/>
      <c r="AB222" s="703"/>
      <c r="AC222" s="686"/>
      <c r="AD222" s="703"/>
      <c r="AE222" s="686"/>
      <c r="AF222" s="703"/>
      <c r="AG222" s="686"/>
      <c r="AH222" s="703"/>
      <c r="AI222" s="686"/>
      <c r="AJ222" s="686"/>
      <c r="AK222" s="703"/>
      <c r="AL222" s="686"/>
      <c r="AM222" s="703"/>
      <c r="AN222" s="686"/>
      <c r="AO222" s="703"/>
      <c r="AP222" s="686"/>
      <c r="AQ222" s="703"/>
      <c r="AR222" s="686"/>
      <c r="AS222" s="703"/>
      <c r="AT222" s="686"/>
      <c r="AU222" s="686"/>
      <c r="AV222" s="703"/>
      <c r="AW222" s="686"/>
      <c r="AX222" s="703"/>
      <c r="AY222" s="686"/>
      <c r="AZ222" s="703"/>
      <c r="BA222" s="686"/>
      <c r="BB222" s="703"/>
      <c r="BC222" s="686"/>
      <c r="BD222" s="703"/>
      <c r="BE222" s="686"/>
    </row>
    <row r="223" spans="1:57" s="44" customFormat="1">
      <c r="A223" s="690"/>
      <c r="B223" s="690"/>
      <c r="C223" s="690"/>
      <c r="D223" s="825"/>
      <c r="E223" s="686"/>
      <c r="F223" s="825"/>
      <c r="G223" s="686"/>
      <c r="H223" s="825"/>
      <c r="I223" s="686"/>
      <c r="J223" s="825"/>
      <c r="K223" s="686"/>
      <c r="L223" s="825"/>
      <c r="M223" s="686"/>
      <c r="N223" s="686"/>
      <c r="O223" s="825"/>
      <c r="P223" s="686"/>
      <c r="Q223" s="825"/>
      <c r="R223" s="686"/>
      <c r="S223" s="825"/>
      <c r="T223" s="686"/>
      <c r="U223" s="825"/>
      <c r="V223" s="686"/>
      <c r="W223" s="825"/>
      <c r="X223" s="686"/>
      <c r="Y223" s="686"/>
      <c r="Z223" s="703"/>
      <c r="AA223" s="686"/>
      <c r="AB223" s="703"/>
      <c r="AC223" s="686"/>
      <c r="AD223" s="703"/>
      <c r="AE223" s="686"/>
      <c r="AF223" s="703"/>
      <c r="AG223" s="686"/>
      <c r="AH223" s="703"/>
      <c r="AI223" s="686"/>
      <c r="AJ223" s="686"/>
      <c r="AK223" s="703"/>
      <c r="AL223" s="686"/>
      <c r="AM223" s="703"/>
      <c r="AN223" s="686"/>
      <c r="AO223" s="703"/>
      <c r="AP223" s="686"/>
      <c r="AQ223" s="703"/>
      <c r="AR223" s="686"/>
      <c r="AS223" s="703"/>
      <c r="AT223" s="686"/>
      <c r="AU223" s="686"/>
      <c r="AV223" s="703"/>
      <c r="AW223" s="686"/>
      <c r="AX223" s="703"/>
      <c r="AY223" s="686"/>
      <c r="AZ223" s="703"/>
      <c r="BA223" s="686"/>
      <c r="BB223" s="703"/>
      <c r="BC223" s="686"/>
      <c r="BD223" s="703"/>
      <c r="BE223" s="686"/>
    </row>
    <row r="224" spans="1:57" s="44" customFormat="1">
      <c r="A224" s="690"/>
      <c r="B224" s="690"/>
      <c r="C224" s="690"/>
      <c r="D224" s="825"/>
      <c r="E224" s="686"/>
      <c r="F224" s="825"/>
      <c r="G224" s="686"/>
      <c r="H224" s="825"/>
      <c r="I224" s="686"/>
      <c r="J224" s="825"/>
      <c r="K224" s="686"/>
      <c r="L224" s="825"/>
      <c r="M224" s="686"/>
      <c r="N224" s="686"/>
      <c r="O224" s="825"/>
      <c r="P224" s="686"/>
      <c r="Q224" s="825"/>
      <c r="R224" s="686"/>
      <c r="S224" s="825"/>
      <c r="T224" s="686"/>
      <c r="U224" s="825"/>
      <c r="V224" s="686"/>
      <c r="W224" s="825"/>
      <c r="X224" s="686"/>
      <c r="Y224" s="686"/>
      <c r="Z224" s="703"/>
      <c r="AA224" s="686"/>
      <c r="AB224" s="703"/>
      <c r="AC224" s="686"/>
      <c r="AD224" s="703"/>
      <c r="AE224" s="686"/>
      <c r="AF224" s="703"/>
      <c r="AG224" s="686"/>
      <c r="AH224" s="703"/>
      <c r="AI224" s="686"/>
      <c r="AJ224" s="686"/>
      <c r="AK224" s="703"/>
      <c r="AL224" s="686"/>
      <c r="AM224" s="703"/>
      <c r="AN224" s="686"/>
      <c r="AO224" s="703"/>
      <c r="AP224" s="686"/>
      <c r="AQ224" s="703"/>
      <c r="AR224" s="686"/>
      <c r="AS224" s="703"/>
      <c r="AT224" s="686"/>
      <c r="AU224" s="686"/>
      <c r="AV224" s="703"/>
      <c r="AW224" s="686"/>
      <c r="AX224" s="703"/>
      <c r="AY224" s="686"/>
      <c r="AZ224" s="703"/>
      <c r="BA224" s="686"/>
      <c r="BB224" s="703"/>
      <c r="BC224" s="686"/>
      <c r="BD224" s="703"/>
      <c r="BE224" s="686"/>
    </row>
    <row r="225" spans="1:57" s="44" customFormat="1">
      <c r="A225" s="690"/>
      <c r="B225" s="690"/>
      <c r="C225" s="690"/>
      <c r="D225" s="825"/>
      <c r="E225" s="686"/>
      <c r="F225" s="825"/>
      <c r="G225" s="686"/>
      <c r="H225" s="825"/>
      <c r="I225" s="686"/>
      <c r="J225" s="825"/>
      <c r="K225" s="686"/>
      <c r="L225" s="825"/>
      <c r="M225" s="686"/>
      <c r="N225" s="686"/>
      <c r="O225" s="825"/>
      <c r="P225" s="686"/>
      <c r="Q225" s="825"/>
      <c r="R225" s="686"/>
      <c r="S225" s="825"/>
      <c r="T225" s="686"/>
      <c r="U225" s="825"/>
      <c r="V225" s="686"/>
      <c r="W225" s="825"/>
      <c r="X225" s="686"/>
      <c r="Y225" s="686"/>
      <c r="Z225" s="703"/>
      <c r="AA225" s="686"/>
      <c r="AB225" s="703"/>
      <c r="AC225" s="686"/>
      <c r="AD225" s="703"/>
      <c r="AE225" s="686"/>
      <c r="AF225" s="703"/>
      <c r="AG225" s="686"/>
      <c r="AH225" s="703"/>
      <c r="AI225" s="686"/>
      <c r="AJ225" s="686"/>
      <c r="AK225" s="703"/>
      <c r="AL225" s="686"/>
      <c r="AM225" s="703"/>
      <c r="AN225" s="686"/>
      <c r="AO225" s="703"/>
      <c r="AP225" s="686"/>
      <c r="AQ225" s="703"/>
      <c r="AR225" s="686"/>
      <c r="AS225" s="703"/>
      <c r="AT225" s="686"/>
      <c r="AU225" s="686"/>
      <c r="AV225" s="703"/>
      <c r="AW225" s="686"/>
      <c r="AX225" s="703"/>
      <c r="AY225" s="686"/>
      <c r="AZ225" s="703"/>
      <c r="BA225" s="686"/>
      <c r="BB225" s="703"/>
      <c r="BC225" s="686"/>
      <c r="BD225" s="703"/>
      <c r="BE225" s="686"/>
    </row>
    <row r="226" spans="1:57" s="44" customFormat="1">
      <c r="A226" s="690"/>
      <c r="B226" s="690"/>
      <c r="C226" s="690"/>
      <c r="D226" s="825"/>
      <c r="E226" s="686"/>
      <c r="F226" s="825"/>
      <c r="G226" s="686"/>
      <c r="H226" s="825"/>
      <c r="I226" s="686"/>
      <c r="J226" s="825"/>
      <c r="K226" s="686"/>
      <c r="L226" s="825"/>
      <c r="M226" s="686"/>
      <c r="N226" s="686"/>
      <c r="O226" s="825"/>
      <c r="P226" s="686"/>
      <c r="Q226" s="825"/>
      <c r="R226" s="686"/>
      <c r="S226" s="825"/>
      <c r="T226" s="686"/>
      <c r="U226" s="825"/>
      <c r="V226" s="686"/>
      <c r="W226" s="825"/>
      <c r="X226" s="686"/>
      <c r="Y226" s="686"/>
      <c r="Z226" s="703"/>
      <c r="AA226" s="686"/>
      <c r="AB226" s="703"/>
      <c r="AC226" s="686"/>
      <c r="AD226" s="703"/>
      <c r="AE226" s="686"/>
      <c r="AF226" s="703"/>
      <c r="AG226" s="686"/>
      <c r="AH226" s="703"/>
      <c r="AI226" s="686"/>
      <c r="AJ226" s="686"/>
      <c r="AK226" s="703"/>
      <c r="AL226" s="686"/>
      <c r="AM226" s="703"/>
      <c r="AN226" s="686"/>
      <c r="AO226" s="703"/>
      <c r="AP226" s="686"/>
      <c r="AQ226" s="703"/>
      <c r="AR226" s="686"/>
      <c r="AS226" s="703"/>
      <c r="AT226" s="686"/>
      <c r="AU226" s="686"/>
      <c r="AV226" s="703"/>
      <c r="AW226" s="686"/>
      <c r="AX226" s="703"/>
      <c r="AY226" s="686"/>
      <c r="AZ226" s="703"/>
      <c r="BA226" s="686"/>
      <c r="BB226" s="703"/>
      <c r="BC226" s="686"/>
      <c r="BD226" s="703"/>
      <c r="BE226" s="686"/>
    </row>
    <row r="227" spans="1:57" s="44" customFormat="1">
      <c r="A227" s="690"/>
      <c r="B227" s="690"/>
      <c r="C227" s="690"/>
      <c r="D227" s="825"/>
      <c r="E227" s="686"/>
      <c r="F227" s="825"/>
      <c r="G227" s="686"/>
      <c r="H227" s="825"/>
      <c r="I227" s="686"/>
      <c r="J227" s="825"/>
      <c r="K227" s="686"/>
      <c r="L227" s="825"/>
      <c r="M227" s="686"/>
      <c r="N227" s="686"/>
      <c r="O227" s="825"/>
      <c r="P227" s="686"/>
      <c r="Q227" s="825"/>
      <c r="R227" s="686"/>
      <c r="S227" s="825"/>
      <c r="T227" s="686"/>
      <c r="U227" s="825"/>
      <c r="V227" s="686"/>
      <c r="W227" s="825"/>
      <c r="X227" s="686"/>
      <c r="Y227" s="686"/>
      <c r="Z227" s="703"/>
      <c r="AA227" s="686"/>
      <c r="AB227" s="703"/>
      <c r="AC227" s="686"/>
      <c r="AD227" s="703"/>
      <c r="AE227" s="686"/>
      <c r="AF227" s="703"/>
      <c r="AG227" s="686"/>
      <c r="AH227" s="703"/>
      <c r="AI227" s="686"/>
      <c r="AJ227" s="686"/>
      <c r="AK227" s="703"/>
      <c r="AL227" s="686"/>
      <c r="AM227" s="703"/>
      <c r="AN227" s="686"/>
      <c r="AO227" s="703"/>
      <c r="AP227" s="686"/>
      <c r="AQ227" s="703"/>
      <c r="AR227" s="686"/>
      <c r="AS227" s="703"/>
      <c r="AT227" s="686"/>
      <c r="AU227" s="686"/>
      <c r="AV227" s="703"/>
      <c r="AW227" s="686"/>
      <c r="AX227" s="703"/>
      <c r="AY227" s="686"/>
      <c r="AZ227" s="703"/>
      <c r="BA227" s="686"/>
      <c r="BB227" s="703"/>
      <c r="BC227" s="686"/>
      <c r="BD227" s="703"/>
      <c r="BE227" s="686"/>
    </row>
    <row r="228" spans="1:57" s="44" customFormat="1">
      <c r="A228" s="690"/>
      <c r="B228" s="690"/>
      <c r="C228" s="690"/>
      <c r="D228" s="825"/>
      <c r="E228" s="686"/>
      <c r="F228" s="825"/>
      <c r="G228" s="686"/>
      <c r="H228" s="825"/>
      <c r="I228" s="686"/>
      <c r="J228" s="825"/>
      <c r="K228" s="686"/>
      <c r="L228" s="825"/>
      <c r="M228" s="686"/>
      <c r="N228" s="686"/>
      <c r="O228" s="825"/>
      <c r="P228" s="686"/>
      <c r="Q228" s="825"/>
      <c r="R228" s="686"/>
      <c r="S228" s="825"/>
      <c r="T228" s="686"/>
      <c r="U228" s="825"/>
      <c r="V228" s="686"/>
      <c r="W228" s="825"/>
      <c r="X228" s="686"/>
      <c r="Y228" s="686"/>
      <c r="Z228" s="703"/>
      <c r="AA228" s="686"/>
      <c r="AB228" s="703"/>
      <c r="AC228" s="686"/>
      <c r="AD228" s="703"/>
      <c r="AE228" s="686"/>
      <c r="AF228" s="703"/>
      <c r="AG228" s="686"/>
      <c r="AH228" s="703"/>
      <c r="AI228" s="686"/>
      <c r="AJ228" s="686"/>
      <c r="AK228" s="703"/>
      <c r="AL228" s="686"/>
      <c r="AM228" s="703"/>
      <c r="AN228" s="686"/>
      <c r="AO228" s="703"/>
      <c r="AP228" s="686"/>
      <c r="AQ228" s="703"/>
      <c r="AR228" s="686"/>
      <c r="AS228" s="703"/>
      <c r="AT228" s="686"/>
      <c r="AU228" s="686"/>
      <c r="AV228" s="703"/>
      <c r="AW228" s="686"/>
      <c r="AX228" s="703"/>
      <c r="AY228" s="686"/>
      <c r="AZ228" s="703"/>
      <c r="BA228" s="686"/>
      <c r="BB228" s="703"/>
      <c r="BC228" s="686"/>
      <c r="BD228" s="703"/>
      <c r="BE228" s="686"/>
    </row>
    <row r="229" spans="1:57" s="44" customFormat="1">
      <c r="A229" s="690"/>
      <c r="B229" s="690"/>
      <c r="C229" s="690"/>
      <c r="D229" s="825"/>
      <c r="E229" s="686"/>
      <c r="F229" s="825"/>
      <c r="G229" s="686"/>
      <c r="H229" s="825"/>
      <c r="I229" s="686"/>
      <c r="J229" s="825"/>
      <c r="K229" s="686"/>
      <c r="L229" s="825"/>
      <c r="M229" s="686"/>
      <c r="N229" s="686"/>
      <c r="O229" s="825"/>
      <c r="P229" s="686"/>
      <c r="Q229" s="825"/>
      <c r="R229" s="686"/>
      <c r="S229" s="825"/>
      <c r="T229" s="686"/>
      <c r="U229" s="825"/>
      <c r="V229" s="686"/>
      <c r="W229" s="825"/>
      <c r="X229" s="686"/>
      <c r="Y229" s="686"/>
      <c r="Z229" s="703"/>
      <c r="AA229" s="686"/>
      <c r="AB229" s="703"/>
      <c r="AC229" s="686"/>
      <c r="AD229" s="703"/>
      <c r="AE229" s="686"/>
      <c r="AF229" s="703"/>
      <c r="AG229" s="686"/>
      <c r="AH229" s="703"/>
      <c r="AI229" s="686"/>
      <c r="AJ229" s="686"/>
      <c r="AK229" s="703"/>
      <c r="AL229" s="686"/>
      <c r="AM229" s="703"/>
      <c r="AN229" s="686"/>
      <c r="AO229" s="703"/>
      <c r="AP229" s="686"/>
      <c r="AQ229" s="703"/>
      <c r="AR229" s="686"/>
      <c r="AS229" s="703"/>
      <c r="AT229" s="686"/>
      <c r="AU229" s="686"/>
      <c r="AV229" s="703"/>
      <c r="AW229" s="686"/>
      <c r="AX229" s="703"/>
      <c r="AY229" s="686"/>
      <c r="AZ229" s="703"/>
      <c r="BA229" s="686"/>
      <c r="BB229" s="703"/>
      <c r="BC229" s="686"/>
      <c r="BD229" s="703"/>
      <c r="BE229" s="686"/>
    </row>
    <row r="230" spans="1:57" s="44" customFormat="1">
      <c r="A230" s="690"/>
      <c r="B230" s="690"/>
      <c r="C230" s="690"/>
      <c r="D230" s="825"/>
      <c r="E230" s="686"/>
      <c r="F230" s="825"/>
      <c r="G230" s="686"/>
      <c r="H230" s="825"/>
      <c r="I230" s="686"/>
      <c r="J230" s="825"/>
      <c r="K230" s="686"/>
      <c r="L230" s="825"/>
      <c r="M230" s="686"/>
      <c r="N230" s="686"/>
      <c r="O230" s="825"/>
      <c r="P230" s="686"/>
      <c r="Q230" s="825"/>
      <c r="R230" s="686"/>
      <c r="S230" s="825"/>
      <c r="T230" s="686"/>
      <c r="U230" s="825"/>
      <c r="V230" s="686"/>
      <c r="W230" s="825"/>
      <c r="X230" s="686"/>
      <c r="Y230" s="686"/>
      <c r="Z230" s="703"/>
      <c r="AA230" s="686"/>
      <c r="AB230" s="703"/>
      <c r="AC230" s="686"/>
      <c r="AD230" s="703"/>
      <c r="AE230" s="686"/>
      <c r="AF230" s="703"/>
      <c r="AG230" s="686"/>
      <c r="AH230" s="703"/>
      <c r="AI230" s="686"/>
      <c r="AJ230" s="686"/>
      <c r="AK230" s="703"/>
      <c r="AL230" s="686"/>
      <c r="AM230" s="703"/>
      <c r="AN230" s="686"/>
      <c r="AO230" s="703"/>
      <c r="AP230" s="686"/>
      <c r="AQ230" s="703"/>
      <c r="AR230" s="686"/>
      <c r="AS230" s="703"/>
      <c r="AT230" s="686"/>
      <c r="AU230" s="686"/>
      <c r="AV230" s="703"/>
      <c r="AW230" s="686"/>
      <c r="AX230" s="703"/>
      <c r="AY230" s="686"/>
      <c r="AZ230" s="703"/>
      <c r="BA230" s="686"/>
      <c r="BB230" s="703"/>
      <c r="BC230" s="686"/>
      <c r="BD230" s="703"/>
      <c r="BE230" s="686"/>
    </row>
    <row r="231" spans="1:57" s="44" customFormat="1">
      <c r="A231" s="690"/>
      <c r="B231" s="690"/>
      <c r="C231" s="690"/>
      <c r="D231" s="825"/>
      <c r="E231" s="686"/>
      <c r="F231" s="825"/>
      <c r="G231" s="686"/>
      <c r="H231" s="825"/>
      <c r="I231" s="686"/>
      <c r="J231" s="825"/>
      <c r="K231" s="686"/>
      <c r="L231" s="825"/>
      <c r="M231" s="686"/>
      <c r="N231" s="686"/>
      <c r="O231" s="825"/>
      <c r="P231" s="686"/>
      <c r="Q231" s="825"/>
      <c r="R231" s="686"/>
      <c r="S231" s="825"/>
      <c r="T231" s="686"/>
      <c r="U231" s="825"/>
      <c r="V231" s="686"/>
      <c r="W231" s="825"/>
      <c r="X231" s="686"/>
      <c r="Y231" s="686"/>
      <c r="Z231" s="703"/>
      <c r="AA231" s="686"/>
      <c r="AB231" s="703"/>
      <c r="AC231" s="686"/>
      <c r="AD231" s="703"/>
      <c r="AE231" s="686"/>
      <c r="AF231" s="703"/>
      <c r="AG231" s="686"/>
      <c r="AH231" s="703"/>
      <c r="AI231" s="686"/>
      <c r="AJ231" s="686"/>
      <c r="AK231" s="703"/>
      <c r="AL231" s="686"/>
      <c r="AM231" s="703"/>
      <c r="AN231" s="686"/>
      <c r="AO231" s="703"/>
      <c r="AP231" s="686"/>
      <c r="AQ231" s="703"/>
      <c r="AR231" s="686"/>
      <c r="AS231" s="703"/>
      <c r="AT231" s="686"/>
      <c r="AU231" s="686"/>
      <c r="AV231" s="703"/>
      <c r="AW231" s="686"/>
      <c r="AX231" s="703"/>
      <c r="AY231" s="686"/>
      <c r="AZ231" s="703"/>
      <c r="BA231" s="686"/>
      <c r="BB231" s="703"/>
      <c r="BC231" s="686"/>
      <c r="BD231" s="703"/>
      <c r="BE231" s="686"/>
    </row>
    <row r="232" spans="1:57" s="44" customFormat="1">
      <c r="A232" s="690"/>
      <c r="B232" s="690"/>
      <c r="C232" s="690"/>
      <c r="D232" s="825"/>
      <c r="E232" s="686"/>
      <c r="F232" s="825"/>
      <c r="G232" s="686"/>
      <c r="H232" s="825"/>
      <c r="I232" s="686"/>
      <c r="J232" s="825"/>
      <c r="K232" s="686"/>
      <c r="L232" s="825"/>
      <c r="M232" s="686"/>
      <c r="N232" s="686"/>
      <c r="O232" s="825"/>
      <c r="P232" s="686"/>
      <c r="Q232" s="825"/>
      <c r="R232" s="686"/>
      <c r="S232" s="825"/>
      <c r="T232" s="686"/>
      <c r="U232" s="825"/>
      <c r="V232" s="686"/>
      <c r="W232" s="825"/>
      <c r="X232" s="686"/>
      <c r="Y232" s="686"/>
      <c r="Z232" s="703"/>
      <c r="AA232" s="686"/>
      <c r="AB232" s="703"/>
      <c r="AC232" s="686"/>
      <c r="AD232" s="703"/>
      <c r="AE232" s="686"/>
      <c r="AF232" s="703"/>
      <c r="AG232" s="686"/>
      <c r="AH232" s="703"/>
      <c r="AI232" s="686"/>
      <c r="AJ232" s="686"/>
      <c r="AK232" s="703"/>
      <c r="AL232" s="686"/>
      <c r="AM232" s="703"/>
      <c r="AN232" s="686"/>
      <c r="AO232" s="703"/>
      <c r="AP232" s="686"/>
      <c r="AQ232" s="703"/>
      <c r="AR232" s="686"/>
      <c r="AS232" s="703"/>
      <c r="AT232" s="686"/>
      <c r="AU232" s="686"/>
      <c r="AV232" s="703"/>
      <c r="AW232" s="686"/>
      <c r="AX232" s="703"/>
      <c r="AY232" s="686"/>
      <c r="AZ232" s="703"/>
      <c r="BA232" s="686"/>
      <c r="BB232" s="703"/>
      <c r="BC232" s="686"/>
      <c r="BD232" s="703"/>
      <c r="BE232" s="686"/>
    </row>
    <row r="233" spans="1:57" s="44" customFormat="1">
      <c r="A233" s="690"/>
      <c r="B233" s="690"/>
      <c r="C233" s="690"/>
      <c r="D233" s="825"/>
      <c r="E233" s="686"/>
      <c r="F233" s="825"/>
      <c r="G233" s="686"/>
      <c r="H233" s="825"/>
      <c r="I233" s="686"/>
      <c r="J233" s="825"/>
      <c r="K233" s="686"/>
      <c r="L233" s="825"/>
      <c r="M233" s="686"/>
      <c r="N233" s="686"/>
      <c r="O233" s="825"/>
      <c r="P233" s="686"/>
      <c r="Q233" s="825"/>
      <c r="R233" s="686"/>
      <c r="S233" s="825"/>
      <c r="T233" s="686"/>
      <c r="U233" s="825"/>
      <c r="V233" s="686"/>
      <c r="W233" s="825"/>
      <c r="X233" s="686"/>
      <c r="Y233" s="686"/>
      <c r="Z233" s="703"/>
      <c r="AA233" s="686"/>
      <c r="AB233" s="703"/>
      <c r="AC233" s="686"/>
      <c r="AD233" s="703"/>
      <c r="AE233" s="686"/>
      <c r="AF233" s="703"/>
      <c r="AG233" s="686"/>
      <c r="AH233" s="703"/>
      <c r="AI233" s="686"/>
      <c r="AJ233" s="686"/>
      <c r="AK233" s="703"/>
      <c r="AL233" s="686"/>
      <c r="AM233" s="703"/>
      <c r="AN233" s="686"/>
      <c r="AO233" s="703"/>
      <c r="AP233" s="686"/>
      <c r="AQ233" s="703"/>
      <c r="AR233" s="686"/>
      <c r="AS233" s="703"/>
      <c r="AT233" s="686"/>
      <c r="AU233" s="686"/>
      <c r="AV233" s="703"/>
      <c r="AW233" s="686"/>
      <c r="AX233" s="703"/>
      <c r="AY233" s="686"/>
      <c r="AZ233" s="703"/>
      <c r="BA233" s="686"/>
      <c r="BB233" s="703"/>
      <c r="BC233" s="686"/>
      <c r="BD233" s="703"/>
      <c r="BE233" s="686"/>
    </row>
    <row r="234" spans="1:57" s="44" customFormat="1">
      <c r="A234" s="690"/>
      <c r="B234" s="690"/>
      <c r="C234" s="690"/>
      <c r="D234" s="825"/>
      <c r="E234" s="686"/>
      <c r="F234" s="825"/>
      <c r="G234" s="686"/>
      <c r="H234" s="825"/>
      <c r="I234" s="686"/>
      <c r="J234" s="825"/>
      <c r="K234" s="686"/>
      <c r="L234" s="825"/>
      <c r="M234" s="686"/>
      <c r="N234" s="686"/>
      <c r="O234" s="825"/>
      <c r="P234" s="686"/>
      <c r="Q234" s="825"/>
      <c r="R234" s="686"/>
      <c r="S234" s="825"/>
      <c r="T234" s="686"/>
      <c r="U234" s="825"/>
      <c r="V234" s="686"/>
      <c r="W234" s="825"/>
      <c r="X234" s="686"/>
      <c r="Y234" s="686"/>
      <c r="Z234" s="703"/>
      <c r="AA234" s="686"/>
      <c r="AB234" s="703"/>
      <c r="AC234" s="686"/>
      <c r="AD234" s="703"/>
      <c r="AE234" s="686"/>
      <c r="AF234" s="703"/>
      <c r="AG234" s="686"/>
      <c r="AH234" s="703"/>
      <c r="AI234" s="686"/>
      <c r="AJ234" s="686"/>
      <c r="AK234" s="703"/>
      <c r="AL234" s="686"/>
      <c r="AM234" s="703"/>
      <c r="AN234" s="686"/>
      <c r="AO234" s="703"/>
      <c r="AP234" s="686"/>
      <c r="AQ234" s="703"/>
      <c r="AR234" s="686"/>
      <c r="AS234" s="703"/>
      <c r="AT234" s="686"/>
      <c r="AU234" s="686"/>
      <c r="AV234" s="703"/>
      <c r="AW234" s="686"/>
      <c r="AX234" s="703"/>
      <c r="AY234" s="686"/>
      <c r="AZ234" s="703"/>
      <c r="BA234" s="686"/>
      <c r="BB234" s="703"/>
      <c r="BC234" s="686"/>
      <c r="BD234" s="703"/>
      <c r="BE234" s="686"/>
    </row>
    <row r="235" spans="1:57" s="44" customFormat="1">
      <c r="A235" s="690"/>
      <c r="B235" s="690"/>
      <c r="C235" s="690"/>
      <c r="D235" s="825"/>
      <c r="E235" s="686"/>
      <c r="F235" s="825"/>
      <c r="G235" s="686"/>
      <c r="H235" s="825"/>
      <c r="I235" s="686"/>
      <c r="J235" s="825"/>
      <c r="K235" s="686"/>
      <c r="L235" s="825"/>
      <c r="M235" s="686"/>
      <c r="N235" s="686"/>
      <c r="O235" s="825"/>
      <c r="P235" s="686"/>
      <c r="Q235" s="825"/>
      <c r="R235" s="686"/>
      <c r="S235" s="825"/>
      <c r="T235" s="686"/>
      <c r="U235" s="825"/>
      <c r="V235" s="686"/>
      <c r="W235" s="825"/>
      <c r="X235" s="686"/>
      <c r="Y235" s="686"/>
      <c r="Z235" s="703"/>
      <c r="AA235" s="686"/>
      <c r="AB235" s="703"/>
      <c r="AC235" s="686"/>
      <c r="AD235" s="703"/>
      <c r="AE235" s="686"/>
      <c r="AF235" s="703"/>
      <c r="AG235" s="686"/>
      <c r="AH235" s="703"/>
      <c r="AI235" s="686"/>
      <c r="AJ235" s="686"/>
      <c r="AK235" s="703"/>
      <c r="AL235" s="686"/>
      <c r="AM235" s="703"/>
      <c r="AN235" s="686"/>
      <c r="AO235" s="703"/>
      <c r="AP235" s="686"/>
      <c r="AQ235" s="703"/>
      <c r="AR235" s="686"/>
      <c r="AS235" s="703"/>
      <c r="AT235" s="686"/>
      <c r="AU235" s="686"/>
      <c r="AV235" s="703"/>
      <c r="AW235" s="686"/>
      <c r="AX235" s="703"/>
      <c r="AY235" s="686"/>
      <c r="AZ235" s="703"/>
      <c r="BA235" s="686"/>
      <c r="BB235" s="703"/>
      <c r="BC235" s="686"/>
      <c r="BD235" s="703"/>
      <c r="BE235" s="686"/>
    </row>
    <row r="236" spans="1:57" s="44" customFormat="1">
      <c r="A236" s="690"/>
      <c r="B236" s="690"/>
      <c r="C236" s="690"/>
      <c r="D236" s="825"/>
      <c r="E236" s="686"/>
      <c r="F236" s="825"/>
      <c r="G236" s="686"/>
      <c r="H236" s="825"/>
      <c r="I236" s="686"/>
      <c r="J236" s="825"/>
      <c r="K236" s="686"/>
      <c r="L236" s="825"/>
      <c r="M236" s="686"/>
      <c r="N236" s="686"/>
      <c r="O236" s="825"/>
      <c r="P236" s="686"/>
      <c r="Q236" s="825"/>
      <c r="R236" s="686"/>
      <c r="S236" s="825"/>
      <c r="T236" s="686"/>
      <c r="U236" s="825"/>
      <c r="V236" s="686"/>
      <c r="W236" s="825"/>
      <c r="X236" s="686"/>
      <c r="Y236" s="686"/>
      <c r="Z236" s="703"/>
      <c r="AA236" s="686"/>
      <c r="AB236" s="703"/>
      <c r="AC236" s="686"/>
      <c r="AD236" s="703"/>
      <c r="AE236" s="686"/>
      <c r="AF236" s="703"/>
      <c r="AG236" s="686"/>
      <c r="AH236" s="703"/>
      <c r="AI236" s="686"/>
      <c r="AJ236" s="686"/>
      <c r="AK236" s="703"/>
      <c r="AL236" s="686"/>
      <c r="AM236" s="703"/>
      <c r="AN236" s="686"/>
      <c r="AO236" s="703"/>
      <c r="AP236" s="686"/>
      <c r="AQ236" s="703"/>
      <c r="AR236" s="686"/>
      <c r="AS236" s="703"/>
      <c r="AT236" s="686"/>
      <c r="AU236" s="686"/>
      <c r="AV236" s="703"/>
      <c r="AW236" s="686"/>
      <c r="AX236" s="703"/>
      <c r="AY236" s="686"/>
      <c r="AZ236" s="703"/>
      <c r="BA236" s="686"/>
      <c r="BB236" s="703"/>
      <c r="BC236" s="686"/>
      <c r="BD236" s="703"/>
      <c r="BE236" s="686"/>
    </row>
    <row r="237" spans="1:57" s="44" customFormat="1">
      <c r="A237" s="690"/>
      <c r="B237" s="690"/>
      <c r="C237" s="690"/>
      <c r="D237" s="825"/>
      <c r="E237" s="686"/>
      <c r="F237" s="825"/>
      <c r="G237" s="686"/>
      <c r="H237" s="825"/>
      <c r="I237" s="686"/>
      <c r="J237" s="825"/>
      <c r="K237" s="686"/>
      <c r="L237" s="825"/>
      <c r="M237" s="686"/>
      <c r="N237" s="686"/>
      <c r="O237" s="825"/>
      <c r="P237" s="686"/>
      <c r="Q237" s="825"/>
      <c r="R237" s="686"/>
      <c r="S237" s="825"/>
      <c r="T237" s="686"/>
      <c r="U237" s="825"/>
      <c r="V237" s="686"/>
      <c r="W237" s="825"/>
      <c r="X237" s="686"/>
      <c r="Y237" s="686"/>
      <c r="Z237" s="703"/>
      <c r="AA237" s="686"/>
      <c r="AB237" s="703"/>
      <c r="AC237" s="686"/>
      <c r="AD237" s="703"/>
      <c r="AE237" s="686"/>
      <c r="AF237" s="703"/>
      <c r="AG237" s="686"/>
      <c r="AH237" s="703"/>
      <c r="AI237" s="686"/>
      <c r="AJ237" s="686"/>
      <c r="AK237" s="703"/>
      <c r="AL237" s="686"/>
      <c r="AM237" s="703"/>
      <c r="AN237" s="686"/>
      <c r="AO237" s="703"/>
      <c r="AP237" s="686"/>
      <c r="AQ237" s="703"/>
      <c r="AR237" s="686"/>
      <c r="AS237" s="703"/>
      <c r="AT237" s="686"/>
      <c r="AU237" s="686"/>
      <c r="AV237" s="703"/>
      <c r="AW237" s="686"/>
      <c r="AX237" s="703"/>
      <c r="AY237" s="686"/>
      <c r="AZ237" s="703"/>
      <c r="BA237" s="686"/>
      <c r="BB237" s="703"/>
      <c r="BC237" s="686"/>
      <c r="BD237" s="703"/>
      <c r="BE237" s="686"/>
    </row>
    <row r="238" spans="1:57" s="44" customFormat="1">
      <c r="A238" s="690"/>
      <c r="B238" s="690"/>
      <c r="C238" s="690"/>
      <c r="D238" s="825"/>
      <c r="E238" s="686"/>
      <c r="F238" s="825"/>
      <c r="G238" s="686"/>
      <c r="H238" s="825"/>
      <c r="I238" s="686"/>
      <c r="J238" s="825"/>
      <c r="K238" s="686"/>
      <c r="L238" s="825"/>
      <c r="M238" s="686"/>
      <c r="N238" s="686"/>
      <c r="O238" s="825"/>
      <c r="P238" s="686"/>
      <c r="Q238" s="825"/>
      <c r="R238" s="686"/>
      <c r="S238" s="825"/>
      <c r="T238" s="686"/>
      <c r="U238" s="825"/>
      <c r="V238" s="686"/>
      <c r="W238" s="825"/>
      <c r="X238" s="686"/>
      <c r="Y238" s="686"/>
      <c r="Z238" s="703"/>
      <c r="AA238" s="686"/>
      <c r="AB238" s="703"/>
      <c r="AC238" s="686"/>
      <c r="AD238" s="703"/>
      <c r="AE238" s="686"/>
      <c r="AF238" s="703"/>
      <c r="AG238" s="686"/>
      <c r="AH238" s="703"/>
      <c r="AI238" s="686"/>
      <c r="AJ238" s="686"/>
      <c r="AK238" s="703"/>
      <c r="AL238" s="686"/>
      <c r="AM238" s="703"/>
      <c r="AN238" s="686"/>
      <c r="AO238" s="703"/>
      <c r="AP238" s="686"/>
      <c r="AQ238" s="703"/>
      <c r="AR238" s="686"/>
      <c r="AS238" s="703"/>
      <c r="AT238" s="686"/>
      <c r="AU238" s="686"/>
      <c r="AV238" s="703"/>
      <c r="AW238" s="686"/>
      <c r="AX238" s="703"/>
      <c r="AY238" s="686"/>
      <c r="AZ238" s="703"/>
      <c r="BA238" s="686"/>
      <c r="BB238" s="703"/>
      <c r="BC238" s="686"/>
      <c r="BD238" s="703"/>
      <c r="BE238" s="686"/>
    </row>
    <row r="239" spans="1:57" s="44" customFormat="1">
      <c r="A239" s="690"/>
      <c r="B239" s="690"/>
      <c r="C239" s="690"/>
      <c r="D239" s="825"/>
      <c r="E239" s="686"/>
      <c r="F239" s="825"/>
      <c r="G239" s="686"/>
      <c r="H239" s="825"/>
      <c r="I239" s="686"/>
      <c r="J239" s="825"/>
      <c r="K239" s="686"/>
      <c r="L239" s="825"/>
      <c r="M239" s="686"/>
      <c r="N239" s="686"/>
      <c r="O239" s="825"/>
      <c r="P239" s="686"/>
      <c r="Q239" s="825"/>
      <c r="R239" s="686"/>
      <c r="S239" s="825"/>
      <c r="T239" s="686"/>
      <c r="U239" s="825"/>
      <c r="V239" s="686"/>
      <c r="W239" s="825"/>
      <c r="X239" s="686"/>
      <c r="Y239" s="686"/>
      <c r="Z239" s="703"/>
      <c r="AA239" s="686"/>
      <c r="AB239" s="703"/>
      <c r="AC239" s="686"/>
      <c r="AD239" s="703"/>
      <c r="AE239" s="686"/>
      <c r="AF239" s="703"/>
      <c r="AG239" s="686"/>
      <c r="AH239" s="703"/>
      <c r="AI239" s="686"/>
      <c r="AJ239" s="686"/>
      <c r="AK239" s="703"/>
      <c r="AL239" s="686"/>
      <c r="AM239" s="703"/>
      <c r="AN239" s="686"/>
      <c r="AO239" s="703"/>
      <c r="AP239" s="686"/>
      <c r="AQ239" s="703"/>
      <c r="AR239" s="686"/>
      <c r="AS239" s="703"/>
      <c r="AT239" s="686"/>
      <c r="AU239" s="686"/>
      <c r="AV239" s="703"/>
      <c r="AW239" s="686"/>
      <c r="AX239" s="703"/>
      <c r="AY239" s="686"/>
      <c r="AZ239" s="703"/>
      <c r="BA239" s="686"/>
      <c r="BB239" s="703"/>
      <c r="BC239" s="686"/>
      <c r="BD239" s="703"/>
      <c r="BE239" s="686"/>
    </row>
    <row r="240" spans="1:57" s="44" customFormat="1">
      <c r="A240" s="690"/>
      <c r="B240" s="690"/>
      <c r="C240" s="690"/>
      <c r="D240" s="825"/>
      <c r="E240" s="686"/>
      <c r="F240" s="825"/>
      <c r="G240" s="686"/>
      <c r="H240" s="825"/>
      <c r="I240" s="686"/>
      <c r="J240" s="825"/>
      <c r="K240" s="686"/>
      <c r="L240" s="825"/>
      <c r="M240" s="686"/>
      <c r="N240" s="686"/>
      <c r="O240" s="825"/>
      <c r="P240" s="686"/>
      <c r="Q240" s="825"/>
      <c r="R240" s="686"/>
      <c r="S240" s="825"/>
      <c r="T240" s="686"/>
      <c r="U240" s="825"/>
      <c r="V240" s="686"/>
      <c r="W240" s="825"/>
      <c r="X240" s="686"/>
      <c r="Y240" s="686"/>
      <c r="Z240" s="703"/>
      <c r="AA240" s="686"/>
      <c r="AB240" s="703"/>
      <c r="AC240" s="686"/>
      <c r="AD240" s="703"/>
      <c r="AE240" s="686"/>
      <c r="AF240" s="703"/>
      <c r="AG240" s="686"/>
      <c r="AH240" s="703"/>
      <c r="AI240" s="686"/>
      <c r="AJ240" s="686"/>
      <c r="AK240" s="703"/>
      <c r="AL240" s="686"/>
      <c r="AM240" s="703"/>
      <c r="AN240" s="686"/>
      <c r="AO240" s="703"/>
      <c r="AP240" s="686"/>
      <c r="AQ240" s="703"/>
      <c r="AR240" s="686"/>
      <c r="AS240" s="703"/>
      <c r="AT240" s="686"/>
      <c r="AU240" s="686"/>
      <c r="AV240" s="703"/>
      <c r="AW240" s="686"/>
      <c r="AX240" s="703"/>
      <c r="AY240" s="686"/>
      <c r="AZ240" s="703"/>
      <c r="BA240" s="686"/>
      <c r="BB240" s="703"/>
      <c r="BC240" s="686"/>
      <c r="BD240" s="703"/>
      <c r="BE240" s="686"/>
    </row>
    <row r="241" spans="1:57" s="44" customFormat="1">
      <c r="A241" s="690"/>
      <c r="B241" s="690"/>
      <c r="C241" s="690"/>
      <c r="D241" s="825"/>
      <c r="E241" s="686"/>
      <c r="F241" s="825"/>
      <c r="G241" s="686"/>
      <c r="H241" s="825"/>
      <c r="I241" s="686"/>
      <c r="J241" s="825"/>
      <c r="K241" s="686"/>
      <c r="L241" s="825"/>
      <c r="M241" s="686"/>
      <c r="N241" s="686"/>
      <c r="O241" s="825"/>
      <c r="P241" s="686"/>
      <c r="Q241" s="825"/>
      <c r="R241" s="686"/>
      <c r="S241" s="825"/>
      <c r="T241" s="686"/>
      <c r="U241" s="825"/>
      <c r="V241" s="686"/>
      <c r="W241" s="825"/>
      <c r="X241" s="686"/>
      <c r="Y241" s="686"/>
      <c r="Z241" s="703"/>
      <c r="AA241" s="686"/>
      <c r="AB241" s="703"/>
      <c r="AC241" s="686"/>
      <c r="AD241" s="703"/>
      <c r="AE241" s="686"/>
      <c r="AF241" s="703"/>
      <c r="AG241" s="686"/>
      <c r="AH241" s="703"/>
      <c r="AI241" s="686"/>
      <c r="AJ241" s="686"/>
      <c r="AK241" s="703"/>
      <c r="AL241" s="686"/>
      <c r="AM241" s="703"/>
      <c r="AN241" s="686"/>
      <c r="AO241" s="703"/>
      <c r="AP241" s="686"/>
      <c r="AQ241" s="703"/>
      <c r="AR241" s="686"/>
      <c r="AS241" s="703"/>
      <c r="AT241" s="686"/>
      <c r="AU241" s="686"/>
      <c r="AV241" s="703"/>
      <c r="AW241" s="686"/>
      <c r="AX241" s="703"/>
      <c r="AY241" s="686"/>
      <c r="AZ241" s="703"/>
      <c r="BA241" s="686"/>
      <c r="BB241" s="703"/>
      <c r="BC241" s="686"/>
      <c r="BD241" s="703"/>
      <c r="BE241" s="686"/>
    </row>
    <row r="242" spans="1:57" s="44" customFormat="1">
      <c r="A242" s="690"/>
      <c r="B242" s="690"/>
      <c r="C242" s="690"/>
      <c r="D242" s="825"/>
      <c r="E242" s="686"/>
      <c r="F242" s="825"/>
      <c r="G242" s="686"/>
      <c r="H242" s="825"/>
      <c r="I242" s="686"/>
      <c r="J242" s="825"/>
      <c r="K242" s="686"/>
      <c r="L242" s="825"/>
      <c r="M242" s="686"/>
      <c r="N242" s="686"/>
      <c r="O242" s="825"/>
      <c r="P242" s="686"/>
      <c r="Q242" s="825"/>
      <c r="R242" s="686"/>
      <c r="S242" s="825"/>
      <c r="T242" s="686"/>
      <c r="U242" s="825"/>
      <c r="V242" s="686"/>
      <c r="W242" s="825"/>
      <c r="X242" s="686"/>
      <c r="Y242" s="686"/>
      <c r="Z242" s="703"/>
      <c r="AA242" s="686"/>
      <c r="AB242" s="703"/>
      <c r="AC242" s="686"/>
      <c r="AD242" s="703"/>
      <c r="AE242" s="686"/>
      <c r="AF242" s="703"/>
      <c r="AG242" s="686"/>
      <c r="AH242" s="703"/>
      <c r="AI242" s="686"/>
      <c r="AJ242" s="686"/>
      <c r="AK242" s="703"/>
      <c r="AL242" s="686"/>
      <c r="AM242" s="703"/>
      <c r="AN242" s="686"/>
      <c r="AO242" s="703"/>
      <c r="AP242" s="686"/>
      <c r="AQ242" s="703"/>
      <c r="AR242" s="686"/>
      <c r="AS242" s="703"/>
      <c r="AT242" s="686"/>
      <c r="AU242" s="686"/>
      <c r="AV242" s="703"/>
      <c r="AW242" s="686"/>
      <c r="AX242" s="703"/>
      <c r="AY242" s="686"/>
      <c r="AZ242" s="703"/>
      <c r="BA242" s="686"/>
      <c r="BB242" s="703"/>
      <c r="BC242" s="686"/>
      <c r="BD242" s="703"/>
      <c r="BE242" s="686"/>
    </row>
    <row r="243" spans="1:57" s="44" customFormat="1">
      <c r="A243" s="690"/>
      <c r="B243" s="690"/>
      <c r="C243" s="690"/>
      <c r="D243" s="825"/>
      <c r="E243" s="686"/>
      <c r="F243" s="825"/>
      <c r="G243" s="686"/>
      <c r="H243" s="825"/>
      <c r="I243" s="686"/>
      <c r="J243" s="825"/>
      <c r="K243" s="686"/>
      <c r="L243" s="825"/>
      <c r="M243" s="686"/>
      <c r="N243" s="686"/>
      <c r="O243" s="825"/>
      <c r="P243" s="686"/>
      <c r="Q243" s="825"/>
      <c r="R243" s="686"/>
      <c r="S243" s="825"/>
      <c r="T243" s="686"/>
      <c r="U243" s="825"/>
      <c r="V243" s="686"/>
      <c r="W243" s="825"/>
      <c r="X243" s="686"/>
      <c r="Y243" s="686"/>
      <c r="Z243" s="703"/>
      <c r="AA243" s="686"/>
      <c r="AB243" s="703"/>
      <c r="AC243" s="686"/>
      <c r="AD243" s="703"/>
      <c r="AE243" s="686"/>
      <c r="AF243" s="703"/>
      <c r="AG243" s="686"/>
      <c r="AH243" s="703"/>
      <c r="AI243" s="686"/>
      <c r="AJ243" s="686"/>
      <c r="AK243" s="703"/>
      <c r="AL243" s="686"/>
      <c r="AM243" s="703"/>
      <c r="AN243" s="686"/>
      <c r="AO243" s="703"/>
      <c r="AP243" s="686"/>
      <c r="AQ243" s="703"/>
      <c r="AR243" s="686"/>
      <c r="AS243" s="703"/>
      <c r="AT243" s="686"/>
      <c r="AU243" s="686"/>
      <c r="AV243" s="703"/>
      <c r="AW243" s="686"/>
      <c r="AX243" s="703"/>
      <c r="AY243" s="686"/>
      <c r="AZ243" s="703"/>
      <c r="BA243" s="686"/>
      <c r="BB243" s="703"/>
      <c r="BC243" s="686"/>
      <c r="BD243" s="703"/>
      <c r="BE243" s="686"/>
    </row>
    <row r="244" spans="1:57" s="44" customFormat="1">
      <c r="A244" s="690"/>
      <c r="B244" s="690"/>
      <c r="C244" s="690"/>
      <c r="D244" s="825"/>
      <c r="E244" s="686"/>
      <c r="F244" s="825"/>
      <c r="G244" s="686"/>
      <c r="H244" s="825"/>
      <c r="I244" s="686"/>
      <c r="J244" s="825"/>
      <c r="K244" s="686"/>
      <c r="L244" s="825"/>
      <c r="M244" s="686"/>
      <c r="N244" s="686"/>
      <c r="O244" s="825"/>
      <c r="P244" s="686"/>
      <c r="Q244" s="825"/>
      <c r="R244" s="686"/>
      <c r="S244" s="825"/>
      <c r="T244" s="686"/>
      <c r="U244" s="825"/>
      <c r="V244" s="686"/>
      <c r="W244" s="825"/>
      <c r="X244" s="686"/>
      <c r="Y244" s="686"/>
      <c r="Z244" s="703"/>
      <c r="AA244" s="686"/>
      <c r="AB244" s="703"/>
      <c r="AC244" s="686"/>
      <c r="AD244" s="703"/>
      <c r="AE244" s="686"/>
      <c r="AF244" s="703"/>
      <c r="AG244" s="686"/>
      <c r="AH244" s="703"/>
      <c r="AI244" s="686"/>
      <c r="AJ244" s="686"/>
      <c r="AK244" s="703"/>
      <c r="AL244" s="686"/>
      <c r="AM244" s="703"/>
      <c r="AN244" s="686"/>
      <c r="AO244" s="703"/>
      <c r="AP244" s="686"/>
      <c r="AQ244" s="703"/>
      <c r="AR244" s="686"/>
      <c r="AS244" s="703"/>
      <c r="AT244" s="686"/>
      <c r="AU244" s="686"/>
      <c r="AV244" s="703"/>
      <c r="AW244" s="686"/>
      <c r="AX244" s="703"/>
      <c r="AY244" s="686"/>
      <c r="AZ244" s="703"/>
      <c r="BA244" s="686"/>
      <c r="BB244" s="703"/>
      <c r="BC244" s="686"/>
      <c r="BD244" s="703"/>
      <c r="BE244" s="686"/>
    </row>
    <row r="245" spans="1:57" s="44" customFormat="1">
      <c r="A245" s="690"/>
      <c r="B245" s="690"/>
      <c r="C245" s="690"/>
      <c r="D245" s="825"/>
      <c r="E245" s="686"/>
      <c r="F245" s="825"/>
      <c r="G245" s="686"/>
      <c r="H245" s="825"/>
      <c r="I245" s="686"/>
      <c r="J245" s="825"/>
      <c r="K245" s="686"/>
      <c r="L245" s="825"/>
      <c r="M245" s="686"/>
      <c r="N245" s="686"/>
      <c r="O245" s="825"/>
      <c r="P245" s="686"/>
      <c r="Q245" s="825"/>
      <c r="R245" s="686"/>
      <c r="S245" s="825"/>
      <c r="T245" s="686"/>
      <c r="U245" s="825"/>
      <c r="V245" s="686"/>
      <c r="W245" s="825"/>
      <c r="X245" s="686"/>
      <c r="Y245" s="686"/>
      <c r="Z245" s="703"/>
      <c r="AA245" s="686"/>
      <c r="AB245" s="703"/>
      <c r="AC245" s="686"/>
      <c r="AD245" s="703"/>
      <c r="AE245" s="686"/>
      <c r="AF245" s="703"/>
      <c r="AG245" s="686"/>
      <c r="AH245" s="703"/>
      <c r="AI245" s="686"/>
      <c r="AJ245" s="686"/>
      <c r="AK245" s="703"/>
      <c r="AL245" s="686"/>
      <c r="AM245" s="703"/>
      <c r="AN245" s="686"/>
      <c r="AO245" s="703"/>
      <c r="AP245" s="686"/>
      <c r="AQ245" s="703"/>
      <c r="AR245" s="686"/>
      <c r="AS245" s="703"/>
      <c r="AT245" s="686"/>
      <c r="AU245" s="686"/>
      <c r="AV245" s="703"/>
      <c r="AW245" s="686"/>
      <c r="AX245" s="703"/>
      <c r="AY245" s="686"/>
      <c r="AZ245" s="703"/>
      <c r="BA245" s="686"/>
      <c r="BB245" s="703"/>
      <c r="BC245" s="686"/>
      <c r="BD245" s="703"/>
      <c r="BE245" s="686"/>
    </row>
    <row r="246" spans="1:57" s="44" customFormat="1">
      <c r="A246" s="690"/>
      <c r="B246" s="690"/>
      <c r="C246" s="690"/>
      <c r="D246" s="825"/>
      <c r="E246" s="686"/>
      <c r="F246" s="825"/>
      <c r="G246" s="686"/>
      <c r="H246" s="825"/>
      <c r="I246" s="686"/>
      <c r="J246" s="825"/>
      <c r="K246" s="686"/>
      <c r="L246" s="825"/>
      <c r="M246" s="686"/>
      <c r="N246" s="686"/>
      <c r="O246" s="825"/>
      <c r="P246" s="686"/>
      <c r="Q246" s="825"/>
      <c r="R246" s="686"/>
      <c r="S246" s="825"/>
      <c r="T246" s="686"/>
      <c r="U246" s="825"/>
      <c r="V246" s="686"/>
      <c r="W246" s="825"/>
      <c r="X246" s="686"/>
      <c r="Y246" s="686"/>
      <c r="Z246" s="703"/>
      <c r="AA246" s="686"/>
      <c r="AB246" s="703"/>
      <c r="AC246" s="686"/>
      <c r="AD246" s="703"/>
      <c r="AE246" s="686"/>
      <c r="AF246" s="703"/>
      <c r="AG246" s="686"/>
      <c r="AH246" s="703"/>
      <c r="AI246" s="686"/>
      <c r="AJ246" s="686"/>
      <c r="AK246" s="703"/>
      <c r="AL246" s="686"/>
      <c r="AM246" s="703"/>
      <c r="AN246" s="686"/>
      <c r="AO246" s="703"/>
      <c r="AP246" s="686"/>
      <c r="AQ246" s="703"/>
      <c r="AR246" s="686"/>
      <c r="AS246" s="703"/>
      <c r="AT246" s="686"/>
      <c r="AU246" s="686"/>
      <c r="AV246" s="703"/>
      <c r="AW246" s="686"/>
      <c r="AX246" s="703"/>
      <c r="AY246" s="686"/>
      <c r="AZ246" s="703"/>
      <c r="BA246" s="686"/>
      <c r="BB246" s="703"/>
      <c r="BC246" s="686"/>
      <c r="BD246" s="703"/>
      <c r="BE246" s="686"/>
    </row>
    <row r="247" spans="1:57" s="44" customFormat="1">
      <c r="A247" s="690"/>
      <c r="B247" s="690"/>
      <c r="C247" s="690"/>
      <c r="D247" s="825"/>
      <c r="E247" s="686"/>
      <c r="F247" s="825"/>
      <c r="G247" s="686"/>
      <c r="H247" s="825"/>
      <c r="I247" s="686"/>
      <c r="J247" s="825"/>
      <c r="K247" s="686"/>
      <c r="L247" s="825"/>
      <c r="M247" s="686"/>
      <c r="N247" s="686"/>
      <c r="O247" s="825"/>
      <c r="P247" s="686"/>
      <c r="Q247" s="825"/>
      <c r="R247" s="686"/>
      <c r="S247" s="825"/>
      <c r="T247" s="686"/>
      <c r="U247" s="825"/>
      <c r="V247" s="686"/>
      <c r="W247" s="825"/>
      <c r="X247" s="686"/>
      <c r="Y247" s="686"/>
      <c r="Z247" s="703"/>
      <c r="AA247" s="686"/>
      <c r="AB247" s="703"/>
      <c r="AC247" s="686"/>
      <c r="AD247" s="703"/>
      <c r="AE247" s="686"/>
      <c r="AF247" s="703"/>
      <c r="AG247" s="686"/>
      <c r="AH247" s="703"/>
      <c r="AI247" s="686"/>
      <c r="AJ247" s="686"/>
      <c r="AK247" s="703"/>
      <c r="AL247" s="686"/>
      <c r="AM247" s="703"/>
      <c r="AN247" s="686"/>
      <c r="AO247" s="703"/>
      <c r="AP247" s="686"/>
      <c r="AQ247" s="703"/>
      <c r="AR247" s="686"/>
      <c r="AS247" s="703"/>
      <c r="AT247" s="686"/>
      <c r="AU247" s="686"/>
      <c r="AV247" s="703"/>
      <c r="AW247" s="686"/>
      <c r="AX247" s="703"/>
      <c r="AY247" s="686"/>
      <c r="AZ247" s="703"/>
      <c r="BA247" s="686"/>
      <c r="BB247" s="703"/>
      <c r="BC247" s="686"/>
      <c r="BD247" s="703"/>
      <c r="BE247" s="686"/>
    </row>
    <row r="248" spans="1:57" s="44" customFormat="1">
      <c r="A248" s="690"/>
      <c r="B248" s="690"/>
      <c r="C248" s="690"/>
      <c r="D248" s="825"/>
      <c r="E248" s="686"/>
      <c r="F248" s="825"/>
      <c r="G248" s="686"/>
      <c r="H248" s="825"/>
      <c r="I248" s="686"/>
      <c r="J248" s="825"/>
      <c r="K248" s="686"/>
      <c r="L248" s="825"/>
      <c r="M248" s="686"/>
      <c r="N248" s="686"/>
      <c r="O248" s="825"/>
      <c r="P248" s="686"/>
      <c r="Q248" s="825"/>
      <c r="R248" s="686"/>
      <c r="S248" s="825"/>
      <c r="T248" s="686"/>
      <c r="U248" s="825"/>
      <c r="V248" s="686"/>
      <c r="W248" s="825"/>
      <c r="X248" s="686"/>
      <c r="Y248" s="686"/>
      <c r="Z248" s="703"/>
      <c r="AA248" s="686"/>
      <c r="AB248" s="703"/>
      <c r="AC248" s="686"/>
      <c r="AD248" s="703"/>
      <c r="AE248" s="686"/>
      <c r="AF248" s="703"/>
      <c r="AG248" s="686"/>
      <c r="AH248" s="703"/>
      <c r="AI248" s="686"/>
      <c r="AJ248" s="686"/>
      <c r="AK248" s="703"/>
      <c r="AL248" s="686"/>
      <c r="AM248" s="703"/>
      <c r="AN248" s="686"/>
      <c r="AO248" s="703"/>
      <c r="AP248" s="686"/>
      <c r="AQ248" s="703"/>
      <c r="AR248" s="686"/>
      <c r="AS248" s="703"/>
      <c r="AT248" s="686"/>
      <c r="AU248" s="686"/>
      <c r="AV248" s="703"/>
      <c r="AW248" s="686"/>
      <c r="AX248" s="703"/>
      <c r="AY248" s="686"/>
      <c r="AZ248" s="703"/>
      <c r="BA248" s="686"/>
      <c r="BB248" s="703"/>
      <c r="BC248" s="686"/>
      <c r="BD248" s="703"/>
      <c r="BE248" s="686"/>
    </row>
    <row r="249" spans="1:57" s="44" customFormat="1">
      <c r="A249" s="690"/>
      <c r="B249" s="690"/>
      <c r="C249" s="690"/>
      <c r="D249" s="825"/>
      <c r="E249" s="686"/>
      <c r="F249" s="825"/>
      <c r="G249" s="686"/>
      <c r="H249" s="825"/>
      <c r="I249" s="686"/>
      <c r="J249" s="825"/>
      <c r="K249" s="686"/>
      <c r="L249" s="825"/>
      <c r="M249" s="686"/>
      <c r="N249" s="686"/>
      <c r="O249" s="825"/>
      <c r="P249" s="686"/>
      <c r="Q249" s="825"/>
      <c r="R249" s="686"/>
      <c r="S249" s="825"/>
      <c r="T249" s="686"/>
      <c r="U249" s="825"/>
      <c r="V249" s="686"/>
      <c r="W249" s="825"/>
      <c r="X249" s="686"/>
      <c r="Y249" s="686"/>
      <c r="Z249" s="703"/>
      <c r="AA249" s="686"/>
      <c r="AB249" s="703"/>
      <c r="AC249" s="686"/>
      <c r="AD249" s="703"/>
      <c r="AE249" s="686"/>
      <c r="AF249" s="703"/>
      <c r="AG249" s="686"/>
      <c r="AH249" s="703"/>
      <c r="AI249" s="686"/>
      <c r="AJ249" s="686"/>
      <c r="AK249" s="703"/>
      <c r="AL249" s="686"/>
      <c r="AM249" s="703"/>
      <c r="AN249" s="686"/>
      <c r="AO249" s="703"/>
      <c r="AP249" s="686"/>
      <c r="AQ249" s="703"/>
      <c r="AR249" s="686"/>
      <c r="AS249" s="703"/>
      <c r="AT249" s="686"/>
      <c r="AU249" s="686"/>
      <c r="AV249" s="703"/>
      <c r="AW249" s="686"/>
      <c r="AX249" s="703"/>
      <c r="AY249" s="686"/>
      <c r="AZ249" s="703"/>
      <c r="BA249" s="686"/>
      <c r="BB249" s="703"/>
      <c r="BC249" s="686"/>
      <c r="BD249" s="703"/>
      <c r="BE249" s="686"/>
    </row>
    <row r="250" spans="1:57" s="44" customFormat="1">
      <c r="A250" s="690"/>
      <c r="B250" s="690"/>
      <c r="C250" s="690"/>
      <c r="D250" s="825"/>
      <c r="E250" s="686"/>
      <c r="F250" s="825"/>
      <c r="G250" s="686"/>
      <c r="H250" s="825"/>
      <c r="I250" s="686"/>
      <c r="J250" s="825"/>
      <c r="K250" s="686"/>
      <c r="L250" s="825"/>
      <c r="M250" s="686"/>
      <c r="N250" s="686"/>
      <c r="O250" s="825"/>
      <c r="P250" s="686"/>
      <c r="Q250" s="825"/>
      <c r="R250" s="686"/>
      <c r="S250" s="825"/>
      <c r="T250" s="686"/>
      <c r="U250" s="825"/>
      <c r="V250" s="686"/>
      <c r="W250" s="825"/>
      <c r="X250" s="686"/>
      <c r="Y250" s="686"/>
      <c r="Z250" s="703"/>
      <c r="AA250" s="686"/>
      <c r="AB250" s="703"/>
      <c r="AC250" s="686"/>
      <c r="AD250" s="703"/>
      <c r="AE250" s="686"/>
      <c r="AF250" s="703"/>
      <c r="AG250" s="686"/>
      <c r="AH250" s="703"/>
      <c r="AI250" s="686"/>
      <c r="AJ250" s="686"/>
      <c r="AK250" s="703"/>
      <c r="AL250" s="686"/>
      <c r="AM250" s="703"/>
      <c r="AN250" s="686"/>
      <c r="AO250" s="703"/>
      <c r="AP250" s="686"/>
      <c r="AQ250" s="703"/>
      <c r="AR250" s="686"/>
      <c r="AS250" s="703"/>
      <c r="AT250" s="686"/>
      <c r="AU250" s="686"/>
      <c r="AV250" s="703"/>
      <c r="AW250" s="686"/>
      <c r="AX250" s="703"/>
      <c r="AY250" s="686"/>
      <c r="AZ250" s="703"/>
      <c r="BA250" s="686"/>
      <c r="BB250" s="703"/>
      <c r="BC250" s="686"/>
      <c r="BD250" s="703"/>
      <c r="BE250" s="686"/>
    </row>
    <row r="251" spans="1:57" s="44" customFormat="1">
      <c r="A251" s="690"/>
      <c r="B251" s="690"/>
      <c r="C251" s="690"/>
      <c r="D251" s="825"/>
      <c r="E251" s="686"/>
      <c r="F251" s="825"/>
      <c r="G251" s="686"/>
      <c r="H251" s="825"/>
      <c r="I251" s="686"/>
      <c r="J251" s="825"/>
      <c r="K251" s="686"/>
      <c r="L251" s="825"/>
      <c r="M251" s="686"/>
      <c r="N251" s="686"/>
      <c r="O251" s="825"/>
      <c r="P251" s="686"/>
      <c r="Q251" s="825"/>
      <c r="R251" s="686"/>
      <c r="S251" s="825"/>
      <c r="T251" s="686"/>
      <c r="U251" s="825"/>
      <c r="V251" s="686"/>
      <c r="W251" s="825"/>
      <c r="X251" s="686"/>
      <c r="Y251" s="686"/>
      <c r="Z251" s="703"/>
      <c r="AA251" s="686"/>
      <c r="AB251" s="703"/>
      <c r="AC251" s="686"/>
      <c r="AD251" s="703"/>
      <c r="AE251" s="686"/>
      <c r="AF251" s="703"/>
      <c r="AG251" s="686"/>
      <c r="AH251" s="703"/>
      <c r="AI251" s="686"/>
      <c r="AJ251" s="686"/>
      <c r="AK251" s="703"/>
      <c r="AL251" s="686"/>
      <c r="AM251" s="703"/>
      <c r="AN251" s="686"/>
      <c r="AO251" s="703"/>
      <c r="AP251" s="686"/>
      <c r="AQ251" s="703"/>
      <c r="AR251" s="686"/>
      <c r="AS251" s="703"/>
      <c r="AT251" s="686"/>
      <c r="AU251" s="686"/>
      <c r="AV251" s="703"/>
      <c r="AW251" s="686"/>
      <c r="AX251" s="703"/>
      <c r="AY251" s="686"/>
      <c r="AZ251" s="703"/>
      <c r="BA251" s="686"/>
      <c r="BB251" s="703"/>
      <c r="BC251" s="686"/>
      <c r="BD251" s="703"/>
      <c r="BE251" s="686"/>
    </row>
    <row r="252" spans="1:57" s="44" customFormat="1">
      <c r="A252" s="690"/>
      <c r="B252" s="690"/>
      <c r="C252" s="690"/>
      <c r="D252" s="825"/>
      <c r="E252" s="686"/>
      <c r="F252" s="825"/>
      <c r="G252" s="686"/>
      <c r="H252" s="825"/>
      <c r="I252" s="686"/>
      <c r="J252" s="825"/>
      <c r="K252" s="686"/>
      <c r="L252" s="825"/>
      <c r="M252" s="686"/>
      <c r="N252" s="686"/>
      <c r="O252" s="825"/>
      <c r="P252" s="686"/>
      <c r="Q252" s="825"/>
      <c r="R252" s="686"/>
      <c r="S252" s="825"/>
      <c r="T252" s="686"/>
      <c r="U252" s="825"/>
      <c r="V252" s="686"/>
      <c r="W252" s="825"/>
      <c r="X252" s="686"/>
      <c r="Y252" s="686"/>
      <c r="Z252" s="703"/>
      <c r="AA252" s="686"/>
      <c r="AB252" s="703"/>
      <c r="AC252" s="686"/>
      <c r="AD252" s="703"/>
      <c r="AE252" s="686"/>
      <c r="AF252" s="703"/>
      <c r="AG252" s="686"/>
      <c r="AH252" s="703"/>
      <c r="AI252" s="686"/>
      <c r="AJ252" s="686"/>
      <c r="AK252" s="703"/>
      <c r="AL252" s="686"/>
      <c r="AM252" s="703"/>
      <c r="AN252" s="686"/>
      <c r="AO252" s="703"/>
      <c r="AP252" s="686"/>
      <c r="AQ252" s="703"/>
      <c r="AR252" s="686"/>
      <c r="AS252" s="703"/>
      <c r="AT252" s="686"/>
      <c r="AU252" s="686"/>
      <c r="AV252" s="703"/>
      <c r="AW252" s="686"/>
      <c r="AX252" s="703"/>
      <c r="AY252" s="686"/>
      <c r="AZ252" s="703"/>
      <c r="BA252" s="686"/>
      <c r="BB252" s="703"/>
      <c r="BC252" s="686"/>
      <c r="BD252" s="703"/>
      <c r="BE252" s="686"/>
    </row>
    <row r="253" spans="1:57" s="44" customFormat="1">
      <c r="A253" s="690"/>
      <c r="B253" s="690"/>
      <c r="C253" s="690"/>
      <c r="D253" s="825"/>
      <c r="E253" s="686"/>
      <c r="F253" s="825"/>
      <c r="G253" s="686"/>
      <c r="H253" s="825"/>
      <c r="I253" s="686"/>
      <c r="J253" s="825"/>
      <c r="K253" s="686"/>
      <c r="L253" s="825"/>
      <c r="M253" s="686"/>
      <c r="N253" s="686"/>
      <c r="O253" s="825"/>
      <c r="P253" s="686"/>
      <c r="Q253" s="825"/>
      <c r="R253" s="686"/>
      <c r="S253" s="825"/>
      <c r="T253" s="686"/>
      <c r="U253" s="825"/>
      <c r="V253" s="686"/>
      <c r="W253" s="825"/>
      <c r="X253" s="686"/>
      <c r="Y253" s="686"/>
      <c r="Z253" s="703"/>
      <c r="AA253" s="686"/>
      <c r="AB253" s="703"/>
      <c r="AC253" s="686"/>
      <c r="AD253" s="703"/>
      <c r="AE253" s="686"/>
      <c r="AF253" s="703"/>
      <c r="AG253" s="686"/>
      <c r="AH253" s="703"/>
      <c r="AI253" s="686"/>
      <c r="AJ253" s="686"/>
      <c r="AK253" s="703"/>
      <c r="AL253" s="686"/>
      <c r="AM253" s="703"/>
      <c r="AN253" s="686"/>
      <c r="AO253" s="703"/>
      <c r="AP253" s="686"/>
      <c r="AQ253" s="703"/>
      <c r="AR253" s="686"/>
      <c r="AS253" s="703"/>
      <c r="AT253" s="686"/>
      <c r="AU253" s="686"/>
      <c r="AV253" s="703"/>
      <c r="AW253" s="686"/>
      <c r="AX253" s="703"/>
      <c r="AY253" s="686"/>
      <c r="AZ253" s="703"/>
      <c r="BA253" s="686"/>
      <c r="BB253" s="703"/>
      <c r="BC253" s="686"/>
      <c r="BD253" s="703"/>
      <c r="BE253" s="686"/>
    </row>
    <row r="254" spans="1:57" s="44" customFormat="1">
      <c r="A254" s="690"/>
      <c r="B254" s="690"/>
      <c r="C254" s="690"/>
      <c r="D254" s="825"/>
      <c r="E254" s="686"/>
      <c r="F254" s="825"/>
      <c r="G254" s="686"/>
      <c r="H254" s="825"/>
      <c r="I254" s="686"/>
      <c r="J254" s="825"/>
      <c r="K254" s="686"/>
      <c r="L254" s="825"/>
      <c r="M254" s="686"/>
      <c r="N254" s="686"/>
      <c r="O254" s="825"/>
      <c r="P254" s="686"/>
      <c r="Q254" s="825"/>
      <c r="R254" s="686"/>
      <c r="S254" s="825"/>
      <c r="T254" s="686"/>
      <c r="U254" s="825"/>
      <c r="V254" s="686"/>
      <c r="W254" s="825"/>
      <c r="X254" s="686"/>
      <c r="Y254" s="686"/>
      <c r="Z254" s="703"/>
      <c r="AA254" s="686"/>
      <c r="AB254" s="703"/>
      <c r="AC254" s="686"/>
      <c r="AD254" s="703"/>
      <c r="AE254" s="686"/>
      <c r="AF254" s="703"/>
      <c r="AG254" s="686"/>
      <c r="AH254" s="703"/>
      <c r="AI254" s="686"/>
      <c r="AJ254" s="686"/>
      <c r="AK254" s="703"/>
      <c r="AL254" s="686"/>
      <c r="AM254" s="703"/>
      <c r="AN254" s="686"/>
      <c r="AO254" s="703"/>
      <c r="AP254" s="686"/>
      <c r="AQ254" s="703"/>
      <c r="AR254" s="686"/>
      <c r="AS254" s="703"/>
      <c r="AT254" s="686"/>
      <c r="AU254" s="686"/>
      <c r="AV254" s="703"/>
      <c r="AW254" s="686"/>
      <c r="AX254" s="703"/>
      <c r="AY254" s="686"/>
      <c r="AZ254" s="703"/>
      <c r="BA254" s="686"/>
      <c r="BB254" s="703"/>
      <c r="BC254" s="686"/>
      <c r="BD254" s="703"/>
      <c r="BE254" s="686"/>
    </row>
    <row r="255" spans="1:57" s="44" customFormat="1">
      <c r="A255" s="690"/>
      <c r="B255" s="690"/>
      <c r="C255" s="690"/>
      <c r="D255" s="825"/>
      <c r="E255" s="686"/>
      <c r="F255" s="825"/>
      <c r="G255" s="686"/>
      <c r="H255" s="825"/>
      <c r="I255" s="686"/>
      <c r="J255" s="825"/>
      <c r="K255" s="686"/>
      <c r="L255" s="825"/>
      <c r="M255" s="686"/>
      <c r="N255" s="686"/>
      <c r="O255" s="825"/>
      <c r="P255" s="686"/>
      <c r="Q255" s="825"/>
      <c r="R255" s="686"/>
      <c r="S255" s="825"/>
      <c r="T255" s="686"/>
      <c r="U255" s="825"/>
      <c r="V255" s="686"/>
      <c r="W255" s="825"/>
      <c r="X255" s="686"/>
      <c r="Y255" s="686"/>
      <c r="Z255" s="703"/>
      <c r="AA255" s="686"/>
      <c r="AB255" s="703"/>
      <c r="AC255" s="686"/>
      <c r="AD255" s="703"/>
      <c r="AE255" s="686"/>
      <c r="AF255" s="703"/>
      <c r="AG255" s="686"/>
      <c r="AH255" s="703"/>
      <c r="AI255" s="686"/>
      <c r="AJ255" s="686"/>
      <c r="AK255" s="703"/>
      <c r="AL255" s="686"/>
      <c r="AM255" s="703"/>
      <c r="AN255" s="686"/>
      <c r="AO255" s="703"/>
      <c r="AP255" s="686"/>
      <c r="AQ255" s="703"/>
      <c r="AR255" s="686"/>
      <c r="AS255" s="703"/>
      <c r="AT255" s="686"/>
      <c r="AU255" s="686"/>
      <c r="AV255" s="703"/>
      <c r="AW255" s="686"/>
      <c r="AX255" s="703"/>
      <c r="AY255" s="686"/>
      <c r="AZ255" s="703"/>
      <c r="BA255" s="686"/>
      <c r="BB255" s="703"/>
      <c r="BC255" s="686"/>
      <c r="BD255" s="703"/>
      <c r="BE255" s="686"/>
    </row>
    <row r="256" spans="1:57" s="44" customFormat="1">
      <c r="A256" s="690"/>
      <c r="B256" s="690"/>
      <c r="C256" s="690"/>
      <c r="D256" s="825"/>
      <c r="E256" s="686"/>
      <c r="F256" s="825"/>
      <c r="G256" s="686"/>
      <c r="H256" s="825"/>
      <c r="I256" s="686"/>
      <c r="J256" s="825"/>
      <c r="K256" s="686"/>
      <c r="L256" s="825"/>
      <c r="M256" s="686"/>
      <c r="N256" s="686"/>
      <c r="O256" s="825"/>
      <c r="P256" s="686"/>
      <c r="Q256" s="825"/>
      <c r="R256" s="686"/>
      <c r="S256" s="825"/>
      <c r="T256" s="686"/>
      <c r="U256" s="825"/>
      <c r="V256" s="686"/>
      <c r="W256" s="825"/>
      <c r="X256" s="686"/>
      <c r="Y256" s="686"/>
      <c r="Z256" s="703"/>
      <c r="AA256" s="686"/>
      <c r="AB256" s="703"/>
      <c r="AC256" s="686"/>
      <c r="AD256" s="703"/>
      <c r="AE256" s="686"/>
      <c r="AF256" s="703"/>
      <c r="AG256" s="686"/>
      <c r="AH256" s="703"/>
      <c r="AI256" s="686"/>
      <c r="AJ256" s="686"/>
      <c r="AK256" s="703"/>
      <c r="AL256" s="686"/>
      <c r="AM256" s="703"/>
      <c r="AN256" s="686"/>
      <c r="AO256" s="703"/>
      <c r="AP256" s="686"/>
      <c r="AQ256" s="703"/>
      <c r="AR256" s="686"/>
      <c r="AS256" s="703"/>
      <c r="AT256" s="686"/>
      <c r="AU256" s="686"/>
      <c r="AV256" s="703"/>
      <c r="AW256" s="686"/>
      <c r="AX256" s="703"/>
      <c r="AY256" s="686"/>
      <c r="AZ256" s="703"/>
      <c r="BA256" s="686"/>
      <c r="BB256" s="703"/>
      <c r="BC256" s="686"/>
      <c r="BD256" s="703"/>
      <c r="BE256" s="686"/>
    </row>
    <row r="257" spans="1:57" s="44" customFormat="1">
      <c r="A257" s="690"/>
      <c r="B257" s="690"/>
      <c r="C257" s="690"/>
      <c r="D257" s="825"/>
      <c r="E257" s="686"/>
      <c r="F257" s="825"/>
      <c r="G257" s="686"/>
      <c r="H257" s="825"/>
      <c r="I257" s="686"/>
      <c r="J257" s="825"/>
      <c r="K257" s="686"/>
      <c r="L257" s="825"/>
      <c r="M257" s="686"/>
      <c r="N257" s="686"/>
      <c r="O257" s="825"/>
      <c r="P257" s="686"/>
      <c r="Q257" s="825"/>
      <c r="R257" s="686"/>
      <c r="S257" s="825"/>
      <c r="T257" s="686"/>
      <c r="U257" s="825"/>
      <c r="V257" s="686"/>
      <c r="W257" s="825"/>
      <c r="X257" s="686"/>
      <c r="Y257" s="686"/>
      <c r="Z257" s="703"/>
      <c r="AA257" s="686"/>
      <c r="AB257" s="703"/>
      <c r="AC257" s="686"/>
      <c r="AD257" s="703"/>
      <c r="AE257" s="686"/>
      <c r="AF257" s="703"/>
      <c r="AG257" s="686"/>
      <c r="AH257" s="703"/>
      <c r="AI257" s="686"/>
      <c r="AJ257" s="686"/>
      <c r="AK257" s="703"/>
      <c r="AL257" s="686"/>
      <c r="AM257" s="703"/>
      <c r="AN257" s="686"/>
      <c r="AO257" s="703"/>
      <c r="AP257" s="686"/>
      <c r="AQ257" s="703"/>
      <c r="AR257" s="686"/>
      <c r="AS257" s="703"/>
      <c r="AT257" s="686"/>
      <c r="AU257" s="686"/>
      <c r="AV257" s="703"/>
      <c r="AW257" s="686"/>
      <c r="AX257" s="703"/>
      <c r="AY257" s="686"/>
      <c r="AZ257" s="703"/>
      <c r="BA257" s="686"/>
      <c r="BB257" s="703"/>
      <c r="BC257" s="686"/>
      <c r="BD257" s="703"/>
      <c r="BE257" s="686"/>
    </row>
    <row r="258" spans="1:57" s="44" customFormat="1">
      <c r="A258" s="690"/>
      <c r="B258" s="690"/>
      <c r="C258" s="690"/>
      <c r="D258" s="825"/>
      <c r="E258" s="686"/>
      <c r="F258" s="825"/>
      <c r="G258" s="686"/>
      <c r="H258" s="825"/>
      <c r="I258" s="686"/>
      <c r="J258" s="825"/>
      <c r="K258" s="686"/>
      <c r="L258" s="825"/>
      <c r="M258" s="686"/>
      <c r="N258" s="686"/>
      <c r="O258" s="825"/>
      <c r="P258" s="686"/>
      <c r="Q258" s="825"/>
      <c r="R258" s="686"/>
      <c r="S258" s="825"/>
      <c r="T258" s="686"/>
      <c r="U258" s="825"/>
      <c r="V258" s="686"/>
      <c r="W258" s="825"/>
      <c r="X258" s="686"/>
      <c r="Y258" s="686"/>
      <c r="Z258" s="703"/>
      <c r="AA258" s="686"/>
      <c r="AB258" s="703"/>
      <c r="AC258" s="686"/>
      <c r="AD258" s="703"/>
      <c r="AE258" s="686"/>
      <c r="AF258" s="703"/>
      <c r="AG258" s="686"/>
      <c r="AH258" s="703"/>
      <c r="AI258" s="686"/>
      <c r="AJ258" s="686"/>
      <c r="AK258" s="703"/>
      <c r="AL258" s="686"/>
      <c r="AM258" s="703"/>
      <c r="AN258" s="686"/>
      <c r="AO258" s="703"/>
      <c r="AP258" s="686"/>
      <c r="AQ258" s="703"/>
      <c r="AR258" s="686"/>
      <c r="AS258" s="703"/>
      <c r="AT258" s="686"/>
      <c r="AU258" s="686"/>
      <c r="AV258" s="703"/>
      <c r="AW258" s="686"/>
      <c r="AX258" s="703"/>
      <c r="AY258" s="686"/>
      <c r="AZ258" s="703"/>
      <c r="BA258" s="686"/>
      <c r="BB258" s="703"/>
      <c r="BC258" s="686"/>
      <c r="BD258" s="703"/>
      <c r="BE258" s="686"/>
    </row>
    <row r="259" spans="1:57" s="44" customFormat="1">
      <c r="A259" s="690"/>
      <c r="B259" s="690"/>
      <c r="C259" s="690"/>
      <c r="D259" s="825"/>
      <c r="E259" s="686"/>
      <c r="F259" s="825"/>
      <c r="G259" s="686"/>
      <c r="H259" s="825"/>
      <c r="I259" s="686"/>
      <c r="J259" s="825"/>
      <c r="K259" s="686"/>
      <c r="L259" s="825"/>
      <c r="M259" s="686"/>
      <c r="N259" s="686"/>
      <c r="O259" s="825"/>
      <c r="P259" s="686"/>
      <c r="Q259" s="825"/>
      <c r="R259" s="686"/>
      <c r="S259" s="825"/>
      <c r="T259" s="686"/>
      <c r="U259" s="825"/>
      <c r="V259" s="686"/>
      <c r="W259" s="825"/>
      <c r="X259" s="686"/>
      <c r="Y259" s="686"/>
      <c r="Z259" s="703"/>
      <c r="AA259" s="686"/>
      <c r="AB259" s="703"/>
      <c r="AC259" s="686"/>
      <c r="AD259" s="703"/>
      <c r="AE259" s="686"/>
      <c r="AF259" s="703"/>
      <c r="AG259" s="686"/>
      <c r="AH259" s="703"/>
      <c r="AI259" s="686"/>
      <c r="AJ259" s="686"/>
      <c r="AK259" s="703"/>
      <c r="AL259" s="686"/>
      <c r="AM259" s="703"/>
      <c r="AN259" s="686"/>
      <c r="AO259" s="703"/>
      <c r="AP259" s="686"/>
      <c r="AQ259" s="703"/>
      <c r="AR259" s="686"/>
      <c r="AS259" s="703"/>
      <c r="AT259" s="686"/>
      <c r="AU259" s="686"/>
      <c r="AV259" s="703"/>
      <c r="AW259" s="686"/>
      <c r="AX259" s="703"/>
      <c r="AY259" s="686"/>
      <c r="AZ259" s="703"/>
      <c r="BA259" s="686"/>
      <c r="BB259" s="703"/>
      <c r="BC259" s="686"/>
      <c r="BD259" s="703"/>
      <c r="BE259" s="686"/>
    </row>
    <row r="260" spans="1:57" s="44" customFormat="1">
      <c r="A260" s="690"/>
      <c r="B260" s="690"/>
      <c r="C260" s="690"/>
      <c r="D260" s="825"/>
      <c r="E260" s="686"/>
      <c r="F260" s="825"/>
      <c r="G260" s="686"/>
      <c r="H260" s="825"/>
      <c r="I260" s="686"/>
      <c r="J260" s="825"/>
      <c r="K260" s="686"/>
      <c r="L260" s="825"/>
      <c r="M260" s="686"/>
      <c r="N260" s="686"/>
      <c r="O260" s="825"/>
      <c r="P260" s="686"/>
      <c r="Q260" s="825"/>
      <c r="R260" s="686"/>
      <c r="S260" s="825"/>
      <c r="T260" s="686"/>
      <c r="U260" s="825"/>
      <c r="V260" s="686"/>
      <c r="W260" s="825"/>
      <c r="X260" s="686"/>
      <c r="Y260" s="686"/>
      <c r="Z260" s="703"/>
      <c r="AA260" s="686"/>
      <c r="AB260" s="703"/>
      <c r="AC260" s="686"/>
      <c r="AD260" s="703"/>
      <c r="AE260" s="686"/>
      <c r="AF260" s="703"/>
      <c r="AG260" s="686"/>
      <c r="AH260" s="703"/>
      <c r="AI260" s="686"/>
      <c r="AJ260" s="686"/>
      <c r="AK260" s="703"/>
      <c r="AL260" s="686"/>
      <c r="AM260" s="703"/>
      <c r="AN260" s="686"/>
      <c r="AO260" s="703"/>
      <c r="AP260" s="686"/>
      <c r="AQ260" s="703"/>
      <c r="AR260" s="686"/>
      <c r="AS260" s="703"/>
      <c r="AT260" s="686"/>
      <c r="AU260" s="686"/>
      <c r="AV260" s="703"/>
      <c r="AW260" s="686"/>
      <c r="AX260" s="703"/>
      <c r="AY260" s="686"/>
      <c r="AZ260" s="703"/>
      <c r="BA260" s="686"/>
      <c r="BB260" s="703"/>
      <c r="BC260" s="686"/>
      <c r="BD260" s="703"/>
      <c r="BE260" s="686"/>
    </row>
    <row r="261" spans="1:57" s="44" customFormat="1">
      <c r="A261" s="690"/>
      <c r="B261" s="690"/>
      <c r="C261" s="690"/>
      <c r="D261" s="825"/>
      <c r="E261" s="686"/>
      <c r="F261" s="825"/>
      <c r="G261" s="686"/>
      <c r="H261" s="825"/>
      <c r="I261" s="686"/>
      <c r="J261" s="825"/>
      <c r="K261" s="686"/>
      <c r="L261" s="825"/>
      <c r="M261" s="686"/>
      <c r="N261" s="686"/>
      <c r="O261" s="825"/>
      <c r="P261" s="686"/>
      <c r="Q261" s="825"/>
      <c r="R261" s="686"/>
      <c r="S261" s="825"/>
      <c r="T261" s="686"/>
      <c r="U261" s="825"/>
      <c r="V261" s="686"/>
      <c r="W261" s="825"/>
      <c r="X261" s="686"/>
      <c r="Y261" s="686"/>
      <c r="Z261" s="703"/>
      <c r="AA261" s="686"/>
      <c r="AB261" s="703"/>
      <c r="AC261" s="686"/>
      <c r="AD261" s="703"/>
      <c r="AE261" s="686"/>
      <c r="AF261" s="703"/>
      <c r="AG261" s="686"/>
      <c r="AH261" s="703"/>
      <c r="AI261" s="686"/>
      <c r="AJ261" s="686"/>
      <c r="AK261" s="703"/>
      <c r="AL261" s="686"/>
      <c r="AM261" s="703"/>
      <c r="AN261" s="686"/>
      <c r="AO261" s="703"/>
      <c r="AP261" s="686"/>
      <c r="AQ261" s="703"/>
      <c r="AR261" s="686"/>
      <c r="AS261" s="703"/>
      <c r="AT261" s="686"/>
      <c r="AU261" s="686"/>
      <c r="AV261" s="703"/>
      <c r="AW261" s="686"/>
      <c r="AX261" s="703"/>
      <c r="AY261" s="686"/>
      <c r="AZ261" s="703"/>
      <c r="BA261" s="686"/>
      <c r="BB261" s="703"/>
      <c r="BC261" s="686"/>
      <c r="BD261" s="703"/>
      <c r="BE261" s="686"/>
    </row>
    <row r="262" spans="1:57" s="44" customFormat="1">
      <c r="A262" s="690"/>
      <c r="B262" s="690"/>
      <c r="C262" s="690"/>
      <c r="D262" s="825"/>
      <c r="E262" s="686"/>
      <c r="F262" s="825"/>
      <c r="G262" s="686"/>
      <c r="H262" s="825"/>
      <c r="I262" s="686"/>
      <c r="J262" s="825"/>
      <c r="K262" s="686"/>
      <c r="L262" s="825"/>
      <c r="M262" s="686"/>
      <c r="N262" s="686"/>
      <c r="O262" s="825"/>
      <c r="P262" s="686"/>
      <c r="Q262" s="825"/>
      <c r="R262" s="686"/>
      <c r="S262" s="825"/>
      <c r="T262" s="686"/>
      <c r="U262" s="825"/>
      <c r="V262" s="686"/>
      <c r="W262" s="825"/>
      <c r="X262" s="686"/>
      <c r="Y262" s="686"/>
      <c r="Z262" s="703"/>
      <c r="AA262" s="686"/>
      <c r="AB262" s="703"/>
      <c r="AC262" s="686"/>
      <c r="AD262" s="703"/>
      <c r="AE262" s="686"/>
      <c r="AF262" s="703"/>
      <c r="AG262" s="686"/>
      <c r="AH262" s="703"/>
      <c r="AI262" s="686"/>
      <c r="AJ262" s="686"/>
      <c r="AK262" s="703"/>
      <c r="AL262" s="686"/>
      <c r="AM262" s="703"/>
      <c r="AN262" s="686"/>
      <c r="AO262" s="703"/>
      <c r="AP262" s="686"/>
      <c r="AQ262" s="703"/>
      <c r="AR262" s="686"/>
      <c r="AS262" s="703"/>
      <c r="AT262" s="686"/>
      <c r="AU262" s="686"/>
      <c r="AV262" s="703"/>
      <c r="AW262" s="686"/>
      <c r="AX262" s="703"/>
      <c r="AY262" s="686"/>
      <c r="AZ262" s="703"/>
      <c r="BA262" s="686"/>
      <c r="BB262" s="703"/>
      <c r="BC262" s="686"/>
      <c r="BD262" s="703"/>
      <c r="BE262" s="686"/>
    </row>
    <row r="263" spans="1:57" s="44" customFormat="1">
      <c r="A263" s="690"/>
      <c r="B263" s="690"/>
      <c r="C263" s="690"/>
      <c r="D263" s="825"/>
      <c r="E263" s="686"/>
      <c r="F263" s="825"/>
      <c r="G263" s="686"/>
      <c r="H263" s="825"/>
      <c r="I263" s="686"/>
      <c r="J263" s="825"/>
      <c r="K263" s="686"/>
      <c r="L263" s="825"/>
      <c r="M263" s="686"/>
      <c r="N263" s="686"/>
      <c r="O263" s="825"/>
      <c r="P263" s="686"/>
      <c r="Q263" s="825"/>
      <c r="R263" s="686"/>
      <c r="S263" s="825"/>
      <c r="T263" s="686"/>
      <c r="U263" s="825"/>
      <c r="V263" s="686"/>
      <c r="W263" s="825"/>
      <c r="X263" s="686"/>
      <c r="Y263" s="686"/>
      <c r="Z263" s="703"/>
      <c r="AA263" s="686"/>
      <c r="AB263" s="703"/>
      <c r="AC263" s="686"/>
      <c r="AD263" s="703"/>
      <c r="AE263" s="686"/>
      <c r="AF263" s="703"/>
      <c r="AG263" s="686"/>
      <c r="AH263" s="703"/>
      <c r="AI263" s="686"/>
      <c r="AJ263" s="686"/>
      <c r="AK263" s="703"/>
      <c r="AL263" s="686"/>
      <c r="AM263" s="703"/>
      <c r="AN263" s="686"/>
      <c r="AO263" s="703"/>
      <c r="AP263" s="686"/>
      <c r="AQ263" s="703"/>
      <c r="AR263" s="686"/>
      <c r="AS263" s="703"/>
      <c r="AT263" s="686"/>
      <c r="AU263" s="686"/>
      <c r="AV263" s="703"/>
      <c r="AW263" s="686"/>
      <c r="AX263" s="703"/>
      <c r="AY263" s="686"/>
      <c r="AZ263" s="703"/>
      <c r="BA263" s="686"/>
      <c r="BB263" s="703"/>
      <c r="BC263" s="686"/>
      <c r="BD263" s="703"/>
      <c r="BE263" s="686"/>
    </row>
    <row r="264" spans="1:57" s="44" customFormat="1">
      <c r="A264" s="690"/>
      <c r="B264" s="690"/>
      <c r="C264" s="690"/>
      <c r="D264" s="825"/>
      <c r="E264" s="686"/>
      <c r="F264" s="825"/>
      <c r="G264" s="686"/>
      <c r="H264" s="825"/>
      <c r="I264" s="686"/>
      <c r="J264" s="825"/>
      <c r="K264" s="686"/>
      <c r="L264" s="825"/>
      <c r="M264" s="686"/>
      <c r="N264" s="686"/>
      <c r="O264" s="825"/>
      <c r="P264" s="686"/>
      <c r="Q264" s="825"/>
      <c r="R264" s="686"/>
      <c r="S264" s="825"/>
      <c r="T264" s="686"/>
      <c r="U264" s="825"/>
      <c r="V264" s="686"/>
      <c r="W264" s="825"/>
      <c r="X264" s="686"/>
      <c r="Y264" s="686"/>
      <c r="Z264" s="703"/>
      <c r="AA264" s="686"/>
      <c r="AB264" s="703"/>
      <c r="AC264" s="686"/>
      <c r="AD264" s="703"/>
      <c r="AE264" s="686"/>
      <c r="AF264" s="703"/>
      <c r="AG264" s="686"/>
      <c r="AH264" s="703"/>
      <c r="AI264" s="686"/>
      <c r="AJ264" s="686"/>
      <c r="AK264" s="703"/>
      <c r="AL264" s="686"/>
      <c r="AM264" s="703"/>
      <c r="AN264" s="686"/>
      <c r="AO264" s="703"/>
      <c r="AP264" s="686"/>
      <c r="AQ264" s="703"/>
      <c r="AR264" s="686"/>
      <c r="AS264" s="703"/>
      <c r="AT264" s="686"/>
      <c r="AU264" s="686"/>
      <c r="AV264" s="703"/>
      <c r="AW264" s="686"/>
      <c r="AX264" s="703"/>
      <c r="AY264" s="686"/>
      <c r="AZ264" s="703"/>
      <c r="BA264" s="686"/>
      <c r="BB264" s="703"/>
      <c r="BC264" s="686"/>
      <c r="BD264" s="703"/>
      <c r="BE264" s="686"/>
    </row>
    <row r="265" spans="1:57" s="44" customFormat="1">
      <c r="A265" s="690"/>
      <c r="B265" s="690"/>
      <c r="C265" s="690"/>
      <c r="D265" s="825"/>
      <c r="E265" s="686"/>
      <c r="F265" s="825"/>
      <c r="G265" s="686"/>
      <c r="H265" s="825"/>
      <c r="I265" s="686"/>
      <c r="J265" s="825"/>
      <c r="K265" s="686"/>
      <c r="L265" s="825"/>
      <c r="M265" s="686"/>
      <c r="N265" s="686"/>
      <c r="O265" s="825"/>
      <c r="P265" s="686"/>
      <c r="Q265" s="825"/>
      <c r="R265" s="686"/>
      <c r="S265" s="825"/>
      <c r="T265" s="686"/>
      <c r="U265" s="825"/>
      <c r="V265" s="686"/>
      <c r="W265" s="825"/>
      <c r="X265" s="686"/>
      <c r="Y265" s="686"/>
      <c r="Z265" s="703"/>
      <c r="AA265" s="686"/>
      <c r="AB265" s="703"/>
      <c r="AC265" s="686"/>
      <c r="AD265" s="703"/>
      <c r="AE265" s="686"/>
      <c r="AF265" s="703"/>
      <c r="AG265" s="686"/>
      <c r="AH265" s="703"/>
      <c r="AI265" s="686"/>
      <c r="AJ265" s="686"/>
      <c r="AK265" s="703"/>
      <c r="AL265" s="686"/>
      <c r="AM265" s="703"/>
      <c r="AN265" s="686"/>
      <c r="AO265" s="703"/>
      <c r="AP265" s="686"/>
      <c r="AQ265" s="703"/>
      <c r="AR265" s="686"/>
      <c r="AS265" s="703"/>
      <c r="AT265" s="686"/>
      <c r="AU265" s="686"/>
      <c r="AV265" s="703"/>
      <c r="AW265" s="686"/>
      <c r="AX265" s="703"/>
      <c r="AY265" s="686"/>
      <c r="AZ265" s="703"/>
      <c r="BA265" s="686"/>
      <c r="BB265" s="703"/>
      <c r="BC265" s="686"/>
      <c r="BD265" s="703"/>
      <c r="BE265" s="686"/>
    </row>
    <row r="266" spans="1:57" s="44" customFormat="1">
      <c r="A266" s="690"/>
      <c r="B266" s="690"/>
      <c r="C266" s="690"/>
      <c r="D266" s="825"/>
      <c r="E266" s="686"/>
      <c r="F266" s="825"/>
      <c r="G266" s="686"/>
      <c r="H266" s="825"/>
      <c r="I266" s="686"/>
      <c r="J266" s="825"/>
      <c r="K266" s="686"/>
      <c r="L266" s="825"/>
      <c r="M266" s="686"/>
      <c r="N266" s="686"/>
      <c r="O266" s="825"/>
      <c r="P266" s="686"/>
      <c r="Q266" s="825"/>
      <c r="R266" s="686"/>
      <c r="S266" s="825"/>
      <c r="T266" s="686"/>
      <c r="U266" s="825"/>
      <c r="V266" s="686"/>
      <c r="W266" s="825"/>
      <c r="X266" s="686"/>
      <c r="Y266" s="686"/>
      <c r="Z266" s="703"/>
      <c r="AA266" s="686"/>
      <c r="AB266" s="703"/>
      <c r="AC266" s="686"/>
      <c r="AD266" s="703"/>
      <c r="AE266" s="686"/>
      <c r="AF266" s="703"/>
      <c r="AG266" s="686"/>
      <c r="AH266" s="703"/>
      <c r="AI266" s="686"/>
      <c r="AJ266" s="686"/>
      <c r="AK266" s="703"/>
      <c r="AL266" s="686"/>
      <c r="AM266" s="703"/>
      <c r="AN266" s="686"/>
      <c r="AO266" s="703"/>
      <c r="AP266" s="686"/>
      <c r="AQ266" s="703"/>
      <c r="AR266" s="686"/>
      <c r="AS266" s="703"/>
      <c r="AT266" s="686"/>
      <c r="AU266" s="686"/>
      <c r="AV266" s="703"/>
      <c r="AW266" s="686"/>
      <c r="AX266" s="703"/>
      <c r="AY266" s="686"/>
      <c r="AZ266" s="703"/>
      <c r="BA266" s="686"/>
      <c r="BB266" s="703"/>
      <c r="BC266" s="686"/>
      <c r="BD266" s="703"/>
      <c r="BE266" s="686"/>
    </row>
    <row r="267" spans="1:57" s="44" customFormat="1">
      <c r="A267" s="690"/>
      <c r="B267" s="690"/>
      <c r="C267" s="690"/>
      <c r="D267" s="825"/>
      <c r="E267" s="686"/>
      <c r="F267" s="825"/>
      <c r="G267" s="686"/>
      <c r="H267" s="825"/>
      <c r="I267" s="686"/>
      <c r="J267" s="825"/>
      <c r="K267" s="686"/>
      <c r="L267" s="825"/>
      <c r="M267" s="686"/>
      <c r="N267" s="686"/>
      <c r="O267" s="825"/>
      <c r="P267" s="686"/>
      <c r="Q267" s="825"/>
      <c r="R267" s="686"/>
      <c r="S267" s="825"/>
      <c r="T267" s="686"/>
      <c r="U267" s="825"/>
      <c r="V267" s="686"/>
      <c r="W267" s="825"/>
      <c r="X267" s="686"/>
      <c r="Y267" s="686"/>
      <c r="Z267" s="703"/>
      <c r="AA267" s="686"/>
      <c r="AB267" s="703"/>
      <c r="AC267" s="686"/>
      <c r="AD267" s="703"/>
      <c r="AE267" s="686"/>
      <c r="AF267" s="703"/>
      <c r="AG267" s="686"/>
      <c r="AH267" s="703"/>
      <c r="AI267" s="686"/>
      <c r="AJ267" s="686"/>
      <c r="AK267" s="703"/>
      <c r="AL267" s="686"/>
      <c r="AM267" s="703"/>
      <c r="AN267" s="686"/>
      <c r="AO267" s="703"/>
      <c r="AP267" s="686"/>
      <c r="AQ267" s="703"/>
      <c r="AR267" s="686"/>
      <c r="AS267" s="703"/>
      <c r="AT267" s="686"/>
      <c r="AU267" s="686"/>
      <c r="AV267" s="703"/>
      <c r="AW267" s="686"/>
      <c r="AX267" s="703"/>
      <c r="AY267" s="686"/>
      <c r="AZ267" s="703"/>
      <c r="BA267" s="686"/>
      <c r="BB267" s="703"/>
      <c r="BC267" s="686"/>
      <c r="BD267" s="703"/>
      <c r="BE267" s="686"/>
    </row>
    <row r="268" spans="1:57" s="44" customFormat="1">
      <c r="A268" s="690"/>
      <c r="B268" s="690"/>
      <c r="C268" s="690"/>
      <c r="D268" s="825"/>
      <c r="E268" s="686"/>
      <c r="F268" s="825"/>
      <c r="G268" s="686"/>
      <c r="H268" s="825"/>
      <c r="I268" s="686"/>
      <c r="J268" s="825"/>
      <c r="K268" s="686"/>
      <c r="L268" s="825"/>
      <c r="M268" s="686"/>
      <c r="N268" s="686"/>
      <c r="O268" s="825"/>
      <c r="P268" s="686"/>
      <c r="Q268" s="825"/>
      <c r="R268" s="686"/>
      <c r="S268" s="825"/>
      <c r="T268" s="686"/>
      <c r="U268" s="825"/>
      <c r="V268" s="686"/>
      <c r="W268" s="825"/>
      <c r="X268" s="686"/>
      <c r="Y268" s="686"/>
      <c r="Z268" s="703"/>
      <c r="AA268" s="686"/>
      <c r="AB268" s="703"/>
      <c r="AC268" s="686"/>
      <c r="AD268" s="703"/>
      <c r="AE268" s="686"/>
      <c r="AF268" s="703"/>
      <c r="AG268" s="686"/>
      <c r="AH268" s="703"/>
      <c r="AI268" s="686"/>
      <c r="AJ268" s="686"/>
      <c r="AK268" s="703"/>
      <c r="AL268" s="686"/>
      <c r="AM268" s="703"/>
      <c r="AN268" s="686"/>
      <c r="AO268" s="703"/>
      <c r="AP268" s="686"/>
      <c r="AQ268" s="703"/>
      <c r="AR268" s="686"/>
      <c r="AS268" s="703"/>
      <c r="AT268" s="686"/>
      <c r="AU268" s="686"/>
      <c r="AV268" s="703"/>
      <c r="AW268" s="686"/>
      <c r="AX268" s="703"/>
      <c r="AY268" s="686"/>
      <c r="AZ268" s="703"/>
      <c r="BA268" s="686"/>
      <c r="BB268" s="703"/>
      <c r="BC268" s="686"/>
      <c r="BD268" s="703"/>
      <c r="BE268" s="686"/>
    </row>
    <row r="269" spans="1:57" s="44" customFormat="1">
      <c r="A269" s="690"/>
      <c r="B269" s="690"/>
      <c r="C269" s="690"/>
      <c r="D269" s="825"/>
      <c r="E269" s="686"/>
      <c r="F269" s="825"/>
      <c r="G269" s="686"/>
      <c r="H269" s="825"/>
      <c r="I269" s="686"/>
      <c r="J269" s="825"/>
      <c r="K269" s="686"/>
      <c r="L269" s="825"/>
      <c r="M269" s="686"/>
      <c r="N269" s="686"/>
      <c r="O269" s="825"/>
      <c r="P269" s="686"/>
      <c r="Q269" s="825"/>
      <c r="R269" s="686"/>
      <c r="S269" s="825"/>
      <c r="T269" s="686"/>
      <c r="U269" s="825"/>
      <c r="V269" s="686"/>
      <c r="W269" s="825"/>
      <c r="X269" s="686"/>
      <c r="Y269" s="686"/>
      <c r="Z269" s="703"/>
      <c r="AA269" s="686"/>
      <c r="AB269" s="703"/>
      <c r="AC269" s="686"/>
      <c r="AD269" s="703"/>
      <c r="AE269" s="686"/>
      <c r="AF269" s="703"/>
      <c r="AG269" s="686"/>
      <c r="AH269" s="703"/>
      <c r="AI269" s="686"/>
      <c r="AJ269" s="686"/>
      <c r="AK269" s="703"/>
      <c r="AL269" s="686"/>
      <c r="AM269" s="703"/>
      <c r="AN269" s="686"/>
      <c r="AO269" s="703"/>
      <c r="AP269" s="686"/>
      <c r="AQ269" s="703"/>
      <c r="AR269" s="686"/>
      <c r="AS269" s="703"/>
      <c r="AT269" s="686"/>
      <c r="AU269" s="686"/>
      <c r="AV269" s="703"/>
      <c r="AW269" s="686"/>
      <c r="AX269" s="703"/>
      <c r="AY269" s="686"/>
      <c r="AZ269" s="703"/>
      <c r="BA269" s="686"/>
      <c r="BB269" s="703"/>
      <c r="BC269" s="686"/>
      <c r="BD269" s="703"/>
      <c r="BE269" s="686"/>
    </row>
    <row r="270" spans="1:57" s="44" customFormat="1">
      <c r="A270" s="690"/>
      <c r="B270" s="690"/>
      <c r="C270" s="690"/>
      <c r="D270" s="825"/>
      <c r="E270" s="686"/>
      <c r="F270" s="825"/>
      <c r="G270" s="686"/>
      <c r="H270" s="825"/>
      <c r="I270" s="686"/>
      <c r="J270" s="825"/>
      <c r="K270" s="686"/>
      <c r="L270" s="825"/>
      <c r="M270" s="686"/>
      <c r="N270" s="686"/>
      <c r="O270" s="825"/>
      <c r="P270" s="686"/>
      <c r="Q270" s="825"/>
      <c r="R270" s="686"/>
      <c r="S270" s="825"/>
      <c r="T270" s="686"/>
      <c r="U270" s="825"/>
      <c r="V270" s="686"/>
      <c r="W270" s="825"/>
      <c r="X270" s="686"/>
      <c r="Y270" s="686"/>
      <c r="Z270" s="703"/>
      <c r="AA270" s="686"/>
      <c r="AB270" s="703"/>
      <c r="AC270" s="686"/>
      <c r="AD270" s="703"/>
      <c r="AE270" s="686"/>
      <c r="AF270" s="703"/>
      <c r="AG270" s="686"/>
      <c r="AH270" s="703"/>
      <c r="AI270" s="686"/>
      <c r="AJ270" s="686"/>
      <c r="AK270" s="703"/>
      <c r="AL270" s="686"/>
      <c r="AM270" s="703"/>
      <c r="AN270" s="686"/>
      <c r="AO270" s="703"/>
      <c r="AP270" s="686"/>
      <c r="AQ270" s="703"/>
      <c r="AR270" s="686"/>
      <c r="AS270" s="703"/>
      <c r="AT270" s="686"/>
      <c r="AU270" s="686"/>
      <c r="AV270" s="703"/>
      <c r="AW270" s="686"/>
      <c r="AX270" s="703"/>
      <c r="AY270" s="686"/>
      <c r="AZ270" s="703"/>
      <c r="BA270" s="686"/>
      <c r="BB270" s="703"/>
      <c r="BC270" s="686"/>
      <c r="BD270" s="703"/>
      <c r="BE270" s="686"/>
    </row>
    <row r="271" spans="1:57" s="44" customFormat="1">
      <c r="A271" s="690"/>
      <c r="B271" s="690"/>
      <c r="C271" s="690"/>
      <c r="D271" s="825"/>
      <c r="E271" s="686"/>
      <c r="F271" s="825"/>
      <c r="G271" s="686"/>
      <c r="H271" s="825"/>
      <c r="I271" s="686"/>
      <c r="J271" s="825"/>
      <c r="K271" s="686"/>
      <c r="L271" s="825"/>
      <c r="M271" s="686"/>
      <c r="N271" s="686"/>
      <c r="O271" s="825"/>
      <c r="P271" s="686"/>
      <c r="Q271" s="825"/>
      <c r="R271" s="686"/>
      <c r="S271" s="825"/>
      <c r="T271" s="686"/>
      <c r="U271" s="825"/>
      <c r="V271" s="686"/>
      <c r="W271" s="825"/>
      <c r="X271" s="686"/>
      <c r="Y271" s="686"/>
      <c r="Z271" s="703"/>
      <c r="AA271" s="686"/>
      <c r="AB271" s="703"/>
      <c r="AC271" s="686"/>
      <c r="AD271" s="703"/>
      <c r="AE271" s="686"/>
      <c r="AF271" s="703"/>
      <c r="AG271" s="686"/>
      <c r="AH271" s="703"/>
      <c r="AI271" s="686"/>
      <c r="AJ271" s="686"/>
      <c r="AK271" s="703"/>
      <c r="AL271" s="686"/>
      <c r="AM271" s="703"/>
      <c r="AN271" s="686"/>
      <c r="AO271" s="703"/>
      <c r="AP271" s="686"/>
      <c r="AQ271" s="703"/>
      <c r="AR271" s="686"/>
      <c r="AS271" s="703"/>
      <c r="AT271" s="686"/>
      <c r="AU271" s="686"/>
      <c r="AV271" s="703"/>
      <c r="AW271" s="686"/>
      <c r="AX271" s="703"/>
      <c r="AY271" s="686"/>
      <c r="AZ271" s="703"/>
      <c r="BA271" s="686"/>
      <c r="BB271" s="703"/>
      <c r="BC271" s="686"/>
      <c r="BD271" s="703"/>
      <c r="BE271" s="686"/>
    </row>
    <row r="272" spans="1:57" s="44" customFormat="1">
      <c r="A272" s="690"/>
      <c r="B272" s="690"/>
      <c r="C272" s="690"/>
      <c r="D272" s="825"/>
      <c r="E272" s="686"/>
      <c r="F272" s="825"/>
      <c r="G272" s="686"/>
      <c r="H272" s="825"/>
      <c r="I272" s="686"/>
      <c r="J272" s="825"/>
      <c r="K272" s="686"/>
      <c r="L272" s="825"/>
      <c r="M272" s="686"/>
      <c r="N272" s="686"/>
      <c r="O272" s="825"/>
      <c r="P272" s="686"/>
      <c r="Q272" s="825"/>
      <c r="R272" s="686"/>
      <c r="S272" s="825"/>
      <c r="T272" s="686"/>
      <c r="U272" s="825"/>
      <c r="V272" s="686"/>
      <c r="W272" s="825"/>
      <c r="X272" s="686"/>
      <c r="Y272" s="686"/>
      <c r="Z272" s="703"/>
      <c r="AA272" s="686"/>
      <c r="AB272" s="703"/>
      <c r="AC272" s="686"/>
      <c r="AD272" s="703"/>
      <c r="AE272" s="686"/>
      <c r="AF272" s="703"/>
      <c r="AG272" s="686"/>
      <c r="AH272" s="703"/>
      <c r="AI272" s="686"/>
      <c r="AJ272" s="686"/>
      <c r="AK272" s="703"/>
      <c r="AL272" s="686"/>
      <c r="AM272" s="703"/>
      <c r="AN272" s="686"/>
      <c r="AO272" s="703"/>
      <c r="AP272" s="686"/>
      <c r="AQ272" s="703"/>
      <c r="AR272" s="686"/>
      <c r="AS272" s="703"/>
      <c r="AT272" s="686"/>
      <c r="AU272" s="686"/>
      <c r="AV272" s="703"/>
      <c r="AW272" s="686"/>
      <c r="AX272" s="703"/>
      <c r="AY272" s="686"/>
      <c r="AZ272" s="703"/>
      <c r="BA272" s="686"/>
      <c r="BB272" s="703"/>
      <c r="BC272" s="686"/>
      <c r="BD272" s="703"/>
      <c r="BE272" s="686"/>
    </row>
    <row r="273" spans="1:57" s="44" customFormat="1">
      <c r="A273" s="690"/>
      <c r="B273" s="690"/>
      <c r="C273" s="690"/>
      <c r="D273" s="825"/>
      <c r="E273" s="686"/>
      <c r="F273" s="825"/>
      <c r="G273" s="686"/>
      <c r="H273" s="825"/>
      <c r="I273" s="686"/>
      <c r="J273" s="825"/>
      <c r="K273" s="686"/>
      <c r="L273" s="825"/>
      <c r="M273" s="686"/>
      <c r="N273" s="686"/>
      <c r="O273" s="825"/>
      <c r="P273" s="686"/>
      <c r="Q273" s="825"/>
      <c r="R273" s="686"/>
      <c r="S273" s="825"/>
      <c r="T273" s="686"/>
      <c r="U273" s="825"/>
      <c r="V273" s="686"/>
      <c r="W273" s="825"/>
      <c r="X273" s="686"/>
      <c r="Y273" s="686"/>
      <c r="Z273" s="703"/>
      <c r="AA273" s="686"/>
      <c r="AB273" s="703"/>
      <c r="AC273" s="686"/>
      <c r="AD273" s="703"/>
      <c r="AE273" s="686"/>
      <c r="AF273" s="703"/>
      <c r="AG273" s="686"/>
      <c r="AH273" s="703"/>
      <c r="AI273" s="686"/>
      <c r="AJ273" s="686"/>
      <c r="AK273" s="703"/>
      <c r="AL273" s="686"/>
      <c r="AM273" s="703"/>
      <c r="AN273" s="686"/>
      <c r="AO273" s="703"/>
      <c r="AP273" s="686"/>
      <c r="AQ273" s="703"/>
      <c r="AR273" s="686"/>
      <c r="AS273" s="703"/>
      <c r="AT273" s="686"/>
      <c r="AU273" s="686"/>
      <c r="AV273" s="703"/>
      <c r="AW273" s="686"/>
      <c r="AX273" s="703"/>
      <c r="AY273" s="686"/>
      <c r="AZ273" s="703"/>
      <c r="BA273" s="686"/>
      <c r="BB273" s="703"/>
      <c r="BC273" s="686"/>
      <c r="BD273" s="703"/>
      <c r="BE273" s="686"/>
    </row>
    <row r="274" spans="1:57" s="44" customFormat="1">
      <c r="A274" s="690"/>
      <c r="B274" s="690"/>
      <c r="C274" s="690"/>
      <c r="D274" s="825"/>
      <c r="E274" s="686"/>
      <c r="F274" s="825"/>
      <c r="G274" s="686"/>
      <c r="H274" s="825"/>
      <c r="I274" s="686"/>
      <c r="J274" s="825"/>
      <c r="K274" s="686"/>
      <c r="L274" s="825"/>
      <c r="M274" s="686"/>
      <c r="N274" s="686"/>
      <c r="O274" s="825"/>
      <c r="P274" s="686"/>
      <c r="Q274" s="825"/>
      <c r="R274" s="686"/>
      <c r="S274" s="825"/>
      <c r="T274" s="686"/>
      <c r="U274" s="825"/>
      <c r="V274" s="686"/>
      <c r="W274" s="825"/>
      <c r="X274" s="686"/>
      <c r="Y274" s="686"/>
      <c r="Z274" s="703"/>
      <c r="AA274" s="686"/>
      <c r="AB274" s="703"/>
      <c r="AC274" s="686"/>
      <c r="AD274" s="703"/>
      <c r="AE274" s="686"/>
      <c r="AF274" s="703"/>
      <c r="AG274" s="686"/>
      <c r="AH274" s="703"/>
      <c r="AI274" s="686"/>
      <c r="AJ274" s="686"/>
      <c r="AK274" s="703"/>
      <c r="AL274" s="686"/>
      <c r="AM274" s="703"/>
      <c r="AN274" s="686"/>
      <c r="AO274" s="703"/>
      <c r="AP274" s="686"/>
      <c r="AQ274" s="703"/>
      <c r="AR274" s="686"/>
      <c r="AS274" s="703"/>
      <c r="AT274" s="686"/>
      <c r="AU274" s="686"/>
      <c r="AV274" s="703"/>
      <c r="AW274" s="686"/>
      <c r="AX274" s="703"/>
      <c r="AY274" s="686"/>
      <c r="AZ274" s="703"/>
      <c r="BA274" s="686"/>
      <c r="BB274" s="703"/>
      <c r="BC274" s="686"/>
      <c r="BD274" s="703"/>
      <c r="BE274" s="686"/>
    </row>
    <row r="275" spans="1:57" s="44" customFormat="1">
      <c r="A275" s="690"/>
      <c r="B275" s="690"/>
      <c r="C275" s="690"/>
      <c r="D275" s="825"/>
      <c r="E275" s="686"/>
      <c r="F275" s="825"/>
      <c r="G275" s="686"/>
      <c r="H275" s="825"/>
      <c r="I275" s="686"/>
      <c r="J275" s="825"/>
      <c r="K275" s="686"/>
      <c r="L275" s="825"/>
      <c r="M275" s="686"/>
      <c r="N275" s="686"/>
      <c r="O275" s="825"/>
      <c r="P275" s="686"/>
      <c r="Q275" s="825"/>
      <c r="R275" s="686"/>
      <c r="S275" s="825"/>
      <c r="T275" s="686"/>
      <c r="U275" s="825"/>
      <c r="V275" s="686"/>
      <c r="W275" s="825"/>
      <c r="X275" s="686"/>
      <c r="Y275" s="686"/>
      <c r="Z275" s="703"/>
      <c r="AA275" s="686"/>
      <c r="AB275" s="703"/>
      <c r="AC275" s="686"/>
      <c r="AD275" s="703"/>
      <c r="AE275" s="686"/>
      <c r="AF275" s="703"/>
      <c r="AG275" s="686"/>
      <c r="AH275" s="703"/>
      <c r="AI275" s="686"/>
      <c r="AJ275" s="686"/>
      <c r="AK275" s="703"/>
      <c r="AL275" s="686"/>
      <c r="AM275" s="703"/>
      <c r="AN275" s="686"/>
      <c r="AO275" s="703"/>
      <c r="AP275" s="686"/>
      <c r="AQ275" s="703"/>
      <c r="AR275" s="686"/>
      <c r="AS275" s="703"/>
      <c r="AT275" s="686"/>
      <c r="AU275" s="686"/>
      <c r="AV275" s="703"/>
      <c r="AW275" s="686"/>
      <c r="AX275" s="703"/>
      <c r="AY275" s="686"/>
      <c r="AZ275" s="703"/>
      <c r="BA275" s="686"/>
      <c r="BB275" s="703"/>
      <c r="BC275" s="686"/>
      <c r="BD275" s="703"/>
      <c r="BE275" s="686"/>
    </row>
    <row r="276" spans="1:57" s="44" customFormat="1">
      <c r="A276" s="690"/>
      <c r="B276" s="690"/>
      <c r="C276" s="690"/>
      <c r="D276" s="825"/>
      <c r="E276" s="686"/>
      <c r="F276" s="825"/>
      <c r="G276" s="686"/>
      <c r="H276" s="825"/>
      <c r="I276" s="686"/>
      <c r="J276" s="825"/>
      <c r="K276" s="686"/>
      <c r="L276" s="825"/>
      <c r="M276" s="686"/>
      <c r="N276" s="686"/>
      <c r="O276" s="825"/>
      <c r="P276" s="686"/>
      <c r="Q276" s="825"/>
      <c r="R276" s="686"/>
      <c r="S276" s="825"/>
      <c r="T276" s="686"/>
      <c r="U276" s="825"/>
      <c r="V276" s="686"/>
      <c r="W276" s="825"/>
      <c r="X276" s="686"/>
      <c r="Y276" s="686"/>
      <c r="Z276" s="703"/>
      <c r="AA276" s="686"/>
      <c r="AB276" s="703"/>
      <c r="AC276" s="686"/>
      <c r="AD276" s="703"/>
      <c r="AE276" s="686"/>
      <c r="AF276" s="703"/>
      <c r="AG276" s="686"/>
      <c r="AH276" s="703"/>
      <c r="AI276" s="686"/>
      <c r="AJ276" s="686"/>
      <c r="AK276" s="703"/>
      <c r="AL276" s="686"/>
      <c r="AM276" s="703"/>
      <c r="AN276" s="686"/>
      <c r="AO276" s="703"/>
      <c r="AP276" s="686"/>
      <c r="AQ276" s="703"/>
      <c r="AR276" s="686"/>
      <c r="AS276" s="703"/>
      <c r="AT276" s="686"/>
      <c r="AU276" s="686"/>
      <c r="AV276" s="703"/>
      <c r="AW276" s="686"/>
      <c r="AX276" s="703"/>
      <c r="AY276" s="686"/>
      <c r="AZ276" s="703"/>
      <c r="BA276" s="686"/>
      <c r="BB276" s="703"/>
      <c r="BC276" s="686"/>
      <c r="BD276" s="703"/>
      <c r="BE276" s="686"/>
    </row>
    <row r="277" spans="1:57" s="44" customFormat="1">
      <c r="A277" s="690"/>
      <c r="B277" s="690"/>
      <c r="C277" s="690"/>
      <c r="D277" s="825"/>
      <c r="E277" s="686"/>
      <c r="F277" s="825"/>
      <c r="G277" s="686"/>
      <c r="H277" s="825"/>
      <c r="I277" s="686"/>
      <c r="J277" s="825"/>
      <c r="K277" s="686"/>
      <c r="L277" s="825"/>
      <c r="M277" s="686"/>
      <c r="N277" s="686"/>
      <c r="O277" s="825"/>
      <c r="P277" s="686"/>
      <c r="Q277" s="825"/>
      <c r="R277" s="686"/>
      <c r="S277" s="825"/>
      <c r="T277" s="686"/>
      <c r="U277" s="825"/>
      <c r="V277" s="686"/>
      <c r="W277" s="825"/>
      <c r="X277" s="686"/>
      <c r="Y277" s="686"/>
      <c r="Z277" s="703"/>
      <c r="AA277" s="686"/>
      <c r="AB277" s="703"/>
      <c r="AC277" s="686"/>
      <c r="AD277" s="703"/>
      <c r="AE277" s="686"/>
      <c r="AF277" s="703"/>
      <c r="AG277" s="686"/>
      <c r="AH277" s="703"/>
      <c r="AI277" s="686"/>
      <c r="AJ277" s="686"/>
      <c r="AK277" s="703"/>
      <c r="AL277" s="686"/>
      <c r="AM277" s="703"/>
      <c r="AN277" s="686"/>
      <c r="AO277" s="703"/>
      <c r="AP277" s="686"/>
      <c r="AQ277" s="703"/>
      <c r="AR277" s="686"/>
      <c r="AS277" s="703"/>
      <c r="AT277" s="686"/>
      <c r="AU277" s="686"/>
      <c r="AV277" s="703"/>
      <c r="AW277" s="686"/>
      <c r="AX277" s="703"/>
      <c r="AY277" s="686"/>
      <c r="AZ277" s="703"/>
      <c r="BA277" s="686"/>
      <c r="BB277" s="703"/>
      <c r="BC277" s="686"/>
      <c r="BD277" s="703"/>
      <c r="BE277" s="686"/>
    </row>
    <row r="278" spans="1:57" s="44" customFormat="1">
      <c r="A278" s="690"/>
      <c r="B278" s="690"/>
      <c r="C278" s="690"/>
      <c r="D278" s="825"/>
      <c r="E278" s="686"/>
      <c r="F278" s="825"/>
      <c r="G278" s="686"/>
      <c r="H278" s="825"/>
      <c r="I278" s="686"/>
      <c r="J278" s="825"/>
      <c r="K278" s="686"/>
      <c r="L278" s="825"/>
      <c r="M278" s="686"/>
      <c r="N278" s="686"/>
      <c r="O278" s="825"/>
      <c r="P278" s="686"/>
      <c r="Q278" s="825"/>
      <c r="R278" s="686"/>
      <c r="S278" s="825"/>
      <c r="T278" s="686"/>
      <c r="U278" s="825"/>
      <c r="V278" s="686"/>
      <c r="W278" s="825"/>
      <c r="X278" s="686"/>
      <c r="Y278" s="686"/>
      <c r="Z278" s="703"/>
      <c r="AA278" s="686"/>
      <c r="AB278" s="703"/>
      <c r="AC278" s="686"/>
      <c r="AD278" s="703"/>
      <c r="AE278" s="686"/>
      <c r="AF278" s="703"/>
      <c r="AG278" s="686"/>
      <c r="AH278" s="703"/>
      <c r="AI278" s="686"/>
      <c r="AJ278" s="686"/>
      <c r="AK278" s="703"/>
      <c r="AL278" s="686"/>
      <c r="AM278" s="703"/>
      <c r="AN278" s="686"/>
      <c r="AO278" s="703"/>
      <c r="AP278" s="686"/>
      <c r="AQ278" s="703"/>
      <c r="AR278" s="686"/>
      <c r="AS278" s="703"/>
      <c r="AT278" s="686"/>
      <c r="AU278" s="686"/>
      <c r="AV278" s="703"/>
      <c r="AW278" s="686"/>
      <c r="AX278" s="703"/>
      <c r="AY278" s="686"/>
      <c r="AZ278" s="703"/>
      <c r="BA278" s="686"/>
      <c r="BB278" s="703"/>
      <c r="BC278" s="686"/>
      <c r="BD278" s="703"/>
      <c r="BE278" s="686"/>
    </row>
    <row r="279" spans="1:57" s="44" customFormat="1">
      <c r="A279" s="690"/>
      <c r="B279" s="690"/>
      <c r="C279" s="690"/>
      <c r="D279" s="825"/>
      <c r="E279" s="686"/>
      <c r="F279" s="825"/>
      <c r="G279" s="686"/>
      <c r="H279" s="825"/>
      <c r="I279" s="686"/>
      <c r="J279" s="825"/>
      <c r="K279" s="686"/>
      <c r="L279" s="825"/>
      <c r="M279" s="686"/>
      <c r="N279" s="686"/>
      <c r="O279" s="825"/>
      <c r="P279" s="686"/>
      <c r="Q279" s="825"/>
      <c r="R279" s="686"/>
      <c r="S279" s="825"/>
      <c r="T279" s="686"/>
      <c r="U279" s="825"/>
      <c r="V279" s="686"/>
      <c r="W279" s="825"/>
      <c r="X279" s="686"/>
      <c r="Y279" s="686"/>
      <c r="Z279" s="703"/>
      <c r="AA279" s="686"/>
      <c r="AB279" s="703"/>
      <c r="AC279" s="686"/>
      <c r="AD279" s="703"/>
      <c r="AE279" s="686"/>
      <c r="AF279" s="703"/>
      <c r="AG279" s="686"/>
      <c r="AH279" s="703"/>
      <c r="AI279" s="686"/>
      <c r="AJ279" s="686"/>
      <c r="AK279" s="703"/>
      <c r="AL279" s="686"/>
      <c r="AM279" s="703"/>
      <c r="AN279" s="686"/>
      <c r="AO279" s="703"/>
      <c r="AP279" s="686"/>
      <c r="AQ279" s="703"/>
      <c r="AR279" s="686"/>
      <c r="AS279" s="703"/>
      <c r="AT279" s="686"/>
      <c r="AU279" s="686"/>
      <c r="AV279" s="703"/>
      <c r="AW279" s="686"/>
      <c r="AX279" s="703"/>
      <c r="AY279" s="686"/>
      <c r="AZ279" s="703"/>
      <c r="BA279" s="686"/>
      <c r="BB279" s="703"/>
      <c r="BC279" s="686"/>
      <c r="BD279" s="703"/>
      <c r="BE279" s="686"/>
    </row>
    <row r="280" spans="1:57" s="44" customFormat="1">
      <c r="A280" s="690"/>
      <c r="B280" s="690"/>
      <c r="C280" s="690"/>
      <c r="D280" s="825"/>
      <c r="E280" s="686"/>
      <c r="F280" s="825"/>
      <c r="G280" s="686"/>
      <c r="H280" s="825"/>
      <c r="I280" s="686"/>
      <c r="J280" s="825"/>
      <c r="K280" s="686"/>
      <c r="L280" s="825"/>
      <c r="M280" s="686"/>
      <c r="N280" s="686"/>
      <c r="O280" s="825"/>
      <c r="P280" s="686"/>
      <c r="Q280" s="825"/>
      <c r="R280" s="686"/>
      <c r="S280" s="825"/>
      <c r="T280" s="686"/>
      <c r="U280" s="825"/>
      <c r="V280" s="686"/>
      <c r="W280" s="825"/>
      <c r="X280" s="686"/>
      <c r="Y280" s="686"/>
      <c r="Z280" s="703"/>
      <c r="AA280" s="686"/>
      <c r="AB280" s="703"/>
      <c r="AC280" s="686"/>
      <c r="AD280" s="703"/>
      <c r="AE280" s="686"/>
      <c r="AF280" s="703"/>
      <c r="AG280" s="686"/>
      <c r="AH280" s="703"/>
      <c r="AI280" s="686"/>
      <c r="AJ280" s="686"/>
      <c r="AK280" s="703"/>
      <c r="AL280" s="686"/>
      <c r="AM280" s="703"/>
      <c r="AN280" s="686"/>
      <c r="AO280" s="703"/>
      <c r="AP280" s="686"/>
      <c r="AQ280" s="703"/>
      <c r="AR280" s="686"/>
      <c r="AS280" s="703"/>
      <c r="AT280" s="686"/>
      <c r="AU280" s="686"/>
      <c r="AV280" s="703"/>
      <c r="AW280" s="686"/>
      <c r="AX280" s="703"/>
      <c r="AY280" s="686"/>
      <c r="AZ280" s="703"/>
      <c r="BA280" s="686"/>
      <c r="BB280" s="703"/>
      <c r="BC280" s="686"/>
      <c r="BD280" s="703"/>
      <c r="BE280" s="686"/>
    </row>
    <row r="281" spans="1:57" s="44" customFormat="1">
      <c r="A281" s="690"/>
      <c r="B281" s="690"/>
      <c r="C281" s="690"/>
      <c r="D281" s="825"/>
      <c r="E281" s="686"/>
      <c r="F281" s="825"/>
      <c r="G281" s="686"/>
      <c r="H281" s="825"/>
      <c r="I281" s="686"/>
      <c r="J281" s="825"/>
      <c r="K281" s="686"/>
      <c r="L281" s="825"/>
      <c r="M281" s="686"/>
      <c r="N281" s="686"/>
      <c r="O281" s="825"/>
      <c r="P281" s="686"/>
      <c r="Q281" s="825"/>
      <c r="R281" s="686"/>
      <c r="S281" s="825"/>
      <c r="T281" s="686"/>
      <c r="U281" s="825"/>
      <c r="V281" s="686"/>
      <c r="W281" s="825"/>
      <c r="X281" s="686"/>
      <c r="Y281" s="686"/>
      <c r="Z281" s="703"/>
      <c r="AA281" s="686"/>
      <c r="AB281" s="703"/>
      <c r="AC281" s="686"/>
      <c r="AD281" s="703"/>
      <c r="AE281" s="686"/>
      <c r="AF281" s="703"/>
      <c r="AG281" s="686"/>
      <c r="AH281" s="703"/>
      <c r="AI281" s="686"/>
      <c r="AJ281" s="686"/>
      <c r="AK281" s="703"/>
      <c r="AL281" s="686"/>
      <c r="AM281" s="703"/>
      <c r="AN281" s="686"/>
      <c r="AO281" s="703"/>
      <c r="AP281" s="686"/>
      <c r="AQ281" s="703"/>
      <c r="AR281" s="686"/>
      <c r="AS281" s="703"/>
      <c r="AT281" s="686"/>
      <c r="AU281" s="686"/>
      <c r="AV281" s="703"/>
      <c r="AW281" s="686"/>
      <c r="AX281" s="703"/>
      <c r="AY281" s="686"/>
      <c r="AZ281" s="703"/>
      <c r="BA281" s="686"/>
      <c r="BB281" s="703"/>
      <c r="BC281" s="686"/>
      <c r="BD281" s="703"/>
      <c r="BE281" s="686"/>
    </row>
    <row r="282" spans="1:57" s="44" customFormat="1">
      <c r="A282" s="690"/>
      <c r="B282" s="690"/>
      <c r="C282" s="690"/>
      <c r="D282" s="825"/>
      <c r="E282" s="686"/>
      <c r="F282" s="825"/>
      <c r="G282" s="686"/>
      <c r="H282" s="825"/>
      <c r="I282" s="686"/>
      <c r="J282" s="825"/>
      <c r="K282" s="686"/>
      <c r="L282" s="825"/>
      <c r="M282" s="686"/>
      <c r="N282" s="686"/>
      <c r="O282" s="825"/>
      <c r="P282" s="686"/>
      <c r="Q282" s="825"/>
      <c r="R282" s="686"/>
      <c r="S282" s="825"/>
      <c r="T282" s="686"/>
      <c r="U282" s="825"/>
      <c r="V282" s="686"/>
      <c r="W282" s="825"/>
      <c r="X282" s="686"/>
      <c r="Y282" s="686"/>
      <c r="Z282" s="703"/>
      <c r="AA282" s="686"/>
      <c r="AB282" s="703"/>
      <c r="AC282" s="686"/>
      <c r="AD282" s="703"/>
      <c r="AE282" s="686"/>
      <c r="AF282" s="703"/>
      <c r="AG282" s="686"/>
      <c r="AH282" s="703"/>
      <c r="AI282" s="686"/>
      <c r="AJ282" s="686"/>
      <c r="AK282" s="703"/>
      <c r="AL282" s="686"/>
      <c r="AM282" s="703"/>
      <c r="AN282" s="686"/>
      <c r="AO282" s="703"/>
      <c r="AP282" s="686"/>
      <c r="AQ282" s="703"/>
      <c r="AR282" s="686"/>
      <c r="AS282" s="703"/>
      <c r="AT282" s="686"/>
      <c r="AU282" s="686"/>
      <c r="AV282" s="703"/>
      <c r="AW282" s="686"/>
      <c r="AX282" s="703"/>
      <c r="AY282" s="686"/>
      <c r="AZ282" s="703"/>
      <c r="BA282" s="686"/>
      <c r="BB282" s="703"/>
      <c r="BC282" s="686"/>
      <c r="BD282" s="703"/>
      <c r="BE282" s="686"/>
    </row>
    <row r="283" spans="1:57" s="44" customFormat="1">
      <c r="A283" s="690"/>
      <c r="B283" s="690"/>
      <c r="C283" s="690"/>
      <c r="D283" s="825"/>
      <c r="E283" s="686"/>
      <c r="F283" s="825"/>
      <c r="G283" s="686"/>
      <c r="H283" s="825"/>
      <c r="I283" s="686"/>
      <c r="J283" s="825"/>
      <c r="K283" s="686"/>
      <c r="L283" s="825"/>
      <c r="M283" s="686"/>
      <c r="N283" s="686"/>
      <c r="O283" s="825"/>
      <c r="P283" s="686"/>
      <c r="Q283" s="825"/>
      <c r="R283" s="686"/>
      <c r="S283" s="825"/>
      <c r="T283" s="686"/>
      <c r="U283" s="825"/>
      <c r="V283" s="686"/>
      <c r="W283" s="825"/>
      <c r="X283" s="686"/>
      <c r="Y283" s="686"/>
      <c r="Z283" s="703"/>
      <c r="AA283" s="686"/>
      <c r="AB283" s="703"/>
      <c r="AC283" s="686"/>
      <c r="AD283" s="703"/>
      <c r="AE283" s="686"/>
      <c r="AF283" s="703"/>
      <c r="AG283" s="686"/>
      <c r="AH283" s="703"/>
      <c r="AI283" s="686"/>
      <c r="AJ283" s="686"/>
      <c r="AK283" s="703"/>
      <c r="AL283" s="686"/>
      <c r="AM283" s="703"/>
      <c r="AN283" s="686"/>
      <c r="AO283" s="703"/>
      <c r="AP283" s="686"/>
      <c r="AQ283" s="703"/>
      <c r="AR283" s="686"/>
      <c r="AS283" s="703"/>
      <c r="AT283" s="686"/>
      <c r="AU283" s="686"/>
      <c r="AV283" s="703"/>
      <c r="AW283" s="686"/>
      <c r="AX283" s="703"/>
      <c r="AY283" s="686"/>
      <c r="AZ283" s="703"/>
      <c r="BA283" s="686"/>
      <c r="BB283" s="703"/>
      <c r="BC283" s="686"/>
      <c r="BD283" s="703"/>
      <c r="BE283" s="686"/>
    </row>
    <row r="284" spans="1:57" s="44" customFormat="1">
      <c r="A284" s="690"/>
      <c r="B284" s="690"/>
      <c r="C284" s="690"/>
      <c r="D284" s="825"/>
      <c r="E284" s="686"/>
      <c r="F284" s="825"/>
      <c r="G284" s="686"/>
      <c r="H284" s="825"/>
      <c r="I284" s="686"/>
      <c r="J284" s="825"/>
      <c r="K284" s="686"/>
      <c r="L284" s="825"/>
      <c r="M284" s="686"/>
      <c r="N284" s="686"/>
      <c r="O284" s="825"/>
      <c r="P284" s="686"/>
      <c r="Q284" s="825"/>
      <c r="R284" s="686"/>
      <c r="S284" s="825"/>
      <c r="T284" s="686"/>
      <c r="U284" s="825"/>
      <c r="V284" s="686"/>
      <c r="W284" s="825"/>
      <c r="X284" s="686"/>
      <c r="Y284" s="686"/>
      <c r="Z284" s="703"/>
      <c r="AA284" s="686"/>
      <c r="AB284" s="703"/>
      <c r="AC284" s="686"/>
      <c r="AD284" s="703"/>
      <c r="AE284" s="686"/>
      <c r="AF284" s="703"/>
      <c r="AG284" s="686"/>
      <c r="AH284" s="703"/>
      <c r="AI284" s="686"/>
      <c r="AJ284" s="686"/>
      <c r="AK284" s="703"/>
      <c r="AL284" s="686"/>
      <c r="AM284" s="703"/>
      <c r="AN284" s="686"/>
      <c r="AO284" s="703"/>
      <c r="AP284" s="686"/>
      <c r="AQ284" s="703"/>
      <c r="AR284" s="686"/>
      <c r="AS284" s="703"/>
      <c r="AT284" s="686"/>
      <c r="AU284" s="686"/>
      <c r="AV284" s="703"/>
      <c r="AW284" s="686"/>
      <c r="AX284" s="703"/>
      <c r="AY284" s="686"/>
      <c r="AZ284" s="703"/>
      <c r="BA284" s="686"/>
      <c r="BB284" s="703"/>
      <c r="BC284" s="686"/>
      <c r="BD284" s="703"/>
      <c r="BE284" s="686"/>
    </row>
    <row r="285" spans="1:57" s="44" customFormat="1">
      <c r="A285" s="690"/>
      <c r="B285" s="690"/>
      <c r="C285" s="690"/>
      <c r="D285" s="825"/>
      <c r="E285" s="686"/>
      <c r="F285" s="825"/>
      <c r="G285" s="686"/>
      <c r="H285" s="825"/>
      <c r="I285" s="686"/>
      <c r="J285" s="825"/>
      <c r="K285" s="686"/>
      <c r="L285" s="825"/>
      <c r="M285" s="686"/>
      <c r="N285" s="686"/>
      <c r="O285" s="825"/>
      <c r="P285" s="686"/>
      <c r="Q285" s="825"/>
      <c r="R285" s="686"/>
      <c r="S285" s="825"/>
      <c r="T285" s="686"/>
      <c r="U285" s="825"/>
      <c r="V285" s="686"/>
      <c r="W285" s="825"/>
      <c r="X285" s="686"/>
      <c r="Y285" s="686"/>
      <c r="Z285" s="703"/>
      <c r="AA285" s="686"/>
      <c r="AB285" s="703"/>
      <c r="AC285" s="686"/>
      <c r="AD285" s="703"/>
      <c r="AE285" s="686"/>
      <c r="AF285" s="703"/>
      <c r="AG285" s="686"/>
      <c r="AH285" s="703"/>
      <c r="AI285" s="686"/>
      <c r="AJ285" s="686"/>
      <c r="AK285" s="703"/>
      <c r="AL285" s="686"/>
      <c r="AM285" s="703"/>
      <c r="AN285" s="686"/>
      <c r="AO285" s="703"/>
      <c r="AP285" s="686"/>
      <c r="AQ285" s="703"/>
      <c r="AR285" s="686"/>
      <c r="AS285" s="703"/>
      <c r="AT285" s="686"/>
      <c r="AU285" s="686"/>
      <c r="AV285" s="703"/>
      <c r="AW285" s="686"/>
      <c r="AX285" s="703"/>
      <c r="AY285" s="686"/>
      <c r="AZ285" s="703"/>
      <c r="BA285" s="686"/>
      <c r="BB285" s="703"/>
      <c r="BC285" s="686"/>
      <c r="BD285" s="703"/>
      <c r="BE285" s="686"/>
    </row>
    <row r="286" spans="1:57" s="44" customFormat="1">
      <c r="A286" s="690"/>
      <c r="B286" s="690"/>
      <c r="C286" s="690"/>
      <c r="D286" s="825"/>
      <c r="E286" s="686"/>
      <c r="F286" s="825"/>
      <c r="G286" s="686"/>
      <c r="H286" s="825"/>
      <c r="I286" s="686"/>
      <c r="J286" s="825"/>
      <c r="K286" s="686"/>
      <c r="L286" s="825"/>
      <c r="M286" s="686"/>
      <c r="N286" s="686"/>
      <c r="O286" s="825"/>
      <c r="P286" s="686"/>
      <c r="Q286" s="825"/>
      <c r="R286" s="686"/>
      <c r="S286" s="825"/>
      <c r="T286" s="686"/>
      <c r="U286" s="825"/>
      <c r="V286" s="686"/>
      <c r="W286" s="825"/>
      <c r="X286" s="686"/>
      <c r="Y286" s="686"/>
      <c r="Z286" s="703"/>
      <c r="AA286" s="686"/>
      <c r="AB286" s="703"/>
      <c r="AC286" s="686"/>
      <c r="AD286" s="703"/>
      <c r="AE286" s="686"/>
      <c r="AF286" s="703"/>
      <c r="AG286" s="686"/>
      <c r="AH286" s="703"/>
      <c r="AI286" s="686"/>
      <c r="AJ286" s="686"/>
      <c r="AK286" s="703"/>
      <c r="AL286" s="686"/>
      <c r="AM286" s="703"/>
      <c r="AN286" s="686"/>
      <c r="AO286" s="703"/>
      <c r="AP286" s="686"/>
      <c r="AQ286" s="703"/>
      <c r="AR286" s="686"/>
      <c r="AS286" s="703"/>
      <c r="AT286" s="686"/>
      <c r="AU286" s="686"/>
      <c r="AV286" s="703"/>
      <c r="AW286" s="686"/>
      <c r="AX286" s="703"/>
      <c r="AY286" s="686"/>
      <c r="AZ286" s="703"/>
      <c r="BA286" s="686"/>
      <c r="BB286" s="703"/>
      <c r="BC286" s="686"/>
      <c r="BD286" s="703"/>
      <c r="BE286" s="686"/>
    </row>
    <row r="287" spans="1:57" s="44" customFormat="1">
      <c r="A287" s="690"/>
      <c r="B287" s="690"/>
      <c r="C287" s="690"/>
      <c r="D287" s="825"/>
      <c r="E287" s="686"/>
      <c r="F287" s="825"/>
      <c r="G287" s="686"/>
      <c r="H287" s="825"/>
      <c r="I287" s="686"/>
      <c r="J287" s="825"/>
      <c r="K287" s="686"/>
      <c r="L287" s="825"/>
      <c r="M287" s="686"/>
      <c r="N287" s="686"/>
      <c r="O287" s="825"/>
      <c r="P287" s="686"/>
      <c r="Q287" s="825"/>
      <c r="R287" s="686"/>
      <c r="S287" s="825"/>
      <c r="T287" s="686"/>
      <c r="U287" s="825"/>
      <c r="V287" s="686"/>
      <c r="W287" s="825"/>
      <c r="X287" s="686"/>
      <c r="Y287" s="686"/>
      <c r="Z287" s="703"/>
      <c r="AA287" s="686"/>
      <c r="AB287" s="703"/>
      <c r="AC287" s="686"/>
      <c r="AD287" s="703"/>
      <c r="AE287" s="686"/>
      <c r="AF287" s="703"/>
      <c r="AG287" s="686"/>
      <c r="AH287" s="703"/>
      <c r="AI287" s="686"/>
      <c r="AJ287" s="686"/>
      <c r="AK287" s="703"/>
      <c r="AL287" s="686"/>
      <c r="AM287" s="703"/>
      <c r="AN287" s="686"/>
      <c r="AO287" s="703"/>
      <c r="AP287" s="686"/>
      <c r="AQ287" s="703"/>
      <c r="AR287" s="686"/>
      <c r="AS287" s="703"/>
      <c r="AT287" s="686"/>
      <c r="AU287" s="686"/>
      <c r="AV287" s="703"/>
      <c r="AW287" s="686"/>
      <c r="AX287" s="703"/>
      <c r="AY287" s="686"/>
      <c r="AZ287" s="703"/>
      <c r="BA287" s="686"/>
      <c r="BB287" s="703"/>
      <c r="BC287" s="686"/>
      <c r="BD287" s="703"/>
      <c r="BE287" s="686"/>
    </row>
    <row r="288" spans="1:57" s="44" customFormat="1">
      <c r="A288" s="690"/>
      <c r="B288" s="690"/>
      <c r="C288" s="690"/>
      <c r="D288" s="825"/>
      <c r="E288" s="686"/>
      <c r="F288" s="825"/>
      <c r="G288" s="686"/>
      <c r="H288" s="825"/>
      <c r="I288" s="686"/>
      <c r="J288" s="825"/>
      <c r="K288" s="686"/>
      <c r="L288" s="825"/>
      <c r="M288" s="686"/>
      <c r="N288" s="686"/>
      <c r="O288" s="825"/>
      <c r="P288" s="686"/>
      <c r="Q288" s="825"/>
      <c r="R288" s="686"/>
      <c r="S288" s="825"/>
      <c r="T288" s="686"/>
      <c r="U288" s="825"/>
      <c r="V288" s="686"/>
      <c r="W288" s="825"/>
      <c r="X288" s="686"/>
      <c r="Y288" s="686"/>
      <c r="Z288" s="703"/>
      <c r="AA288" s="686"/>
      <c r="AB288" s="703"/>
      <c r="AC288" s="686"/>
      <c r="AD288" s="703"/>
      <c r="AE288" s="686"/>
      <c r="AF288" s="703"/>
      <c r="AG288" s="686"/>
      <c r="AH288" s="703"/>
      <c r="AI288" s="686"/>
      <c r="AJ288" s="686"/>
      <c r="AK288" s="703"/>
      <c r="AL288" s="686"/>
      <c r="AM288" s="703"/>
      <c r="AN288" s="686"/>
      <c r="AO288" s="703"/>
      <c r="AP288" s="686"/>
      <c r="AQ288" s="703"/>
      <c r="AR288" s="686"/>
      <c r="AS288" s="703"/>
      <c r="AT288" s="686"/>
      <c r="AU288" s="686"/>
      <c r="AV288" s="703"/>
      <c r="AW288" s="686"/>
      <c r="AX288" s="703"/>
      <c r="AY288" s="686"/>
      <c r="AZ288" s="703"/>
      <c r="BA288" s="686"/>
      <c r="BB288" s="703"/>
      <c r="BC288" s="686"/>
      <c r="BD288" s="703"/>
      <c r="BE288" s="686"/>
    </row>
    <row r="289" spans="1:57" s="44" customFormat="1">
      <c r="A289" s="690"/>
      <c r="B289" s="690"/>
      <c r="C289" s="690"/>
      <c r="D289" s="825"/>
      <c r="E289" s="686"/>
      <c r="F289" s="825"/>
      <c r="G289" s="686"/>
      <c r="H289" s="825"/>
      <c r="I289" s="686"/>
      <c r="J289" s="825"/>
      <c r="K289" s="686"/>
      <c r="L289" s="825"/>
      <c r="M289" s="686"/>
      <c r="N289" s="686"/>
      <c r="O289" s="825"/>
      <c r="P289" s="686"/>
      <c r="Q289" s="825"/>
      <c r="R289" s="686"/>
      <c r="S289" s="825"/>
      <c r="T289" s="686"/>
      <c r="U289" s="825"/>
      <c r="V289" s="686"/>
      <c r="W289" s="825"/>
      <c r="X289" s="686"/>
      <c r="Y289" s="686"/>
      <c r="Z289" s="703"/>
      <c r="AA289" s="686"/>
      <c r="AB289" s="703"/>
      <c r="AC289" s="686"/>
      <c r="AD289" s="703"/>
      <c r="AE289" s="686"/>
      <c r="AF289" s="703"/>
      <c r="AG289" s="686"/>
      <c r="AH289" s="703"/>
      <c r="AI289" s="686"/>
      <c r="AJ289" s="686"/>
      <c r="AK289" s="703"/>
      <c r="AL289" s="686"/>
      <c r="AM289" s="703"/>
      <c r="AN289" s="686"/>
      <c r="AO289" s="703"/>
      <c r="AP289" s="686"/>
      <c r="AQ289" s="703"/>
      <c r="AR289" s="686"/>
      <c r="AS289" s="703"/>
      <c r="AT289" s="686"/>
      <c r="AU289" s="686"/>
      <c r="AV289" s="703"/>
      <c r="AW289" s="686"/>
      <c r="AX289" s="703"/>
      <c r="AY289" s="686"/>
      <c r="AZ289" s="703"/>
      <c r="BA289" s="686"/>
      <c r="BB289" s="703"/>
      <c r="BC289" s="686"/>
      <c r="BD289" s="703"/>
      <c r="BE289" s="686"/>
    </row>
    <row r="290" spans="1:57" s="44" customFormat="1">
      <c r="A290" s="690"/>
      <c r="B290" s="690"/>
      <c r="C290" s="690"/>
      <c r="D290" s="825"/>
      <c r="E290" s="686"/>
      <c r="F290" s="825"/>
      <c r="G290" s="686"/>
      <c r="H290" s="825"/>
      <c r="I290" s="686"/>
      <c r="J290" s="825"/>
      <c r="K290" s="686"/>
      <c r="L290" s="825"/>
      <c r="M290" s="686"/>
      <c r="N290" s="686"/>
      <c r="O290" s="825"/>
      <c r="P290" s="686"/>
      <c r="Q290" s="825"/>
      <c r="R290" s="686"/>
      <c r="S290" s="825"/>
      <c r="T290" s="686"/>
      <c r="U290" s="825"/>
      <c r="V290" s="686"/>
      <c r="W290" s="825"/>
      <c r="X290" s="686"/>
      <c r="Y290" s="686"/>
      <c r="Z290" s="703"/>
      <c r="AA290" s="686"/>
      <c r="AB290" s="703"/>
      <c r="AC290" s="686"/>
      <c r="AD290" s="703"/>
      <c r="AE290" s="686"/>
      <c r="AF290" s="703"/>
      <c r="AG290" s="686"/>
      <c r="AH290" s="703"/>
      <c r="AI290" s="686"/>
      <c r="AJ290" s="686"/>
      <c r="AK290" s="703"/>
      <c r="AL290" s="686"/>
      <c r="AM290" s="703"/>
      <c r="AN290" s="686"/>
      <c r="AO290" s="703"/>
      <c r="AP290" s="686"/>
      <c r="AQ290" s="703"/>
      <c r="AR290" s="686"/>
      <c r="AS290" s="703"/>
      <c r="AT290" s="686"/>
      <c r="AU290" s="686"/>
      <c r="AV290" s="703"/>
      <c r="AW290" s="686"/>
      <c r="AX290" s="703"/>
      <c r="AY290" s="686"/>
      <c r="AZ290" s="703"/>
      <c r="BA290" s="686"/>
      <c r="BB290" s="703"/>
      <c r="BC290" s="686"/>
      <c r="BD290" s="703"/>
      <c r="BE290" s="686"/>
    </row>
    <row r="291" spans="1:57" s="44" customFormat="1">
      <c r="A291" s="690"/>
      <c r="B291" s="690"/>
      <c r="C291" s="690"/>
      <c r="D291" s="825"/>
      <c r="E291" s="686"/>
      <c r="F291" s="825"/>
      <c r="G291" s="686"/>
      <c r="H291" s="825"/>
      <c r="I291" s="686"/>
      <c r="J291" s="825"/>
      <c r="K291" s="686"/>
      <c r="L291" s="825"/>
      <c r="M291" s="686"/>
      <c r="N291" s="686"/>
      <c r="O291" s="825"/>
      <c r="P291" s="686"/>
      <c r="Q291" s="825"/>
      <c r="R291" s="686"/>
      <c r="S291" s="825"/>
      <c r="T291" s="686"/>
      <c r="U291" s="825"/>
      <c r="V291" s="686"/>
      <c r="W291" s="825"/>
      <c r="X291" s="686"/>
      <c r="Y291" s="686"/>
      <c r="Z291" s="703"/>
      <c r="AA291" s="686"/>
      <c r="AB291" s="703"/>
      <c r="AC291" s="686"/>
      <c r="AD291" s="703"/>
      <c r="AE291" s="686"/>
      <c r="AF291" s="703"/>
      <c r="AG291" s="686"/>
      <c r="AH291" s="703"/>
      <c r="AI291" s="686"/>
      <c r="AJ291" s="686"/>
      <c r="AK291" s="703"/>
      <c r="AL291" s="686"/>
      <c r="AM291" s="703"/>
      <c r="AN291" s="686"/>
      <c r="AO291" s="703"/>
      <c r="AP291" s="686"/>
      <c r="AQ291" s="703"/>
      <c r="AR291" s="686"/>
      <c r="AS291" s="703"/>
      <c r="AT291" s="686"/>
      <c r="AU291" s="686"/>
      <c r="AV291" s="703"/>
      <c r="AW291" s="686"/>
      <c r="AX291" s="703"/>
      <c r="AY291" s="686"/>
      <c r="AZ291" s="703"/>
      <c r="BA291" s="686"/>
      <c r="BB291" s="703"/>
      <c r="BC291" s="686"/>
      <c r="BD291" s="703"/>
      <c r="BE291" s="686"/>
    </row>
    <row r="292" spans="1:57" s="44" customFormat="1">
      <c r="A292" s="690"/>
      <c r="B292" s="690"/>
      <c r="C292" s="690"/>
      <c r="D292" s="825"/>
      <c r="E292" s="686"/>
      <c r="F292" s="825"/>
      <c r="G292" s="686"/>
      <c r="H292" s="825"/>
      <c r="I292" s="686"/>
      <c r="J292" s="825"/>
      <c r="K292" s="686"/>
      <c r="L292" s="825"/>
      <c r="M292" s="686"/>
      <c r="N292" s="686"/>
      <c r="O292" s="825"/>
      <c r="P292" s="686"/>
      <c r="Q292" s="825"/>
      <c r="R292" s="686"/>
      <c r="S292" s="825"/>
      <c r="T292" s="686"/>
      <c r="U292" s="825"/>
      <c r="V292" s="686"/>
      <c r="W292" s="825"/>
      <c r="X292" s="686"/>
      <c r="Y292" s="686"/>
      <c r="Z292" s="703"/>
      <c r="AA292" s="686"/>
      <c r="AB292" s="703"/>
      <c r="AC292" s="686"/>
      <c r="AD292" s="703"/>
      <c r="AE292" s="686"/>
      <c r="AF292" s="703"/>
      <c r="AG292" s="686"/>
      <c r="AH292" s="703"/>
      <c r="AI292" s="686"/>
      <c r="AJ292" s="686"/>
      <c r="AK292" s="703"/>
      <c r="AL292" s="686"/>
      <c r="AM292" s="703"/>
      <c r="AN292" s="686"/>
      <c r="AO292" s="703"/>
      <c r="AP292" s="686"/>
      <c r="AQ292" s="703"/>
      <c r="AR292" s="686"/>
      <c r="AS292" s="703"/>
      <c r="AT292" s="686"/>
      <c r="AU292" s="686"/>
      <c r="AV292" s="703"/>
      <c r="AW292" s="686"/>
      <c r="AX292" s="703"/>
      <c r="AY292" s="686"/>
      <c r="AZ292" s="703"/>
      <c r="BA292" s="686"/>
      <c r="BB292" s="703"/>
      <c r="BC292" s="686"/>
      <c r="BD292" s="703"/>
      <c r="BE292" s="686"/>
    </row>
    <row r="293" spans="1:57" s="44" customFormat="1">
      <c r="A293" s="690"/>
      <c r="B293" s="690"/>
      <c r="C293" s="690"/>
      <c r="D293" s="825"/>
      <c r="E293" s="686"/>
      <c r="F293" s="825"/>
      <c r="G293" s="686"/>
      <c r="H293" s="825"/>
      <c r="I293" s="686"/>
      <c r="J293" s="825"/>
      <c r="K293" s="686"/>
      <c r="L293" s="825"/>
      <c r="M293" s="686"/>
      <c r="N293" s="686"/>
      <c r="O293" s="825"/>
      <c r="P293" s="686"/>
      <c r="Q293" s="825"/>
      <c r="R293" s="686"/>
      <c r="S293" s="825"/>
      <c r="T293" s="686"/>
      <c r="U293" s="825"/>
      <c r="V293" s="686"/>
      <c r="W293" s="825"/>
      <c r="X293" s="686"/>
      <c r="Y293" s="686"/>
      <c r="Z293" s="703"/>
      <c r="AA293" s="686"/>
      <c r="AB293" s="703"/>
      <c r="AC293" s="686"/>
      <c r="AD293" s="703"/>
      <c r="AE293" s="686"/>
      <c r="AF293" s="703"/>
      <c r="AG293" s="686"/>
      <c r="AH293" s="703"/>
      <c r="AI293" s="686"/>
      <c r="AJ293" s="686"/>
      <c r="AK293" s="703"/>
      <c r="AL293" s="686"/>
      <c r="AM293" s="703"/>
      <c r="AN293" s="686"/>
      <c r="AO293" s="703"/>
      <c r="AP293" s="686"/>
      <c r="AQ293" s="703"/>
      <c r="AR293" s="686"/>
      <c r="AS293" s="703"/>
      <c r="AT293" s="686"/>
      <c r="AU293" s="686"/>
      <c r="AV293" s="703"/>
      <c r="AW293" s="686"/>
      <c r="AX293" s="703"/>
      <c r="AY293" s="686"/>
      <c r="AZ293" s="703"/>
      <c r="BA293" s="686"/>
      <c r="BB293" s="703"/>
      <c r="BC293" s="686"/>
      <c r="BD293" s="703"/>
      <c r="BE293" s="686"/>
    </row>
    <row r="294" spans="1:57" s="44" customFormat="1">
      <c r="A294" s="690"/>
      <c r="B294" s="690"/>
      <c r="C294" s="690"/>
      <c r="D294" s="825"/>
      <c r="E294" s="686"/>
      <c r="F294" s="825"/>
      <c r="G294" s="686"/>
      <c r="H294" s="825"/>
      <c r="I294" s="686"/>
      <c r="J294" s="825"/>
      <c r="K294" s="686"/>
      <c r="L294" s="825"/>
      <c r="M294" s="686"/>
      <c r="N294" s="686"/>
      <c r="O294" s="825"/>
      <c r="P294" s="686"/>
      <c r="Q294" s="825"/>
      <c r="R294" s="686"/>
      <c r="S294" s="825"/>
      <c r="T294" s="686"/>
      <c r="U294" s="825"/>
      <c r="V294" s="686"/>
      <c r="W294" s="825"/>
      <c r="X294" s="686"/>
      <c r="Y294" s="686"/>
      <c r="Z294" s="703"/>
      <c r="AA294" s="686"/>
      <c r="AB294" s="703"/>
      <c r="AC294" s="686"/>
      <c r="AD294" s="703"/>
      <c r="AE294" s="686"/>
      <c r="AF294" s="703"/>
      <c r="AG294" s="686"/>
      <c r="AH294" s="703"/>
      <c r="AI294" s="686"/>
      <c r="AJ294" s="686"/>
      <c r="AK294" s="703"/>
      <c r="AL294" s="686"/>
      <c r="AM294" s="703"/>
      <c r="AN294" s="686"/>
      <c r="AO294" s="703"/>
      <c r="AP294" s="686"/>
      <c r="AQ294" s="703"/>
      <c r="AR294" s="686"/>
      <c r="AS294" s="703"/>
      <c r="AT294" s="686"/>
      <c r="AU294" s="686"/>
      <c r="AV294" s="703"/>
      <c r="AW294" s="686"/>
      <c r="AX294" s="703"/>
      <c r="AY294" s="686"/>
      <c r="AZ294" s="703"/>
      <c r="BA294" s="686"/>
      <c r="BB294" s="703"/>
      <c r="BC294" s="686"/>
      <c r="BD294" s="703"/>
      <c r="BE294" s="686"/>
    </row>
    <row r="295" spans="1:57" s="44" customFormat="1">
      <c r="A295" s="690"/>
      <c r="B295" s="690"/>
      <c r="C295" s="690"/>
      <c r="D295" s="825"/>
      <c r="E295" s="686"/>
      <c r="F295" s="825"/>
      <c r="G295" s="686"/>
      <c r="H295" s="825"/>
      <c r="I295" s="686"/>
      <c r="J295" s="825"/>
      <c r="K295" s="686"/>
      <c r="L295" s="825"/>
      <c r="M295" s="686"/>
      <c r="N295" s="686"/>
      <c r="O295" s="825"/>
      <c r="P295" s="686"/>
      <c r="Q295" s="825"/>
      <c r="R295" s="686"/>
      <c r="S295" s="825"/>
      <c r="T295" s="686"/>
      <c r="U295" s="825"/>
      <c r="V295" s="686"/>
      <c r="W295" s="825"/>
      <c r="X295" s="686"/>
      <c r="Y295" s="686"/>
      <c r="Z295" s="703"/>
      <c r="AA295" s="686"/>
      <c r="AB295" s="703"/>
      <c r="AC295" s="686"/>
      <c r="AD295" s="703"/>
      <c r="AE295" s="686"/>
      <c r="AF295" s="703"/>
      <c r="AG295" s="686"/>
      <c r="AH295" s="703"/>
      <c r="AI295" s="686"/>
      <c r="AJ295" s="686"/>
      <c r="AK295" s="703"/>
      <c r="AL295" s="686"/>
      <c r="AM295" s="703"/>
      <c r="AN295" s="686"/>
      <c r="AO295" s="703"/>
      <c r="AP295" s="686"/>
      <c r="AQ295" s="703"/>
      <c r="AR295" s="686"/>
      <c r="AS295" s="703"/>
      <c r="AT295" s="686"/>
      <c r="AU295" s="686"/>
      <c r="AV295" s="703"/>
      <c r="AW295" s="686"/>
      <c r="AX295" s="703"/>
      <c r="AY295" s="686"/>
      <c r="AZ295" s="703"/>
      <c r="BA295" s="686"/>
      <c r="BB295" s="703"/>
      <c r="BC295" s="686"/>
      <c r="BD295" s="703"/>
      <c r="BE295" s="686"/>
    </row>
    <row r="296" spans="1:57" s="44" customFormat="1">
      <c r="A296" s="690"/>
      <c r="B296" s="690"/>
      <c r="C296" s="690"/>
      <c r="D296" s="825"/>
      <c r="E296" s="686"/>
      <c r="F296" s="825"/>
      <c r="G296" s="686"/>
      <c r="H296" s="825"/>
      <c r="I296" s="686"/>
      <c r="J296" s="825"/>
      <c r="K296" s="686"/>
      <c r="L296" s="825"/>
      <c r="M296" s="686"/>
      <c r="N296" s="686"/>
      <c r="O296" s="825"/>
      <c r="P296" s="686"/>
      <c r="Q296" s="825"/>
      <c r="R296" s="686"/>
      <c r="S296" s="825"/>
      <c r="T296" s="686"/>
      <c r="U296" s="825"/>
      <c r="V296" s="686"/>
      <c r="W296" s="825"/>
      <c r="X296" s="686"/>
      <c r="Y296" s="686"/>
      <c r="Z296" s="703"/>
      <c r="AA296" s="686"/>
      <c r="AB296" s="703"/>
      <c r="AC296" s="686"/>
      <c r="AD296" s="703"/>
      <c r="AE296" s="686"/>
      <c r="AF296" s="703"/>
      <c r="AG296" s="686"/>
      <c r="AH296" s="703"/>
      <c r="AI296" s="686"/>
      <c r="AJ296" s="686"/>
      <c r="AK296" s="703"/>
      <c r="AL296" s="686"/>
      <c r="AM296" s="703"/>
      <c r="AN296" s="686"/>
      <c r="AO296" s="703"/>
      <c r="AP296" s="686"/>
      <c r="AQ296" s="703"/>
      <c r="AR296" s="686"/>
      <c r="AS296" s="703"/>
      <c r="AT296" s="686"/>
      <c r="AU296" s="686"/>
      <c r="AV296" s="703"/>
      <c r="AW296" s="686"/>
      <c r="AX296" s="703"/>
      <c r="AY296" s="686"/>
      <c r="AZ296" s="703"/>
      <c r="BA296" s="686"/>
      <c r="BB296" s="703"/>
      <c r="BC296" s="686"/>
      <c r="BD296" s="703"/>
      <c r="BE296" s="686"/>
    </row>
    <row r="297" spans="1:57" s="44" customFormat="1">
      <c r="A297" s="690"/>
      <c r="B297" s="690"/>
      <c r="C297" s="690"/>
      <c r="D297" s="825"/>
      <c r="E297" s="686"/>
      <c r="F297" s="825"/>
      <c r="G297" s="686"/>
      <c r="H297" s="825"/>
      <c r="I297" s="686"/>
      <c r="J297" s="825"/>
      <c r="K297" s="686"/>
      <c r="L297" s="825"/>
      <c r="M297" s="686"/>
      <c r="N297" s="686"/>
      <c r="O297" s="825"/>
      <c r="P297" s="686"/>
      <c r="Q297" s="825"/>
      <c r="R297" s="686"/>
      <c r="S297" s="825"/>
      <c r="T297" s="686"/>
      <c r="U297" s="825"/>
      <c r="V297" s="686"/>
      <c r="W297" s="825"/>
      <c r="X297" s="686"/>
      <c r="Y297" s="686"/>
      <c r="Z297" s="703"/>
      <c r="AA297" s="686"/>
      <c r="AB297" s="703"/>
      <c r="AC297" s="686"/>
      <c r="AD297" s="703"/>
      <c r="AE297" s="686"/>
      <c r="AF297" s="703"/>
      <c r="AG297" s="686"/>
      <c r="AH297" s="703"/>
      <c r="AI297" s="686"/>
      <c r="AJ297" s="686"/>
      <c r="AK297" s="703"/>
      <c r="AL297" s="686"/>
      <c r="AM297" s="703"/>
      <c r="AN297" s="686"/>
      <c r="AO297" s="703"/>
      <c r="AP297" s="686"/>
      <c r="AQ297" s="703"/>
      <c r="AR297" s="686"/>
      <c r="AS297" s="703"/>
      <c r="AT297" s="686"/>
      <c r="AU297" s="686"/>
      <c r="AV297" s="703"/>
      <c r="AW297" s="686"/>
      <c r="AX297" s="703"/>
      <c r="AY297" s="686"/>
      <c r="AZ297" s="703"/>
      <c r="BA297" s="686"/>
      <c r="BB297" s="703"/>
      <c r="BC297" s="686"/>
      <c r="BD297" s="703"/>
      <c r="BE297" s="686"/>
    </row>
    <row r="298" spans="1:57" s="44" customFormat="1">
      <c r="A298" s="690"/>
      <c r="B298" s="690"/>
      <c r="C298" s="690"/>
      <c r="D298" s="825"/>
      <c r="E298" s="686"/>
      <c r="F298" s="825"/>
      <c r="G298" s="686"/>
      <c r="H298" s="825"/>
      <c r="I298" s="686"/>
      <c r="J298" s="825"/>
      <c r="K298" s="686"/>
      <c r="L298" s="825"/>
      <c r="M298" s="686"/>
      <c r="N298" s="686"/>
      <c r="O298" s="825"/>
      <c r="P298" s="686"/>
      <c r="Q298" s="825"/>
      <c r="R298" s="686"/>
      <c r="S298" s="825"/>
      <c r="T298" s="686"/>
      <c r="U298" s="825"/>
      <c r="V298" s="686"/>
      <c r="W298" s="825"/>
      <c r="X298" s="686"/>
      <c r="Y298" s="686"/>
      <c r="Z298" s="703"/>
      <c r="AA298" s="686"/>
      <c r="AB298" s="703"/>
      <c r="AC298" s="686"/>
      <c r="AD298" s="703"/>
      <c r="AE298" s="686"/>
      <c r="AF298" s="703"/>
      <c r="AG298" s="686"/>
      <c r="AH298" s="703"/>
      <c r="AI298" s="686"/>
      <c r="AJ298" s="686"/>
      <c r="AK298" s="703"/>
      <c r="AL298" s="686"/>
      <c r="AM298" s="703"/>
      <c r="AN298" s="686"/>
      <c r="AO298" s="703"/>
      <c r="AP298" s="686"/>
      <c r="AQ298" s="703"/>
      <c r="AR298" s="686"/>
      <c r="AS298" s="703"/>
      <c r="AT298" s="686"/>
      <c r="AU298" s="686"/>
      <c r="AV298" s="703"/>
      <c r="AW298" s="686"/>
      <c r="AX298" s="703"/>
      <c r="AY298" s="686"/>
      <c r="AZ298" s="703"/>
      <c r="BA298" s="686"/>
      <c r="BB298" s="703"/>
      <c r="BC298" s="686"/>
      <c r="BD298" s="703"/>
      <c r="BE298" s="686"/>
    </row>
    <row r="299" spans="1:57" s="44" customFormat="1">
      <c r="A299" s="690"/>
      <c r="B299" s="690"/>
      <c r="C299" s="690"/>
      <c r="D299" s="825"/>
      <c r="E299" s="686"/>
      <c r="F299" s="825"/>
      <c r="G299" s="686"/>
      <c r="H299" s="825"/>
      <c r="I299" s="686"/>
      <c r="J299" s="825"/>
      <c r="K299" s="686"/>
      <c r="L299" s="825"/>
      <c r="M299" s="686"/>
      <c r="N299" s="686"/>
      <c r="O299" s="825"/>
      <c r="P299" s="686"/>
      <c r="Q299" s="825"/>
      <c r="R299" s="686"/>
      <c r="S299" s="825"/>
      <c r="T299" s="686"/>
      <c r="U299" s="825"/>
      <c r="V299" s="686"/>
      <c r="W299" s="825"/>
      <c r="X299" s="686"/>
      <c r="Y299" s="686"/>
      <c r="Z299" s="703"/>
      <c r="AA299" s="686"/>
      <c r="AB299" s="703"/>
      <c r="AC299" s="686"/>
      <c r="AD299" s="703"/>
      <c r="AE299" s="686"/>
      <c r="AF299" s="703"/>
      <c r="AG299" s="686"/>
      <c r="AH299" s="703"/>
      <c r="AI299" s="686"/>
      <c r="AJ299" s="686"/>
      <c r="AK299" s="703"/>
      <c r="AL299" s="686"/>
      <c r="AM299" s="703"/>
      <c r="AN299" s="686"/>
      <c r="AO299" s="703"/>
      <c r="AP299" s="686"/>
      <c r="AQ299" s="703"/>
      <c r="AR299" s="686"/>
      <c r="AS299" s="703"/>
      <c r="AT299" s="686"/>
      <c r="AU299" s="686"/>
      <c r="AV299" s="703"/>
      <c r="AW299" s="686"/>
      <c r="AX299" s="703"/>
      <c r="AY299" s="686"/>
      <c r="AZ299" s="703"/>
      <c r="BA299" s="686"/>
      <c r="BB299" s="703"/>
      <c r="BC299" s="686"/>
      <c r="BD299" s="703"/>
      <c r="BE299" s="686"/>
    </row>
    <row r="300" spans="1:57" s="44" customFormat="1">
      <c r="A300" s="690"/>
      <c r="B300" s="690"/>
      <c r="C300" s="690"/>
      <c r="D300" s="825"/>
      <c r="E300" s="686"/>
      <c r="F300" s="825"/>
      <c r="G300" s="686"/>
      <c r="H300" s="825"/>
      <c r="I300" s="686"/>
      <c r="J300" s="825"/>
      <c r="K300" s="686"/>
      <c r="L300" s="825"/>
      <c r="M300" s="686"/>
      <c r="N300" s="686"/>
      <c r="O300" s="825"/>
      <c r="P300" s="686"/>
      <c r="Q300" s="825"/>
      <c r="R300" s="686"/>
      <c r="S300" s="825"/>
      <c r="T300" s="686"/>
      <c r="U300" s="825"/>
      <c r="V300" s="686"/>
      <c r="W300" s="825"/>
      <c r="X300" s="686"/>
      <c r="Y300" s="686"/>
      <c r="Z300" s="703"/>
      <c r="AA300" s="686"/>
      <c r="AB300" s="703"/>
      <c r="AC300" s="686"/>
      <c r="AD300" s="703"/>
      <c r="AE300" s="686"/>
      <c r="AF300" s="703"/>
      <c r="AG300" s="686"/>
      <c r="AH300" s="703"/>
      <c r="AI300" s="686"/>
      <c r="AJ300" s="686"/>
      <c r="AK300" s="703"/>
      <c r="AL300" s="686"/>
      <c r="AM300" s="703"/>
      <c r="AN300" s="686"/>
      <c r="AO300" s="703"/>
      <c r="AP300" s="686"/>
      <c r="AQ300" s="703"/>
      <c r="AR300" s="686"/>
      <c r="AS300" s="703"/>
      <c r="AT300" s="686"/>
      <c r="AU300" s="686"/>
      <c r="AV300" s="703"/>
      <c r="AW300" s="686"/>
      <c r="AX300" s="703"/>
      <c r="AY300" s="686"/>
      <c r="AZ300" s="703"/>
      <c r="BA300" s="686"/>
      <c r="BB300" s="703"/>
      <c r="BC300" s="686"/>
      <c r="BD300" s="703"/>
      <c r="BE300" s="686"/>
    </row>
    <row r="301" spans="1:57" s="44" customFormat="1">
      <c r="A301" s="690"/>
      <c r="B301" s="690"/>
      <c r="C301" s="690"/>
      <c r="D301" s="825"/>
      <c r="E301" s="686"/>
      <c r="F301" s="825"/>
      <c r="G301" s="686"/>
      <c r="H301" s="825"/>
      <c r="I301" s="686"/>
      <c r="J301" s="825"/>
      <c r="K301" s="686"/>
      <c r="L301" s="825"/>
      <c r="M301" s="686"/>
      <c r="N301" s="686"/>
      <c r="O301" s="825"/>
      <c r="P301" s="686"/>
      <c r="Q301" s="825"/>
      <c r="R301" s="686"/>
      <c r="S301" s="825"/>
      <c r="T301" s="686"/>
      <c r="U301" s="825"/>
      <c r="V301" s="686"/>
      <c r="W301" s="825"/>
      <c r="X301" s="686"/>
      <c r="Y301" s="686"/>
      <c r="Z301" s="703"/>
      <c r="AA301" s="686"/>
      <c r="AB301" s="703"/>
      <c r="AC301" s="686"/>
      <c r="AD301" s="703"/>
      <c r="AE301" s="686"/>
      <c r="AF301" s="703"/>
      <c r="AG301" s="686"/>
      <c r="AH301" s="703"/>
      <c r="AI301" s="686"/>
      <c r="AJ301" s="686"/>
      <c r="AK301" s="703"/>
      <c r="AL301" s="686"/>
      <c r="AM301" s="703"/>
      <c r="AN301" s="686"/>
      <c r="AO301" s="703"/>
      <c r="AP301" s="686"/>
      <c r="AQ301" s="703"/>
      <c r="AR301" s="686"/>
      <c r="AS301" s="703"/>
      <c r="AT301" s="686"/>
      <c r="AU301" s="686"/>
      <c r="AV301" s="703"/>
      <c r="AW301" s="686"/>
      <c r="AX301" s="703"/>
      <c r="AY301" s="686"/>
      <c r="AZ301" s="703"/>
      <c r="BA301" s="686"/>
      <c r="BB301" s="703"/>
      <c r="BC301" s="686"/>
      <c r="BD301" s="703"/>
      <c r="BE301" s="686"/>
    </row>
    <row r="302" spans="1:57" s="44" customFormat="1">
      <c r="A302" s="690"/>
      <c r="B302" s="690"/>
      <c r="C302" s="690"/>
      <c r="D302" s="825"/>
      <c r="E302" s="686"/>
      <c r="F302" s="825"/>
      <c r="G302" s="686"/>
      <c r="H302" s="825"/>
      <c r="I302" s="686"/>
      <c r="J302" s="825"/>
      <c r="K302" s="686"/>
      <c r="L302" s="825"/>
      <c r="M302" s="686"/>
      <c r="N302" s="686"/>
      <c r="O302" s="825"/>
      <c r="P302" s="686"/>
      <c r="Q302" s="825"/>
      <c r="R302" s="686"/>
      <c r="S302" s="825"/>
      <c r="T302" s="686"/>
      <c r="U302" s="825"/>
      <c r="V302" s="686"/>
      <c r="W302" s="825"/>
      <c r="X302" s="686"/>
      <c r="Y302" s="686"/>
      <c r="Z302" s="703"/>
      <c r="AA302" s="686"/>
      <c r="AB302" s="703"/>
      <c r="AC302" s="686"/>
      <c r="AD302" s="703"/>
      <c r="AE302" s="686"/>
      <c r="AF302" s="703"/>
      <c r="AG302" s="686"/>
      <c r="AH302" s="703"/>
      <c r="AI302" s="686"/>
      <c r="AJ302" s="686"/>
      <c r="AK302" s="703"/>
      <c r="AL302" s="686"/>
      <c r="AM302" s="703"/>
      <c r="AN302" s="686"/>
      <c r="AO302" s="703"/>
      <c r="AP302" s="686"/>
      <c r="AQ302" s="703"/>
      <c r="AR302" s="686"/>
      <c r="AS302" s="703"/>
      <c r="AT302" s="686"/>
      <c r="AU302" s="686"/>
      <c r="AV302" s="703"/>
      <c r="AW302" s="686"/>
      <c r="AX302" s="703"/>
      <c r="AY302" s="686"/>
      <c r="AZ302" s="703"/>
      <c r="BA302" s="686"/>
      <c r="BB302" s="703"/>
      <c r="BC302" s="686"/>
      <c r="BD302" s="703"/>
      <c r="BE302" s="686"/>
    </row>
    <row r="303" spans="1:57" s="44" customFormat="1">
      <c r="A303" s="690"/>
      <c r="B303" s="690"/>
      <c r="C303" s="690"/>
      <c r="D303" s="825"/>
      <c r="E303" s="686"/>
      <c r="F303" s="825"/>
      <c r="G303" s="686"/>
      <c r="H303" s="825"/>
      <c r="I303" s="686"/>
      <c r="J303" s="825"/>
      <c r="K303" s="686"/>
      <c r="L303" s="825"/>
      <c r="M303" s="686"/>
      <c r="N303" s="686"/>
      <c r="O303" s="825"/>
      <c r="P303" s="686"/>
      <c r="Q303" s="825"/>
      <c r="R303" s="686"/>
      <c r="S303" s="825"/>
      <c r="T303" s="686"/>
      <c r="U303" s="825"/>
      <c r="V303" s="686"/>
      <c r="W303" s="825"/>
      <c r="X303" s="686"/>
      <c r="Y303" s="686"/>
      <c r="Z303" s="703"/>
      <c r="AA303" s="686"/>
      <c r="AB303" s="703"/>
      <c r="AC303" s="686"/>
      <c r="AD303" s="703"/>
      <c r="AE303" s="686"/>
      <c r="AF303" s="703"/>
      <c r="AG303" s="686"/>
      <c r="AH303" s="703"/>
      <c r="AI303" s="686"/>
      <c r="AJ303" s="686"/>
      <c r="AK303" s="703"/>
      <c r="AL303" s="686"/>
      <c r="AM303" s="703"/>
      <c r="AN303" s="686"/>
      <c r="AO303" s="703"/>
      <c r="AP303" s="686"/>
      <c r="AQ303" s="703"/>
      <c r="AR303" s="686"/>
      <c r="AS303" s="703"/>
      <c r="AT303" s="686"/>
      <c r="AU303" s="686"/>
      <c r="AV303" s="703"/>
      <c r="AW303" s="686"/>
      <c r="AX303" s="703"/>
      <c r="AY303" s="686"/>
      <c r="AZ303" s="703"/>
      <c r="BA303" s="686"/>
      <c r="BB303" s="703"/>
      <c r="BC303" s="686"/>
      <c r="BD303" s="703"/>
      <c r="BE303" s="686"/>
    </row>
    <row r="304" spans="1:57" s="44" customFormat="1">
      <c r="A304" s="690"/>
      <c r="B304" s="690"/>
      <c r="C304" s="690"/>
      <c r="D304" s="825"/>
      <c r="E304" s="686"/>
      <c r="F304" s="825"/>
      <c r="G304" s="686"/>
      <c r="H304" s="825"/>
      <c r="I304" s="686"/>
      <c r="J304" s="825"/>
      <c r="K304" s="686"/>
      <c r="L304" s="825"/>
      <c r="M304" s="686"/>
      <c r="N304" s="686"/>
      <c r="O304" s="825"/>
      <c r="P304" s="686"/>
      <c r="Q304" s="825"/>
      <c r="R304" s="686"/>
      <c r="S304" s="825"/>
      <c r="T304" s="686"/>
      <c r="U304" s="825"/>
      <c r="V304" s="686"/>
      <c r="W304" s="825"/>
      <c r="X304" s="686"/>
      <c r="Y304" s="686"/>
      <c r="Z304" s="703"/>
      <c r="AA304" s="686"/>
      <c r="AB304" s="703"/>
      <c r="AC304" s="686"/>
      <c r="AD304" s="703"/>
      <c r="AE304" s="686"/>
      <c r="AF304" s="703"/>
      <c r="AG304" s="686"/>
      <c r="AH304" s="703"/>
      <c r="AI304" s="686"/>
      <c r="AJ304" s="686"/>
      <c r="AK304" s="703"/>
      <c r="AL304" s="686"/>
      <c r="AM304" s="703"/>
      <c r="AN304" s="686"/>
      <c r="AO304" s="703"/>
      <c r="AP304" s="686"/>
      <c r="AQ304" s="703"/>
      <c r="AR304" s="686"/>
      <c r="AS304" s="703"/>
      <c r="AT304" s="686"/>
      <c r="AU304" s="686"/>
      <c r="AV304" s="703"/>
      <c r="AW304" s="686"/>
      <c r="AX304" s="703"/>
      <c r="AY304" s="686"/>
      <c r="AZ304" s="703"/>
      <c r="BA304" s="686"/>
      <c r="BB304" s="703"/>
      <c r="BC304" s="686"/>
      <c r="BD304" s="703"/>
      <c r="BE304" s="686"/>
    </row>
    <row r="305" spans="1:57" s="44" customFormat="1">
      <c r="A305" s="690"/>
      <c r="B305" s="690"/>
      <c r="C305" s="690"/>
      <c r="D305" s="825"/>
      <c r="E305" s="686"/>
      <c r="F305" s="825"/>
      <c r="G305" s="686"/>
      <c r="H305" s="825"/>
      <c r="I305" s="686"/>
      <c r="J305" s="825"/>
      <c r="K305" s="686"/>
      <c r="L305" s="825"/>
      <c r="M305" s="686"/>
      <c r="N305" s="686"/>
      <c r="O305" s="825"/>
      <c r="P305" s="686"/>
      <c r="Q305" s="825"/>
      <c r="R305" s="686"/>
      <c r="S305" s="825"/>
      <c r="T305" s="686"/>
      <c r="U305" s="825"/>
      <c r="V305" s="686"/>
      <c r="W305" s="825"/>
      <c r="X305" s="686"/>
      <c r="Y305" s="686"/>
      <c r="Z305" s="703"/>
      <c r="AA305" s="686"/>
      <c r="AB305" s="703"/>
      <c r="AC305" s="686"/>
      <c r="AD305" s="703"/>
      <c r="AE305" s="686"/>
      <c r="AF305" s="703"/>
      <c r="AG305" s="686"/>
      <c r="AH305" s="703"/>
      <c r="AI305" s="686"/>
      <c r="AJ305" s="686"/>
      <c r="AK305" s="703"/>
      <c r="AL305" s="686"/>
      <c r="AM305" s="703"/>
      <c r="AN305" s="686"/>
      <c r="AO305" s="703"/>
      <c r="AP305" s="686"/>
      <c r="AQ305" s="703"/>
      <c r="AR305" s="686"/>
      <c r="AS305" s="703"/>
      <c r="AT305" s="686"/>
      <c r="AU305" s="686"/>
      <c r="AV305" s="703"/>
      <c r="AW305" s="686"/>
      <c r="AX305" s="703"/>
      <c r="AY305" s="686"/>
      <c r="AZ305" s="703"/>
      <c r="BA305" s="686"/>
      <c r="BB305" s="703"/>
      <c r="BC305" s="686"/>
      <c r="BD305" s="703"/>
      <c r="BE305" s="686"/>
    </row>
    <row r="306" spans="1:57" s="44" customFormat="1">
      <c r="A306" s="690"/>
      <c r="B306" s="690"/>
      <c r="C306" s="690"/>
      <c r="D306" s="825"/>
      <c r="E306" s="686"/>
      <c r="F306" s="825"/>
      <c r="G306" s="686"/>
      <c r="H306" s="825"/>
      <c r="I306" s="686"/>
      <c r="J306" s="825"/>
      <c r="K306" s="686"/>
      <c r="L306" s="825"/>
      <c r="M306" s="686"/>
      <c r="N306" s="686"/>
      <c r="O306" s="825"/>
      <c r="P306" s="686"/>
      <c r="Q306" s="825"/>
      <c r="R306" s="686"/>
      <c r="S306" s="825"/>
      <c r="T306" s="686"/>
      <c r="U306" s="825"/>
      <c r="V306" s="686"/>
      <c r="W306" s="825"/>
      <c r="X306" s="686"/>
      <c r="Y306" s="686"/>
      <c r="Z306" s="703"/>
      <c r="AA306" s="686"/>
      <c r="AB306" s="703"/>
      <c r="AC306" s="686"/>
      <c r="AD306" s="703"/>
      <c r="AE306" s="686"/>
      <c r="AF306" s="703"/>
      <c r="AG306" s="686"/>
      <c r="AH306" s="703"/>
      <c r="AI306" s="686"/>
      <c r="AJ306" s="686"/>
      <c r="AK306" s="703"/>
      <c r="AL306" s="686"/>
      <c r="AM306" s="703"/>
      <c r="AN306" s="686"/>
      <c r="AO306" s="703"/>
      <c r="AP306" s="686"/>
      <c r="AQ306" s="703"/>
      <c r="AR306" s="686"/>
      <c r="AS306" s="703"/>
      <c r="AT306" s="686"/>
      <c r="AU306" s="686"/>
      <c r="AV306" s="703"/>
      <c r="AW306" s="686"/>
      <c r="AX306" s="703"/>
      <c r="AY306" s="686"/>
      <c r="AZ306" s="703"/>
      <c r="BA306" s="686"/>
      <c r="BB306" s="703"/>
      <c r="BC306" s="686"/>
      <c r="BD306" s="703"/>
      <c r="BE306" s="686"/>
    </row>
    <row r="307" spans="1:57" s="44" customFormat="1">
      <c r="A307" s="690"/>
      <c r="B307" s="690"/>
      <c r="C307" s="690"/>
      <c r="D307" s="825"/>
      <c r="E307" s="686"/>
      <c r="F307" s="825"/>
      <c r="G307" s="686"/>
      <c r="H307" s="825"/>
      <c r="I307" s="686"/>
      <c r="J307" s="825"/>
      <c r="K307" s="686"/>
      <c r="L307" s="825"/>
      <c r="M307" s="686"/>
      <c r="N307" s="686"/>
      <c r="O307" s="825"/>
      <c r="P307" s="686"/>
      <c r="Q307" s="825"/>
      <c r="R307" s="686"/>
      <c r="S307" s="825"/>
      <c r="T307" s="686"/>
      <c r="U307" s="825"/>
      <c r="V307" s="686"/>
      <c r="W307" s="825"/>
      <c r="X307" s="686"/>
      <c r="Y307" s="686"/>
      <c r="Z307" s="703"/>
      <c r="AA307" s="686"/>
      <c r="AB307" s="703"/>
      <c r="AC307" s="686"/>
      <c r="AD307" s="703"/>
      <c r="AE307" s="686"/>
      <c r="AF307" s="703"/>
      <c r="AG307" s="686"/>
      <c r="AH307" s="703"/>
      <c r="AI307" s="686"/>
      <c r="AJ307" s="686"/>
      <c r="AK307" s="703"/>
      <c r="AL307" s="686"/>
      <c r="AM307" s="703"/>
      <c r="AN307" s="686"/>
      <c r="AO307" s="703"/>
      <c r="AP307" s="686"/>
      <c r="AQ307" s="703"/>
      <c r="AR307" s="686"/>
      <c r="AS307" s="703"/>
      <c r="AT307" s="686"/>
      <c r="AU307" s="686"/>
      <c r="AV307" s="703"/>
      <c r="AW307" s="686"/>
      <c r="AX307" s="703"/>
      <c r="AY307" s="686"/>
      <c r="AZ307" s="703"/>
      <c r="BA307" s="686"/>
      <c r="BB307" s="703"/>
      <c r="BC307" s="686"/>
      <c r="BD307" s="703"/>
      <c r="BE307" s="686"/>
    </row>
    <row r="308" spans="1:57" s="44" customFormat="1">
      <c r="A308" s="690"/>
      <c r="B308" s="690"/>
      <c r="C308" s="690"/>
      <c r="D308" s="825"/>
      <c r="E308" s="686"/>
      <c r="F308" s="825"/>
      <c r="G308" s="686"/>
      <c r="H308" s="825"/>
      <c r="I308" s="686"/>
      <c r="J308" s="825"/>
      <c r="K308" s="686"/>
      <c r="L308" s="825"/>
      <c r="M308" s="686"/>
      <c r="N308" s="686"/>
      <c r="O308" s="825"/>
      <c r="P308" s="686"/>
      <c r="Q308" s="825"/>
      <c r="R308" s="686"/>
      <c r="S308" s="825"/>
      <c r="T308" s="686"/>
      <c r="U308" s="825"/>
      <c r="V308" s="686"/>
      <c r="W308" s="825"/>
      <c r="X308" s="686"/>
      <c r="Y308" s="686"/>
      <c r="Z308" s="703"/>
      <c r="AA308" s="686"/>
      <c r="AB308" s="703"/>
      <c r="AC308" s="686"/>
      <c r="AD308" s="703"/>
      <c r="AE308" s="686"/>
      <c r="AF308" s="703"/>
      <c r="AG308" s="686"/>
      <c r="AH308" s="703"/>
      <c r="AI308" s="686"/>
      <c r="AJ308" s="686"/>
      <c r="AK308" s="703"/>
      <c r="AL308" s="686"/>
      <c r="AM308" s="703"/>
      <c r="AN308" s="686"/>
      <c r="AO308" s="703"/>
      <c r="AP308" s="686"/>
      <c r="AQ308" s="703"/>
      <c r="AR308" s="686"/>
      <c r="AS308" s="703"/>
      <c r="AT308" s="686"/>
      <c r="AU308" s="686"/>
      <c r="AV308" s="703"/>
      <c r="AW308" s="686"/>
      <c r="AX308" s="703"/>
      <c r="AY308" s="686"/>
      <c r="AZ308" s="703"/>
      <c r="BA308" s="686"/>
      <c r="BB308" s="703"/>
      <c r="BC308" s="686"/>
      <c r="BD308" s="703"/>
      <c r="BE308" s="686"/>
    </row>
    <row r="309" spans="1:57" s="44" customFormat="1">
      <c r="A309" s="690"/>
      <c r="B309" s="690"/>
      <c r="C309" s="690"/>
      <c r="D309" s="825"/>
      <c r="E309" s="686"/>
      <c r="F309" s="825"/>
      <c r="G309" s="686"/>
      <c r="H309" s="825"/>
      <c r="I309" s="686"/>
      <c r="J309" s="825"/>
      <c r="K309" s="686"/>
      <c r="L309" s="825"/>
      <c r="M309" s="686"/>
      <c r="N309" s="686"/>
      <c r="O309" s="825"/>
      <c r="P309" s="686"/>
      <c r="Q309" s="825"/>
      <c r="R309" s="686"/>
      <c r="S309" s="825"/>
      <c r="T309" s="686"/>
      <c r="U309" s="825"/>
      <c r="V309" s="686"/>
      <c r="W309" s="825"/>
      <c r="X309" s="686"/>
      <c r="Y309" s="686"/>
      <c r="Z309" s="703"/>
      <c r="AA309" s="686"/>
      <c r="AB309" s="703"/>
      <c r="AC309" s="686"/>
      <c r="AD309" s="703"/>
      <c r="AE309" s="686"/>
      <c r="AF309" s="703"/>
      <c r="AG309" s="686"/>
      <c r="AH309" s="703"/>
      <c r="AI309" s="686"/>
      <c r="AJ309" s="686"/>
      <c r="AK309" s="703"/>
      <c r="AL309" s="686"/>
      <c r="AM309" s="703"/>
      <c r="AN309" s="686"/>
      <c r="AO309" s="703"/>
      <c r="AP309" s="686"/>
      <c r="AQ309" s="703"/>
      <c r="AR309" s="686"/>
      <c r="AS309" s="703"/>
      <c r="AT309" s="686"/>
      <c r="AU309" s="686"/>
      <c r="AV309" s="703"/>
      <c r="AW309" s="686"/>
      <c r="AX309" s="703"/>
      <c r="AY309" s="686"/>
      <c r="AZ309" s="703"/>
      <c r="BA309" s="686"/>
      <c r="BB309" s="703"/>
      <c r="BC309" s="686"/>
      <c r="BD309" s="703"/>
      <c r="BE309" s="686"/>
    </row>
    <row r="310" spans="1:57" s="44" customFormat="1">
      <c r="A310" s="690"/>
      <c r="B310" s="690"/>
      <c r="C310" s="690"/>
      <c r="D310" s="825"/>
      <c r="E310" s="686"/>
      <c r="F310" s="825"/>
      <c r="G310" s="686"/>
      <c r="H310" s="825"/>
      <c r="I310" s="686"/>
      <c r="J310" s="825"/>
      <c r="K310" s="686"/>
      <c r="L310" s="825"/>
      <c r="M310" s="686"/>
      <c r="N310" s="686"/>
      <c r="O310" s="825"/>
      <c r="P310" s="686"/>
      <c r="Q310" s="825"/>
      <c r="R310" s="686"/>
      <c r="S310" s="825"/>
      <c r="T310" s="686"/>
      <c r="U310" s="825"/>
      <c r="V310" s="686"/>
      <c r="W310" s="825"/>
      <c r="X310" s="686"/>
      <c r="Y310" s="686"/>
      <c r="Z310" s="703"/>
      <c r="AA310" s="686"/>
      <c r="AB310" s="703"/>
      <c r="AC310" s="686"/>
      <c r="AD310" s="703"/>
      <c r="AE310" s="686"/>
      <c r="AF310" s="703"/>
      <c r="AG310" s="686"/>
      <c r="AH310" s="703"/>
      <c r="AI310" s="686"/>
      <c r="AJ310" s="686"/>
      <c r="AK310" s="703"/>
      <c r="AL310" s="686"/>
      <c r="AM310" s="703"/>
      <c r="AN310" s="686"/>
      <c r="AO310" s="703"/>
      <c r="AP310" s="686"/>
      <c r="AQ310" s="703"/>
      <c r="AR310" s="686"/>
      <c r="AS310" s="703"/>
      <c r="AT310" s="686"/>
      <c r="AU310" s="686"/>
      <c r="AV310" s="703"/>
      <c r="AW310" s="686"/>
      <c r="AX310" s="703"/>
      <c r="AY310" s="686"/>
      <c r="AZ310" s="703"/>
      <c r="BA310" s="686"/>
      <c r="BB310" s="703"/>
      <c r="BC310" s="686"/>
      <c r="BD310" s="703"/>
      <c r="BE310" s="686"/>
    </row>
    <row r="311" spans="1:57" s="44" customFormat="1">
      <c r="A311" s="690"/>
      <c r="B311" s="690"/>
      <c r="C311" s="690"/>
      <c r="D311" s="825"/>
      <c r="E311" s="686"/>
      <c r="F311" s="825"/>
      <c r="G311" s="686"/>
      <c r="H311" s="825"/>
      <c r="I311" s="686"/>
      <c r="J311" s="825"/>
      <c r="K311" s="686"/>
      <c r="L311" s="825"/>
      <c r="M311" s="686"/>
      <c r="N311" s="686"/>
      <c r="O311" s="825"/>
      <c r="P311" s="686"/>
      <c r="Q311" s="825"/>
      <c r="R311" s="686"/>
      <c r="S311" s="825"/>
      <c r="T311" s="686"/>
      <c r="U311" s="825"/>
      <c r="V311" s="686"/>
      <c r="W311" s="825"/>
      <c r="X311" s="686"/>
      <c r="Y311" s="686"/>
      <c r="Z311" s="703"/>
      <c r="AA311" s="686"/>
      <c r="AB311" s="703"/>
      <c r="AC311" s="686"/>
      <c r="AD311" s="703"/>
      <c r="AE311" s="686"/>
      <c r="AF311" s="703"/>
      <c r="AG311" s="686"/>
      <c r="AH311" s="703"/>
      <c r="AI311" s="686"/>
      <c r="AJ311" s="686"/>
      <c r="AK311" s="703"/>
      <c r="AL311" s="686"/>
      <c r="AM311" s="703"/>
      <c r="AN311" s="686"/>
      <c r="AO311" s="703"/>
      <c r="AP311" s="686"/>
      <c r="AQ311" s="703"/>
      <c r="AR311" s="686"/>
      <c r="AS311" s="703"/>
      <c r="AT311" s="686"/>
      <c r="AU311" s="686"/>
      <c r="AV311" s="703"/>
      <c r="AW311" s="686"/>
      <c r="AX311" s="703"/>
      <c r="AY311" s="686"/>
      <c r="AZ311" s="703"/>
      <c r="BA311" s="686"/>
      <c r="BB311" s="703"/>
      <c r="BC311" s="686"/>
      <c r="BD311" s="703"/>
      <c r="BE311" s="686"/>
    </row>
    <row r="312" spans="1:57" s="44" customFormat="1">
      <c r="A312" s="690"/>
      <c r="B312" s="690"/>
      <c r="C312" s="690"/>
      <c r="D312" s="825"/>
      <c r="E312" s="686"/>
      <c r="F312" s="825"/>
      <c r="G312" s="686"/>
      <c r="H312" s="825"/>
      <c r="I312" s="686"/>
      <c r="J312" s="825"/>
      <c r="K312" s="686"/>
      <c r="L312" s="825"/>
      <c r="M312" s="686"/>
      <c r="N312" s="686"/>
      <c r="O312" s="825"/>
      <c r="P312" s="686"/>
      <c r="Q312" s="825"/>
      <c r="R312" s="686"/>
      <c r="S312" s="825"/>
      <c r="T312" s="686"/>
      <c r="U312" s="825"/>
      <c r="V312" s="686"/>
      <c r="W312" s="825"/>
      <c r="X312" s="686"/>
      <c r="Y312" s="686"/>
      <c r="Z312" s="703"/>
      <c r="AA312" s="686"/>
      <c r="AB312" s="703"/>
      <c r="AC312" s="686"/>
      <c r="AD312" s="703"/>
      <c r="AE312" s="686"/>
      <c r="AF312" s="703"/>
      <c r="AG312" s="686"/>
      <c r="AH312" s="703"/>
      <c r="AI312" s="686"/>
      <c r="AJ312" s="686"/>
      <c r="AK312" s="703"/>
      <c r="AL312" s="686"/>
      <c r="AM312" s="703"/>
      <c r="AN312" s="686"/>
      <c r="AO312" s="703"/>
      <c r="AP312" s="686"/>
      <c r="AQ312" s="703"/>
      <c r="AR312" s="686"/>
      <c r="AS312" s="703"/>
      <c r="AT312" s="686"/>
      <c r="AU312" s="686"/>
      <c r="AV312" s="703"/>
      <c r="AW312" s="686"/>
      <c r="AX312" s="703"/>
      <c r="AY312" s="686"/>
      <c r="AZ312" s="703"/>
      <c r="BA312" s="686"/>
      <c r="BB312" s="703"/>
      <c r="BC312" s="686"/>
      <c r="BD312" s="703"/>
      <c r="BE312" s="686"/>
    </row>
    <row r="313" spans="1:57" s="44" customFormat="1">
      <c r="A313" s="690"/>
      <c r="B313" s="690"/>
      <c r="C313" s="690"/>
      <c r="D313" s="825"/>
      <c r="E313" s="686"/>
      <c r="F313" s="825"/>
      <c r="G313" s="686"/>
      <c r="H313" s="825"/>
      <c r="I313" s="686"/>
      <c r="J313" s="825"/>
      <c r="K313" s="686"/>
      <c r="L313" s="825"/>
      <c r="M313" s="686"/>
      <c r="N313" s="686"/>
      <c r="O313" s="825"/>
      <c r="P313" s="686"/>
      <c r="Q313" s="825"/>
      <c r="R313" s="686"/>
      <c r="S313" s="825"/>
      <c r="T313" s="686"/>
      <c r="U313" s="825"/>
      <c r="V313" s="686"/>
      <c r="W313" s="825"/>
      <c r="X313" s="686"/>
      <c r="Y313" s="686"/>
      <c r="Z313" s="703"/>
      <c r="AA313" s="686"/>
      <c r="AB313" s="703"/>
      <c r="AC313" s="686"/>
      <c r="AD313" s="703"/>
      <c r="AE313" s="686"/>
      <c r="AF313" s="703"/>
      <c r="AG313" s="686"/>
      <c r="AH313" s="703"/>
      <c r="AI313" s="686"/>
      <c r="AJ313" s="686"/>
      <c r="AK313" s="703"/>
      <c r="AL313" s="686"/>
      <c r="AM313" s="703"/>
      <c r="AN313" s="686"/>
      <c r="AO313" s="703"/>
      <c r="AP313" s="686"/>
      <c r="AQ313" s="703"/>
      <c r="AR313" s="686"/>
      <c r="AS313" s="703"/>
      <c r="AT313" s="686"/>
      <c r="AU313" s="686"/>
      <c r="AV313" s="703"/>
      <c r="AW313" s="686"/>
      <c r="AX313" s="703"/>
      <c r="AY313" s="686"/>
      <c r="AZ313" s="703"/>
      <c r="BA313" s="686"/>
      <c r="BB313" s="703"/>
      <c r="BC313" s="686"/>
      <c r="BD313" s="703"/>
      <c r="BE313" s="686"/>
    </row>
    <row r="314" spans="1:57" s="44" customFormat="1">
      <c r="A314" s="690"/>
      <c r="B314" s="690"/>
      <c r="C314" s="690"/>
      <c r="D314" s="825"/>
      <c r="E314" s="686"/>
      <c r="F314" s="825"/>
      <c r="G314" s="686"/>
      <c r="H314" s="825"/>
      <c r="I314" s="686"/>
      <c r="J314" s="825"/>
      <c r="K314" s="686"/>
      <c r="L314" s="825"/>
      <c r="M314" s="686"/>
      <c r="N314" s="686"/>
      <c r="O314" s="825"/>
      <c r="P314" s="686"/>
      <c r="Q314" s="825"/>
      <c r="R314" s="686"/>
      <c r="S314" s="825"/>
      <c r="T314" s="686"/>
      <c r="U314" s="825"/>
      <c r="V314" s="686"/>
      <c r="W314" s="825"/>
      <c r="X314" s="686"/>
      <c r="Y314" s="686"/>
      <c r="Z314" s="703"/>
      <c r="AA314" s="686"/>
      <c r="AB314" s="703"/>
      <c r="AC314" s="686"/>
      <c r="AD314" s="703"/>
      <c r="AE314" s="686"/>
      <c r="AF314" s="703"/>
      <c r="AG314" s="686"/>
      <c r="AH314" s="703"/>
      <c r="AI314" s="686"/>
      <c r="AJ314" s="686"/>
      <c r="AK314" s="703"/>
      <c r="AL314" s="686"/>
      <c r="AM314" s="703"/>
      <c r="AN314" s="686"/>
      <c r="AO314" s="703"/>
      <c r="AP314" s="686"/>
      <c r="AQ314" s="703"/>
      <c r="AR314" s="686"/>
      <c r="AS314" s="703"/>
      <c r="AT314" s="686"/>
      <c r="AU314" s="686"/>
      <c r="AV314" s="703"/>
      <c r="AW314" s="686"/>
      <c r="AX314" s="703"/>
      <c r="AY314" s="686"/>
      <c r="AZ314" s="703"/>
      <c r="BA314" s="686"/>
      <c r="BB314" s="703"/>
      <c r="BC314" s="686"/>
      <c r="BD314" s="703"/>
      <c r="BE314" s="686"/>
    </row>
    <row r="315" spans="1:57" s="44" customFormat="1">
      <c r="A315" s="690"/>
      <c r="B315" s="690"/>
      <c r="C315" s="690"/>
      <c r="D315" s="825"/>
      <c r="E315" s="686"/>
      <c r="F315" s="825"/>
      <c r="G315" s="686"/>
      <c r="H315" s="825"/>
      <c r="I315" s="686"/>
      <c r="J315" s="825"/>
      <c r="K315" s="686"/>
      <c r="L315" s="825"/>
      <c r="M315" s="686"/>
      <c r="N315" s="686"/>
      <c r="O315" s="825"/>
      <c r="P315" s="686"/>
      <c r="Q315" s="825"/>
      <c r="R315" s="686"/>
      <c r="S315" s="825"/>
      <c r="T315" s="686"/>
      <c r="U315" s="825"/>
      <c r="V315" s="686"/>
      <c r="W315" s="825"/>
      <c r="X315" s="686"/>
      <c r="Y315" s="686"/>
      <c r="Z315" s="703"/>
      <c r="AA315" s="686"/>
      <c r="AB315" s="703"/>
      <c r="AC315" s="686"/>
      <c r="AD315" s="703"/>
      <c r="AE315" s="686"/>
      <c r="AF315" s="703"/>
      <c r="AG315" s="686"/>
      <c r="AH315" s="703"/>
      <c r="AI315" s="686"/>
      <c r="AJ315" s="686"/>
      <c r="AK315" s="703"/>
      <c r="AL315" s="686"/>
      <c r="AM315" s="703"/>
      <c r="AN315" s="686"/>
      <c r="AO315" s="703"/>
      <c r="AP315" s="686"/>
      <c r="AQ315" s="703"/>
      <c r="AR315" s="686"/>
      <c r="AS315" s="703"/>
      <c r="AT315" s="686"/>
      <c r="AU315" s="686"/>
      <c r="AV315" s="703"/>
      <c r="AW315" s="686"/>
      <c r="AX315" s="703"/>
      <c r="AY315" s="686"/>
      <c r="AZ315" s="703"/>
      <c r="BA315" s="686"/>
      <c r="BB315" s="703"/>
      <c r="BC315" s="686"/>
      <c r="BD315" s="703"/>
      <c r="BE315" s="686"/>
    </row>
    <row r="316" spans="1:57" s="44" customFormat="1">
      <c r="A316" s="690"/>
      <c r="B316" s="690"/>
      <c r="C316" s="690"/>
      <c r="D316" s="825"/>
      <c r="E316" s="686"/>
      <c r="F316" s="825"/>
      <c r="G316" s="686"/>
      <c r="H316" s="825"/>
      <c r="I316" s="686"/>
      <c r="J316" s="825"/>
      <c r="K316" s="686"/>
      <c r="L316" s="825"/>
      <c r="M316" s="686"/>
      <c r="N316" s="686"/>
      <c r="O316" s="825"/>
      <c r="P316" s="686"/>
      <c r="Q316" s="825"/>
      <c r="R316" s="686"/>
      <c r="S316" s="825"/>
      <c r="T316" s="686"/>
      <c r="U316" s="825"/>
      <c r="V316" s="686"/>
      <c r="W316" s="825"/>
      <c r="X316" s="686"/>
      <c r="Y316" s="686"/>
      <c r="Z316" s="703"/>
      <c r="AA316" s="686"/>
      <c r="AB316" s="703"/>
      <c r="AC316" s="686"/>
      <c r="AD316" s="703"/>
      <c r="AE316" s="686"/>
      <c r="AF316" s="703"/>
      <c r="AG316" s="686"/>
      <c r="AH316" s="703"/>
      <c r="AI316" s="686"/>
      <c r="AJ316" s="686"/>
      <c r="AK316" s="703"/>
      <c r="AL316" s="686"/>
      <c r="AM316" s="703"/>
      <c r="AN316" s="686"/>
      <c r="AO316" s="703"/>
      <c r="AP316" s="686"/>
      <c r="AQ316" s="703"/>
      <c r="AR316" s="686"/>
      <c r="AS316" s="703"/>
      <c r="AT316" s="686"/>
      <c r="AU316" s="686"/>
      <c r="AV316" s="703"/>
      <c r="AW316" s="686"/>
      <c r="AX316" s="703"/>
      <c r="AY316" s="686"/>
      <c r="AZ316" s="703"/>
      <c r="BA316" s="686"/>
      <c r="BB316" s="703"/>
      <c r="BC316" s="686"/>
      <c r="BD316" s="703"/>
      <c r="BE316" s="686"/>
    </row>
    <row r="317" spans="1:57" s="44" customFormat="1">
      <c r="A317" s="690"/>
      <c r="B317" s="690"/>
      <c r="C317" s="690"/>
      <c r="D317" s="825"/>
      <c r="E317" s="686"/>
      <c r="F317" s="825"/>
      <c r="G317" s="686"/>
      <c r="H317" s="825"/>
      <c r="I317" s="686"/>
      <c r="J317" s="825"/>
      <c r="K317" s="686"/>
      <c r="L317" s="825"/>
      <c r="M317" s="686"/>
      <c r="N317" s="686"/>
      <c r="O317" s="825"/>
      <c r="P317" s="686"/>
      <c r="Q317" s="825"/>
      <c r="R317" s="686"/>
      <c r="S317" s="825"/>
      <c r="T317" s="686"/>
      <c r="U317" s="825"/>
      <c r="V317" s="686"/>
      <c r="W317" s="825"/>
      <c r="X317" s="686"/>
      <c r="Y317" s="686"/>
      <c r="Z317" s="703"/>
      <c r="AA317" s="686"/>
      <c r="AB317" s="703"/>
      <c r="AC317" s="686"/>
      <c r="AD317" s="703"/>
      <c r="AE317" s="686"/>
      <c r="AF317" s="703"/>
      <c r="AG317" s="686"/>
      <c r="AH317" s="703"/>
      <c r="AI317" s="686"/>
      <c r="AJ317" s="686"/>
      <c r="AK317" s="703"/>
      <c r="AL317" s="686"/>
      <c r="AM317" s="703"/>
      <c r="AN317" s="686"/>
      <c r="AO317" s="703"/>
      <c r="AP317" s="686"/>
      <c r="AQ317" s="703"/>
      <c r="AR317" s="686"/>
      <c r="AS317" s="703"/>
      <c r="AT317" s="686"/>
      <c r="AU317" s="686"/>
      <c r="AV317" s="703"/>
      <c r="AW317" s="686"/>
      <c r="AX317" s="703"/>
      <c r="AY317" s="686"/>
      <c r="AZ317" s="703"/>
      <c r="BA317" s="686"/>
      <c r="BB317" s="703"/>
      <c r="BC317" s="686"/>
      <c r="BD317" s="703"/>
      <c r="BE317" s="686"/>
    </row>
    <row r="318" spans="1:57" s="44" customFormat="1">
      <c r="A318" s="690"/>
      <c r="B318" s="690"/>
      <c r="C318" s="690"/>
      <c r="D318" s="825"/>
      <c r="E318" s="686"/>
      <c r="F318" s="825"/>
      <c r="G318" s="686"/>
      <c r="H318" s="825"/>
      <c r="I318" s="686"/>
      <c r="J318" s="825"/>
      <c r="K318" s="686"/>
      <c r="L318" s="825"/>
      <c r="M318" s="686"/>
      <c r="N318" s="686"/>
      <c r="O318" s="825"/>
      <c r="P318" s="686"/>
      <c r="Q318" s="825"/>
      <c r="R318" s="686"/>
      <c r="S318" s="825"/>
      <c r="T318" s="686"/>
      <c r="U318" s="825"/>
      <c r="V318" s="686"/>
      <c r="W318" s="825"/>
      <c r="X318" s="686"/>
      <c r="Y318" s="686"/>
      <c r="Z318" s="703"/>
      <c r="AA318" s="686"/>
      <c r="AB318" s="703"/>
      <c r="AC318" s="686"/>
      <c r="AD318" s="703"/>
      <c r="AE318" s="686"/>
      <c r="AF318" s="703"/>
      <c r="AG318" s="686"/>
      <c r="AH318" s="703"/>
      <c r="AI318" s="686"/>
      <c r="AJ318" s="686"/>
      <c r="AK318" s="703"/>
      <c r="AL318" s="686"/>
      <c r="AM318" s="703"/>
      <c r="AN318" s="686"/>
      <c r="AO318" s="703"/>
      <c r="AP318" s="686"/>
      <c r="AQ318" s="703"/>
      <c r="AR318" s="686"/>
      <c r="AS318" s="703"/>
      <c r="AT318" s="686"/>
      <c r="AU318" s="686"/>
      <c r="AV318" s="703"/>
      <c r="AW318" s="686"/>
      <c r="AX318" s="703"/>
      <c r="AY318" s="686"/>
      <c r="AZ318" s="703"/>
      <c r="BA318" s="686"/>
      <c r="BB318" s="703"/>
      <c r="BC318" s="686"/>
      <c r="BD318" s="703"/>
      <c r="BE318" s="686"/>
    </row>
    <row r="319" spans="1:57" s="44" customFormat="1">
      <c r="A319" s="690"/>
      <c r="B319" s="690"/>
      <c r="C319" s="690"/>
      <c r="D319" s="825"/>
      <c r="E319" s="686"/>
      <c r="F319" s="825"/>
      <c r="G319" s="686"/>
      <c r="H319" s="825"/>
      <c r="I319" s="686"/>
      <c r="J319" s="825"/>
      <c r="K319" s="686"/>
      <c r="L319" s="825"/>
      <c r="M319" s="686"/>
      <c r="N319" s="686"/>
      <c r="O319" s="825"/>
      <c r="P319" s="686"/>
      <c r="Q319" s="825"/>
      <c r="R319" s="686"/>
      <c r="S319" s="825"/>
      <c r="T319" s="686"/>
      <c r="U319" s="825"/>
      <c r="V319" s="686"/>
      <c r="W319" s="825"/>
      <c r="X319" s="686"/>
      <c r="Y319" s="686"/>
      <c r="Z319" s="703"/>
      <c r="AA319" s="686"/>
      <c r="AB319" s="703"/>
      <c r="AC319" s="686"/>
      <c r="AD319" s="703"/>
      <c r="AE319" s="686"/>
      <c r="AF319" s="703"/>
      <c r="AG319" s="686"/>
      <c r="AH319" s="703"/>
      <c r="AI319" s="686"/>
      <c r="AJ319" s="686"/>
      <c r="AK319" s="703"/>
      <c r="AL319" s="686"/>
      <c r="AM319" s="703"/>
      <c r="AN319" s="686"/>
      <c r="AO319" s="703"/>
      <c r="AP319" s="686"/>
      <c r="AQ319" s="703"/>
      <c r="AR319" s="686"/>
      <c r="AS319" s="703"/>
      <c r="AT319" s="686"/>
      <c r="AU319" s="686"/>
      <c r="AV319" s="703"/>
      <c r="AW319" s="686"/>
      <c r="AX319" s="703"/>
      <c r="AY319" s="686"/>
      <c r="AZ319" s="703"/>
      <c r="BA319" s="686"/>
      <c r="BB319" s="703"/>
      <c r="BC319" s="686"/>
      <c r="BD319" s="703"/>
      <c r="BE319" s="686"/>
    </row>
    <row r="320" spans="1:57" s="44" customFormat="1">
      <c r="A320" s="690"/>
      <c r="B320" s="690"/>
      <c r="C320" s="690"/>
      <c r="D320" s="825"/>
      <c r="E320" s="686"/>
      <c r="F320" s="825"/>
      <c r="G320" s="686"/>
      <c r="H320" s="825"/>
      <c r="I320" s="686"/>
      <c r="J320" s="825"/>
      <c r="K320" s="686"/>
      <c r="L320" s="825"/>
      <c r="M320" s="686"/>
      <c r="N320" s="686"/>
      <c r="O320" s="825"/>
      <c r="P320" s="686"/>
      <c r="Q320" s="825"/>
      <c r="R320" s="686"/>
      <c r="S320" s="825"/>
      <c r="T320" s="686"/>
      <c r="U320" s="825"/>
      <c r="V320" s="686"/>
      <c r="W320" s="825"/>
      <c r="X320" s="686"/>
      <c r="Y320" s="686"/>
      <c r="Z320" s="703"/>
      <c r="AA320" s="686"/>
      <c r="AB320" s="703"/>
      <c r="AC320" s="686"/>
      <c r="AD320" s="703"/>
      <c r="AE320" s="686"/>
      <c r="AF320" s="703"/>
      <c r="AG320" s="686"/>
      <c r="AH320" s="703"/>
      <c r="AI320" s="686"/>
      <c r="AJ320" s="686"/>
      <c r="AK320" s="703"/>
      <c r="AL320" s="686"/>
      <c r="AM320" s="703"/>
      <c r="AN320" s="686"/>
      <c r="AO320" s="703"/>
      <c r="AP320" s="686"/>
      <c r="AQ320" s="703"/>
      <c r="AR320" s="686"/>
      <c r="AS320" s="703"/>
      <c r="AT320" s="686"/>
      <c r="AU320" s="686"/>
      <c r="AV320" s="703"/>
      <c r="AW320" s="686"/>
      <c r="AX320" s="703"/>
      <c r="AY320" s="686"/>
      <c r="AZ320" s="703"/>
      <c r="BA320" s="686"/>
      <c r="BB320" s="703"/>
      <c r="BC320" s="686"/>
      <c r="BD320" s="703"/>
      <c r="BE320" s="686"/>
    </row>
    <row r="321" spans="1:57" s="44" customFormat="1">
      <c r="A321" s="690"/>
      <c r="B321" s="690"/>
      <c r="C321" s="690"/>
      <c r="D321" s="825"/>
      <c r="E321" s="686"/>
      <c r="F321" s="825"/>
      <c r="G321" s="686"/>
      <c r="H321" s="825"/>
      <c r="I321" s="686"/>
      <c r="J321" s="825"/>
      <c r="K321" s="686"/>
      <c r="L321" s="825"/>
      <c r="M321" s="686"/>
      <c r="N321" s="686"/>
      <c r="O321" s="825"/>
      <c r="P321" s="686"/>
      <c r="Q321" s="825"/>
      <c r="R321" s="686"/>
      <c r="S321" s="825"/>
      <c r="T321" s="686"/>
      <c r="U321" s="825"/>
      <c r="V321" s="686"/>
      <c r="W321" s="825"/>
      <c r="X321" s="686"/>
      <c r="Y321" s="686"/>
      <c r="Z321" s="703"/>
      <c r="AA321" s="686"/>
      <c r="AB321" s="703"/>
      <c r="AC321" s="686"/>
      <c r="AD321" s="703"/>
      <c r="AE321" s="686"/>
      <c r="AF321" s="703"/>
      <c r="AG321" s="686"/>
      <c r="AH321" s="703"/>
      <c r="AI321" s="686"/>
      <c r="AJ321" s="686"/>
      <c r="AK321" s="703"/>
      <c r="AL321" s="686"/>
      <c r="AM321" s="703"/>
      <c r="AN321" s="686"/>
      <c r="AO321" s="703"/>
      <c r="AP321" s="686"/>
      <c r="AQ321" s="703"/>
      <c r="AR321" s="686"/>
      <c r="AS321" s="703"/>
      <c r="AT321" s="686"/>
      <c r="AU321" s="686"/>
      <c r="AV321" s="703"/>
      <c r="AW321" s="686"/>
      <c r="AX321" s="703"/>
      <c r="AY321" s="686"/>
      <c r="AZ321" s="703"/>
      <c r="BA321" s="686"/>
      <c r="BB321" s="703"/>
      <c r="BC321" s="686"/>
      <c r="BD321" s="703"/>
      <c r="BE321" s="686"/>
    </row>
    <row r="322" spans="1:57" s="44" customFormat="1">
      <c r="A322" s="690"/>
      <c r="B322" s="690"/>
      <c r="C322" s="690"/>
      <c r="D322" s="825"/>
      <c r="E322" s="686"/>
      <c r="F322" s="825"/>
      <c r="G322" s="686"/>
      <c r="H322" s="825"/>
      <c r="I322" s="686"/>
      <c r="J322" s="825"/>
      <c r="K322" s="686"/>
      <c r="L322" s="825"/>
      <c r="M322" s="686"/>
      <c r="N322" s="686"/>
      <c r="O322" s="825"/>
      <c r="P322" s="686"/>
      <c r="Q322" s="825"/>
      <c r="R322" s="686"/>
      <c r="S322" s="825"/>
      <c r="T322" s="686"/>
      <c r="U322" s="825"/>
      <c r="V322" s="686"/>
      <c r="W322" s="825"/>
      <c r="X322" s="686"/>
      <c r="Y322" s="686"/>
      <c r="Z322" s="703"/>
      <c r="AA322" s="686"/>
      <c r="AB322" s="703"/>
      <c r="AC322" s="686"/>
      <c r="AD322" s="703"/>
      <c r="AE322" s="686"/>
      <c r="AF322" s="703"/>
      <c r="AG322" s="686"/>
      <c r="AH322" s="703"/>
      <c r="AI322" s="686"/>
      <c r="AJ322" s="686"/>
      <c r="AK322" s="703"/>
      <c r="AL322" s="686"/>
      <c r="AM322" s="703"/>
      <c r="AN322" s="686"/>
      <c r="AO322" s="703"/>
      <c r="AP322" s="686"/>
      <c r="AQ322" s="703"/>
      <c r="AR322" s="686"/>
      <c r="AS322" s="703"/>
      <c r="AT322" s="686"/>
      <c r="AU322" s="686"/>
      <c r="AV322" s="703"/>
      <c r="AW322" s="686"/>
      <c r="AX322" s="703"/>
      <c r="AY322" s="686"/>
      <c r="AZ322" s="703"/>
      <c r="BA322" s="686"/>
      <c r="BB322" s="703"/>
      <c r="BC322" s="686"/>
      <c r="BD322" s="703"/>
      <c r="BE322" s="686"/>
    </row>
    <row r="323" spans="1:57" s="44" customFormat="1">
      <c r="A323" s="690"/>
      <c r="B323" s="690"/>
      <c r="C323" s="690"/>
      <c r="D323" s="825"/>
      <c r="E323" s="686"/>
      <c r="F323" s="825"/>
      <c r="G323" s="686"/>
      <c r="H323" s="825"/>
      <c r="I323" s="686"/>
      <c r="J323" s="825"/>
      <c r="K323" s="686"/>
      <c r="L323" s="825"/>
      <c r="M323" s="686"/>
      <c r="N323" s="686"/>
      <c r="O323" s="825"/>
      <c r="P323" s="686"/>
      <c r="Q323" s="825"/>
      <c r="R323" s="686"/>
      <c r="S323" s="825"/>
      <c r="T323" s="686"/>
      <c r="U323" s="825"/>
      <c r="V323" s="686"/>
      <c r="W323" s="825"/>
      <c r="X323" s="686"/>
      <c r="Y323" s="686"/>
      <c r="Z323" s="703"/>
      <c r="AA323" s="686"/>
      <c r="AB323" s="703"/>
      <c r="AC323" s="686"/>
      <c r="AD323" s="703"/>
      <c r="AE323" s="686"/>
      <c r="AF323" s="703"/>
      <c r="AG323" s="686"/>
      <c r="AH323" s="703"/>
      <c r="AI323" s="686"/>
      <c r="AJ323" s="686"/>
      <c r="AK323" s="703"/>
      <c r="AL323" s="686"/>
      <c r="AM323" s="703"/>
      <c r="AN323" s="686"/>
      <c r="AO323" s="703"/>
      <c r="AP323" s="686"/>
      <c r="AQ323" s="703"/>
      <c r="AR323" s="686"/>
      <c r="AS323" s="703"/>
      <c r="AT323" s="686"/>
      <c r="AU323" s="686"/>
      <c r="AV323" s="703"/>
      <c r="AW323" s="686"/>
      <c r="AX323" s="703"/>
      <c r="AY323" s="686"/>
      <c r="AZ323" s="703"/>
      <c r="BA323" s="686"/>
      <c r="BB323" s="703"/>
      <c r="BC323" s="686"/>
      <c r="BD323" s="703"/>
      <c r="BE323" s="686"/>
    </row>
    <row r="324" spans="1:57" s="44" customFormat="1">
      <c r="A324" s="690"/>
      <c r="B324" s="690"/>
      <c r="C324" s="690"/>
      <c r="D324" s="825"/>
      <c r="E324" s="686"/>
      <c r="F324" s="825"/>
      <c r="G324" s="686"/>
      <c r="H324" s="825"/>
      <c r="I324" s="686"/>
      <c r="J324" s="825"/>
      <c r="K324" s="686"/>
      <c r="L324" s="825"/>
      <c r="M324" s="686"/>
      <c r="N324" s="686"/>
      <c r="O324" s="825"/>
      <c r="P324" s="686"/>
      <c r="Q324" s="825"/>
      <c r="R324" s="686"/>
      <c r="S324" s="825"/>
      <c r="T324" s="686"/>
      <c r="U324" s="825"/>
      <c r="V324" s="686"/>
      <c r="W324" s="825"/>
      <c r="X324" s="686"/>
      <c r="Y324" s="686"/>
      <c r="Z324" s="703"/>
      <c r="AA324" s="686"/>
      <c r="AB324" s="703"/>
      <c r="AC324" s="686"/>
      <c r="AD324" s="703"/>
      <c r="AE324" s="686"/>
      <c r="AF324" s="703"/>
      <c r="AG324" s="686"/>
      <c r="AH324" s="703"/>
      <c r="AI324" s="686"/>
      <c r="AJ324" s="686"/>
      <c r="AK324" s="703"/>
      <c r="AL324" s="686"/>
      <c r="AM324" s="703"/>
      <c r="AN324" s="686"/>
      <c r="AO324" s="703"/>
      <c r="AP324" s="686"/>
      <c r="AQ324" s="703"/>
      <c r="AR324" s="686"/>
      <c r="AS324" s="703"/>
      <c r="AT324" s="686"/>
      <c r="AU324" s="686"/>
      <c r="AV324" s="703"/>
      <c r="AW324" s="686"/>
      <c r="AX324" s="703"/>
      <c r="AY324" s="686"/>
      <c r="AZ324" s="703"/>
      <c r="BA324" s="686"/>
      <c r="BB324" s="703"/>
      <c r="BC324" s="686"/>
      <c r="BD324" s="703"/>
      <c r="BE324" s="686"/>
    </row>
    <row r="325" spans="1:57" s="44" customFormat="1">
      <c r="A325" s="690"/>
      <c r="B325" s="690"/>
      <c r="C325" s="690"/>
      <c r="D325" s="825"/>
      <c r="E325" s="686"/>
      <c r="F325" s="825"/>
      <c r="G325" s="686"/>
      <c r="H325" s="825"/>
      <c r="I325" s="686"/>
      <c r="J325" s="825"/>
      <c r="K325" s="686"/>
      <c r="L325" s="825"/>
      <c r="M325" s="686"/>
      <c r="N325" s="686"/>
      <c r="O325" s="825"/>
      <c r="P325" s="686"/>
      <c r="Q325" s="825"/>
      <c r="R325" s="686"/>
      <c r="S325" s="825"/>
      <c r="T325" s="686"/>
      <c r="U325" s="825"/>
      <c r="V325" s="686"/>
      <c r="W325" s="825"/>
      <c r="X325" s="686"/>
      <c r="Y325" s="686"/>
      <c r="Z325" s="703"/>
      <c r="AA325" s="686"/>
      <c r="AB325" s="703"/>
      <c r="AC325" s="686"/>
      <c r="AD325" s="703"/>
      <c r="AE325" s="686"/>
      <c r="AF325" s="703"/>
      <c r="AG325" s="686"/>
      <c r="AH325" s="703"/>
      <c r="AI325" s="686"/>
      <c r="AJ325" s="686"/>
      <c r="AK325" s="703"/>
      <c r="AL325" s="686"/>
      <c r="AM325" s="703"/>
      <c r="AN325" s="686"/>
      <c r="AO325" s="703"/>
      <c r="AP325" s="686"/>
      <c r="AQ325" s="703"/>
      <c r="AR325" s="686"/>
      <c r="AS325" s="703"/>
      <c r="AT325" s="686"/>
      <c r="AU325" s="686"/>
      <c r="AV325" s="703"/>
      <c r="AW325" s="686"/>
      <c r="AX325" s="703"/>
      <c r="AY325" s="686"/>
      <c r="AZ325" s="703"/>
      <c r="BA325" s="686"/>
      <c r="BB325" s="703"/>
      <c r="BC325" s="686"/>
      <c r="BD325" s="703"/>
      <c r="BE325" s="686"/>
    </row>
    <row r="326" spans="1:57" s="44" customFormat="1">
      <c r="A326" s="690"/>
      <c r="B326" s="690"/>
      <c r="C326" s="690"/>
      <c r="D326" s="825"/>
      <c r="E326" s="686"/>
      <c r="F326" s="825"/>
      <c r="G326" s="686"/>
      <c r="H326" s="825"/>
      <c r="I326" s="686"/>
      <c r="J326" s="825"/>
      <c r="K326" s="686"/>
      <c r="L326" s="825"/>
      <c r="M326" s="686"/>
      <c r="N326" s="686"/>
      <c r="O326" s="825"/>
      <c r="P326" s="686"/>
      <c r="Q326" s="825"/>
      <c r="R326" s="686"/>
      <c r="S326" s="825"/>
      <c r="T326" s="686"/>
      <c r="U326" s="825"/>
      <c r="V326" s="686"/>
      <c r="W326" s="825"/>
      <c r="X326" s="686"/>
      <c r="Y326" s="686"/>
      <c r="Z326" s="703"/>
      <c r="AA326" s="686"/>
      <c r="AB326" s="703"/>
      <c r="AC326" s="686"/>
      <c r="AD326" s="703"/>
      <c r="AE326" s="686"/>
      <c r="AF326" s="703"/>
      <c r="AG326" s="686"/>
      <c r="AH326" s="703"/>
      <c r="AI326" s="686"/>
      <c r="AJ326" s="686"/>
      <c r="AK326" s="703"/>
      <c r="AL326" s="686"/>
      <c r="AM326" s="703"/>
      <c r="AN326" s="686"/>
      <c r="AO326" s="703"/>
      <c r="AP326" s="686"/>
      <c r="AQ326" s="703"/>
      <c r="AR326" s="686"/>
      <c r="AS326" s="703"/>
      <c r="AT326" s="686"/>
      <c r="AU326" s="686"/>
      <c r="AV326" s="703"/>
      <c r="AW326" s="686"/>
      <c r="AX326" s="703"/>
      <c r="AY326" s="686"/>
      <c r="AZ326" s="703"/>
      <c r="BA326" s="686"/>
      <c r="BB326" s="703"/>
      <c r="BC326" s="686"/>
      <c r="BD326" s="703"/>
      <c r="BE326" s="686"/>
    </row>
    <row r="327" spans="1:57" s="44" customFormat="1">
      <c r="A327" s="690"/>
      <c r="B327" s="690"/>
      <c r="C327" s="690"/>
      <c r="D327" s="825"/>
      <c r="E327" s="686"/>
      <c r="F327" s="825"/>
      <c r="G327" s="686"/>
      <c r="H327" s="825"/>
      <c r="I327" s="686"/>
      <c r="J327" s="825"/>
      <c r="K327" s="686"/>
      <c r="L327" s="825"/>
      <c r="M327" s="686"/>
      <c r="N327" s="686"/>
      <c r="O327" s="825"/>
      <c r="P327" s="686"/>
      <c r="Q327" s="825"/>
      <c r="R327" s="686"/>
      <c r="S327" s="825"/>
      <c r="T327" s="686"/>
      <c r="U327" s="825"/>
      <c r="V327" s="686"/>
      <c r="W327" s="825"/>
      <c r="X327" s="686"/>
      <c r="Y327" s="686"/>
      <c r="Z327" s="703"/>
      <c r="AA327" s="686"/>
      <c r="AB327" s="703"/>
      <c r="AC327" s="686"/>
      <c r="AD327" s="703"/>
      <c r="AE327" s="686"/>
      <c r="AF327" s="703"/>
      <c r="AG327" s="686"/>
      <c r="AH327" s="703"/>
      <c r="AI327" s="686"/>
      <c r="AJ327" s="686"/>
      <c r="AK327" s="703"/>
      <c r="AL327" s="686"/>
      <c r="AM327" s="703"/>
      <c r="AN327" s="686"/>
      <c r="AO327" s="703"/>
      <c r="AP327" s="686"/>
      <c r="AQ327" s="703"/>
      <c r="AR327" s="686"/>
      <c r="AS327" s="703"/>
      <c r="AT327" s="686"/>
      <c r="AU327" s="686"/>
      <c r="AV327" s="703"/>
      <c r="AW327" s="686"/>
      <c r="AX327" s="703"/>
      <c r="AY327" s="686"/>
      <c r="AZ327" s="703"/>
      <c r="BA327" s="686"/>
      <c r="BB327" s="703"/>
      <c r="BC327" s="686"/>
      <c r="BD327" s="703"/>
      <c r="BE327" s="686"/>
    </row>
    <row r="328" spans="1:57" s="44" customFormat="1">
      <c r="A328" s="690"/>
      <c r="B328" s="690"/>
      <c r="C328" s="690"/>
      <c r="D328" s="825"/>
      <c r="E328" s="686"/>
      <c r="F328" s="825"/>
      <c r="G328" s="686"/>
      <c r="H328" s="825"/>
      <c r="I328" s="686"/>
      <c r="J328" s="825"/>
      <c r="K328" s="686"/>
      <c r="L328" s="825"/>
      <c r="M328" s="686"/>
      <c r="N328" s="686"/>
      <c r="O328" s="825"/>
      <c r="P328" s="686"/>
      <c r="Q328" s="825"/>
      <c r="R328" s="686"/>
      <c r="S328" s="825"/>
      <c r="T328" s="686"/>
      <c r="U328" s="825"/>
      <c r="V328" s="686"/>
      <c r="W328" s="825"/>
      <c r="X328" s="686"/>
      <c r="Y328" s="686"/>
      <c r="Z328" s="703"/>
      <c r="AA328" s="686"/>
      <c r="AB328" s="703"/>
      <c r="AC328" s="686"/>
      <c r="AD328" s="703"/>
      <c r="AE328" s="686"/>
      <c r="AF328" s="703"/>
      <c r="AG328" s="686"/>
      <c r="AH328" s="703"/>
      <c r="AI328" s="686"/>
      <c r="AJ328" s="686"/>
      <c r="AK328" s="703"/>
      <c r="AL328" s="686"/>
      <c r="AM328" s="703"/>
      <c r="AN328" s="686"/>
      <c r="AO328" s="703"/>
      <c r="AP328" s="686"/>
      <c r="AQ328" s="703"/>
      <c r="AR328" s="686"/>
      <c r="AS328" s="703"/>
      <c r="AT328" s="686"/>
      <c r="AU328" s="686"/>
      <c r="AV328" s="703"/>
      <c r="AW328" s="686"/>
      <c r="AX328" s="703"/>
      <c r="AY328" s="686"/>
      <c r="AZ328" s="703"/>
      <c r="BA328" s="686"/>
      <c r="BB328" s="703"/>
      <c r="BC328" s="686"/>
      <c r="BD328" s="703"/>
      <c r="BE328" s="686"/>
    </row>
    <row r="329" spans="1:57" s="44" customFormat="1">
      <c r="A329" s="690"/>
      <c r="B329" s="690"/>
      <c r="C329" s="690"/>
      <c r="D329" s="825"/>
      <c r="E329" s="686"/>
      <c r="F329" s="825"/>
      <c r="G329" s="686"/>
      <c r="H329" s="825"/>
      <c r="I329" s="686"/>
      <c r="J329" s="825"/>
      <c r="K329" s="686"/>
      <c r="L329" s="825"/>
      <c r="M329" s="686"/>
      <c r="N329" s="686"/>
      <c r="O329" s="825"/>
      <c r="P329" s="686"/>
      <c r="Q329" s="825"/>
      <c r="R329" s="686"/>
      <c r="S329" s="825"/>
      <c r="T329" s="686"/>
      <c r="U329" s="825"/>
      <c r="V329" s="686"/>
      <c r="W329" s="825"/>
      <c r="X329" s="686"/>
      <c r="Y329" s="686"/>
      <c r="Z329" s="703"/>
      <c r="AA329" s="686"/>
      <c r="AB329" s="703"/>
      <c r="AC329" s="686"/>
      <c r="AD329" s="703"/>
      <c r="AE329" s="686"/>
      <c r="AF329" s="703"/>
      <c r="AG329" s="686"/>
      <c r="AH329" s="703"/>
      <c r="AI329" s="686"/>
      <c r="AJ329" s="686"/>
      <c r="AK329" s="703"/>
      <c r="AL329" s="686"/>
      <c r="AM329" s="703"/>
      <c r="AN329" s="686"/>
      <c r="AO329" s="703"/>
      <c r="AP329" s="686"/>
      <c r="AQ329" s="703"/>
      <c r="AR329" s="686"/>
      <c r="AS329" s="703"/>
      <c r="AT329" s="686"/>
      <c r="AU329" s="686"/>
      <c r="AV329" s="703"/>
      <c r="AW329" s="686"/>
      <c r="AX329" s="703"/>
      <c r="AY329" s="686"/>
      <c r="AZ329" s="703"/>
      <c r="BA329" s="686"/>
      <c r="BB329" s="703"/>
      <c r="BC329" s="686"/>
      <c r="BD329" s="703"/>
      <c r="BE329" s="686"/>
    </row>
    <row r="330" spans="1:57" s="44" customFormat="1">
      <c r="A330" s="690"/>
      <c r="B330" s="690"/>
      <c r="C330" s="690"/>
      <c r="D330" s="825"/>
      <c r="E330" s="686"/>
      <c r="F330" s="825"/>
      <c r="G330" s="686"/>
      <c r="H330" s="825"/>
      <c r="I330" s="686"/>
      <c r="J330" s="825"/>
      <c r="K330" s="686"/>
      <c r="L330" s="825"/>
      <c r="M330" s="686"/>
      <c r="N330" s="686"/>
      <c r="O330" s="825"/>
      <c r="P330" s="686"/>
      <c r="Q330" s="825"/>
      <c r="R330" s="686"/>
      <c r="S330" s="825"/>
      <c r="T330" s="686"/>
      <c r="U330" s="825"/>
      <c r="V330" s="686"/>
      <c r="W330" s="825"/>
      <c r="X330" s="686"/>
      <c r="Y330" s="686"/>
      <c r="Z330" s="703"/>
      <c r="AA330" s="686"/>
      <c r="AB330" s="703"/>
      <c r="AC330" s="686"/>
      <c r="AD330" s="703"/>
      <c r="AE330" s="686"/>
      <c r="AF330" s="703"/>
      <c r="AG330" s="686"/>
      <c r="AH330" s="703"/>
      <c r="AI330" s="686"/>
      <c r="AJ330" s="686"/>
      <c r="AK330" s="703"/>
      <c r="AL330" s="686"/>
      <c r="AM330" s="703"/>
      <c r="AN330" s="686"/>
      <c r="AO330" s="703"/>
      <c r="AP330" s="686"/>
      <c r="AQ330" s="703"/>
      <c r="AR330" s="686"/>
      <c r="AS330" s="703"/>
      <c r="AT330" s="686"/>
      <c r="AU330" s="686"/>
      <c r="AV330" s="703"/>
      <c r="AW330" s="686"/>
      <c r="AX330" s="703"/>
      <c r="AY330" s="686"/>
      <c r="AZ330" s="703"/>
      <c r="BA330" s="686"/>
      <c r="BB330" s="703"/>
      <c r="BC330" s="686"/>
      <c r="BD330" s="703"/>
      <c r="BE330" s="686"/>
    </row>
    <row r="331" spans="1:57" s="44" customFormat="1">
      <c r="A331" s="690"/>
      <c r="B331" s="690"/>
      <c r="C331" s="690"/>
      <c r="D331" s="825"/>
      <c r="E331" s="686"/>
      <c r="F331" s="825"/>
      <c r="G331" s="686"/>
      <c r="H331" s="825"/>
      <c r="I331" s="686"/>
      <c r="J331" s="825"/>
      <c r="K331" s="686"/>
      <c r="L331" s="825"/>
      <c r="M331" s="686"/>
      <c r="N331" s="686"/>
      <c r="O331" s="825"/>
      <c r="P331" s="686"/>
      <c r="Q331" s="825"/>
      <c r="R331" s="686"/>
      <c r="S331" s="825"/>
      <c r="T331" s="686"/>
      <c r="U331" s="825"/>
      <c r="V331" s="686"/>
      <c r="W331" s="825"/>
      <c r="X331" s="686"/>
      <c r="Y331" s="686"/>
      <c r="Z331" s="703"/>
      <c r="AA331" s="686"/>
      <c r="AB331" s="703"/>
      <c r="AC331" s="686"/>
      <c r="AD331" s="703"/>
      <c r="AE331" s="686"/>
      <c r="AF331" s="703"/>
      <c r="AG331" s="686"/>
      <c r="AH331" s="703"/>
      <c r="AI331" s="686"/>
      <c r="AJ331" s="686"/>
      <c r="AK331" s="703"/>
      <c r="AL331" s="686"/>
      <c r="AM331" s="703"/>
      <c r="AN331" s="686"/>
      <c r="AO331" s="703"/>
      <c r="AP331" s="686"/>
      <c r="AQ331" s="703"/>
      <c r="AR331" s="686"/>
      <c r="AS331" s="703"/>
      <c r="AT331" s="686"/>
      <c r="AU331" s="686"/>
      <c r="AV331" s="703"/>
      <c r="AW331" s="686"/>
      <c r="AX331" s="703"/>
      <c r="AY331" s="686"/>
      <c r="AZ331" s="703"/>
      <c r="BA331" s="686"/>
      <c r="BB331" s="703"/>
      <c r="BC331" s="686"/>
      <c r="BD331" s="703"/>
      <c r="BE331" s="686"/>
    </row>
    <row r="332" spans="1:57" s="44" customFormat="1">
      <c r="A332" s="690"/>
      <c r="B332" s="690"/>
      <c r="C332" s="690"/>
      <c r="D332" s="825"/>
      <c r="E332" s="686"/>
      <c r="F332" s="825"/>
      <c r="G332" s="686"/>
      <c r="H332" s="825"/>
      <c r="I332" s="686"/>
      <c r="J332" s="825"/>
      <c r="K332" s="686"/>
      <c r="L332" s="825"/>
      <c r="M332" s="686"/>
      <c r="N332" s="686"/>
      <c r="O332" s="825"/>
      <c r="P332" s="686"/>
      <c r="Q332" s="825"/>
      <c r="R332" s="686"/>
      <c r="S332" s="825"/>
      <c r="T332" s="686"/>
      <c r="U332" s="825"/>
      <c r="V332" s="686"/>
      <c r="W332" s="825"/>
      <c r="X332" s="686"/>
      <c r="Y332" s="686"/>
      <c r="Z332" s="703"/>
      <c r="AA332" s="686"/>
      <c r="AB332" s="703"/>
      <c r="AC332" s="686"/>
      <c r="AD332" s="703"/>
      <c r="AE332" s="686"/>
      <c r="AF332" s="703"/>
      <c r="AG332" s="686"/>
      <c r="AH332" s="703"/>
      <c r="AI332" s="686"/>
      <c r="AJ332" s="686"/>
      <c r="AK332" s="703"/>
      <c r="AL332" s="686"/>
      <c r="AM332" s="703"/>
      <c r="AN332" s="686"/>
      <c r="AO332" s="703"/>
      <c r="AP332" s="686"/>
      <c r="AQ332" s="703"/>
      <c r="AR332" s="686"/>
      <c r="AS332" s="703"/>
      <c r="AT332" s="686"/>
      <c r="AU332" s="686"/>
      <c r="AV332" s="703"/>
      <c r="AW332" s="686"/>
      <c r="AX332" s="703"/>
      <c r="AY332" s="686"/>
      <c r="AZ332" s="703"/>
      <c r="BA332" s="686"/>
      <c r="BB332" s="703"/>
      <c r="BC332" s="686"/>
      <c r="BD332" s="703"/>
      <c r="BE332" s="686"/>
    </row>
    <row r="333" spans="1:57" s="44" customFormat="1">
      <c r="A333" s="690"/>
      <c r="B333" s="690"/>
      <c r="C333" s="690"/>
      <c r="D333" s="825"/>
      <c r="E333" s="686"/>
      <c r="F333" s="825"/>
      <c r="G333" s="686"/>
      <c r="H333" s="825"/>
      <c r="I333" s="686"/>
      <c r="J333" s="825"/>
      <c r="K333" s="686"/>
      <c r="L333" s="825"/>
      <c r="M333" s="686"/>
      <c r="N333" s="686"/>
      <c r="O333" s="825"/>
      <c r="P333" s="686"/>
      <c r="Q333" s="825"/>
      <c r="R333" s="686"/>
      <c r="S333" s="825"/>
      <c r="T333" s="686"/>
      <c r="U333" s="825"/>
      <c r="V333" s="686"/>
      <c r="W333" s="825"/>
      <c r="X333" s="686"/>
      <c r="Y333" s="686"/>
      <c r="Z333" s="703"/>
      <c r="AA333" s="686"/>
      <c r="AB333" s="703"/>
      <c r="AC333" s="686"/>
      <c r="AD333" s="703"/>
      <c r="AE333" s="686"/>
      <c r="AF333" s="703"/>
      <c r="AG333" s="686"/>
      <c r="AH333" s="703"/>
      <c r="AI333" s="686"/>
      <c r="AJ333" s="686"/>
      <c r="AK333" s="703"/>
      <c r="AL333" s="686"/>
      <c r="AM333" s="703"/>
      <c r="AN333" s="686"/>
      <c r="AO333" s="703"/>
      <c r="AP333" s="686"/>
      <c r="AQ333" s="703"/>
      <c r="AR333" s="686"/>
      <c r="AS333" s="703"/>
      <c r="AT333" s="686"/>
      <c r="AU333" s="686"/>
      <c r="AV333" s="703"/>
      <c r="AW333" s="686"/>
      <c r="AX333" s="703"/>
      <c r="AY333" s="686"/>
      <c r="AZ333" s="703"/>
      <c r="BA333" s="686"/>
      <c r="BB333" s="703"/>
      <c r="BC333" s="686"/>
      <c r="BD333" s="703"/>
      <c r="BE333" s="686"/>
    </row>
    <row r="334" spans="1:57" s="44" customFormat="1">
      <c r="A334" s="690"/>
      <c r="B334" s="690"/>
      <c r="C334" s="690"/>
      <c r="D334" s="825"/>
      <c r="E334" s="686"/>
      <c r="F334" s="825"/>
      <c r="G334" s="686"/>
      <c r="H334" s="825"/>
      <c r="I334" s="686"/>
      <c r="J334" s="825"/>
      <c r="K334" s="686"/>
      <c r="L334" s="825"/>
      <c r="M334" s="686"/>
      <c r="N334" s="686"/>
      <c r="O334" s="825"/>
      <c r="P334" s="686"/>
      <c r="Q334" s="825"/>
      <c r="R334" s="686"/>
      <c r="S334" s="825"/>
      <c r="T334" s="686"/>
      <c r="U334" s="825"/>
      <c r="V334" s="686"/>
      <c r="W334" s="825"/>
      <c r="X334" s="686"/>
      <c r="Y334" s="686"/>
      <c r="Z334" s="703"/>
      <c r="AA334" s="686"/>
      <c r="AB334" s="703"/>
      <c r="AC334" s="686"/>
      <c r="AD334" s="703"/>
      <c r="AE334" s="686"/>
      <c r="AF334" s="703"/>
      <c r="AG334" s="686"/>
      <c r="AH334" s="703"/>
      <c r="AI334" s="686"/>
      <c r="AJ334" s="686"/>
      <c r="AK334" s="703"/>
      <c r="AL334" s="686"/>
      <c r="AM334" s="703"/>
      <c r="AN334" s="686"/>
      <c r="AO334" s="703"/>
      <c r="AP334" s="686"/>
      <c r="AQ334" s="703"/>
      <c r="AR334" s="686"/>
      <c r="AS334" s="703"/>
      <c r="AT334" s="686"/>
      <c r="AU334" s="686"/>
      <c r="AV334" s="703"/>
      <c r="AW334" s="686"/>
      <c r="AX334" s="703"/>
      <c r="AY334" s="686"/>
      <c r="AZ334" s="703"/>
      <c r="BA334" s="686"/>
      <c r="BB334" s="703"/>
      <c r="BC334" s="686"/>
      <c r="BD334" s="703"/>
      <c r="BE334" s="686"/>
    </row>
    <row r="335" spans="1:57" s="44" customFormat="1">
      <c r="A335" s="690"/>
      <c r="B335" s="690"/>
      <c r="C335" s="690"/>
      <c r="D335" s="825"/>
      <c r="E335" s="686"/>
      <c r="F335" s="825"/>
      <c r="G335" s="686"/>
      <c r="H335" s="825"/>
      <c r="I335" s="686"/>
      <c r="J335" s="825"/>
      <c r="K335" s="686"/>
      <c r="L335" s="825"/>
      <c r="M335" s="686"/>
      <c r="N335" s="686"/>
      <c r="O335" s="825"/>
      <c r="P335" s="686"/>
      <c r="Q335" s="825"/>
      <c r="R335" s="686"/>
      <c r="S335" s="825"/>
      <c r="T335" s="686"/>
      <c r="U335" s="825"/>
      <c r="V335" s="686"/>
      <c r="W335" s="825"/>
      <c r="X335" s="686"/>
      <c r="Y335" s="686"/>
      <c r="Z335" s="703"/>
      <c r="AA335" s="686"/>
      <c r="AB335" s="703"/>
      <c r="AC335" s="686"/>
      <c r="AD335" s="703"/>
      <c r="AE335" s="686"/>
      <c r="AF335" s="703"/>
      <c r="AG335" s="686"/>
      <c r="AH335" s="703"/>
      <c r="AI335" s="686"/>
      <c r="AJ335" s="686"/>
      <c r="AK335" s="703"/>
      <c r="AL335" s="686"/>
      <c r="AM335" s="703"/>
      <c r="AN335" s="686"/>
      <c r="AO335" s="703"/>
      <c r="AP335" s="686"/>
      <c r="AQ335" s="703"/>
      <c r="AR335" s="686"/>
      <c r="AS335" s="703"/>
      <c r="AT335" s="686"/>
      <c r="AU335" s="686"/>
      <c r="AV335" s="703"/>
      <c r="AW335" s="686"/>
      <c r="AX335" s="703"/>
      <c r="AY335" s="686"/>
      <c r="AZ335" s="703"/>
      <c r="BA335" s="686"/>
      <c r="BB335" s="703"/>
      <c r="BC335" s="686"/>
      <c r="BD335" s="703"/>
      <c r="BE335" s="686"/>
    </row>
    <row r="336" spans="1:57" s="44" customFormat="1">
      <c r="A336" s="690"/>
      <c r="B336" s="690"/>
      <c r="C336" s="690"/>
      <c r="D336" s="825"/>
      <c r="E336" s="686"/>
      <c r="F336" s="825"/>
      <c r="G336" s="686"/>
      <c r="H336" s="825"/>
      <c r="I336" s="686"/>
      <c r="J336" s="825"/>
      <c r="K336" s="686"/>
      <c r="L336" s="825"/>
      <c r="M336" s="686"/>
      <c r="N336" s="686"/>
      <c r="O336" s="825"/>
      <c r="P336" s="686"/>
      <c r="Q336" s="825"/>
      <c r="R336" s="686"/>
      <c r="S336" s="825"/>
      <c r="T336" s="686"/>
      <c r="U336" s="825"/>
      <c r="V336" s="686"/>
      <c r="W336" s="825"/>
      <c r="X336" s="686"/>
      <c r="Y336" s="686"/>
      <c r="Z336" s="703"/>
      <c r="AA336" s="686"/>
      <c r="AB336" s="703"/>
      <c r="AC336" s="686"/>
      <c r="AD336" s="703"/>
      <c r="AE336" s="686"/>
      <c r="AF336" s="703"/>
      <c r="AG336" s="686"/>
      <c r="AH336" s="703"/>
      <c r="AI336" s="686"/>
      <c r="AJ336" s="686"/>
      <c r="AK336" s="703"/>
      <c r="AL336" s="686"/>
      <c r="AM336" s="703"/>
      <c r="AN336" s="686"/>
      <c r="AO336" s="703"/>
      <c r="AP336" s="686"/>
      <c r="AQ336" s="703"/>
      <c r="AR336" s="686"/>
      <c r="AS336" s="703"/>
      <c r="AT336" s="686"/>
      <c r="AU336" s="686"/>
      <c r="AV336" s="703"/>
      <c r="AW336" s="686"/>
      <c r="AX336" s="703"/>
      <c r="AY336" s="686"/>
      <c r="AZ336" s="703"/>
      <c r="BA336" s="686"/>
      <c r="BB336" s="703"/>
      <c r="BC336" s="686"/>
      <c r="BD336" s="703"/>
      <c r="BE336" s="686"/>
    </row>
    <row r="337" spans="1:57" s="44" customFormat="1">
      <c r="A337" s="690"/>
      <c r="B337" s="690"/>
      <c r="C337" s="690"/>
      <c r="D337" s="825"/>
      <c r="E337" s="686"/>
      <c r="F337" s="825"/>
      <c r="G337" s="686"/>
      <c r="H337" s="825"/>
      <c r="I337" s="686"/>
      <c r="J337" s="825"/>
      <c r="K337" s="686"/>
      <c r="L337" s="825"/>
      <c r="M337" s="686"/>
      <c r="N337" s="686"/>
      <c r="O337" s="825"/>
      <c r="P337" s="686"/>
      <c r="Q337" s="825"/>
      <c r="R337" s="686"/>
      <c r="S337" s="825"/>
      <c r="T337" s="686"/>
      <c r="U337" s="825"/>
      <c r="V337" s="686"/>
      <c r="W337" s="825"/>
      <c r="X337" s="686"/>
      <c r="Y337" s="686"/>
      <c r="Z337" s="703"/>
      <c r="AA337" s="686"/>
      <c r="AB337" s="703"/>
      <c r="AC337" s="686"/>
      <c r="AD337" s="703"/>
      <c r="AE337" s="686"/>
      <c r="AF337" s="703"/>
      <c r="AG337" s="686"/>
      <c r="AH337" s="703"/>
      <c r="AI337" s="686"/>
      <c r="AJ337" s="686"/>
      <c r="AK337" s="703"/>
      <c r="AL337" s="686"/>
      <c r="AM337" s="703"/>
      <c r="AN337" s="686"/>
      <c r="AO337" s="703"/>
      <c r="AP337" s="686"/>
      <c r="AQ337" s="703"/>
      <c r="AR337" s="686"/>
      <c r="AS337" s="703"/>
      <c r="AT337" s="686"/>
      <c r="AU337" s="686"/>
      <c r="AV337" s="703"/>
      <c r="AW337" s="686"/>
      <c r="AX337" s="703"/>
      <c r="AY337" s="686"/>
      <c r="AZ337" s="703"/>
      <c r="BA337" s="686"/>
      <c r="BB337" s="703"/>
      <c r="BC337" s="686"/>
      <c r="BD337" s="703"/>
      <c r="BE337" s="686"/>
    </row>
    <row r="338" spans="1:57" s="44" customFormat="1">
      <c r="A338" s="690"/>
      <c r="B338" s="690"/>
      <c r="C338" s="690"/>
      <c r="D338" s="825"/>
      <c r="E338" s="686"/>
      <c r="F338" s="825"/>
      <c r="G338" s="686"/>
      <c r="H338" s="825"/>
      <c r="I338" s="686"/>
      <c r="J338" s="825"/>
      <c r="K338" s="686"/>
      <c r="L338" s="825"/>
      <c r="M338" s="686"/>
      <c r="N338" s="686"/>
      <c r="O338" s="825"/>
      <c r="P338" s="686"/>
      <c r="Q338" s="825"/>
      <c r="R338" s="686"/>
      <c r="S338" s="825"/>
      <c r="T338" s="686"/>
      <c r="U338" s="825"/>
      <c r="V338" s="686"/>
      <c r="W338" s="825"/>
      <c r="X338" s="686"/>
      <c r="Y338" s="686"/>
      <c r="Z338" s="703"/>
      <c r="AA338" s="686"/>
      <c r="AB338" s="703"/>
      <c r="AC338" s="686"/>
      <c r="AD338" s="703"/>
      <c r="AE338" s="686"/>
      <c r="AF338" s="703"/>
      <c r="AG338" s="686"/>
      <c r="AH338" s="703"/>
      <c r="AI338" s="686"/>
      <c r="AJ338" s="686"/>
      <c r="AK338" s="703"/>
      <c r="AL338" s="686"/>
      <c r="AM338" s="703"/>
      <c r="AN338" s="686"/>
      <c r="AO338" s="703"/>
      <c r="AP338" s="686"/>
      <c r="AQ338" s="703"/>
      <c r="AR338" s="686"/>
      <c r="AS338" s="703"/>
      <c r="AT338" s="686"/>
      <c r="AU338" s="686"/>
      <c r="AV338" s="703"/>
      <c r="AW338" s="686"/>
      <c r="AX338" s="703"/>
      <c r="AY338" s="686"/>
      <c r="AZ338" s="703"/>
      <c r="BA338" s="686"/>
      <c r="BB338" s="703"/>
      <c r="BC338" s="686"/>
      <c r="BD338" s="703"/>
      <c r="BE338" s="686"/>
    </row>
    <row r="339" spans="1:57" s="44" customFormat="1">
      <c r="A339" s="690"/>
      <c r="B339" s="690"/>
      <c r="C339" s="690"/>
      <c r="D339" s="825"/>
      <c r="E339" s="686"/>
      <c r="F339" s="825"/>
      <c r="G339" s="686"/>
      <c r="H339" s="825"/>
      <c r="I339" s="686"/>
      <c r="J339" s="825"/>
      <c r="K339" s="686"/>
      <c r="L339" s="825"/>
      <c r="M339" s="686"/>
      <c r="N339" s="686"/>
      <c r="O339" s="825"/>
      <c r="P339" s="686"/>
      <c r="Q339" s="825"/>
      <c r="R339" s="686"/>
      <c r="S339" s="825"/>
      <c r="T339" s="686"/>
      <c r="U339" s="825"/>
      <c r="V339" s="686"/>
      <c r="W339" s="825"/>
      <c r="X339" s="686"/>
      <c r="Y339" s="686"/>
      <c r="Z339" s="703"/>
      <c r="AA339" s="686"/>
      <c r="AB339" s="703"/>
      <c r="AC339" s="686"/>
      <c r="AD339" s="703"/>
      <c r="AE339" s="686"/>
      <c r="AF339" s="703"/>
      <c r="AG339" s="686"/>
      <c r="AH339" s="703"/>
      <c r="AI339" s="686"/>
      <c r="AJ339" s="686"/>
      <c r="AK339" s="703"/>
      <c r="AL339" s="686"/>
      <c r="AM339" s="703"/>
      <c r="AN339" s="686"/>
      <c r="AO339" s="703"/>
      <c r="AP339" s="686"/>
      <c r="AQ339" s="703"/>
      <c r="AR339" s="686"/>
      <c r="AS339" s="703"/>
      <c r="AT339" s="686"/>
      <c r="AU339" s="686"/>
      <c r="AV339" s="703"/>
      <c r="AW339" s="686"/>
      <c r="AX339" s="703"/>
      <c r="AY339" s="686"/>
      <c r="AZ339" s="703"/>
      <c r="BA339" s="686"/>
      <c r="BB339" s="703"/>
      <c r="BC339" s="686"/>
      <c r="BD339" s="703"/>
      <c r="BE339" s="686"/>
    </row>
    <row r="340" spans="1:57" s="44" customFormat="1">
      <c r="A340" s="690"/>
      <c r="B340" s="690"/>
      <c r="C340" s="690"/>
      <c r="D340" s="825"/>
      <c r="E340" s="686"/>
      <c r="F340" s="825"/>
      <c r="G340" s="686"/>
      <c r="H340" s="825"/>
      <c r="I340" s="686"/>
      <c r="J340" s="825"/>
      <c r="K340" s="686"/>
      <c r="L340" s="825"/>
      <c r="M340" s="686"/>
      <c r="N340" s="686"/>
      <c r="O340" s="825"/>
      <c r="P340" s="686"/>
      <c r="Q340" s="825"/>
      <c r="R340" s="686"/>
      <c r="S340" s="825"/>
      <c r="T340" s="686"/>
      <c r="U340" s="825"/>
      <c r="V340" s="686"/>
      <c r="W340" s="825"/>
      <c r="X340" s="686"/>
      <c r="Y340" s="686"/>
      <c r="Z340" s="703"/>
      <c r="AA340" s="686"/>
      <c r="AB340" s="703"/>
      <c r="AC340" s="686"/>
      <c r="AD340" s="703"/>
      <c r="AE340" s="686"/>
      <c r="AF340" s="703"/>
      <c r="AG340" s="686"/>
      <c r="AH340" s="703"/>
      <c r="AI340" s="686"/>
      <c r="AJ340" s="686"/>
      <c r="AK340" s="703"/>
      <c r="AL340" s="686"/>
      <c r="AM340" s="703"/>
      <c r="AN340" s="686"/>
      <c r="AO340" s="703"/>
      <c r="AP340" s="686"/>
      <c r="AQ340" s="703"/>
      <c r="AR340" s="686"/>
      <c r="AS340" s="703"/>
      <c r="AT340" s="686"/>
      <c r="AU340" s="686"/>
      <c r="AV340" s="703"/>
      <c r="AW340" s="686"/>
      <c r="AX340" s="703"/>
      <c r="AY340" s="686"/>
      <c r="AZ340" s="703"/>
      <c r="BA340" s="686"/>
      <c r="BB340" s="703"/>
      <c r="BC340" s="686"/>
      <c r="BD340" s="703"/>
      <c r="BE340" s="686"/>
    </row>
    <row r="341" spans="1:57" s="44" customFormat="1">
      <c r="A341" s="690"/>
      <c r="B341" s="690"/>
      <c r="C341" s="690"/>
      <c r="D341" s="825"/>
      <c r="E341" s="686"/>
      <c r="F341" s="825"/>
      <c r="G341" s="686"/>
      <c r="H341" s="825"/>
      <c r="I341" s="686"/>
      <c r="J341" s="825"/>
      <c r="K341" s="686"/>
      <c r="L341" s="825"/>
      <c r="M341" s="686"/>
      <c r="N341" s="686"/>
      <c r="O341" s="825"/>
      <c r="P341" s="686"/>
      <c r="Q341" s="825"/>
      <c r="R341" s="686"/>
      <c r="S341" s="825"/>
      <c r="T341" s="686"/>
      <c r="U341" s="825"/>
      <c r="V341" s="686"/>
      <c r="W341" s="825"/>
      <c r="X341" s="686"/>
      <c r="Y341" s="686"/>
      <c r="Z341" s="703"/>
      <c r="AA341" s="686"/>
      <c r="AB341" s="703"/>
      <c r="AC341" s="686"/>
      <c r="AD341" s="703"/>
      <c r="AE341" s="686"/>
      <c r="AF341" s="703"/>
      <c r="AG341" s="686"/>
      <c r="AH341" s="703"/>
      <c r="AI341" s="686"/>
      <c r="AJ341" s="686"/>
      <c r="AK341" s="703"/>
      <c r="AL341" s="686"/>
      <c r="AM341" s="703"/>
      <c r="AN341" s="686"/>
      <c r="AO341" s="703"/>
      <c r="AP341" s="686"/>
      <c r="AQ341" s="703"/>
      <c r="AR341" s="686"/>
      <c r="AS341" s="703"/>
      <c r="AT341" s="686"/>
      <c r="AU341" s="686"/>
      <c r="AV341" s="703"/>
      <c r="AW341" s="686"/>
      <c r="AX341" s="703"/>
      <c r="AY341" s="686"/>
      <c r="AZ341" s="703"/>
      <c r="BA341" s="686"/>
      <c r="BB341" s="703"/>
      <c r="BC341" s="686"/>
      <c r="BD341" s="703"/>
      <c r="BE341" s="686"/>
    </row>
    <row r="342" spans="1:57" s="44" customFormat="1">
      <c r="A342" s="690"/>
      <c r="B342" s="690"/>
      <c r="C342" s="690"/>
      <c r="D342" s="825"/>
      <c r="E342" s="686"/>
      <c r="F342" s="825"/>
      <c r="G342" s="686"/>
      <c r="H342" s="825"/>
      <c r="I342" s="686"/>
      <c r="J342" s="825"/>
      <c r="K342" s="686"/>
      <c r="L342" s="825"/>
      <c r="M342" s="686"/>
      <c r="N342" s="686"/>
      <c r="O342" s="825"/>
      <c r="P342" s="686"/>
      <c r="Q342" s="825"/>
      <c r="R342" s="686"/>
      <c r="S342" s="825"/>
      <c r="T342" s="686"/>
      <c r="U342" s="825"/>
      <c r="V342" s="686"/>
      <c r="W342" s="825"/>
      <c r="X342" s="686"/>
      <c r="Y342" s="686"/>
      <c r="Z342" s="703"/>
      <c r="AA342" s="686"/>
      <c r="AB342" s="703"/>
      <c r="AC342" s="686"/>
      <c r="AD342" s="703"/>
      <c r="AE342" s="686"/>
      <c r="AF342" s="703"/>
      <c r="AG342" s="686"/>
      <c r="AH342" s="703"/>
      <c r="AI342" s="686"/>
      <c r="AJ342" s="686"/>
      <c r="AK342" s="703"/>
      <c r="AL342" s="686"/>
      <c r="AM342" s="703"/>
      <c r="AN342" s="686"/>
      <c r="AO342" s="703"/>
      <c r="AP342" s="686"/>
      <c r="AQ342" s="703"/>
      <c r="AR342" s="686"/>
      <c r="AS342" s="703"/>
      <c r="AT342" s="686"/>
      <c r="AU342" s="686"/>
      <c r="AV342" s="703"/>
      <c r="AW342" s="686"/>
      <c r="AX342" s="703"/>
      <c r="AY342" s="686"/>
      <c r="AZ342" s="703"/>
      <c r="BA342" s="686"/>
      <c r="BB342" s="703"/>
      <c r="BC342" s="686"/>
      <c r="BD342" s="703"/>
      <c r="BE342" s="686"/>
    </row>
    <row r="343" spans="1:57" s="44" customFormat="1">
      <c r="A343" s="690"/>
      <c r="B343" s="690"/>
      <c r="C343" s="690"/>
      <c r="D343" s="825"/>
      <c r="E343" s="686"/>
      <c r="F343" s="825"/>
      <c r="G343" s="686"/>
      <c r="H343" s="825"/>
      <c r="I343" s="686"/>
      <c r="J343" s="825"/>
      <c r="K343" s="686"/>
      <c r="L343" s="825"/>
      <c r="M343" s="686"/>
      <c r="N343" s="686"/>
      <c r="O343" s="825"/>
      <c r="P343" s="686"/>
      <c r="Q343" s="825"/>
      <c r="R343" s="686"/>
      <c r="S343" s="825"/>
      <c r="T343" s="686"/>
      <c r="U343" s="825"/>
      <c r="V343" s="686"/>
      <c r="W343" s="825"/>
      <c r="X343" s="686"/>
      <c r="Y343" s="686"/>
      <c r="Z343" s="703"/>
      <c r="AA343" s="686"/>
      <c r="AB343" s="703"/>
      <c r="AC343" s="686"/>
      <c r="AD343" s="703"/>
      <c r="AE343" s="686"/>
      <c r="AF343" s="703"/>
      <c r="AG343" s="686"/>
      <c r="AH343" s="703"/>
      <c r="AI343" s="686"/>
      <c r="AJ343" s="686"/>
      <c r="AK343" s="703"/>
      <c r="AL343" s="686"/>
      <c r="AM343" s="703"/>
      <c r="AN343" s="686"/>
      <c r="AO343" s="703"/>
      <c r="AP343" s="686"/>
      <c r="AQ343" s="703"/>
      <c r="AR343" s="686"/>
      <c r="AS343" s="703"/>
      <c r="AT343" s="686"/>
      <c r="AU343" s="686"/>
      <c r="AV343" s="703"/>
      <c r="AW343" s="686"/>
      <c r="AX343" s="703"/>
      <c r="AY343" s="686"/>
      <c r="AZ343" s="703"/>
      <c r="BA343" s="686"/>
      <c r="BB343" s="703"/>
      <c r="BC343" s="686"/>
      <c r="BD343" s="703"/>
      <c r="BE343" s="686"/>
    </row>
    <row r="344" spans="1:57" s="44" customFormat="1">
      <c r="A344" s="690"/>
      <c r="B344" s="690"/>
      <c r="C344" s="690"/>
      <c r="D344" s="825"/>
      <c r="E344" s="686"/>
      <c r="F344" s="825"/>
      <c r="G344" s="686"/>
      <c r="H344" s="825"/>
      <c r="I344" s="686"/>
      <c r="J344" s="825"/>
      <c r="K344" s="686"/>
      <c r="L344" s="825"/>
      <c r="M344" s="686"/>
      <c r="N344" s="686"/>
      <c r="O344" s="825"/>
      <c r="P344" s="686"/>
      <c r="Q344" s="825"/>
      <c r="R344" s="686"/>
      <c r="S344" s="825"/>
      <c r="T344" s="686"/>
      <c r="U344" s="825"/>
      <c r="V344" s="686"/>
      <c r="W344" s="825"/>
      <c r="X344" s="686"/>
      <c r="Y344" s="686"/>
      <c r="Z344" s="703"/>
      <c r="AA344" s="686"/>
      <c r="AB344" s="703"/>
      <c r="AC344" s="686"/>
      <c r="AD344" s="703"/>
      <c r="AE344" s="686"/>
      <c r="AF344" s="703"/>
      <c r="AG344" s="686"/>
      <c r="AH344" s="703"/>
      <c r="AI344" s="686"/>
      <c r="AJ344" s="686"/>
      <c r="AK344" s="703"/>
      <c r="AL344" s="686"/>
      <c r="AM344" s="703"/>
      <c r="AN344" s="686"/>
      <c r="AO344" s="703"/>
      <c r="AP344" s="686"/>
      <c r="AQ344" s="703"/>
      <c r="AR344" s="686"/>
      <c r="AS344" s="703"/>
      <c r="AT344" s="686"/>
      <c r="AU344" s="686"/>
      <c r="AV344" s="703"/>
      <c r="AW344" s="686"/>
      <c r="AX344" s="703"/>
      <c r="AY344" s="686"/>
      <c r="AZ344" s="703"/>
      <c r="BA344" s="686"/>
      <c r="BB344" s="703"/>
      <c r="BC344" s="686"/>
      <c r="BD344" s="703"/>
      <c r="BE344" s="686"/>
    </row>
    <row r="345" spans="1:57" s="44" customFormat="1">
      <c r="A345" s="690"/>
      <c r="B345" s="690"/>
      <c r="C345" s="690"/>
      <c r="D345" s="825"/>
      <c r="E345" s="686"/>
      <c r="F345" s="825"/>
      <c r="G345" s="686"/>
      <c r="H345" s="825"/>
      <c r="I345" s="686"/>
      <c r="J345" s="825"/>
      <c r="K345" s="686"/>
      <c r="L345" s="825"/>
      <c r="M345" s="686"/>
      <c r="N345" s="686"/>
      <c r="O345" s="825"/>
      <c r="P345" s="686"/>
      <c r="Q345" s="825"/>
      <c r="R345" s="686"/>
      <c r="S345" s="825"/>
      <c r="T345" s="686"/>
      <c r="U345" s="825"/>
      <c r="V345" s="686"/>
      <c r="W345" s="825"/>
      <c r="X345" s="686"/>
      <c r="Y345" s="686"/>
      <c r="Z345" s="703"/>
      <c r="AA345" s="686"/>
      <c r="AB345" s="703"/>
      <c r="AC345" s="686"/>
      <c r="AD345" s="703"/>
      <c r="AE345" s="686"/>
      <c r="AF345" s="703"/>
      <c r="AG345" s="686"/>
      <c r="AH345" s="703"/>
      <c r="AI345" s="686"/>
      <c r="AJ345" s="686"/>
      <c r="AK345" s="703"/>
      <c r="AL345" s="686"/>
      <c r="AM345" s="703"/>
      <c r="AN345" s="686"/>
      <c r="AO345" s="703"/>
      <c r="AP345" s="686"/>
      <c r="AQ345" s="703"/>
      <c r="AR345" s="686"/>
      <c r="AS345" s="703"/>
      <c r="AT345" s="686"/>
      <c r="AU345" s="686"/>
      <c r="AV345" s="703"/>
      <c r="AW345" s="686"/>
      <c r="AX345" s="703"/>
      <c r="AY345" s="686"/>
      <c r="AZ345" s="703"/>
      <c r="BA345" s="686"/>
      <c r="BB345" s="703"/>
      <c r="BC345" s="686"/>
      <c r="BD345" s="703"/>
      <c r="BE345" s="686"/>
    </row>
    <row r="346" spans="1:57" s="44" customFormat="1">
      <c r="A346" s="690"/>
      <c r="B346" s="690"/>
      <c r="C346" s="690"/>
      <c r="D346" s="825"/>
      <c r="E346" s="686"/>
      <c r="F346" s="825"/>
      <c r="G346" s="686"/>
      <c r="H346" s="825"/>
      <c r="I346" s="686"/>
      <c r="J346" s="825"/>
      <c r="K346" s="686"/>
      <c r="L346" s="825"/>
      <c r="M346" s="686"/>
      <c r="N346" s="686"/>
      <c r="O346" s="825"/>
      <c r="P346" s="686"/>
      <c r="Q346" s="825"/>
      <c r="R346" s="686"/>
      <c r="S346" s="825"/>
      <c r="T346" s="686"/>
      <c r="U346" s="825"/>
      <c r="V346" s="686"/>
      <c r="W346" s="825"/>
      <c r="X346" s="686"/>
      <c r="Y346" s="686"/>
      <c r="Z346" s="703"/>
      <c r="AA346" s="686"/>
      <c r="AB346" s="703"/>
      <c r="AC346" s="686"/>
      <c r="AD346" s="703"/>
      <c r="AE346" s="686"/>
      <c r="AF346" s="703"/>
      <c r="AG346" s="686"/>
      <c r="AH346" s="703"/>
      <c r="AI346" s="686"/>
      <c r="AJ346" s="686"/>
      <c r="AK346" s="703"/>
      <c r="AL346" s="686"/>
      <c r="AM346" s="703"/>
      <c r="AN346" s="686"/>
      <c r="AO346" s="703"/>
      <c r="AP346" s="686"/>
      <c r="AQ346" s="703"/>
      <c r="AR346" s="686"/>
      <c r="AS346" s="703"/>
      <c r="AT346" s="686"/>
      <c r="AU346" s="686"/>
      <c r="AV346" s="703"/>
      <c r="AW346" s="686"/>
      <c r="AX346" s="703"/>
      <c r="AY346" s="686"/>
      <c r="AZ346" s="703"/>
      <c r="BA346" s="686"/>
      <c r="BB346" s="703"/>
      <c r="BC346" s="686"/>
      <c r="BD346" s="703"/>
      <c r="BE346" s="686"/>
    </row>
    <row r="347" spans="1:57" s="44" customFormat="1">
      <c r="A347" s="690"/>
      <c r="B347" s="690"/>
      <c r="C347" s="690"/>
      <c r="D347" s="825"/>
      <c r="E347" s="686"/>
      <c r="F347" s="825"/>
      <c r="G347" s="686"/>
      <c r="H347" s="825"/>
      <c r="I347" s="686"/>
      <c r="J347" s="825"/>
      <c r="K347" s="686"/>
      <c r="L347" s="825"/>
      <c r="M347" s="686"/>
      <c r="N347" s="686"/>
      <c r="O347" s="825"/>
      <c r="P347" s="686"/>
      <c r="Q347" s="825"/>
      <c r="R347" s="686"/>
      <c r="S347" s="825"/>
      <c r="T347" s="686"/>
      <c r="U347" s="825"/>
      <c r="V347" s="686"/>
      <c r="W347" s="825"/>
      <c r="X347" s="686"/>
      <c r="Y347" s="686"/>
      <c r="Z347" s="703"/>
      <c r="AA347" s="686"/>
      <c r="AB347" s="703"/>
      <c r="AC347" s="686"/>
      <c r="AD347" s="703"/>
      <c r="AE347" s="686"/>
      <c r="AF347" s="703"/>
      <c r="AG347" s="686"/>
      <c r="AH347" s="703"/>
      <c r="AI347" s="686"/>
      <c r="AJ347" s="686"/>
      <c r="AK347" s="703"/>
      <c r="AL347" s="686"/>
      <c r="AM347" s="703"/>
      <c r="AN347" s="686"/>
      <c r="AO347" s="703"/>
      <c r="AP347" s="686"/>
      <c r="AQ347" s="703"/>
      <c r="AR347" s="686"/>
      <c r="AS347" s="703"/>
      <c r="AT347" s="686"/>
      <c r="AU347" s="686"/>
      <c r="AV347" s="703"/>
      <c r="AW347" s="686"/>
      <c r="AX347" s="703"/>
      <c r="AY347" s="686"/>
      <c r="AZ347" s="703"/>
      <c r="BA347" s="686"/>
      <c r="BB347" s="703"/>
      <c r="BC347" s="686"/>
      <c r="BD347" s="703"/>
      <c r="BE347" s="686"/>
    </row>
    <row r="348" spans="1:57" s="44" customFormat="1">
      <c r="A348" s="690"/>
      <c r="B348" s="690"/>
      <c r="C348" s="690"/>
      <c r="D348" s="825"/>
      <c r="E348" s="686"/>
      <c r="F348" s="825"/>
      <c r="G348" s="686"/>
      <c r="H348" s="825"/>
      <c r="I348" s="686"/>
      <c r="J348" s="825"/>
      <c r="K348" s="686"/>
      <c r="L348" s="825"/>
      <c r="M348" s="686"/>
      <c r="N348" s="686"/>
      <c r="O348" s="825"/>
      <c r="P348" s="686"/>
      <c r="Q348" s="825"/>
      <c r="R348" s="686"/>
      <c r="S348" s="825"/>
      <c r="T348" s="686"/>
      <c r="U348" s="825"/>
      <c r="V348" s="686"/>
      <c r="W348" s="825"/>
      <c r="X348" s="686"/>
      <c r="Y348" s="686"/>
      <c r="Z348" s="703"/>
      <c r="AA348" s="686"/>
      <c r="AB348" s="703"/>
      <c r="AC348" s="686"/>
      <c r="AD348" s="703"/>
      <c r="AE348" s="686"/>
      <c r="AF348" s="703"/>
      <c r="AG348" s="686"/>
      <c r="AH348" s="703"/>
      <c r="AI348" s="686"/>
      <c r="AJ348" s="686"/>
      <c r="AK348" s="703"/>
      <c r="AL348" s="686"/>
      <c r="AM348" s="703"/>
      <c r="AN348" s="686"/>
      <c r="AO348" s="703"/>
      <c r="AP348" s="686"/>
      <c r="AQ348" s="703"/>
      <c r="AR348" s="686"/>
      <c r="AS348" s="703"/>
      <c r="AT348" s="686"/>
      <c r="AU348" s="686"/>
      <c r="AV348" s="703"/>
      <c r="AW348" s="686"/>
      <c r="AX348" s="703"/>
      <c r="AY348" s="686"/>
      <c r="AZ348" s="703"/>
      <c r="BA348" s="686"/>
      <c r="BB348" s="703"/>
      <c r="BC348" s="686"/>
      <c r="BD348" s="703"/>
      <c r="BE348" s="686"/>
    </row>
    <row r="349" spans="1:57" s="44" customFormat="1">
      <c r="A349" s="690"/>
      <c r="B349" s="690"/>
      <c r="C349" s="690"/>
      <c r="D349" s="825"/>
      <c r="E349" s="686"/>
      <c r="F349" s="825"/>
      <c r="G349" s="686"/>
      <c r="H349" s="825"/>
      <c r="I349" s="686"/>
      <c r="J349" s="825"/>
      <c r="K349" s="686"/>
      <c r="L349" s="825"/>
      <c r="M349" s="686"/>
      <c r="N349" s="686"/>
      <c r="O349" s="825"/>
      <c r="P349" s="686"/>
      <c r="Q349" s="825"/>
      <c r="R349" s="686"/>
      <c r="S349" s="825"/>
      <c r="T349" s="686"/>
      <c r="U349" s="825"/>
      <c r="V349" s="686"/>
      <c r="W349" s="825"/>
      <c r="X349" s="686"/>
      <c r="Y349" s="686"/>
      <c r="Z349" s="703"/>
      <c r="AA349" s="686"/>
      <c r="AB349" s="703"/>
      <c r="AC349" s="686"/>
      <c r="AD349" s="703"/>
      <c r="AE349" s="686"/>
      <c r="AF349" s="703"/>
      <c r="AG349" s="686"/>
      <c r="AH349" s="703"/>
      <c r="AI349" s="686"/>
      <c r="AJ349" s="686"/>
      <c r="AK349" s="703"/>
      <c r="AL349" s="686"/>
      <c r="AM349" s="703"/>
      <c r="AN349" s="686"/>
      <c r="AO349" s="703"/>
      <c r="AP349" s="686"/>
      <c r="AQ349" s="703"/>
      <c r="AR349" s="686"/>
      <c r="AS349" s="703"/>
      <c r="AT349" s="686"/>
      <c r="AU349" s="686"/>
      <c r="AV349" s="703"/>
      <c r="AW349" s="686"/>
      <c r="AX349" s="703"/>
      <c r="AY349" s="686"/>
      <c r="AZ349" s="703"/>
      <c r="BA349" s="686"/>
      <c r="BB349" s="703"/>
      <c r="BC349" s="686"/>
      <c r="BD349" s="703"/>
      <c r="BE349" s="686"/>
    </row>
    <row r="350" spans="1:57" s="44" customFormat="1">
      <c r="A350" s="690"/>
      <c r="B350" s="690"/>
      <c r="C350" s="690"/>
      <c r="D350" s="825"/>
      <c r="E350" s="686"/>
      <c r="F350" s="825"/>
      <c r="G350" s="686"/>
      <c r="H350" s="825"/>
      <c r="I350" s="686"/>
      <c r="J350" s="825"/>
      <c r="K350" s="686"/>
      <c r="L350" s="825"/>
      <c r="M350" s="686"/>
      <c r="N350" s="686"/>
      <c r="O350" s="825"/>
      <c r="P350" s="686"/>
      <c r="Q350" s="825"/>
      <c r="R350" s="686"/>
      <c r="S350" s="825"/>
      <c r="T350" s="686"/>
      <c r="U350" s="825"/>
      <c r="V350" s="686"/>
      <c r="W350" s="825"/>
      <c r="X350" s="686"/>
      <c r="Y350" s="686"/>
      <c r="Z350" s="703"/>
      <c r="AA350" s="686"/>
      <c r="AB350" s="703"/>
      <c r="AC350" s="686"/>
      <c r="AD350" s="703"/>
      <c r="AE350" s="686"/>
      <c r="AF350" s="703"/>
      <c r="AG350" s="686"/>
      <c r="AH350" s="703"/>
      <c r="AI350" s="686"/>
      <c r="AJ350" s="686"/>
      <c r="AK350" s="703"/>
      <c r="AL350" s="686"/>
      <c r="AM350" s="703"/>
      <c r="AN350" s="686"/>
      <c r="AO350" s="703"/>
      <c r="AP350" s="686"/>
      <c r="AQ350" s="703"/>
      <c r="AR350" s="686"/>
      <c r="AS350" s="703"/>
      <c r="AT350" s="686"/>
      <c r="AU350" s="686"/>
      <c r="AV350" s="703"/>
      <c r="AW350" s="686"/>
      <c r="AX350" s="703"/>
      <c r="AY350" s="686"/>
      <c r="AZ350" s="703"/>
      <c r="BA350" s="686"/>
      <c r="BB350" s="703"/>
      <c r="BC350" s="686"/>
      <c r="BD350" s="703"/>
      <c r="BE350" s="686"/>
    </row>
    <row r="351" spans="1:57" s="44" customFormat="1">
      <c r="A351" s="690"/>
      <c r="B351" s="690"/>
      <c r="C351" s="690"/>
      <c r="D351" s="825"/>
      <c r="E351" s="686"/>
      <c r="F351" s="825"/>
      <c r="G351" s="686"/>
      <c r="H351" s="825"/>
      <c r="I351" s="686"/>
      <c r="J351" s="825"/>
      <c r="K351" s="686"/>
      <c r="L351" s="825"/>
      <c r="M351" s="686"/>
      <c r="N351" s="686"/>
      <c r="O351" s="825"/>
      <c r="P351" s="686"/>
      <c r="Q351" s="825"/>
      <c r="R351" s="686"/>
      <c r="S351" s="825"/>
      <c r="T351" s="686"/>
      <c r="U351" s="825"/>
      <c r="V351" s="686"/>
      <c r="W351" s="825"/>
      <c r="X351" s="686"/>
      <c r="Y351" s="686"/>
      <c r="Z351" s="703"/>
      <c r="AA351" s="686"/>
      <c r="AB351" s="703"/>
      <c r="AC351" s="686"/>
      <c r="AD351" s="703"/>
      <c r="AE351" s="686"/>
      <c r="AF351" s="703"/>
      <c r="AG351" s="686"/>
      <c r="AH351" s="703"/>
      <c r="AI351" s="686"/>
      <c r="AJ351" s="686"/>
      <c r="AK351" s="703"/>
      <c r="AL351" s="686"/>
      <c r="AM351" s="703"/>
      <c r="AN351" s="686"/>
      <c r="AO351" s="703"/>
      <c r="AP351" s="686"/>
      <c r="AQ351" s="703"/>
      <c r="AR351" s="686"/>
      <c r="AS351" s="703"/>
      <c r="AT351" s="686"/>
      <c r="AU351" s="686"/>
      <c r="AV351" s="703"/>
      <c r="AW351" s="686"/>
      <c r="AX351" s="703"/>
      <c r="AY351" s="686"/>
      <c r="AZ351" s="703"/>
      <c r="BA351" s="686"/>
      <c r="BB351" s="703"/>
      <c r="BC351" s="686"/>
      <c r="BD351" s="703"/>
      <c r="BE351" s="686"/>
    </row>
    <row r="352" spans="1:57" s="44" customFormat="1">
      <c r="A352" s="690"/>
      <c r="B352" s="690"/>
      <c r="C352" s="690"/>
      <c r="D352" s="825"/>
      <c r="E352" s="686"/>
      <c r="F352" s="825"/>
      <c r="G352" s="686"/>
      <c r="H352" s="825"/>
      <c r="I352" s="686"/>
      <c r="J352" s="825"/>
      <c r="K352" s="686"/>
      <c r="L352" s="825"/>
      <c r="M352" s="686"/>
      <c r="N352" s="686"/>
      <c r="O352" s="825"/>
      <c r="P352" s="686"/>
      <c r="Q352" s="825"/>
      <c r="R352" s="686"/>
      <c r="S352" s="825"/>
      <c r="T352" s="686"/>
      <c r="U352" s="825"/>
      <c r="V352" s="686"/>
      <c r="W352" s="825"/>
      <c r="X352" s="686"/>
      <c r="Y352" s="686"/>
      <c r="Z352" s="703"/>
      <c r="AA352" s="686"/>
      <c r="AB352" s="703"/>
      <c r="AC352" s="686"/>
      <c r="AD352" s="703"/>
      <c r="AE352" s="686"/>
      <c r="AF352" s="703"/>
      <c r="AG352" s="686"/>
      <c r="AH352" s="703"/>
      <c r="AI352" s="686"/>
      <c r="AJ352" s="686"/>
      <c r="AK352" s="703"/>
      <c r="AL352" s="686"/>
      <c r="AM352" s="703"/>
      <c r="AN352" s="686"/>
      <c r="AO352" s="703"/>
      <c r="AP352" s="686"/>
      <c r="AQ352" s="703"/>
      <c r="AR352" s="686"/>
      <c r="AS352" s="703"/>
      <c r="AT352" s="686"/>
      <c r="AU352" s="686"/>
      <c r="AV352" s="703"/>
      <c r="AW352" s="686"/>
      <c r="AX352" s="703"/>
      <c r="AY352" s="686"/>
      <c r="AZ352" s="703"/>
      <c r="BA352" s="686"/>
      <c r="BB352" s="703"/>
      <c r="BC352" s="686"/>
      <c r="BD352" s="703"/>
      <c r="BE352" s="686"/>
    </row>
    <row r="353" spans="1:57" s="44" customFormat="1">
      <c r="A353" s="690"/>
      <c r="B353" s="690"/>
      <c r="C353" s="690"/>
      <c r="D353" s="825"/>
      <c r="E353" s="686"/>
      <c r="F353" s="825"/>
      <c r="G353" s="686"/>
      <c r="H353" s="825"/>
      <c r="I353" s="686"/>
      <c r="J353" s="825"/>
      <c r="K353" s="686"/>
      <c r="L353" s="825"/>
      <c r="M353" s="686"/>
      <c r="N353" s="686"/>
      <c r="O353" s="825"/>
      <c r="P353" s="686"/>
      <c r="Q353" s="825"/>
      <c r="R353" s="686"/>
      <c r="S353" s="825"/>
      <c r="T353" s="686"/>
      <c r="U353" s="825"/>
      <c r="V353" s="686"/>
      <c r="W353" s="825"/>
      <c r="X353" s="686"/>
      <c r="Y353" s="686"/>
      <c r="Z353" s="703"/>
      <c r="AA353" s="686"/>
      <c r="AB353" s="703"/>
      <c r="AC353" s="686"/>
      <c r="AD353" s="703"/>
      <c r="AE353" s="686"/>
      <c r="AF353" s="703"/>
      <c r="AG353" s="686"/>
      <c r="AH353" s="703"/>
      <c r="AI353" s="686"/>
      <c r="AJ353" s="686"/>
      <c r="AK353" s="703"/>
      <c r="AL353" s="686"/>
      <c r="AM353" s="703"/>
      <c r="AN353" s="686"/>
      <c r="AO353" s="703"/>
      <c r="AP353" s="686"/>
      <c r="AQ353" s="703"/>
      <c r="AR353" s="686"/>
      <c r="AS353" s="703"/>
      <c r="AT353" s="686"/>
      <c r="AU353" s="686"/>
      <c r="AV353" s="703"/>
      <c r="AW353" s="686"/>
      <c r="AX353" s="703"/>
      <c r="AY353" s="686"/>
      <c r="AZ353" s="703"/>
      <c r="BA353" s="686"/>
      <c r="BB353" s="703"/>
      <c r="BC353" s="686"/>
      <c r="BD353" s="703"/>
      <c r="BE353" s="686"/>
    </row>
    <row r="354" spans="1:57" s="44" customFormat="1">
      <c r="A354" s="690"/>
      <c r="B354" s="690"/>
      <c r="C354" s="690"/>
      <c r="D354" s="825"/>
      <c r="E354" s="686"/>
      <c r="F354" s="825"/>
      <c r="G354" s="686"/>
      <c r="H354" s="825"/>
      <c r="I354" s="686"/>
      <c r="J354" s="825"/>
      <c r="K354" s="686"/>
      <c r="L354" s="825"/>
      <c r="M354" s="686"/>
      <c r="N354" s="686"/>
      <c r="O354" s="825"/>
      <c r="P354" s="686"/>
      <c r="Q354" s="825"/>
      <c r="R354" s="686"/>
      <c r="S354" s="825"/>
      <c r="T354" s="686"/>
      <c r="U354" s="825"/>
      <c r="V354" s="686"/>
      <c r="W354" s="825"/>
      <c r="X354" s="686"/>
      <c r="Y354" s="686"/>
      <c r="Z354" s="703"/>
      <c r="AA354" s="686"/>
      <c r="AB354" s="703"/>
      <c r="AC354" s="686"/>
      <c r="AD354" s="703"/>
      <c r="AE354" s="686"/>
      <c r="AF354" s="703"/>
      <c r="AG354" s="686"/>
      <c r="AH354" s="703"/>
      <c r="AI354" s="686"/>
      <c r="AJ354" s="686"/>
      <c r="AK354" s="703"/>
      <c r="AL354" s="686"/>
      <c r="AM354" s="703"/>
      <c r="AN354" s="686"/>
      <c r="AO354" s="703"/>
      <c r="AP354" s="686"/>
      <c r="AQ354" s="703"/>
      <c r="AR354" s="686"/>
      <c r="AS354" s="703"/>
      <c r="AT354" s="686"/>
      <c r="AU354" s="686"/>
      <c r="AV354" s="703"/>
      <c r="AW354" s="686"/>
      <c r="AX354" s="703"/>
      <c r="AY354" s="686"/>
      <c r="AZ354" s="703"/>
      <c r="BA354" s="686"/>
      <c r="BB354" s="703"/>
      <c r="BC354" s="686"/>
      <c r="BD354" s="703"/>
      <c r="BE354" s="686"/>
    </row>
    <row r="355" spans="1:57" s="44" customFormat="1">
      <c r="A355" s="690"/>
      <c r="B355" s="690"/>
      <c r="C355" s="690"/>
      <c r="D355" s="825"/>
      <c r="E355" s="686"/>
      <c r="F355" s="825"/>
      <c r="G355" s="686"/>
      <c r="H355" s="825"/>
      <c r="I355" s="686"/>
      <c r="J355" s="825"/>
      <c r="K355" s="686"/>
      <c r="L355" s="825"/>
      <c r="M355" s="686"/>
      <c r="N355" s="686"/>
      <c r="O355" s="825"/>
      <c r="P355" s="686"/>
      <c r="Q355" s="825"/>
      <c r="R355" s="686"/>
      <c r="S355" s="825"/>
      <c r="T355" s="686"/>
      <c r="U355" s="825"/>
      <c r="V355" s="686"/>
      <c r="W355" s="825"/>
      <c r="X355" s="686"/>
      <c r="Y355" s="686"/>
      <c r="Z355" s="703"/>
      <c r="AA355" s="686"/>
      <c r="AB355" s="703"/>
      <c r="AC355" s="686"/>
      <c r="AD355" s="703"/>
      <c r="AE355" s="686"/>
      <c r="AF355" s="703"/>
      <c r="AG355" s="686"/>
      <c r="AH355" s="703"/>
      <c r="AI355" s="686"/>
      <c r="AJ355" s="686"/>
      <c r="AK355" s="703"/>
      <c r="AL355" s="686"/>
      <c r="AM355" s="703"/>
      <c r="AN355" s="686"/>
      <c r="AO355" s="703"/>
      <c r="AP355" s="686"/>
      <c r="AQ355" s="703"/>
      <c r="AR355" s="686"/>
      <c r="AS355" s="703"/>
      <c r="AT355" s="686"/>
      <c r="AU355" s="686"/>
      <c r="AV355" s="703"/>
      <c r="AW355" s="686"/>
      <c r="AX355" s="703"/>
      <c r="AY355" s="686"/>
      <c r="AZ355" s="703"/>
      <c r="BA355" s="686"/>
      <c r="BB355" s="703"/>
      <c r="BC355" s="686"/>
      <c r="BD355" s="703"/>
      <c r="BE355" s="686"/>
    </row>
    <row r="356" spans="1:57" s="44" customFormat="1">
      <c r="A356" s="690"/>
      <c r="B356" s="690"/>
      <c r="C356" s="690"/>
      <c r="D356" s="825"/>
      <c r="E356" s="686"/>
      <c r="F356" s="825"/>
      <c r="G356" s="686"/>
      <c r="H356" s="825"/>
      <c r="I356" s="686"/>
      <c r="J356" s="825"/>
      <c r="K356" s="686"/>
      <c r="L356" s="825"/>
      <c r="M356" s="686"/>
      <c r="N356" s="686"/>
      <c r="O356" s="825"/>
      <c r="P356" s="686"/>
      <c r="Q356" s="825"/>
      <c r="R356" s="686"/>
      <c r="S356" s="825"/>
      <c r="T356" s="686"/>
      <c r="U356" s="825"/>
      <c r="V356" s="686"/>
      <c r="W356" s="825"/>
      <c r="X356" s="686"/>
      <c r="Y356" s="686"/>
      <c r="Z356" s="703"/>
      <c r="AA356" s="686"/>
      <c r="AB356" s="703"/>
      <c r="AC356" s="686"/>
      <c r="AD356" s="703"/>
      <c r="AE356" s="686"/>
      <c r="AF356" s="703"/>
      <c r="AG356" s="686"/>
      <c r="AH356" s="703"/>
      <c r="AI356" s="686"/>
      <c r="AJ356" s="686"/>
      <c r="AK356" s="703"/>
      <c r="AL356" s="686"/>
      <c r="AM356" s="703"/>
      <c r="AN356" s="686"/>
      <c r="AO356" s="703"/>
      <c r="AP356" s="686"/>
      <c r="AQ356" s="703"/>
      <c r="AR356" s="686"/>
      <c r="AS356" s="703"/>
      <c r="AT356" s="686"/>
      <c r="AU356" s="686"/>
      <c r="AV356" s="703"/>
      <c r="AW356" s="686"/>
      <c r="AX356" s="703"/>
      <c r="AY356" s="686"/>
      <c r="AZ356" s="703"/>
      <c r="BA356" s="686"/>
      <c r="BB356" s="703"/>
      <c r="BC356" s="686"/>
      <c r="BD356" s="703"/>
      <c r="BE356" s="686"/>
    </row>
    <row r="357" spans="1:57" s="44" customFormat="1">
      <c r="A357" s="690"/>
      <c r="B357" s="690"/>
      <c r="C357" s="690"/>
      <c r="D357" s="825"/>
      <c r="E357" s="686"/>
      <c r="F357" s="825"/>
      <c r="G357" s="686"/>
      <c r="H357" s="825"/>
      <c r="I357" s="686"/>
      <c r="J357" s="825"/>
      <c r="K357" s="686"/>
      <c r="L357" s="825"/>
      <c r="M357" s="686"/>
      <c r="N357" s="686"/>
      <c r="O357" s="825"/>
      <c r="P357" s="686"/>
      <c r="Q357" s="825"/>
      <c r="R357" s="686"/>
      <c r="S357" s="825"/>
      <c r="T357" s="686"/>
      <c r="U357" s="825"/>
      <c r="V357" s="686"/>
      <c r="W357" s="825"/>
      <c r="X357" s="686"/>
      <c r="Y357" s="686"/>
      <c r="Z357" s="703"/>
      <c r="AA357" s="686"/>
      <c r="AB357" s="703"/>
      <c r="AC357" s="686"/>
      <c r="AD357" s="703"/>
      <c r="AE357" s="686"/>
      <c r="AF357" s="703"/>
      <c r="AG357" s="686"/>
      <c r="AH357" s="703"/>
      <c r="AI357" s="686"/>
      <c r="AJ357" s="686"/>
      <c r="AK357" s="703"/>
      <c r="AL357" s="686"/>
      <c r="AM357" s="703"/>
      <c r="AN357" s="686"/>
      <c r="AO357" s="703"/>
      <c r="AP357" s="686"/>
      <c r="AQ357" s="703"/>
      <c r="AR357" s="686"/>
      <c r="AS357" s="703"/>
      <c r="AT357" s="686"/>
      <c r="AU357" s="686"/>
      <c r="AV357" s="703"/>
      <c r="AW357" s="686"/>
      <c r="AX357" s="703"/>
      <c r="AY357" s="686"/>
      <c r="AZ357" s="703"/>
      <c r="BA357" s="686"/>
      <c r="BB357" s="703"/>
      <c r="BC357" s="686"/>
      <c r="BD357" s="703"/>
      <c r="BE357" s="686"/>
    </row>
    <row r="358" spans="1:57" s="44" customFormat="1">
      <c r="A358" s="690"/>
      <c r="B358" s="690"/>
      <c r="C358" s="690"/>
      <c r="D358" s="825"/>
      <c r="E358" s="686"/>
      <c r="F358" s="825"/>
      <c r="G358" s="686"/>
      <c r="H358" s="825"/>
      <c r="I358" s="686"/>
      <c r="J358" s="825"/>
      <c r="K358" s="686"/>
      <c r="L358" s="825"/>
      <c r="M358" s="686"/>
      <c r="N358" s="686"/>
      <c r="O358" s="825"/>
      <c r="P358" s="686"/>
      <c r="Q358" s="825"/>
      <c r="R358" s="686"/>
      <c r="S358" s="825"/>
      <c r="T358" s="686"/>
      <c r="U358" s="825"/>
      <c r="V358" s="686"/>
      <c r="W358" s="825"/>
      <c r="X358" s="686"/>
      <c r="Y358" s="686"/>
      <c r="Z358" s="703"/>
      <c r="AA358" s="686"/>
      <c r="AB358" s="703"/>
      <c r="AC358" s="686"/>
      <c r="AD358" s="703"/>
      <c r="AE358" s="686"/>
      <c r="AF358" s="703"/>
      <c r="AG358" s="686"/>
      <c r="AH358" s="703"/>
      <c r="AI358" s="686"/>
      <c r="AJ358" s="686"/>
      <c r="AK358" s="703"/>
      <c r="AL358" s="686"/>
      <c r="AM358" s="703"/>
      <c r="AN358" s="686"/>
      <c r="AO358" s="703"/>
      <c r="AP358" s="686"/>
      <c r="AQ358" s="703"/>
      <c r="AR358" s="686"/>
      <c r="AS358" s="703"/>
      <c r="AT358" s="686"/>
      <c r="AU358" s="686"/>
      <c r="AV358" s="703"/>
      <c r="AW358" s="686"/>
      <c r="AX358" s="703"/>
      <c r="AY358" s="686"/>
      <c r="AZ358" s="703"/>
      <c r="BA358" s="686"/>
      <c r="BB358" s="703"/>
      <c r="BC358" s="686"/>
      <c r="BD358" s="703"/>
      <c r="BE358" s="686"/>
    </row>
    <row r="359" spans="1:57" s="44" customFormat="1">
      <c r="A359" s="690"/>
      <c r="B359" s="690"/>
      <c r="C359" s="690"/>
      <c r="D359" s="825"/>
      <c r="E359" s="686"/>
      <c r="F359" s="825"/>
      <c r="G359" s="686"/>
      <c r="H359" s="825"/>
      <c r="I359" s="686"/>
      <c r="J359" s="825"/>
      <c r="K359" s="686"/>
      <c r="L359" s="825"/>
      <c r="M359" s="686"/>
      <c r="N359" s="686"/>
      <c r="O359" s="825"/>
      <c r="P359" s="686"/>
      <c r="Q359" s="825"/>
      <c r="R359" s="686"/>
      <c r="S359" s="825"/>
      <c r="T359" s="686"/>
      <c r="U359" s="825"/>
      <c r="V359" s="686"/>
      <c r="W359" s="825"/>
      <c r="X359" s="686"/>
      <c r="Y359" s="686"/>
      <c r="Z359" s="703"/>
      <c r="AA359" s="686"/>
      <c r="AB359" s="703"/>
      <c r="AC359" s="686"/>
      <c r="AD359" s="703"/>
      <c r="AE359" s="686"/>
      <c r="AF359" s="703"/>
      <c r="AG359" s="686"/>
      <c r="AH359" s="703"/>
      <c r="AI359" s="686"/>
      <c r="AJ359" s="686"/>
      <c r="AK359" s="703"/>
      <c r="AL359" s="686"/>
      <c r="AM359" s="703"/>
      <c r="AN359" s="686"/>
      <c r="AO359" s="703"/>
      <c r="AP359" s="686"/>
      <c r="AQ359" s="703"/>
      <c r="AR359" s="686"/>
      <c r="AS359" s="703"/>
      <c r="AT359" s="686"/>
      <c r="AU359" s="686"/>
      <c r="AV359" s="703"/>
      <c r="AW359" s="686"/>
      <c r="AX359" s="703"/>
      <c r="AY359" s="686"/>
      <c r="AZ359" s="703"/>
      <c r="BA359" s="686"/>
      <c r="BB359" s="703"/>
      <c r="BC359" s="686"/>
      <c r="BD359" s="703"/>
      <c r="BE359" s="686"/>
    </row>
    <row r="360" spans="1:57" s="44" customFormat="1">
      <c r="A360" s="690"/>
      <c r="B360" s="690"/>
      <c r="C360" s="690"/>
      <c r="D360" s="825"/>
      <c r="E360" s="686"/>
      <c r="F360" s="825"/>
      <c r="G360" s="686"/>
      <c r="H360" s="825"/>
      <c r="I360" s="686"/>
      <c r="J360" s="825"/>
      <c r="K360" s="686"/>
      <c r="L360" s="825"/>
      <c r="M360" s="686"/>
      <c r="N360" s="686"/>
      <c r="O360" s="825"/>
      <c r="P360" s="686"/>
      <c r="Q360" s="825"/>
      <c r="R360" s="686"/>
      <c r="S360" s="825"/>
      <c r="T360" s="686"/>
      <c r="U360" s="825"/>
      <c r="V360" s="686"/>
      <c r="W360" s="825"/>
      <c r="X360" s="686"/>
      <c r="Y360" s="686"/>
      <c r="Z360" s="703"/>
      <c r="AA360" s="686"/>
      <c r="AB360" s="703"/>
      <c r="AC360" s="686"/>
      <c r="AD360" s="703"/>
      <c r="AE360" s="686"/>
      <c r="AF360" s="703"/>
      <c r="AG360" s="686"/>
      <c r="AH360" s="703"/>
      <c r="AI360" s="686"/>
      <c r="AJ360" s="686"/>
      <c r="AK360" s="703"/>
      <c r="AL360" s="686"/>
      <c r="AM360" s="703"/>
      <c r="AN360" s="686"/>
      <c r="AO360" s="703"/>
      <c r="AP360" s="686"/>
      <c r="AQ360" s="703"/>
      <c r="AR360" s="686"/>
      <c r="AS360" s="703"/>
      <c r="AT360" s="686"/>
      <c r="AU360" s="686"/>
      <c r="AV360" s="703"/>
      <c r="AW360" s="686"/>
      <c r="AX360" s="703"/>
      <c r="AY360" s="686"/>
      <c r="AZ360" s="703"/>
      <c r="BA360" s="686"/>
      <c r="BB360" s="703"/>
      <c r="BC360" s="686"/>
      <c r="BD360" s="703"/>
      <c r="BE360" s="686"/>
    </row>
    <row r="361" spans="1:57" s="44" customFormat="1">
      <c r="A361" s="690"/>
      <c r="B361" s="690"/>
      <c r="C361" s="690"/>
      <c r="D361" s="825"/>
      <c r="E361" s="686"/>
      <c r="F361" s="825"/>
      <c r="G361" s="686"/>
      <c r="H361" s="825"/>
      <c r="I361" s="686"/>
      <c r="J361" s="825"/>
      <c r="K361" s="686"/>
      <c r="L361" s="825"/>
      <c r="M361" s="686"/>
      <c r="N361" s="686"/>
      <c r="O361" s="825"/>
      <c r="P361" s="686"/>
      <c r="Q361" s="825"/>
      <c r="R361" s="686"/>
      <c r="S361" s="825"/>
      <c r="T361" s="686"/>
      <c r="U361" s="825"/>
      <c r="V361" s="686"/>
      <c r="W361" s="825"/>
      <c r="X361" s="686"/>
      <c r="Y361" s="686"/>
      <c r="Z361" s="703"/>
      <c r="AA361" s="686"/>
      <c r="AB361" s="703"/>
      <c r="AC361" s="686"/>
      <c r="AD361" s="703"/>
      <c r="AE361" s="686"/>
      <c r="AF361" s="703"/>
      <c r="AG361" s="686"/>
      <c r="AH361" s="703"/>
      <c r="AI361" s="686"/>
      <c r="AJ361" s="686"/>
      <c r="AK361" s="703"/>
      <c r="AL361" s="686"/>
      <c r="AM361" s="703"/>
      <c r="AN361" s="686"/>
      <c r="AO361" s="703"/>
      <c r="AP361" s="686"/>
      <c r="AQ361" s="703"/>
      <c r="AR361" s="686"/>
      <c r="AS361" s="703"/>
      <c r="AT361" s="686"/>
      <c r="AU361" s="686"/>
      <c r="AV361" s="703"/>
      <c r="AW361" s="686"/>
      <c r="AX361" s="703"/>
      <c r="AY361" s="686"/>
      <c r="AZ361" s="703"/>
      <c r="BA361" s="686"/>
      <c r="BB361" s="703"/>
      <c r="BC361" s="686"/>
      <c r="BD361" s="703"/>
      <c r="BE361" s="686"/>
    </row>
    <row r="362" spans="1:57" s="44" customFormat="1">
      <c r="A362" s="690"/>
      <c r="B362" s="690"/>
      <c r="C362" s="690"/>
      <c r="D362" s="825"/>
      <c r="E362" s="686"/>
      <c r="F362" s="825"/>
      <c r="G362" s="686"/>
      <c r="H362" s="825"/>
      <c r="I362" s="686"/>
      <c r="J362" s="825"/>
      <c r="K362" s="686"/>
      <c r="L362" s="825"/>
      <c r="M362" s="686"/>
      <c r="N362" s="686"/>
      <c r="O362" s="825"/>
      <c r="P362" s="686"/>
      <c r="Q362" s="825"/>
      <c r="R362" s="686"/>
      <c r="S362" s="825"/>
      <c r="T362" s="686"/>
      <c r="U362" s="825"/>
      <c r="V362" s="686"/>
      <c r="W362" s="825"/>
      <c r="X362" s="686"/>
      <c r="Y362" s="686"/>
      <c r="Z362" s="703"/>
      <c r="AA362" s="686"/>
      <c r="AB362" s="703"/>
      <c r="AC362" s="686"/>
      <c r="AD362" s="703"/>
      <c r="AE362" s="686"/>
      <c r="AF362" s="703"/>
      <c r="AG362" s="686"/>
      <c r="AH362" s="703"/>
      <c r="AI362" s="686"/>
      <c r="AJ362" s="686"/>
      <c r="AK362" s="703"/>
      <c r="AL362" s="686"/>
      <c r="AM362" s="703"/>
      <c r="AN362" s="686"/>
      <c r="AO362" s="703"/>
      <c r="AP362" s="686"/>
      <c r="AQ362" s="703"/>
      <c r="AR362" s="686"/>
      <c r="AS362" s="703"/>
      <c r="AT362" s="686"/>
      <c r="AU362" s="686"/>
      <c r="AV362" s="703"/>
      <c r="AW362" s="686"/>
      <c r="AX362" s="703"/>
      <c r="AY362" s="686"/>
      <c r="AZ362" s="703"/>
      <c r="BA362" s="686"/>
      <c r="BB362" s="703"/>
      <c r="BC362" s="686"/>
      <c r="BD362" s="703"/>
      <c r="BE362" s="686"/>
    </row>
    <row r="363" spans="1:57" s="44" customFormat="1">
      <c r="A363" s="690"/>
      <c r="B363" s="690"/>
      <c r="C363" s="690"/>
      <c r="D363" s="825"/>
      <c r="E363" s="686"/>
      <c r="F363" s="825"/>
      <c r="G363" s="686"/>
      <c r="H363" s="825"/>
      <c r="I363" s="686"/>
      <c r="J363" s="825"/>
      <c r="K363" s="686"/>
      <c r="L363" s="825"/>
      <c r="M363" s="686"/>
      <c r="N363" s="686"/>
      <c r="O363" s="825"/>
      <c r="P363" s="686"/>
      <c r="Q363" s="825"/>
      <c r="R363" s="686"/>
      <c r="S363" s="825"/>
      <c r="T363" s="686"/>
      <c r="U363" s="825"/>
      <c r="V363" s="686"/>
      <c r="W363" s="825"/>
      <c r="X363" s="686"/>
      <c r="Y363" s="686"/>
      <c r="Z363" s="703"/>
      <c r="AA363" s="686"/>
      <c r="AB363" s="703"/>
      <c r="AC363" s="686"/>
      <c r="AD363" s="703"/>
      <c r="AE363" s="686"/>
      <c r="AF363" s="703"/>
      <c r="AG363" s="686"/>
      <c r="AH363" s="703"/>
      <c r="AI363" s="686"/>
      <c r="AJ363" s="686"/>
      <c r="AK363" s="703"/>
      <c r="AL363" s="686"/>
      <c r="AM363" s="703"/>
      <c r="AN363" s="686"/>
      <c r="AO363" s="703"/>
      <c r="AP363" s="686"/>
      <c r="AQ363" s="703"/>
      <c r="AR363" s="686"/>
      <c r="AS363" s="703"/>
      <c r="AT363" s="686"/>
      <c r="AU363" s="686"/>
      <c r="AV363" s="703"/>
      <c r="AW363" s="686"/>
      <c r="AX363" s="703"/>
      <c r="AY363" s="686"/>
      <c r="AZ363" s="703"/>
      <c r="BA363" s="686"/>
      <c r="BB363" s="703"/>
      <c r="BC363" s="686"/>
      <c r="BD363" s="703"/>
      <c r="BE363" s="686"/>
    </row>
    <row r="364" spans="1:57" s="44" customFormat="1">
      <c r="A364" s="690"/>
      <c r="B364" s="690"/>
      <c r="C364" s="690"/>
      <c r="D364" s="825"/>
      <c r="E364" s="686"/>
      <c r="F364" s="825"/>
      <c r="G364" s="686"/>
      <c r="H364" s="825"/>
      <c r="I364" s="686"/>
      <c r="J364" s="825"/>
      <c r="K364" s="686"/>
      <c r="L364" s="825"/>
      <c r="M364" s="686"/>
      <c r="N364" s="686"/>
      <c r="O364" s="825"/>
      <c r="P364" s="686"/>
      <c r="Q364" s="825"/>
      <c r="R364" s="686"/>
      <c r="S364" s="825"/>
      <c r="T364" s="686"/>
      <c r="U364" s="825"/>
      <c r="V364" s="686"/>
      <c r="W364" s="825"/>
      <c r="X364" s="686"/>
      <c r="Y364" s="686"/>
      <c r="Z364" s="703"/>
      <c r="AA364" s="686"/>
      <c r="AB364" s="703"/>
      <c r="AC364" s="686"/>
      <c r="AD364" s="703"/>
      <c r="AE364" s="686"/>
      <c r="AF364" s="703"/>
      <c r="AG364" s="686"/>
      <c r="AH364" s="703"/>
      <c r="AI364" s="686"/>
      <c r="AJ364" s="686"/>
      <c r="AK364" s="703"/>
      <c r="AL364" s="686"/>
      <c r="AM364" s="703"/>
      <c r="AN364" s="686"/>
      <c r="AO364" s="703"/>
      <c r="AP364" s="686"/>
      <c r="AQ364" s="703"/>
      <c r="AR364" s="686"/>
      <c r="AS364" s="703"/>
      <c r="AT364" s="686"/>
      <c r="AU364" s="686"/>
      <c r="AV364" s="703"/>
      <c r="AW364" s="686"/>
      <c r="AX364" s="703"/>
      <c r="AY364" s="686"/>
      <c r="AZ364" s="703"/>
      <c r="BA364" s="686"/>
      <c r="BB364" s="703"/>
      <c r="BC364" s="686"/>
      <c r="BD364" s="703"/>
      <c r="BE364" s="686"/>
    </row>
    <row r="365" spans="1:57" s="44" customFormat="1">
      <c r="A365" s="690"/>
      <c r="B365" s="690"/>
      <c r="C365" s="690"/>
      <c r="D365" s="825"/>
      <c r="E365" s="686"/>
      <c r="F365" s="825"/>
      <c r="G365" s="686"/>
      <c r="H365" s="825"/>
      <c r="I365" s="686"/>
      <c r="J365" s="825"/>
      <c r="K365" s="686"/>
      <c r="L365" s="825"/>
      <c r="M365" s="686"/>
      <c r="N365" s="686"/>
      <c r="O365" s="825"/>
      <c r="P365" s="686"/>
      <c r="Q365" s="825"/>
      <c r="R365" s="686"/>
      <c r="S365" s="825"/>
      <c r="T365" s="686"/>
      <c r="U365" s="825"/>
      <c r="V365" s="686"/>
      <c r="W365" s="825"/>
      <c r="X365" s="686"/>
      <c r="Y365" s="686"/>
      <c r="Z365" s="703"/>
      <c r="AA365" s="686"/>
      <c r="AB365" s="703"/>
      <c r="AC365" s="686"/>
      <c r="AD365" s="703"/>
      <c r="AE365" s="686"/>
      <c r="AF365" s="703"/>
      <c r="AG365" s="686"/>
      <c r="AH365" s="703"/>
      <c r="AI365" s="686"/>
      <c r="AJ365" s="686"/>
      <c r="AK365" s="703"/>
      <c r="AL365" s="686"/>
      <c r="AM365" s="703"/>
      <c r="AN365" s="686"/>
      <c r="AO365" s="703"/>
      <c r="AP365" s="686"/>
      <c r="AQ365" s="703"/>
      <c r="AR365" s="686"/>
      <c r="AS365" s="703"/>
      <c r="AT365" s="686"/>
      <c r="AU365" s="686"/>
      <c r="AV365" s="703"/>
      <c r="AW365" s="686"/>
      <c r="AX365" s="703"/>
      <c r="AY365" s="686"/>
      <c r="AZ365" s="703"/>
      <c r="BA365" s="686"/>
      <c r="BB365" s="703"/>
      <c r="BC365" s="686"/>
      <c r="BD365" s="703"/>
      <c r="BE365" s="686"/>
    </row>
    <row r="366" spans="1:57" s="44" customFormat="1">
      <c r="A366" s="690"/>
      <c r="B366" s="690"/>
      <c r="C366" s="690"/>
      <c r="D366" s="825"/>
      <c r="E366" s="686"/>
      <c r="F366" s="825"/>
      <c r="G366" s="686"/>
      <c r="H366" s="825"/>
      <c r="I366" s="686"/>
      <c r="J366" s="825"/>
      <c r="K366" s="686"/>
      <c r="L366" s="825"/>
      <c r="M366" s="686"/>
      <c r="N366" s="686"/>
      <c r="O366" s="825"/>
      <c r="P366" s="686"/>
      <c r="Q366" s="825"/>
      <c r="R366" s="686"/>
      <c r="S366" s="825"/>
      <c r="T366" s="686"/>
      <c r="U366" s="825"/>
      <c r="V366" s="686"/>
      <c r="W366" s="825"/>
      <c r="X366" s="686"/>
      <c r="Y366" s="686"/>
      <c r="Z366" s="703"/>
      <c r="AA366" s="686"/>
      <c r="AB366" s="703"/>
      <c r="AC366" s="686"/>
      <c r="AD366" s="703"/>
      <c r="AE366" s="686"/>
      <c r="AF366" s="703"/>
      <c r="AG366" s="686"/>
      <c r="AH366" s="703"/>
      <c r="AI366" s="686"/>
      <c r="AJ366" s="686"/>
      <c r="AK366" s="703"/>
      <c r="AL366" s="686"/>
      <c r="AM366" s="703"/>
      <c r="AN366" s="686"/>
      <c r="AO366" s="703"/>
      <c r="AP366" s="686"/>
      <c r="AQ366" s="703"/>
      <c r="AR366" s="686"/>
      <c r="AS366" s="703"/>
      <c r="AT366" s="686"/>
      <c r="AU366" s="686"/>
      <c r="AV366" s="703"/>
      <c r="AW366" s="686"/>
      <c r="AX366" s="703"/>
      <c r="AY366" s="686"/>
      <c r="AZ366" s="703"/>
      <c r="BA366" s="686"/>
      <c r="BB366" s="703"/>
      <c r="BC366" s="686"/>
      <c r="BD366" s="703"/>
      <c r="BE366" s="686"/>
    </row>
    <row r="367" spans="1:57" s="44" customFormat="1">
      <c r="A367" s="690"/>
      <c r="B367" s="690"/>
      <c r="C367" s="690"/>
      <c r="D367" s="825"/>
      <c r="E367" s="686"/>
      <c r="F367" s="825"/>
      <c r="G367" s="686"/>
      <c r="H367" s="825"/>
      <c r="I367" s="686"/>
      <c r="J367" s="825"/>
      <c r="K367" s="686"/>
      <c r="L367" s="825"/>
      <c r="M367" s="686"/>
      <c r="N367" s="686"/>
      <c r="O367" s="825"/>
      <c r="P367" s="686"/>
      <c r="Q367" s="825"/>
      <c r="R367" s="686"/>
      <c r="S367" s="825"/>
      <c r="T367" s="686"/>
      <c r="U367" s="825"/>
      <c r="V367" s="686"/>
      <c r="W367" s="825"/>
      <c r="X367" s="686"/>
      <c r="Y367" s="686"/>
      <c r="Z367" s="703"/>
      <c r="AA367" s="686"/>
      <c r="AB367" s="703"/>
      <c r="AC367" s="686"/>
      <c r="AD367" s="703"/>
      <c r="AE367" s="686"/>
      <c r="AF367" s="703"/>
      <c r="AG367" s="686"/>
      <c r="AH367" s="703"/>
      <c r="AI367" s="686"/>
      <c r="AJ367" s="686"/>
      <c r="AK367" s="703"/>
      <c r="AL367" s="686"/>
      <c r="AM367" s="703"/>
      <c r="AN367" s="686"/>
      <c r="AO367" s="703"/>
      <c r="AP367" s="686"/>
      <c r="AQ367" s="703"/>
      <c r="AR367" s="686"/>
      <c r="AS367" s="703"/>
      <c r="AT367" s="686"/>
      <c r="AU367" s="686"/>
      <c r="AV367" s="703"/>
      <c r="AW367" s="686"/>
      <c r="AX367" s="703"/>
      <c r="AY367" s="686"/>
      <c r="AZ367" s="703"/>
      <c r="BA367" s="686"/>
      <c r="BB367" s="703"/>
      <c r="BC367" s="686"/>
      <c r="BD367" s="703"/>
      <c r="BE367" s="686"/>
    </row>
    <row r="368" spans="1:57" s="44" customFormat="1">
      <c r="A368" s="690"/>
      <c r="B368" s="690"/>
      <c r="C368" s="690"/>
      <c r="D368" s="825"/>
      <c r="E368" s="686"/>
      <c r="F368" s="825"/>
      <c r="G368" s="686"/>
      <c r="H368" s="825"/>
      <c r="I368" s="686"/>
      <c r="J368" s="825"/>
      <c r="K368" s="686"/>
      <c r="L368" s="825"/>
      <c r="M368" s="686"/>
      <c r="N368" s="686"/>
      <c r="O368" s="825"/>
      <c r="P368" s="686"/>
      <c r="Q368" s="825"/>
      <c r="R368" s="686"/>
      <c r="S368" s="825"/>
      <c r="T368" s="686"/>
      <c r="U368" s="825"/>
      <c r="V368" s="686"/>
      <c r="W368" s="825"/>
      <c r="X368" s="686"/>
      <c r="Y368" s="686"/>
      <c r="Z368" s="703"/>
      <c r="AA368" s="686"/>
      <c r="AB368" s="703"/>
      <c r="AC368" s="686"/>
      <c r="AD368" s="703"/>
      <c r="AE368" s="686"/>
      <c r="AF368" s="703"/>
      <c r="AG368" s="686"/>
      <c r="AH368" s="703"/>
      <c r="AI368" s="686"/>
      <c r="AJ368" s="686"/>
      <c r="AK368" s="703"/>
      <c r="AL368" s="686"/>
      <c r="AM368" s="703"/>
      <c r="AN368" s="686"/>
      <c r="AO368" s="703"/>
      <c r="AP368" s="686"/>
      <c r="AQ368" s="703"/>
      <c r="AR368" s="686"/>
      <c r="AS368" s="703"/>
      <c r="AT368" s="686"/>
      <c r="AU368" s="686"/>
      <c r="AV368" s="703"/>
      <c r="AW368" s="686"/>
      <c r="AX368" s="703"/>
      <c r="AY368" s="686"/>
      <c r="AZ368" s="703"/>
      <c r="BA368" s="686"/>
      <c r="BB368" s="703"/>
      <c r="BC368" s="686"/>
      <c r="BD368" s="703"/>
      <c r="BE368" s="686"/>
    </row>
    <row r="369" spans="1:57" s="44" customFormat="1">
      <c r="A369" s="690"/>
      <c r="B369" s="690"/>
      <c r="C369" s="690"/>
      <c r="D369" s="825"/>
      <c r="E369" s="686"/>
      <c r="F369" s="825"/>
      <c r="G369" s="686"/>
      <c r="H369" s="825"/>
      <c r="I369" s="686"/>
      <c r="J369" s="825"/>
      <c r="K369" s="686"/>
      <c r="L369" s="825"/>
      <c r="M369" s="686"/>
      <c r="N369" s="686"/>
      <c r="O369" s="825"/>
      <c r="P369" s="686"/>
      <c r="Q369" s="825"/>
      <c r="R369" s="686"/>
      <c r="S369" s="825"/>
      <c r="T369" s="686"/>
      <c r="U369" s="825"/>
      <c r="V369" s="686"/>
      <c r="W369" s="825"/>
      <c r="X369" s="686"/>
      <c r="Y369" s="686"/>
      <c r="Z369" s="703"/>
      <c r="AA369" s="686"/>
      <c r="AB369" s="703"/>
      <c r="AC369" s="686"/>
      <c r="AD369" s="703"/>
      <c r="AE369" s="686"/>
      <c r="AF369" s="703"/>
      <c r="AG369" s="686"/>
      <c r="AH369" s="703"/>
      <c r="AI369" s="686"/>
      <c r="AJ369" s="686"/>
      <c r="AK369" s="703"/>
      <c r="AL369" s="686"/>
      <c r="AM369" s="703"/>
      <c r="AN369" s="686"/>
      <c r="AO369" s="703"/>
      <c r="AP369" s="686"/>
      <c r="AQ369" s="703"/>
      <c r="AR369" s="686"/>
      <c r="AS369" s="703"/>
      <c r="AT369" s="686"/>
      <c r="AU369" s="686"/>
      <c r="AV369" s="703"/>
      <c r="AW369" s="686"/>
      <c r="AX369" s="703"/>
      <c r="AY369" s="686"/>
      <c r="AZ369" s="703"/>
      <c r="BA369" s="686"/>
      <c r="BB369" s="703"/>
      <c r="BC369" s="686"/>
      <c r="BD369" s="703"/>
      <c r="BE369" s="686"/>
    </row>
    <row r="370" spans="1:57" s="44" customFormat="1">
      <c r="A370" s="690"/>
      <c r="B370" s="690"/>
      <c r="C370" s="690"/>
      <c r="D370" s="825"/>
      <c r="E370" s="686"/>
      <c r="F370" s="825"/>
      <c r="G370" s="686"/>
      <c r="H370" s="825"/>
      <c r="I370" s="686"/>
      <c r="J370" s="825"/>
      <c r="K370" s="686"/>
      <c r="L370" s="825"/>
      <c r="M370" s="686"/>
      <c r="N370" s="686"/>
      <c r="O370" s="825"/>
      <c r="P370" s="686"/>
      <c r="Q370" s="825"/>
      <c r="R370" s="686"/>
      <c r="S370" s="825"/>
      <c r="T370" s="686"/>
      <c r="U370" s="825"/>
      <c r="V370" s="686"/>
      <c r="W370" s="825"/>
      <c r="X370" s="686"/>
      <c r="Y370" s="686"/>
      <c r="Z370" s="703"/>
      <c r="AA370" s="686"/>
      <c r="AB370" s="703"/>
      <c r="AC370" s="686"/>
      <c r="AD370" s="703"/>
      <c r="AE370" s="686"/>
      <c r="AF370" s="703"/>
      <c r="AG370" s="686"/>
      <c r="AH370" s="703"/>
      <c r="AI370" s="686"/>
      <c r="AJ370" s="686"/>
      <c r="AK370" s="703"/>
      <c r="AL370" s="686"/>
      <c r="AM370" s="703"/>
      <c r="AN370" s="686"/>
      <c r="AO370" s="703"/>
      <c r="AP370" s="686"/>
      <c r="AQ370" s="703"/>
      <c r="AR370" s="686"/>
      <c r="AS370" s="703"/>
      <c r="AT370" s="686"/>
      <c r="AU370" s="686"/>
      <c r="AV370" s="703"/>
      <c r="AW370" s="686"/>
      <c r="AX370" s="703"/>
      <c r="AY370" s="686"/>
      <c r="AZ370" s="703"/>
      <c r="BA370" s="686"/>
      <c r="BB370" s="703"/>
      <c r="BC370" s="686"/>
      <c r="BD370" s="703"/>
      <c r="BE370" s="686"/>
    </row>
    <row r="371" spans="1:57" s="44" customFormat="1">
      <c r="A371" s="690"/>
      <c r="B371" s="690"/>
      <c r="C371" s="690"/>
      <c r="D371" s="825"/>
      <c r="E371" s="686"/>
      <c r="F371" s="825"/>
      <c r="G371" s="686"/>
      <c r="H371" s="825"/>
      <c r="I371" s="686"/>
      <c r="J371" s="825"/>
      <c r="K371" s="686"/>
      <c r="L371" s="825"/>
      <c r="M371" s="686"/>
      <c r="N371" s="686"/>
      <c r="O371" s="825"/>
      <c r="P371" s="686"/>
      <c r="Q371" s="825"/>
      <c r="R371" s="686"/>
      <c r="S371" s="825"/>
      <c r="T371" s="686"/>
      <c r="U371" s="825"/>
      <c r="V371" s="686"/>
      <c r="W371" s="825"/>
      <c r="X371" s="686"/>
      <c r="Y371" s="686"/>
      <c r="Z371" s="703"/>
      <c r="AA371" s="686"/>
      <c r="AB371" s="703"/>
      <c r="AC371" s="686"/>
      <c r="AD371" s="703"/>
      <c r="AE371" s="686"/>
      <c r="AF371" s="703"/>
      <c r="AG371" s="686"/>
      <c r="AH371" s="703"/>
      <c r="AI371" s="686"/>
      <c r="AJ371" s="686"/>
      <c r="AK371" s="703"/>
      <c r="AL371" s="686"/>
      <c r="AM371" s="703"/>
      <c r="AN371" s="686"/>
      <c r="AO371" s="703"/>
      <c r="AP371" s="686"/>
      <c r="AQ371" s="703"/>
      <c r="AR371" s="686"/>
      <c r="AS371" s="703"/>
      <c r="AT371" s="686"/>
      <c r="AU371" s="686"/>
      <c r="AV371" s="703"/>
      <c r="AW371" s="686"/>
      <c r="AX371" s="703"/>
      <c r="AY371" s="686"/>
      <c r="AZ371" s="703"/>
      <c r="BA371" s="686"/>
      <c r="BB371" s="703"/>
      <c r="BC371" s="686"/>
      <c r="BD371" s="703"/>
      <c r="BE371" s="686"/>
    </row>
    <row r="372" spans="1:57" s="44" customFormat="1">
      <c r="A372" s="690"/>
      <c r="B372" s="690"/>
      <c r="C372" s="690"/>
      <c r="D372" s="825"/>
      <c r="E372" s="686"/>
      <c r="F372" s="825"/>
      <c r="G372" s="686"/>
      <c r="H372" s="825"/>
      <c r="I372" s="686"/>
      <c r="J372" s="825"/>
      <c r="K372" s="686"/>
      <c r="L372" s="825"/>
      <c r="M372" s="686"/>
      <c r="N372" s="686"/>
      <c r="O372" s="825"/>
      <c r="P372" s="686"/>
      <c r="Q372" s="825"/>
      <c r="R372" s="686"/>
      <c r="S372" s="825"/>
      <c r="T372" s="686"/>
      <c r="U372" s="825"/>
      <c r="V372" s="686"/>
      <c r="W372" s="825"/>
      <c r="X372" s="686"/>
      <c r="Y372" s="686"/>
      <c r="Z372" s="703"/>
      <c r="AA372" s="686"/>
      <c r="AB372" s="703"/>
      <c r="AC372" s="686"/>
      <c r="AD372" s="703"/>
      <c r="AE372" s="686"/>
      <c r="AF372" s="703"/>
      <c r="AG372" s="686"/>
      <c r="AH372" s="703"/>
      <c r="AI372" s="686"/>
      <c r="AJ372" s="686"/>
      <c r="AK372" s="703"/>
      <c r="AL372" s="686"/>
      <c r="AM372" s="703"/>
      <c r="AN372" s="686"/>
      <c r="AO372" s="703"/>
      <c r="AP372" s="686"/>
      <c r="AQ372" s="703"/>
      <c r="AR372" s="686"/>
      <c r="AS372" s="703"/>
      <c r="AT372" s="686"/>
      <c r="AU372" s="686"/>
      <c r="AV372" s="703"/>
      <c r="AW372" s="686"/>
      <c r="AX372" s="703"/>
      <c r="AY372" s="686"/>
      <c r="AZ372" s="703"/>
      <c r="BA372" s="686"/>
      <c r="BB372" s="703"/>
      <c r="BC372" s="686"/>
      <c r="BD372" s="703"/>
      <c r="BE372" s="686"/>
    </row>
    <row r="373" spans="1:57" s="44" customFormat="1">
      <c r="A373" s="690"/>
      <c r="B373" s="690"/>
      <c r="C373" s="690"/>
      <c r="D373" s="825"/>
      <c r="E373" s="686"/>
      <c r="F373" s="825"/>
      <c r="G373" s="686"/>
      <c r="H373" s="825"/>
      <c r="I373" s="686"/>
      <c r="J373" s="825"/>
      <c r="K373" s="686"/>
      <c r="L373" s="825"/>
      <c r="M373" s="686"/>
      <c r="N373" s="686"/>
      <c r="O373" s="825"/>
      <c r="P373" s="686"/>
      <c r="Q373" s="825"/>
      <c r="R373" s="686"/>
      <c r="S373" s="825"/>
      <c r="T373" s="686"/>
      <c r="U373" s="825"/>
      <c r="V373" s="686"/>
      <c r="W373" s="825"/>
      <c r="X373" s="686"/>
      <c r="Y373" s="686"/>
      <c r="Z373" s="703"/>
      <c r="AA373" s="686"/>
      <c r="AB373" s="703"/>
      <c r="AC373" s="686"/>
      <c r="AD373" s="703"/>
      <c r="AE373" s="686"/>
      <c r="AF373" s="703"/>
      <c r="AG373" s="686"/>
      <c r="AH373" s="703"/>
      <c r="AI373" s="686"/>
      <c r="AJ373" s="686"/>
      <c r="AK373" s="703"/>
      <c r="AL373" s="686"/>
      <c r="AM373" s="703"/>
      <c r="AN373" s="686"/>
      <c r="AO373" s="703"/>
      <c r="AP373" s="686"/>
      <c r="AQ373" s="703"/>
      <c r="AR373" s="686"/>
      <c r="AS373" s="703"/>
      <c r="AT373" s="686"/>
      <c r="AU373" s="686"/>
      <c r="AV373" s="703"/>
      <c r="AW373" s="686"/>
      <c r="AX373" s="703"/>
      <c r="AY373" s="686"/>
      <c r="AZ373" s="703"/>
      <c r="BA373" s="686"/>
      <c r="BB373" s="703"/>
      <c r="BC373" s="686"/>
      <c r="BD373" s="703"/>
      <c r="BE373" s="686"/>
    </row>
    <row r="374" spans="1:57" s="44" customFormat="1">
      <c r="A374" s="690"/>
      <c r="B374" s="690"/>
      <c r="C374" s="690"/>
      <c r="D374" s="825"/>
      <c r="E374" s="686"/>
      <c r="F374" s="825"/>
      <c r="G374" s="686"/>
      <c r="H374" s="825"/>
      <c r="I374" s="686"/>
      <c r="J374" s="825"/>
      <c r="K374" s="686"/>
      <c r="L374" s="825"/>
      <c r="M374" s="686"/>
      <c r="N374" s="686"/>
      <c r="O374" s="825"/>
      <c r="P374" s="686"/>
      <c r="Q374" s="825"/>
      <c r="R374" s="686"/>
      <c r="S374" s="825"/>
      <c r="T374" s="686"/>
      <c r="U374" s="825"/>
      <c r="V374" s="686"/>
      <c r="W374" s="825"/>
      <c r="X374" s="686"/>
      <c r="Y374" s="686"/>
      <c r="Z374" s="703"/>
      <c r="AA374" s="686"/>
      <c r="AB374" s="703"/>
      <c r="AC374" s="686"/>
      <c r="AD374" s="703"/>
      <c r="AE374" s="686"/>
      <c r="AF374" s="703"/>
      <c r="AG374" s="686"/>
      <c r="AH374" s="703"/>
      <c r="AI374" s="686"/>
      <c r="AJ374" s="686"/>
      <c r="AK374" s="703"/>
      <c r="AL374" s="686"/>
      <c r="AM374" s="703"/>
      <c r="AN374" s="686"/>
      <c r="AO374" s="703"/>
      <c r="AP374" s="686"/>
      <c r="AQ374" s="703"/>
      <c r="AR374" s="686"/>
      <c r="AS374" s="703"/>
      <c r="AT374" s="686"/>
      <c r="AU374" s="686"/>
      <c r="AV374" s="703"/>
      <c r="AW374" s="686"/>
      <c r="AX374" s="703"/>
      <c r="AY374" s="686"/>
      <c r="AZ374" s="703"/>
      <c r="BA374" s="686"/>
      <c r="BB374" s="703"/>
      <c r="BC374" s="686"/>
      <c r="BD374" s="703"/>
      <c r="BE374" s="686"/>
    </row>
    <row r="375" spans="1:57" s="44" customFormat="1">
      <c r="A375" s="690"/>
      <c r="B375" s="690"/>
      <c r="C375" s="690"/>
      <c r="D375" s="825"/>
      <c r="E375" s="686"/>
      <c r="F375" s="825"/>
      <c r="G375" s="686"/>
      <c r="H375" s="825"/>
      <c r="I375" s="686"/>
      <c r="J375" s="825"/>
      <c r="K375" s="686"/>
      <c r="L375" s="825"/>
      <c r="M375" s="686"/>
      <c r="N375" s="686"/>
      <c r="O375" s="825"/>
      <c r="P375" s="686"/>
      <c r="Q375" s="825"/>
      <c r="R375" s="686"/>
      <c r="S375" s="825"/>
      <c r="T375" s="686"/>
      <c r="U375" s="825"/>
      <c r="V375" s="686"/>
      <c r="W375" s="825"/>
      <c r="X375" s="686"/>
      <c r="Y375" s="686"/>
      <c r="Z375" s="703"/>
      <c r="AA375" s="686"/>
      <c r="AB375" s="703"/>
      <c r="AC375" s="686"/>
      <c r="AD375" s="703"/>
      <c r="AE375" s="686"/>
      <c r="AF375" s="703"/>
      <c r="AG375" s="686"/>
      <c r="AH375" s="703"/>
      <c r="AI375" s="686"/>
      <c r="AJ375" s="686"/>
      <c r="AK375" s="703"/>
      <c r="AL375" s="686"/>
      <c r="AM375" s="703"/>
      <c r="AN375" s="686"/>
      <c r="AO375" s="703"/>
      <c r="AP375" s="686"/>
      <c r="AQ375" s="703"/>
      <c r="AR375" s="686"/>
      <c r="AS375" s="703"/>
      <c r="AT375" s="686"/>
      <c r="AU375" s="686"/>
      <c r="AV375" s="703"/>
      <c r="AW375" s="686"/>
      <c r="AX375" s="703"/>
      <c r="AY375" s="686"/>
      <c r="AZ375" s="703"/>
      <c r="BA375" s="686"/>
      <c r="BB375" s="703"/>
      <c r="BC375" s="686"/>
      <c r="BD375" s="703"/>
      <c r="BE375" s="686"/>
    </row>
    <row r="376" spans="1:57" s="44" customFormat="1">
      <c r="A376" s="690"/>
      <c r="B376" s="690"/>
      <c r="C376" s="690"/>
      <c r="D376" s="825"/>
      <c r="E376" s="686"/>
      <c r="F376" s="825"/>
      <c r="G376" s="686"/>
      <c r="H376" s="825"/>
      <c r="I376" s="686"/>
      <c r="J376" s="825"/>
      <c r="K376" s="686"/>
      <c r="L376" s="825"/>
      <c r="M376" s="686"/>
      <c r="N376" s="686"/>
      <c r="O376" s="825"/>
      <c r="P376" s="686"/>
      <c r="Q376" s="825"/>
      <c r="R376" s="686"/>
      <c r="S376" s="825"/>
      <c r="T376" s="686"/>
      <c r="U376" s="825"/>
      <c r="V376" s="686"/>
      <c r="W376" s="825"/>
      <c r="X376" s="686"/>
      <c r="Y376" s="686"/>
      <c r="Z376" s="703"/>
      <c r="AA376" s="686"/>
      <c r="AB376" s="703"/>
      <c r="AC376" s="686"/>
      <c r="AD376" s="703"/>
      <c r="AE376" s="686"/>
      <c r="AF376" s="703"/>
      <c r="AG376" s="686"/>
      <c r="AH376" s="703"/>
      <c r="AI376" s="686"/>
      <c r="AJ376" s="686"/>
      <c r="AK376" s="703"/>
      <c r="AL376" s="686"/>
      <c r="AM376" s="703"/>
      <c r="AN376" s="686"/>
      <c r="AO376" s="703"/>
      <c r="AP376" s="686"/>
      <c r="AQ376" s="703"/>
      <c r="AR376" s="686"/>
      <c r="AS376" s="703"/>
      <c r="AT376" s="686"/>
      <c r="AU376" s="686"/>
      <c r="AV376" s="703"/>
      <c r="AW376" s="686"/>
      <c r="AX376" s="703"/>
      <c r="AY376" s="686"/>
      <c r="AZ376" s="703"/>
      <c r="BA376" s="686"/>
      <c r="BB376" s="703"/>
      <c r="BC376" s="686"/>
      <c r="BD376" s="703"/>
      <c r="BE376" s="686"/>
    </row>
    <row r="377" spans="1:57" s="44" customFormat="1">
      <c r="A377" s="690"/>
      <c r="B377" s="690"/>
      <c r="C377" s="690"/>
      <c r="D377" s="825"/>
      <c r="E377" s="686"/>
      <c r="F377" s="825"/>
      <c r="G377" s="686"/>
      <c r="H377" s="825"/>
      <c r="I377" s="686"/>
      <c r="J377" s="825"/>
      <c r="K377" s="686"/>
      <c r="L377" s="825"/>
      <c r="M377" s="686"/>
      <c r="N377" s="686"/>
      <c r="O377" s="825"/>
      <c r="P377" s="686"/>
      <c r="Q377" s="825"/>
      <c r="R377" s="686"/>
      <c r="S377" s="825"/>
      <c r="T377" s="686"/>
      <c r="U377" s="825"/>
      <c r="V377" s="686"/>
      <c r="W377" s="825"/>
      <c r="X377" s="686"/>
      <c r="Y377" s="686"/>
      <c r="Z377" s="703"/>
      <c r="AA377" s="686"/>
      <c r="AB377" s="703"/>
      <c r="AC377" s="686"/>
      <c r="AD377" s="703"/>
      <c r="AE377" s="686"/>
      <c r="AF377" s="703"/>
      <c r="AG377" s="686"/>
      <c r="AH377" s="703"/>
      <c r="AI377" s="686"/>
      <c r="AJ377" s="686"/>
      <c r="AK377" s="703"/>
      <c r="AL377" s="686"/>
      <c r="AM377" s="703"/>
      <c r="AN377" s="686"/>
      <c r="AO377" s="703"/>
      <c r="AP377" s="686"/>
      <c r="AQ377" s="703"/>
      <c r="AR377" s="686"/>
      <c r="AS377" s="703"/>
      <c r="AT377" s="686"/>
      <c r="AU377" s="686"/>
      <c r="AV377" s="703"/>
      <c r="AW377" s="686"/>
      <c r="AX377" s="703"/>
      <c r="AY377" s="686"/>
      <c r="AZ377" s="703"/>
      <c r="BA377" s="686"/>
      <c r="BB377" s="703"/>
      <c r="BC377" s="686"/>
      <c r="BD377" s="703"/>
      <c r="BE377" s="686"/>
    </row>
    <row r="378" spans="1:57" s="44" customFormat="1">
      <c r="A378" s="690"/>
      <c r="B378" s="690"/>
      <c r="C378" s="690"/>
      <c r="D378" s="825"/>
      <c r="E378" s="686"/>
      <c r="F378" s="825"/>
      <c r="G378" s="686"/>
      <c r="H378" s="825"/>
      <c r="I378" s="686"/>
      <c r="J378" s="825"/>
      <c r="K378" s="686"/>
      <c r="L378" s="825"/>
      <c r="M378" s="686"/>
      <c r="N378" s="686"/>
      <c r="O378" s="825"/>
      <c r="P378" s="686"/>
      <c r="Q378" s="825"/>
      <c r="R378" s="686"/>
      <c r="S378" s="825"/>
      <c r="T378" s="686"/>
      <c r="U378" s="825"/>
      <c r="V378" s="686"/>
      <c r="W378" s="825"/>
      <c r="X378" s="686"/>
      <c r="Y378" s="686"/>
      <c r="Z378" s="703"/>
      <c r="AA378" s="686"/>
      <c r="AB378" s="703"/>
      <c r="AC378" s="686"/>
      <c r="AD378" s="703"/>
      <c r="AE378" s="686"/>
      <c r="AF378" s="703"/>
      <c r="AG378" s="686"/>
      <c r="AH378" s="703"/>
      <c r="AI378" s="686"/>
      <c r="AJ378" s="686"/>
      <c r="AK378" s="703"/>
      <c r="AL378" s="686"/>
      <c r="AM378" s="703"/>
      <c r="AN378" s="686"/>
      <c r="AO378" s="703"/>
      <c r="AP378" s="686"/>
      <c r="AQ378" s="703"/>
      <c r="AR378" s="686"/>
      <c r="AS378" s="703"/>
      <c r="AT378" s="686"/>
      <c r="AU378" s="686"/>
      <c r="AV378" s="703"/>
      <c r="AW378" s="686"/>
      <c r="AX378" s="703"/>
      <c r="AY378" s="686"/>
      <c r="AZ378" s="703"/>
      <c r="BA378" s="686"/>
      <c r="BB378" s="703"/>
      <c r="BC378" s="686"/>
      <c r="BD378" s="703"/>
      <c r="BE378" s="686"/>
    </row>
    <row r="379" spans="1:57" s="44" customFormat="1">
      <c r="A379" s="690"/>
      <c r="B379" s="690"/>
      <c r="C379" s="690"/>
      <c r="D379" s="825"/>
      <c r="E379" s="686"/>
      <c r="F379" s="825"/>
      <c r="G379" s="686"/>
      <c r="H379" s="825"/>
      <c r="I379" s="686"/>
      <c r="J379" s="825"/>
      <c r="K379" s="686"/>
      <c r="L379" s="825"/>
      <c r="M379" s="686"/>
      <c r="N379" s="686"/>
      <c r="O379" s="825"/>
      <c r="P379" s="686"/>
      <c r="Q379" s="825"/>
      <c r="R379" s="686"/>
      <c r="S379" s="825"/>
      <c r="T379" s="686"/>
      <c r="U379" s="825"/>
      <c r="V379" s="686"/>
      <c r="W379" s="825"/>
      <c r="X379" s="686"/>
      <c r="Y379" s="686"/>
      <c r="Z379" s="703"/>
      <c r="AA379" s="686"/>
      <c r="AB379" s="703"/>
      <c r="AC379" s="686"/>
      <c r="AD379" s="703"/>
      <c r="AE379" s="686"/>
      <c r="AF379" s="703"/>
      <c r="AG379" s="686"/>
      <c r="AH379" s="703"/>
      <c r="AI379" s="686"/>
      <c r="AJ379" s="686"/>
      <c r="AK379" s="703"/>
      <c r="AL379" s="686"/>
      <c r="AM379" s="703"/>
      <c r="AN379" s="686"/>
      <c r="AO379" s="703"/>
      <c r="AP379" s="686"/>
      <c r="AQ379" s="703"/>
      <c r="AR379" s="686"/>
      <c r="AS379" s="703"/>
      <c r="AT379" s="686"/>
      <c r="AU379" s="686"/>
      <c r="AV379" s="703"/>
      <c r="AW379" s="686"/>
      <c r="AX379" s="703"/>
      <c r="AY379" s="686"/>
      <c r="AZ379" s="703"/>
      <c r="BA379" s="686"/>
      <c r="BB379" s="703"/>
      <c r="BC379" s="686"/>
      <c r="BD379" s="703"/>
      <c r="BE379" s="686"/>
    </row>
    <row r="380" spans="1:57" s="44" customFormat="1">
      <c r="A380" s="690"/>
      <c r="B380" s="690"/>
      <c r="C380" s="690"/>
      <c r="D380" s="825"/>
      <c r="E380" s="686"/>
      <c r="F380" s="825"/>
      <c r="G380" s="686"/>
      <c r="H380" s="825"/>
      <c r="I380" s="686"/>
      <c r="J380" s="825"/>
      <c r="K380" s="686"/>
      <c r="L380" s="825"/>
      <c r="M380" s="686"/>
      <c r="N380" s="686"/>
      <c r="O380" s="825"/>
      <c r="P380" s="686"/>
      <c r="Q380" s="825"/>
      <c r="R380" s="686"/>
      <c r="S380" s="825"/>
      <c r="T380" s="686"/>
      <c r="U380" s="825"/>
      <c r="V380" s="686"/>
      <c r="W380" s="825"/>
      <c r="X380" s="686"/>
      <c r="Y380" s="686"/>
      <c r="Z380" s="703"/>
      <c r="AA380" s="686"/>
      <c r="AB380" s="703"/>
      <c r="AC380" s="686"/>
      <c r="AD380" s="703"/>
      <c r="AE380" s="686"/>
      <c r="AF380" s="703"/>
      <c r="AG380" s="686"/>
      <c r="AH380" s="703"/>
      <c r="AI380" s="686"/>
      <c r="AJ380" s="686"/>
      <c r="AK380" s="703"/>
      <c r="AL380" s="686"/>
      <c r="AM380" s="703"/>
      <c r="AN380" s="686"/>
      <c r="AO380" s="703"/>
      <c r="AP380" s="686"/>
      <c r="AQ380" s="703"/>
      <c r="AR380" s="686"/>
      <c r="AS380" s="703"/>
      <c r="AT380" s="686"/>
      <c r="AU380" s="686"/>
      <c r="AV380" s="703"/>
      <c r="AW380" s="686"/>
      <c r="AX380" s="703"/>
      <c r="AY380" s="686"/>
      <c r="AZ380" s="703"/>
      <c r="BA380" s="686"/>
      <c r="BB380" s="703"/>
      <c r="BC380" s="686"/>
      <c r="BD380" s="703"/>
      <c r="BE380" s="686"/>
    </row>
    <row r="381" spans="1:57" s="44" customFormat="1">
      <c r="A381" s="690"/>
      <c r="B381" s="690"/>
      <c r="C381" s="690"/>
      <c r="D381" s="825"/>
      <c r="E381" s="686"/>
      <c r="F381" s="825"/>
      <c r="G381" s="686"/>
      <c r="H381" s="825"/>
      <c r="I381" s="686"/>
      <c r="J381" s="825"/>
      <c r="K381" s="686"/>
      <c r="L381" s="825"/>
      <c r="M381" s="686"/>
      <c r="N381" s="686"/>
      <c r="O381" s="825"/>
      <c r="P381" s="686"/>
      <c r="Q381" s="825"/>
      <c r="R381" s="686"/>
      <c r="S381" s="825"/>
      <c r="T381" s="686"/>
      <c r="U381" s="825"/>
      <c r="V381" s="686"/>
      <c r="W381" s="825"/>
      <c r="X381" s="686"/>
      <c r="Y381" s="686"/>
      <c r="Z381" s="703"/>
      <c r="AA381" s="686"/>
      <c r="AB381" s="703"/>
      <c r="AC381" s="686"/>
      <c r="AD381" s="703"/>
      <c r="AE381" s="686"/>
      <c r="AF381" s="703"/>
      <c r="AG381" s="686"/>
      <c r="AH381" s="703"/>
      <c r="AI381" s="686"/>
      <c r="AJ381" s="686"/>
      <c r="AK381" s="703"/>
      <c r="AL381" s="686"/>
      <c r="AM381" s="703"/>
      <c r="AN381" s="686"/>
      <c r="AO381" s="703"/>
      <c r="AP381" s="686"/>
      <c r="AQ381" s="703"/>
      <c r="AR381" s="686"/>
      <c r="AS381" s="703"/>
      <c r="AT381" s="686"/>
      <c r="AU381" s="686"/>
      <c r="AV381" s="703"/>
      <c r="AW381" s="686"/>
      <c r="AX381" s="703"/>
      <c r="AY381" s="686"/>
      <c r="AZ381" s="703"/>
      <c r="BA381" s="686"/>
      <c r="BB381" s="703"/>
      <c r="BC381" s="686"/>
      <c r="BD381" s="703"/>
      <c r="BE381" s="686"/>
    </row>
    <row r="382" spans="1:57" s="44" customFormat="1">
      <c r="A382" s="690"/>
      <c r="B382" s="690"/>
      <c r="C382" s="690"/>
      <c r="D382" s="825"/>
      <c r="E382" s="686"/>
      <c r="F382" s="825"/>
      <c r="G382" s="686"/>
      <c r="H382" s="825"/>
      <c r="I382" s="686"/>
      <c r="J382" s="825"/>
      <c r="K382" s="686"/>
      <c r="L382" s="825"/>
      <c r="M382" s="686"/>
      <c r="N382" s="686"/>
      <c r="O382" s="825"/>
      <c r="P382" s="686"/>
      <c r="Q382" s="825"/>
      <c r="R382" s="686"/>
      <c r="S382" s="825"/>
      <c r="T382" s="686"/>
      <c r="U382" s="825"/>
      <c r="V382" s="686"/>
      <c r="W382" s="825"/>
      <c r="X382" s="686"/>
      <c r="Y382" s="686"/>
      <c r="Z382" s="703"/>
      <c r="AA382" s="686"/>
      <c r="AB382" s="703"/>
      <c r="AC382" s="686"/>
      <c r="AD382" s="703"/>
      <c r="AE382" s="686"/>
      <c r="AF382" s="703"/>
      <c r="AG382" s="686"/>
      <c r="AH382" s="703"/>
      <c r="AI382" s="686"/>
      <c r="AJ382" s="686"/>
      <c r="AK382" s="703"/>
      <c r="AL382" s="686"/>
      <c r="AM382" s="703"/>
      <c r="AN382" s="686"/>
      <c r="AO382" s="703"/>
      <c r="AP382" s="686"/>
      <c r="AQ382" s="703"/>
      <c r="AR382" s="686"/>
      <c r="AS382" s="703"/>
      <c r="AT382" s="686"/>
      <c r="AU382" s="686"/>
      <c r="AV382" s="703"/>
      <c r="AW382" s="686"/>
      <c r="AX382" s="703"/>
      <c r="AY382" s="686"/>
      <c r="AZ382" s="703"/>
      <c r="BA382" s="686"/>
      <c r="BB382" s="703"/>
      <c r="BC382" s="686"/>
      <c r="BD382" s="703"/>
      <c r="BE382" s="686"/>
    </row>
    <row r="383" spans="1:57" s="44" customFormat="1">
      <c r="A383" s="690"/>
      <c r="B383" s="690"/>
      <c r="C383" s="690"/>
      <c r="D383" s="825"/>
      <c r="E383" s="686"/>
      <c r="F383" s="825"/>
      <c r="G383" s="686"/>
      <c r="H383" s="825"/>
      <c r="I383" s="686"/>
      <c r="J383" s="825"/>
      <c r="K383" s="686"/>
      <c r="L383" s="825"/>
      <c r="M383" s="686"/>
      <c r="N383" s="686"/>
      <c r="O383" s="825"/>
      <c r="P383" s="686"/>
      <c r="Q383" s="825"/>
      <c r="R383" s="686"/>
      <c r="S383" s="825"/>
      <c r="T383" s="686"/>
      <c r="U383" s="825"/>
      <c r="V383" s="686"/>
      <c r="W383" s="825"/>
      <c r="X383" s="686"/>
      <c r="Y383" s="686"/>
      <c r="Z383" s="703"/>
      <c r="AA383" s="686"/>
      <c r="AB383" s="703"/>
      <c r="AC383" s="686"/>
      <c r="AD383" s="703"/>
      <c r="AE383" s="686"/>
      <c r="AF383" s="703"/>
      <c r="AG383" s="686"/>
      <c r="AH383" s="703"/>
      <c r="AI383" s="686"/>
      <c r="AJ383" s="686"/>
      <c r="AK383" s="703"/>
      <c r="AL383" s="686"/>
      <c r="AM383" s="703"/>
      <c r="AN383" s="686"/>
      <c r="AO383" s="703"/>
      <c r="AP383" s="686"/>
      <c r="AQ383" s="703"/>
      <c r="AR383" s="686"/>
      <c r="AS383" s="703"/>
      <c r="AT383" s="686"/>
      <c r="AU383" s="686"/>
      <c r="AV383" s="703"/>
      <c r="AW383" s="686"/>
      <c r="AX383" s="703"/>
      <c r="AY383" s="686"/>
      <c r="AZ383" s="703"/>
      <c r="BA383" s="686"/>
      <c r="BB383" s="703"/>
      <c r="BC383" s="686"/>
      <c r="BD383" s="703"/>
      <c r="BE383" s="686"/>
    </row>
    <row r="384" spans="1:57" s="44" customFormat="1">
      <c r="A384" s="690"/>
      <c r="B384" s="690"/>
      <c r="C384" s="690"/>
      <c r="D384" s="825"/>
      <c r="E384" s="686"/>
      <c r="F384" s="825"/>
      <c r="G384" s="686"/>
      <c r="H384" s="825"/>
      <c r="I384" s="686"/>
      <c r="J384" s="825"/>
      <c r="K384" s="686"/>
      <c r="L384" s="825"/>
      <c r="M384" s="686"/>
      <c r="N384" s="686"/>
      <c r="O384" s="825"/>
      <c r="P384" s="686"/>
      <c r="Q384" s="825"/>
      <c r="R384" s="686"/>
      <c r="S384" s="825"/>
      <c r="T384" s="686"/>
      <c r="U384" s="825"/>
      <c r="V384" s="686"/>
      <c r="W384" s="825"/>
      <c r="X384" s="686"/>
      <c r="Y384" s="686"/>
      <c r="Z384" s="703"/>
      <c r="AA384" s="686"/>
      <c r="AB384" s="703"/>
      <c r="AC384" s="686"/>
      <c r="AD384" s="703"/>
      <c r="AE384" s="686"/>
      <c r="AF384" s="703"/>
      <c r="AG384" s="686"/>
      <c r="AH384" s="703"/>
      <c r="AI384" s="686"/>
      <c r="AJ384" s="686"/>
      <c r="AK384" s="703"/>
      <c r="AL384" s="686"/>
      <c r="AM384" s="703"/>
      <c r="AN384" s="686"/>
      <c r="AO384" s="703"/>
      <c r="AP384" s="686"/>
      <c r="AQ384" s="703"/>
      <c r="AR384" s="686"/>
      <c r="AS384" s="703"/>
      <c r="AT384" s="686"/>
      <c r="AU384" s="686"/>
      <c r="AV384" s="703"/>
      <c r="AW384" s="686"/>
      <c r="AX384" s="703"/>
      <c r="AY384" s="686"/>
      <c r="AZ384" s="703"/>
      <c r="BA384" s="686"/>
      <c r="BB384" s="703"/>
      <c r="BC384" s="686"/>
      <c r="BD384" s="703"/>
      <c r="BE384" s="686"/>
    </row>
    <row r="385" spans="1:57" s="44" customFormat="1">
      <c r="A385" s="690"/>
      <c r="B385" s="690"/>
      <c r="C385" s="690"/>
      <c r="D385" s="825"/>
      <c r="E385" s="686"/>
      <c r="F385" s="825"/>
      <c r="G385" s="686"/>
      <c r="H385" s="825"/>
      <c r="I385" s="686"/>
      <c r="J385" s="825"/>
      <c r="K385" s="686"/>
      <c r="L385" s="825"/>
      <c r="M385" s="686"/>
      <c r="N385" s="686"/>
      <c r="O385" s="825"/>
      <c r="P385" s="686"/>
      <c r="Q385" s="825"/>
      <c r="R385" s="686"/>
      <c r="S385" s="825"/>
      <c r="T385" s="686"/>
      <c r="U385" s="825"/>
      <c r="V385" s="686"/>
      <c r="W385" s="825"/>
      <c r="X385" s="686"/>
      <c r="Y385" s="686"/>
      <c r="Z385" s="703"/>
      <c r="AA385" s="686"/>
      <c r="AB385" s="703"/>
      <c r="AC385" s="686"/>
      <c r="AD385" s="703"/>
      <c r="AE385" s="686"/>
      <c r="AF385" s="703"/>
      <c r="AG385" s="686"/>
      <c r="AH385" s="703"/>
      <c r="AI385" s="686"/>
      <c r="AJ385" s="686"/>
      <c r="AK385" s="703"/>
      <c r="AL385" s="686"/>
      <c r="AM385" s="703"/>
      <c r="AN385" s="686"/>
      <c r="AO385" s="703"/>
      <c r="AP385" s="686"/>
      <c r="AQ385" s="703"/>
      <c r="AR385" s="686"/>
      <c r="AS385" s="703"/>
      <c r="AT385" s="686"/>
      <c r="AU385" s="686"/>
      <c r="AV385" s="703"/>
      <c r="AW385" s="686"/>
      <c r="AX385" s="703"/>
      <c r="AY385" s="686"/>
      <c r="AZ385" s="703"/>
      <c r="BA385" s="686"/>
      <c r="BB385" s="703"/>
      <c r="BC385" s="686"/>
      <c r="BD385" s="703"/>
      <c r="BE385" s="686"/>
    </row>
    <row r="386" spans="1:57" s="44" customFormat="1">
      <c r="A386" s="690"/>
      <c r="B386" s="690"/>
      <c r="C386" s="690"/>
      <c r="D386" s="825"/>
      <c r="E386" s="686"/>
      <c r="F386" s="825"/>
      <c r="G386" s="686"/>
      <c r="H386" s="825"/>
      <c r="I386" s="686"/>
      <c r="J386" s="825"/>
      <c r="K386" s="686"/>
      <c r="L386" s="825"/>
      <c r="M386" s="686"/>
      <c r="N386" s="686"/>
      <c r="O386" s="825"/>
      <c r="P386" s="686"/>
      <c r="Q386" s="825"/>
      <c r="R386" s="686"/>
      <c r="S386" s="825"/>
      <c r="T386" s="686"/>
      <c r="U386" s="825"/>
      <c r="V386" s="686"/>
      <c r="W386" s="825"/>
      <c r="X386" s="686"/>
      <c r="Y386" s="686"/>
      <c r="Z386" s="703"/>
      <c r="AA386" s="686"/>
      <c r="AB386" s="703"/>
      <c r="AC386" s="686"/>
      <c r="AD386" s="703"/>
      <c r="AE386" s="686"/>
      <c r="AF386" s="703"/>
      <c r="AG386" s="686"/>
      <c r="AH386" s="703"/>
      <c r="AI386" s="686"/>
      <c r="AJ386" s="686"/>
      <c r="AK386" s="703"/>
      <c r="AL386" s="686"/>
      <c r="AM386" s="703"/>
      <c r="AN386" s="686"/>
      <c r="AO386" s="703"/>
      <c r="AP386" s="686"/>
      <c r="AQ386" s="703"/>
      <c r="AR386" s="686"/>
      <c r="AS386" s="703"/>
      <c r="AT386" s="686"/>
      <c r="AU386" s="686"/>
      <c r="AV386" s="703"/>
      <c r="AW386" s="686"/>
      <c r="AX386" s="703"/>
      <c r="AY386" s="686"/>
      <c r="AZ386" s="703"/>
      <c r="BA386" s="686"/>
      <c r="BB386" s="703"/>
      <c r="BC386" s="686"/>
      <c r="BD386" s="703"/>
      <c r="BE386" s="686"/>
    </row>
    <row r="387" spans="1:57" s="44" customFormat="1">
      <c r="A387" s="690"/>
      <c r="B387" s="690"/>
      <c r="C387" s="690"/>
      <c r="D387" s="825"/>
      <c r="E387" s="686"/>
      <c r="F387" s="825"/>
      <c r="G387" s="686"/>
      <c r="H387" s="825"/>
      <c r="I387" s="686"/>
      <c r="J387" s="825"/>
      <c r="K387" s="686"/>
      <c r="L387" s="825"/>
      <c r="M387" s="686"/>
      <c r="N387" s="686"/>
      <c r="O387" s="825"/>
      <c r="P387" s="686"/>
      <c r="Q387" s="825"/>
      <c r="R387" s="686"/>
      <c r="S387" s="825"/>
      <c r="T387" s="686"/>
      <c r="U387" s="825"/>
      <c r="V387" s="686"/>
      <c r="W387" s="825"/>
      <c r="X387" s="686"/>
      <c r="Y387" s="686"/>
      <c r="Z387" s="703"/>
      <c r="AA387" s="686"/>
      <c r="AB387" s="703"/>
      <c r="AC387" s="686"/>
      <c r="AD387" s="703"/>
      <c r="AE387" s="686"/>
      <c r="AF387" s="703"/>
      <c r="AG387" s="686"/>
      <c r="AH387" s="703"/>
      <c r="AI387" s="686"/>
      <c r="AJ387" s="686"/>
      <c r="AK387" s="703"/>
      <c r="AL387" s="686"/>
      <c r="AM387" s="703"/>
      <c r="AN387" s="686"/>
      <c r="AO387" s="703"/>
      <c r="AP387" s="686"/>
      <c r="AQ387" s="703"/>
      <c r="AR387" s="686"/>
      <c r="AS387" s="703"/>
      <c r="AT387" s="686"/>
      <c r="AU387" s="686"/>
      <c r="AV387" s="703"/>
      <c r="AW387" s="686"/>
      <c r="AX387" s="703"/>
      <c r="AY387" s="686"/>
      <c r="AZ387" s="703"/>
      <c r="BA387" s="686"/>
      <c r="BB387" s="703"/>
      <c r="BC387" s="686"/>
      <c r="BD387" s="703"/>
      <c r="BE387" s="686"/>
    </row>
    <row r="388" spans="1:57" s="44" customFormat="1">
      <c r="A388" s="690"/>
      <c r="B388" s="690"/>
      <c r="C388" s="690"/>
      <c r="D388" s="825"/>
      <c r="E388" s="686"/>
      <c r="F388" s="825"/>
      <c r="G388" s="686"/>
      <c r="H388" s="825"/>
      <c r="I388" s="686"/>
      <c r="J388" s="825"/>
      <c r="K388" s="686"/>
      <c r="L388" s="825"/>
      <c r="M388" s="686"/>
      <c r="N388" s="686"/>
      <c r="O388" s="825"/>
      <c r="P388" s="686"/>
      <c r="Q388" s="825"/>
      <c r="R388" s="686"/>
      <c r="S388" s="825"/>
      <c r="T388" s="686"/>
      <c r="U388" s="825"/>
      <c r="V388" s="686"/>
      <c r="W388" s="825"/>
      <c r="X388" s="686"/>
      <c r="Y388" s="686"/>
      <c r="Z388" s="703"/>
      <c r="AA388" s="686"/>
      <c r="AB388" s="703"/>
      <c r="AC388" s="686"/>
      <c r="AD388" s="703"/>
      <c r="AE388" s="686"/>
      <c r="AF388" s="703"/>
      <c r="AG388" s="686"/>
      <c r="AH388" s="703"/>
      <c r="AI388" s="686"/>
      <c r="AJ388" s="686"/>
      <c r="AK388" s="703"/>
      <c r="AL388" s="686"/>
      <c r="AM388" s="703"/>
      <c r="AN388" s="686"/>
      <c r="AO388" s="703"/>
      <c r="AP388" s="686"/>
      <c r="AQ388" s="703"/>
      <c r="AR388" s="686"/>
      <c r="AS388" s="703"/>
      <c r="AT388" s="686"/>
      <c r="AU388" s="686"/>
      <c r="AV388" s="703"/>
      <c r="AW388" s="686"/>
      <c r="AX388" s="703"/>
      <c r="AY388" s="686"/>
      <c r="AZ388" s="703"/>
      <c r="BA388" s="686"/>
      <c r="BB388" s="703"/>
      <c r="BC388" s="686"/>
      <c r="BD388" s="703"/>
      <c r="BE388" s="686"/>
    </row>
    <row r="389" spans="1:57" s="44" customFormat="1">
      <c r="A389" s="690"/>
      <c r="B389" s="690"/>
      <c r="C389" s="690"/>
      <c r="D389" s="825"/>
      <c r="E389" s="686"/>
      <c r="F389" s="825"/>
      <c r="G389" s="686"/>
      <c r="H389" s="825"/>
      <c r="I389" s="686"/>
      <c r="J389" s="825"/>
      <c r="K389" s="686"/>
      <c r="L389" s="825"/>
      <c r="M389" s="686"/>
      <c r="N389" s="686"/>
      <c r="O389" s="825"/>
      <c r="P389" s="686"/>
      <c r="Q389" s="825"/>
      <c r="R389" s="686"/>
      <c r="S389" s="825"/>
      <c r="T389" s="686"/>
      <c r="U389" s="825"/>
      <c r="V389" s="686"/>
      <c r="W389" s="825"/>
      <c r="X389" s="686"/>
      <c r="Y389" s="686"/>
      <c r="Z389" s="703"/>
      <c r="AA389" s="686"/>
      <c r="AB389" s="703"/>
      <c r="AC389" s="686"/>
      <c r="AD389" s="703"/>
      <c r="AE389" s="686"/>
      <c r="AF389" s="703"/>
      <c r="AG389" s="686"/>
      <c r="AH389" s="703"/>
      <c r="AI389" s="686"/>
      <c r="AJ389" s="686"/>
      <c r="AK389" s="703"/>
      <c r="AL389" s="686"/>
      <c r="AM389" s="703"/>
      <c r="AN389" s="686"/>
      <c r="AO389" s="703"/>
      <c r="AP389" s="686"/>
      <c r="AQ389" s="703"/>
      <c r="AR389" s="686"/>
      <c r="AS389" s="703"/>
      <c r="AT389" s="686"/>
      <c r="AU389" s="686"/>
      <c r="AV389" s="703"/>
      <c r="AW389" s="686"/>
      <c r="AX389" s="703"/>
      <c r="AY389" s="686"/>
      <c r="AZ389" s="703"/>
      <c r="BA389" s="686"/>
      <c r="BB389" s="703"/>
      <c r="BC389" s="686"/>
      <c r="BD389" s="703"/>
      <c r="BE389" s="686"/>
    </row>
    <row r="390" spans="1:57" s="44" customFormat="1">
      <c r="A390" s="690"/>
      <c r="B390" s="690"/>
      <c r="C390" s="690"/>
      <c r="D390" s="825"/>
      <c r="E390" s="686"/>
      <c r="F390" s="825"/>
      <c r="G390" s="686"/>
      <c r="H390" s="825"/>
      <c r="I390" s="686"/>
      <c r="J390" s="825"/>
      <c r="K390" s="686"/>
      <c r="L390" s="825"/>
      <c r="M390" s="686"/>
      <c r="N390" s="686"/>
      <c r="O390" s="825"/>
      <c r="P390" s="686"/>
      <c r="Q390" s="825"/>
      <c r="R390" s="686"/>
      <c r="S390" s="825"/>
      <c r="T390" s="686"/>
      <c r="U390" s="825"/>
      <c r="V390" s="686"/>
      <c r="W390" s="825"/>
      <c r="X390" s="686"/>
      <c r="Y390" s="686"/>
      <c r="Z390" s="703"/>
      <c r="AA390" s="686"/>
      <c r="AB390" s="703"/>
      <c r="AC390" s="686"/>
      <c r="AD390" s="703"/>
      <c r="AE390" s="686"/>
      <c r="AF390" s="703"/>
      <c r="AG390" s="686"/>
      <c r="AH390" s="703"/>
      <c r="AI390" s="686"/>
      <c r="AJ390" s="686"/>
      <c r="AK390" s="703"/>
      <c r="AL390" s="686"/>
      <c r="AM390" s="703"/>
      <c r="AN390" s="686"/>
      <c r="AO390" s="703"/>
      <c r="AP390" s="686"/>
      <c r="AQ390" s="703"/>
      <c r="AR390" s="686"/>
      <c r="AS390" s="703"/>
      <c r="AT390" s="686"/>
      <c r="AU390" s="686"/>
      <c r="AV390" s="703"/>
      <c r="AW390" s="686"/>
      <c r="AX390" s="703"/>
      <c r="AY390" s="686"/>
      <c r="AZ390" s="703"/>
      <c r="BA390" s="686"/>
      <c r="BB390" s="703"/>
      <c r="BC390" s="686"/>
      <c r="BD390" s="703"/>
      <c r="BE390" s="686"/>
    </row>
    <row r="391" spans="1:57" s="44" customFormat="1">
      <c r="A391" s="690"/>
      <c r="B391" s="690"/>
      <c r="C391" s="690"/>
      <c r="D391" s="825"/>
      <c r="E391" s="686"/>
      <c r="F391" s="825"/>
      <c r="G391" s="686"/>
      <c r="H391" s="825"/>
      <c r="I391" s="686"/>
      <c r="J391" s="825"/>
      <c r="K391" s="686"/>
      <c r="L391" s="825"/>
      <c r="M391" s="686"/>
      <c r="N391" s="686"/>
      <c r="O391" s="825"/>
      <c r="P391" s="686"/>
      <c r="Q391" s="825"/>
      <c r="R391" s="686"/>
      <c r="S391" s="825"/>
      <c r="T391" s="686"/>
      <c r="U391" s="825"/>
      <c r="V391" s="686"/>
      <c r="W391" s="825"/>
      <c r="X391" s="686"/>
      <c r="Y391" s="686"/>
      <c r="Z391" s="703"/>
      <c r="AA391" s="686"/>
      <c r="AB391" s="703"/>
      <c r="AC391" s="686"/>
      <c r="AD391" s="703"/>
      <c r="AE391" s="686"/>
      <c r="AF391" s="703"/>
      <c r="AG391" s="686"/>
      <c r="AH391" s="703"/>
      <c r="AI391" s="686"/>
      <c r="AJ391" s="686"/>
      <c r="AK391" s="703"/>
      <c r="AL391" s="686"/>
      <c r="AM391" s="703"/>
      <c r="AN391" s="686"/>
      <c r="AO391" s="703"/>
      <c r="AP391" s="686"/>
      <c r="AQ391" s="703"/>
      <c r="AR391" s="686"/>
      <c r="AS391" s="703"/>
      <c r="AT391" s="686"/>
      <c r="AU391" s="686"/>
      <c r="AV391" s="703"/>
      <c r="AW391" s="686"/>
      <c r="AX391" s="703"/>
      <c r="AY391" s="686"/>
      <c r="AZ391" s="703"/>
      <c r="BA391" s="686"/>
      <c r="BB391" s="703"/>
      <c r="BC391" s="686"/>
      <c r="BD391" s="703"/>
      <c r="BE391" s="686"/>
    </row>
    <row r="392" spans="1:57" s="44" customFormat="1">
      <c r="A392" s="690"/>
      <c r="B392" s="690"/>
      <c r="C392" s="690"/>
      <c r="D392" s="825"/>
      <c r="E392" s="686"/>
      <c r="F392" s="825"/>
      <c r="G392" s="686"/>
      <c r="H392" s="825"/>
      <c r="I392" s="686"/>
      <c r="J392" s="825"/>
      <c r="K392" s="686"/>
      <c r="L392" s="825"/>
      <c r="M392" s="686"/>
      <c r="N392" s="686"/>
      <c r="O392" s="825"/>
      <c r="P392" s="686"/>
      <c r="Q392" s="825"/>
      <c r="R392" s="686"/>
      <c r="S392" s="825"/>
      <c r="T392" s="686"/>
      <c r="U392" s="825"/>
      <c r="V392" s="686"/>
      <c r="W392" s="825"/>
      <c r="X392" s="686"/>
      <c r="Y392" s="686"/>
      <c r="Z392" s="703"/>
      <c r="AA392" s="686"/>
      <c r="AB392" s="703"/>
      <c r="AC392" s="686"/>
      <c r="AD392" s="703"/>
      <c r="AE392" s="686"/>
      <c r="AF392" s="703"/>
      <c r="AG392" s="686"/>
      <c r="AH392" s="703"/>
      <c r="AI392" s="686"/>
      <c r="AJ392" s="686"/>
      <c r="AK392" s="703"/>
      <c r="AL392" s="686"/>
      <c r="AM392" s="703"/>
      <c r="AN392" s="686"/>
      <c r="AO392" s="703"/>
      <c r="AP392" s="686"/>
      <c r="AQ392" s="703"/>
      <c r="AR392" s="686"/>
      <c r="AS392" s="703"/>
      <c r="AT392" s="686"/>
      <c r="AU392" s="686"/>
      <c r="AV392" s="703"/>
      <c r="AW392" s="686"/>
      <c r="AX392" s="703"/>
      <c r="AY392" s="686"/>
      <c r="AZ392" s="703"/>
      <c r="BA392" s="686"/>
      <c r="BB392" s="703"/>
      <c r="BC392" s="686"/>
      <c r="BD392" s="703"/>
      <c r="BE392" s="686"/>
    </row>
    <row r="393" spans="1:57" s="44" customFormat="1">
      <c r="A393" s="690"/>
      <c r="B393" s="690"/>
      <c r="C393" s="690"/>
      <c r="D393" s="825"/>
      <c r="E393" s="686"/>
      <c r="F393" s="825"/>
      <c r="G393" s="686"/>
      <c r="H393" s="825"/>
      <c r="I393" s="686"/>
      <c r="J393" s="825"/>
      <c r="K393" s="686"/>
      <c r="L393" s="825"/>
      <c r="M393" s="686"/>
      <c r="N393" s="686"/>
      <c r="O393" s="825"/>
      <c r="P393" s="686"/>
      <c r="Q393" s="825"/>
      <c r="R393" s="686"/>
      <c r="S393" s="825"/>
      <c r="T393" s="686"/>
      <c r="U393" s="825"/>
      <c r="V393" s="686"/>
      <c r="W393" s="825"/>
      <c r="X393" s="686"/>
      <c r="Y393" s="686"/>
      <c r="Z393" s="703"/>
      <c r="AA393" s="686"/>
      <c r="AB393" s="703"/>
      <c r="AC393" s="686"/>
      <c r="AD393" s="703"/>
      <c r="AE393" s="686"/>
      <c r="AF393" s="703"/>
      <c r="AG393" s="686"/>
      <c r="AH393" s="703"/>
      <c r="AI393" s="686"/>
      <c r="AJ393" s="686"/>
      <c r="AK393" s="703"/>
      <c r="AL393" s="686"/>
      <c r="AM393" s="703"/>
      <c r="AN393" s="686"/>
      <c r="AO393" s="703"/>
      <c r="AP393" s="686"/>
      <c r="AQ393" s="703"/>
      <c r="AR393" s="686"/>
      <c r="AS393" s="703"/>
      <c r="AT393" s="686"/>
      <c r="AU393" s="686"/>
      <c r="AV393" s="703"/>
      <c r="AW393" s="686"/>
      <c r="AX393" s="703"/>
      <c r="AY393" s="686"/>
      <c r="AZ393" s="703"/>
      <c r="BA393" s="686"/>
      <c r="BB393" s="703"/>
      <c r="BC393" s="686"/>
      <c r="BD393" s="703"/>
      <c r="BE393" s="686"/>
    </row>
    <row r="394" spans="1:57" s="44" customFormat="1">
      <c r="A394" s="690"/>
      <c r="B394" s="690"/>
      <c r="C394" s="690"/>
      <c r="D394" s="825"/>
      <c r="E394" s="686"/>
      <c r="F394" s="825"/>
      <c r="G394" s="686"/>
      <c r="H394" s="825"/>
      <c r="I394" s="686"/>
      <c r="J394" s="825"/>
      <c r="K394" s="686"/>
      <c r="L394" s="825"/>
      <c r="M394" s="686"/>
      <c r="N394" s="686"/>
      <c r="O394" s="825"/>
      <c r="P394" s="686"/>
      <c r="Q394" s="825"/>
      <c r="R394" s="686"/>
      <c r="S394" s="825"/>
      <c r="T394" s="686"/>
      <c r="U394" s="825"/>
      <c r="V394" s="686"/>
      <c r="W394" s="825"/>
      <c r="X394" s="686"/>
      <c r="Y394" s="686"/>
      <c r="Z394" s="703"/>
      <c r="AA394" s="686"/>
      <c r="AB394" s="703"/>
      <c r="AC394" s="686"/>
      <c r="AD394" s="703"/>
      <c r="AE394" s="686"/>
      <c r="AF394" s="703"/>
      <c r="AG394" s="686"/>
      <c r="AH394" s="703"/>
      <c r="AI394" s="686"/>
      <c r="AJ394" s="686"/>
      <c r="AK394" s="703"/>
      <c r="AL394" s="686"/>
      <c r="AM394" s="703"/>
      <c r="AN394" s="686"/>
      <c r="AO394" s="703"/>
      <c r="AP394" s="686"/>
      <c r="AQ394" s="703"/>
      <c r="AR394" s="686"/>
      <c r="AS394" s="703"/>
      <c r="AT394" s="686"/>
      <c r="AU394" s="686"/>
      <c r="AV394" s="703"/>
      <c r="AW394" s="686"/>
      <c r="AX394" s="703"/>
      <c r="AY394" s="686"/>
      <c r="AZ394" s="703"/>
      <c r="BA394" s="686"/>
      <c r="BB394" s="703"/>
      <c r="BC394" s="686"/>
      <c r="BD394" s="703"/>
      <c r="BE394" s="686"/>
    </row>
    <row r="395" spans="1:57" s="44" customFormat="1">
      <c r="A395" s="690"/>
      <c r="B395" s="690"/>
      <c r="C395" s="690"/>
      <c r="D395" s="825"/>
      <c r="E395" s="686"/>
      <c r="F395" s="825"/>
      <c r="G395" s="686"/>
      <c r="H395" s="825"/>
      <c r="I395" s="686"/>
      <c r="J395" s="825"/>
      <c r="K395" s="686"/>
      <c r="L395" s="825"/>
      <c r="M395" s="686"/>
      <c r="N395" s="686"/>
      <c r="O395" s="825"/>
      <c r="P395" s="686"/>
      <c r="Q395" s="825"/>
      <c r="R395" s="686"/>
      <c r="S395" s="825"/>
      <c r="T395" s="686"/>
      <c r="U395" s="825"/>
      <c r="V395" s="686"/>
      <c r="W395" s="825"/>
      <c r="X395" s="686"/>
      <c r="Y395" s="686"/>
      <c r="Z395" s="703"/>
      <c r="AA395" s="686"/>
      <c r="AB395" s="703"/>
      <c r="AC395" s="686"/>
      <c r="AD395" s="703"/>
      <c r="AE395" s="686"/>
      <c r="AF395" s="703"/>
      <c r="AG395" s="686"/>
      <c r="AH395" s="703"/>
      <c r="AI395" s="686"/>
      <c r="AJ395" s="686"/>
      <c r="AK395" s="703"/>
      <c r="AL395" s="686"/>
      <c r="AM395" s="703"/>
      <c r="AN395" s="686"/>
      <c r="AO395" s="703"/>
      <c r="AP395" s="686"/>
      <c r="AQ395" s="703"/>
      <c r="AR395" s="686"/>
      <c r="AS395" s="703"/>
      <c r="AT395" s="686"/>
      <c r="AU395" s="686"/>
      <c r="AV395" s="703"/>
      <c r="AW395" s="686"/>
      <c r="AX395" s="703"/>
      <c r="AY395" s="686"/>
      <c r="AZ395" s="703"/>
      <c r="BA395" s="686"/>
      <c r="BB395" s="703"/>
      <c r="BC395" s="686"/>
      <c r="BD395" s="703"/>
      <c r="BE395" s="686"/>
    </row>
    <row r="396" spans="1:57" s="44" customFormat="1">
      <c r="A396" s="690"/>
      <c r="B396" s="690"/>
      <c r="C396" s="690"/>
      <c r="D396" s="825"/>
      <c r="E396" s="686"/>
      <c r="F396" s="825"/>
      <c r="G396" s="686"/>
      <c r="H396" s="825"/>
      <c r="I396" s="686"/>
      <c r="J396" s="825"/>
      <c r="K396" s="686"/>
      <c r="L396" s="825"/>
      <c r="M396" s="686"/>
      <c r="N396" s="686"/>
      <c r="O396" s="825"/>
      <c r="P396" s="686"/>
      <c r="Q396" s="825"/>
      <c r="R396" s="686"/>
      <c r="S396" s="825"/>
      <c r="T396" s="686"/>
      <c r="U396" s="825"/>
      <c r="V396" s="686"/>
      <c r="W396" s="825"/>
      <c r="X396" s="686"/>
      <c r="Y396" s="686"/>
      <c r="Z396" s="703"/>
      <c r="AA396" s="686"/>
      <c r="AB396" s="703"/>
      <c r="AC396" s="686"/>
      <c r="AD396" s="703"/>
      <c r="AE396" s="686"/>
      <c r="AF396" s="703"/>
      <c r="AG396" s="686"/>
      <c r="AH396" s="703"/>
      <c r="AI396" s="686"/>
      <c r="AJ396" s="686"/>
      <c r="AK396" s="703"/>
      <c r="AL396" s="686"/>
      <c r="AM396" s="703"/>
      <c r="AN396" s="686"/>
      <c r="AO396" s="703"/>
      <c r="AP396" s="686"/>
      <c r="AQ396" s="703"/>
      <c r="AR396" s="686"/>
      <c r="AS396" s="703"/>
      <c r="AT396" s="686"/>
      <c r="AU396" s="686"/>
      <c r="AV396" s="703"/>
      <c r="AW396" s="686"/>
      <c r="AX396" s="703"/>
      <c r="AY396" s="686"/>
      <c r="AZ396" s="703"/>
      <c r="BA396" s="686"/>
      <c r="BB396" s="703"/>
      <c r="BC396" s="686"/>
      <c r="BD396" s="703"/>
      <c r="BE396" s="686"/>
    </row>
    <row r="397" spans="1:57" s="44" customFormat="1">
      <c r="A397" s="690"/>
      <c r="B397" s="690"/>
      <c r="C397" s="690"/>
      <c r="D397" s="825"/>
      <c r="E397" s="686"/>
      <c r="F397" s="825"/>
      <c r="G397" s="686"/>
      <c r="H397" s="825"/>
      <c r="I397" s="686"/>
      <c r="J397" s="825"/>
      <c r="K397" s="686"/>
      <c r="L397" s="825"/>
      <c r="M397" s="686"/>
      <c r="N397" s="686"/>
      <c r="O397" s="825"/>
      <c r="P397" s="686"/>
      <c r="Q397" s="825"/>
      <c r="R397" s="686"/>
      <c r="S397" s="825"/>
      <c r="T397" s="686"/>
      <c r="U397" s="825"/>
      <c r="V397" s="686"/>
      <c r="W397" s="825"/>
      <c r="X397" s="686"/>
      <c r="Y397" s="686"/>
      <c r="Z397" s="703"/>
      <c r="AA397" s="686"/>
      <c r="AB397" s="703"/>
      <c r="AC397" s="686"/>
      <c r="AD397" s="703"/>
      <c r="AE397" s="686"/>
      <c r="AF397" s="703"/>
      <c r="AG397" s="686"/>
      <c r="AH397" s="703"/>
      <c r="AI397" s="686"/>
      <c r="AJ397" s="686"/>
      <c r="AK397" s="703"/>
      <c r="AL397" s="686"/>
      <c r="AM397" s="703"/>
      <c r="AN397" s="686"/>
      <c r="AO397" s="703"/>
      <c r="AP397" s="686"/>
      <c r="AQ397" s="703"/>
      <c r="AR397" s="686"/>
      <c r="AS397" s="703"/>
      <c r="AT397" s="686"/>
      <c r="AU397" s="686"/>
      <c r="AV397" s="703"/>
      <c r="AW397" s="686"/>
      <c r="AX397" s="703"/>
      <c r="AY397" s="686"/>
      <c r="AZ397" s="703"/>
      <c r="BA397" s="686"/>
      <c r="BB397" s="703"/>
      <c r="BC397" s="686"/>
      <c r="BD397" s="703"/>
      <c r="BE397" s="686"/>
    </row>
    <row r="398" spans="1:57" s="44" customFormat="1">
      <c r="A398" s="690"/>
      <c r="B398" s="690"/>
      <c r="C398" s="690"/>
      <c r="D398" s="825"/>
      <c r="E398" s="686"/>
      <c r="F398" s="825"/>
      <c r="G398" s="686"/>
      <c r="H398" s="825"/>
      <c r="I398" s="686"/>
      <c r="J398" s="825"/>
      <c r="K398" s="686"/>
      <c r="L398" s="825"/>
      <c r="M398" s="686"/>
      <c r="N398" s="686"/>
      <c r="O398" s="825"/>
      <c r="P398" s="686"/>
      <c r="Q398" s="825"/>
      <c r="R398" s="686"/>
      <c r="S398" s="825"/>
      <c r="T398" s="686"/>
      <c r="U398" s="825"/>
      <c r="V398" s="686"/>
      <c r="W398" s="825"/>
      <c r="X398" s="686"/>
      <c r="Y398" s="686"/>
      <c r="Z398" s="703"/>
      <c r="AA398" s="686"/>
      <c r="AB398" s="703"/>
      <c r="AC398" s="686"/>
      <c r="AD398" s="703"/>
      <c r="AE398" s="686"/>
      <c r="AF398" s="703"/>
      <c r="AG398" s="686"/>
      <c r="AH398" s="703"/>
      <c r="AI398" s="686"/>
      <c r="AJ398" s="686"/>
      <c r="AK398" s="703"/>
      <c r="AL398" s="686"/>
      <c r="AM398" s="703"/>
      <c r="AN398" s="686"/>
      <c r="AO398" s="703"/>
      <c r="AP398" s="686"/>
      <c r="AQ398" s="703"/>
      <c r="AR398" s="686"/>
      <c r="AS398" s="703"/>
      <c r="AT398" s="686"/>
      <c r="AU398" s="686"/>
      <c r="AV398" s="703"/>
      <c r="AW398" s="686"/>
      <c r="AX398" s="703"/>
      <c r="AY398" s="686"/>
      <c r="AZ398" s="703"/>
      <c r="BA398" s="686"/>
      <c r="BB398" s="703"/>
      <c r="BC398" s="686"/>
      <c r="BD398" s="703"/>
      <c r="BE398" s="686"/>
    </row>
    <row r="399" spans="1:57" s="44" customFormat="1">
      <c r="A399" s="690"/>
      <c r="B399" s="690"/>
      <c r="C399" s="690"/>
      <c r="D399" s="825"/>
      <c r="E399" s="686"/>
      <c r="F399" s="825"/>
      <c r="G399" s="686"/>
      <c r="H399" s="825"/>
      <c r="I399" s="686"/>
      <c r="J399" s="825"/>
      <c r="K399" s="686"/>
      <c r="L399" s="825"/>
      <c r="M399" s="686"/>
      <c r="N399" s="686"/>
      <c r="O399" s="825"/>
      <c r="P399" s="686"/>
      <c r="Q399" s="825"/>
      <c r="R399" s="686"/>
      <c r="S399" s="825"/>
      <c r="T399" s="686"/>
      <c r="U399" s="825"/>
      <c r="V399" s="686"/>
      <c r="W399" s="825"/>
      <c r="X399" s="686"/>
      <c r="Y399" s="686"/>
      <c r="Z399" s="703"/>
      <c r="AA399" s="686"/>
      <c r="AB399" s="703"/>
      <c r="AC399" s="686"/>
      <c r="AD399" s="703"/>
      <c r="AE399" s="686"/>
      <c r="AF399" s="703"/>
      <c r="AG399" s="686"/>
      <c r="AH399" s="703"/>
      <c r="AI399" s="686"/>
      <c r="AJ399" s="686"/>
      <c r="AK399" s="703"/>
      <c r="AL399" s="686"/>
      <c r="AM399" s="703"/>
      <c r="AN399" s="686"/>
      <c r="AO399" s="703"/>
      <c r="AP399" s="686"/>
      <c r="AQ399" s="703"/>
      <c r="AR399" s="686"/>
      <c r="AS399" s="703"/>
      <c r="AT399" s="686"/>
      <c r="AU399" s="686"/>
      <c r="AV399" s="703"/>
      <c r="AW399" s="686"/>
      <c r="AX399" s="703"/>
      <c r="AY399" s="686"/>
      <c r="AZ399" s="703"/>
      <c r="BA399" s="686"/>
      <c r="BB399" s="703"/>
      <c r="BC399" s="686"/>
      <c r="BD399" s="703"/>
      <c r="BE399" s="686"/>
    </row>
    <row r="400" spans="1:57" s="44" customFormat="1">
      <c r="A400" s="690"/>
      <c r="B400" s="690"/>
      <c r="C400" s="690"/>
      <c r="D400" s="825"/>
      <c r="E400" s="686"/>
      <c r="F400" s="825"/>
      <c r="G400" s="686"/>
      <c r="H400" s="825"/>
      <c r="I400" s="686"/>
      <c r="J400" s="825"/>
      <c r="K400" s="686"/>
      <c r="L400" s="825"/>
      <c r="M400" s="686"/>
      <c r="N400" s="686"/>
      <c r="O400" s="825"/>
      <c r="P400" s="686"/>
      <c r="Q400" s="825"/>
      <c r="R400" s="686"/>
      <c r="S400" s="825"/>
      <c r="T400" s="686"/>
      <c r="U400" s="825"/>
      <c r="V400" s="686"/>
      <c r="W400" s="825"/>
      <c r="X400" s="686"/>
      <c r="Y400" s="686"/>
      <c r="Z400" s="703"/>
      <c r="AA400" s="686"/>
      <c r="AB400" s="703"/>
      <c r="AC400" s="686"/>
      <c r="AD400" s="703"/>
      <c r="AE400" s="686"/>
      <c r="AF400" s="703"/>
      <c r="AG400" s="686"/>
      <c r="AH400" s="703"/>
      <c r="AI400" s="686"/>
      <c r="AJ400" s="686"/>
      <c r="AK400" s="703"/>
      <c r="AL400" s="686"/>
      <c r="AM400" s="703"/>
      <c r="AN400" s="686"/>
      <c r="AO400" s="703"/>
      <c r="AP400" s="686"/>
      <c r="AQ400" s="703"/>
      <c r="AR400" s="686"/>
      <c r="AS400" s="703"/>
      <c r="AT400" s="686"/>
      <c r="AU400" s="686"/>
      <c r="AV400" s="703"/>
      <c r="AW400" s="686"/>
      <c r="AX400" s="703"/>
      <c r="AY400" s="686"/>
      <c r="AZ400" s="703"/>
      <c r="BA400" s="686"/>
      <c r="BB400" s="703"/>
      <c r="BC400" s="686"/>
      <c r="BD400" s="703"/>
      <c r="BE400" s="686"/>
    </row>
    <row r="401" spans="1:57" s="44" customFormat="1">
      <c r="A401" s="690"/>
      <c r="B401" s="690"/>
      <c r="C401" s="690"/>
      <c r="D401" s="825"/>
      <c r="E401" s="686"/>
      <c r="F401" s="825"/>
      <c r="G401" s="686"/>
      <c r="H401" s="825"/>
      <c r="I401" s="686"/>
      <c r="J401" s="825"/>
      <c r="K401" s="686"/>
      <c r="L401" s="825"/>
      <c r="M401" s="686"/>
      <c r="N401" s="686"/>
      <c r="O401" s="825"/>
      <c r="P401" s="686"/>
      <c r="Q401" s="825"/>
      <c r="R401" s="686"/>
      <c r="S401" s="825"/>
      <c r="T401" s="686"/>
      <c r="U401" s="825"/>
      <c r="V401" s="686"/>
      <c r="W401" s="825"/>
      <c r="X401" s="686"/>
      <c r="Y401" s="686"/>
      <c r="Z401" s="703"/>
      <c r="AA401" s="686"/>
      <c r="AB401" s="703"/>
      <c r="AC401" s="686"/>
      <c r="AD401" s="703"/>
      <c r="AE401" s="686"/>
      <c r="AF401" s="703"/>
      <c r="AG401" s="686"/>
      <c r="AH401" s="703"/>
      <c r="AI401" s="686"/>
      <c r="AJ401" s="686"/>
      <c r="AK401" s="703"/>
      <c r="AL401" s="686"/>
      <c r="AM401" s="703"/>
      <c r="AN401" s="686"/>
      <c r="AO401" s="703"/>
      <c r="AP401" s="686"/>
      <c r="AQ401" s="703"/>
      <c r="AR401" s="686"/>
      <c r="AS401" s="703"/>
      <c r="AT401" s="686"/>
      <c r="AU401" s="686"/>
      <c r="AV401" s="703"/>
      <c r="AW401" s="686"/>
      <c r="AX401" s="703"/>
      <c r="AY401" s="686"/>
      <c r="AZ401" s="703"/>
      <c r="BA401" s="686"/>
      <c r="BB401" s="703"/>
      <c r="BC401" s="686"/>
      <c r="BD401" s="703"/>
      <c r="BE401" s="686"/>
    </row>
    <row r="402" spans="1:57" s="44" customFormat="1">
      <c r="A402" s="690"/>
      <c r="B402" s="690"/>
      <c r="C402" s="690"/>
      <c r="D402" s="825"/>
      <c r="E402" s="686"/>
      <c r="F402" s="825"/>
      <c r="G402" s="686"/>
      <c r="H402" s="825"/>
      <c r="I402" s="686"/>
      <c r="J402" s="825"/>
      <c r="K402" s="686"/>
      <c r="L402" s="825"/>
      <c r="M402" s="686"/>
      <c r="N402" s="686"/>
      <c r="O402" s="825"/>
      <c r="P402" s="686"/>
      <c r="Q402" s="825"/>
      <c r="R402" s="686"/>
      <c r="S402" s="825"/>
      <c r="T402" s="686"/>
      <c r="U402" s="825"/>
      <c r="V402" s="686"/>
      <c r="W402" s="825"/>
      <c r="X402" s="686"/>
      <c r="Y402" s="686"/>
      <c r="Z402" s="703"/>
      <c r="AA402" s="686"/>
      <c r="AB402" s="703"/>
      <c r="AC402" s="686"/>
      <c r="AD402" s="703"/>
      <c r="AE402" s="686"/>
      <c r="AF402" s="703"/>
      <c r="AG402" s="686"/>
      <c r="AH402" s="703"/>
      <c r="AI402" s="686"/>
      <c r="AJ402" s="686"/>
      <c r="AK402" s="703"/>
      <c r="AL402" s="686"/>
      <c r="AM402" s="703"/>
      <c r="AN402" s="686"/>
      <c r="AO402" s="703"/>
      <c r="AP402" s="686"/>
      <c r="AQ402" s="703"/>
      <c r="AR402" s="686"/>
      <c r="AS402" s="703"/>
      <c r="AT402" s="686"/>
      <c r="AU402" s="686"/>
      <c r="AV402" s="703"/>
      <c r="AW402" s="686"/>
      <c r="AX402" s="703"/>
      <c r="AY402" s="686"/>
      <c r="AZ402" s="703"/>
      <c r="BA402" s="686"/>
      <c r="BB402" s="703"/>
      <c r="BC402" s="686"/>
      <c r="BD402" s="703"/>
      <c r="BE402" s="686"/>
    </row>
    <row r="403" spans="1:57" s="44" customFormat="1">
      <c r="A403" s="690"/>
      <c r="B403" s="690"/>
      <c r="C403" s="690"/>
      <c r="D403" s="825"/>
      <c r="E403" s="686"/>
      <c r="F403" s="825"/>
      <c r="G403" s="686"/>
      <c r="H403" s="825"/>
      <c r="I403" s="686"/>
      <c r="J403" s="825"/>
      <c r="K403" s="686"/>
      <c r="L403" s="825"/>
      <c r="M403" s="686"/>
      <c r="N403" s="686"/>
      <c r="O403" s="825"/>
      <c r="P403" s="686"/>
      <c r="Q403" s="825"/>
      <c r="R403" s="686"/>
      <c r="S403" s="825"/>
      <c r="T403" s="686"/>
      <c r="U403" s="825"/>
      <c r="V403" s="686"/>
      <c r="W403" s="825"/>
      <c r="X403" s="686"/>
      <c r="Y403" s="686"/>
      <c r="Z403" s="703"/>
      <c r="AA403" s="686"/>
      <c r="AB403" s="703"/>
      <c r="AC403" s="686"/>
      <c r="AD403" s="703"/>
      <c r="AE403" s="686"/>
      <c r="AF403" s="703"/>
      <c r="AG403" s="686"/>
      <c r="AH403" s="703"/>
      <c r="AI403" s="686"/>
      <c r="AJ403" s="686"/>
      <c r="AK403" s="703"/>
      <c r="AL403" s="686"/>
      <c r="AM403" s="703"/>
      <c r="AN403" s="686"/>
      <c r="AO403" s="703"/>
      <c r="AP403" s="686"/>
      <c r="AQ403" s="703"/>
      <c r="AR403" s="686"/>
      <c r="AS403" s="703"/>
      <c r="AT403" s="686"/>
      <c r="AU403" s="686"/>
      <c r="AV403" s="703"/>
      <c r="AW403" s="686"/>
      <c r="AX403" s="703"/>
      <c r="AY403" s="686"/>
      <c r="AZ403" s="703"/>
      <c r="BA403" s="686"/>
      <c r="BB403" s="703"/>
      <c r="BC403" s="686"/>
      <c r="BD403" s="703"/>
      <c r="BE403" s="686"/>
    </row>
    <row r="404" spans="1:57" s="44" customFormat="1">
      <c r="A404" s="690"/>
      <c r="B404" s="690"/>
      <c r="C404" s="690"/>
      <c r="D404" s="825"/>
      <c r="E404" s="686"/>
      <c r="F404" s="825"/>
      <c r="G404" s="686"/>
      <c r="H404" s="825"/>
      <c r="I404" s="686"/>
      <c r="J404" s="825"/>
      <c r="K404" s="686"/>
      <c r="L404" s="825"/>
      <c r="M404" s="686"/>
      <c r="N404" s="686"/>
      <c r="O404" s="825"/>
      <c r="P404" s="686"/>
      <c r="Q404" s="825"/>
      <c r="R404" s="686"/>
      <c r="S404" s="825"/>
      <c r="T404" s="686"/>
      <c r="U404" s="825"/>
      <c r="V404" s="686"/>
      <c r="W404" s="825"/>
      <c r="X404" s="686"/>
      <c r="Y404" s="686"/>
      <c r="Z404" s="703"/>
      <c r="AA404" s="686"/>
      <c r="AB404" s="703"/>
      <c r="AC404" s="686"/>
      <c r="AD404" s="703"/>
      <c r="AE404" s="686"/>
      <c r="AF404" s="703"/>
      <c r="AG404" s="686"/>
      <c r="AH404" s="703"/>
      <c r="AI404" s="686"/>
      <c r="AJ404" s="686"/>
      <c r="AK404" s="703"/>
      <c r="AL404" s="686"/>
      <c r="AM404" s="703"/>
      <c r="AN404" s="686"/>
      <c r="AO404" s="703"/>
      <c r="AP404" s="686"/>
      <c r="AQ404" s="703"/>
      <c r="AR404" s="686"/>
      <c r="AS404" s="703"/>
      <c r="AT404" s="686"/>
      <c r="AU404" s="686"/>
      <c r="AV404" s="703"/>
      <c r="AW404" s="686"/>
      <c r="AX404" s="703"/>
      <c r="AY404" s="686"/>
      <c r="AZ404" s="703"/>
      <c r="BA404" s="686"/>
      <c r="BB404" s="703"/>
      <c r="BC404" s="686"/>
      <c r="BD404" s="703"/>
      <c r="BE404" s="686"/>
    </row>
    <row r="405" spans="1:57" s="44" customFormat="1">
      <c r="A405" s="690"/>
      <c r="B405" s="690"/>
      <c r="C405" s="690"/>
      <c r="D405" s="825"/>
      <c r="E405" s="686"/>
      <c r="F405" s="825"/>
      <c r="G405" s="686"/>
      <c r="H405" s="825"/>
      <c r="I405" s="686"/>
      <c r="J405" s="825"/>
      <c r="K405" s="686"/>
      <c r="L405" s="825"/>
      <c r="M405" s="686"/>
      <c r="N405" s="686"/>
      <c r="O405" s="825"/>
      <c r="P405" s="686"/>
      <c r="Q405" s="825"/>
      <c r="R405" s="686"/>
      <c r="S405" s="825"/>
      <c r="T405" s="686"/>
      <c r="U405" s="825"/>
      <c r="V405" s="686"/>
      <c r="W405" s="825"/>
      <c r="X405" s="686"/>
      <c r="Y405" s="686"/>
      <c r="Z405" s="703"/>
      <c r="AA405" s="686"/>
      <c r="AB405" s="703"/>
      <c r="AC405" s="686"/>
      <c r="AD405" s="703"/>
      <c r="AE405" s="686"/>
      <c r="AF405" s="703"/>
      <c r="AG405" s="686"/>
      <c r="AH405" s="703"/>
      <c r="AI405" s="686"/>
      <c r="AJ405" s="686"/>
      <c r="AK405" s="703"/>
      <c r="AL405" s="686"/>
      <c r="AM405" s="703"/>
      <c r="AN405" s="686"/>
      <c r="AO405" s="703"/>
      <c r="AP405" s="686"/>
      <c r="AQ405" s="703"/>
      <c r="AR405" s="686"/>
      <c r="AS405" s="703"/>
      <c r="AT405" s="686"/>
      <c r="AU405" s="686"/>
      <c r="AV405" s="703"/>
      <c r="AW405" s="686"/>
      <c r="AX405" s="703"/>
      <c r="AY405" s="686"/>
      <c r="AZ405" s="703"/>
      <c r="BA405" s="686"/>
      <c r="BB405" s="703"/>
      <c r="BC405" s="686"/>
      <c r="BD405" s="703"/>
      <c r="BE405" s="686"/>
    </row>
    <row r="406" spans="1:57" s="44" customFormat="1">
      <c r="A406" s="690"/>
      <c r="B406" s="690"/>
      <c r="C406" s="690"/>
      <c r="D406" s="825"/>
      <c r="E406" s="686"/>
      <c r="F406" s="825"/>
      <c r="G406" s="686"/>
      <c r="H406" s="825"/>
      <c r="I406" s="686"/>
      <c r="J406" s="825"/>
      <c r="K406" s="686"/>
      <c r="L406" s="825"/>
      <c r="M406" s="686"/>
      <c r="N406" s="686"/>
      <c r="O406" s="825"/>
      <c r="P406" s="686"/>
      <c r="Q406" s="825"/>
      <c r="R406" s="686"/>
      <c r="S406" s="825"/>
      <c r="T406" s="686"/>
      <c r="U406" s="825"/>
      <c r="V406" s="686"/>
      <c r="W406" s="825"/>
      <c r="X406" s="686"/>
      <c r="Y406" s="686"/>
      <c r="Z406" s="703"/>
      <c r="AA406" s="686"/>
      <c r="AB406" s="703"/>
      <c r="AC406" s="686"/>
      <c r="AD406" s="703"/>
      <c r="AE406" s="686"/>
      <c r="AF406" s="703"/>
      <c r="AG406" s="686"/>
      <c r="AH406" s="703"/>
      <c r="AI406" s="686"/>
      <c r="AJ406" s="686"/>
      <c r="AK406" s="703"/>
      <c r="AL406" s="686"/>
      <c r="AM406" s="703"/>
      <c r="AN406" s="686"/>
      <c r="AO406" s="703"/>
      <c r="AP406" s="686"/>
      <c r="AQ406" s="703"/>
      <c r="AR406" s="686"/>
      <c r="AS406" s="703"/>
      <c r="AT406" s="686"/>
      <c r="AU406" s="686"/>
      <c r="AV406" s="703"/>
      <c r="AW406" s="686"/>
      <c r="AX406" s="703"/>
      <c r="AY406" s="686"/>
      <c r="AZ406" s="703"/>
      <c r="BA406" s="686"/>
      <c r="BB406" s="703"/>
      <c r="BC406" s="686"/>
      <c r="BD406" s="703"/>
      <c r="BE406" s="686"/>
    </row>
    <row r="407" spans="1:57" s="44" customFormat="1">
      <c r="A407" s="690"/>
      <c r="B407" s="690"/>
      <c r="C407" s="690"/>
      <c r="D407" s="825"/>
      <c r="E407" s="686"/>
      <c r="F407" s="825"/>
      <c r="G407" s="686"/>
      <c r="H407" s="825"/>
      <c r="I407" s="686"/>
      <c r="J407" s="825"/>
      <c r="K407" s="686"/>
      <c r="L407" s="825"/>
      <c r="M407" s="686"/>
      <c r="N407" s="686"/>
      <c r="O407" s="825"/>
      <c r="P407" s="686"/>
      <c r="Q407" s="825"/>
      <c r="R407" s="686"/>
      <c r="S407" s="825"/>
      <c r="T407" s="686"/>
      <c r="U407" s="825"/>
      <c r="V407" s="686"/>
      <c r="W407" s="825"/>
      <c r="X407" s="686"/>
      <c r="Y407" s="686"/>
      <c r="Z407" s="703"/>
      <c r="AA407" s="686"/>
      <c r="AB407" s="703"/>
      <c r="AC407" s="686"/>
      <c r="AD407" s="703"/>
      <c r="AE407" s="686"/>
      <c r="AF407" s="703"/>
      <c r="AG407" s="686"/>
      <c r="AH407" s="703"/>
      <c r="AI407" s="686"/>
      <c r="AJ407" s="686"/>
      <c r="AK407" s="703"/>
      <c r="AL407" s="686"/>
      <c r="AM407" s="703"/>
      <c r="AN407" s="686"/>
      <c r="AO407" s="703"/>
      <c r="AP407" s="686"/>
      <c r="AQ407" s="703"/>
      <c r="AR407" s="686"/>
      <c r="AS407" s="703"/>
      <c r="AT407" s="686"/>
      <c r="AU407" s="686"/>
      <c r="AV407" s="703"/>
      <c r="AW407" s="686"/>
      <c r="AX407" s="703"/>
      <c r="AY407" s="686"/>
      <c r="AZ407" s="703"/>
      <c r="BA407" s="686"/>
      <c r="BB407" s="703"/>
      <c r="BC407" s="686"/>
      <c r="BD407" s="703"/>
      <c r="BE407" s="686"/>
    </row>
    <row r="408" spans="1:57" s="44" customFormat="1">
      <c r="A408" s="690"/>
      <c r="B408" s="690"/>
      <c r="C408" s="690"/>
      <c r="D408" s="825"/>
      <c r="E408" s="686"/>
      <c r="F408" s="825"/>
      <c r="G408" s="686"/>
      <c r="H408" s="825"/>
      <c r="I408" s="686"/>
      <c r="J408" s="825"/>
      <c r="K408" s="686"/>
      <c r="L408" s="825"/>
      <c r="M408" s="686"/>
      <c r="N408" s="686"/>
      <c r="O408" s="825"/>
      <c r="P408" s="686"/>
      <c r="Q408" s="825"/>
      <c r="R408" s="686"/>
      <c r="S408" s="825"/>
      <c r="T408" s="686"/>
      <c r="U408" s="825"/>
      <c r="V408" s="686"/>
      <c r="W408" s="825"/>
      <c r="X408" s="686"/>
      <c r="Y408" s="686"/>
      <c r="Z408" s="703"/>
      <c r="AA408" s="686"/>
      <c r="AB408" s="703"/>
      <c r="AC408" s="686"/>
      <c r="AD408" s="703"/>
      <c r="AE408" s="686"/>
      <c r="AF408" s="703"/>
      <c r="AG408" s="686"/>
      <c r="AH408" s="703"/>
      <c r="AI408" s="686"/>
      <c r="AJ408" s="686"/>
      <c r="AK408" s="703"/>
      <c r="AL408" s="686"/>
      <c r="AM408" s="703"/>
      <c r="AN408" s="686"/>
      <c r="AO408" s="703"/>
      <c r="AP408" s="686"/>
      <c r="AQ408" s="703"/>
      <c r="AR408" s="686"/>
      <c r="AS408" s="703"/>
      <c r="AT408" s="686"/>
      <c r="AU408" s="686"/>
      <c r="AV408" s="703"/>
      <c r="AW408" s="686"/>
      <c r="AX408" s="703"/>
      <c r="AY408" s="686"/>
      <c r="AZ408" s="703"/>
      <c r="BA408" s="686"/>
      <c r="BB408" s="703"/>
      <c r="BC408" s="686"/>
      <c r="BD408" s="703"/>
      <c r="BE408" s="686"/>
    </row>
    <row r="409" spans="1:57" s="44" customFormat="1">
      <c r="A409" s="690"/>
      <c r="B409" s="690"/>
      <c r="C409" s="690"/>
      <c r="D409" s="825"/>
      <c r="E409" s="686"/>
      <c r="F409" s="825"/>
      <c r="G409" s="686"/>
      <c r="H409" s="825"/>
      <c r="I409" s="686"/>
      <c r="J409" s="825"/>
      <c r="K409" s="686"/>
      <c r="L409" s="825"/>
      <c r="M409" s="686"/>
      <c r="N409" s="686"/>
      <c r="O409" s="825"/>
      <c r="P409" s="686"/>
      <c r="Q409" s="825"/>
      <c r="R409" s="686"/>
      <c r="S409" s="825"/>
      <c r="T409" s="686"/>
      <c r="U409" s="825"/>
      <c r="V409" s="686"/>
      <c r="W409" s="825"/>
      <c r="X409" s="686"/>
      <c r="Y409" s="686"/>
      <c r="Z409" s="703"/>
      <c r="AA409" s="686"/>
      <c r="AB409" s="703"/>
      <c r="AC409" s="686"/>
      <c r="AD409" s="703"/>
      <c r="AE409" s="686"/>
      <c r="AF409" s="703"/>
      <c r="AG409" s="686"/>
      <c r="AH409" s="703"/>
      <c r="AI409" s="686"/>
      <c r="AJ409" s="686"/>
      <c r="AK409" s="703"/>
      <c r="AL409" s="686"/>
      <c r="AM409" s="703"/>
      <c r="AN409" s="686"/>
      <c r="AO409" s="703"/>
      <c r="AP409" s="686"/>
      <c r="AQ409" s="703"/>
      <c r="AR409" s="686"/>
      <c r="AS409" s="703"/>
      <c r="AT409" s="686"/>
      <c r="AU409" s="686"/>
      <c r="AV409" s="703"/>
      <c r="AW409" s="686"/>
      <c r="AX409" s="703"/>
      <c r="AY409" s="686"/>
      <c r="AZ409" s="703"/>
      <c r="BA409" s="686"/>
      <c r="BB409" s="703"/>
      <c r="BC409" s="686"/>
      <c r="BD409" s="703"/>
      <c r="BE409" s="686"/>
    </row>
    <row r="410" spans="1:57" s="44" customFormat="1">
      <c r="A410" s="690"/>
      <c r="B410" s="690"/>
      <c r="C410" s="690"/>
      <c r="D410" s="825"/>
      <c r="E410" s="686"/>
      <c r="F410" s="825"/>
      <c r="G410" s="686"/>
      <c r="H410" s="825"/>
      <c r="I410" s="686"/>
      <c r="J410" s="825"/>
      <c r="K410" s="686"/>
      <c r="L410" s="825"/>
      <c r="M410" s="686"/>
      <c r="N410" s="686"/>
      <c r="O410" s="825"/>
      <c r="P410" s="686"/>
      <c r="Q410" s="825"/>
      <c r="R410" s="686"/>
      <c r="S410" s="825"/>
      <c r="T410" s="686"/>
      <c r="U410" s="825"/>
      <c r="V410" s="686"/>
      <c r="W410" s="825"/>
      <c r="X410" s="686"/>
      <c r="Y410" s="686"/>
      <c r="Z410" s="703"/>
      <c r="AA410" s="686"/>
      <c r="AB410" s="703"/>
      <c r="AC410" s="686"/>
      <c r="AD410" s="703"/>
      <c r="AE410" s="686"/>
      <c r="AF410" s="703"/>
      <c r="AG410" s="686"/>
      <c r="AH410" s="703"/>
      <c r="AI410" s="686"/>
      <c r="AJ410" s="686"/>
      <c r="AK410" s="703"/>
      <c r="AL410" s="686"/>
      <c r="AM410" s="703"/>
      <c r="AN410" s="686"/>
      <c r="AO410" s="703"/>
      <c r="AP410" s="686"/>
      <c r="AQ410" s="703"/>
      <c r="AR410" s="686"/>
      <c r="AS410" s="703"/>
      <c r="AT410" s="686"/>
      <c r="AU410" s="686"/>
      <c r="AV410" s="703"/>
      <c r="AW410" s="686"/>
      <c r="AX410" s="703"/>
      <c r="AY410" s="686"/>
      <c r="AZ410" s="703"/>
      <c r="BA410" s="686"/>
      <c r="BB410" s="703"/>
      <c r="BC410" s="686"/>
      <c r="BD410" s="703"/>
      <c r="BE410" s="686"/>
    </row>
    <row r="411" spans="1:57" s="44" customFormat="1">
      <c r="A411" s="690"/>
      <c r="B411" s="690"/>
      <c r="C411" s="690"/>
      <c r="D411" s="825"/>
      <c r="E411" s="686"/>
      <c r="F411" s="825"/>
      <c r="G411" s="686"/>
      <c r="H411" s="825"/>
      <c r="I411" s="686"/>
      <c r="J411" s="825"/>
      <c r="K411" s="686"/>
      <c r="L411" s="825"/>
      <c r="M411" s="686"/>
      <c r="N411" s="686"/>
      <c r="O411" s="825"/>
      <c r="P411" s="686"/>
      <c r="Q411" s="825"/>
      <c r="R411" s="686"/>
      <c r="S411" s="825"/>
      <c r="T411" s="686"/>
      <c r="U411" s="825"/>
      <c r="V411" s="686"/>
      <c r="W411" s="825"/>
      <c r="X411" s="686"/>
      <c r="Y411" s="686"/>
      <c r="Z411" s="703"/>
      <c r="AA411" s="686"/>
      <c r="AB411" s="703"/>
      <c r="AC411" s="686"/>
      <c r="AD411" s="703"/>
      <c r="AE411" s="686"/>
      <c r="AF411" s="703"/>
      <c r="AG411" s="686"/>
      <c r="AH411" s="703"/>
      <c r="AI411" s="686"/>
      <c r="AJ411" s="686"/>
      <c r="AK411" s="703"/>
      <c r="AL411" s="686"/>
      <c r="AM411" s="703"/>
      <c r="AN411" s="686"/>
      <c r="AO411" s="703"/>
      <c r="AP411" s="686"/>
      <c r="AQ411" s="703"/>
      <c r="AR411" s="686"/>
      <c r="AS411" s="703"/>
      <c r="AT411" s="686"/>
      <c r="AU411" s="686"/>
      <c r="AV411" s="703"/>
      <c r="AW411" s="686"/>
      <c r="AX411" s="703"/>
      <c r="AY411" s="686"/>
      <c r="AZ411" s="703"/>
      <c r="BA411" s="686"/>
      <c r="BB411" s="703"/>
      <c r="BC411" s="686"/>
      <c r="BD411" s="703"/>
      <c r="BE411" s="686"/>
    </row>
    <row r="412" spans="1:57" s="44" customFormat="1">
      <c r="A412" s="690"/>
      <c r="B412" s="690"/>
      <c r="C412" s="690"/>
      <c r="D412" s="825"/>
      <c r="E412" s="686"/>
      <c r="F412" s="825"/>
      <c r="G412" s="686"/>
      <c r="H412" s="825"/>
      <c r="I412" s="686"/>
      <c r="J412" s="825"/>
      <c r="K412" s="686"/>
      <c r="L412" s="825"/>
      <c r="M412" s="686"/>
      <c r="N412" s="686"/>
      <c r="O412" s="825"/>
      <c r="P412" s="686"/>
      <c r="Q412" s="825"/>
      <c r="R412" s="686"/>
      <c r="S412" s="825"/>
      <c r="T412" s="686"/>
      <c r="U412" s="825"/>
      <c r="V412" s="686"/>
      <c r="W412" s="825"/>
      <c r="X412" s="686"/>
      <c r="Y412" s="686"/>
      <c r="Z412" s="703"/>
      <c r="AA412" s="686"/>
      <c r="AB412" s="703"/>
      <c r="AC412" s="686"/>
      <c r="AD412" s="703"/>
      <c r="AE412" s="686"/>
      <c r="AF412" s="703"/>
      <c r="AG412" s="686"/>
      <c r="AH412" s="703"/>
      <c r="AI412" s="686"/>
      <c r="AJ412" s="686"/>
      <c r="AK412" s="703"/>
      <c r="AL412" s="686"/>
      <c r="AM412" s="703"/>
      <c r="AN412" s="686"/>
      <c r="AO412" s="703"/>
      <c r="AP412" s="686"/>
      <c r="AQ412" s="703"/>
      <c r="AR412" s="686"/>
      <c r="AS412" s="703"/>
      <c r="AT412" s="686"/>
      <c r="AU412" s="686"/>
      <c r="AV412" s="703"/>
      <c r="AW412" s="686"/>
      <c r="AX412" s="703"/>
      <c r="AY412" s="686"/>
      <c r="AZ412" s="703"/>
      <c r="BA412" s="686"/>
      <c r="BB412" s="703"/>
      <c r="BC412" s="686"/>
      <c r="BD412" s="703"/>
      <c r="BE412" s="686"/>
    </row>
    <row r="413" spans="1:57" s="44" customFormat="1">
      <c r="A413" s="690"/>
      <c r="B413" s="690"/>
      <c r="C413" s="690"/>
      <c r="D413" s="825"/>
      <c r="E413" s="686"/>
      <c r="F413" s="825"/>
      <c r="G413" s="686"/>
      <c r="H413" s="825"/>
      <c r="I413" s="686"/>
      <c r="J413" s="825"/>
      <c r="K413" s="686"/>
      <c r="L413" s="825"/>
      <c r="M413" s="686"/>
      <c r="N413" s="686"/>
      <c r="O413" s="825"/>
      <c r="P413" s="686"/>
      <c r="Q413" s="825"/>
      <c r="R413" s="686"/>
      <c r="S413" s="825"/>
      <c r="T413" s="686"/>
      <c r="U413" s="825"/>
      <c r="V413" s="686"/>
      <c r="W413" s="825"/>
      <c r="X413" s="686"/>
      <c r="Y413" s="686"/>
      <c r="Z413" s="703"/>
      <c r="AA413" s="686"/>
      <c r="AB413" s="703"/>
      <c r="AC413" s="686"/>
      <c r="AD413" s="703"/>
      <c r="AE413" s="686"/>
      <c r="AF413" s="703"/>
      <c r="AG413" s="686"/>
      <c r="AH413" s="703"/>
      <c r="AI413" s="686"/>
      <c r="AJ413" s="686"/>
      <c r="AK413" s="703"/>
      <c r="AL413" s="686"/>
      <c r="AM413" s="703"/>
      <c r="AN413" s="686"/>
      <c r="AO413" s="703"/>
      <c r="AP413" s="686"/>
      <c r="AQ413" s="703"/>
      <c r="AR413" s="686"/>
      <c r="AS413" s="703"/>
      <c r="AT413" s="686"/>
      <c r="AU413" s="686"/>
      <c r="AV413" s="703"/>
      <c r="AW413" s="686"/>
      <c r="AX413" s="703"/>
      <c r="AY413" s="686"/>
      <c r="AZ413" s="703"/>
      <c r="BA413" s="686"/>
      <c r="BB413" s="703"/>
      <c r="BC413" s="686"/>
      <c r="BD413" s="703"/>
      <c r="BE413" s="686"/>
    </row>
    <row r="414" spans="1:57" s="44" customFormat="1">
      <c r="A414" s="690"/>
      <c r="B414" s="690"/>
      <c r="C414" s="690"/>
      <c r="D414" s="825"/>
      <c r="E414" s="686"/>
      <c r="F414" s="825"/>
      <c r="G414" s="686"/>
      <c r="H414" s="825"/>
      <c r="I414" s="686"/>
      <c r="J414" s="825"/>
      <c r="K414" s="686"/>
      <c r="L414" s="825"/>
      <c r="M414" s="686"/>
      <c r="N414" s="686"/>
      <c r="O414" s="825"/>
      <c r="P414" s="686"/>
      <c r="Q414" s="825"/>
      <c r="R414" s="686"/>
      <c r="S414" s="825"/>
      <c r="T414" s="686"/>
      <c r="U414" s="825"/>
      <c r="V414" s="686"/>
      <c r="W414" s="825"/>
      <c r="X414" s="686"/>
      <c r="Y414" s="686"/>
      <c r="Z414" s="703"/>
      <c r="AA414" s="686"/>
      <c r="AB414" s="703"/>
      <c r="AC414" s="686"/>
      <c r="AD414" s="703"/>
      <c r="AE414" s="686"/>
      <c r="AF414" s="703"/>
      <c r="AG414" s="686"/>
      <c r="AH414" s="703"/>
      <c r="AI414" s="686"/>
      <c r="AJ414" s="686"/>
      <c r="AK414" s="703"/>
      <c r="AL414" s="686"/>
      <c r="AM414" s="703"/>
      <c r="AN414" s="686"/>
      <c r="AO414" s="703"/>
      <c r="AP414" s="686"/>
      <c r="AQ414" s="703"/>
      <c r="AR414" s="686"/>
      <c r="AS414" s="703"/>
      <c r="AT414" s="686"/>
      <c r="AU414" s="686"/>
      <c r="AV414" s="703"/>
      <c r="AW414" s="686"/>
      <c r="AX414" s="703"/>
      <c r="AY414" s="686"/>
      <c r="AZ414" s="703"/>
      <c r="BA414" s="686"/>
      <c r="BB414" s="703"/>
      <c r="BC414" s="686"/>
      <c r="BD414" s="703"/>
      <c r="BE414" s="686"/>
    </row>
    <row r="415" spans="1:57" s="44" customFormat="1">
      <c r="A415" s="690"/>
      <c r="B415" s="690"/>
      <c r="C415" s="690"/>
      <c r="D415" s="825"/>
      <c r="E415" s="686"/>
      <c r="F415" s="825"/>
      <c r="G415" s="686"/>
      <c r="H415" s="825"/>
      <c r="I415" s="686"/>
      <c r="J415" s="825"/>
      <c r="K415" s="686"/>
      <c r="L415" s="825"/>
      <c r="M415" s="686"/>
      <c r="N415" s="686"/>
      <c r="O415" s="825"/>
      <c r="P415" s="686"/>
      <c r="Q415" s="825"/>
      <c r="R415" s="686"/>
      <c r="S415" s="825"/>
      <c r="T415" s="686"/>
      <c r="U415" s="825"/>
      <c r="V415" s="686"/>
      <c r="W415" s="825"/>
      <c r="X415" s="686"/>
      <c r="Y415" s="686"/>
      <c r="Z415" s="703"/>
      <c r="AA415" s="686"/>
      <c r="AB415" s="703"/>
      <c r="AC415" s="686"/>
      <c r="AD415" s="703"/>
      <c r="AE415" s="686"/>
      <c r="AF415" s="703"/>
      <c r="AG415" s="686"/>
      <c r="AH415" s="703"/>
      <c r="AI415" s="686"/>
      <c r="AJ415" s="686"/>
      <c r="AK415" s="703"/>
      <c r="AL415" s="686"/>
      <c r="AM415" s="703"/>
      <c r="AN415" s="686"/>
      <c r="AO415" s="703"/>
      <c r="AP415" s="686"/>
      <c r="AQ415" s="703"/>
      <c r="AR415" s="686"/>
      <c r="AS415" s="703"/>
      <c r="AT415" s="686"/>
      <c r="AU415" s="686"/>
      <c r="AV415" s="703"/>
      <c r="AW415" s="686"/>
      <c r="AX415" s="703"/>
      <c r="AY415" s="686"/>
      <c r="AZ415" s="703"/>
      <c r="BA415" s="686"/>
      <c r="BB415" s="703"/>
      <c r="BC415" s="686"/>
      <c r="BD415" s="703"/>
      <c r="BE415" s="686"/>
    </row>
    <row r="416" spans="1:57" s="44" customFormat="1">
      <c r="A416" s="690"/>
      <c r="B416" s="690"/>
      <c r="C416" s="690"/>
      <c r="D416" s="825"/>
      <c r="E416" s="686"/>
      <c r="F416" s="825"/>
      <c r="G416" s="686"/>
      <c r="H416" s="825"/>
      <c r="I416" s="686"/>
      <c r="J416" s="825"/>
      <c r="K416" s="686"/>
      <c r="L416" s="825"/>
      <c r="M416" s="686"/>
      <c r="N416" s="686"/>
      <c r="O416" s="825"/>
      <c r="P416" s="686"/>
      <c r="Q416" s="825"/>
      <c r="R416" s="686"/>
      <c r="S416" s="825"/>
      <c r="T416" s="686"/>
      <c r="U416" s="825"/>
      <c r="V416" s="686"/>
      <c r="W416" s="825"/>
      <c r="X416" s="686"/>
      <c r="Y416" s="686"/>
      <c r="Z416" s="703"/>
      <c r="AA416" s="686"/>
      <c r="AB416" s="703"/>
      <c r="AC416" s="686"/>
      <c r="AD416" s="703"/>
      <c r="AE416" s="686"/>
      <c r="AF416" s="703"/>
      <c r="AG416" s="686"/>
      <c r="AH416" s="703"/>
      <c r="AI416" s="686"/>
      <c r="AJ416" s="686"/>
      <c r="AK416" s="703"/>
      <c r="AL416" s="686"/>
      <c r="AM416" s="703"/>
      <c r="AN416" s="686"/>
      <c r="AO416" s="703"/>
      <c r="AP416" s="686"/>
      <c r="AQ416" s="703"/>
      <c r="AR416" s="686"/>
      <c r="AS416" s="703"/>
      <c r="AT416" s="686"/>
      <c r="AU416" s="686"/>
      <c r="AV416" s="703"/>
      <c r="AW416" s="686"/>
      <c r="AX416" s="703"/>
      <c r="AY416" s="686"/>
      <c r="AZ416" s="703"/>
      <c r="BA416" s="686"/>
      <c r="BB416" s="703"/>
      <c r="BC416" s="686"/>
      <c r="BD416" s="703"/>
      <c r="BE416" s="686"/>
    </row>
    <row r="417" spans="1:57" s="44" customFormat="1">
      <c r="A417" s="690"/>
      <c r="B417" s="690"/>
      <c r="C417" s="690"/>
      <c r="D417" s="825"/>
      <c r="E417" s="686"/>
      <c r="F417" s="825"/>
      <c r="G417" s="686"/>
      <c r="H417" s="825"/>
      <c r="I417" s="686"/>
      <c r="J417" s="825"/>
      <c r="K417" s="686"/>
      <c r="L417" s="825"/>
      <c r="M417" s="686"/>
      <c r="N417" s="686"/>
      <c r="O417" s="825"/>
      <c r="P417" s="686"/>
      <c r="Q417" s="825"/>
      <c r="R417" s="686"/>
      <c r="S417" s="825"/>
      <c r="T417" s="686"/>
      <c r="U417" s="825"/>
      <c r="V417" s="686"/>
      <c r="W417" s="825"/>
      <c r="X417" s="686"/>
      <c r="Y417" s="686"/>
      <c r="Z417" s="703"/>
      <c r="AA417" s="686"/>
      <c r="AB417" s="703"/>
      <c r="AC417" s="686"/>
      <c r="AD417" s="703"/>
      <c r="AE417" s="686"/>
      <c r="AF417" s="703"/>
      <c r="AG417" s="686"/>
      <c r="AH417" s="703"/>
      <c r="AI417" s="686"/>
      <c r="AJ417" s="686"/>
      <c r="AK417" s="703"/>
      <c r="AL417" s="686"/>
      <c r="AM417" s="703"/>
      <c r="AN417" s="686"/>
      <c r="AO417" s="703"/>
      <c r="AP417" s="686"/>
      <c r="AQ417" s="703"/>
      <c r="AR417" s="686"/>
      <c r="AS417" s="703"/>
      <c r="AT417" s="686"/>
      <c r="AU417" s="686"/>
      <c r="AV417" s="703"/>
      <c r="AW417" s="686"/>
      <c r="AX417" s="703"/>
      <c r="AY417" s="686"/>
      <c r="AZ417" s="703"/>
      <c r="BA417" s="686"/>
      <c r="BB417" s="703"/>
      <c r="BC417" s="686"/>
      <c r="BD417" s="703"/>
      <c r="BE417" s="686"/>
    </row>
    <row r="418" spans="1:57" s="44" customFormat="1">
      <c r="A418" s="690"/>
      <c r="B418" s="690"/>
      <c r="C418" s="690"/>
      <c r="D418" s="825"/>
      <c r="E418" s="686"/>
      <c r="F418" s="825"/>
      <c r="G418" s="686"/>
      <c r="H418" s="825"/>
      <c r="I418" s="686"/>
      <c r="J418" s="825"/>
      <c r="K418" s="686"/>
      <c r="L418" s="825"/>
      <c r="M418" s="686"/>
      <c r="N418" s="686"/>
      <c r="O418" s="825"/>
      <c r="P418" s="686"/>
      <c r="Q418" s="825"/>
      <c r="R418" s="686"/>
      <c r="S418" s="825"/>
      <c r="T418" s="686"/>
      <c r="U418" s="825"/>
      <c r="V418" s="686"/>
      <c r="W418" s="825"/>
      <c r="X418" s="686"/>
      <c r="Y418" s="686"/>
      <c r="Z418" s="703"/>
      <c r="AA418" s="686"/>
      <c r="AB418" s="703"/>
      <c r="AC418" s="686"/>
      <c r="AD418" s="703"/>
      <c r="AE418" s="686"/>
      <c r="AF418" s="703"/>
      <c r="AG418" s="686"/>
      <c r="AH418" s="703"/>
      <c r="AI418" s="686"/>
      <c r="AJ418" s="686"/>
      <c r="AK418" s="703"/>
      <c r="AL418" s="686"/>
      <c r="AM418" s="703"/>
      <c r="AN418" s="686"/>
      <c r="AO418" s="703"/>
      <c r="AP418" s="686"/>
      <c r="AQ418" s="703"/>
      <c r="AR418" s="686"/>
      <c r="AS418" s="703"/>
      <c r="AT418" s="686"/>
      <c r="AU418" s="686"/>
      <c r="AV418" s="703"/>
      <c r="AW418" s="686"/>
      <c r="AX418" s="703"/>
      <c r="AY418" s="686"/>
      <c r="AZ418" s="703"/>
      <c r="BA418" s="686"/>
      <c r="BB418" s="703"/>
      <c r="BC418" s="686"/>
      <c r="BD418" s="703"/>
      <c r="BE418" s="686"/>
    </row>
    <row r="419" spans="1:57" s="44" customFormat="1">
      <c r="A419" s="690"/>
      <c r="B419" s="690"/>
      <c r="C419" s="690"/>
      <c r="D419" s="825"/>
      <c r="E419" s="686"/>
      <c r="F419" s="825"/>
      <c r="G419" s="686"/>
      <c r="H419" s="825"/>
      <c r="I419" s="686"/>
      <c r="J419" s="825"/>
      <c r="K419" s="686"/>
      <c r="L419" s="825"/>
      <c r="M419" s="686"/>
      <c r="N419" s="686"/>
      <c r="O419" s="825"/>
      <c r="P419" s="686"/>
      <c r="Q419" s="825"/>
      <c r="R419" s="686"/>
      <c r="S419" s="825"/>
      <c r="T419" s="686"/>
      <c r="U419" s="825"/>
      <c r="V419" s="686"/>
      <c r="W419" s="825"/>
      <c r="X419" s="686"/>
      <c r="Y419" s="686"/>
      <c r="Z419" s="703"/>
      <c r="AA419" s="686"/>
      <c r="AB419" s="703"/>
      <c r="AC419" s="686"/>
      <c r="AD419" s="703"/>
      <c r="AE419" s="686"/>
      <c r="AF419" s="703"/>
      <c r="AG419" s="686"/>
      <c r="AH419" s="703"/>
      <c r="AI419" s="686"/>
      <c r="AJ419" s="686"/>
      <c r="AK419" s="703"/>
      <c r="AL419" s="686"/>
      <c r="AM419" s="703"/>
      <c r="AN419" s="686"/>
      <c r="AO419" s="703"/>
      <c r="AP419" s="686"/>
      <c r="AQ419" s="703"/>
      <c r="AR419" s="686"/>
      <c r="AS419" s="703"/>
      <c r="AT419" s="686"/>
      <c r="AU419" s="686"/>
      <c r="AV419" s="703"/>
      <c r="AW419" s="686"/>
      <c r="AX419" s="703"/>
      <c r="AY419" s="686"/>
      <c r="AZ419" s="703"/>
      <c r="BA419" s="686"/>
      <c r="BB419" s="703"/>
      <c r="BC419" s="686"/>
      <c r="BD419" s="703"/>
      <c r="BE419" s="686"/>
    </row>
    <row r="420" spans="1:57" s="44" customFormat="1">
      <c r="A420" s="690"/>
      <c r="B420" s="690"/>
      <c r="C420" s="690"/>
      <c r="D420" s="825"/>
      <c r="E420" s="686"/>
      <c r="F420" s="825"/>
      <c r="G420" s="686"/>
      <c r="H420" s="825"/>
      <c r="I420" s="686"/>
      <c r="J420" s="825"/>
      <c r="K420" s="686"/>
      <c r="L420" s="825"/>
      <c r="M420" s="686"/>
      <c r="N420" s="686"/>
      <c r="O420" s="825"/>
      <c r="P420" s="686"/>
      <c r="Q420" s="825"/>
      <c r="R420" s="686"/>
      <c r="S420" s="825"/>
      <c r="T420" s="686"/>
      <c r="U420" s="825"/>
      <c r="V420" s="686"/>
      <c r="W420" s="825"/>
      <c r="X420" s="686"/>
      <c r="Y420" s="686"/>
      <c r="Z420" s="703"/>
      <c r="AA420" s="686"/>
      <c r="AB420" s="703"/>
      <c r="AC420" s="686"/>
      <c r="AD420" s="703"/>
      <c r="AE420" s="686"/>
      <c r="AF420" s="703"/>
      <c r="AG420" s="686"/>
      <c r="AH420" s="703"/>
      <c r="AI420" s="686"/>
      <c r="AJ420" s="686"/>
      <c r="AK420" s="703"/>
      <c r="AL420" s="686"/>
      <c r="AM420" s="703"/>
      <c r="AN420" s="686"/>
      <c r="AO420" s="703"/>
      <c r="AP420" s="686"/>
      <c r="AQ420" s="703"/>
      <c r="AR420" s="686"/>
      <c r="AS420" s="703"/>
      <c r="AT420" s="686"/>
      <c r="AU420" s="686"/>
      <c r="AV420" s="703"/>
      <c r="AW420" s="686"/>
      <c r="AX420" s="703"/>
      <c r="AY420" s="686"/>
      <c r="AZ420" s="703"/>
      <c r="BA420" s="686"/>
      <c r="BB420" s="703"/>
      <c r="BC420" s="686"/>
      <c r="BD420" s="703"/>
      <c r="BE420" s="686"/>
    </row>
    <row r="421" spans="1:57" s="44" customFormat="1">
      <c r="A421" s="690"/>
      <c r="B421" s="690"/>
      <c r="C421" s="690"/>
      <c r="D421" s="825"/>
      <c r="E421" s="686"/>
      <c r="F421" s="825"/>
      <c r="G421" s="686"/>
      <c r="H421" s="825"/>
      <c r="I421" s="686"/>
      <c r="J421" s="825"/>
      <c r="K421" s="686"/>
      <c r="L421" s="825"/>
      <c r="M421" s="686"/>
      <c r="N421" s="686"/>
      <c r="O421" s="825"/>
      <c r="P421" s="686"/>
      <c r="Q421" s="825"/>
      <c r="R421" s="686"/>
      <c r="S421" s="825"/>
      <c r="T421" s="686"/>
      <c r="U421" s="825"/>
      <c r="V421" s="686"/>
      <c r="W421" s="825"/>
      <c r="X421" s="686"/>
      <c r="Y421" s="686"/>
      <c r="Z421" s="703"/>
      <c r="AA421" s="686"/>
      <c r="AB421" s="703"/>
      <c r="AC421" s="686"/>
      <c r="AD421" s="703"/>
      <c r="AE421" s="686"/>
      <c r="AF421" s="703"/>
      <c r="AG421" s="686"/>
      <c r="AH421" s="703"/>
      <c r="AI421" s="686"/>
      <c r="AJ421" s="686"/>
      <c r="AK421" s="703"/>
      <c r="AL421" s="686"/>
      <c r="AM421" s="703"/>
      <c r="AN421" s="686"/>
      <c r="AO421" s="703"/>
      <c r="AP421" s="686"/>
      <c r="AQ421" s="703"/>
      <c r="AR421" s="686"/>
      <c r="AS421" s="703"/>
      <c r="AT421" s="686"/>
      <c r="AU421" s="686"/>
      <c r="AV421" s="703"/>
      <c r="AW421" s="686"/>
      <c r="AX421" s="703"/>
      <c r="AY421" s="686"/>
      <c r="AZ421" s="703"/>
      <c r="BA421" s="686"/>
      <c r="BB421" s="703"/>
      <c r="BC421" s="686"/>
      <c r="BD421" s="703"/>
      <c r="BE421" s="686"/>
    </row>
    <row r="422" spans="1:57" s="44" customFormat="1">
      <c r="D422" s="825"/>
      <c r="E422" s="686"/>
      <c r="F422" s="825"/>
      <c r="G422" s="686"/>
      <c r="H422" s="825"/>
      <c r="I422" s="686"/>
      <c r="J422" s="825"/>
      <c r="K422" s="686"/>
      <c r="L422" s="825"/>
      <c r="M422" s="686"/>
      <c r="N422" s="686"/>
      <c r="O422" s="825"/>
      <c r="P422" s="686"/>
      <c r="Q422" s="825"/>
      <c r="R422" s="686"/>
      <c r="S422" s="825"/>
      <c r="T422" s="686"/>
      <c r="U422" s="825"/>
      <c r="V422" s="686"/>
      <c r="W422" s="825"/>
      <c r="X422" s="686"/>
      <c r="Y422" s="686"/>
      <c r="Z422" s="703"/>
      <c r="AA422" s="686"/>
      <c r="AB422" s="703"/>
      <c r="AC422" s="686"/>
      <c r="AD422" s="703"/>
      <c r="AE422" s="686"/>
      <c r="AF422" s="703"/>
      <c r="AG422" s="686"/>
      <c r="AH422" s="703"/>
      <c r="AI422" s="686"/>
      <c r="AJ422" s="686"/>
      <c r="AK422" s="703"/>
      <c r="AL422" s="686"/>
      <c r="AM422" s="703"/>
      <c r="AN422" s="686"/>
      <c r="AO422" s="703"/>
      <c r="AP422" s="686"/>
      <c r="AQ422" s="703"/>
      <c r="AR422" s="686"/>
      <c r="AS422" s="703"/>
      <c r="AT422" s="686"/>
      <c r="AU422" s="686"/>
      <c r="AV422" s="703"/>
      <c r="AW422" s="686"/>
      <c r="AX422" s="703"/>
      <c r="AY422" s="686"/>
      <c r="AZ422" s="703"/>
      <c r="BA422" s="686"/>
      <c r="BB422" s="703"/>
      <c r="BC422" s="686"/>
      <c r="BD422" s="703"/>
      <c r="BE422" s="686"/>
    </row>
    <row r="423" spans="1:57" s="44" customFormat="1">
      <c r="D423" s="825"/>
      <c r="E423" s="686"/>
      <c r="F423" s="825"/>
      <c r="G423" s="686"/>
      <c r="H423" s="825"/>
      <c r="I423" s="686"/>
      <c r="J423" s="825"/>
      <c r="K423" s="686"/>
      <c r="L423" s="825"/>
      <c r="M423" s="686"/>
      <c r="N423" s="686"/>
      <c r="O423" s="825"/>
      <c r="P423" s="686"/>
      <c r="Q423" s="825"/>
      <c r="R423" s="686"/>
      <c r="S423" s="825"/>
      <c r="T423" s="686"/>
      <c r="U423" s="825"/>
      <c r="V423" s="686"/>
      <c r="W423" s="825"/>
      <c r="X423" s="686"/>
      <c r="Y423" s="686"/>
      <c r="Z423" s="703"/>
      <c r="AA423" s="686"/>
      <c r="AB423" s="703"/>
      <c r="AC423" s="686"/>
      <c r="AD423" s="703"/>
      <c r="AE423" s="686"/>
      <c r="AF423" s="703"/>
      <c r="AG423" s="686"/>
      <c r="AH423" s="703"/>
      <c r="AI423" s="686"/>
      <c r="AJ423" s="686"/>
      <c r="AK423" s="703"/>
      <c r="AL423" s="686"/>
      <c r="AM423" s="703"/>
      <c r="AN423" s="686"/>
      <c r="AO423" s="703"/>
      <c r="AP423" s="686"/>
      <c r="AQ423" s="703"/>
      <c r="AR423" s="686"/>
      <c r="AS423" s="703"/>
      <c r="AT423" s="686"/>
      <c r="AU423" s="686"/>
      <c r="AV423" s="703"/>
      <c r="AW423" s="686"/>
      <c r="AX423" s="703"/>
      <c r="AY423" s="686"/>
      <c r="AZ423" s="703"/>
      <c r="BA423" s="686"/>
      <c r="BB423" s="703"/>
      <c r="BC423" s="686"/>
      <c r="BD423" s="703"/>
      <c r="BE423" s="686"/>
    </row>
    <row r="424" spans="1:57" s="44" customFormat="1">
      <c r="D424" s="825"/>
      <c r="E424" s="686"/>
      <c r="F424" s="825"/>
      <c r="G424" s="686"/>
      <c r="H424" s="825"/>
      <c r="I424" s="686"/>
      <c r="J424" s="825"/>
      <c r="K424" s="686"/>
      <c r="L424" s="825"/>
      <c r="M424" s="686"/>
      <c r="N424" s="686"/>
      <c r="O424" s="825"/>
      <c r="P424" s="686"/>
      <c r="Q424" s="825"/>
      <c r="R424" s="686"/>
      <c r="S424" s="825"/>
      <c r="T424" s="686"/>
      <c r="U424" s="825"/>
      <c r="V424" s="686"/>
      <c r="W424" s="825"/>
      <c r="X424" s="686"/>
      <c r="Y424" s="686"/>
      <c r="Z424" s="703"/>
      <c r="AA424" s="686"/>
      <c r="AB424" s="703"/>
      <c r="AC424" s="686"/>
      <c r="AD424" s="703"/>
      <c r="AE424" s="686"/>
      <c r="AF424" s="703"/>
      <c r="AG424" s="686"/>
      <c r="AH424" s="703"/>
      <c r="AI424" s="686"/>
      <c r="AJ424" s="686"/>
      <c r="AK424" s="703"/>
      <c r="AL424" s="686"/>
      <c r="AM424" s="703"/>
      <c r="AN424" s="686"/>
      <c r="AO424" s="703"/>
      <c r="AP424" s="686"/>
      <c r="AQ424" s="703"/>
      <c r="AR424" s="686"/>
      <c r="AS424" s="703"/>
      <c r="AT424" s="686"/>
      <c r="AU424" s="686"/>
      <c r="AV424" s="703"/>
      <c r="AW424" s="686"/>
      <c r="AX424" s="703"/>
      <c r="AY424" s="686"/>
      <c r="AZ424" s="703"/>
      <c r="BA424" s="686"/>
      <c r="BB424" s="703"/>
      <c r="BC424" s="686"/>
      <c r="BD424" s="703"/>
      <c r="BE424" s="686"/>
    </row>
    <row r="425" spans="1:57" s="44" customFormat="1">
      <c r="D425" s="825"/>
      <c r="E425" s="686"/>
      <c r="F425" s="825"/>
      <c r="G425" s="686"/>
      <c r="H425" s="825"/>
      <c r="I425" s="686"/>
      <c r="J425" s="825"/>
      <c r="K425" s="686"/>
      <c r="L425" s="825"/>
      <c r="M425" s="686"/>
      <c r="N425" s="686"/>
      <c r="O425" s="825"/>
      <c r="P425" s="686"/>
      <c r="Q425" s="825"/>
      <c r="R425" s="686"/>
      <c r="S425" s="825"/>
      <c r="T425" s="686"/>
      <c r="U425" s="825"/>
      <c r="V425" s="686"/>
      <c r="W425" s="825"/>
      <c r="X425" s="686"/>
      <c r="Y425" s="686"/>
      <c r="Z425" s="703"/>
      <c r="AA425" s="686"/>
      <c r="AB425" s="703"/>
      <c r="AC425" s="686"/>
      <c r="AD425" s="703"/>
      <c r="AE425" s="686"/>
      <c r="AF425" s="703"/>
      <c r="AG425" s="686"/>
      <c r="AH425" s="703"/>
      <c r="AI425" s="686"/>
      <c r="AJ425" s="686"/>
      <c r="AK425" s="703"/>
      <c r="AL425" s="686"/>
      <c r="AM425" s="703"/>
      <c r="AN425" s="686"/>
      <c r="AO425" s="703"/>
      <c r="AP425" s="686"/>
      <c r="AQ425" s="703"/>
      <c r="AR425" s="686"/>
      <c r="AS425" s="703"/>
      <c r="AT425" s="686"/>
      <c r="AU425" s="686"/>
      <c r="AV425" s="703"/>
      <c r="AW425" s="686"/>
      <c r="AX425" s="703"/>
      <c r="AY425" s="686"/>
      <c r="AZ425" s="703"/>
      <c r="BA425" s="686"/>
      <c r="BB425" s="703"/>
      <c r="BC425" s="686"/>
      <c r="BD425" s="703"/>
      <c r="BE425" s="686"/>
    </row>
    <row r="426" spans="1:57" s="44" customFormat="1">
      <c r="D426" s="825"/>
      <c r="E426" s="686"/>
      <c r="F426" s="825"/>
      <c r="G426" s="686"/>
      <c r="H426" s="825"/>
      <c r="I426" s="686"/>
      <c r="J426" s="825"/>
      <c r="K426" s="686"/>
      <c r="L426" s="825"/>
      <c r="M426" s="686"/>
      <c r="N426" s="686"/>
      <c r="O426" s="825"/>
      <c r="P426" s="686"/>
      <c r="Q426" s="825"/>
      <c r="R426" s="686"/>
      <c r="S426" s="825"/>
      <c r="T426" s="686"/>
      <c r="U426" s="825"/>
      <c r="V426" s="686"/>
      <c r="W426" s="825"/>
      <c r="X426" s="686"/>
      <c r="Y426" s="686"/>
      <c r="Z426" s="703"/>
      <c r="AA426" s="686"/>
      <c r="AB426" s="703"/>
      <c r="AC426" s="686"/>
      <c r="AD426" s="703"/>
      <c r="AE426" s="686"/>
      <c r="AF426" s="703"/>
      <c r="AG426" s="686"/>
      <c r="AH426" s="703"/>
      <c r="AI426" s="686"/>
      <c r="AJ426" s="686"/>
      <c r="AK426" s="703"/>
      <c r="AL426" s="686"/>
      <c r="AM426" s="703"/>
      <c r="AN426" s="686"/>
      <c r="AO426" s="703"/>
      <c r="AP426" s="686"/>
      <c r="AQ426" s="703"/>
      <c r="AR426" s="686"/>
      <c r="AS426" s="703"/>
      <c r="AT426" s="686"/>
      <c r="AU426" s="686"/>
      <c r="AV426" s="703"/>
      <c r="AW426" s="686"/>
      <c r="AX426" s="703"/>
      <c r="AY426" s="686"/>
      <c r="AZ426" s="703"/>
      <c r="BA426" s="686"/>
      <c r="BB426" s="703"/>
      <c r="BC426" s="686"/>
      <c r="BD426" s="703"/>
      <c r="BE426" s="686"/>
    </row>
    <row r="427" spans="1:57" s="44" customFormat="1">
      <c r="D427" s="825"/>
      <c r="E427" s="686"/>
      <c r="F427" s="825"/>
      <c r="G427" s="686"/>
      <c r="H427" s="825"/>
      <c r="I427" s="686"/>
      <c r="J427" s="825"/>
      <c r="K427" s="686"/>
      <c r="L427" s="825"/>
      <c r="M427" s="686"/>
      <c r="N427" s="686"/>
      <c r="O427" s="825"/>
      <c r="P427" s="686"/>
      <c r="Q427" s="825"/>
      <c r="R427" s="686"/>
      <c r="S427" s="825"/>
      <c r="T427" s="686"/>
      <c r="U427" s="825"/>
      <c r="V427" s="686"/>
      <c r="W427" s="825"/>
      <c r="X427" s="686"/>
      <c r="Y427" s="686"/>
      <c r="Z427" s="703"/>
      <c r="AA427" s="686"/>
      <c r="AB427" s="703"/>
      <c r="AC427" s="686"/>
      <c r="AD427" s="703"/>
      <c r="AE427" s="686"/>
      <c r="AF427" s="703"/>
      <c r="AG427" s="686"/>
      <c r="AH427" s="703"/>
      <c r="AI427" s="686"/>
      <c r="AJ427" s="686"/>
      <c r="AK427" s="703"/>
      <c r="AL427" s="686"/>
      <c r="AM427" s="703"/>
      <c r="AN427" s="686"/>
      <c r="AO427" s="703"/>
      <c r="AP427" s="686"/>
      <c r="AQ427" s="703"/>
      <c r="AR427" s="686"/>
      <c r="AS427" s="703"/>
      <c r="AT427" s="686"/>
      <c r="AU427" s="686"/>
      <c r="AV427" s="703"/>
      <c r="AW427" s="686"/>
      <c r="AX427" s="703"/>
      <c r="AY427" s="686"/>
      <c r="AZ427" s="703"/>
      <c r="BA427" s="686"/>
      <c r="BB427" s="703"/>
      <c r="BC427" s="686"/>
      <c r="BD427" s="703"/>
      <c r="BE427" s="686"/>
    </row>
    <row r="428" spans="1:57" s="44" customFormat="1">
      <c r="D428" s="825"/>
      <c r="E428" s="686"/>
      <c r="F428" s="825"/>
      <c r="G428" s="686"/>
      <c r="H428" s="825"/>
      <c r="I428" s="686"/>
      <c r="J428" s="825"/>
      <c r="K428" s="686"/>
      <c r="L428" s="825"/>
      <c r="M428" s="686"/>
      <c r="N428" s="686"/>
      <c r="O428" s="825"/>
      <c r="P428" s="686"/>
      <c r="Q428" s="825"/>
      <c r="R428" s="686"/>
      <c r="S428" s="825"/>
      <c r="T428" s="686"/>
      <c r="U428" s="825"/>
      <c r="V428" s="686"/>
      <c r="W428" s="825"/>
      <c r="X428" s="686"/>
      <c r="Y428" s="686"/>
      <c r="Z428" s="703"/>
      <c r="AA428" s="686"/>
      <c r="AB428" s="703"/>
      <c r="AC428" s="686"/>
      <c r="AD428" s="703"/>
      <c r="AE428" s="686"/>
      <c r="AF428" s="703"/>
      <c r="AG428" s="686"/>
      <c r="AH428" s="703"/>
      <c r="AI428" s="686"/>
      <c r="AJ428" s="686"/>
      <c r="AK428" s="703"/>
      <c r="AL428" s="686"/>
      <c r="AM428" s="703"/>
      <c r="AN428" s="686"/>
      <c r="AO428" s="703"/>
      <c r="AP428" s="686"/>
      <c r="AQ428" s="703"/>
      <c r="AR428" s="686"/>
      <c r="AS428" s="703"/>
      <c r="AT428" s="686"/>
      <c r="AU428" s="686"/>
      <c r="AV428" s="703"/>
      <c r="AW428" s="686"/>
      <c r="AX428" s="703"/>
      <c r="AY428" s="686"/>
      <c r="AZ428" s="703"/>
      <c r="BA428" s="686"/>
      <c r="BB428" s="703"/>
      <c r="BC428" s="686"/>
      <c r="BD428" s="703"/>
      <c r="BE428" s="686"/>
    </row>
    <row r="429" spans="1:57" s="44" customFormat="1">
      <c r="D429" s="825"/>
      <c r="E429" s="686"/>
      <c r="F429" s="825"/>
      <c r="G429" s="686"/>
      <c r="H429" s="825"/>
      <c r="I429" s="686"/>
      <c r="J429" s="825"/>
      <c r="K429" s="686"/>
      <c r="L429" s="825"/>
      <c r="M429" s="686"/>
      <c r="N429" s="686"/>
      <c r="O429" s="825"/>
      <c r="P429" s="686"/>
      <c r="Q429" s="825"/>
      <c r="R429" s="686"/>
      <c r="S429" s="825"/>
      <c r="T429" s="686"/>
      <c r="U429" s="825"/>
      <c r="V429" s="686"/>
      <c r="W429" s="825"/>
      <c r="X429" s="686"/>
      <c r="Y429" s="686"/>
      <c r="Z429" s="703"/>
      <c r="AA429" s="686"/>
      <c r="AB429" s="703"/>
      <c r="AC429" s="686"/>
      <c r="AD429" s="703"/>
      <c r="AE429" s="686"/>
      <c r="AF429" s="703"/>
      <c r="AG429" s="686"/>
      <c r="AH429" s="703"/>
      <c r="AI429" s="686"/>
      <c r="AJ429" s="686"/>
      <c r="AK429" s="703"/>
      <c r="AL429" s="686"/>
      <c r="AM429" s="703"/>
      <c r="AN429" s="686"/>
      <c r="AO429" s="703"/>
      <c r="AP429" s="686"/>
      <c r="AQ429" s="703"/>
      <c r="AR429" s="686"/>
      <c r="AS429" s="703"/>
      <c r="AT429" s="686"/>
      <c r="AU429" s="686"/>
      <c r="AV429" s="703"/>
      <c r="AW429" s="686"/>
      <c r="AX429" s="703"/>
      <c r="AY429" s="686"/>
      <c r="AZ429" s="703"/>
      <c r="BA429" s="686"/>
      <c r="BB429" s="703"/>
      <c r="BC429" s="686"/>
      <c r="BD429" s="703"/>
      <c r="BE429" s="686"/>
    </row>
    <row r="430" spans="1:57" s="44" customFormat="1">
      <c r="D430" s="825"/>
      <c r="E430" s="686"/>
      <c r="F430" s="825"/>
      <c r="G430" s="686"/>
      <c r="H430" s="825"/>
      <c r="I430" s="686"/>
      <c r="J430" s="825"/>
      <c r="K430" s="686"/>
      <c r="L430" s="825"/>
      <c r="M430" s="686"/>
      <c r="N430" s="686"/>
      <c r="O430" s="825"/>
      <c r="P430" s="686"/>
      <c r="Q430" s="825"/>
      <c r="R430" s="686"/>
      <c r="S430" s="825"/>
      <c r="T430" s="686"/>
      <c r="U430" s="825"/>
      <c r="V430" s="686"/>
      <c r="W430" s="825"/>
      <c r="X430" s="686"/>
      <c r="Y430" s="686"/>
      <c r="Z430" s="703"/>
      <c r="AA430" s="686"/>
      <c r="AB430" s="703"/>
      <c r="AC430" s="686"/>
      <c r="AD430" s="703"/>
      <c r="AE430" s="686"/>
      <c r="AF430" s="703"/>
      <c r="AG430" s="686"/>
      <c r="AH430" s="703"/>
      <c r="AI430" s="686"/>
      <c r="AJ430" s="686"/>
      <c r="AK430" s="703"/>
      <c r="AL430" s="686"/>
      <c r="AM430" s="703"/>
      <c r="AN430" s="686"/>
      <c r="AO430" s="703"/>
      <c r="AP430" s="686"/>
      <c r="AQ430" s="703"/>
      <c r="AR430" s="686"/>
      <c r="AS430" s="703"/>
      <c r="AT430" s="686"/>
      <c r="AU430" s="686"/>
      <c r="AV430" s="703"/>
      <c r="AW430" s="686"/>
      <c r="AX430" s="703"/>
      <c r="AY430" s="686"/>
      <c r="AZ430" s="703"/>
      <c r="BA430" s="686"/>
      <c r="BB430" s="703"/>
      <c r="BC430" s="686"/>
      <c r="BD430" s="703"/>
      <c r="BE430" s="686"/>
    </row>
    <row r="431" spans="1:57" s="44" customFormat="1">
      <c r="D431" s="825"/>
      <c r="E431" s="686"/>
      <c r="F431" s="825"/>
      <c r="G431" s="686"/>
      <c r="H431" s="825"/>
      <c r="I431" s="686"/>
      <c r="J431" s="825"/>
      <c r="K431" s="686"/>
      <c r="L431" s="825"/>
      <c r="M431" s="686"/>
      <c r="N431" s="686"/>
      <c r="O431" s="825"/>
      <c r="P431" s="686"/>
      <c r="Q431" s="825"/>
      <c r="R431" s="686"/>
      <c r="S431" s="825"/>
      <c r="T431" s="686"/>
      <c r="U431" s="825"/>
      <c r="V431" s="686"/>
      <c r="W431" s="825"/>
      <c r="X431" s="686"/>
      <c r="Y431" s="686"/>
      <c r="Z431" s="703"/>
      <c r="AA431" s="686"/>
      <c r="AB431" s="703"/>
      <c r="AC431" s="686"/>
      <c r="AD431" s="703"/>
      <c r="AE431" s="686"/>
      <c r="AF431" s="703"/>
      <c r="AG431" s="686"/>
      <c r="AH431" s="703"/>
      <c r="AI431" s="686"/>
      <c r="AJ431" s="686"/>
      <c r="AK431" s="703"/>
      <c r="AL431" s="686"/>
      <c r="AM431" s="703"/>
      <c r="AN431" s="686"/>
      <c r="AO431" s="703"/>
      <c r="AP431" s="686"/>
      <c r="AQ431" s="703"/>
      <c r="AR431" s="686"/>
      <c r="AS431" s="703"/>
      <c r="AT431" s="686"/>
      <c r="AU431" s="686"/>
      <c r="AV431" s="703"/>
      <c r="AW431" s="686"/>
      <c r="AX431" s="703"/>
      <c r="AY431" s="686"/>
      <c r="AZ431" s="703"/>
      <c r="BA431" s="686"/>
      <c r="BB431" s="703"/>
      <c r="BC431" s="686"/>
      <c r="BD431" s="703"/>
      <c r="BE431" s="686"/>
    </row>
    <row r="432" spans="1:57" s="44" customFormat="1">
      <c r="D432" s="825"/>
      <c r="E432" s="686"/>
      <c r="F432" s="825"/>
      <c r="G432" s="686"/>
      <c r="H432" s="825"/>
      <c r="I432" s="686"/>
      <c r="J432" s="825"/>
      <c r="K432" s="686"/>
      <c r="L432" s="825"/>
      <c r="M432" s="686"/>
      <c r="N432" s="686"/>
      <c r="O432" s="825"/>
      <c r="P432" s="686"/>
      <c r="Q432" s="825"/>
      <c r="R432" s="686"/>
      <c r="S432" s="825"/>
      <c r="T432" s="686"/>
      <c r="U432" s="825"/>
      <c r="V432" s="686"/>
      <c r="W432" s="825"/>
      <c r="X432" s="686"/>
      <c r="Y432" s="686"/>
      <c r="Z432" s="703"/>
      <c r="AA432" s="686"/>
      <c r="AB432" s="703"/>
      <c r="AC432" s="686"/>
      <c r="AD432" s="703"/>
      <c r="AE432" s="686"/>
      <c r="AF432" s="703"/>
      <c r="AG432" s="686"/>
      <c r="AH432" s="703"/>
      <c r="AI432" s="686"/>
      <c r="AJ432" s="686"/>
      <c r="AK432" s="703"/>
      <c r="AL432" s="686"/>
      <c r="AM432" s="703"/>
      <c r="AN432" s="686"/>
      <c r="AO432" s="703"/>
      <c r="AP432" s="686"/>
      <c r="AQ432" s="703"/>
      <c r="AR432" s="686"/>
      <c r="AS432" s="703"/>
      <c r="AT432" s="686"/>
      <c r="AU432" s="686"/>
      <c r="AV432" s="703"/>
      <c r="AW432" s="686"/>
      <c r="AX432" s="703"/>
      <c r="AY432" s="686"/>
      <c r="AZ432" s="703"/>
      <c r="BA432" s="686"/>
      <c r="BB432" s="703"/>
      <c r="BC432" s="686"/>
      <c r="BD432" s="703"/>
      <c r="BE432" s="686"/>
    </row>
    <row r="433" spans="4:57" s="44" customFormat="1">
      <c r="D433" s="825"/>
      <c r="E433" s="686"/>
      <c r="F433" s="825"/>
      <c r="G433" s="686"/>
      <c r="H433" s="825"/>
      <c r="I433" s="686"/>
      <c r="J433" s="825"/>
      <c r="K433" s="686"/>
      <c r="L433" s="825"/>
      <c r="M433" s="686"/>
      <c r="N433" s="686"/>
      <c r="O433" s="825"/>
      <c r="P433" s="686"/>
      <c r="Q433" s="825"/>
      <c r="R433" s="686"/>
      <c r="S433" s="825"/>
      <c r="T433" s="686"/>
      <c r="U433" s="825"/>
      <c r="V433" s="686"/>
      <c r="W433" s="825"/>
      <c r="X433" s="686"/>
      <c r="Y433" s="686"/>
      <c r="Z433" s="703"/>
      <c r="AA433" s="686"/>
      <c r="AB433" s="703"/>
      <c r="AC433" s="686"/>
      <c r="AD433" s="703"/>
      <c r="AE433" s="686"/>
      <c r="AF433" s="703"/>
      <c r="AG433" s="686"/>
      <c r="AH433" s="703"/>
      <c r="AI433" s="686"/>
      <c r="AJ433" s="686"/>
      <c r="AK433" s="703"/>
      <c r="AL433" s="686"/>
      <c r="AM433" s="703"/>
      <c r="AN433" s="686"/>
      <c r="AO433" s="703"/>
      <c r="AP433" s="686"/>
      <c r="AQ433" s="703"/>
      <c r="AR433" s="686"/>
      <c r="AS433" s="703"/>
      <c r="AT433" s="686"/>
      <c r="AU433" s="686"/>
      <c r="AV433" s="703"/>
      <c r="AW433" s="686"/>
      <c r="AX433" s="703"/>
      <c r="AY433" s="686"/>
      <c r="AZ433" s="703"/>
      <c r="BA433" s="686"/>
      <c r="BB433" s="703"/>
      <c r="BC433" s="686"/>
      <c r="BD433" s="703"/>
      <c r="BE433" s="686"/>
    </row>
    <row r="434" spans="4:57" s="44" customFormat="1">
      <c r="D434" s="825"/>
      <c r="E434" s="686"/>
      <c r="F434" s="825"/>
      <c r="G434" s="686"/>
      <c r="H434" s="825"/>
      <c r="I434" s="686"/>
      <c r="J434" s="825"/>
      <c r="K434" s="686"/>
      <c r="L434" s="825"/>
      <c r="M434" s="686"/>
      <c r="N434" s="686"/>
      <c r="O434" s="825"/>
      <c r="P434" s="686"/>
      <c r="Q434" s="825"/>
      <c r="R434" s="686"/>
      <c r="S434" s="825"/>
      <c r="T434" s="686"/>
      <c r="U434" s="825"/>
      <c r="V434" s="686"/>
      <c r="W434" s="825"/>
      <c r="X434" s="686"/>
      <c r="Y434" s="686"/>
      <c r="Z434" s="703"/>
      <c r="AA434" s="686"/>
      <c r="AB434" s="703"/>
      <c r="AC434" s="686"/>
      <c r="AD434" s="703"/>
      <c r="AE434" s="686"/>
      <c r="AF434" s="703"/>
      <c r="AG434" s="686"/>
      <c r="AH434" s="703"/>
      <c r="AI434" s="686"/>
      <c r="AJ434" s="686"/>
      <c r="AK434" s="703"/>
      <c r="AL434" s="686"/>
      <c r="AM434" s="703"/>
      <c r="AN434" s="686"/>
      <c r="AO434" s="703"/>
      <c r="AP434" s="686"/>
      <c r="AQ434" s="703"/>
      <c r="AR434" s="686"/>
      <c r="AS434" s="703"/>
      <c r="AT434" s="686"/>
      <c r="AU434" s="686"/>
      <c r="AV434" s="703"/>
      <c r="AW434" s="686"/>
      <c r="AX434" s="703"/>
      <c r="AY434" s="686"/>
      <c r="AZ434" s="703"/>
      <c r="BA434" s="686"/>
      <c r="BB434" s="703"/>
      <c r="BC434" s="686"/>
      <c r="BD434" s="703"/>
      <c r="BE434" s="686"/>
    </row>
    <row r="435" spans="4:57" s="44" customFormat="1">
      <c r="D435" s="825"/>
      <c r="E435" s="686"/>
      <c r="F435" s="825"/>
      <c r="G435" s="686"/>
      <c r="H435" s="825"/>
      <c r="I435" s="686"/>
      <c r="J435" s="825"/>
      <c r="K435" s="686"/>
      <c r="L435" s="825"/>
      <c r="M435" s="686"/>
      <c r="N435" s="686"/>
      <c r="O435" s="825"/>
      <c r="P435" s="686"/>
      <c r="Q435" s="825"/>
      <c r="R435" s="686"/>
      <c r="S435" s="825"/>
      <c r="T435" s="686"/>
      <c r="U435" s="825"/>
      <c r="V435" s="686"/>
      <c r="W435" s="825"/>
      <c r="X435" s="686"/>
      <c r="Y435" s="686"/>
      <c r="Z435" s="703"/>
      <c r="AA435" s="686"/>
      <c r="AB435" s="703"/>
      <c r="AC435" s="686"/>
      <c r="AD435" s="703"/>
      <c r="AE435" s="686"/>
      <c r="AF435" s="703"/>
      <c r="AG435" s="686"/>
      <c r="AH435" s="703"/>
      <c r="AI435" s="686"/>
      <c r="AJ435" s="686"/>
      <c r="AK435" s="703"/>
      <c r="AL435" s="686"/>
      <c r="AM435" s="703"/>
      <c r="AN435" s="686"/>
      <c r="AO435" s="703"/>
      <c r="AP435" s="686"/>
      <c r="AQ435" s="703"/>
      <c r="AR435" s="686"/>
      <c r="AS435" s="703"/>
      <c r="AT435" s="686"/>
      <c r="AU435" s="686"/>
      <c r="AV435" s="703"/>
      <c r="AW435" s="686"/>
      <c r="AX435" s="703"/>
      <c r="AY435" s="686"/>
      <c r="AZ435" s="703"/>
      <c r="BA435" s="686"/>
      <c r="BB435" s="703"/>
      <c r="BC435" s="686"/>
      <c r="BD435" s="703"/>
      <c r="BE435" s="686"/>
    </row>
    <row r="436" spans="4:57" s="44" customFormat="1">
      <c r="D436" s="825"/>
      <c r="E436" s="686"/>
      <c r="F436" s="825"/>
      <c r="G436" s="686"/>
      <c r="H436" s="825"/>
      <c r="I436" s="686"/>
      <c r="J436" s="825"/>
      <c r="K436" s="686"/>
      <c r="L436" s="825"/>
      <c r="M436" s="686"/>
      <c r="N436" s="686"/>
      <c r="O436" s="825"/>
      <c r="P436" s="686"/>
      <c r="Q436" s="825"/>
      <c r="R436" s="686"/>
      <c r="S436" s="825"/>
      <c r="T436" s="686"/>
      <c r="U436" s="825"/>
      <c r="V436" s="686"/>
      <c r="W436" s="825"/>
      <c r="X436" s="686"/>
      <c r="Y436" s="686"/>
      <c r="Z436" s="703"/>
      <c r="AA436" s="686"/>
      <c r="AB436" s="703"/>
      <c r="AC436" s="686"/>
      <c r="AD436" s="703"/>
      <c r="AE436" s="686"/>
      <c r="AF436" s="703"/>
      <c r="AG436" s="686"/>
      <c r="AH436" s="703"/>
      <c r="AI436" s="686"/>
      <c r="AJ436" s="686"/>
      <c r="AK436" s="703"/>
      <c r="AL436" s="686"/>
      <c r="AM436" s="703"/>
      <c r="AN436" s="686"/>
      <c r="AO436" s="703"/>
      <c r="AP436" s="686"/>
      <c r="AQ436" s="703"/>
      <c r="AR436" s="686"/>
      <c r="AS436" s="703"/>
      <c r="AT436" s="686"/>
      <c r="AU436" s="686"/>
      <c r="AV436" s="703"/>
      <c r="AW436" s="686"/>
      <c r="AX436" s="703"/>
      <c r="AY436" s="686"/>
      <c r="AZ436" s="703"/>
      <c r="BA436" s="686"/>
      <c r="BB436" s="703"/>
      <c r="BC436" s="686"/>
      <c r="BD436" s="703"/>
      <c r="BE436" s="686"/>
    </row>
    <row r="437" spans="4:57" s="44" customFormat="1">
      <c r="D437" s="825"/>
      <c r="E437" s="686"/>
      <c r="F437" s="825"/>
      <c r="G437" s="686"/>
      <c r="H437" s="825"/>
      <c r="I437" s="686"/>
      <c r="J437" s="825"/>
      <c r="K437" s="686"/>
      <c r="L437" s="825"/>
      <c r="M437" s="686"/>
      <c r="N437" s="686"/>
      <c r="O437" s="825"/>
      <c r="P437" s="686"/>
      <c r="Q437" s="825"/>
      <c r="R437" s="686"/>
      <c r="S437" s="825"/>
      <c r="T437" s="686"/>
      <c r="U437" s="825"/>
      <c r="V437" s="686"/>
      <c r="W437" s="825"/>
      <c r="X437" s="686"/>
      <c r="Y437" s="686"/>
      <c r="Z437" s="703"/>
      <c r="AA437" s="686"/>
      <c r="AB437" s="703"/>
      <c r="AC437" s="686"/>
      <c r="AD437" s="703"/>
      <c r="AE437" s="686"/>
      <c r="AF437" s="703"/>
      <c r="AG437" s="686"/>
      <c r="AH437" s="703"/>
      <c r="AI437" s="686"/>
      <c r="AJ437" s="686"/>
      <c r="AK437" s="703"/>
      <c r="AL437" s="686"/>
      <c r="AM437" s="703"/>
      <c r="AN437" s="686"/>
      <c r="AO437" s="703"/>
      <c r="AP437" s="686"/>
      <c r="AQ437" s="703"/>
      <c r="AR437" s="686"/>
      <c r="AS437" s="703"/>
      <c r="AT437" s="686"/>
      <c r="AU437" s="686"/>
      <c r="AV437" s="703"/>
      <c r="AW437" s="686"/>
      <c r="AX437" s="703"/>
      <c r="AY437" s="686"/>
      <c r="AZ437" s="703"/>
      <c r="BA437" s="686"/>
      <c r="BB437" s="703"/>
      <c r="BC437" s="686"/>
      <c r="BD437" s="703"/>
      <c r="BE437" s="686"/>
    </row>
    <row r="438" spans="4:57" s="44" customFormat="1">
      <c r="D438" s="825"/>
      <c r="E438" s="686"/>
      <c r="F438" s="825"/>
      <c r="G438" s="686"/>
      <c r="H438" s="825"/>
      <c r="I438" s="686"/>
      <c r="J438" s="825"/>
      <c r="K438" s="686"/>
      <c r="L438" s="825"/>
      <c r="M438" s="686"/>
      <c r="N438" s="686"/>
      <c r="O438" s="825"/>
      <c r="P438" s="686"/>
      <c r="Q438" s="825"/>
      <c r="R438" s="686"/>
      <c r="S438" s="825"/>
      <c r="T438" s="686"/>
      <c r="U438" s="825"/>
      <c r="V438" s="686"/>
      <c r="W438" s="825"/>
      <c r="X438" s="686"/>
      <c r="Y438" s="686"/>
      <c r="Z438" s="703"/>
      <c r="AA438" s="686"/>
      <c r="AB438" s="703"/>
      <c r="AC438" s="686"/>
      <c r="AD438" s="703"/>
      <c r="AE438" s="686"/>
      <c r="AF438" s="703"/>
      <c r="AG438" s="686"/>
      <c r="AH438" s="703"/>
      <c r="AI438" s="686"/>
      <c r="AJ438" s="686"/>
      <c r="AK438" s="703"/>
      <c r="AL438" s="686"/>
      <c r="AM438" s="703"/>
      <c r="AN438" s="686"/>
      <c r="AO438" s="703"/>
      <c r="AP438" s="686"/>
      <c r="AQ438" s="703"/>
      <c r="AR438" s="686"/>
      <c r="AS438" s="703"/>
      <c r="AT438" s="686"/>
      <c r="AU438" s="686"/>
      <c r="AV438" s="703"/>
      <c r="AW438" s="686"/>
      <c r="AX438" s="703"/>
      <c r="AY438" s="686"/>
      <c r="AZ438" s="703"/>
      <c r="BA438" s="686"/>
      <c r="BB438" s="703"/>
      <c r="BC438" s="686"/>
      <c r="BD438" s="703"/>
      <c r="BE438" s="686"/>
    </row>
    <row r="439" spans="4:57" s="44" customFormat="1">
      <c r="D439" s="825"/>
      <c r="E439" s="686"/>
      <c r="F439" s="825"/>
      <c r="G439" s="686"/>
      <c r="H439" s="825"/>
      <c r="I439" s="686"/>
      <c r="J439" s="825"/>
      <c r="K439" s="686"/>
      <c r="L439" s="825"/>
      <c r="M439" s="686"/>
      <c r="N439" s="686"/>
      <c r="O439" s="825"/>
      <c r="P439" s="686"/>
      <c r="Q439" s="825"/>
      <c r="R439" s="686"/>
      <c r="S439" s="825"/>
      <c r="T439" s="686"/>
      <c r="U439" s="825"/>
      <c r="V439" s="686"/>
      <c r="W439" s="825"/>
      <c r="X439" s="686"/>
      <c r="Y439" s="686"/>
      <c r="Z439" s="703"/>
      <c r="AA439" s="686"/>
      <c r="AB439" s="703"/>
      <c r="AC439" s="686"/>
      <c r="AD439" s="703"/>
      <c r="AE439" s="686"/>
      <c r="AF439" s="703"/>
      <c r="AG439" s="686"/>
      <c r="AH439" s="703"/>
      <c r="AI439" s="686"/>
      <c r="AJ439" s="686"/>
      <c r="AK439" s="703"/>
      <c r="AL439" s="686"/>
      <c r="AM439" s="703"/>
      <c r="AN439" s="686"/>
      <c r="AO439" s="703"/>
      <c r="AP439" s="686"/>
      <c r="AQ439" s="703"/>
      <c r="AR439" s="686"/>
      <c r="AS439" s="703"/>
      <c r="AT439" s="686"/>
      <c r="AU439" s="686"/>
      <c r="AV439" s="703"/>
      <c r="AW439" s="686"/>
      <c r="AX439" s="703"/>
      <c r="AY439" s="686"/>
      <c r="AZ439" s="703"/>
      <c r="BA439" s="686"/>
      <c r="BB439" s="703"/>
      <c r="BC439" s="686"/>
      <c r="BD439" s="703"/>
      <c r="BE439" s="686"/>
    </row>
    <row r="440" spans="4:57" s="44" customFormat="1">
      <c r="D440" s="825"/>
      <c r="E440" s="686"/>
      <c r="F440" s="825"/>
      <c r="G440" s="686"/>
      <c r="H440" s="825"/>
      <c r="I440" s="686"/>
      <c r="J440" s="825"/>
      <c r="K440" s="686"/>
      <c r="L440" s="825"/>
      <c r="M440" s="686"/>
      <c r="N440" s="686"/>
      <c r="O440" s="825"/>
      <c r="P440" s="686"/>
      <c r="Q440" s="825"/>
      <c r="R440" s="686"/>
      <c r="S440" s="825"/>
      <c r="T440" s="686"/>
      <c r="U440" s="825"/>
      <c r="V440" s="686"/>
      <c r="W440" s="825"/>
      <c r="X440" s="686"/>
      <c r="Y440" s="686"/>
      <c r="Z440" s="703"/>
      <c r="AA440" s="686"/>
      <c r="AB440" s="703"/>
      <c r="AC440" s="686"/>
      <c r="AD440" s="703"/>
      <c r="AE440" s="686"/>
      <c r="AF440" s="703"/>
      <c r="AG440" s="686"/>
      <c r="AH440" s="703"/>
      <c r="AI440" s="686"/>
      <c r="AJ440" s="686"/>
      <c r="AK440" s="703"/>
      <c r="AL440" s="686"/>
      <c r="AM440" s="703"/>
      <c r="AN440" s="686"/>
      <c r="AO440" s="703"/>
      <c r="AP440" s="686"/>
      <c r="AQ440" s="703"/>
      <c r="AR440" s="686"/>
      <c r="AS440" s="703"/>
      <c r="AT440" s="686"/>
      <c r="AU440" s="686"/>
      <c r="AV440" s="703"/>
      <c r="AW440" s="686"/>
      <c r="AX440" s="703"/>
      <c r="AY440" s="686"/>
      <c r="AZ440" s="703"/>
      <c r="BA440" s="686"/>
      <c r="BB440" s="703"/>
      <c r="BC440" s="686"/>
      <c r="BD440" s="703"/>
      <c r="BE440" s="686"/>
    </row>
    <row r="441" spans="4:57" s="44" customFormat="1">
      <c r="D441" s="825"/>
      <c r="E441" s="686"/>
      <c r="F441" s="825"/>
      <c r="G441" s="686"/>
      <c r="H441" s="825"/>
      <c r="I441" s="686"/>
      <c r="J441" s="825"/>
      <c r="K441" s="686"/>
      <c r="L441" s="825"/>
      <c r="M441" s="686"/>
      <c r="N441" s="686"/>
      <c r="O441" s="825"/>
      <c r="P441" s="686"/>
      <c r="Q441" s="825"/>
      <c r="R441" s="686"/>
      <c r="S441" s="825"/>
      <c r="T441" s="686"/>
      <c r="U441" s="825"/>
      <c r="V441" s="686"/>
      <c r="W441" s="825"/>
      <c r="X441" s="686"/>
      <c r="Y441" s="686"/>
      <c r="Z441" s="703"/>
      <c r="AA441" s="686"/>
      <c r="AB441" s="703"/>
      <c r="AC441" s="686"/>
      <c r="AD441" s="703"/>
      <c r="AE441" s="686"/>
      <c r="AF441" s="703"/>
      <c r="AG441" s="686"/>
      <c r="AH441" s="703"/>
      <c r="AI441" s="686"/>
      <c r="AJ441" s="686"/>
      <c r="AK441" s="703"/>
      <c r="AL441" s="686"/>
      <c r="AM441" s="703"/>
      <c r="AN441" s="686"/>
      <c r="AO441" s="703"/>
      <c r="AP441" s="686"/>
      <c r="AQ441" s="703"/>
      <c r="AR441" s="686"/>
      <c r="AS441" s="703"/>
      <c r="AT441" s="686"/>
      <c r="AU441" s="686"/>
      <c r="AV441" s="703"/>
      <c r="AW441" s="686"/>
      <c r="AX441" s="703"/>
      <c r="AY441" s="686"/>
      <c r="AZ441" s="703"/>
      <c r="BA441" s="686"/>
      <c r="BB441" s="703"/>
      <c r="BC441" s="686"/>
      <c r="BD441" s="703"/>
      <c r="BE441" s="686"/>
    </row>
    <row r="442" spans="4:57" s="44" customFormat="1">
      <c r="D442" s="825"/>
      <c r="E442" s="686"/>
      <c r="F442" s="825"/>
      <c r="G442" s="686"/>
      <c r="H442" s="825"/>
      <c r="I442" s="686"/>
      <c r="J442" s="825"/>
      <c r="K442" s="686"/>
      <c r="L442" s="825"/>
      <c r="M442" s="686"/>
      <c r="N442" s="686"/>
      <c r="O442" s="825"/>
      <c r="P442" s="686"/>
      <c r="Q442" s="825"/>
      <c r="R442" s="686"/>
      <c r="S442" s="825"/>
      <c r="T442" s="686"/>
      <c r="U442" s="825"/>
      <c r="V442" s="686"/>
      <c r="W442" s="825"/>
      <c r="X442" s="686"/>
      <c r="Y442" s="686"/>
      <c r="Z442" s="703"/>
      <c r="AA442" s="686"/>
      <c r="AB442" s="703"/>
      <c r="AC442" s="686"/>
      <c r="AD442" s="703"/>
      <c r="AE442" s="686"/>
      <c r="AF442" s="703"/>
      <c r="AG442" s="686"/>
      <c r="AH442" s="703"/>
      <c r="AI442" s="686"/>
      <c r="AJ442" s="686"/>
      <c r="AK442" s="703"/>
      <c r="AL442" s="686"/>
      <c r="AM442" s="703"/>
      <c r="AN442" s="686"/>
      <c r="AO442" s="703"/>
      <c r="AP442" s="686"/>
      <c r="AQ442" s="703"/>
      <c r="AR442" s="686"/>
      <c r="AS442" s="703"/>
      <c r="AT442" s="686"/>
      <c r="AU442" s="686"/>
      <c r="AV442" s="703"/>
      <c r="AW442" s="686"/>
      <c r="AX442" s="703"/>
      <c r="AY442" s="686"/>
      <c r="AZ442" s="703"/>
      <c r="BA442" s="686"/>
      <c r="BB442" s="703"/>
      <c r="BC442" s="686"/>
      <c r="BD442" s="703"/>
      <c r="BE442" s="686"/>
    </row>
    <row r="443" spans="4:57" s="44" customFormat="1">
      <c r="D443" s="825"/>
      <c r="E443" s="686"/>
      <c r="F443" s="825"/>
      <c r="G443" s="686"/>
      <c r="H443" s="825"/>
      <c r="I443" s="686"/>
      <c r="J443" s="825"/>
      <c r="K443" s="686"/>
      <c r="L443" s="825"/>
      <c r="M443" s="686"/>
      <c r="N443" s="686"/>
      <c r="O443" s="825"/>
      <c r="P443" s="686"/>
      <c r="Q443" s="825"/>
      <c r="R443" s="686"/>
      <c r="S443" s="825"/>
      <c r="T443" s="686"/>
      <c r="U443" s="825"/>
      <c r="V443" s="686"/>
      <c r="W443" s="825"/>
      <c r="X443" s="686"/>
      <c r="Y443" s="686"/>
      <c r="Z443" s="703"/>
      <c r="AA443" s="686"/>
      <c r="AB443" s="703"/>
      <c r="AC443" s="686"/>
      <c r="AD443" s="703"/>
      <c r="AE443" s="686"/>
      <c r="AF443" s="703"/>
      <c r="AG443" s="686"/>
      <c r="AH443" s="703"/>
      <c r="AI443" s="686"/>
      <c r="AJ443" s="686"/>
      <c r="AK443" s="703"/>
      <c r="AL443" s="686"/>
      <c r="AM443" s="703"/>
      <c r="AN443" s="686"/>
      <c r="AO443" s="703"/>
      <c r="AP443" s="686"/>
      <c r="AQ443" s="703"/>
      <c r="AR443" s="686"/>
      <c r="AS443" s="703"/>
      <c r="AT443" s="686"/>
      <c r="AU443" s="686"/>
      <c r="AV443" s="703"/>
      <c r="AW443" s="686"/>
      <c r="AX443" s="703"/>
      <c r="AY443" s="686"/>
      <c r="AZ443" s="703"/>
      <c r="BA443" s="686"/>
      <c r="BB443" s="703"/>
      <c r="BC443" s="686"/>
      <c r="BD443" s="703"/>
      <c r="BE443" s="686"/>
    </row>
    <row r="444" spans="4:57" s="44" customFormat="1">
      <c r="D444" s="825"/>
      <c r="E444" s="686"/>
      <c r="F444" s="825"/>
      <c r="G444" s="686"/>
      <c r="H444" s="825"/>
      <c r="I444" s="686"/>
      <c r="J444" s="825"/>
      <c r="K444" s="686"/>
      <c r="L444" s="825"/>
      <c r="M444" s="686"/>
      <c r="N444" s="686"/>
      <c r="O444" s="825"/>
      <c r="P444" s="686"/>
      <c r="Q444" s="825"/>
      <c r="R444" s="686"/>
      <c r="S444" s="825"/>
      <c r="T444" s="686"/>
      <c r="U444" s="825"/>
      <c r="V444" s="686"/>
      <c r="W444" s="825"/>
      <c r="X444" s="686"/>
      <c r="Y444" s="686"/>
      <c r="Z444" s="703"/>
      <c r="AA444" s="686"/>
      <c r="AB444" s="703"/>
      <c r="AC444" s="686"/>
      <c r="AD444" s="703"/>
      <c r="AE444" s="686"/>
      <c r="AF444" s="703"/>
      <c r="AG444" s="686"/>
      <c r="AH444" s="703"/>
      <c r="AI444" s="686"/>
      <c r="AJ444" s="686"/>
      <c r="AK444" s="703"/>
      <c r="AL444" s="686"/>
      <c r="AM444" s="703"/>
      <c r="AN444" s="686"/>
      <c r="AO444" s="703"/>
      <c r="AP444" s="686"/>
      <c r="AQ444" s="703"/>
      <c r="AR444" s="686"/>
      <c r="AS444" s="703"/>
      <c r="AT444" s="686"/>
      <c r="AU444" s="686"/>
      <c r="AV444" s="703"/>
      <c r="AW444" s="686"/>
      <c r="AX444" s="703"/>
      <c r="AY444" s="686"/>
      <c r="AZ444" s="703"/>
      <c r="BA444" s="686"/>
      <c r="BB444" s="703"/>
      <c r="BC444" s="686"/>
      <c r="BD444" s="703"/>
      <c r="BE444" s="686"/>
    </row>
    <row r="445" spans="4:57" s="44" customFormat="1">
      <c r="D445" s="825"/>
      <c r="E445" s="686"/>
      <c r="F445" s="825"/>
      <c r="G445" s="686"/>
      <c r="H445" s="825"/>
      <c r="I445" s="686"/>
      <c r="J445" s="825"/>
      <c r="K445" s="686"/>
      <c r="L445" s="825"/>
      <c r="M445" s="686"/>
      <c r="N445" s="686"/>
      <c r="O445" s="825"/>
      <c r="P445" s="686"/>
      <c r="Q445" s="825"/>
      <c r="R445" s="686"/>
      <c r="S445" s="825"/>
      <c r="T445" s="686"/>
      <c r="U445" s="825"/>
      <c r="V445" s="686"/>
      <c r="W445" s="825"/>
      <c r="X445" s="686"/>
      <c r="Y445" s="686"/>
      <c r="Z445" s="703"/>
      <c r="AA445" s="686"/>
      <c r="AB445" s="703"/>
      <c r="AC445" s="686"/>
      <c r="AD445" s="703"/>
      <c r="AE445" s="686"/>
      <c r="AF445" s="703"/>
      <c r="AG445" s="686"/>
      <c r="AH445" s="703"/>
      <c r="AI445" s="686"/>
      <c r="AJ445" s="686"/>
      <c r="AK445" s="703"/>
      <c r="AL445" s="686"/>
      <c r="AM445" s="703"/>
      <c r="AN445" s="686"/>
      <c r="AO445" s="703"/>
      <c r="AP445" s="686"/>
      <c r="AQ445" s="703"/>
      <c r="AR445" s="686"/>
      <c r="AS445" s="703"/>
      <c r="AT445" s="686"/>
      <c r="AU445" s="686"/>
      <c r="AV445" s="703"/>
      <c r="AW445" s="686"/>
      <c r="AX445" s="703"/>
      <c r="AY445" s="686"/>
      <c r="AZ445" s="703"/>
      <c r="BA445" s="686"/>
      <c r="BB445" s="703"/>
      <c r="BC445" s="686"/>
      <c r="BD445" s="703"/>
      <c r="BE445" s="686"/>
    </row>
    <row r="446" spans="4:57" s="44" customFormat="1">
      <c r="D446" s="825"/>
      <c r="E446" s="686"/>
      <c r="F446" s="825"/>
      <c r="G446" s="686"/>
      <c r="H446" s="825"/>
      <c r="I446" s="686"/>
      <c r="J446" s="825"/>
      <c r="K446" s="686"/>
      <c r="L446" s="825"/>
      <c r="M446" s="686"/>
      <c r="N446" s="686"/>
      <c r="O446" s="825"/>
      <c r="P446" s="686"/>
      <c r="Q446" s="825"/>
      <c r="R446" s="686"/>
      <c r="S446" s="825"/>
      <c r="T446" s="686"/>
      <c r="U446" s="825"/>
      <c r="V446" s="686"/>
      <c r="W446" s="825"/>
      <c r="X446" s="686"/>
      <c r="Y446" s="686"/>
      <c r="Z446" s="703"/>
      <c r="AA446" s="686"/>
      <c r="AB446" s="703"/>
      <c r="AC446" s="686"/>
      <c r="AD446" s="703"/>
      <c r="AE446" s="686"/>
      <c r="AF446" s="703"/>
      <c r="AG446" s="686"/>
      <c r="AH446" s="703"/>
      <c r="AI446" s="686"/>
      <c r="AJ446" s="686"/>
      <c r="AK446" s="703"/>
      <c r="AL446" s="686"/>
      <c r="AM446" s="703"/>
      <c r="AN446" s="686"/>
      <c r="AO446" s="703"/>
      <c r="AP446" s="686"/>
      <c r="AQ446" s="703"/>
      <c r="AR446" s="686"/>
      <c r="AS446" s="703"/>
      <c r="AT446" s="686"/>
      <c r="AU446" s="686"/>
      <c r="AV446" s="703"/>
      <c r="AW446" s="686"/>
      <c r="AX446" s="703"/>
      <c r="AY446" s="686"/>
      <c r="AZ446" s="703"/>
      <c r="BA446" s="686"/>
      <c r="BB446" s="703"/>
      <c r="BC446" s="686"/>
      <c r="BD446" s="703"/>
      <c r="BE446" s="686"/>
    </row>
    <row r="447" spans="4:57" s="44" customFormat="1">
      <c r="D447" s="825"/>
      <c r="E447" s="686"/>
      <c r="F447" s="825"/>
      <c r="G447" s="686"/>
      <c r="H447" s="825"/>
      <c r="I447" s="686"/>
      <c r="J447" s="825"/>
      <c r="K447" s="686"/>
      <c r="L447" s="825"/>
      <c r="M447" s="686"/>
      <c r="N447" s="686"/>
      <c r="O447" s="825"/>
      <c r="P447" s="686"/>
      <c r="Q447" s="825"/>
      <c r="R447" s="686"/>
      <c r="S447" s="825"/>
      <c r="T447" s="686"/>
      <c r="U447" s="825"/>
      <c r="V447" s="686"/>
      <c r="W447" s="825"/>
      <c r="X447" s="686"/>
      <c r="Y447" s="686"/>
      <c r="Z447" s="703"/>
      <c r="AA447" s="686"/>
      <c r="AB447" s="703"/>
      <c r="AC447" s="686"/>
      <c r="AD447" s="703"/>
      <c r="AE447" s="686"/>
      <c r="AF447" s="703"/>
      <c r="AG447" s="686"/>
      <c r="AH447" s="703"/>
      <c r="AI447" s="686"/>
      <c r="AJ447" s="686"/>
      <c r="AK447" s="703"/>
      <c r="AL447" s="686"/>
      <c r="AM447" s="703"/>
      <c r="AN447" s="686"/>
      <c r="AO447" s="703"/>
      <c r="AP447" s="686"/>
      <c r="AQ447" s="703"/>
      <c r="AR447" s="686"/>
      <c r="AS447" s="703"/>
      <c r="AT447" s="686"/>
      <c r="AU447" s="686"/>
      <c r="AV447" s="703"/>
      <c r="AW447" s="686"/>
      <c r="AX447" s="703"/>
      <c r="AY447" s="686"/>
      <c r="AZ447" s="703"/>
      <c r="BA447" s="686"/>
      <c r="BB447" s="703"/>
      <c r="BC447" s="686"/>
      <c r="BD447" s="703"/>
      <c r="BE447" s="686"/>
    </row>
    <row r="448" spans="4:57" s="44" customFormat="1">
      <c r="D448" s="825"/>
      <c r="E448" s="686"/>
      <c r="F448" s="825"/>
      <c r="G448" s="686"/>
      <c r="H448" s="825"/>
      <c r="I448" s="686"/>
      <c r="J448" s="825"/>
      <c r="K448" s="686"/>
      <c r="L448" s="825"/>
      <c r="M448" s="686"/>
      <c r="N448" s="686"/>
      <c r="O448" s="825"/>
      <c r="P448" s="686"/>
      <c r="Q448" s="825"/>
      <c r="R448" s="686"/>
      <c r="S448" s="825"/>
      <c r="T448" s="686"/>
      <c r="U448" s="825"/>
      <c r="V448" s="686"/>
      <c r="W448" s="825"/>
      <c r="X448" s="686"/>
      <c r="Y448" s="686"/>
      <c r="Z448" s="703"/>
      <c r="AA448" s="686"/>
      <c r="AB448" s="703"/>
      <c r="AC448" s="686"/>
      <c r="AD448" s="703"/>
      <c r="AE448" s="686"/>
      <c r="AF448" s="703"/>
      <c r="AG448" s="686"/>
      <c r="AH448" s="703"/>
      <c r="AI448" s="686"/>
      <c r="AJ448" s="686"/>
      <c r="AK448" s="703"/>
      <c r="AL448" s="686"/>
      <c r="AM448" s="703"/>
      <c r="AN448" s="686"/>
      <c r="AO448" s="703"/>
      <c r="AP448" s="686"/>
      <c r="AQ448" s="703"/>
      <c r="AR448" s="686"/>
      <c r="AS448" s="703"/>
      <c r="AT448" s="686"/>
      <c r="AU448" s="686"/>
      <c r="AV448" s="703"/>
      <c r="AW448" s="686"/>
      <c r="AX448" s="703"/>
      <c r="AY448" s="686"/>
      <c r="AZ448" s="703"/>
      <c r="BA448" s="686"/>
      <c r="BB448" s="703"/>
      <c r="BC448" s="686"/>
      <c r="BD448" s="703"/>
      <c r="BE448" s="686"/>
    </row>
    <row r="449" spans="4:57" s="44" customFormat="1">
      <c r="D449" s="825"/>
      <c r="E449" s="686"/>
      <c r="F449" s="825"/>
      <c r="G449" s="686"/>
      <c r="H449" s="825"/>
      <c r="I449" s="686"/>
      <c r="J449" s="825"/>
      <c r="K449" s="686"/>
      <c r="L449" s="825"/>
      <c r="M449" s="686"/>
      <c r="N449" s="686"/>
      <c r="O449" s="825"/>
      <c r="P449" s="686"/>
      <c r="Q449" s="825"/>
      <c r="R449" s="686"/>
      <c r="S449" s="825"/>
      <c r="T449" s="686"/>
      <c r="U449" s="825"/>
      <c r="V449" s="686"/>
      <c r="W449" s="825"/>
      <c r="X449" s="686"/>
      <c r="Y449" s="686"/>
      <c r="Z449" s="703"/>
      <c r="AA449" s="686"/>
      <c r="AB449" s="703"/>
      <c r="AC449" s="686"/>
      <c r="AD449" s="703"/>
      <c r="AE449" s="686"/>
      <c r="AF449" s="703"/>
      <c r="AG449" s="686"/>
      <c r="AH449" s="703"/>
      <c r="AI449" s="686"/>
      <c r="AJ449" s="686"/>
      <c r="AK449" s="703"/>
      <c r="AL449" s="686"/>
      <c r="AM449" s="703"/>
      <c r="AN449" s="686"/>
      <c r="AO449" s="703"/>
      <c r="AP449" s="686"/>
      <c r="AQ449" s="703"/>
      <c r="AR449" s="686"/>
      <c r="AS449" s="703"/>
      <c r="AT449" s="686"/>
      <c r="AU449" s="686"/>
      <c r="AV449" s="703"/>
      <c r="AW449" s="686"/>
      <c r="AX449" s="703"/>
      <c r="AY449" s="686"/>
      <c r="AZ449" s="703"/>
      <c r="BA449" s="686"/>
      <c r="BB449" s="703"/>
      <c r="BC449" s="686"/>
      <c r="BD449" s="703"/>
      <c r="BE449" s="686"/>
    </row>
    <row r="450" spans="4:57" s="44" customFormat="1">
      <c r="D450" s="825"/>
      <c r="E450" s="686"/>
      <c r="F450" s="825"/>
      <c r="G450" s="686"/>
      <c r="H450" s="825"/>
      <c r="I450" s="686"/>
      <c r="J450" s="825"/>
      <c r="K450" s="686"/>
      <c r="L450" s="825"/>
      <c r="M450" s="686"/>
      <c r="N450" s="686"/>
      <c r="O450" s="825"/>
      <c r="P450" s="686"/>
      <c r="Q450" s="825"/>
      <c r="R450" s="686"/>
      <c r="S450" s="825"/>
      <c r="T450" s="686"/>
      <c r="U450" s="825"/>
      <c r="V450" s="686"/>
      <c r="W450" s="825"/>
      <c r="X450" s="686"/>
      <c r="Y450" s="686"/>
      <c r="Z450" s="703"/>
      <c r="AA450" s="686"/>
      <c r="AB450" s="703"/>
      <c r="AC450" s="686"/>
      <c r="AD450" s="703"/>
      <c r="AE450" s="686"/>
      <c r="AF450" s="703"/>
      <c r="AG450" s="686"/>
      <c r="AH450" s="703"/>
      <c r="AI450" s="686"/>
      <c r="AJ450" s="686"/>
      <c r="AK450" s="703"/>
      <c r="AL450" s="686"/>
      <c r="AM450" s="703"/>
      <c r="AN450" s="686"/>
      <c r="AO450" s="703"/>
      <c r="AP450" s="686"/>
      <c r="AQ450" s="703"/>
      <c r="AR450" s="686"/>
      <c r="AS450" s="703"/>
      <c r="AT450" s="686"/>
      <c r="AU450" s="686"/>
      <c r="AV450" s="703"/>
      <c r="AW450" s="686"/>
      <c r="AX450" s="703"/>
      <c r="AY450" s="686"/>
      <c r="AZ450" s="703"/>
      <c r="BA450" s="686"/>
      <c r="BB450" s="703"/>
      <c r="BC450" s="686"/>
      <c r="BD450" s="703"/>
      <c r="BE450" s="686"/>
    </row>
    <row r="451" spans="4:57" s="44" customFormat="1">
      <c r="D451" s="825"/>
      <c r="E451" s="686"/>
      <c r="F451" s="825"/>
      <c r="G451" s="686"/>
      <c r="H451" s="825"/>
      <c r="I451" s="686"/>
      <c r="J451" s="825"/>
      <c r="K451" s="686"/>
      <c r="L451" s="825"/>
      <c r="M451" s="686"/>
      <c r="N451" s="686"/>
      <c r="O451" s="825"/>
      <c r="P451" s="686"/>
      <c r="Q451" s="825"/>
      <c r="R451" s="686"/>
      <c r="S451" s="825"/>
      <c r="T451" s="686"/>
      <c r="U451" s="825"/>
      <c r="V451" s="686"/>
      <c r="W451" s="825"/>
      <c r="X451" s="686"/>
      <c r="Y451" s="686"/>
      <c r="Z451" s="703"/>
      <c r="AA451" s="686"/>
      <c r="AB451" s="703"/>
      <c r="AC451" s="686"/>
      <c r="AD451" s="703"/>
      <c r="AE451" s="686"/>
      <c r="AF451" s="703"/>
      <c r="AG451" s="686"/>
      <c r="AH451" s="703"/>
      <c r="AI451" s="686"/>
      <c r="AJ451" s="686"/>
      <c r="AK451" s="703"/>
      <c r="AL451" s="686"/>
      <c r="AM451" s="703"/>
      <c r="AN451" s="686"/>
      <c r="AO451" s="703"/>
      <c r="AP451" s="686"/>
      <c r="AQ451" s="703"/>
      <c r="AR451" s="686"/>
      <c r="AS451" s="703"/>
      <c r="AT451" s="686"/>
      <c r="AU451" s="686"/>
      <c r="AV451" s="703"/>
      <c r="AW451" s="686"/>
      <c r="AX451" s="703"/>
      <c r="AY451" s="686"/>
      <c r="AZ451" s="703"/>
      <c r="BA451" s="686"/>
      <c r="BB451" s="703"/>
      <c r="BC451" s="686"/>
      <c r="BD451" s="703"/>
      <c r="BE451" s="686"/>
    </row>
    <row r="452" spans="4:57" s="44" customFormat="1">
      <c r="D452" s="825"/>
      <c r="E452" s="686"/>
      <c r="F452" s="825"/>
      <c r="G452" s="686"/>
      <c r="H452" s="825"/>
      <c r="I452" s="686"/>
      <c r="J452" s="825"/>
      <c r="K452" s="686"/>
      <c r="L452" s="825"/>
      <c r="M452" s="686"/>
      <c r="N452" s="686"/>
      <c r="O452" s="825"/>
      <c r="P452" s="686"/>
      <c r="Q452" s="825"/>
      <c r="R452" s="686"/>
      <c r="S452" s="825"/>
      <c r="T452" s="686"/>
      <c r="U452" s="825"/>
      <c r="V452" s="686"/>
      <c r="W452" s="825"/>
      <c r="X452" s="686"/>
      <c r="Y452" s="686"/>
      <c r="Z452" s="703"/>
      <c r="AA452" s="686"/>
      <c r="AB452" s="703"/>
      <c r="AC452" s="686"/>
      <c r="AD452" s="703"/>
      <c r="AE452" s="686"/>
      <c r="AF452" s="703"/>
      <c r="AG452" s="686"/>
      <c r="AH452" s="703"/>
      <c r="AI452" s="686"/>
      <c r="AJ452" s="686"/>
      <c r="AK452" s="703"/>
      <c r="AL452" s="686"/>
      <c r="AM452" s="703"/>
      <c r="AN452" s="686"/>
      <c r="AO452" s="703"/>
      <c r="AP452" s="686"/>
      <c r="AQ452" s="703"/>
      <c r="AR452" s="686"/>
      <c r="AS452" s="703"/>
      <c r="AT452" s="686"/>
      <c r="AU452" s="686"/>
      <c r="AV452" s="703"/>
      <c r="AW452" s="686"/>
      <c r="AX452" s="703"/>
      <c r="AY452" s="686"/>
      <c r="AZ452" s="703"/>
      <c r="BA452" s="686"/>
      <c r="BB452" s="703"/>
      <c r="BC452" s="686"/>
      <c r="BD452" s="703"/>
      <c r="BE452" s="686"/>
    </row>
    <row r="453" spans="4:57" s="44" customFormat="1">
      <c r="D453" s="825"/>
      <c r="E453" s="686"/>
      <c r="F453" s="825"/>
      <c r="G453" s="686"/>
      <c r="H453" s="825"/>
      <c r="I453" s="686"/>
      <c r="J453" s="825"/>
      <c r="K453" s="686"/>
      <c r="L453" s="825"/>
      <c r="M453" s="686"/>
      <c r="N453" s="686"/>
      <c r="O453" s="825"/>
      <c r="P453" s="686"/>
      <c r="Q453" s="825"/>
      <c r="R453" s="686"/>
      <c r="S453" s="825"/>
      <c r="T453" s="686"/>
      <c r="U453" s="825"/>
      <c r="V453" s="686"/>
      <c r="W453" s="825"/>
      <c r="X453" s="686"/>
      <c r="Y453" s="686"/>
      <c r="Z453" s="703"/>
      <c r="AA453" s="686"/>
      <c r="AB453" s="703"/>
      <c r="AC453" s="686"/>
      <c r="AD453" s="703"/>
      <c r="AE453" s="686"/>
      <c r="AF453" s="703"/>
      <c r="AG453" s="686"/>
      <c r="AH453" s="703"/>
      <c r="AI453" s="686"/>
      <c r="AJ453" s="686"/>
      <c r="AK453" s="703"/>
      <c r="AL453" s="686"/>
      <c r="AM453" s="703"/>
      <c r="AN453" s="686"/>
      <c r="AO453" s="703"/>
      <c r="AP453" s="686"/>
      <c r="AQ453" s="703"/>
      <c r="AR453" s="686"/>
      <c r="AS453" s="703"/>
      <c r="AT453" s="686"/>
      <c r="AU453" s="686"/>
      <c r="AV453" s="703"/>
      <c r="AW453" s="686"/>
      <c r="AX453" s="703"/>
      <c r="AY453" s="686"/>
      <c r="AZ453" s="703"/>
      <c r="BA453" s="686"/>
      <c r="BB453" s="703"/>
      <c r="BC453" s="686"/>
      <c r="BD453" s="703"/>
      <c r="BE453" s="686"/>
    </row>
    <row r="454" spans="4:57" s="44" customFormat="1">
      <c r="D454" s="825"/>
      <c r="E454" s="686"/>
      <c r="F454" s="825"/>
      <c r="G454" s="686"/>
      <c r="H454" s="825"/>
      <c r="I454" s="686"/>
      <c r="J454" s="825"/>
      <c r="K454" s="686"/>
      <c r="L454" s="825"/>
      <c r="M454" s="686"/>
      <c r="N454" s="686"/>
      <c r="O454" s="825"/>
      <c r="P454" s="686"/>
      <c r="Q454" s="825"/>
      <c r="R454" s="686"/>
      <c r="S454" s="825"/>
      <c r="T454" s="686"/>
      <c r="U454" s="825"/>
      <c r="V454" s="686"/>
      <c r="W454" s="825"/>
      <c r="X454" s="686"/>
      <c r="Y454" s="686"/>
      <c r="Z454" s="703"/>
      <c r="AA454" s="686"/>
      <c r="AB454" s="703"/>
      <c r="AC454" s="686"/>
      <c r="AD454" s="703"/>
      <c r="AE454" s="686"/>
      <c r="AF454" s="703"/>
      <c r="AG454" s="686"/>
      <c r="AH454" s="703"/>
      <c r="AI454" s="686"/>
      <c r="AJ454" s="686"/>
      <c r="AK454" s="703"/>
      <c r="AL454" s="686"/>
      <c r="AM454" s="703"/>
      <c r="AN454" s="686"/>
      <c r="AO454" s="703"/>
      <c r="AP454" s="686"/>
      <c r="AQ454" s="703"/>
      <c r="AR454" s="686"/>
      <c r="AS454" s="703"/>
      <c r="AT454" s="686"/>
      <c r="AU454" s="686"/>
      <c r="AV454" s="703"/>
      <c r="AW454" s="686"/>
      <c r="AX454" s="703"/>
      <c r="AY454" s="686"/>
      <c r="AZ454" s="703"/>
      <c r="BA454" s="686"/>
      <c r="BB454" s="703"/>
      <c r="BC454" s="686"/>
      <c r="BD454" s="703"/>
      <c r="BE454" s="686"/>
    </row>
    <row r="455" spans="4:57" s="44" customFormat="1">
      <c r="D455" s="825"/>
      <c r="E455" s="686"/>
      <c r="F455" s="825"/>
      <c r="G455" s="686"/>
      <c r="H455" s="825"/>
      <c r="I455" s="686"/>
      <c r="J455" s="825"/>
      <c r="K455" s="686"/>
      <c r="L455" s="825"/>
      <c r="M455" s="686"/>
      <c r="N455" s="686"/>
      <c r="O455" s="825"/>
      <c r="P455" s="686"/>
      <c r="Q455" s="825"/>
      <c r="R455" s="686"/>
      <c r="S455" s="825"/>
      <c r="T455" s="686"/>
      <c r="U455" s="825"/>
      <c r="V455" s="686"/>
      <c r="W455" s="825"/>
      <c r="X455" s="686"/>
      <c r="Y455" s="686"/>
      <c r="Z455" s="703"/>
      <c r="AA455" s="686"/>
      <c r="AB455" s="703"/>
      <c r="AC455" s="686"/>
      <c r="AD455" s="703"/>
      <c r="AE455" s="686"/>
      <c r="AF455" s="703"/>
      <c r="AG455" s="686"/>
      <c r="AH455" s="703"/>
      <c r="AI455" s="686"/>
      <c r="AJ455" s="686"/>
      <c r="AK455" s="703"/>
      <c r="AL455" s="686"/>
      <c r="AM455" s="703"/>
      <c r="AN455" s="686"/>
      <c r="AO455" s="703"/>
      <c r="AP455" s="686"/>
      <c r="AQ455" s="703"/>
      <c r="AR455" s="686"/>
      <c r="AS455" s="703"/>
      <c r="AT455" s="686"/>
      <c r="AU455" s="686"/>
      <c r="AV455" s="703"/>
      <c r="AW455" s="686"/>
      <c r="AX455" s="703"/>
      <c r="AY455" s="686"/>
      <c r="AZ455" s="703"/>
      <c r="BA455" s="686"/>
      <c r="BB455" s="703"/>
      <c r="BC455" s="686"/>
      <c r="BD455" s="703"/>
      <c r="BE455" s="686"/>
    </row>
    <row r="456" spans="4:57" s="44" customFormat="1">
      <c r="D456" s="825"/>
      <c r="E456" s="686"/>
      <c r="F456" s="825"/>
      <c r="G456" s="686"/>
      <c r="H456" s="825"/>
      <c r="I456" s="686"/>
      <c r="J456" s="825"/>
      <c r="K456" s="686"/>
      <c r="L456" s="825"/>
      <c r="M456" s="686"/>
      <c r="N456" s="686"/>
      <c r="O456" s="825"/>
      <c r="P456" s="686"/>
      <c r="Q456" s="825"/>
      <c r="R456" s="686"/>
      <c r="S456" s="825"/>
      <c r="T456" s="686"/>
      <c r="U456" s="825"/>
      <c r="V456" s="686"/>
      <c r="W456" s="825"/>
      <c r="X456" s="686"/>
      <c r="Y456" s="686"/>
      <c r="Z456" s="703"/>
      <c r="AA456" s="686"/>
      <c r="AB456" s="703"/>
      <c r="AC456" s="686"/>
      <c r="AD456" s="703"/>
      <c r="AE456" s="686"/>
      <c r="AF456" s="703"/>
      <c r="AG456" s="686"/>
      <c r="AH456" s="703"/>
      <c r="AI456" s="686"/>
      <c r="AJ456" s="686"/>
      <c r="AK456" s="703"/>
      <c r="AL456" s="686"/>
      <c r="AM456" s="703"/>
      <c r="AN456" s="686"/>
      <c r="AO456" s="703"/>
      <c r="AP456" s="686"/>
      <c r="AQ456" s="703"/>
      <c r="AR456" s="686"/>
      <c r="AS456" s="703"/>
      <c r="AT456" s="686"/>
      <c r="AU456" s="686"/>
      <c r="AV456" s="703"/>
      <c r="AW456" s="686"/>
      <c r="AX456" s="703"/>
      <c r="AY456" s="686"/>
      <c r="AZ456" s="703"/>
      <c r="BA456" s="686"/>
      <c r="BB456" s="703"/>
      <c r="BC456" s="686"/>
      <c r="BD456" s="703"/>
      <c r="BE456" s="686"/>
    </row>
    <row r="457" spans="4:57" s="44" customFormat="1">
      <c r="D457" s="825"/>
      <c r="E457" s="686"/>
      <c r="F457" s="825"/>
      <c r="G457" s="686"/>
      <c r="H457" s="825"/>
      <c r="I457" s="686"/>
      <c r="J457" s="825"/>
      <c r="K457" s="686"/>
      <c r="L457" s="825"/>
      <c r="M457" s="686"/>
      <c r="N457" s="686"/>
      <c r="O457" s="825"/>
      <c r="P457" s="686"/>
      <c r="Q457" s="825"/>
      <c r="R457" s="686"/>
      <c r="S457" s="825"/>
      <c r="T457" s="686"/>
      <c r="U457" s="825"/>
      <c r="V457" s="686"/>
      <c r="W457" s="825"/>
      <c r="X457" s="686"/>
      <c r="Y457" s="686"/>
      <c r="Z457" s="703"/>
      <c r="AA457" s="686"/>
      <c r="AB457" s="703"/>
      <c r="AC457" s="686"/>
      <c r="AD457" s="703"/>
      <c r="AE457" s="686"/>
      <c r="AF457" s="703"/>
      <c r="AG457" s="686"/>
      <c r="AH457" s="703"/>
      <c r="AI457" s="686"/>
      <c r="AJ457" s="686"/>
      <c r="AK457" s="703"/>
      <c r="AL457" s="686"/>
      <c r="AM457" s="703"/>
      <c r="AN457" s="686"/>
      <c r="AO457" s="703"/>
      <c r="AP457" s="686"/>
      <c r="AQ457" s="703"/>
      <c r="AR457" s="686"/>
      <c r="AS457" s="703"/>
      <c r="AT457" s="686"/>
      <c r="AU457" s="686"/>
      <c r="AV457" s="703"/>
      <c r="AW457" s="686"/>
      <c r="AX457" s="703"/>
      <c r="AY457" s="686"/>
      <c r="AZ457" s="703"/>
      <c r="BA457" s="686"/>
      <c r="BB457" s="703"/>
      <c r="BC457" s="686"/>
      <c r="BD457" s="703"/>
      <c r="BE457" s="686"/>
    </row>
    <row r="458" spans="4:57" s="44" customFormat="1">
      <c r="D458" s="825"/>
      <c r="E458" s="686"/>
      <c r="F458" s="825"/>
      <c r="G458" s="686"/>
      <c r="H458" s="825"/>
      <c r="I458" s="686"/>
      <c r="J458" s="825"/>
      <c r="K458" s="686"/>
      <c r="L458" s="825"/>
      <c r="M458" s="686"/>
      <c r="N458" s="686"/>
      <c r="O458" s="825"/>
      <c r="P458" s="686"/>
      <c r="Q458" s="825"/>
      <c r="R458" s="686"/>
      <c r="S458" s="825"/>
      <c r="T458" s="686"/>
      <c r="U458" s="825"/>
      <c r="V458" s="686"/>
      <c r="W458" s="825"/>
      <c r="X458" s="686"/>
      <c r="Y458" s="686"/>
      <c r="Z458" s="703"/>
      <c r="AA458" s="686"/>
      <c r="AB458" s="703"/>
      <c r="AC458" s="686"/>
      <c r="AD458" s="703"/>
      <c r="AE458" s="686"/>
      <c r="AF458" s="703"/>
      <c r="AG458" s="686"/>
      <c r="AH458" s="703"/>
      <c r="AI458" s="686"/>
      <c r="AJ458" s="686"/>
      <c r="AK458" s="703"/>
      <c r="AL458" s="686"/>
      <c r="AM458" s="703"/>
      <c r="AN458" s="686"/>
      <c r="AO458" s="703"/>
      <c r="AP458" s="686"/>
      <c r="AQ458" s="703"/>
      <c r="AR458" s="686"/>
      <c r="AS458" s="703"/>
      <c r="AT458" s="686"/>
      <c r="AU458" s="686"/>
      <c r="AV458" s="703"/>
      <c r="AW458" s="686"/>
      <c r="AX458" s="703"/>
      <c r="AY458" s="686"/>
      <c r="AZ458" s="703"/>
      <c r="BA458" s="686"/>
      <c r="BB458" s="703"/>
      <c r="BC458" s="686"/>
      <c r="BD458" s="703"/>
      <c r="BE458" s="686"/>
    </row>
    <row r="459" spans="4:57" s="44" customFormat="1">
      <c r="D459" s="825"/>
      <c r="E459" s="686"/>
      <c r="F459" s="825"/>
      <c r="G459" s="686"/>
      <c r="H459" s="825"/>
      <c r="I459" s="686"/>
      <c r="J459" s="825"/>
      <c r="K459" s="686"/>
      <c r="L459" s="825"/>
      <c r="M459" s="686"/>
      <c r="N459" s="686"/>
      <c r="O459" s="825"/>
      <c r="P459" s="686"/>
      <c r="Q459" s="825"/>
      <c r="R459" s="686"/>
      <c r="S459" s="825"/>
      <c r="T459" s="686"/>
      <c r="U459" s="825"/>
      <c r="V459" s="686"/>
      <c r="W459" s="825"/>
      <c r="X459" s="686"/>
      <c r="Y459" s="686"/>
      <c r="Z459" s="703"/>
      <c r="AA459" s="686"/>
      <c r="AB459" s="703"/>
      <c r="AC459" s="686"/>
      <c r="AD459" s="703"/>
      <c r="AE459" s="686"/>
      <c r="AF459" s="703"/>
      <c r="AG459" s="686"/>
      <c r="AH459" s="703"/>
      <c r="AI459" s="686"/>
      <c r="AJ459" s="686"/>
      <c r="AK459" s="703"/>
      <c r="AL459" s="686"/>
      <c r="AM459" s="703"/>
      <c r="AN459" s="686"/>
      <c r="AO459" s="703"/>
      <c r="AP459" s="686"/>
      <c r="AQ459" s="703"/>
      <c r="AR459" s="686"/>
      <c r="AS459" s="703"/>
      <c r="AT459" s="686"/>
      <c r="AU459" s="686"/>
      <c r="AV459" s="703"/>
      <c r="AW459" s="686"/>
      <c r="AX459" s="703"/>
      <c r="AY459" s="686"/>
      <c r="AZ459" s="703"/>
      <c r="BA459" s="686"/>
      <c r="BB459" s="703"/>
      <c r="BC459" s="686"/>
      <c r="BD459" s="703"/>
      <c r="BE459" s="686"/>
    </row>
    <row r="460" spans="4:57" s="44" customFormat="1">
      <c r="D460" s="825"/>
      <c r="E460" s="686"/>
      <c r="F460" s="825"/>
      <c r="G460" s="686"/>
      <c r="H460" s="825"/>
      <c r="I460" s="686"/>
      <c r="J460" s="825"/>
      <c r="K460" s="686"/>
      <c r="L460" s="825"/>
      <c r="M460" s="686"/>
      <c r="N460" s="686"/>
      <c r="O460" s="825"/>
      <c r="P460" s="686"/>
      <c r="Q460" s="825"/>
      <c r="R460" s="686"/>
      <c r="S460" s="825"/>
      <c r="T460" s="686"/>
      <c r="U460" s="825"/>
      <c r="V460" s="686"/>
      <c r="W460" s="825"/>
      <c r="X460" s="686"/>
      <c r="Y460" s="686"/>
      <c r="Z460" s="703"/>
      <c r="AA460" s="686"/>
      <c r="AB460" s="703"/>
      <c r="AC460" s="686"/>
      <c r="AD460" s="703"/>
      <c r="AE460" s="686"/>
      <c r="AF460" s="703"/>
      <c r="AG460" s="686"/>
      <c r="AH460" s="703"/>
      <c r="AI460" s="686"/>
      <c r="AJ460" s="686"/>
      <c r="AK460" s="703"/>
      <c r="AL460" s="686"/>
      <c r="AM460" s="703"/>
      <c r="AN460" s="686"/>
      <c r="AO460" s="703"/>
      <c r="AP460" s="686"/>
      <c r="AQ460" s="703"/>
      <c r="AR460" s="686"/>
      <c r="AS460" s="703"/>
      <c r="AT460" s="686"/>
      <c r="AU460" s="686"/>
      <c r="AV460" s="703"/>
      <c r="AW460" s="686"/>
      <c r="AX460" s="703"/>
      <c r="AY460" s="686"/>
      <c r="AZ460" s="703"/>
      <c r="BA460" s="686"/>
      <c r="BB460" s="703"/>
      <c r="BC460" s="686"/>
      <c r="BD460" s="703"/>
      <c r="BE460" s="686"/>
    </row>
    <row r="461" spans="4:57" s="44" customFormat="1">
      <c r="D461" s="825"/>
      <c r="E461" s="686"/>
      <c r="F461" s="825"/>
      <c r="G461" s="686"/>
      <c r="H461" s="825"/>
      <c r="I461" s="686"/>
      <c r="J461" s="825"/>
      <c r="K461" s="686"/>
      <c r="L461" s="825"/>
      <c r="M461" s="686"/>
      <c r="N461" s="686"/>
      <c r="O461" s="825"/>
      <c r="P461" s="686"/>
      <c r="Q461" s="825"/>
      <c r="R461" s="686"/>
      <c r="S461" s="825"/>
      <c r="T461" s="686"/>
      <c r="U461" s="825"/>
      <c r="V461" s="686"/>
      <c r="W461" s="825"/>
      <c r="X461" s="686"/>
      <c r="Y461" s="686"/>
      <c r="Z461" s="703"/>
      <c r="AA461" s="686"/>
      <c r="AB461" s="703"/>
      <c r="AC461" s="686"/>
      <c r="AD461" s="703"/>
      <c r="AE461" s="686"/>
      <c r="AF461" s="703"/>
      <c r="AG461" s="686"/>
      <c r="AH461" s="703"/>
      <c r="AI461" s="686"/>
      <c r="AJ461" s="686"/>
      <c r="AK461" s="703"/>
      <c r="AL461" s="686"/>
      <c r="AM461" s="703"/>
      <c r="AN461" s="686"/>
      <c r="AO461" s="703"/>
      <c r="AP461" s="686"/>
      <c r="AQ461" s="703"/>
      <c r="AR461" s="686"/>
      <c r="AS461" s="703"/>
      <c r="AT461" s="686"/>
      <c r="AU461" s="686"/>
      <c r="AV461" s="703"/>
      <c r="AW461" s="686"/>
      <c r="AX461" s="703"/>
      <c r="AY461" s="686"/>
      <c r="AZ461" s="703"/>
      <c r="BA461" s="686"/>
      <c r="BB461" s="703"/>
      <c r="BC461" s="686"/>
      <c r="BD461" s="703"/>
      <c r="BE461" s="686"/>
    </row>
    <row r="462" spans="4:57" s="44" customFormat="1">
      <c r="D462" s="825"/>
      <c r="E462" s="686"/>
      <c r="F462" s="825"/>
      <c r="G462" s="686"/>
      <c r="H462" s="825"/>
      <c r="I462" s="686"/>
      <c r="J462" s="825"/>
      <c r="K462" s="686"/>
      <c r="L462" s="825"/>
      <c r="M462" s="686"/>
      <c r="N462" s="686"/>
      <c r="O462" s="825"/>
      <c r="P462" s="686"/>
      <c r="Q462" s="825"/>
      <c r="R462" s="686"/>
      <c r="S462" s="825"/>
      <c r="T462" s="686"/>
      <c r="U462" s="825"/>
      <c r="V462" s="686"/>
      <c r="W462" s="825"/>
      <c r="X462" s="686"/>
      <c r="Y462" s="686"/>
      <c r="Z462" s="703"/>
      <c r="AA462" s="686"/>
      <c r="AB462" s="703"/>
      <c r="AC462" s="686"/>
      <c r="AD462" s="703"/>
      <c r="AE462" s="686"/>
      <c r="AF462" s="703"/>
      <c r="AG462" s="686"/>
      <c r="AH462" s="703"/>
      <c r="AI462" s="686"/>
      <c r="AJ462" s="686"/>
      <c r="AK462" s="703"/>
      <c r="AL462" s="686"/>
      <c r="AM462" s="703"/>
      <c r="AN462" s="686"/>
      <c r="AO462" s="703"/>
      <c r="AP462" s="686"/>
      <c r="AQ462" s="703"/>
      <c r="AR462" s="686"/>
      <c r="AS462" s="703"/>
      <c r="AT462" s="686"/>
      <c r="AU462" s="686"/>
      <c r="AV462" s="703"/>
      <c r="AW462" s="686"/>
      <c r="AX462" s="703"/>
      <c r="AY462" s="686"/>
      <c r="AZ462" s="703"/>
      <c r="BA462" s="686"/>
      <c r="BB462" s="703"/>
      <c r="BC462" s="686"/>
      <c r="BD462" s="703"/>
      <c r="BE462" s="686"/>
    </row>
    <row r="463" spans="4:57" s="44" customFormat="1">
      <c r="D463" s="825"/>
      <c r="E463" s="686"/>
      <c r="F463" s="825"/>
      <c r="G463" s="686"/>
      <c r="H463" s="825"/>
      <c r="I463" s="686"/>
      <c r="J463" s="825"/>
      <c r="K463" s="686"/>
      <c r="L463" s="825"/>
      <c r="M463" s="686"/>
      <c r="N463" s="686"/>
      <c r="O463" s="825"/>
      <c r="P463" s="686"/>
      <c r="Q463" s="825"/>
      <c r="R463" s="686"/>
      <c r="S463" s="825"/>
      <c r="T463" s="686"/>
      <c r="U463" s="825"/>
      <c r="V463" s="686"/>
      <c r="W463" s="825"/>
      <c r="X463" s="686"/>
      <c r="Y463" s="686"/>
      <c r="Z463" s="703"/>
      <c r="AA463" s="686"/>
      <c r="AB463" s="703"/>
      <c r="AC463" s="686"/>
      <c r="AD463" s="703"/>
      <c r="AE463" s="686"/>
      <c r="AF463" s="703"/>
      <c r="AG463" s="686"/>
      <c r="AH463" s="703"/>
      <c r="AI463" s="686"/>
      <c r="AJ463" s="686"/>
      <c r="AK463" s="703"/>
      <c r="AL463" s="686"/>
      <c r="AM463" s="703"/>
      <c r="AN463" s="686"/>
      <c r="AO463" s="703"/>
      <c r="AP463" s="686"/>
      <c r="AQ463" s="703"/>
      <c r="AR463" s="686"/>
      <c r="AS463" s="703"/>
      <c r="AT463" s="686"/>
      <c r="AU463" s="686"/>
      <c r="AV463" s="703"/>
      <c r="AW463" s="686"/>
      <c r="AX463" s="703"/>
      <c r="AY463" s="686"/>
      <c r="AZ463" s="703"/>
      <c r="BA463" s="686"/>
      <c r="BB463" s="703"/>
      <c r="BC463" s="686"/>
      <c r="BD463" s="703"/>
      <c r="BE463" s="686"/>
    </row>
    <row r="464" spans="4:57" s="44" customFormat="1">
      <c r="D464" s="825"/>
      <c r="E464" s="686"/>
      <c r="F464" s="825"/>
      <c r="G464" s="686"/>
      <c r="H464" s="825"/>
      <c r="I464" s="686"/>
      <c r="J464" s="825"/>
      <c r="K464" s="686"/>
      <c r="L464" s="825"/>
      <c r="M464" s="686"/>
      <c r="N464" s="686"/>
      <c r="O464" s="825"/>
      <c r="P464" s="686"/>
      <c r="Q464" s="825"/>
      <c r="R464" s="686"/>
      <c r="S464" s="825"/>
      <c r="T464" s="686"/>
      <c r="U464" s="825"/>
      <c r="V464" s="686"/>
      <c r="W464" s="825"/>
      <c r="X464" s="686"/>
      <c r="Y464" s="686"/>
      <c r="Z464" s="703"/>
      <c r="AA464" s="686"/>
      <c r="AB464" s="703"/>
      <c r="AC464" s="686"/>
      <c r="AD464" s="703"/>
      <c r="AE464" s="686"/>
      <c r="AF464" s="703"/>
      <c r="AG464" s="686"/>
      <c r="AH464" s="703"/>
      <c r="AI464" s="686"/>
      <c r="AJ464" s="686"/>
      <c r="AK464" s="703"/>
      <c r="AL464" s="686"/>
      <c r="AM464" s="703"/>
      <c r="AN464" s="686"/>
      <c r="AO464" s="703"/>
      <c r="AP464" s="686"/>
      <c r="AQ464" s="703"/>
      <c r="AR464" s="686"/>
      <c r="AS464" s="703"/>
      <c r="AT464" s="686"/>
      <c r="AU464" s="686"/>
      <c r="AV464" s="703"/>
      <c r="AW464" s="686"/>
      <c r="AX464" s="703"/>
      <c r="AY464" s="686"/>
      <c r="AZ464" s="703"/>
      <c r="BA464" s="686"/>
      <c r="BB464" s="703"/>
      <c r="BC464" s="686"/>
      <c r="BD464" s="703"/>
      <c r="BE464" s="686"/>
    </row>
    <row r="465" spans="4:57" s="44" customFormat="1">
      <c r="D465" s="825"/>
      <c r="E465" s="686"/>
      <c r="F465" s="825"/>
      <c r="G465" s="686"/>
      <c r="H465" s="825"/>
      <c r="I465" s="686"/>
      <c r="J465" s="825"/>
      <c r="K465" s="686"/>
      <c r="L465" s="825"/>
      <c r="M465" s="686"/>
      <c r="N465" s="686"/>
      <c r="O465" s="825"/>
      <c r="P465" s="686"/>
      <c r="Q465" s="825"/>
      <c r="R465" s="686"/>
      <c r="S465" s="825"/>
      <c r="T465" s="686"/>
      <c r="U465" s="825"/>
      <c r="V465" s="686"/>
      <c r="W465" s="825"/>
      <c r="X465" s="686"/>
      <c r="Y465" s="686"/>
      <c r="Z465" s="703"/>
      <c r="AA465" s="686"/>
      <c r="AB465" s="703"/>
      <c r="AC465" s="686"/>
      <c r="AD465" s="703"/>
      <c r="AE465" s="686"/>
      <c r="AF465" s="703"/>
      <c r="AG465" s="686"/>
      <c r="AH465" s="703"/>
      <c r="AI465" s="686"/>
      <c r="AJ465" s="686"/>
      <c r="AK465" s="703"/>
      <c r="AL465" s="686"/>
      <c r="AM465" s="703"/>
      <c r="AN465" s="686"/>
      <c r="AO465" s="703"/>
      <c r="AP465" s="686"/>
      <c r="AQ465" s="703"/>
      <c r="AR465" s="686"/>
      <c r="AS465" s="703"/>
      <c r="AT465" s="686"/>
      <c r="AU465" s="686"/>
      <c r="AV465" s="703"/>
      <c r="AW465" s="686"/>
      <c r="AX465" s="703"/>
      <c r="AY465" s="686"/>
      <c r="AZ465" s="703"/>
      <c r="BA465" s="686"/>
      <c r="BB465" s="703"/>
      <c r="BC465" s="686"/>
      <c r="BD465" s="703"/>
      <c r="BE465" s="686"/>
    </row>
    <row r="466" spans="4:57" s="44" customFormat="1">
      <c r="D466" s="825"/>
      <c r="E466" s="686"/>
      <c r="F466" s="825"/>
      <c r="G466" s="686"/>
      <c r="H466" s="825"/>
      <c r="I466" s="686"/>
      <c r="J466" s="825"/>
      <c r="K466" s="686"/>
      <c r="L466" s="825"/>
      <c r="M466" s="686"/>
      <c r="N466" s="686"/>
      <c r="O466" s="825"/>
      <c r="P466" s="686"/>
      <c r="Q466" s="825"/>
      <c r="R466" s="686"/>
      <c r="S466" s="825"/>
      <c r="T466" s="686"/>
      <c r="U466" s="825"/>
      <c r="V466" s="686"/>
      <c r="W466" s="825"/>
      <c r="X466" s="686"/>
      <c r="Y466" s="686"/>
      <c r="Z466" s="703"/>
      <c r="AA466" s="686"/>
      <c r="AB466" s="703"/>
      <c r="AC466" s="686"/>
      <c r="AD466" s="703"/>
      <c r="AE466" s="686"/>
      <c r="AF466" s="703"/>
      <c r="AG466" s="686"/>
      <c r="AH466" s="703"/>
      <c r="AI466" s="686"/>
      <c r="AJ466" s="686"/>
      <c r="AK466" s="703"/>
      <c r="AL466" s="686"/>
      <c r="AM466" s="703"/>
      <c r="AN466" s="686"/>
      <c r="AO466" s="703"/>
      <c r="AP466" s="686"/>
      <c r="AQ466" s="703"/>
      <c r="AR466" s="686"/>
      <c r="AS466" s="703"/>
      <c r="AT466" s="686"/>
      <c r="AU466" s="686"/>
      <c r="AV466" s="703"/>
      <c r="AW466" s="686"/>
      <c r="AX466" s="703"/>
      <c r="AY466" s="686"/>
      <c r="AZ466" s="703"/>
      <c r="BA466" s="686"/>
      <c r="BB466" s="703"/>
      <c r="BC466" s="686"/>
      <c r="BD466" s="703"/>
      <c r="BE466" s="686"/>
    </row>
    <row r="467" spans="4:57" s="44" customFormat="1">
      <c r="D467" s="825"/>
      <c r="E467" s="686"/>
      <c r="F467" s="825"/>
      <c r="G467" s="686"/>
      <c r="H467" s="825"/>
      <c r="I467" s="686"/>
      <c r="J467" s="825"/>
      <c r="K467" s="686"/>
      <c r="L467" s="825"/>
      <c r="M467" s="686"/>
      <c r="N467" s="686"/>
      <c r="O467" s="825"/>
      <c r="P467" s="686"/>
      <c r="Q467" s="825"/>
      <c r="R467" s="686"/>
      <c r="S467" s="825"/>
      <c r="T467" s="686"/>
      <c r="U467" s="825"/>
      <c r="V467" s="686"/>
      <c r="W467" s="825"/>
      <c r="X467" s="686"/>
      <c r="Y467" s="686"/>
      <c r="Z467" s="703"/>
      <c r="AA467" s="686"/>
      <c r="AB467" s="703"/>
      <c r="AC467" s="686"/>
      <c r="AD467" s="703"/>
      <c r="AE467" s="686"/>
      <c r="AF467" s="703"/>
      <c r="AG467" s="686"/>
      <c r="AH467" s="703"/>
      <c r="AI467" s="686"/>
      <c r="AJ467" s="686"/>
      <c r="AK467" s="703"/>
      <c r="AL467" s="686"/>
      <c r="AM467" s="703"/>
      <c r="AN467" s="686"/>
      <c r="AO467" s="703"/>
      <c r="AP467" s="686"/>
      <c r="AQ467" s="703"/>
      <c r="AR467" s="686"/>
      <c r="AS467" s="703"/>
      <c r="AT467" s="686"/>
      <c r="AU467" s="686"/>
      <c r="AV467" s="703"/>
      <c r="AW467" s="686"/>
      <c r="AX467" s="703"/>
      <c r="AY467" s="686"/>
      <c r="AZ467" s="703"/>
      <c r="BA467" s="686"/>
      <c r="BB467" s="703"/>
      <c r="BC467" s="686"/>
      <c r="BD467" s="703"/>
      <c r="BE467" s="686"/>
    </row>
    <row r="468" spans="4:57" s="44" customFormat="1">
      <c r="D468" s="825"/>
      <c r="E468" s="686"/>
      <c r="F468" s="825"/>
      <c r="G468" s="686"/>
      <c r="H468" s="825"/>
      <c r="I468" s="686"/>
      <c r="J468" s="825"/>
      <c r="K468" s="686"/>
      <c r="L468" s="825"/>
      <c r="M468" s="686"/>
      <c r="N468" s="686"/>
      <c r="O468" s="825"/>
      <c r="P468" s="686"/>
      <c r="Q468" s="825"/>
      <c r="R468" s="686"/>
      <c r="S468" s="825"/>
      <c r="T468" s="686"/>
      <c r="U468" s="825"/>
      <c r="V468" s="686"/>
      <c r="W468" s="825"/>
      <c r="X468" s="686"/>
      <c r="Y468" s="686"/>
      <c r="Z468" s="703"/>
      <c r="AA468" s="686"/>
      <c r="AB468" s="703"/>
      <c r="AC468" s="686"/>
      <c r="AD468" s="703"/>
      <c r="AE468" s="686"/>
      <c r="AF468" s="703"/>
      <c r="AG468" s="686"/>
      <c r="AH468" s="703"/>
      <c r="AI468" s="686"/>
      <c r="AJ468" s="686"/>
      <c r="AK468" s="703"/>
      <c r="AL468" s="686"/>
      <c r="AM468" s="703"/>
      <c r="AN468" s="686"/>
      <c r="AO468" s="703"/>
      <c r="AP468" s="686"/>
      <c r="AQ468" s="703"/>
      <c r="AR468" s="686"/>
      <c r="AS468" s="703"/>
      <c r="AT468" s="686"/>
      <c r="AU468" s="686"/>
      <c r="AV468" s="703"/>
      <c r="AW468" s="686"/>
      <c r="AX468" s="703"/>
      <c r="AY468" s="686"/>
      <c r="AZ468" s="703"/>
      <c r="BA468" s="686"/>
      <c r="BB468" s="703"/>
      <c r="BC468" s="686"/>
      <c r="BD468" s="703"/>
      <c r="BE468" s="686"/>
    </row>
    <row r="469" spans="4:57" s="44" customFormat="1">
      <c r="D469" s="825"/>
      <c r="E469" s="686"/>
      <c r="F469" s="825"/>
      <c r="G469" s="686"/>
      <c r="H469" s="825"/>
      <c r="I469" s="686"/>
      <c r="J469" s="825"/>
      <c r="K469" s="686"/>
      <c r="L469" s="825"/>
      <c r="M469" s="686"/>
      <c r="N469" s="686"/>
      <c r="O469" s="825"/>
      <c r="P469" s="686"/>
      <c r="Q469" s="825"/>
      <c r="R469" s="686"/>
      <c r="S469" s="825"/>
      <c r="T469" s="686"/>
      <c r="U469" s="825"/>
      <c r="V469" s="686"/>
      <c r="W469" s="825"/>
      <c r="X469" s="686"/>
      <c r="Y469" s="686"/>
      <c r="Z469" s="703"/>
      <c r="AA469" s="686"/>
      <c r="AB469" s="703"/>
      <c r="AC469" s="686"/>
      <c r="AD469" s="703"/>
      <c r="AE469" s="686"/>
      <c r="AF469" s="703"/>
      <c r="AG469" s="686"/>
      <c r="AH469" s="703"/>
      <c r="AI469" s="686"/>
      <c r="AJ469" s="686"/>
      <c r="AK469" s="703"/>
      <c r="AL469" s="686"/>
      <c r="AM469" s="703"/>
      <c r="AN469" s="686"/>
      <c r="AO469" s="703"/>
      <c r="AP469" s="686"/>
      <c r="AQ469" s="703"/>
      <c r="AR469" s="686"/>
      <c r="AS469" s="703"/>
      <c r="AT469" s="686"/>
      <c r="AU469" s="686"/>
      <c r="AV469" s="703"/>
      <c r="AW469" s="686"/>
      <c r="AX469" s="703"/>
      <c r="AY469" s="686"/>
      <c r="AZ469" s="703"/>
      <c r="BA469" s="686"/>
      <c r="BB469" s="703"/>
      <c r="BC469" s="686"/>
      <c r="BD469" s="703"/>
      <c r="BE469" s="686"/>
    </row>
    <row r="470" spans="4:57" s="44" customFormat="1">
      <c r="D470" s="825"/>
      <c r="E470" s="686"/>
      <c r="F470" s="825"/>
      <c r="G470" s="686"/>
      <c r="H470" s="825"/>
      <c r="I470" s="686"/>
      <c r="J470" s="825"/>
      <c r="K470" s="686"/>
      <c r="L470" s="825"/>
      <c r="M470" s="686"/>
      <c r="N470" s="686"/>
      <c r="O470" s="825"/>
      <c r="P470" s="686"/>
      <c r="Q470" s="825"/>
      <c r="R470" s="686"/>
      <c r="S470" s="825"/>
      <c r="T470" s="686"/>
      <c r="U470" s="825"/>
      <c r="V470" s="686"/>
      <c r="W470" s="825"/>
      <c r="X470" s="686"/>
      <c r="Y470" s="686"/>
      <c r="Z470" s="703"/>
      <c r="AA470" s="686"/>
      <c r="AB470" s="703"/>
      <c r="AC470" s="686"/>
      <c r="AD470" s="703"/>
      <c r="AE470" s="686"/>
      <c r="AF470" s="703"/>
      <c r="AG470" s="686"/>
      <c r="AH470" s="703"/>
      <c r="AI470" s="686"/>
      <c r="AJ470" s="686"/>
      <c r="AK470" s="703"/>
      <c r="AL470" s="686"/>
      <c r="AM470" s="703"/>
      <c r="AN470" s="686"/>
      <c r="AO470" s="703"/>
      <c r="AP470" s="686"/>
      <c r="AQ470" s="703"/>
      <c r="AR470" s="686"/>
      <c r="AS470" s="703"/>
      <c r="AT470" s="686"/>
      <c r="AU470" s="686"/>
      <c r="AV470" s="703"/>
      <c r="AW470" s="686"/>
      <c r="AX470" s="703"/>
      <c r="AY470" s="686"/>
      <c r="AZ470" s="703"/>
      <c r="BA470" s="686"/>
      <c r="BB470" s="703"/>
      <c r="BC470" s="686"/>
      <c r="BD470" s="703"/>
      <c r="BE470" s="686"/>
    </row>
    <row r="471" spans="4:57" s="44" customFormat="1">
      <c r="D471" s="825"/>
      <c r="E471" s="686"/>
      <c r="F471" s="825"/>
      <c r="G471" s="686"/>
      <c r="H471" s="825"/>
      <c r="I471" s="686"/>
      <c r="J471" s="825"/>
      <c r="K471" s="686"/>
      <c r="L471" s="825"/>
      <c r="M471" s="686"/>
      <c r="N471" s="686"/>
      <c r="O471" s="825"/>
      <c r="P471" s="686"/>
      <c r="Q471" s="825"/>
      <c r="R471" s="686"/>
      <c r="S471" s="825"/>
      <c r="T471" s="686"/>
      <c r="U471" s="825"/>
      <c r="V471" s="686"/>
      <c r="W471" s="825"/>
      <c r="X471" s="686"/>
      <c r="Y471" s="686"/>
      <c r="Z471" s="703"/>
      <c r="AA471" s="686"/>
      <c r="AB471" s="703"/>
      <c r="AC471" s="686"/>
      <c r="AD471" s="703"/>
      <c r="AE471" s="686"/>
      <c r="AF471" s="703"/>
      <c r="AG471" s="686"/>
      <c r="AH471" s="703"/>
      <c r="AI471" s="686"/>
      <c r="AJ471" s="686"/>
      <c r="AK471" s="703"/>
      <c r="AL471" s="686"/>
      <c r="AM471" s="703"/>
      <c r="AN471" s="686"/>
      <c r="AO471" s="703"/>
      <c r="AP471" s="686"/>
      <c r="AQ471" s="703"/>
      <c r="AR471" s="686"/>
      <c r="AS471" s="703"/>
      <c r="AT471" s="686"/>
      <c r="AU471" s="686"/>
      <c r="AV471" s="703"/>
      <c r="AW471" s="686"/>
      <c r="AX471" s="703"/>
      <c r="AY471" s="686"/>
      <c r="AZ471" s="703"/>
      <c r="BA471" s="686"/>
      <c r="BB471" s="703"/>
      <c r="BC471" s="686"/>
      <c r="BD471" s="703"/>
      <c r="BE471" s="686"/>
    </row>
    <row r="472" spans="4:57" s="44" customFormat="1">
      <c r="D472" s="825"/>
      <c r="E472" s="686"/>
      <c r="F472" s="825"/>
      <c r="G472" s="686"/>
      <c r="H472" s="825"/>
      <c r="I472" s="686"/>
      <c r="J472" s="825"/>
      <c r="K472" s="686"/>
      <c r="L472" s="825"/>
      <c r="M472" s="686"/>
      <c r="N472" s="686"/>
      <c r="O472" s="825"/>
      <c r="P472" s="686"/>
      <c r="Q472" s="825"/>
      <c r="R472" s="686"/>
      <c r="S472" s="825"/>
      <c r="T472" s="686"/>
      <c r="U472" s="825"/>
      <c r="V472" s="686"/>
      <c r="W472" s="825"/>
      <c r="X472" s="686"/>
      <c r="Y472" s="686"/>
      <c r="Z472" s="703"/>
      <c r="AA472" s="686"/>
      <c r="AB472" s="703"/>
      <c r="AC472" s="686"/>
      <c r="AD472" s="703"/>
      <c r="AE472" s="686"/>
      <c r="AF472" s="703"/>
      <c r="AG472" s="686"/>
      <c r="AH472" s="703"/>
      <c r="AI472" s="686"/>
      <c r="AJ472" s="686"/>
      <c r="AK472" s="703"/>
      <c r="AL472" s="686"/>
      <c r="AM472" s="703"/>
      <c r="AN472" s="686"/>
      <c r="AO472" s="703"/>
      <c r="AP472" s="686"/>
      <c r="AQ472" s="703"/>
      <c r="AR472" s="686"/>
      <c r="AS472" s="703"/>
      <c r="AT472" s="686"/>
      <c r="AU472" s="686"/>
      <c r="AV472" s="703"/>
      <c r="AW472" s="686"/>
      <c r="AX472" s="703"/>
      <c r="AY472" s="686"/>
      <c r="AZ472" s="703"/>
      <c r="BA472" s="686"/>
      <c r="BB472" s="703"/>
      <c r="BC472" s="686"/>
      <c r="BD472" s="703"/>
      <c r="BE472" s="686"/>
    </row>
    <row r="473" spans="4:57" s="44" customFormat="1">
      <c r="D473" s="825"/>
      <c r="E473" s="686"/>
      <c r="F473" s="825"/>
      <c r="G473" s="686"/>
      <c r="H473" s="825"/>
      <c r="I473" s="686"/>
      <c r="J473" s="825"/>
      <c r="K473" s="686"/>
      <c r="L473" s="825"/>
      <c r="M473" s="686"/>
      <c r="N473" s="686"/>
      <c r="O473" s="825"/>
      <c r="P473" s="686"/>
      <c r="Q473" s="825"/>
      <c r="R473" s="686"/>
      <c r="S473" s="825"/>
      <c r="T473" s="686"/>
      <c r="U473" s="825"/>
      <c r="V473" s="686"/>
      <c r="W473" s="825"/>
      <c r="X473" s="686"/>
      <c r="Y473" s="686"/>
      <c r="Z473" s="703"/>
      <c r="AA473" s="686"/>
      <c r="AB473" s="703"/>
      <c r="AC473" s="686"/>
      <c r="AD473" s="703"/>
      <c r="AE473" s="686"/>
      <c r="AF473" s="703"/>
      <c r="AG473" s="686"/>
      <c r="AH473" s="703"/>
      <c r="AI473" s="686"/>
      <c r="AJ473" s="686"/>
      <c r="AK473" s="703"/>
      <c r="AL473" s="686"/>
      <c r="AM473" s="703"/>
      <c r="AN473" s="686"/>
      <c r="AO473" s="703"/>
      <c r="AP473" s="686"/>
      <c r="AQ473" s="703"/>
      <c r="AR473" s="686"/>
      <c r="AS473" s="703"/>
      <c r="AT473" s="686"/>
      <c r="AU473" s="686"/>
      <c r="AV473" s="703"/>
      <c r="AW473" s="686"/>
      <c r="AX473" s="703"/>
      <c r="AY473" s="686"/>
      <c r="AZ473" s="703"/>
      <c r="BA473" s="686"/>
      <c r="BB473" s="703"/>
      <c r="BC473" s="686"/>
      <c r="BD473" s="703"/>
      <c r="BE473" s="686"/>
    </row>
    <row r="474" spans="4:57" s="44" customFormat="1">
      <c r="D474" s="825"/>
      <c r="E474" s="686"/>
      <c r="F474" s="825"/>
      <c r="G474" s="686"/>
      <c r="H474" s="825"/>
      <c r="I474" s="686"/>
      <c r="J474" s="825"/>
      <c r="K474" s="686"/>
      <c r="L474" s="825"/>
      <c r="M474" s="686"/>
      <c r="N474" s="686"/>
      <c r="O474" s="825"/>
      <c r="P474" s="686"/>
      <c r="Q474" s="825"/>
      <c r="R474" s="686"/>
      <c r="S474" s="825"/>
      <c r="T474" s="686"/>
      <c r="U474" s="825"/>
      <c r="V474" s="686"/>
      <c r="W474" s="825"/>
      <c r="X474" s="686"/>
      <c r="Y474" s="686"/>
      <c r="Z474" s="703"/>
      <c r="AA474" s="686"/>
      <c r="AB474" s="703"/>
      <c r="AC474" s="686"/>
      <c r="AD474" s="703"/>
      <c r="AE474" s="686"/>
      <c r="AF474" s="703"/>
      <c r="AG474" s="686"/>
      <c r="AH474" s="703"/>
      <c r="AI474" s="686"/>
      <c r="AJ474" s="686"/>
      <c r="AK474" s="703"/>
      <c r="AL474" s="686"/>
      <c r="AM474" s="703"/>
      <c r="AN474" s="686"/>
      <c r="AO474" s="703"/>
      <c r="AP474" s="686"/>
      <c r="AQ474" s="703"/>
      <c r="AR474" s="686"/>
      <c r="AS474" s="703"/>
      <c r="AT474" s="686"/>
      <c r="AU474" s="686"/>
      <c r="AV474" s="703"/>
      <c r="AW474" s="686"/>
      <c r="AX474" s="703"/>
      <c r="AY474" s="686"/>
      <c r="AZ474" s="703"/>
      <c r="BA474" s="686"/>
      <c r="BB474" s="703"/>
      <c r="BC474" s="686"/>
      <c r="BD474" s="703"/>
      <c r="BE474" s="686"/>
    </row>
    <row r="475" spans="4:57" s="44" customFormat="1">
      <c r="D475" s="825"/>
      <c r="E475" s="686"/>
      <c r="F475" s="825"/>
      <c r="G475" s="686"/>
      <c r="H475" s="825"/>
      <c r="I475" s="686"/>
      <c r="J475" s="825"/>
      <c r="K475" s="686"/>
      <c r="L475" s="825"/>
      <c r="M475" s="686"/>
      <c r="N475" s="686"/>
      <c r="O475" s="825"/>
      <c r="P475" s="686"/>
      <c r="Q475" s="825"/>
      <c r="R475" s="686"/>
      <c r="S475" s="825"/>
      <c r="T475" s="686"/>
      <c r="U475" s="825"/>
      <c r="V475" s="686"/>
      <c r="W475" s="825"/>
      <c r="X475" s="686"/>
      <c r="Y475" s="686"/>
      <c r="Z475" s="703"/>
      <c r="AA475" s="686"/>
      <c r="AB475" s="703"/>
      <c r="AC475" s="686"/>
      <c r="AD475" s="703"/>
      <c r="AE475" s="686"/>
      <c r="AF475" s="703"/>
      <c r="AG475" s="686"/>
      <c r="AH475" s="703"/>
      <c r="AI475" s="686"/>
      <c r="AJ475" s="686"/>
      <c r="AK475" s="703"/>
      <c r="AL475" s="686"/>
      <c r="AM475" s="703"/>
      <c r="AN475" s="686"/>
      <c r="AO475" s="703"/>
      <c r="AP475" s="686"/>
      <c r="AQ475" s="703"/>
      <c r="AR475" s="686"/>
      <c r="AS475" s="703"/>
      <c r="AT475" s="686"/>
      <c r="AU475" s="686"/>
      <c r="AV475" s="703"/>
      <c r="AW475" s="686"/>
      <c r="AX475" s="703"/>
      <c r="AY475" s="686"/>
      <c r="AZ475" s="703"/>
      <c r="BA475" s="686"/>
      <c r="BB475" s="703"/>
      <c r="BC475" s="686"/>
      <c r="BD475" s="703"/>
      <c r="BE475" s="686"/>
    </row>
    <row r="476" spans="4:57" s="44" customFormat="1">
      <c r="D476" s="825"/>
      <c r="E476" s="686"/>
      <c r="F476" s="825"/>
      <c r="G476" s="686"/>
      <c r="H476" s="825"/>
      <c r="I476" s="686"/>
      <c r="J476" s="825"/>
      <c r="K476" s="686"/>
      <c r="L476" s="825"/>
      <c r="M476" s="686"/>
      <c r="N476" s="686"/>
      <c r="O476" s="825"/>
      <c r="P476" s="686"/>
      <c r="Q476" s="825"/>
      <c r="R476" s="686"/>
      <c r="S476" s="825"/>
      <c r="T476" s="686"/>
      <c r="U476" s="825"/>
      <c r="V476" s="686"/>
      <c r="W476" s="825"/>
      <c r="X476" s="686"/>
      <c r="Y476" s="686"/>
      <c r="Z476" s="703"/>
      <c r="AA476" s="686"/>
      <c r="AB476" s="703"/>
      <c r="AC476" s="686"/>
      <c r="AD476" s="703"/>
      <c r="AE476" s="686"/>
      <c r="AF476" s="703"/>
      <c r="AG476" s="686"/>
      <c r="AH476" s="703"/>
      <c r="AI476" s="686"/>
      <c r="AJ476" s="686"/>
      <c r="AK476" s="703"/>
      <c r="AL476" s="686"/>
      <c r="AM476" s="703"/>
      <c r="AN476" s="686"/>
      <c r="AO476" s="703"/>
      <c r="AP476" s="686"/>
      <c r="AQ476" s="703"/>
      <c r="AR476" s="686"/>
      <c r="AS476" s="703"/>
      <c r="AT476" s="686"/>
      <c r="AU476" s="686"/>
      <c r="AV476" s="703"/>
      <c r="AW476" s="686"/>
      <c r="AX476" s="703"/>
      <c r="AY476" s="686"/>
      <c r="AZ476" s="703"/>
      <c r="BA476" s="686"/>
      <c r="BB476" s="703"/>
      <c r="BC476" s="686"/>
      <c r="BD476" s="703"/>
      <c r="BE476" s="686"/>
    </row>
    <row r="477" spans="4:57" s="44" customFormat="1">
      <c r="D477" s="825"/>
      <c r="E477" s="686"/>
      <c r="F477" s="825"/>
      <c r="G477" s="686"/>
      <c r="H477" s="825"/>
      <c r="I477" s="686"/>
      <c r="J477" s="825"/>
      <c r="K477" s="686"/>
      <c r="L477" s="825"/>
      <c r="M477" s="686"/>
      <c r="N477" s="686"/>
      <c r="O477" s="825"/>
      <c r="P477" s="686"/>
      <c r="Q477" s="825"/>
      <c r="R477" s="686"/>
      <c r="S477" s="825"/>
      <c r="T477" s="686"/>
      <c r="U477" s="825"/>
      <c r="V477" s="686"/>
      <c r="W477" s="825"/>
      <c r="X477" s="686"/>
      <c r="Y477" s="686"/>
      <c r="Z477" s="703"/>
      <c r="AA477" s="686"/>
      <c r="AB477" s="703"/>
      <c r="AC477" s="686"/>
      <c r="AD477" s="703"/>
      <c r="AE477" s="686"/>
      <c r="AF477" s="703"/>
      <c r="AG477" s="686"/>
      <c r="AH477" s="703"/>
      <c r="AI477" s="686"/>
      <c r="AJ477" s="686"/>
      <c r="AK477" s="703"/>
      <c r="AL477" s="686"/>
      <c r="AM477" s="703"/>
      <c r="AN477" s="686"/>
      <c r="AO477" s="703"/>
      <c r="AP477" s="686"/>
      <c r="AQ477" s="703"/>
      <c r="AR477" s="686"/>
      <c r="AS477" s="703"/>
      <c r="AT477" s="686"/>
      <c r="AU477" s="686"/>
      <c r="AV477" s="703"/>
      <c r="AW477" s="686"/>
      <c r="AX477" s="703"/>
      <c r="AY477" s="686"/>
      <c r="AZ477" s="703"/>
      <c r="BA477" s="686"/>
      <c r="BB477" s="703"/>
      <c r="BC477" s="686"/>
      <c r="BD477" s="703"/>
      <c r="BE477" s="686"/>
    </row>
    <row r="478" spans="4:57" s="44" customFormat="1">
      <c r="D478" s="825"/>
      <c r="E478" s="686"/>
      <c r="F478" s="825"/>
      <c r="G478" s="686"/>
      <c r="H478" s="825"/>
      <c r="I478" s="686"/>
      <c r="J478" s="825"/>
      <c r="K478" s="686"/>
      <c r="L478" s="825"/>
      <c r="M478" s="686"/>
      <c r="N478" s="686"/>
      <c r="O478" s="825"/>
      <c r="P478" s="686"/>
      <c r="Q478" s="825"/>
      <c r="R478" s="686"/>
      <c r="S478" s="825"/>
      <c r="T478" s="686"/>
      <c r="U478" s="825"/>
      <c r="V478" s="686"/>
      <c r="W478" s="825"/>
      <c r="X478" s="686"/>
      <c r="Y478" s="686"/>
      <c r="Z478" s="703"/>
      <c r="AA478" s="686"/>
      <c r="AB478" s="703"/>
      <c r="AC478" s="686"/>
      <c r="AD478" s="703"/>
      <c r="AE478" s="686"/>
      <c r="AF478" s="703"/>
      <c r="AG478" s="686"/>
      <c r="AH478" s="703"/>
      <c r="AI478" s="686"/>
      <c r="AJ478" s="686"/>
      <c r="AK478" s="703"/>
      <c r="AL478" s="686"/>
      <c r="AM478" s="703"/>
      <c r="AN478" s="686"/>
      <c r="AO478" s="703"/>
      <c r="AP478" s="686"/>
      <c r="AQ478" s="703"/>
      <c r="AR478" s="686"/>
      <c r="AS478" s="703"/>
      <c r="AT478" s="686"/>
      <c r="AU478" s="686"/>
      <c r="AV478" s="703"/>
      <c r="AW478" s="686"/>
      <c r="AX478" s="703"/>
      <c r="AY478" s="686"/>
      <c r="AZ478" s="703"/>
      <c r="BA478" s="686"/>
      <c r="BB478" s="703"/>
      <c r="BC478" s="686"/>
      <c r="BD478" s="703"/>
      <c r="BE478" s="686"/>
    </row>
    <row r="479" spans="4:57" s="44" customFormat="1">
      <c r="D479" s="825"/>
      <c r="E479" s="686"/>
      <c r="F479" s="825"/>
      <c r="G479" s="686"/>
      <c r="H479" s="825"/>
      <c r="I479" s="686"/>
      <c r="J479" s="825"/>
      <c r="K479" s="686"/>
      <c r="L479" s="825"/>
      <c r="M479" s="686"/>
      <c r="N479" s="686"/>
      <c r="O479" s="825"/>
      <c r="P479" s="686"/>
      <c r="Q479" s="825"/>
      <c r="R479" s="686"/>
      <c r="S479" s="825"/>
      <c r="T479" s="686"/>
      <c r="U479" s="825"/>
      <c r="V479" s="686"/>
      <c r="W479" s="825"/>
      <c r="X479" s="686"/>
      <c r="Y479" s="686"/>
      <c r="Z479" s="703"/>
      <c r="AA479" s="686"/>
      <c r="AB479" s="703"/>
      <c r="AC479" s="686"/>
      <c r="AD479" s="703"/>
      <c r="AE479" s="686"/>
      <c r="AF479" s="703"/>
      <c r="AG479" s="686"/>
      <c r="AH479" s="703"/>
      <c r="AI479" s="686"/>
      <c r="AJ479" s="686"/>
      <c r="AK479" s="703"/>
      <c r="AL479" s="686"/>
      <c r="AM479" s="703"/>
      <c r="AN479" s="686"/>
      <c r="AO479" s="703"/>
      <c r="AP479" s="686"/>
      <c r="AQ479" s="703"/>
      <c r="AR479" s="686"/>
      <c r="AS479" s="703"/>
      <c r="AT479" s="686"/>
      <c r="AU479" s="686"/>
      <c r="AV479" s="703"/>
      <c r="AW479" s="686"/>
      <c r="AX479" s="703"/>
      <c r="AY479" s="686"/>
      <c r="AZ479" s="703"/>
      <c r="BA479" s="686"/>
      <c r="BB479" s="703"/>
      <c r="BC479" s="686"/>
      <c r="BD479" s="703"/>
      <c r="BE479" s="686"/>
    </row>
  </sheetData>
  <sheetProtection algorithmName="SHA-512" hashValue="W9NIKA8jjibe4CUCkgZBZe20za1rW7FhiHw5PMcq17m3wMMTmUEYH78tp5Ic9Ct9p9wTmSBMySi1JD31cQWuoQ==" saltValue="u70LZ5m/jozJeoIkcVsPXw==" spinCount="100000" sheet="1" formatCells="0" formatColumns="0" formatRows="0"/>
  <mergeCells count="67">
    <mergeCell ref="A1:C1"/>
    <mergeCell ref="D1:E1"/>
    <mergeCell ref="BG8:BL8"/>
    <mergeCell ref="BM8:BR8"/>
    <mergeCell ref="BS8:BX8"/>
    <mergeCell ref="BG7:CJ7"/>
    <mergeCell ref="A2:X2"/>
    <mergeCell ref="A3:X3"/>
    <mergeCell ref="A4:X4"/>
    <mergeCell ref="A5:X5"/>
    <mergeCell ref="N8:X8"/>
    <mergeCell ref="Y8:AI8"/>
    <mergeCell ref="AJ8:AT8"/>
    <mergeCell ref="AU8:BE8"/>
    <mergeCell ref="AD98:AE98"/>
    <mergeCell ref="AF98:AG98"/>
    <mergeCell ref="AH98:AI98"/>
    <mergeCell ref="BY8:CD8"/>
    <mergeCell ref="CE8:CJ8"/>
    <mergeCell ref="Y97:AI97"/>
    <mergeCell ref="Z98:AA98"/>
    <mergeCell ref="AB98:AC98"/>
    <mergeCell ref="AV9:AW9"/>
    <mergeCell ref="AO9:AP9"/>
    <mergeCell ref="AM9:AN9"/>
    <mergeCell ref="BD9:BE9"/>
    <mergeCell ref="AD9:AE9"/>
    <mergeCell ref="AF9:AG9"/>
    <mergeCell ref="Z9:AA9"/>
    <mergeCell ref="AB9:AC9"/>
    <mergeCell ref="A100:A106"/>
    <mergeCell ref="D98:E98"/>
    <mergeCell ref="F98:G98"/>
    <mergeCell ref="H98:I98"/>
    <mergeCell ref="J98:K98"/>
    <mergeCell ref="A97:B99"/>
    <mergeCell ref="AZ9:BA9"/>
    <mergeCell ref="BB9:BC9"/>
    <mergeCell ref="AX9:AY9"/>
    <mergeCell ref="AQ9:AR9"/>
    <mergeCell ref="A88:B88"/>
    <mergeCell ref="A7:A10"/>
    <mergeCell ref="B7:B10"/>
    <mergeCell ref="F9:G9"/>
    <mergeCell ref="H9:I9"/>
    <mergeCell ref="Q9:R9"/>
    <mergeCell ref="W9:X9"/>
    <mergeCell ref="AS9:AT9"/>
    <mergeCell ref="AK9:AL9"/>
    <mergeCell ref="AH9:AI9"/>
    <mergeCell ref="C7:BD7"/>
    <mergeCell ref="C8:M8"/>
    <mergeCell ref="C112:X112"/>
    <mergeCell ref="J9:K9"/>
    <mergeCell ref="L9:M9"/>
    <mergeCell ref="O9:P9"/>
    <mergeCell ref="O98:P98"/>
    <mergeCell ref="Q98:R98"/>
    <mergeCell ref="S98:T98"/>
    <mergeCell ref="U98:V98"/>
    <mergeCell ref="W98:X98"/>
    <mergeCell ref="L98:M98"/>
    <mergeCell ref="C97:M97"/>
    <mergeCell ref="N97:X97"/>
    <mergeCell ref="S9:T9"/>
    <mergeCell ref="U9:V9"/>
    <mergeCell ref="D9:E9"/>
  </mergeCells>
  <conditionalFormatting sqref="D100:M110 O100:X110 Z100:AI110">
    <cfRule type="cellIs" dxfId="16" priority="11" operator="lessThan">
      <formula>0</formula>
    </cfRule>
    <cfRule type="cellIs" dxfId="15" priority="12" operator="greaterThan">
      <formula>0</formula>
    </cfRule>
  </conditionalFormatting>
  <conditionalFormatting sqref="E11:E95 G11:G95 I11:I95 K11:K95 M11:M95 P11:P95 R11:R95 T11:T95 V11:V95 X11:X95 AA11:AA95 AC11:AC95 AE11:AE95 AG11:AG95 AI11:AI95">
    <cfRule type="cellIs" dxfId="14" priority="13" operator="lessThan">
      <formula>0</formula>
    </cfRule>
    <cfRule type="cellIs" dxfId="13" priority="14" operator="greaterThan">
      <formula>0.1</formula>
    </cfRule>
  </conditionalFormatting>
  <conditionalFormatting sqref="AL11:AL95 AN11:AN95 AP11:AP95 AR11:AR95 AT11:AT95">
    <cfRule type="cellIs" dxfId="12" priority="5" operator="lessThan">
      <formula>0</formula>
    </cfRule>
    <cfRule type="cellIs" dxfId="11" priority="6" operator="greaterThan">
      <formula>0.1</formula>
    </cfRule>
  </conditionalFormatting>
  <conditionalFormatting sqref="AW11:AW95 AY11:AY95 BA11:BA95 BC11:BC95 BE11:BE95">
    <cfRule type="cellIs" dxfId="10" priority="3" operator="lessThan">
      <formula>0</formula>
    </cfRule>
    <cfRule type="cellIs" dxfId="9" priority="4" operator="greaterThan">
      <formula>0.1</formula>
    </cfRule>
  </conditionalFormatting>
  <printOptions horizontalCentered="1"/>
  <pageMargins left="0" right="0" top="0.55118110236220474" bottom="0.15748031496062992" header="0.31496062992125984" footer="7.874015748031496E-2"/>
  <pageSetup paperSize="9" scale="64" orientation="landscape" r:id="rId1"/>
  <headerFooter alignWithMargins="0">
    <oddFooter>&amp;C&amp;A&amp;RСтр. &amp;P от &amp;N</oddFooter>
  </headerFooter>
  <rowBreaks count="1" manualBreakCount="1">
    <brk id="48" max="56" man="1"/>
  </rowBreaks>
  <colBreaks count="3" manualBreakCount="3">
    <brk id="24" max="92" man="1"/>
    <brk id="24" min="96" max="107" man="1"/>
    <brk id="46" max="92"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E50"/>
  <sheetViews>
    <sheetView view="pageBreakPreview" zoomScaleNormal="90" zoomScaleSheetLayoutView="100" workbookViewId="0">
      <selection activeCell="C21" sqref="C21:D21"/>
    </sheetView>
  </sheetViews>
  <sheetFormatPr defaultRowHeight="12.75"/>
  <cols>
    <col min="1" max="1" width="8.140625" style="24" customWidth="1"/>
    <col min="2" max="2" width="40" style="24" customWidth="1"/>
    <col min="3" max="3" width="42" style="24" customWidth="1"/>
    <col min="4" max="4" width="22" style="24" customWidth="1"/>
    <col min="5" max="250" width="9.140625" style="24"/>
    <col min="251" max="251" width="5.42578125" style="24" customWidth="1"/>
    <col min="252" max="252" width="7.5703125" style="24" customWidth="1"/>
    <col min="253" max="254" width="6.140625" style="24" customWidth="1"/>
    <col min="255" max="255" width="6.42578125" style="24" customWidth="1"/>
    <col min="256" max="256" width="6.85546875" style="24" customWidth="1"/>
    <col min="257" max="257" width="12.5703125" style="24" customWidth="1"/>
    <col min="258" max="258" width="12" style="24" customWidth="1"/>
    <col min="259" max="259" width="12.140625" style="24" customWidth="1"/>
    <col min="260" max="260" width="14.42578125" style="24" customWidth="1"/>
    <col min="261" max="506" width="9.140625" style="24"/>
    <col min="507" max="507" width="5.42578125" style="24" customWidth="1"/>
    <col min="508" max="508" width="7.5703125" style="24" customWidth="1"/>
    <col min="509" max="510" width="6.140625" style="24" customWidth="1"/>
    <col min="511" max="511" width="6.42578125" style="24" customWidth="1"/>
    <col min="512" max="512" width="6.85546875" style="24" customWidth="1"/>
    <col min="513" max="513" width="12.5703125" style="24" customWidth="1"/>
    <col min="514" max="514" width="12" style="24" customWidth="1"/>
    <col min="515" max="515" width="12.140625" style="24" customWidth="1"/>
    <col min="516" max="516" width="14.42578125" style="24" customWidth="1"/>
    <col min="517" max="762" width="9.140625" style="24"/>
    <col min="763" max="763" width="5.42578125" style="24" customWidth="1"/>
    <col min="764" max="764" width="7.5703125" style="24" customWidth="1"/>
    <col min="765" max="766" width="6.140625" style="24" customWidth="1"/>
    <col min="767" max="767" width="6.42578125" style="24" customWidth="1"/>
    <col min="768" max="768" width="6.85546875" style="24" customWidth="1"/>
    <col min="769" max="769" width="12.5703125" style="24" customWidth="1"/>
    <col min="770" max="770" width="12" style="24" customWidth="1"/>
    <col min="771" max="771" width="12.140625" style="24" customWidth="1"/>
    <col min="772" max="772" width="14.42578125" style="24" customWidth="1"/>
    <col min="773" max="1018" width="9.140625" style="24"/>
    <col min="1019" max="1019" width="5.42578125" style="24" customWidth="1"/>
    <col min="1020" max="1020" width="7.5703125" style="24" customWidth="1"/>
    <col min="1021" max="1022" width="6.140625" style="24" customWidth="1"/>
    <col min="1023" max="1023" width="6.42578125" style="24" customWidth="1"/>
    <col min="1024" max="1024" width="6.85546875" style="24" customWidth="1"/>
    <col min="1025" max="1025" width="12.5703125" style="24" customWidth="1"/>
    <col min="1026" max="1026" width="12" style="24" customWidth="1"/>
    <col min="1027" max="1027" width="12.140625" style="24" customWidth="1"/>
    <col min="1028" max="1028" width="14.42578125" style="24" customWidth="1"/>
    <col min="1029" max="1274" width="9.140625" style="24"/>
    <col min="1275" max="1275" width="5.42578125" style="24" customWidth="1"/>
    <col min="1276" max="1276" width="7.5703125" style="24" customWidth="1"/>
    <col min="1277" max="1278" width="6.140625" style="24" customWidth="1"/>
    <col min="1279" max="1279" width="6.42578125" style="24" customWidth="1"/>
    <col min="1280" max="1280" width="6.85546875" style="24" customWidth="1"/>
    <col min="1281" max="1281" width="12.5703125" style="24" customWidth="1"/>
    <col min="1282" max="1282" width="12" style="24" customWidth="1"/>
    <col min="1283" max="1283" width="12.140625" style="24" customWidth="1"/>
    <col min="1284" max="1284" width="14.42578125" style="24" customWidth="1"/>
    <col min="1285" max="1530" width="9.140625" style="24"/>
    <col min="1531" max="1531" width="5.42578125" style="24" customWidth="1"/>
    <col min="1532" max="1532" width="7.5703125" style="24" customWidth="1"/>
    <col min="1533" max="1534" width="6.140625" style="24" customWidth="1"/>
    <col min="1535" max="1535" width="6.42578125" style="24" customWidth="1"/>
    <col min="1536" max="1536" width="6.85546875" style="24" customWidth="1"/>
    <col min="1537" max="1537" width="12.5703125" style="24" customWidth="1"/>
    <col min="1538" max="1538" width="12" style="24" customWidth="1"/>
    <col min="1539" max="1539" width="12.140625" style="24" customWidth="1"/>
    <col min="1540" max="1540" width="14.42578125" style="24" customWidth="1"/>
    <col min="1541" max="1786" width="9.140625" style="24"/>
    <col min="1787" max="1787" width="5.42578125" style="24" customWidth="1"/>
    <col min="1788" max="1788" width="7.5703125" style="24" customWidth="1"/>
    <col min="1789" max="1790" width="6.140625" style="24" customWidth="1"/>
    <col min="1791" max="1791" width="6.42578125" style="24" customWidth="1"/>
    <col min="1792" max="1792" width="6.85546875" style="24" customWidth="1"/>
    <col min="1793" max="1793" width="12.5703125" style="24" customWidth="1"/>
    <col min="1794" max="1794" width="12" style="24" customWidth="1"/>
    <col min="1795" max="1795" width="12.140625" style="24" customWidth="1"/>
    <col min="1796" max="1796" width="14.42578125" style="24" customWidth="1"/>
    <col min="1797" max="2042" width="9.140625" style="24"/>
    <col min="2043" max="2043" width="5.42578125" style="24" customWidth="1"/>
    <col min="2044" max="2044" width="7.5703125" style="24" customWidth="1"/>
    <col min="2045" max="2046" width="6.140625" style="24" customWidth="1"/>
    <col min="2047" max="2047" width="6.42578125" style="24" customWidth="1"/>
    <col min="2048" max="2048" width="6.85546875" style="24" customWidth="1"/>
    <col min="2049" max="2049" width="12.5703125" style="24" customWidth="1"/>
    <col min="2050" max="2050" width="12" style="24" customWidth="1"/>
    <col min="2051" max="2051" width="12.140625" style="24" customWidth="1"/>
    <col min="2052" max="2052" width="14.42578125" style="24" customWidth="1"/>
    <col min="2053" max="2298" width="9.140625" style="24"/>
    <col min="2299" max="2299" width="5.42578125" style="24" customWidth="1"/>
    <col min="2300" max="2300" width="7.5703125" style="24" customWidth="1"/>
    <col min="2301" max="2302" width="6.140625" style="24" customWidth="1"/>
    <col min="2303" max="2303" width="6.42578125" style="24" customWidth="1"/>
    <col min="2304" max="2304" width="6.85546875" style="24" customWidth="1"/>
    <col min="2305" max="2305" width="12.5703125" style="24" customWidth="1"/>
    <col min="2306" max="2306" width="12" style="24" customWidth="1"/>
    <col min="2307" max="2307" width="12.140625" style="24" customWidth="1"/>
    <col min="2308" max="2308" width="14.42578125" style="24" customWidth="1"/>
    <col min="2309" max="2554" width="9.140625" style="24"/>
    <col min="2555" max="2555" width="5.42578125" style="24" customWidth="1"/>
    <col min="2556" max="2556" width="7.5703125" style="24" customWidth="1"/>
    <col min="2557" max="2558" width="6.140625" style="24" customWidth="1"/>
    <col min="2559" max="2559" width="6.42578125" style="24" customWidth="1"/>
    <col min="2560" max="2560" width="6.85546875" style="24" customWidth="1"/>
    <col min="2561" max="2561" width="12.5703125" style="24" customWidth="1"/>
    <col min="2562" max="2562" width="12" style="24" customWidth="1"/>
    <col min="2563" max="2563" width="12.140625" style="24" customWidth="1"/>
    <col min="2564" max="2564" width="14.42578125" style="24" customWidth="1"/>
    <col min="2565" max="2810" width="9.140625" style="24"/>
    <col min="2811" max="2811" width="5.42578125" style="24" customWidth="1"/>
    <col min="2812" max="2812" width="7.5703125" style="24" customWidth="1"/>
    <col min="2813" max="2814" width="6.140625" style="24" customWidth="1"/>
    <col min="2815" max="2815" width="6.42578125" style="24" customWidth="1"/>
    <col min="2816" max="2816" width="6.85546875" style="24" customWidth="1"/>
    <col min="2817" max="2817" width="12.5703125" style="24" customWidth="1"/>
    <col min="2818" max="2818" width="12" style="24" customWidth="1"/>
    <col min="2819" max="2819" width="12.140625" style="24" customWidth="1"/>
    <col min="2820" max="2820" width="14.42578125" style="24" customWidth="1"/>
    <col min="2821" max="3066" width="9.140625" style="24"/>
    <col min="3067" max="3067" width="5.42578125" style="24" customWidth="1"/>
    <col min="3068" max="3068" width="7.5703125" style="24" customWidth="1"/>
    <col min="3069" max="3070" width="6.140625" style="24" customWidth="1"/>
    <col min="3071" max="3071" width="6.42578125" style="24" customWidth="1"/>
    <col min="3072" max="3072" width="6.85546875" style="24" customWidth="1"/>
    <col min="3073" max="3073" width="12.5703125" style="24" customWidth="1"/>
    <col min="3074" max="3074" width="12" style="24" customWidth="1"/>
    <col min="3075" max="3075" width="12.140625" style="24" customWidth="1"/>
    <col min="3076" max="3076" width="14.42578125" style="24" customWidth="1"/>
    <col min="3077" max="3322" width="9.140625" style="24"/>
    <col min="3323" max="3323" width="5.42578125" style="24" customWidth="1"/>
    <col min="3324" max="3324" width="7.5703125" style="24" customWidth="1"/>
    <col min="3325" max="3326" width="6.140625" style="24" customWidth="1"/>
    <col min="3327" max="3327" width="6.42578125" style="24" customWidth="1"/>
    <col min="3328" max="3328" width="6.85546875" style="24" customWidth="1"/>
    <col min="3329" max="3329" width="12.5703125" style="24" customWidth="1"/>
    <col min="3330" max="3330" width="12" style="24" customWidth="1"/>
    <col min="3331" max="3331" width="12.140625" style="24" customWidth="1"/>
    <col min="3332" max="3332" width="14.42578125" style="24" customWidth="1"/>
    <col min="3333" max="3578" width="9.140625" style="24"/>
    <col min="3579" max="3579" width="5.42578125" style="24" customWidth="1"/>
    <col min="3580" max="3580" width="7.5703125" style="24" customWidth="1"/>
    <col min="3581" max="3582" width="6.140625" style="24" customWidth="1"/>
    <col min="3583" max="3583" width="6.42578125" style="24" customWidth="1"/>
    <col min="3584" max="3584" width="6.85546875" style="24" customWidth="1"/>
    <col min="3585" max="3585" width="12.5703125" style="24" customWidth="1"/>
    <col min="3586" max="3586" width="12" style="24" customWidth="1"/>
    <col min="3587" max="3587" width="12.140625" style="24" customWidth="1"/>
    <col min="3588" max="3588" width="14.42578125" style="24" customWidth="1"/>
    <col min="3589" max="3834" width="9.140625" style="24"/>
    <col min="3835" max="3835" width="5.42578125" style="24" customWidth="1"/>
    <col min="3836" max="3836" width="7.5703125" style="24" customWidth="1"/>
    <col min="3837" max="3838" width="6.140625" style="24" customWidth="1"/>
    <col min="3839" max="3839" width="6.42578125" style="24" customWidth="1"/>
    <col min="3840" max="3840" width="6.85546875" style="24" customWidth="1"/>
    <col min="3841" max="3841" width="12.5703125" style="24" customWidth="1"/>
    <col min="3842" max="3842" width="12" style="24" customWidth="1"/>
    <col min="3843" max="3843" width="12.140625" style="24" customWidth="1"/>
    <col min="3844" max="3844" width="14.42578125" style="24" customWidth="1"/>
    <col min="3845" max="4090" width="9.140625" style="24"/>
    <col min="4091" max="4091" width="5.42578125" style="24" customWidth="1"/>
    <col min="4092" max="4092" width="7.5703125" style="24" customWidth="1"/>
    <col min="4093" max="4094" width="6.140625" style="24" customWidth="1"/>
    <col min="4095" max="4095" width="6.42578125" style="24" customWidth="1"/>
    <col min="4096" max="4096" width="6.85546875" style="24" customWidth="1"/>
    <col min="4097" max="4097" width="12.5703125" style="24" customWidth="1"/>
    <col min="4098" max="4098" width="12" style="24" customWidth="1"/>
    <col min="4099" max="4099" width="12.140625" style="24" customWidth="1"/>
    <col min="4100" max="4100" width="14.42578125" style="24" customWidth="1"/>
    <col min="4101" max="4346" width="9.140625" style="24"/>
    <col min="4347" max="4347" width="5.42578125" style="24" customWidth="1"/>
    <col min="4348" max="4348" width="7.5703125" style="24" customWidth="1"/>
    <col min="4349" max="4350" width="6.140625" style="24" customWidth="1"/>
    <col min="4351" max="4351" width="6.42578125" style="24" customWidth="1"/>
    <col min="4352" max="4352" width="6.85546875" style="24" customWidth="1"/>
    <col min="4353" max="4353" width="12.5703125" style="24" customWidth="1"/>
    <col min="4354" max="4354" width="12" style="24" customWidth="1"/>
    <col min="4355" max="4355" width="12.140625" style="24" customWidth="1"/>
    <col min="4356" max="4356" width="14.42578125" style="24" customWidth="1"/>
    <col min="4357" max="4602" width="9.140625" style="24"/>
    <col min="4603" max="4603" width="5.42578125" style="24" customWidth="1"/>
    <col min="4604" max="4604" width="7.5703125" style="24" customWidth="1"/>
    <col min="4605" max="4606" width="6.140625" style="24" customWidth="1"/>
    <col min="4607" max="4607" width="6.42578125" style="24" customWidth="1"/>
    <col min="4608" max="4608" width="6.85546875" style="24" customWidth="1"/>
    <col min="4609" max="4609" width="12.5703125" style="24" customWidth="1"/>
    <col min="4610" max="4610" width="12" style="24" customWidth="1"/>
    <col min="4611" max="4611" width="12.140625" style="24" customWidth="1"/>
    <col min="4612" max="4612" width="14.42578125" style="24" customWidth="1"/>
    <col min="4613" max="4858" width="9.140625" style="24"/>
    <col min="4859" max="4859" width="5.42578125" style="24" customWidth="1"/>
    <col min="4860" max="4860" width="7.5703125" style="24" customWidth="1"/>
    <col min="4861" max="4862" width="6.140625" style="24" customWidth="1"/>
    <col min="4863" max="4863" width="6.42578125" style="24" customWidth="1"/>
    <col min="4864" max="4864" width="6.85546875" style="24" customWidth="1"/>
    <col min="4865" max="4865" width="12.5703125" style="24" customWidth="1"/>
    <col min="4866" max="4866" width="12" style="24" customWidth="1"/>
    <col min="4867" max="4867" width="12.140625" style="24" customWidth="1"/>
    <col min="4868" max="4868" width="14.42578125" style="24" customWidth="1"/>
    <col min="4869" max="5114" width="9.140625" style="24"/>
    <col min="5115" max="5115" width="5.42578125" style="24" customWidth="1"/>
    <col min="5116" max="5116" width="7.5703125" style="24" customWidth="1"/>
    <col min="5117" max="5118" width="6.140625" style="24" customWidth="1"/>
    <col min="5119" max="5119" width="6.42578125" style="24" customWidth="1"/>
    <col min="5120" max="5120" width="6.85546875" style="24" customWidth="1"/>
    <col min="5121" max="5121" width="12.5703125" style="24" customWidth="1"/>
    <col min="5122" max="5122" width="12" style="24" customWidth="1"/>
    <col min="5123" max="5123" width="12.140625" style="24" customWidth="1"/>
    <col min="5124" max="5124" width="14.42578125" style="24" customWidth="1"/>
    <col min="5125" max="5370" width="9.140625" style="24"/>
    <col min="5371" max="5371" width="5.42578125" style="24" customWidth="1"/>
    <col min="5372" max="5372" width="7.5703125" style="24" customWidth="1"/>
    <col min="5373" max="5374" width="6.140625" style="24" customWidth="1"/>
    <col min="5375" max="5375" width="6.42578125" style="24" customWidth="1"/>
    <col min="5376" max="5376" width="6.85546875" style="24" customWidth="1"/>
    <col min="5377" max="5377" width="12.5703125" style="24" customWidth="1"/>
    <col min="5378" max="5378" width="12" style="24" customWidth="1"/>
    <col min="5379" max="5379" width="12.140625" style="24" customWidth="1"/>
    <col min="5380" max="5380" width="14.42578125" style="24" customWidth="1"/>
    <col min="5381" max="5626" width="9.140625" style="24"/>
    <col min="5627" max="5627" width="5.42578125" style="24" customWidth="1"/>
    <col min="5628" max="5628" width="7.5703125" style="24" customWidth="1"/>
    <col min="5629" max="5630" width="6.140625" style="24" customWidth="1"/>
    <col min="5631" max="5631" width="6.42578125" style="24" customWidth="1"/>
    <col min="5632" max="5632" width="6.85546875" style="24" customWidth="1"/>
    <col min="5633" max="5633" width="12.5703125" style="24" customWidth="1"/>
    <col min="5634" max="5634" width="12" style="24" customWidth="1"/>
    <col min="5635" max="5635" width="12.140625" style="24" customWidth="1"/>
    <col min="5636" max="5636" width="14.42578125" style="24" customWidth="1"/>
    <col min="5637" max="5882" width="9.140625" style="24"/>
    <col min="5883" max="5883" width="5.42578125" style="24" customWidth="1"/>
    <col min="5884" max="5884" width="7.5703125" style="24" customWidth="1"/>
    <col min="5885" max="5886" width="6.140625" style="24" customWidth="1"/>
    <col min="5887" max="5887" width="6.42578125" style="24" customWidth="1"/>
    <col min="5888" max="5888" width="6.85546875" style="24" customWidth="1"/>
    <col min="5889" max="5889" width="12.5703125" style="24" customWidth="1"/>
    <col min="5890" max="5890" width="12" style="24" customWidth="1"/>
    <col min="5891" max="5891" width="12.140625" style="24" customWidth="1"/>
    <col min="5892" max="5892" width="14.42578125" style="24" customWidth="1"/>
    <col min="5893" max="6138" width="9.140625" style="24"/>
    <col min="6139" max="6139" width="5.42578125" style="24" customWidth="1"/>
    <col min="6140" max="6140" width="7.5703125" style="24" customWidth="1"/>
    <col min="6141" max="6142" width="6.140625" style="24" customWidth="1"/>
    <col min="6143" max="6143" width="6.42578125" style="24" customWidth="1"/>
    <col min="6144" max="6144" width="6.85546875" style="24" customWidth="1"/>
    <col min="6145" max="6145" width="12.5703125" style="24" customWidth="1"/>
    <col min="6146" max="6146" width="12" style="24" customWidth="1"/>
    <col min="6147" max="6147" width="12.140625" style="24" customWidth="1"/>
    <col min="6148" max="6148" width="14.42578125" style="24" customWidth="1"/>
    <col min="6149" max="6394" width="9.140625" style="24"/>
    <col min="6395" max="6395" width="5.42578125" style="24" customWidth="1"/>
    <col min="6396" max="6396" width="7.5703125" style="24" customWidth="1"/>
    <col min="6397" max="6398" width="6.140625" style="24" customWidth="1"/>
    <col min="6399" max="6399" width="6.42578125" style="24" customWidth="1"/>
    <col min="6400" max="6400" width="6.85546875" style="24" customWidth="1"/>
    <col min="6401" max="6401" width="12.5703125" style="24" customWidth="1"/>
    <col min="6402" max="6402" width="12" style="24" customWidth="1"/>
    <col min="6403" max="6403" width="12.140625" style="24" customWidth="1"/>
    <col min="6404" max="6404" width="14.42578125" style="24" customWidth="1"/>
    <col min="6405" max="6650" width="9.140625" style="24"/>
    <col min="6651" max="6651" width="5.42578125" style="24" customWidth="1"/>
    <col min="6652" max="6652" width="7.5703125" style="24" customWidth="1"/>
    <col min="6653" max="6654" width="6.140625" style="24" customWidth="1"/>
    <col min="6655" max="6655" width="6.42578125" style="24" customWidth="1"/>
    <col min="6656" max="6656" width="6.85546875" style="24" customWidth="1"/>
    <col min="6657" max="6657" width="12.5703125" style="24" customWidth="1"/>
    <col min="6658" max="6658" width="12" style="24" customWidth="1"/>
    <col min="6659" max="6659" width="12.140625" style="24" customWidth="1"/>
    <col min="6660" max="6660" width="14.42578125" style="24" customWidth="1"/>
    <col min="6661" max="6906" width="9.140625" style="24"/>
    <col min="6907" max="6907" width="5.42578125" style="24" customWidth="1"/>
    <col min="6908" max="6908" width="7.5703125" style="24" customWidth="1"/>
    <col min="6909" max="6910" width="6.140625" style="24" customWidth="1"/>
    <col min="6911" max="6911" width="6.42578125" style="24" customWidth="1"/>
    <col min="6912" max="6912" width="6.85546875" style="24" customWidth="1"/>
    <col min="6913" max="6913" width="12.5703125" style="24" customWidth="1"/>
    <col min="6914" max="6914" width="12" style="24" customWidth="1"/>
    <col min="6915" max="6915" width="12.140625" style="24" customWidth="1"/>
    <col min="6916" max="6916" width="14.42578125" style="24" customWidth="1"/>
    <col min="6917" max="7162" width="9.140625" style="24"/>
    <col min="7163" max="7163" width="5.42578125" style="24" customWidth="1"/>
    <col min="7164" max="7164" width="7.5703125" style="24" customWidth="1"/>
    <col min="7165" max="7166" width="6.140625" style="24" customWidth="1"/>
    <col min="7167" max="7167" width="6.42578125" style="24" customWidth="1"/>
    <col min="7168" max="7168" width="6.85546875" style="24" customWidth="1"/>
    <col min="7169" max="7169" width="12.5703125" style="24" customWidth="1"/>
    <col min="7170" max="7170" width="12" style="24" customWidth="1"/>
    <col min="7171" max="7171" width="12.140625" style="24" customWidth="1"/>
    <col min="7172" max="7172" width="14.42578125" style="24" customWidth="1"/>
    <col min="7173" max="7418" width="9.140625" style="24"/>
    <col min="7419" max="7419" width="5.42578125" style="24" customWidth="1"/>
    <col min="7420" max="7420" width="7.5703125" style="24" customWidth="1"/>
    <col min="7421" max="7422" width="6.140625" style="24" customWidth="1"/>
    <col min="7423" max="7423" width="6.42578125" style="24" customWidth="1"/>
    <col min="7424" max="7424" width="6.85546875" style="24" customWidth="1"/>
    <col min="7425" max="7425" width="12.5703125" style="24" customWidth="1"/>
    <col min="7426" max="7426" width="12" style="24" customWidth="1"/>
    <col min="7427" max="7427" width="12.140625" style="24" customWidth="1"/>
    <col min="7428" max="7428" width="14.42578125" style="24" customWidth="1"/>
    <col min="7429" max="7674" width="9.140625" style="24"/>
    <col min="7675" max="7675" width="5.42578125" style="24" customWidth="1"/>
    <col min="7676" max="7676" width="7.5703125" style="24" customWidth="1"/>
    <col min="7677" max="7678" width="6.140625" style="24" customWidth="1"/>
    <col min="7679" max="7679" width="6.42578125" style="24" customWidth="1"/>
    <col min="7680" max="7680" width="6.85546875" style="24" customWidth="1"/>
    <col min="7681" max="7681" width="12.5703125" style="24" customWidth="1"/>
    <col min="7682" max="7682" width="12" style="24" customWidth="1"/>
    <col min="7683" max="7683" width="12.140625" style="24" customWidth="1"/>
    <col min="7684" max="7684" width="14.42578125" style="24" customWidth="1"/>
    <col min="7685" max="7930" width="9.140625" style="24"/>
    <col min="7931" max="7931" width="5.42578125" style="24" customWidth="1"/>
    <col min="7932" max="7932" width="7.5703125" style="24" customWidth="1"/>
    <col min="7933" max="7934" width="6.140625" style="24" customWidth="1"/>
    <col min="7935" max="7935" width="6.42578125" style="24" customWidth="1"/>
    <col min="7936" max="7936" width="6.85546875" style="24" customWidth="1"/>
    <col min="7937" max="7937" width="12.5703125" style="24" customWidth="1"/>
    <col min="7938" max="7938" width="12" style="24" customWidth="1"/>
    <col min="7939" max="7939" width="12.140625" style="24" customWidth="1"/>
    <col min="7940" max="7940" width="14.42578125" style="24" customWidth="1"/>
    <col min="7941" max="8186" width="9.140625" style="24"/>
    <col min="8187" max="8187" width="5.42578125" style="24" customWidth="1"/>
    <col min="8188" max="8188" width="7.5703125" style="24" customWidth="1"/>
    <col min="8189" max="8190" width="6.140625" style="24" customWidth="1"/>
    <col min="8191" max="8191" width="6.42578125" style="24" customWidth="1"/>
    <col min="8192" max="8192" width="6.85546875" style="24" customWidth="1"/>
    <col min="8193" max="8193" width="12.5703125" style="24" customWidth="1"/>
    <col min="8194" max="8194" width="12" style="24" customWidth="1"/>
    <col min="8195" max="8195" width="12.140625" style="24" customWidth="1"/>
    <col min="8196" max="8196" width="14.42578125" style="24" customWidth="1"/>
    <col min="8197" max="8442" width="9.140625" style="24"/>
    <col min="8443" max="8443" width="5.42578125" style="24" customWidth="1"/>
    <col min="8444" max="8444" width="7.5703125" style="24" customWidth="1"/>
    <col min="8445" max="8446" width="6.140625" style="24" customWidth="1"/>
    <col min="8447" max="8447" width="6.42578125" style="24" customWidth="1"/>
    <col min="8448" max="8448" width="6.85546875" style="24" customWidth="1"/>
    <col min="8449" max="8449" width="12.5703125" style="24" customWidth="1"/>
    <col min="8450" max="8450" width="12" style="24" customWidth="1"/>
    <col min="8451" max="8451" width="12.140625" style="24" customWidth="1"/>
    <col min="8452" max="8452" width="14.42578125" style="24" customWidth="1"/>
    <col min="8453" max="8698" width="9.140625" style="24"/>
    <col min="8699" max="8699" width="5.42578125" style="24" customWidth="1"/>
    <col min="8700" max="8700" width="7.5703125" style="24" customWidth="1"/>
    <col min="8701" max="8702" width="6.140625" style="24" customWidth="1"/>
    <col min="8703" max="8703" width="6.42578125" style="24" customWidth="1"/>
    <col min="8704" max="8704" width="6.85546875" style="24" customWidth="1"/>
    <col min="8705" max="8705" width="12.5703125" style="24" customWidth="1"/>
    <col min="8706" max="8706" width="12" style="24" customWidth="1"/>
    <col min="8707" max="8707" width="12.140625" style="24" customWidth="1"/>
    <col min="8708" max="8708" width="14.42578125" style="24" customWidth="1"/>
    <col min="8709" max="8954" width="9.140625" style="24"/>
    <col min="8955" max="8955" width="5.42578125" style="24" customWidth="1"/>
    <col min="8956" max="8956" width="7.5703125" style="24" customWidth="1"/>
    <col min="8957" max="8958" width="6.140625" style="24" customWidth="1"/>
    <col min="8959" max="8959" width="6.42578125" style="24" customWidth="1"/>
    <col min="8960" max="8960" width="6.85546875" style="24" customWidth="1"/>
    <col min="8961" max="8961" width="12.5703125" style="24" customWidth="1"/>
    <col min="8962" max="8962" width="12" style="24" customWidth="1"/>
    <col min="8963" max="8963" width="12.140625" style="24" customWidth="1"/>
    <col min="8964" max="8964" width="14.42578125" style="24" customWidth="1"/>
    <col min="8965" max="9210" width="9.140625" style="24"/>
    <col min="9211" max="9211" width="5.42578125" style="24" customWidth="1"/>
    <col min="9212" max="9212" width="7.5703125" style="24" customWidth="1"/>
    <col min="9213" max="9214" width="6.140625" style="24" customWidth="1"/>
    <col min="9215" max="9215" width="6.42578125" style="24" customWidth="1"/>
    <col min="9216" max="9216" width="6.85546875" style="24" customWidth="1"/>
    <col min="9217" max="9217" width="12.5703125" style="24" customWidth="1"/>
    <col min="9218" max="9218" width="12" style="24" customWidth="1"/>
    <col min="9219" max="9219" width="12.140625" style="24" customWidth="1"/>
    <col min="9220" max="9220" width="14.42578125" style="24" customWidth="1"/>
    <col min="9221" max="9466" width="9.140625" style="24"/>
    <col min="9467" max="9467" width="5.42578125" style="24" customWidth="1"/>
    <col min="9468" max="9468" width="7.5703125" style="24" customWidth="1"/>
    <col min="9469" max="9470" width="6.140625" style="24" customWidth="1"/>
    <col min="9471" max="9471" width="6.42578125" style="24" customWidth="1"/>
    <col min="9472" max="9472" width="6.85546875" style="24" customWidth="1"/>
    <col min="9473" max="9473" width="12.5703125" style="24" customWidth="1"/>
    <col min="9474" max="9474" width="12" style="24" customWidth="1"/>
    <col min="9475" max="9475" width="12.140625" style="24" customWidth="1"/>
    <col min="9476" max="9476" width="14.42578125" style="24" customWidth="1"/>
    <col min="9477" max="9722" width="9.140625" style="24"/>
    <col min="9723" max="9723" width="5.42578125" style="24" customWidth="1"/>
    <col min="9724" max="9724" width="7.5703125" style="24" customWidth="1"/>
    <col min="9725" max="9726" width="6.140625" style="24" customWidth="1"/>
    <col min="9727" max="9727" width="6.42578125" style="24" customWidth="1"/>
    <col min="9728" max="9728" width="6.85546875" style="24" customWidth="1"/>
    <col min="9729" max="9729" width="12.5703125" style="24" customWidth="1"/>
    <col min="9730" max="9730" width="12" style="24" customWidth="1"/>
    <col min="9731" max="9731" width="12.140625" style="24" customWidth="1"/>
    <col min="9732" max="9732" width="14.42578125" style="24" customWidth="1"/>
    <col min="9733" max="9978" width="9.140625" style="24"/>
    <col min="9979" max="9979" width="5.42578125" style="24" customWidth="1"/>
    <col min="9980" max="9980" width="7.5703125" style="24" customWidth="1"/>
    <col min="9981" max="9982" width="6.140625" style="24" customWidth="1"/>
    <col min="9983" max="9983" width="6.42578125" style="24" customWidth="1"/>
    <col min="9984" max="9984" width="6.85546875" style="24" customWidth="1"/>
    <col min="9985" max="9985" width="12.5703125" style="24" customWidth="1"/>
    <col min="9986" max="9986" width="12" style="24" customWidth="1"/>
    <col min="9987" max="9987" width="12.140625" style="24" customWidth="1"/>
    <col min="9988" max="9988" width="14.42578125" style="24" customWidth="1"/>
    <col min="9989" max="10234" width="9.140625" style="24"/>
    <col min="10235" max="10235" width="5.42578125" style="24" customWidth="1"/>
    <col min="10236" max="10236" width="7.5703125" style="24" customWidth="1"/>
    <col min="10237" max="10238" width="6.140625" style="24" customWidth="1"/>
    <col min="10239" max="10239" width="6.42578125" style="24" customWidth="1"/>
    <col min="10240" max="10240" width="6.85546875" style="24" customWidth="1"/>
    <col min="10241" max="10241" width="12.5703125" style="24" customWidth="1"/>
    <col min="10242" max="10242" width="12" style="24" customWidth="1"/>
    <col min="10243" max="10243" width="12.140625" style="24" customWidth="1"/>
    <col min="10244" max="10244" width="14.42578125" style="24" customWidth="1"/>
    <col min="10245" max="10490" width="9.140625" style="24"/>
    <col min="10491" max="10491" width="5.42578125" style="24" customWidth="1"/>
    <col min="10492" max="10492" width="7.5703125" style="24" customWidth="1"/>
    <col min="10493" max="10494" width="6.140625" style="24" customWidth="1"/>
    <col min="10495" max="10495" width="6.42578125" style="24" customWidth="1"/>
    <col min="10496" max="10496" width="6.85546875" style="24" customWidth="1"/>
    <col min="10497" max="10497" width="12.5703125" style="24" customWidth="1"/>
    <col min="10498" max="10498" width="12" style="24" customWidth="1"/>
    <col min="10499" max="10499" width="12.140625" style="24" customWidth="1"/>
    <col min="10500" max="10500" width="14.42578125" style="24" customWidth="1"/>
    <col min="10501" max="10746" width="9.140625" style="24"/>
    <col min="10747" max="10747" width="5.42578125" style="24" customWidth="1"/>
    <col min="10748" max="10748" width="7.5703125" style="24" customWidth="1"/>
    <col min="10749" max="10750" width="6.140625" style="24" customWidth="1"/>
    <col min="10751" max="10751" width="6.42578125" style="24" customWidth="1"/>
    <col min="10752" max="10752" width="6.85546875" style="24" customWidth="1"/>
    <col min="10753" max="10753" width="12.5703125" style="24" customWidth="1"/>
    <col min="10754" max="10754" width="12" style="24" customWidth="1"/>
    <col min="10755" max="10755" width="12.140625" style="24" customWidth="1"/>
    <col min="10756" max="10756" width="14.42578125" style="24" customWidth="1"/>
    <col min="10757" max="11002" width="9.140625" style="24"/>
    <col min="11003" max="11003" width="5.42578125" style="24" customWidth="1"/>
    <col min="11004" max="11004" width="7.5703125" style="24" customWidth="1"/>
    <col min="11005" max="11006" width="6.140625" style="24" customWidth="1"/>
    <col min="11007" max="11007" width="6.42578125" style="24" customWidth="1"/>
    <col min="11008" max="11008" width="6.85546875" style="24" customWidth="1"/>
    <col min="11009" max="11009" width="12.5703125" style="24" customWidth="1"/>
    <col min="11010" max="11010" width="12" style="24" customWidth="1"/>
    <col min="11011" max="11011" width="12.140625" style="24" customWidth="1"/>
    <col min="11012" max="11012" width="14.42578125" style="24" customWidth="1"/>
    <col min="11013" max="11258" width="9.140625" style="24"/>
    <col min="11259" max="11259" width="5.42578125" style="24" customWidth="1"/>
    <col min="11260" max="11260" width="7.5703125" style="24" customWidth="1"/>
    <col min="11261" max="11262" width="6.140625" style="24" customWidth="1"/>
    <col min="11263" max="11263" width="6.42578125" style="24" customWidth="1"/>
    <col min="11264" max="11264" width="6.85546875" style="24" customWidth="1"/>
    <col min="11265" max="11265" width="12.5703125" style="24" customWidth="1"/>
    <col min="11266" max="11266" width="12" style="24" customWidth="1"/>
    <col min="11267" max="11267" width="12.140625" style="24" customWidth="1"/>
    <col min="11268" max="11268" width="14.42578125" style="24" customWidth="1"/>
    <col min="11269" max="11514" width="9.140625" style="24"/>
    <col min="11515" max="11515" width="5.42578125" style="24" customWidth="1"/>
    <col min="11516" max="11516" width="7.5703125" style="24" customWidth="1"/>
    <col min="11517" max="11518" width="6.140625" style="24" customWidth="1"/>
    <col min="11519" max="11519" width="6.42578125" style="24" customWidth="1"/>
    <col min="11520" max="11520" width="6.85546875" style="24" customWidth="1"/>
    <col min="11521" max="11521" width="12.5703125" style="24" customWidth="1"/>
    <col min="11522" max="11522" width="12" style="24" customWidth="1"/>
    <col min="11523" max="11523" width="12.140625" style="24" customWidth="1"/>
    <col min="11524" max="11524" width="14.42578125" style="24" customWidth="1"/>
    <col min="11525" max="11770" width="9.140625" style="24"/>
    <col min="11771" max="11771" width="5.42578125" style="24" customWidth="1"/>
    <col min="11772" max="11772" width="7.5703125" style="24" customWidth="1"/>
    <col min="11773" max="11774" width="6.140625" style="24" customWidth="1"/>
    <col min="11775" max="11775" width="6.42578125" style="24" customWidth="1"/>
    <col min="11776" max="11776" width="6.85546875" style="24" customWidth="1"/>
    <col min="11777" max="11777" width="12.5703125" style="24" customWidth="1"/>
    <col min="11778" max="11778" width="12" style="24" customWidth="1"/>
    <col min="11779" max="11779" width="12.140625" style="24" customWidth="1"/>
    <col min="11780" max="11780" width="14.42578125" style="24" customWidth="1"/>
    <col min="11781" max="12026" width="9.140625" style="24"/>
    <col min="12027" max="12027" width="5.42578125" style="24" customWidth="1"/>
    <col min="12028" max="12028" width="7.5703125" style="24" customWidth="1"/>
    <col min="12029" max="12030" width="6.140625" style="24" customWidth="1"/>
    <col min="12031" max="12031" width="6.42578125" style="24" customWidth="1"/>
    <col min="12032" max="12032" width="6.85546875" style="24" customWidth="1"/>
    <col min="12033" max="12033" width="12.5703125" style="24" customWidth="1"/>
    <col min="12034" max="12034" width="12" style="24" customWidth="1"/>
    <col min="12035" max="12035" width="12.140625" style="24" customWidth="1"/>
    <col min="12036" max="12036" width="14.42578125" style="24" customWidth="1"/>
    <col min="12037" max="12282" width="9.140625" style="24"/>
    <col min="12283" max="12283" width="5.42578125" style="24" customWidth="1"/>
    <col min="12284" max="12284" width="7.5703125" style="24" customWidth="1"/>
    <col min="12285" max="12286" width="6.140625" style="24" customWidth="1"/>
    <col min="12287" max="12287" width="6.42578125" style="24" customWidth="1"/>
    <col min="12288" max="12288" width="6.85546875" style="24" customWidth="1"/>
    <col min="12289" max="12289" width="12.5703125" style="24" customWidth="1"/>
    <col min="12290" max="12290" width="12" style="24" customWidth="1"/>
    <col min="12291" max="12291" width="12.140625" style="24" customWidth="1"/>
    <col min="12292" max="12292" width="14.42578125" style="24" customWidth="1"/>
    <col min="12293" max="12538" width="9.140625" style="24"/>
    <col min="12539" max="12539" width="5.42578125" style="24" customWidth="1"/>
    <col min="12540" max="12540" width="7.5703125" style="24" customWidth="1"/>
    <col min="12541" max="12542" width="6.140625" style="24" customWidth="1"/>
    <col min="12543" max="12543" width="6.42578125" style="24" customWidth="1"/>
    <col min="12544" max="12544" width="6.85546875" style="24" customWidth="1"/>
    <col min="12545" max="12545" width="12.5703125" style="24" customWidth="1"/>
    <col min="12546" max="12546" width="12" style="24" customWidth="1"/>
    <col min="12547" max="12547" width="12.140625" style="24" customWidth="1"/>
    <col min="12548" max="12548" width="14.42578125" style="24" customWidth="1"/>
    <col min="12549" max="12794" width="9.140625" style="24"/>
    <col min="12795" max="12795" width="5.42578125" style="24" customWidth="1"/>
    <col min="12796" max="12796" width="7.5703125" style="24" customWidth="1"/>
    <col min="12797" max="12798" width="6.140625" style="24" customWidth="1"/>
    <col min="12799" max="12799" width="6.42578125" style="24" customWidth="1"/>
    <col min="12800" max="12800" width="6.85546875" style="24" customWidth="1"/>
    <col min="12801" max="12801" width="12.5703125" style="24" customWidth="1"/>
    <col min="12802" max="12802" width="12" style="24" customWidth="1"/>
    <col min="12803" max="12803" width="12.140625" style="24" customWidth="1"/>
    <col min="12804" max="12804" width="14.42578125" style="24" customWidth="1"/>
    <col min="12805" max="13050" width="9.140625" style="24"/>
    <col min="13051" max="13051" width="5.42578125" style="24" customWidth="1"/>
    <col min="13052" max="13052" width="7.5703125" style="24" customWidth="1"/>
    <col min="13053" max="13054" width="6.140625" style="24" customWidth="1"/>
    <col min="13055" max="13055" width="6.42578125" style="24" customWidth="1"/>
    <col min="13056" max="13056" width="6.85546875" style="24" customWidth="1"/>
    <col min="13057" max="13057" width="12.5703125" style="24" customWidth="1"/>
    <col min="13058" max="13058" width="12" style="24" customWidth="1"/>
    <col min="13059" max="13059" width="12.140625" style="24" customWidth="1"/>
    <col min="13060" max="13060" width="14.42578125" style="24" customWidth="1"/>
    <col min="13061" max="13306" width="9.140625" style="24"/>
    <col min="13307" max="13307" width="5.42578125" style="24" customWidth="1"/>
    <col min="13308" max="13308" width="7.5703125" style="24" customWidth="1"/>
    <col min="13309" max="13310" width="6.140625" style="24" customWidth="1"/>
    <col min="13311" max="13311" width="6.42578125" style="24" customWidth="1"/>
    <col min="13312" max="13312" width="6.85546875" style="24" customWidth="1"/>
    <col min="13313" max="13313" width="12.5703125" style="24" customWidth="1"/>
    <col min="13314" max="13314" width="12" style="24" customWidth="1"/>
    <col min="13315" max="13315" width="12.140625" style="24" customWidth="1"/>
    <col min="13316" max="13316" width="14.42578125" style="24" customWidth="1"/>
    <col min="13317" max="13562" width="9.140625" style="24"/>
    <col min="13563" max="13563" width="5.42578125" style="24" customWidth="1"/>
    <col min="13564" max="13564" width="7.5703125" style="24" customWidth="1"/>
    <col min="13565" max="13566" width="6.140625" style="24" customWidth="1"/>
    <col min="13567" max="13567" width="6.42578125" style="24" customWidth="1"/>
    <col min="13568" max="13568" width="6.85546875" style="24" customWidth="1"/>
    <col min="13569" max="13569" width="12.5703125" style="24" customWidth="1"/>
    <col min="13570" max="13570" width="12" style="24" customWidth="1"/>
    <col min="13571" max="13571" width="12.140625" style="24" customWidth="1"/>
    <col min="13572" max="13572" width="14.42578125" style="24" customWidth="1"/>
    <col min="13573" max="13818" width="9.140625" style="24"/>
    <col min="13819" max="13819" width="5.42578125" style="24" customWidth="1"/>
    <col min="13820" max="13820" width="7.5703125" style="24" customWidth="1"/>
    <col min="13821" max="13822" width="6.140625" style="24" customWidth="1"/>
    <col min="13823" max="13823" width="6.42578125" style="24" customWidth="1"/>
    <col min="13824" max="13824" width="6.85546875" style="24" customWidth="1"/>
    <col min="13825" max="13825" width="12.5703125" style="24" customWidth="1"/>
    <col min="13826" max="13826" width="12" style="24" customWidth="1"/>
    <col min="13827" max="13827" width="12.140625" style="24" customWidth="1"/>
    <col min="13828" max="13828" width="14.42578125" style="24" customWidth="1"/>
    <col min="13829" max="14074" width="9.140625" style="24"/>
    <col min="14075" max="14075" width="5.42578125" style="24" customWidth="1"/>
    <col min="14076" max="14076" width="7.5703125" style="24" customWidth="1"/>
    <col min="14077" max="14078" width="6.140625" style="24" customWidth="1"/>
    <col min="14079" max="14079" width="6.42578125" style="24" customWidth="1"/>
    <col min="14080" max="14080" width="6.85546875" style="24" customWidth="1"/>
    <col min="14081" max="14081" width="12.5703125" style="24" customWidth="1"/>
    <col min="14082" max="14082" width="12" style="24" customWidth="1"/>
    <col min="14083" max="14083" width="12.140625" style="24" customWidth="1"/>
    <col min="14084" max="14084" width="14.42578125" style="24" customWidth="1"/>
    <col min="14085" max="14330" width="9.140625" style="24"/>
    <col min="14331" max="14331" width="5.42578125" style="24" customWidth="1"/>
    <col min="14332" max="14332" width="7.5703125" style="24" customWidth="1"/>
    <col min="14333" max="14334" width="6.140625" style="24" customWidth="1"/>
    <col min="14335" max="14335" width="6.42578125" style="24" customWidth="1"/>
    <col min="14336" max="14336" width="6.85546875" style="24" customWidth="1"/>
    <col min="14337" max="14337" width="12.5703125" style="24" customWidth="1"/>
    <col min="14338" max="14338" width="12" style="24" customWidth="1"/>
    <col min="14339" max="14339" width="12.140625" style="24" customWidth="1"/>
    <col min="14340" max="14340" width="14.42578125" style="24" customWidth="1"/>
    <col min="14341" max="14586" width="9.140625" style="24"/>
    <col min="14587" max="14587" width="5.42578125" style="24" customWidth="1"/>
    <col min="14588" max="14588" width="7.5703125" style="24" customWidth="1"/>
    <col min="14589" max="14590" width="6.140625" style="24" customWidth="1"/>
    <col min="14591" max="14591" width="6.42578125" style="24" customWidth="1"/>
    <col min="14592" max="14592" width="6.85546875" style="24" customWidth="1"/>
    <col min="14593" max="14593" width="12.5703125" style="24" customWidth="1"/>
    <col min="14594" max="14594" width="12" style="24" customWidth="1"/>
    <col min="14595" max="14595" width="12.140625" style="24" customWidth="1"/>
    <col min="14596" max="14596" width="14.42578125" style="24" customWidth="1"/>
    <col min="14597" max="14842" width="9.140625" style="24"/>
    <col min="14843" max="14843" width="5.42578125" style="24" customWidth="1"/>
    <col min="14844" max="14844" width="7.5703125" style="24" customWidth="1"/>
    <col min="14845" max="14846" width="6.140625" style="24" customWidth="1"/>
    <col min="14847" max="14847" width="6.42578125" style="24" customWidth="1"/>
    <col min="14848" max="14848" width="6.85546875" style="24" customWidth="1"/>
    <col min="14849" max="14849" width="12.5703125" style="24" customWidth="1"/>
    <col min="14850" max="14850" width="12" style="24" customWidth="1"/>
    <col min="14851" max="14851" width="12.140625" style="24" customWidth="1"/>
    <col min="14852" max="14852" width="14.42578125" style="24" customWidth="1"/>
    <col min="14853" max="15098" width="9.140625" style="24"/>
    <col min="15099" max="15099" width="5.42578125" style="24" customWidth="1"/>
    <col min="15100" max="15100" width="7.5703125" style="24" customWidth="1"/>
    <col min="15101" max="15102" width="6.140625" style="24" customWidth="1"/>
    <col min="15103" max="15103" width="6.42578125" style="24" customWidth="1"/>
    <col min="15104" max="15104" width="6.85546875" style="24" customWidth="1"/>
    <col min="15105" max="15105" width="12.5703125" style="24" customWidth="1"/>
    <col min="15106" max="15106" width="12" style="24" customWidth="1"/>
    <col min="15107" max="15107" width="12.140625" style="24" customWidth="1"/>
    <col min="15108" max="15108" width="14.42578125" style="24" customWidth="1"/>
    <col min="15109" max="15354" width="9.140625" style="24"/>
    <col min="15355" max="15355" width="5.42578125" style="24" customWidth="1"/>
    <col min="15356" max="15356" width="7.5703125" style="24" customWidth="1"/>
    <col min="15357" max="15358" width="6.140625" style="24" customWidth="1"/>
    <col min="15359" max="15359" width="6.42578125" style="24" customWidth="1"/>
    <col min="15360" max="15360" width="6.85546875" style="24" customWidth="1"/>
    <col min="15361" max="15361" width="12.5703125" style="24" customWidth="1"/>
    <col min="15362" max="15362" width="12" style="24" customWidth="1"/>
    <col min="15363" max="15363" width="12.140625" style="24" customWidth="1"/>
    <col min="15364" max="15364" width="14.42578125" style="24" customWidth="1"/>
    <col min="15365" max="15610" width="9.140625" style="24"/>
    <col min="15611" max="15611" width="5.42578125" style="24" customWidth="1"/>
    <col min="15612" max="15612" width="7.5703125" style="24" customWidth="1"/>
    <col min="15613" max="15614" width="6.140625" style="24" customWidth="1"/>
    <col min="15615" max="15615" width="6.42578125" style="24" customWidth="1"/>
    <col min="15616" max="15616" width="6.85546875" style="24" customWidth="1"/>
    <col min="15617" max="15617" width="12.5703125" style="24" customWidth="1"/>
    <col min="15618" max="15618" width="12" style="24" customWidth="1"/>
    <col min="15619" max="15619" width="12.140625" style="24" customWidth="1"/>
    <col min="15620" max="15620" width="14.42578125" style="24" customWidth="1"/>
    <col min="15621" max="15866" width="9.140625" style="24"/>
    <col min="15867" max="15867" width="5.42578125" style="24" customWidth="1"/>
    <col min="15868" max="15868" width="7.5703125" style="24" customWidth="1"/>
    <col min="15869" max="15870" width="6.140625" style="24" customWidth="1"/>
    <col min="15871" max="15871" width="6.42578125" style="24" customWidth="1"/>
    <col min="15872" max="15872" width="6.85546875" style="24" customWidth="1"/>
    <col min="15873" max="15873" width="12.5703125" style="24" customWidth="1"/>
    <col min="15874" max="15874" width="12" style="24" customWidth="1"/>
    <col min="15875" max="15875" width="12.140625" style="24" customWidth="1"/>
    <col min="15876" max="15876" width="14.42578125" style="24" customWidth="1"/>
    <col min="15877" max="16122" width="9.140625" style="24"/>
    <col min="16123" max="16123" width="5.42578125" style="24" customWidth="1"/>
    <col min="16124" max="16124" width="7.5703125" style="24" customWidth="1"/>
    <col min="16125" max="16126" width="6.140625" style="24" customWidth="1"/>
    <col min="16127" max="16127" width="6.42578125" style="24" customWidth="1"/>
    <col min="16128" max="16128" width="6.85546875" style="24" customWidth="1"/>
    <col min="16129" max="16129" width="12.5703125" style="24" customWidth="1"/>
    <col min="16130" max="16130" width="12" style="24" customWidth="1"/>
    <col min="16131" max="16131" width="12.140625" style="24" customWidth="1"/>
    <col min="16132" max="16132" width="14.42578125" style="24" customWidth="1"/>
    <col min="16133" max="16384" width="9.140625" style="24"/>
  </cols>
  <sheetData>
    <row r="1" spans="1:4" ht="16.5" customHeight="1">
      <c r="D1" s="1589" t="s">
        <v>140</v>
      </c>
    </row>
    <row r="2" spans="1:4" ht="23.25" customHeight="1">
      <c r="A2" s="4771" t="s">
        <v>1289</v>
      </c>
      <c r="B2" s="4772"/>
      <c r="C2" s="4772"/>
      <c r="D2" s="4772"/>
    </row>
    <row r="3" spans="1:4" ht="21" customHeight="1">
      <c r="A3" s="4771" t="s">
        <v>1175</v>
      </c>
      <c r="B3" s="4771"/>
      <c r="C3" s="4771"/>
      <c r="D3" s="4771"/>
    </row>
    <row r="4" spans="1:4" ht="23.25" customHeight="1">
      <c r="A4" s="4773" t="str">
        <f>'Приложение '!A3:D3</f>
        <v>на ВОДОСНАБДЯВАНЕ И КАНАЛИЗАЦИЯ ЕООД, гр. ХАСКОВО</v>
      </c>
      <c r="B4" s="4773"/>
      <c r="C4" s="4773"/>
      <c r="D4" s="4773"/>
    </row>
    <row r="5" spans="1:4" ht="18" customHeight="1">
      <c r="A5" s="4773" t="str">
        <f>'Приложение '!A4:D4</f>
        <v>ЕИК по БУЛСТАТ: 126004284</v>
      </c>
      <c r="B5" s="4773"/>
      <c r="C5" s="4773"/>
      <c r="D5" s="4773"/>
    </row>
    <row r="6" spans="1:4" ht="13.5" thickBot="1"/>
    <row r="7" spans="1:4" ht="16.5" thickBot="1">
      <c r="A7" s="4774" t="s">
        <v>1</v>
      </c>
      <c r="B7" s="4776" t="s">
        <v>86</v>
      </c>
      <c r="C7" s="4777"/>
      <c r="D7" s="4778"/>
    </row>
    <row r="8" spans="1:4" ht="16.5" thickBot="1">
      <c r="A8" s="4775"/>
      <c r="B8" s="1590" t="s">
        <v>87</v>
      </c>
      <c r="C8" s="4779" t="s">
        <v>88</v>
      </c>
      <c r="D8" s="4780"/>
    </row>
    <row r="9" spans="1:4" ht="16.5" thickBot="1">
      <c r="A9" s="1591" t="s">
        <v>141</v>
      </c>
      <c r="B9" s="1592" t="s">
        <v>142</v>
      </c>
      <c r="C9" s="4783"/>
      <c r="D9" s="4784"/>
    </row>
    <row r="10" spans="1:4" ht="15.75">
      <c r="A10" s="1593" t="s">
        <v>90</v>
      </c>
      <c r="B10" s="1594" t="s">
        <v>143</v>
      </c>
      <c r="C10" s="340" t="str">
        <f>'Приложение '!C8&amp;", "&amp;'Приложение '!C9:D9</f>
        <v>ВОДОСНАБДЯВАНЕ И КАНАЛИЗАЦИЯ ЕООД, ХАСКОВО</v>
      </c>
      <c r="D10" s="341"/>
    </row>
    <row r="11" spans="1:4" ht="15.75">
      <c r="A11" s="1593"/>
      <c r="B11" s="1595" t="s">
        <v>94</v>
      </c>
      <c r="C11" s="3692">
        <f>'Приложение '!C10</f>
        <v>126004284</v>
      </c>
      <c r="D11" s="342"/>
    </row>
    <row r="12" spans="1:4" ht="15.75">
      <c r="A12" s="1596" t="s">
        <v>93</v>
      </c>
      <c r="B12" s="1595" t="s">
        <v>144</v>
      </c>
      <c r="C12" s="4781" t="s">
        <v>1946</v>
      </c>
      <c r="D12" s="4782"/>
    </row>
    <row r="13" spans="1:4" ht="15.75">
      <c r="A13" s="1596" t="s">
        <v>145</v>
      </c>
      <c r="B13" s="1595" t="s">
        <v>146</v>
      </c>
      <c r="C13" s="4781" t="s">
        <v>1947</v>
      </c>
      <c r="D13" s="4782"/>
    </row>
    <row r="14" spans="1:4" ht="15.75">
      <c r="A14" s="1596"/>
      <c r="B14" s="1595" t="s">
        <v>1769</v>
      </c>
      <c r="C14" s="4781" t="s">
        <v>1948</v>
      </c>
      <c r="D14" s="4782"/>
    </row>
    <row r="15" spans="1:4" ht="15.75">
      <c r="A15" s="1596" t="s">
        <v>147</v>
      </c>
      <c r="B15" s="1595" t="s">
        <v>148</v>
      </c>
      <c r="C15" s="4781" t="s">
        <v>1949</v>
      </c>
      <c r="D15" s="4782"/>
    </row>
    <row r="16" spans="1:4" ht="15.75">
      <c r="A16" s="1596" t="s">
        <v>149</v>
      </c>
      <c r="B16" s="1595" t="s">
        <v>150</v>
      </c>
      <c r="C16" s="4789"/>
      <c r="D16" s="4790"/>
    </row>
    <row r="17" spans="1:4" ht="15.75">
      <c r="A17" s="1596" t="s">
        <v>151</v>
      </c>
      <c r="B17" s="1595" t="s">
        <v>152</v>
      </c>
      <c r="C17" s="4789"/>
      <c r="D17" s="4790"/>
    </row>
    <row r="18" spans="1:4" ht="15.75">
      <c r="A18" s="1596" t="s">
        <v>153</v>
      </c>
      <c r="B18" s="1595" t="s">
        <v>154</v>
      </c>
      <c r="C18" s="4789"/>
      <c r="D18" s="4790"/>
    </row>
    <row r="19" spans="1:4" ht="15.75">
      <c r="A19" s="1596" t="s">
        <v>155</v>
      </c>
      <c r="B19" s="1595" t="s">
        <v>156</v>
      </c>
      <c r="C19" s="4789"/>
      <c r="D19" s="4790"/>
    </row>
    <row r="20" spans="1:4" ht="15.75">
      <c r="A20" s="1596"/>
      <c r="B20" s="1595"/>
      <c r="C20" s="4718"/>
      <c r="D20" s="4719"/>
    </row>
    <row r="21" spans="1:4" ht="15.75">
      <c r="A21" s="1596"/>
      <c r="B21" s="1595"/>
      <c r="C21" s="4718"/>
      <c r="D21" s="4719"/>
    </row>
    <row r="22" spans="1:4" ht="15.75">
      <c r="A22" s="1596"/>
      <c r="B22" s="1595"/>
      <c r="C22" s="4718"/>
      <c r="D22" s="4719"/>
    </row>
    <row r="23" spans="1:4" ht="15.75">
      <c r="A23" s="1596"/>
      <c r="B23" s="1595"/>
      <c r="C23" s="4718"/>
      <c r="D23" s="4719"/>
    </row>
    <row r="24" spans="1:4" ht="15.75">
      <c r="A24" s="1596"/>
      <c r="B24" s="1595"/>
      <c r="C24" s="4718"/>
      <c r="D24" s="4719"/>
    </row>
    <row r="25" spans="1:4" ht="16.5" thickBot="1">
      <c r="A25" s="1597"/>
      <c r="B25" s="1598"/>
      <c r="C25" s="4769" t="s">
        <v>1114</v>
      </c>
      <c r="D25" s="4770"/>
    </row>
    <row r="26" spans="1:4" s="34" customFormat="1" ht="16.5" thickBot="1">
      <c r="A26" s="1599" t="s">
        <v>95</v>
      </c>
      <c r="B26" s="1600" t="s">
        <v>1175</v>
      </c>
      <c r="C26" s="4785"/>
      <c r="D26" s="4786"/>
    </row>
    <row r="27" spans="1:4" s="34" customFormat="1" ht="19.5" customHeight="1">
      <c r="A27" s="1601" t="s">
        <v>96</v>
      </c>
      <c r="B27" s="1602" t="s">
        <v>1176</v>
      </c>
      <c r="C27" s="4787"/>
      <c r="D27" s="4788"/>
    </row>
    <row r="28" spans="1:4" s="34" customFormat="1" ht="15.75">
      <c r="A28" s="3656" t="s">
        <v>573</v>
      </c>
      <c r="B28" s="3657" t="s">
        <v>1177</v>
      </c>
      <c r="C28" s="4763" t="str">
        <f>IF('4. Отчет и прогн. потребление'!D9&gt;0,"Да","Не")</f>
        <v>Да</v>
      </c>
      <c r="D28" s="4764"/>
    </row>
    <row r="29" spans="1:4" s="34" customFormat="1" ht="15.75">
      <c r="A29" s="3656" t="s">
        <v>577</v>
      </c>
      <c r="B29" s="3657" t="s">
        <v>1178</v>
      </c>
      <c r="C29" s="4763" t="str">
        <f>IF('4. Отчет и прогн. потребление'!D48&gt;0,"Да","Не")</f>
        <v>Да</v>
      </c>
      <c r="D29" s="4764"/>
    </row>
    <row r="30" spans="1:4" s="34" customFormat="1" ht="15.75">
      <c r="A30" s="3656" t="s">
        <v>1179</v>
      </c>
      <c r="B30" s="3657" t="s">
        <v>1180</v>
      </c>
      <c r="C30" s="4763" t="str">
        <f>IF('4. Отчет и прогн. потребление'!D53&gt;0,"Да","Не")</f>
        <v>Да</v>
      </c>
      <c r="D30" s="4764"/>
    </row>
    <row r="31" spans="1:4" s="34" customFormat="1" ht="15.75">
      <c r="A31" s="1601" t="s">
        <v>1181</v>
      </c>
      <c r="B31" s="1603" t="s">
        <v>1029</v>
      </c>
      <c r="C31" s="4763" t="str">
        <f>IF('4. Отчет и прогн. потребление'!D62&gt;0,"Да","Не")</f>
        <v>Не</v>
      </c>
      <c r="D31" s="4764"/>
    </row>
    <row r="32" spans="1:4" s="34" customFormat="1" ht="15.75">
      <c r="A32" s="1601" t="s">
        <v>1182</v>
      </c>
      <c r="B32" s="1603" t="s">
        <v>1183</v>
      </c>
      <c r="C32" s="4763" t="str">
        <f>IF(OR(C33="Да",C34="Да",C35="Да"),"Да","Не")</f>
        <v>Не</v>
      </c>
      <c r="D32" s="4764"/>
    </row>
    <row r="33" spans="1:5" s="34" customFormat="1" ht="15.75">
      <c r="A33" s="1601" t="s">
        <v>1184</v>
      </c>
      <c r="B33" s="595"/>
      <c r="C33" s="4763" t="str">
        <f>IF('4.2. Продад. и закупени кол-ва'!D10&gt;0,"Да","Не")</f>
        <v>Не</v>
      </c>
      <c r="D33" s="4764"/>
    </row>
    <row r="34" spans="1:5" s="34" customFormat="1" ht="15.75">
      <c r="A34" s="1601" t="s">
        <v>1185</v>
      </c>
      <c r="B34" s="595"/>
      <c r="C34" s="4763" t="str">
        <f>IF('4.2. Продад. и закупени кол-ва'!D29&gt;0,"Да","Не")</f>
        <v>Не</v>
      </c>
      <c r="D34" s="4764"/>
    </row>
    <row r="35" spans="1:5" s="34" customFormat="1" ht="16.5" thickBot="1">
      <c r="A35" s="1601" t="s">
        <v>1186</v>
      </c>
      <c r="B35" s="595"/>
      <c r="C35" s="4763" t="str">
        <f>IF('4.2. Продад. и закупени кол-ва'!D48&gt;0,"Да","Не")</f>
        <v>Не</v>
      </c>
      <c r="D35" s="4764"/>
    </row>
    <row r="36" spans="1:5" s="34" customFormat="1" ht="16.5" thickBot="1">
      <c r="A36" s="1599" t="s">
        <v>99</v>
      </c>
      <c r="B36" s="1600" t="s">
        <v>1187</v>
      </c>
      <c r="C36" s="3693"/>
      <c r="D36" s="3694"/>
    </row>
    <row r="37" spans="1:5" s="34" customFormat="1" ht="36.75" customHeight="1">
      <c r="A37" s="1604"/>
      <c r="B37" s="1605" t="s">
        <v>1188</v>
      </c>
      <c r="C37" s="4675" t="s">
        <v>1950</v>
      </c>
      <c r="D37" s="4676"/>
    </row>
    <row r="38" spans="1:5" s="34" customFormat="1" ht="39.75" customHeight="1">
      <c r="A38" s="1604"/>
      <c r="B38" s="1605" t="s">
        <v>1189</v>
      </c>
      <c r="C38" s="4675" t="s">
        <v>1950</v>
      </c>
      <c r="D38" s="4676"/>
    </row>
    <row r="39" spans="1:5" s="34" customFormat="1" ht="39.75" customHeight="1" thickBot="1">
      <c r="A39" s="1606"/>
      <c r="B39" s="1607" t="s">
        <v>1190</v>
      </c>
      <c r="C39" s="4675" t="s">
        <v>1950</v>
      </c>
      <c r="D39" s="4676"/>
    </row>
    <row r="40" spans="1:5" s="34" customFormat="1" ht="15.75">
      <c r="A40" s="4418" t="s">
        <v>100</v>
      </c>
      <c r="B40" s="4419" t="s">
        <v>1876</v>
      </c>
      <c r="C40" s="4765">
        <v>1.95583</v>
      </c>
      <c r="D40" s="4766"/>
    </row>
    <row r="41" spans="1:5" ht="13.5" thickBot="1">
      <c r="A41" s="4421"/>
      <c r="B41" s="4420" t="s">
        <v>1873</v>
      </c>
      <c r="C41" s="4767" t="s">
        <v>1900</v>
      </c>
      <c r="D41" s="4768"/>
    </row>
    <row r="42" spans="1:5" ht="22.5" customHeight="1">
      <c r="B42" s="4417"/>
    </row>
    <row r="43" spans="1:5">
      <c r="B43" s="1608" t="str">
        <f>'Приложение '!B82</f>
        <v>Дата: 29.06.2026</v>
      </c>
      <c r="C43" s="1609"/>
      <c r="D43" s="1610"/>
    </row>
    <row r="44" spans="1:5">
      <c r="C44" s="36"/>
      <c r="D44" s="1611"/>
    </row>
    <row r="45" spans="1:5">
      <c r="B45" s="1608"/>
      <c r="C45" s="36"/>
      <c r="D45" s="1612"/>
    </row>
    <row r="46" spans="1:5" ht="15.75">
      <c r="A46" s="36" t="s">
        <v>555</v>
      </c>
      <c r="B46" s="1613"/>
      <c r="D46" s="1611"/>
    </row>
    <row r="47" spans="1:5">
      <c r="A47" s="3670" t="s">
        <v>188</v>
      </c>
      <c r="B47" s="1614"/>
      <c r="D47" s="1615"/>
      <c r="E47" s="3695"/>
    </row>
    <row r="48" spans="1:5" s="1613" customFormat="1" ht="15.75">
      <c r="A48" s="3670" t="s">
        <v>1438</v>
      </c>
      <c r="C48" s="1616"/>
    </row>
    <row r="49" spans="1:4" s="1617" customFormat="1" ht="27" customHeight="1">
      <c r="A49" s="4762" t="s">
        <v>1470</v>
      </c>
      <c r="B49" s="4762"/>
      <c r="C49" s="4762"/>
      <c r="D49" s="4762"/>
    </row>
    <row r="50" spans="1:4">
      <c r="C50" s="1618"/>
    </row>
  </sheetData>
  <sheetProtection algorithmName="SHA-512" hashValue="LBslglHkdTMI3E5LYeaFgCKPcWi0dIYwLlVmXD4SiM/YTuOey/neUtYVOnZuS59yLXTqHxa9imkzKDa+xHRwOA==" saltValue="Eb7X0KgLSUaN2VKFd3zH0A==" spinCount="100000" sheet="1" formatCells="0" formatColumns="0" insertRows="0"/>
  <mergeCells count="35">
    <mergeCell ref="C28:D28"/>
    <mergeCell ref="C29:D29"/>
    <mergeCell ref="C30:D30"/>
    <mergeCell ref="C9:D9"/>
    <mergeCell ref="C12:D12"/>
    <mergeCell ref="C13:D13"/>
    <mergeCell ref="C26:D26"/>
    <mergeCell ref="C27:D27"/>
    <mergeCell ref="C15:D15"/>
    <mergeCell ref="C16:D16"/>
    <mergeCell ref="C17:D17"/>
    <mergeCell ref="C18:D18"/>
    <mergeCell ref="C19:D19"/>
    <mergeCell ref="C20:D20"/>
    <mergeCell ref="C21:D21"/>
    <mergeCell ref="C22:D22"/>
    <mergeCell ref="C23:D23"/>
    <mergeCell ref="C24:D24"/>
    <mergeCell ref="C25:D25"/>
    <mergeCell ref="A2:D2"/>
    <mergeCell ref="A4:D4"/>
    <mergeCell ref="A5:D5"/>
    <mergeCell ref="A7:A8"/>
    <mergeCell ref="B7:D7"/>
    <mergeCell ref="C8:D8"/>
    <mergeCell ref="A3:D3"/>
    <mergeCell ref="C14:D14"/>
    <mergeCell ref="A49:D49"/>
    <mergeCell ref="C31:D31"/>
    <mergeCell ref="C34:D34"/>
    <mergeCell ref="C35:D35"/>
    <mergeCell ref="C32:D32"/>
    <mergeCell ref="C33:D33"/>
    <mergeCell ref="C40:D40"/>
    <mergeCell ref="C41:D41"/>
  </mergeCells>
  <printOptions horizontalCentered="1"/>
  <pageMargins left="0.74803149606299213" right="0.19685039370078741" top="0.39370078740157483" bottom="0.19685039370078741" header="0.51181102362204722" footer="0"/>
  <pageSetup paperSize="9" scale="85" orientation="portrait" r:id="rId1"/>
  <headerFooter alignWithMargins="0">
    <oddFooter>&amp;C&amp;A</oddFooter>
  </headerFooter>
  <ignoredErrors>
    <ignoredError sqref="A15:A19 A9:A10 A12:A13" numberStoredAsText="1"/>
    <ignoredError sqref="C1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BI156"/>
  <sheetViews>
    <sheetView showGridLines="0" zoomScale="80" zoomScaleNormal="80" zoomScaleSheetLayoutView="70" workbookViewId="0">
      <pane xSplit="2" ySplit="6" topLeftCell="C114" activePane="bottomRight" state="frozen"/>
      <selection pane="topRight" activeCell="C1" sqref="C1"/>
      <selection pane="bottomLeft" activeCell="A7" sqref="A7"/>
      <selection pane="bottomRight" activeCell="C116" sqref="C116:G125"/>
    </sheetView>
  </sheetViews>
  <sheetFormatPr defaultColWidth="9.140625" defaultRowHeight="12.75"/>
  <cols>
    <col min="1" max="1" width="14.42578125" style="3112" customWidth="1"/>
    <col min="2" max="2" width="61" style="3112" customWidth="1"/>
    <col min="3" max="27" width="9.140625" style="3112"/>
    <col min="28" max="28" width="3.5703125" style="3112" customWidth="1"/>
    <col min="29" max="16384" width="9.140625" style="3112"/>
  </cols>
  <sheetData>
    <row r="1" spans="1:53" ht="19.5" thickBot="1">
      <c r="A1" s="5121" t="str">
        <f>+'1. Обща информация'!B40</f>
        <v>Фиксиран курс на лева към 1 евро</v>
      </c>
      <c r="B1" s="5122"/>
      <c r="C1" s="5123"/>
      <c r="D1" s="5237">
        <f>+'1. Обща информация'!$C$40</f>
        <v>1.95583</v>
      </c>
      <c r="E1" s="5238"/>
      <c r="F1" s="1237"/>
      <c r="G1" s="1237"/>
      <c r="H1" s="1237"/>
      <c r="I1" s="1237"/>
      <c r="J1" s="1237"/>
      <c r="K1" s="1237"/>
      <c r="L1" s="1237"/>
      <c r="M1" s="1237"/>
      <c r="N1" s="1237"/>
      <c r="O1" s="1237"/>
      <c r="P1" s="1237"/>
      <c r="Q1" s="3082" t="s">
        <v>189</v>
      </c>
      <c r="R1" s="5321"/>
      <c r="S1" s="5321"/>
      <c r="T1" s="5321"/>
      <c r="U1" s="5321"/>
      <c r="V1" s="5321"/>
      <c r="W1" s="5321"/>
      <c r="X1" s="5321"/>
      <c r="Y1" s="3111"/>
      <c r="Z1" s="3111"/>
      <c r="AA1" s="3111"/>
      <c r="AD1" s="4468"/>
      <c r="AE1" s="4468"/>
      <c r="AF1" s="1237"/>
      <c r="AG1" s="1237"/>
      <c r="AH1" s="1237"/>
      <c r="AI1" s="1237"/>
      <c r="AJ1" s="1237"/>
      <c r="AK1" s="1237"/>
      <c r="AL1" s="1237"/>
      <c r="AM1" s="1237"/>
      <c r="AN1" s="1237"/>
      <c r="AO1" s="1237"/>
      <c r="AP1" s="1237"/>
      <c r="AQ1" s="3082"/>
      <c r="AR1" s="5321"/>
      <c r="AS1" s="5321"/>
      <c r="AT1" s="5321"/>
      <c r="AU1" s="5321"/>
      <c r="AV1" s="5321"/>
      <c r="AW1" s="5321"/>
      <c r="AX1" s="5321"/>
      <c r="AY1" s="3111"/>
      <c r="AZ1" s="3111"/>
      <c r="BA1" s="3111"/>
    </row>
    <row r="2" spans="1:53" ht="18.75" customHeight="1">
      <c r="A2" s="5321" t="s">
        <v>1474</v>
      </c>
      <c r="B2" s="5321"/>
      <c r="C2" s="5321"/>
      <c r="D2" s="5321"/>
      <c r="E2" s="5321"/>
      <c r="F2" s="5321"/>
      <c r="G2" s="5321"/>
      <c r="H2" s="5321"/>
      <c r="I2" s="5321"/>
      <c r="J2" s="5321"/>
      <c r="K2" s="5321"/>
      <c r="L2" s="5321"/>
      <c r="M2" s="5321"/>
      <c r="N2" s="5321"/>
      <c r="O2" s="5321"/>
      <c r="P2" s="5321"/>
      <c r="Q2" s="5321"/>
      <c r="R2" s="5321"/>
      <c r="S2" s="5321"/>
      <c r="T2" s="5321"/>
      <c r="U2" s="5321"/>
      <c r="V2" s="5321"/>
      <c r="W2" s="5321"/>
      <c r="X2" s="5321"/>
      <c r="Y2" s="3111"/>
      <c r="Z2" s="3111"/>
      <c r="AA2" s="3111"/>
      <c r="AR2" s="5321"/>
      <c r="AS2" s="5321"/>
      <c r="AT2" s="5321"/>
      <c r="AU2" s="5321"/>
      <c r="AV2" s="5321"/>
      <c r="AW2" s="5321"/>
      <c r="AX2" s="5321"/>
      <c r="AY2" s="3111"/>
      <c r="AZ2" s="3111"/>
      <c r="BA2" s="3111"/>
    </row>
    <row r="3" spans="1:53" ht="45" customHeight="1">
      <c r="C3" s="5321" t="s">
        <v>1871</v>
      </c>
      <c r="D3" s="5321"/>
      <c r="E3" s="5321"/>
      <c r="F3" s="5321"/>
      <c r="G3" s="5321"/>
      <c r="H3" s="5321"/>
      <c r="I3" s="5321"/>
      <c r="J3" s="5321"/>
      <c r="K3" s="5321"/>
      <c r="L3" s="5321"/>
      <c r="M3" s="1237"/>
      <c r="N3" s="1237"/>
      <c r="O3" s="1237"/>
      <c r="P3" s="1237"/>
      <c r="Q3" s="1237"/>
      <c r="R3" s="1237"/>
      <c r="S3" s="1237"/>
      <c r="T3" s="1237"/>
      <c r="U3" s="1237"/>
      <c r="V3" s="1237"/>
      <c r="W3" s="1237"/>
      <c r="X3" s="1237"/>
      <c r="Y3" s="3111"/>
      <c r="Z3" s="3111"/>
      <c r="AA3" s="3111"/>
      <c r="AC3" s="1237"/>
      <c r="AD3" s="1237"/>
      <c r="AE3" s="1237"/>
      <c r="AF3" s="1237"/>
      <c r="AG3" s="1237"/>
      <c r="AH3" s="1237"/>
      <c r="AI3" s="1237"/>
      <c r="AJ3" s="1237"/>
      <c r="AK3" s="1237"/>
      <c r="AL3" s="1237"/>
      <c r="AM3" s="1237"/>
      <c r="AN3" s="1237"/>
      <c r="AO3" s="1237"/>
      <c r="AP3" s="1237"/>
      <c r="AQ3" s="1237"/>
      <c r="AR3" s="1237"/>
      <c r="AS3" s="1237"/>
      <c r="AT3" s="1237"/>
      <c r="AU3" s="1237"/>
      <c r="AV3" s="1237"/>
      <c r="AW3" s="1237"/>
      <c r="AX3" s="1237"/>
      <c r="AY3" s="3111"/>
      <c r="AZ3" s="3111"/>
      <c r="BA3" s="3111"/>
    </row>
    <row r="4" spans="1:53" ht="18.75">
      <c r="A4" s="5322" t="str">
        <f>'1. Обща информация'!A4:D4</f>
        <v>на ВОДОСНАБДЯВАНЕ И КАНАЛИЗАЦИЯ ЕООД, гр. ХАСКОВО</v>
      </c>
      <c r="B4" s="5322"/>
      <c r="C4" s="5322"/>
      <c r="D4" s="5322"/>
      <c r="E4" s="5322"/>
      <c r="F4" s="5322"/>
      <c r="G4" s="5322"/>
      <c r="H4" s="5322"/>
      <c r="I4" s="5322"/>
      <c r="J4" s="5322"/>
      <c r="K4" s="5322"/>
      <c r="L4" s="5322"/>
      <c r="M4" s="5322"/>
      <c r="N4" s="5322"/>
      <c r="O4" s="5322"/>
      <c r="P4" s="5322"/>
      <c r="Q4" s="5322"/>
      <c r="S4" s="3113"/>
      <c r="T4" s="3113"/>
      <c r="U4" s="3113"/>
      <c r="V4" s="3113"/>
      <c r="W4" s="3113"/>
      <c r="X4" s="3113"/>
      <c r="Y4" s="3111"/>
      <c r="Z4" s="3111"/>
      <c r="AA4" s="3111"/>
      <c r="AS4" s="3113"/>
      <c r="AT4" s="3113"/>
      <c r="AU4" s="3113"/>
      <c r="AV4" s="3113"/>
      <c r="AW4" s="3113"/>
      <c r="AX4" s="3113"/>
      <c r="AY4" s="3111"/>
      <c r="AZ4" s="3111"/>
      <c r="BA4" s="3111"/>
    </row>
    <row r="5" spans="1:53" ht="18.75">
      <c r="A5" s="5322" t="str">
        <f>'1. Обща информация'!A5:D5</f>
        <v>ЕИК по БУЛСТАТ: 126004284</v>
      </c>
      <c r="B5" s="5322"/>
      <c r="C5" s="5322"/>
      <c r="D5" s="5322"/>
      <c r="E5" s="5322"/>
      <c r="F5" s="5322"/>
      <c r="G5" s="5322"/>
      <c r="H5" s="5322"/>
      <c r="I5" s="5322"/>
      <c r="J5" s="5322"/>
      <c r="K5" s="5322"/>
      <c r="L5" s="5322"/>
      <c r="M5" s="5322"/>
      <c r="N5" s="5322"/>
      <c r="O5" s="5322"/>
      <c r="P5" s="5322"/>
      <c r="Q5" s="5322"/>
      <c r="R5" s="3113"/>
      <c r="S5" s="3113"/>
      <c r="T5" s="3113"/>
      <c r="U5" s="3113"/>
      <c r="V5" s="3113"/>
      <c r="W5" s="3113"/>
      <c r="X5" s="3113"/>
      <c r="Y5" s="3111"/>
      <c r="Z5" s="3111"/>
      <c r="AA5" s="3111"/>
      <c r="AR5" s="3113"/>
      <c r="AS5" s="3113"/>
      <c r="AT5" s="3113"/>
      <c r="AU5" s="3113"/>
      <c r="AV5" s="3113"/>
      <c r="AW5" s="3113"/>
      <c r="AX5" s="3113"/>
      <c r="AY5" s="3111"/>
      <c r="AZ5" s="3111"/>
      <c r="BA5" s="3111"/>
    </row>
    <row r="6" spans="1:53" ht="23.1" customHeight="1">
      <c r="A6" s="3111"/>
      <c r="B6" s="3111"/>
      <c r="C6" s="3111"/>
      <c r="D6" s="3111"/>
      <c r="E6" s="3111"/>
      <c r="F6" s="3111"/>
      <c r="G6" s="3111"/>
      <c r="H6" s="3111"/>
      <c r="I6" s="3111"/>
      <c r="J6" s="3111"/>
      <c r="K6" s="3111"/>
      <c r="L6" s="3111"/>
      <c r="M6" s="3111"/>
      <c r="N6" s="3111"/>
      <c r="O6" s="3111"/>
      <c r="P6" s="3111"/>
      <c r="Q6" s="3111"/>
      <c r="R6" s="3111"/>
      <c r="S6" s="3111"/>
      <c r="T6" s="3111"/>
      <c r="U6" s="3111"/>
      <c r="V6" s="3111"/>
      <c r="W6" s="3111"/>
      <c r="X6" s="3111"/>
      <c r="Y6" s="3111"/>
      <c r="Z6" s="3111"/>
      <c r="AA6" s="3111"/>
      <c r="AC6" s="3111"/>
      <c r="AD6" s="3111"/>
      <c r="AE6" s="3111"/>
      <c r="AF6" s="3111"/>
      <c r="AG6" s="3111"/>
      <c r="AH6" s="3111"/>
      <c r="AI6" s="3111"/>
      <c r="AJ6" s="3111"/>
      <c r="AK6" s="3111"/>
      <c r="AL6" s="3111"/>
      <c r="AM6" s="3111"/>
      <c r="AN6" s="3111"/>
      <c r="AO6" s="3111"/>
      <c r="AP6" s="3111"/>
      <c r="AQ6" s="3111"/>
      <c r="AR6" s="3111"/>
      <c r="AS6" s="3111"/>
      <c r="AT6" s="3111"/>
      <c r="AU6" s="3111"/>
      <c r="AV6" s="3111"/>
      <c r="AW6" s="3111"/>
      <c r="AX6" s="3111"/>
      <c r="AY6" s="3111"/>
      <c r="AZ6" s="3111"/>
      <c r="BA6" s="3111"/>
    </row>
    <row r="7" spans="1:53" ht="16.350000000000001" customHeight="1" thickBot="1">
      <c r="A7" s="3111"/>
      <c r="B7" s="3111"/>
      <c r="C7" s="3111"/>
      <c r="D7" s="3111"/>
      <c r="E7" s="3111"/>
      <c r="F7" s="3111"/>
      <c r="G7" s="3111"/>
      <c r="H7" s="3111"/>
      <c r="I7" s="3111"/>
      <c r="J7" s="3111"/>
      <c r="K7" s="3111"/>
      <c r="L7" s="3111"/>
      <c r="M7" s="3111"/>
      <c r="N7" s="3111"/>
      <c r="O7" s="3111"/>
      <c r="P7" s="3111"/>
      <c r="Q7" s="3111"/>
      <c r="R7" s="3111"/>
      <c r="S7" s="3111"/>
      <c r="T7" s="3111"/>
      <c r="U7" s="3111"/>
      <c r="V7" s="3111"/>
      <c r="W7" s="3111"/>
      <c r="X7" s="3111"/>
      <c r="Y7" s="3111"/>
      <c r="Z7" s="3111"/>
      <c r="AA7" s="3111"/>
      <c r="AC7" s="3111"/>
      <c r="AD7" s="3111"/>
      <c r="AE7" s="3111"/>
      <c r="AF7" s="3111"/>
      <c r="AG7" s="3111"/>
      <c r="AH7" s="3111"/>
      <c r="AI7" s="3111"/>
      <c r="AJ7" s="3111"/>
      <c r="AK7" s="3111"/>
      <c r="AL7" s="3111"/>
      <c r="AM7" s="3111"/>
      <c r="AN7" s="3111"/>
      <c r="AO7" s="3111"/>
      <c r="AP7" s="3111"/>
      <c r="AQ7" s="3111"/>
      <c r="AR7" s="3111"/>
      <c r="AS7" s="3111"/>
      <c r="AT7" s="3111"/>
      <c r="AU7" s="3111"/>
      <c r="AV7" s="3111"/>
      <c r="AW7" s="3111"/>
      <c r="AX7" s="3111"/>
      <c r="AY7" s="3111"/>
      <c r="AZ7" s="3111"/>
      <c r="BA7" s="650" t="s">
        <v>1892</v>
      </c>
    </row>
    <row r="8" spans="1:53" ht="21" customHeight="1" thickBot="1">
      <c r="A8" s="1483" t="s">
        <v>168</v>
      </c>
      <c r="B8" s="1484"/>
      <c r="C8" s="1484"/>
      <c r="D8" s="1484"/>
      <c r="E8" s="1484"/>
      <c r="F8" s="1484"/>
      <c r="G8" s="1484"/>
      <c r="H8" s="1484"/>
      <c r="I8" s="1484"/>
      <c r="J8" s="1484"/>
      <c r="K8" s="1484"/>
      <c r="L8" s="1484"/>
      <c r="M8" s="1484"/>
      <c r="N8" s="1484"/>
      <c r="O8" s="1484"/>
      <c r="P8" s="1484"/>
      <c r="Q8" s="1484"/>
      <c r="R8" s="1484"/>
      <c r="S8" s="1484"/>
      <c r="T8" s="1484"/>
      <c r="U8" s="1484"/>
      <c r="V8" s="1484"/>
      <c r="W8" s="1484"/>
      <c r="X8" s="1484"/>
      <c r="Y8" s="1484"/>
      <c r="Z8" s="1484"/>
      <c r="AA8" s="1484"/>
      <c r="AB8" s="4422"/>
      <c r="AC8" s="5325" t="str">
        <f>+A8</f>
        <v>Доставяне на вода на потребители</v>
      </c>
      <c r="AD8" s="5326"/>
      <c r="AE8" s="5326"/>
      <c r="AF8" s="5326"/>
      <c r="AG8" s="5326"/>
      <c r="AH8" s="5326"/>
      <c r="AI8" s="5326"/>
      <c r="AJ8" s="5326"/>
      <c r="AK8" s="5326"/>
      <c r="AL8" s="5326"/>
      <c r="AM8" s="5326"/>
      <c r="AN8" s="5326"/>
      <c r="AO8" s="5326"/>
      <c r="AP8" s="5326"/>
      <c r="AQ8" s="5326"/>
      <c r="AR8" s="5326"/>
      <c r="AS8" s="5326"/>
      <c r="AT8" s="5326"/>
      <c r="AU8" s="5326"/>
      <c r="AV8" s="5326"/>
      <c r="AW8" s="5326"/>
      <c r="AX8" s="5326"/>
      <c r="AY8" s="5326"/>
      <c r="AZ8" s="5326"/>
      <c r="BA8" s="5327"/>
    </row>
    <row r="9" spans="1:53" ht="21" customHeight="1" thickBot="1">
      <c r="A9" s="5298" t="s">
        <v>1175</v>
      </c>
      <c r="B9" s="5299"/>
      <c r="C9" s="5298">
        <v>1</v>
      </c>
      <c r="D9" s="5323"/>
      <c r="E9" s="5323"/>
      <c r="F9" s="5323"/>
      <c r="G9" s="5323"/>
      <c r="H9" s="5298">
        <f>C9+1</f>
        <v>2</v>
      </c>
      <c r="I9" s="5323"/>
      <c r="J9" s="5323"/>
      <c r="K9" s="5323"/>
      <c r="L9" s="5323"/>
      <c r="M9" s="5298">
        <f>H9+1</f>
        <v>3</v>
      </c>
      <c r="N9" s="5323"/>
      <c r="O9" s="5323"/>
      <c r="P9" s="5323"/>
      <c r="Q9" s="5323"/>
      <c r="R9" s="5298">
        <f>M9+1</f>
        <v>4</v>
      </c>
      <c r="S9" s="5323"/>
      <c r="T9" s="5323"/>
      <c r="U9" s="5323"/>
      <c r="V9" s="5323"/>
      <c r="W9" s="5298">
        <f>R9+1</f>
        <v>5</v>
      </c>
      <c r="X9" s="5323"/>
      <c r="Y9" s="5323"/>
      <c r="Z9" s="5323"/>
      <c r="AA9" s="5323"/>
      <c r="AB9" s="4422"/>
      <c r="AC9" s="5150">
        <f>+C9</f>
        <v>1</v>
      </c>
      <c r="AD9" s="5150"/>
      <c r="AE9" s="5150"/>
      <c r="AF9" s="5150"/>
      <c r="AG9" s="5150"/>
      <c r="AH9" s="5150">
        <f>+H9</f>
        <v>2</v>
      </c>
      <c r="AI9" s="5150"/>
      <c r="AJ9" s="5150"/>
      <c r="AK9" s="5150"/>
      <c r="AL9" s="5150"/>
      <c r="AM9" s="5150">
        <f>+M9</f>
        <v>3</v>
      </c>
      <c r="AN9" s="5150"/>
      <c r="AO9" s="5150"/>
      <c r="AP9" s="5150"/>
      <c r="AQ9" s="5150"/>
      <c r="AR9" s="5150">
        <f>+R9</f>
        <v>4</v>
      </c>
      <c r="AS9" s="5150"/>
      <c r="AT9" s="5150"/>
      <c r="AU9" s="5150"/>
      <c r="AV9" s="5150"/>
      <c r="AW9" s="5150">
        <f>+W9</f>
        <v>5</v>
      </c>
      <c r="AX9" s="5150"/>
      <c r="AY9" s="5150"/>
      <c r="AZ9" s="5150"/>
      <c r="BA9" s="5150"/>
    </row>
    <row r="10" spans="1:53" ht="85.35" customHeight="1" thickBot="1">
      <c r="A10" s="5295" t="s">
        <v>1297</v>
      </c>
      <c r="B10" s="3114" t="s">
        <v>1446</v>
      </c>
      <c r="C10" s="5290" t="s">
        <v>1980</v>
      </c>
      <c r="D10" s="5289"/>
      <c r="E10" s="5289"/>
      <c r="F10" s="5289"/>
      <c r="G10" s="5289"/>
      <c r="H10" s="5290" t="s">
        <v>1981</v>
      </c>
      <c r="I10" s="5289"/>
      <c r="J10" s="5289"/>
      <c r="K10" s="5289"/>
      <c r="L10" s="5289"/>
      <c r="M10" s="5288"/>
      <c r="N10" s="5289"/>
      <c r="O10" s="5289"/>
      <c r="P10" s="5289"/>
      <c r="Q10" s="5289"/>
      <c r="R10" s="5288"/>
      <c r="S10" s="5289"/>
      <c r="T10" s="5289"/>
      <c r="U10" s="5289"/>
      <c r="V10" s="5289"/>
      <c r="W10" s="5288"/>
      <c r="X10" s="5289"/>
      <c r="Y10" s="5289"/>
      <c r="Z10" s="5289"/>
      <c r="AA10" s="5289"/>
      <c r="AB10" s="4422"/>
      <c r="AC10" s="5324" t="str">
        <f>IF(C10=0,"",C10)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ЯБЪЛКОВО</v>
      </c>
      <c r="AD10" s="5324"/>
      <c r="AE10" s="5324"/>
      <c r="AF10" s="5324"/>
      <c r="AG10" s="5324"/>
      <c r="AH10" s="5324" t="str">
        <f>IF(H10=0,"",H10)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СВИЛЕНГРАД</v>
      </c>
      <c r="AI10" s="5324"/>
      <c r="AJ10" s="5324"/>
      <c r="AK10" s="5324"/>
      <c r="AL10" s="5324"/>
      <c r="AM10" s="5324" t="str">
        <f>IF(M10=0,"",M10)</f>
        <v/>
      </c>
      <c r="AN10" s="5324"/>
      <c r="AO10" s="5324"/>
      <c r="AP10" s="5324"/>
      <c r="AQ10" s="5324"/>
      <c r="AR10" s="5324" t="str">
        <f>IF(R10=0,"",R10)</f>
        <v/>
      </c>
      <c r="AS10" s="5324"/>
      <c r="AT10" s="5324"/>
      <c r="AU10" s="5324"/>
      <c r="AV10" s="5324"/>
      <c r="AW10" s="5324" t="str">
        <f>IF(W10=0,"",W10)</f>
        <v/>
      </c>
      <c r="AX10" s="5324"/>
      <c r="AY10" s="5324"/>
      <c r="AZ10" s="5324"/>
      <c r="BA10" s="5324"/>
    </row>
    <row r="11" spans="1:53" ht="13.5" thickBot="1">
      <c r="A11" s="5295"/>
      <c r="B11" s="3114" t="s">
        <v>1298</v>
      </c>
      <c r="C11" s="5288" t="s">
        <v>1982</v>
      </c>
      <c r="D11" s="5289"/>
      <c r="E11" s="5289"/>
      <c r="F11" s="5289"/>
      <c r="G11" s="5289"/>
      <c r="H11" s="5288" t="s">
        <v>1983</v>
      </c>
      <c r="I11" s="5289"/>
      <c r="J11" s="5289"/>
      <c r="K11" s="5289"/>
      <c r="L11" s="5289"/>
      <c r="M11" s="5288"/>
      <c r="N11" s="5289"/>
      <c r="O11" s="5289"/>
      <c r="P11" s="5289"/>
      <c r="Q11" s="5289"/>
      <c r="R11" s="5288"/>
      <c r="S11" s="5289"/>
      <c r="T11" s="5289"/>
      <c r="U11" s="5289"/>
      <c r="V11" s="5289"/>
      <c r="W11" s="5288"/>
      <c r="X11" s="5289"/>
      <c r="Y11" s="5289"/>
      <c r="Z11" s="5289"/>
      <c r="AA11" s="5289"/>
      <c r="AB11" s="4422"/>
      <c r="AC11" s="5324" t="str">
        <f t="shared" ref="AC11:AC15" si="0">IF(C11=0,"",C11)</f>
        <v>ДИМИТРОВГРАД</v>
      </c>
      <c r="AD11" s="5324"/>
      <c r="AE11" s="5324"/>
      <c r="AF11" s="5324"/>
      <c r="AG11" s="5324"/>
      <c r="AH11" s="5324" t="str">
        <f t="shared" ref="AH11:AH15" si="1">IF(H11=0,"",H11)</f>
        <v>СВИЛЕНГРАД</v>
      </c>
      <c r="AI11" s="5324"/>
      <c r="AJ11" s="5324"/>
      <c r="AK11" s="5324"/>
      <c r="AL11" s="5324"/>
      <c r="AM11" s="5324" t="str">
        <f t="shared" ref="AM11:AM15" si="2">IF(M11=0,"",M11)</f>
        <v/>
      </c>
      <c r="AN11" s="5324"/>
      <c r="AO11" s="5324"/>
      <c r="AP11" s="5324"/>
      <c r="AQ11" s="5324"/>
      <c r="AR11" s="5324" t="str">
        <f t="shared" ref="AR11:AR15" si="3">IF(R11=0,"",R11)</f>
        <v/>
      </c>
      <c r="AS11" s="5324"/>
      <c r="AT11" s="5324"/>
      <c r="AU11" s="5324"/>
      <c r="AV11" s="5324"/>
      <c r="AW11" s="5324" t="str">
        <f t="shared" ref="AW11:AW15" si="4">IF(W11=0,"",W11)</f>
        <v/>
      </c>
      <c r="AX11" s="5324"/>
      <c r="AY11" s="5324"/>
      <c r="AZ11" s="5324"/>
      <c r="BA11" s="5324"/>
    </row>
    <row r="12" spans="1:53" ht="13.5" thickBot="1">
      <c r="A12" s="5278" t="s">
        <v>1299</v>
      </c>
      <c r="B12" s="3115" t="s">
        <v>1300</v>
      </c>
      <c r="C12" s="5293">
        <v>47524</v>
      </c>
      <c r="D12" s="5294"/>
      <c r="E12" s="5294"/>
      <c r="F12" s="5294"/>
      <c r="G12" s="5294"/>
      <c r="H12" s="5293">
        <v>47524</v>
      </c>
      <c r="I12" s="5294"/>
      <c r="J12" s="5294"/>
      <c r="K12" s="5294"/>
      <c r="L12" s="5294"/>
      <c r="M12" s="5288"/>
      <c r="N12" s="5289"/>
      <c r="O12" s="5289"/>
      <c r="P12" s="5289"/>
      <c r="Q12" s="5289"/>
      <c r="R12" s="5288"/>
      <c r="S12" s="5289"/>
      <c r="T12" s="5289"/>
      <c r="U12" s="5289"/>
      <c r="V12" s="5289"/>
      <c r="W12" s="5288"/>
      <c r="X12" s="5289"/>
      <c r="Y12" s="5289"/>
      <c r="Z12" s="5289"/>
      <c r="AA12" s="5289"/>
      <c r="AB12" s="4422"/>
      <c r="AC12" s="5324">
        <f t="shared" si="0"/>
        <v>47524</v>
      </c>
      <c r="AD12" s="5324"/>
      <c r="AE12" s="5324"/>
      <c r="AF12" s="5324"/>
      <c r="AG12" s="5324"/>
      <c r="AH12" s="5324">
        <f t="shared" si="1"/>
        <v>47524</v>
      </c>
      <c r="AI12" s="5324"/>
      <c r="AJ12" s="5324"/>
      <c r="AK12" s="5324"/>
      <c r="AL12" s="5324"/>
      <c r="AM12" s="5324" t="str">
        <f t="shared" si="2"/>
        <v/>
      </c>
      <c r="AN12" s="5324"/>
      <c r="AO12" s="5324"/>
      <c r="AP12" s="5324"/>
      <c r="AQ12" s="5324"/>
      <c r="AR12" s="5324" t="str">
        <f t="shared" si="3"/>
        <v/>
      </c>
      <c r="AS12" s="5324"/>
      <c r="AT12" s="5324"/>
      <c r="AU12" s="5324"/>
      <c r="AV12" s="5324"/>
      <c r="AW12" s="5324" t="str">
        <f t="shared" si="4"/>
        <v/>
      </c>
      <c r="AX12" s="5324"/>
      <c r="AY12" s="5324"/>
      <c r="AZ12" s="5324"/>
      <c r="BA12" s="5324"/>
    </row>
    <row r="13" spans="1:53" ht="210" customHeight="1" thickBot="1">
      <c r="A13" s="5279"/>
      <c r="B13" s="3114" t="s">
        <v>1301</v>
      </c>
      <c r="C13" s="5290" t="s">
        <v>1987</v>
      </c>
      <c r="D13" s="5289"/>
      <c r="E13" s="5289"/>
      <c r="F13" s="5289"/>
      <c r="G13" s="5289"/>
      <c r="H13" s="5290" t="s">
        <v>1984</v>
      </c>
      <c r="I13" s="5289"/>
      <c r="J13" s="5289"/>
      <c r="K13" s="5289"/>
      <c r="L13" s="5289"/>
      <c r="M13" s="5288"/>
      <c r="N13" s="5289"/>
      <c r="O13" s="5289"/>
      <c r="P13" s="5289"/>
      <c r="Q13" s="5289"/>
      <c r="R13" s="5288"/>
      <c r="S13" s="5289"/>
      <c r="T13" s="5289"/>
      <c r="U13" s="5289"/>
      <c r="V13" s="5289"/>
      <c r="W13" s="5288"/>
      <c r="X13" s="5289"/>
      <c r="Y13" s="5289"/>
      <c r="Z13" s="5289"/>
      <c r="AA13" s="5289"/>
      <c r="AB13" s="4422"/>
      <c r="AC13" s="5324" t="str">
        <f t="shared" si="0"/>
        <v xml:space="preserve">Очаквани резултати: Реконструирани ПСПВ - 1 бр.
 Предлаганата реконструкция и пускане в експлоатация на ПСПВ „Ябълково“ цели достигане на качеството на питейните води в разглежданата водоснабдителна система до нормативно заложените параметри в Наредба №9 от 16 март 2001 г. за качеството на водата, предназначена за питейно-битови цели и Директива 98/83/ЕО / Директива 2020/218 за качеството на водите, предназначени за консумация от човека до края на разглеждания в РПИП период. Отстраняването на недостатъците от конструктивно и технологично естество на амортизираната инсталация ще гарантира съществено подобряване в работата на цялата водоснабдителна инфраструктура. </v>
      </c>
      <c r="AD13" s="5324"/>
      <c r="AE13" s="5324"/>
      <c r="AF13" s="5324"/>
      <c r="AG13" s="5324"/>
      <c r="AH13" s="5324" t="str">
        <f t="shared" si="1"/>
        <v>Очаквани резултати: -Изградени нови ПСПВ - 1 бр. Изграждането на ПСПВ „Свиленград“ гарантира съответствие на качествата на питейната вода с нормативните изисквания и с изискванията на консуматорите, както и съответствие на процеса на пречистване с най-добрите и надеждни съвременни практики в областта. Съгласно  Приложение № 5 „Съответствие на агломерацията с изискванията на Директива 91/271/ЕИО“ към условията за кандидатстване, с изпълнението на дейността и проекта в цялост ще бъде изпълнен: Индикатор: „Жители, свързани към подобрено обществено водоснабдяване“: базова стойност: 0 и целева стойност: 64 121 бр. С изпълнението на описаните резултати ще се допринесе за постигането на целите на настоящето проектно предложение.</v>
      </c>
      <c r="AI13" s="5324"/>
      <c r="AJ13" s="5324"/>
      <c r="AK13" s="5324"/>
      <c r="AL13" s="5324"/>
      <c r="AM13" s="5324" t="str">
        <f t="shared" si="2"/>
        <v/>
      </c>
      <c r="AN13" s="5324"/>
      <c r="AO13" s="5324"/>
      <c r="AP13" s="5324"/>
      <c r="AQ13" s="5324"/>
      <c r="AR13" s="5324" t="str">
        <f t="shared" si="3"/>
        <v/>
      </c>
      <c r="AS13" s="5324"/>
      <c r="AT13" s="5324"/>
      <c r="AU13" s="5324"/>
      <c r="AV13" s="5324"/>
      <c r="AW13" s="5324" t="str">
        <f t="shared" si="4"/>
        <v/>
      </c>
      <c r="AX13" s="5324"/>
      <c r="AY13" s="5324"/>
      <c r="AZ13" s="5324"/>
      <c r="BA13" s="5324"/>
    </row>
    <row r="14" spans="1:53" ht="96.6" customHeight="1" thickBot="1">
      <c r="A14" s="3756" t="s">
        <v>1302</v>
      </c>
      <c r="B14" s="3114" t="s">
        <v>1303</v>
      </c>
      <c r="C14" s="5290" t="s">
        <v>1985</v>
      </c>
      <c r="D14" s="5289"/>
      <c r="E14" s="5289"/>
      <c r="F14" s="5289"/>
      <c r="G14" s="5289"/>
      <c r="H14" s="5290" t="s">
        <v>1986</v>
      </c>
      <c r="I14" s="5289"/>
      <c r="J14" s="5289"/>
      <c r="K14" s="5289"/>
      <c r="L14" s="5289"/>
      <c r="M14" s="5288"/>
      <c r="N14" s="5289"/>
      <c r="O14" s="5289"/>
      <c r="P14" s="5289"/>
      <c r="Q14" s="5289"/>
      <c r="R14" s="5288"/>
      <c r="S14" s="5289"/>
      <c r="T14" s="5289"/>
      <c r="U14" s="5289"/>
      <c r="V14" s="5289"/>
      <c r="W14" s="5288"/>
      <c r="X14" s="5289"/>
      <c r="Y14" s="5289"/>
      <c r="Z14" s="5289"/>
      <c r="AA14" s="5289"/>
      <c r="AB14" s="4422"/>
      <c r="AC14" s="5324" t="str">
        <f t="shared" si="0"/>
        <v>Избран е изпълнител „НИВЕЛ СТРОЙ“ ЕООД и са изпратена покана за сключване на договор. С писмо Възложителят е уведомен, че поради техническа забава в административната процедура по одобрение и издаване на Гаранция за изпълнение, Изпълнителят има нужда от допълнително техническо време за предоставянето и.</v>
      </c>
      <c r="AD14" s="5324"/>
      <c r="AE14" s="5324"/>
      <c r="AF14" s="5324"/>
      <c r="AG14" s="5324"/>
      <c r="AH14" s="5324" t="str">
        <f t="shared" si="1"/>
        <v>Сключен е Договор № ПОС – 14 от 08.04.2026год. с изпълнител ДЗЗД "ИНФРА РЕСУРС"  на стойност 4 049 390,38 евро. Срок за изпълнение: 570 (петстотин и седемдесет) календарни дни за проектиране и изпълнение на строително-монтажни работи на Обекта (считано от датата на започване до издаване на Сертификат за приемане от Инженера), но не по-късно от 31.12.2029 г.</v>
      </c>
      <c r="AI14" s="5324"/>
      <c r="AJ14" s="5324"/>
      <c r="AK14" s="5324"/>
      <c r="AL14" s="5324"/>
      <c r="AM14" s="5324" t="str">
        <f t="shared" si="2"/>
        <v/>
      </c>
      <c r="AN14" s="5324"/>
      <c r="AO14" s="5324"/>
      <c r="AP14" s="5324"/>
      <c r="AQ14" s="5324"/>
      <c r="AR14" s="5324" t="str">
        <f t="shared" si="3"/>
        <v/>
      </c>
      <c r="AS14" s="5324"/>
      <c r="AT14" s="5324"/>
      <c r="AU14" s="5324"/>
      <c r="AV14" s="5324"/>
      <c r="AW14" s="5324" t="str">
        <f t="shared" si="4"/>
        <v/>
      </c>
      <c r="AX14" s="5324"/>
      <c r="AY14" s="5324"/>
      <c r="AZ14" s="5324"/>
      <c r="BA14" s="5324"/>
    </row>
    <row r="15" spans="1:53" ht="26.25" thickBot="1">
      <c r="A15" s="3116" t="s">
        <v>1304</v>
      </c>
      <c r="B15" s="3117" t="s">
        <v>1305</v>
      </c>
      <c r="C15" s="5305"/>
      <c r="D15" s="5306"/>
      <c r="E15" s="5306"/>
      <c r="F15" s="5306"/>
      <c r="G15" s="5306"/>
      <c r="H15" s="5305"/>
      <c r="I15" s="5306"/>
      <c r="J15" s="5306"/>
      <c r="K15" s="5306"/>
      <c r="L15" s="5306"/>
      <c r="M15" s="5305"/>
      <c r="N15" s="5306"/>
      <c r="O15" s="5306"/>
      <c r="P15" s="5306"/>
      <c r="Q15" s="5306"/>
      <c r="R15" s="5305"/>
      <c r="S15" s="5306"/>
      <c r="T15" s="5306"/>
      <c r="U15" s="5306"/>
      <c r="V15" s="5306"/>
      <c r="W15" s="5305"/>
      <c r="X15" s="5306"/>
      <c r="Y15" s="5306"/>
      <c r="Z15" s="5306"/>
      <c r="AA15" s="5306"/>
      <c r="AB15" s="4422"/>
      <c r="AC15" s="5324" t="str">
        <f t="shared" si="0"/>
        <v/>
      </c>
      <c r="AD15" s="5324"/>
      <c r="AE15" s="5324"/>
      <c r="AF15" s="5324"/>
      <c r="AG15" s="5324"/>
      <c r="AH15" s="5324" t="str">
        <f t="shared" si="1"/>
        <v/>
      </c>
      <c r="AI15" s="5324"/>
      <c r="AJ15" s="5324"/>
      <c r="AK15" s="5324"/>
      <c r="AL15" s="5324"/>
      <c r="AM15" s="5324" t="str">
        <f t="shared" si="2"/>
        <v/>
      </c>
      <c r="AN15" s="5324"/>
      <c r="AO15" s="5324"/>
      <c r="AP15" s="5324"/>
      <c r="AQ15" s="5324"/>
      <c r="AR15" s="5324" t="str">
        <f t="shared" si="3"/>
        <v/>
      </c>
      <c r="AS15" s="5324"/>
      <c r="AT15" s="5324"/>
      <c r="AU15" s="5324"/>
      <c r="AV15" s="5324"/>
      <c r="AW15" s="5324" t="str">
        <f t="shared" si="4"/>
        <v/>
      </c>
      <c r="AX15" s="5324"/>
      <c r="AY15" s="5324"/>
      <c r="AZ15" s="5324"/>
      <c r="BA15" s="5324"/>
    </row>
    <row r="16" spans="1:53" ht="13.5" thickBot="1">
      <c r="A16" s="5296" t="s">
        <v>1461</v>
      </c>
      <c r="B16" s="5297"/>
      <c r="C16" s="4209" t="str">
        <f>'Приложение '!$C$14</f>
        <v>2027 г.</v>
      </c>
      <c r="D16" s="4210" t="str">
        <f>'Приложение '!$C$15</f>
        <v>2028 г.</v>
      </c>
      <c r="E16" s="4210" t="str">
        <f>'Приложение '!$C$16</f>
        <v>2029 г.</v>
      </c>
      <c r="F16" s="4210" t="str">
        <f>'Приложение '!$C$17</f>
        <v>2030 г.</v>
      </c>
      <c r="G16" s="4210" t="str">
        <f>'Приложение '!$C$18</f>
        <v>2031 г.</v>
      </c>
      <c r="H16" s="4209" t="str">
        <f>'Приложение '!$C$14</f>
        <v>2027 г.</v>
      </c>
      <c r="I16" s="4210" t="str">
        <f>'Приложение '!$C$15</f>
        <v>2028 г.</v>
      </c>
      <c r="J16" s="4210" t="str">
        <f>'Приложение '!$C$16</f>
        <v>2029 г.</v>
      </c>
      <c r="K16" s="4210" t="str">
        <f>'Приложение '!$C$17</f>
        <v>2030 г.</v>
      </c>
      <c r="L16" s="4210" t="str">
        <f>'Приложение '!$C$18</f>
        <v>2031 г.</v>
      </c>
      <c r="M16" s="4209" t="str">
        <f>'Приложение '!$C$14</f>
        <v>2027 г.</v>
      </c>
      <c r="N16" s="4210" t="str">
        <f>'Приложение '!$C$15</f>
        <v>2028 г.</v>
      </c>
      <c r="O16" s="4210" t="str">
        <f>'Приложение '!$C$16</f>
        <v>2029 г.</v>
      </c>
      <c r="P16" s="4210" t="str">
        <f>'Приложение '!$C$17</f>
        <v>2030 г.</v>
      </c>
      <c r="Q16" s="4210" t="str">
        <f>'Приложение '!$C$18</f>
        <v>2031 г.</v>
      </c>
      <c r="R16" s="4209" t="str">
        <f>'Приложение '!$C$14</f>
        <v>2027 г.</v>
      </c>
      <c r="S16" s="4210" t="str">
        <f>'Приложение '!$C$15</f>
        <v>2028 г.</v>
      </c>
      <c r="T16" s="4210" t="str">
        <f>'Приложение '!$C$16</f>
        <v>2029 г.</v>
      </c>
      <c r="U16" s="4210" t="str">
        <f>'Приложение '!$C$17</f>
        <v>2030 г.</v>
      </c>
      <c r="V16" s="4210" t="str">
        <f>'Приложение '!$C$18</f>
        <v>2031 г.</v>
      </c>
      <c r="W16" s="4209" t="str">
        <f>'Приложение '!$C$14</f>
        <v>2027 г.</v>
      </c>
      <c r="X16" s="4210" t="str">
        <f>'Приложение '!$C$15</f>
        <v>2028 г.</v>
      </c>
      <c r="Y16" s="4210" t="str">
        <f>'Приложение '!$C$16</f>
        <v>2029 г.</v>
      </c>
      <c r="Z16" s="4210" t="str">
        <f>'Приложение '!$C$17</f>
        <v>2030 г.</v>
      </c>
      <c r="AA16" s="4210" t="str">
        <f>'Приложение '!$C$18</f>
        <v>2031 г.</v>
      </c>
      <c r="AB16" s="4422"/>
      <c r="AC16" s="4469" t="str">
        <f>'Приложение '!$C$14</f>
        <v>2027 г.</v>
      </c>
      <c r="AD16" s="4469" t="str">
        <f>'Приложение '!$C$15</f>
        <v>2028 г.</v>
      </c>
      <c r="AE16" s="4469" t="str">
        <f>'Приложение '!$C$16</f>
        <v>2029 г.</v>
      </c>
      <c r="AF16" s="4469" t="str">
        <f>'Приложение '!$C$17</f>
        <v>2030 г.</v>
      </c>
      <c r="AG16" s="4469" t="str">
        <f>'Приложение '!$C$18</f>
        <v>2031 г.</v>
      </c>
      <c r="AH16" s="4469" t="str">
        <f>'Приложение '!$C$14</f>
        <v>2027 г.</v>
      </c>
      <c r="AI16" s="4469" t="str">
        <f>'Приложение '!$C$15</f>
        <v>2028 г.</v>
      </c>
      <c r="AJ16" s="4469" t="str">
        <f>'Приложение '!$C$16</f>
        <v>2029 г.</v>
      </c>
      <c r="AK16" s="4469" t="str">
        <f>'Приложение '!$C$17</f>
        <v>2030 г.</v>
      </c>
      <c r="AL16" s="4469" t="str">
        <f>'Приложение '!$C$18</f>
        <v>2031 г.</v>
      </c>
      <c r="AM16" s="4469" t="str">
        <f>'Приложение '!$C$14</f>
        <v>2027 г.</v>
      </c>
      <c r="AN16" s="4469" t="str">
        <f>'Приложение '!$C$15</f>
        <v>2028 г.</v>
      </c>
      <c r="AO16" s="4469" t="str">
        <f>'Приложение '!$C$16</f>
        <v>2029 г.</v>
      </c>
      <c r="AP16" s="4469" t="str">
        <f>'Приложение '!$C$17</f>
        <v>2030 г.</v>
      </c>
      <c r="AQ16" s="4469" t="str">
        <f>'Приложение '!$C$18</f>
        <v>2031 г.</v>
      </c>
      <c r="AR16" s="4469" t="str">
        <f>'Приложение '!$C$14</f>
        <v>2027 г.</v>
      </c>
      <c r="AS16" s="4469" t="str">
        <f>'Приложение '!$C$15</f>
        <v>2028 г.</v>
      </c>
      <c r="AT16" s="4469" t="str">
        <f>'Приложение '!$C$16</f>
        <v>2029 г.</v>
      </c>
      <c r="AU16" s="4469" t="str">
        <f>'Приложение '!$C$17</f>
        <v>2030 г.</v>
      </c>
      <c r="AV16" s="4469" t="str">
        <f>'Приложение '!$C$18</f>
        <v>2031 г.</v>
      </c>
      <c r="AW16" s="4469" t="str">
        <f>'Приложение '!$C$14</f>
        <v>2027 г.</v>
      </c>
      <c r="AX16" s="4469" t="str">
        <f>'Приложение '!$C$15</f>
        <v>2028 г.</v>
      </c>
      <c r="AY16" s="4469" t="str">
        <f>'Приложение '!$C$16</f>
        <v>2029 г.</v>
      </c>
      <c r="AZ16" s="4469" t="str">
        <f>'Приложение '!$C$17</f>
        <v>2030 г.</v>
      </c>
      <c r="BA16" s="4469" t="str">
        <f>'Приложение '!$C$18</f>
        <v>2031 г.</v>
      </c>
    </row>
    <row r="17" spans="1:53">
      <c r="A17" s="5280" t="s">
        <v>1447</v>
      </c>
      <c r="B17" s="5281"/>
      <c r="C17" s="3118">
        <v>0</v>
      </c>
      <c r="D17" s="3119">
        <v>0</v>
      </c>
      <c r="E17" s="3119">
        <v>0</v>
      </c>
      <c r="F17" s="3119">
        <v>65656</v>
      </c>
      <c r="G17" s="3119">
        <v>65656</v>
      </c>
      <c r="H17" s="3118">
        <v>0</v>
      </c>
      <c r="I17" s="3119">
        <v>0</v>
      </c>
      <c r="J17" s="3119">
        <v>0</v>
      </c>
      <c r="K17" s="3119">
        <v>16302</v>
      </c>
      <c r="L17" s="3119">
        <v>16302</v>
      </c>
      <c r="M17" s="3118"/>
      <c r="N17" s="3119"/>
      <c r="O17" s="3119"/>
      <c r="P17" s="3119"/>
      <c r="Q17" s="3119"/>
      <c r="R17" s="3118"/>
      <c r="S17" s="3119"/>
      <c r="T17" s="3119"/>
      <c r="U17" s="3119"/>
      <c r="V17" s="3119"/>
      <c r="W17" s="3118"/>
      <c r="X17" s="3119"/>
      <c r="Y17" s="3119"/>
      <c r="Z17" s="3119"/>
      <c r="AA17" s="3119"/>
      <c r="AB17" s="4422"/>
      <c r="AC17" s="4472"/>
      <c r="AD17" s="4472"/>
      <c r="AE17" s="4472"/>
      <c r="AF17" s="4472"/>
      <c r="AG17" s="4472"/>
      <c r="AH17" s="4472"/>
      <c r="AI17" s="4472"/>
      <c r="AJ17" s="4472"/>
      <c r="AK17" s="4472"/>
      <c r="AL17" s="4472"/>
      <c r="AM17" s="4472"/>
      <c r="AN17" s="4472"/>
      <c r="AO17" s="4472"/>
      <c r="AP17" s="4472"/>
      <c r="AQ17" s="4472"/>
      <c r="AR17" s="4472"/>
      <c r="AS17" s="4472"/>
      <c r="AT17" s="4472"/>
      <c r="AU17" s="4472"/>
      <c r="AV17" s="4472"/>
      <c r="AW17" s="4472"/>
      <c r="AX17" s="4472"/>
      <c r="AY17" s="4472"/>
      <c r="AZ17" s="4472"/>
      <c r="BA17" s="4472"/>
    </row>
    <row r="18" spans="1:53">
      <c r="A18" s="5282" t="s">
        <v>1448</v>
      </c>
      <c r="B18" s="5283"/>
      <c r="C18" s="3120">
        <v>0</v>
      </c>
      <c r="D18" s="3121">
        <v>0</v>
      </c>
      <c r="E18" s="3121">
        <v>0</v>
      </c>
      <c r="F18" s="3121">
        <v>2618092</v>
      </c>
      <c r="G18" s="3121">
        <v>2618092</v>
      </c>
      <c r="H18" s="3120">
        <v>0</v>
      </c>
      <c r="I18" s="3121">
        <v>0</v>
      </c>
      <c r="J18" s="3121">
        <v>0</v>
      </c>
      <c r="K18" s="3121">
        <v>520518</v>
      </c>
      <c r="L18" s="3121">
        <v>520518</v>
      </c>
      <c r="M18" s="3120"/>
      <c r="N18" s="3121"/>
      <c r="O18" s="3121"/>
      <c r="P18" s="3121"/>
      <c r="Q18" s="3121"/>
      <c r="R18" s="3120"/>
      <c r="S18" s="3121"/>
      <c r="T18" s="3121"/>
      <c r="U18" s="3121"/>
      <c r="V18" s="3121"/>
      <c r="W18" s="3120"/>
      <c r="X18" s="3121"/>
      <c r="Y18" s="3121"/>
      <c r="Z18" s="3121"/>
      <c r="AA18" s="3121"/>
      <c r="AB18" s="4422"/>
      <c r="AC18" s="4473"/>
      <c r="AD18" s="4473"/>
      <c r="AE18" s="4473"/>
      <c r="AF18" s="4473"/>
      <c r="AG18" s="4473"/>
      <c r="AH18" s="4473"/>
      <c r="AI18" s="4473"/>
      <c r="AJ18" s="4473"/>
      <c r="AK18" s="4473"/>
      <c r="AL18" s="4473"/>
      <c r="AM18" s="4473"/>
      <c r="AN18" s="4473"/>
      <c r="AO18" s="4473"/>
      <c r="AP18" s="4473"/>
      <c r="AQ18" s="4473"/>
      <c r="AR18" s="4473"/>
      <c r="AS18" s="4473"/>
      <c r="AT18" s="4473"/>
      <c r="AU18" s="4473"/>
      <c r="AV18" s="4473"/>
      <c r="AW18" s="4473"/>
      <c r="AX18" s="4473"/>
      <c r="AY18" s="4473"/>
      <c r="AZ18" s="4473"/>
      <c r="BA18" s="4473"/>
    </row>
    <row r="19" spans="1:53">
      <c r="A19" s="5311" t="s">
        <v>1449</v>
      </c>
      <c r="B19" s="5312"/>
      <c r="C19" s="3122">
        <v>0</v>
      </c>
      <c r="D19" s="3123">
        <v>0</v>
      </c>
      <c r="E19" s="3123">
        <v>0</v>
      </c>
      <c r="F19" s="3123">
        <v>906373</v>
      </c>
      <c r="G19" s="3123">
        <v>901841</v>
      </c>
      <c r="H19" s="3122">
        <v>0</v>
      </c>
      <c r="I19" s="3123">
        <v>0</v>
      </c>
      <c r="J19" s="3123">
        <v>0</v>
      </c>
      <c r="K19" s="3123">
        <v>241413</v>
      </c>
      <c r="L19" s="3123">
        <v>240206</v>
      </c>
      <c r="M19" s="3122"/>
      <c r="N19" s="3123"/>
      <c r="O19" s="3123"/>
      <c r="P19" s="3123"/>
      <c r="Q19" s="3123"/>
      <c r="R19" s="3122"/>
      <c r="S19" s="3123"/>
      <c r="T19" s="3123"/>
      <c r="U19" s="3123"/>
      <c r="V19" s="3123"/>
      <c r="W19" s="3122"/>
      <c r="X19" s="3123"/>
      <c r="Y19" s="3123"/>
      <c r="Z19" s="3123"/>
      <c r="AA19" s="3123"/>
      <c r="AB19" s="4422"/>
      <c r="AC19" s="4473"/>
      <c r="AD19" s="4473"/>
      <c r="AE19" s="4473"/>
      <c r="AF19" s="4473"/>
      <c r="AG19" s="4473"/>
      <c r="AH19" s="4473"/>
      <c r="AI19" s="4473"/>
      <c r="AJ19" s="4473"/>
      <c r="AK19" s="4473"/>
      <c r="AL19" s="4473"/>
      <c r="AM19" s="4473"/>
      <c r="AN19" s="4473"/>
      <c r="AO19" s="4473"/>
      <c r="AP19" s="4473"/>
      <c r="AQ19" s="4473"/>
      <c r="AR19" s="4473"/>
      <c r="AS19" s="4473"/>
      <c r="AT19" s="4473"/>
      <c r="AU19" s="4473"/>
      <c r="AV19" s="4473"/>
      <c r="AW19" s="4473"/>
      <c r="AX19" s="4473"/>
      <c r="AY19" s="4473"/>
      <c r="AZ19" s="4473"/>
      <c r="BA19" s="4473"/>
    </row>
    <row r="20" spans="1:53" ht="13.5" thickBot="1">
      <c r="A20" s="5286" t="s">
        <v>1450</v>
      </c>
      <c r="B20" s="5287"/>
      <c r="C20" s="3124">
        <v>0</v>
      </c>
      <c r="D20" s="3125">
        <v>0</v>
      </c>
      <c r="E20" s="3125">
        <v>0</v>
      </c>
      <c r="F20" s="3125">
        <v>6</v>
      </c>
      <c r="G20" s="3125">
        <v>6</v>
      </c>
      <c r="H20" s="3124">
        <v>0</v>
      </c>
      <c r="I20" s="3125">
        <v>0</v>
      </c>
      <c r="J20" s="3125">
        <v>0</v>
      </c>
      <c r="K20" s="3125">
        <v>6</v>
      </c>
      <c r="L20" s="3125">
        <v>6</v>
      </c>
      <c r="M20" s="3124"/>
      <c r="N20" s="3125"/>
      <c r="O20" s="3125"/>
      <c r="P20" s="3125"/>
      <c r="Q20" s="3125"/>
      <c r="R20" s="3124"/>
      <c r="S20" s="3125"/>
      <c r="T20" s="3125"/>
      <c r="U20" s="3125"/>
      <c r="V20" s="3125"/>
      <c r="W20" s="3124"/>
      <c r="X20" s="3125"/>
      <c r="Y20" s="3125"/>
      <c r="Z20" s="3125"/>
      <c r="AA20" s="3125"/>
      <c r="AB20" s="4422"/>
      <c r="AC20" s="4474"/>
      <c r="AD20" s="4474"/>
      <c r="AE20" s="4474"/>
      <c r="AF20" s="4474"/>
      <c r="AG20" s="4474"/>
      <c r="AH20" s="4474"/>
      <c r="AI20" s="4474"/>
      <c r="AJ20" s="4474"/>
      <c r="AK20" s="4474"/>
      <c r="AL20" s="4474"/>
      <c r="AM20" s="4474"/>
      <c r="AN20" s="4474"/>
      <c r="AO20" s="4474"/>
      <c r="AP20" s="4474"/>
      <c r="AQ20" s="4474"/>
      <c r="AR20" s="4474"/>
      <c r="AS20" s="4474"/>
      <c r="AT20" s="4474"/>
      <c r="AU20" s="4474"/>
      <c r="AV20" s="4474"/>
      <c r="AW20" s="4474"/>
      <c r="AX20" s="4474"/>
      <c r="AY20" s="4474"/>
      <c r="AZ20" s="4474"/>
      <c r="BA20" s="4474"/>
    </row>
    <row r="21" spans="1:53" s="2" customFormat="1" ht="25.5" customHeight="1" thickBot="1">
      <c r="A21" s="5313" t="s">
        <v>1452</v>
      </c>
      <c r="B21" s="5314"/>
      <c r="C21" s="3126">
        <f t="shared" ref="C21:AA21" si="5">SUM(C22,C27:C31)</f>
        <v>0</v>
      </c>
      <c r="D21" s="3127">
        <f t="shared" si="5"/>
        <v>0</v>
      </c>
      <c r="E21" s="3127">
        <f t="shared" si="5"/>
        <v>0</v>
      </c>
      <c r="F21" s="3127">
        <f t="shared" si="5"/>
        <v>216</v>
      </c>
      <c r="G21" s="3127">
        <f t="shared" si="5"/>
        <v>280</v>
      </c>
      <c r="H21" s="3126">
        <f t="shared" si="5"/>
        <v>0</v>
      </c>
      <c r="I21" s="3127">
        <f t="shared" si="5"/>
        <v>0</v>
      </c>
      <c r="J21" s="3127">
        <f t="shared" si="5"/>
        <v>0</v>
      </c>
      <c r="K21" s="3127">
        <f t="shared" si="5"/>
        <v>216</v>
      </c>
      <c r="L21" s="3127">
        <f t="shared" si="5"/>
        <v>280</v>
      </c>
      <c r="M21" s="3126">
        <f t="shared" si="5"/>
        <v>0</v>
      </c>
      <c r="N21" s="3127">
        <f t="shared" si="5"/>
        <v>0</v>
      </c>
      <c r="O21" s="3127">
        <f t="shared" si="5"/>
        <v>0</v>
      </c>
      <c r="P21" s="3127">
        <f t="shared" si="5"/>
        <v>0</v>
      </c>
      <c r="Q21" s="3127">
        <f t="shared" si="5"/>
        <v>0</v>
      </c>
      <c r="R21" s="3126">
        <f t="shared" si="5"/>
        <v>0</v>
      </c>
      <c r="S21" s="3127">
        <f t="shared" si="5"/>
        <v>0</v>
      </c>
      <c r="T21" s="3127">
        <f t="shared" si="5"/>
        <v>0</v>
      </c>
      <c r="U21" s="3127">
        <f t="shared" si="5"/>
        <v>0</v>
      </c>
      <c r="V21" s="3127">
        <f t="shared" si="5"/>
        <v>0</v>
      </c>
      <c r="W21" s="3126">
        <f t="shared" si="5"/>
        <v>0</v>
      </c>
      <c r="X21" s="3127">
        <f t="shared" si="5"/>
        <v>0</v>
      </c>
      <c r="Y21" s="3127">
        <f t="shared" si="5"/>
        <v>0</v>
      </c>
      <c r="Z21" s="3127">
        <f t="shared" si="5"/>
        <v>0</v>
      </c>
      <c r="AA21" s="3127">
        <f t="shared" si="5"/>
        <v>0</v>
      </c>
      <c r="AB21" s="4422"/>
      <c r="AC21" s="4470">
        <f>IFERROR(C21/$D$1,0)</f>
        <v>0</v>
      </c>
      <c r="AD21" s="4471">
        <f t="shared" ref="AD21:AD31" si="6">IFERROR(D21/$D$1,0)</f>
        <v>0</v>
      </c>
      <c r="AE21" s="4471">
        <f t="shared" ref="AE21:AE31" si="7">IFERROR(E21/$D$1,0)</f>
        <v>0</v>
      </c>
      <c r="AF21" s="4471">
        <f t="shared" ref="AF21:AF31" si="8">IFERROR(F21/$D$1,0)</f>
        <v>110.43904633838319</v>
      </c>
      <c r="AG21" s="4471">
        <f t="shared" ref="AG21:AG31" si="9">IFERROR(G21/$D$1,0)</f>
        <v>143.16172673494117</v>
      </c>
      <c r="AH21" s="4471">
        <f t="shared" ref="AH21:AH31" si="10">IFERROR(H21/$D$1,0)</f>
        <v>0</v>
      </c>
      <c r="AI21" s="4471">
        <f t="shared" ref="AI21:AI31" si="11">IFERROR(I21/$D$1,0)</f>
        <v>0</v>
      </c>
      <c r="AJ21" s="4471">
        <f t="shared" ref="AJ21:AJ31" si="12">IFERROR(J21/$D$1,0)</f>
        <v>0</v>
      </c>
      <c r="AK21" s="4471">
        <f t="shared" ref="AK21:AK31" si="13">IFERROR(K21/$D$1,0)</f>
        <v>110.43904633838319</v>
      </c>
      <c r="AL21" s="4471">
        <f t="shared" ref="AL21:AL31" si="14">IFERROR(L21/$D$1,0)</f>
        <v>143.16172673494117</v>
      </c>
      <c r="AM21" s="4471">
        <f t="shared" ref="AM21:AM31" si="15">IFERROR(M21/$D$1,0)</f>
        <v>0</v>
      </c>
      <c r="AN21" s="4471">
        <f t="shared" ref="AN21:AN31" si="16">IFERROR(N21/$D$1,0)</f>
        <v>0</v>
      </c>
      <c r="AO21" s="4471">
        <f t="shared" ref="AO21:AO31" si="17">IFERROR(O21/$D$1,0)</f>
        <v>0</v>
      </c>
      <c r="AP21" s="4471">
        <f t="shared" ref="AP21:AP31" si="18">IFERROR(P21/$D$1,0)</f>
        <v>0</v>
      </c>
      <c r="AQ21" s="4471">
        <f t="shared" ref="AQ21:AQ31" si="19">IFERROR(Q21/$D$1,0)</f>
        <v>0</v>
      </c>
      <c r="AR21" s="4471">
        <f t="shared" ref="AR21:AR31" si="20">IFERROR(R21/$D$1,0)</f>
        <v>0</v>
      </c>
      <c r="AS21" s="4471">
        <f t="shared" ref="AS21:AS31" si="21">IFERROR(S21/$D$1,0)</f>
        <v>0</v>
      </c>
      <c r="AT21" s="4471">
        <f t="shared" ref="AT21:AT31" si="22">IFERROR(T21/$D$1,0)</f>
        <v>0</v>
      </c>
      <c r="AU21" s="4471">
        <f t="shared" ref="AU21:AU31" si="23">IFERROR(U21/$D$1,0)</f>
        <v>0</v>
      </c>
      <c r="AV21" s="4471">
        <f t="shared" ref="AV21:AV31" si="24">IFERROR(V21/$D$1,0)</f>
        <v>0</v>
      </c>
      <c r="AW21" s="4471">
        <f t="shared" ref="AW21:AW31" si="25">IFERROR(W21/$D$1,0)</f>
        <v>0</v>
      </c>
      <c r="AX21" s="4471">
        <f t="shared" ref="AX21:AX31" si="26">IFERROR(X21/$D$1,0)</f>
        <v>0</v>
      </c>
      <c r="AY21" s="4471">
        <f t="shared" ref="AY21:AY31" si="27">IFERROR(Y21/$D$1,0)</f>
        <v>0</v>
      </c>
      <c r="AZ21" s="4471">
        <f t="shared" ref="AZ21:AZ31" si="28">IFERROR(Z21/$D$1,0)</f>
        <v>0</v>
      </c>
      <c r="BA21" s="4471">
        <f t="shared" ref="BA21:BA31" si="29">IFERROR(AA21/$D$1,0)</f>
        <v>0</v>
      </c>
    </row>
    <row r="22" spans="1:53" ht="13.5" thickBot="1">
      <c r="A22" s="5315" t="s">
        <v>1451</v>
      </c>
      <c r="B22" s="5316"/>
      <c r="C22" s="3120"/>
      <c r="D22" s="3121"/>
      <c r="E22" s="3121"/>
      <c r="F22" s="3121"/>
      <c r="G22" s="3121"/>
      <c r="H22" s="3120"/>
      <c r="I22" s="3121"/>
      <c r="J22" s="3121"/>
      <c r="K22" s="3121"/>
      <c r="L22" s="3121"/>
      <c r="M22" s="3120"/>
      <c r="N22" s="3121"/>
      <c r="O22" s="3121"/>
      <c r="P22" s="3121"/>
      <c r="Q22" s="3121"/>
      <c r="R22" s="3120"/>
      <c r="S22" s="3121"/>
      <c r="T22" s="3121"/>
      <c r="U22" s="3121"/>
      <c r="V22" s="3121"/>
      <c r="W22" s="3120"/>
      <c r="X22" s="3121"/>
      <c r="Y22" s="3121"/>
      <c r="Z22" s="3121"/>
      <c r="AA22" s="3121"/>
      <c r="AB22" s="4422"/>
      <c r="AC22" s="4427">
        <f t="shared" ref="AC22:AC31" si="30">IFERROR(C22/$D$1,0)</f>
        <v>0</v>
      </c>
      <c r="AD22" s="4427">
        <f t="shared" si="6"/>
        <v>0</v>
      </c>
      <c r="AE22" s="4427">
        <f t="shared" si="7"/>
        <v>0</v>
      </c>
      <c r="AF22" s="4427">
        <f t="shared" si="8"/>
        <v>0</v>
      </c>
      <c r="AG22" s="4427">
        <f t="shared" si="9"/>
        <v>0</v>
      </c>
      <c r="AH22" s="4427">
        <f t="shared" si="10"/>
        <v>0</v>
      </c>
      <c r="AI22" s="4427">
        <f t="shared" si="11"/>
        <v>0</v>
      </c>
      <c r="AJ22" s="4427">
        <f t="shared" si="12"/>
        <v>0</v>
      </c>
      <c r="AK22" s="4427">
        <f t="shared" si="13"/>
        <v>0</v>
      </c>
      <c r="AL22" s="4427">
        <f t="shared" si="14"/>
        <v>0</v>
      </c>
      <c r="AM22" s="4427">
        <f t="shared" si="15"/>
        <v>0</v>
      </c>
      <c r="AN22" s="4427">
        <f t="shared" si="16"/>
        <v>0</v>
      </c>
      <c r="AO22" s="4427">
        <f t="shared" si="17"/>
        <v>0</v>
      </c>
      <c r="AP22" s="4427">
        <f t="shared" si="18"/>
        <v>0</v>
      </c>
      <c r="AQ22" s="4427">
        <f t="shared" si="19"/>
        <v>0</v>
      </c>
      <c r="AR22" s="4427">
        <f t="shared" si="20"/>
        <v>0</v>
      </c>
      <c r="AS22" s="4427">
        <f t="shared" si="21"/>
        <v>0</v>
      </c>
      <c r="AT22" s="4427">
        <f t="shared" si="22"/>
        <v>0</v>
      </c>
      <c r="AU22" s="4427">
        <f t="shared" si="23"/>
        <v>0</v>
      </c>
      <c r="AV22" s="4427">
        <f t="shared" si="24"/>
        <v>0</v>
      </c>
      <c r="AW22" s="4427">
        <f t="shared" si="25"/>
        <v>0</v>
      </c>
      <c r="AX22" s="4427">
        <f t="shared" si="26"/>
        <v>0</v>
      </c>
      <c r="AY22" s="4427">
        <f t="shared" si="27"/>
        <v>0</v>
      </c>
      <c r="AZ22" s="4427">
        <f t="shared" si="28"/>
        <v>0</v>
      </c>
      <c r="BA22" s="4427">
        <f t="shared" si="29"/>
        <v>0</v>
      </c>
    </row>
    <row r="23" spans="1:53" ht="13.5" thickBot="1">
      <c r="A23" s="5317" t="s">
        <v>1463</v>
      </c>
      <c r="B23" s="5318"/>
      <c r="C23" s="3120"/>
      <c r="D23" s="3121"/>
      <c r="E23" s="3121"/>
      <c r="F23" s="3121">
        <v>20</v>
      </c>
      <c r="G23" s="3121">
        <v>20</v>
      </c>
      <c r="H23" s="3120"/>
      <c r="I23" s="3121"/>
      <c r="J23" s="3121"/>
      <c r="K23" s="3121">
        <v>20</v>
      </c>
      <c r="L23" s="3121">
        <v>20</v>
      </c>
      <c r="M23" s="3120"/>
      <c r="N23" s="3121"/>
      <c r="O23" s="3121"/>
      <c r="P23" s="3121"/>
      <c r="Q23" s="3121"/>
      <c r="R23" s="3120"/>
      <c r="S23" s="3121"/>
      <c r="T23" s="3121"/>
      <c r="U23" s="3121"/>
      <c r="V23" s="3121"/>
      <c r="W23" s="3120"/>
      <c r="X23" s="3121"/>
      <c r="Y23" s="3121"/>
      <c r="Z23" s="3121"/>
      <c r="AA23" s="3121"/>
      <c r="AB23" s="4422"/>
      <c r="AC23" s="4427">
        <f t="shared" si="30"/>
        <v>0</v>
      </c>
      <c r="AD23" s="4427">
        <f t="shared" si="6"/>
        <v>0</v>
      </c>
      <c r="AE23" s="4427">
        <f t="shared" si="7"/>
        <v>0</v>
      </c>
      <c r="AF23" s="4427">
        <f t="shared" si="8"/>
        <v>10.22583762392437</v>
      </c>
      <c r="AG23" s="4427">
        <f t="shared" si="9"/>
        <v>10.22583762392437</v>
      </c>
      <c r="AH23" s="4427">
        <f t="shared" si="10"/>
        <v>0</v>
      </c>
      <c r="AI23" s="4427">
        <f t="shared" si="11"/>
        <v>0</v>
      </c>
      <c r="AJ23" s="4427">
        <f t="shared" si="12"/>
        <v>0</v>
      </c>
      <c r="AK23" s="4427">
        <f t="shared" si="13"/>
        <v>10.22583762392437</v>
      </c>
      <c r="AL23" s="4427">
        <f t="shared" si="14"/>
        <v>10.22583762392437</v>
      </c>
      <c r="AM23" s="4427">
        <f t="shared" si="15"/>
        <v>0</v>
      </c>
      <c r="AN23" s="4427">
        <f t="shared" si="16"/>
        <v>0</v>
      </c>
      <c r="AO23" s="4427">
        <f t="shared" si="17"/>
        <v>0</v>
      </c>
      <c r="AP23" s="4427">
        <f t="shared" si="18"/>
        <v>0</v>
      </c>
      <c r="AQ23" s="4427">
        <f t="shared" si="19"/>
        <v>0</v>
      </c>
      <c r="AR23" s="4427">
        <f t="shared" si="20"/>
        <v>0</v>
      </c>
      <c r="AS23" s="4427">
        <f t="shared" si="21"/>
        <v>0</v>
      </c>
      <c r="AT23" s="4427">
        <f t="shared" si="22"/>
        <v>0</v>
      </c>
      <c r="AU23" s="4427">
        <f t="shared" si="23"/>
        <v>0</v>
      </c>
      <c r="AV23" s="4427">
        <f t="shared" si="24"/>
        <v>0</v>
      </c>
      <c r="AW23" s="4427">
        <f t="shared" si="25"/>
        <v>0</v>
      </c>
      <c r="AX23" s="4427">
        <f t="shared" si="26"/>
        <v>0</v>
      </c>
      <c r="AY23" s="4427">
        <f t="shared" si="27"/>
        <v>0</v>
      </c>
      <c r="AZ23" s="4427">
        <f t="shared" si="28"/>
        <v>0</v>
      </c>
      <c r="BA23" s="4427">
        <f t="shared" si="29"/>
        <v>0</v>
      </c>
    </row>
    <row r="24" spans="1:53" ht="13.5" thickBot="1">
      <c r="A24" s="5284" t="s">
        <v>1453</v>
      </c>
      <c r="B24" s="5285"/>
      <c r="C24" s="3120"/>
      <c r="D24" s="3121"/>
      <c r="E24" s="3121"/>
      <c r="F24" s="3121"/>
      <c r="G24" s="3121"/>
      <c r="H24" s="3120"/>
      <c r="I24" s="3121"/>
      <c r="J24" s="3121"/>
      <c r="K24" s="3121"/>
      <c r="L24" s="3121"/>
      <c r="M24" s="3120"/>
      <c r="N24" s="3121"/>
      <c r="O24" s="3121"/>
      <c r="P24" s="3121"/>
      <c r="Q24" s="3121"/>
      <c r="R24" s="3120"/>
      <c r="S24" s="3121"/>
      <c r="T24" s="3121"/>
      <c r="U24" s="3121"/>
      <c r="V24" s="3121"/>
      <c r="W24" s="3120"/>
      <c r="X24" s="3121"/>
      <c r="Y24" s="3121"/>
      <c r="Z24" s="3121"/>
      <c r="AA24" s="3121"/>
      <c r="AB24" s="4422"/>
      <c r="AC24" s="4427">
        <f t="shared" si="30"/>
        <v>0</v>
      </c>
      <c r="AD24" s="4427">
        <f t="shared" si="6"/>
        <v>0</v>
      </c>
      <c r="AE24" s="4427">
        <f t="shared" si="7"/>
        <v>0</v>
      </c>
      <c r="AF24" s="4427">
        <f t="shared" si="8"/>
        <v>0</v>
      </c>
      <c r="AG24" s="4427">
        <f t="shared" si="9"/>
        <v>0</v>
      </c>
      <c r="AH24" s="4427">
        <f t="shared" si="10"/>
        <v>0</v>
      </c>
      <c r="AI24" s="4427">
        <f t="shared" si="11"/>
        <v>0</v>
      </c>
      <c r="AJ24" s="4427">
        <f t="shared" si="12"/>
        <v>0</v>
      </c>
      <c r="AK24" s="4427">
        <f t="shared" si="13"/>
        <v>0</v>
      </c>
      <c r="AL24" s="4427">
        <f t="shared" si="14"/>
        <v>0</v>
      </c>
      <c r="AM24" s="4427">
        <f t="shared" si="15"/>
        <v>0</v>
      </c>
      <c r="AN24" s="4427">
        <f t="shared" si="16"/>
        <v>0</v>
      </c>
      <c r="AO24" s="4427">
        <f t="shared" si="17"/>
        <v>0</v>
      </c>
      <c r="AP24" s="4427">
        <f t="shared" si="18"/>
        <v>0</v>
      </c>
      <c r="AQ24" s="4427">
        <f t="shared" si="19"/>
        <v>0</v>
      </c>
      <c r="AR24" s="4427">
        <f t="shared" si="20"/>
        <v>0</v>
      </c>
      <c r="AS24" s="4427">
        <f t="shared" si="21"/>
        <v>0</v>
      </c>
      <c r="AT24" s="4427">
        <f t="shared" si="22"/>
        <v>0</v>
      </c>
      <c r="AU24" s="4427">
        <f t="shared" si="23"/>
        <v>0</v>
      </c>
      <c r="AV24" s="4427">
        <f t="shared" si="24"/>
        <v>0</v>
      </c>
      <c r="AW24" s="4427">
        <f t="shared" si="25"/>
        <v>0</v>
      </c>
      <c r="AX24" s="4427">
        <f t="shared" si="26"/>
        <v>0</v>
      </c>
      <c r="AY24" s="4427">
        <f t="shared" si="27"/>
        <v>0</v>
      </c>
      <c r="AZ24" s="4427">
        <f t="shared" si="28"/>
        <v>0</v>
      </c>
      <c r="BA24" s="4427">
        <f t="shared" si="29"/>
        <v>0</v>
      </c>
    </row>
    <row r="25" spans="1:53" ht="13.5" thickBot="1">
      <c r="A25" s="5284" t="s">
        <v>1454</v>
      </c>
      <c r="B25" s="5285"/>
      <c r="C25" s="3120"/>
      <c r="D25" s="3121"/>
      <c r="E25" s="3121"/>
      <c r="F25" s="3121"/>
      <c r="G25" s="3121"/>
      <c r="H25" s="3120"/>
      <c r="I25" s="3121"/>
      <c r="J25" s="3121"/>
      <c r="K25" s="3121"/>
      <c r="L25" s="3121"/>
      <c r="M25" s="3120"/>
      <c r="N25" s="3121"/>
      <c r="O25" s="3121"/>
      <c r="P25" s="3121"/>
      <c r="Q25" s="3121"/>
      <c r="R25" s="3120"/>
      <c r="S25" s="3121"/>
      <c r="T25" s="3121"/>
      <c r="U25" s="3121"/>
      <c r="V25" s="3121"/>
      <c r="W25" s="3120"/>
      <c r="X25" s="3121"/>
      <c r="Y25" s="3121"/>
      <c r="Z25" s="3121"/>
      <c r="AA25" s="3121"/>
      <c r="AB25" s="4422"/>
      <c r="AC25" s="4427">
        <f t="shared" si="30"/>
        <v>0</v>
      </c>
      <c r="AD25" s="4427">
        <f t="shared" si="6"/>
        <v>0</v>
      </c>
      <c r="AE25" s="4427">
        <f t="shared" si="7"/>
        <v>0</v>
      </c>
      <c r="AF25" s="4427">
        <f t="shared" si="8"/>
        <v>0</v>
      </c>
      <c r="AG25" s="4427">
        <f t="shared" si="9"/>
        <v>0</v>
      </c>
      <c r="AH25" s="4427">
        <f t="shared" si="10"/>
        <v>0</v>
      </c>
      <c r="AI25" s="4427">
        <f t="shared" si="11"/>
        <v>0</v>
      </c>
      <c r="AJ25" s="4427">
        <f t="shared" si="12"/>
        <v>0</v>
      </c>
      <c r="AK25" s="4427">
        <f t="shared" si="13"/>
        <v>0</v>
      </c>
      <c r="AL25" s="4427">
        <f t="shared" si="14"/>
        <v>0</v>
      </c>
      <c r="AM25" s="4427">
        <f t="shared" si="15"/>
        <v>0</v>
      </c>
      <c r="AN25" s="4427">
        <f t="shared" si="16"/>
        <v>0</v>
      </c>
      <c r="AO25" s="4427">
        <f t="shared" si="17"/>
        <v>0</v>
      </c>
      <c r="AP25" s="4427">
        <f t="shared" si="18"/>
        <v>0</v>
      </c>
      <c r="AQ25" s="4427">
        <f t="shared" si="19"/>
        <v>0</v>
      </c>
      <c r="AR25" s="4427">
        <f t="shared" si="20"/>
        <v>0</v>
      </c>
      <c r="AS25" s="4427">
        <f t="shared" si="21"/>
        <v>0</v>
      </c>
      <c r="AT25" s="4427">
        <f t="shared" si="22"/>
        <v>0</v>
      </c>
      <c r="AU25" s="4427">
        <f t="shared" si="23"/>
        <v>0</v>
      </c>
      <c r="AV25" s="4427">
        <f t="shared" si="24"/>
        <v>0</v>
      </c>
      <c r="AW25" s="4427">
        <f t="shared" si="25"/>
        <v>0</v>
      </c>
      <c r="AX25" s="4427">
        <f t="shared" si="26"/>
        <v>0</v>
      </c>
      <c r="AY25" s="4427">
        <f t="shared" si="27"/>
        <v>0</v>
      </c>
      <c r="AZ25" s="4427">
        <f t="shared" si="28"/>
        <v>0</v>
      </c>
      <c r="BA25" s="4427">
        <f t="shared" si="29"/>
        <v>0</v>
      </c>
    </row>
    <row r="26" spans="1:53" ht="13.5" thickBot="1">
      <c r="A26" s="5284" t="s">
        <v>1455</v>
      </c>
      <c r="B26" s="5285"/>
      <c r="C26" s="3120"/>
      <c r="D26" s="3121"/>
      <c r="E26" s="3121"/>
      <c r="F26" s="3121">
        <v>60</v>
      </c>
      <c r="G26" s="3121">
        <v>60</v>
      </c>
      <c r="H26" s="3120"/>
      <c r="I26" s="3121"/>
      <c r="J26" s="3121"/>
      <c r="K26" s="3121">
        <v>60</v>
      </c>
      <c r="L26" s="3121">
        <v>60</v>
      </c>
      <c r="M26" s="3120"/>
      <c r="N26" s="3121"/>
      <c r="O26" s="3121"/>
      <c r="P26" s="3121"/>
      <c r="Q26" s="3121"/>
      <c r="R26" s="3120"/>
      <c r="S26" s="3121"/>
      <c r="T26" s="3121"/>
      <c r="U26" s="3121"/>
      <c r="V26" s="3121"/>
      <c r="W26" s="3120"/>
      <c r="X26" s="3121"/>
      <c r="Y26" s="3121"/>
      <c r="Z26" s="3121"/>
      <c r="AA26" s="3121"/>
      <c r="AB26" s="4422"/>
      <c r="AC26" s="4427">
        <f t="shared" si="30"/>
        <v>0</v>
      </c>
      <c r="AD26" s="4427">
        <f t="shared" si="6"/>
        <v>0</v>
      </c>
      <c r="AE26" s="4427">
        <f t="shared" si="7"/>
        <v>0</v>
      </c>
      <c r="AF26" s="4427">
        <f t="shared" si="8"/>
        <v>30.677512871773111</v>
      </c>
      <c r="AG26" s="4427">
        <f t="shared" si="9"/>
        <v>30.677512871773111</v>
      </c>
      <c r="AH26" s="4427">
        <f t="shared" si="10"/>
        <v>0</v>
      </c>
      <c r="AI26" s="4427">
        <f t="shared" si="11"/>
        <v>0</v>
      </c>
      <c r="AJ26" s="4427">
        <f t="shared" si="12"/>
        <v>0</v>
      </c>
      <c r="AK26" s="4427">
        <f t="shared" si="13"/>
        <v>30.677512871773111</v>
      </c>
      <c r="AL26" s="4427">
        <f t="shared" si="14"/>
        <v>30.677512871773111</v>
      </c>
      <c r="AM26" s="4427">
        <f t="shared" si="15"/>
        <v>0</v>
      </c>
      <c r="AN26" s="4427">
        <f t="shared" si="16"/>
        <v>0</v>
      </c>
      <c r="AO26" s="4427">
        <f t="shared" si="17"/>
        <v>0</v>
      </c>
      <c r="AP26" s="4427">
        <f t="shared" si="18"/>
        <v>0</v>
      </c>
      <c r="AQ26" s="4427">
        <f t="shared" si="19"/>
        <v>0</v>
      </c>
      <c r="AR26" s="4427">
        <f t="shared" si="20"/>
        <v>0</v>
      </c>
      <c r="AS26" s="4427">
        <f t="shared" si="21"/>
        <v>0</v>
      </c>
      <c r="AT26" s="4427">
        <f t="shared" si="22"/>
        <v>0</v>
      </c>
      <c r="AU26" s="4427">
        <f t="shared" si="23"/>
        <v>0</v>
      </c>
      <c r="AV26" s="4427">
        <f t="shared" si="24"/>
        <v>0</v>
      </c>
      <c r="AW26" s="4427">
        <f t="shared" si="25"/>
        <v>0</v>
      </c>
      <c r="AX26" s="4427">
        <f t="shared" si="26"/>
        <v>0</v>
      </c>
      <c r="AY26" s="4427">
        <f t="shared" si="27"/>
        <v>0</v>
      </c>
      <c r="AZ26" s="4427">
        <f t="shared" si="28"/>
        <v>0</v>
      </c>
      <c r="BA26" s="4427">
        <f t="shared" si="29"/>
        <v>0</v>
      </c>
    </row>
    <row r="27" spans="1:53" ht="13.5" thickBot="1">
      <c r="A27" s="5291" t="s">
        <v>1456</v>
      </c>
      <c r="B27" s="5292"/>
      <c r="C27" s="3120"/>
      <c r="D27" s="3121"/>
      <c r="E27" s="3121"/>
      <c r="F27" s="3121"/>
      <c r="G27" s="3121"/>
      <c r="H27" s="3120"/>
      <c r="I27" s="3121"/>
      <c r="J27" s="3121"/>
      <c r="K27" s="3121"/>
      <c r="L27" s="3121"/>
      <c r="M27" s="3120"/>
      <c r="N27" s="3121"/>
      <c r="O27" s="3121"/>
      <c r="P27" s="3121"/>
      <c r="Q27" s="3121"/>
      <c r="R27" s="3120"/>
      <c r="S27" s="3121"/>
      <c r="T27" s="3121"/>
      <c r="U27" s="3121"/>
      <c r="V27" s="3121"/>
      <c r="W27" s="3120"/>
      <c r="X27" s="3121"/>
      <c r="Y27" s="3121"/>
      <c r="Z27" s="3121"/>
      <c r="AA27" s="3121"/>
      <c r="AB27" s="4422"/>
      <c r="AC27" s="4427">
        <f t="shared" si="30"/>
        <v>0</v>
      </c>
      <c r="AD27" s="4427">
        <f t="shared" si="6"/>
        <v>0</v>
      </c>
      <c r="AE27" s="4427">
        <f t="shared" si="7"/>
        <v>0</v>
      </c>
      <c r="AF27" s="4427">
        <f t="shared" si="8"/>
        <v>0</v>
      </c>
      <c r="AG27" s="4427">
        <f t="shared" si="9"/>
        <v>0</v>
      </c>
      <c r="AH27" s="4427">
        <f t="shared" si="10"/>
        <v>0</v>
      </c>
      <c r="AI27" s="4427">
        <f t="shared" si="11"/>
        <v>0</v>
      </c>
      <c r="AJ27" s="4427">
        <f t="shared" si="12"/>
        <v>0</v>
      </c>
      <c r="AK27" s="4427">
        <f t="shared" si="13"/>
        <v>0</v>
      </c>
      <c r="AL27" s="4427">
        <f t="shared" si="14"/>
        <v>0</v>
      </c>
      <c r="AM27" s="4427">
        <f t="shared" si="15"/>
        <v>0</v>
      </c>
      <c r="AN27" s="4427">
        <f t="shared" si="16"/>
        <v>0</v>
      </c>
      <c r="AO27" s="4427">
        <f t="shared" si="17"/>
        <v>0</v>
      </c>
      <c r="AP27" s="4427">
        <f t="shared" si="18"/>
        <v>0</v>
      </c>
      <c r="AQ27" s="4427">
        <f t="shared" si="19"/>
        <v>0</v>
      </c>
      <c r="AR27" s="4427">
        <f t="shared" si="20"/>
        <v>0</v>
      </c>
      <c r="AS27" s="4427">
        <f t="shared" si="21"/>
        <v>0</v>
      </c>
      <c r="AT27" s="4427">
        <f t="shared" si="22"/>
        <v>0</v>
      </c>
      <c r="AU27" s="4427">
        <f t="shared" si="23"/>
        <v>0</v>
      </c>
      <c r="AV27" s="4427">
        <f t="shared" si="24"/>
        <v>0</v>
      </c>
      <c r="AW27" s="4427">
        <f t="shared" si="25"/>
        <v>0</v>
      </c>
      <c r="AX27" s="4427">
        <f t="shared" si="26"/>
        <v>0</v>
      </c>
      <c r="AY27" s="4427">
        <f t="shared" si="27"/>
        <v>0</v>
      </c>
      <c r="AZ27" s="4427">
        <f t="shared" si="28"/>
        <v>0</v>
      </c>
      <c r="BA27" s="4427">
        <f t="shared" si="29"/>
        <v>0</v>
      </c>
    </row>
    <row r="28" spans="1:53" ht="13.5" thickBot="1">
      <c r="A28" s="5307" t="s">
        <v>1457</v>
      </c>
      <c r="B28" s="5308"/>
      <c r="C28" s="3120"/>
      <c r="D28" s="3121"/>
      <c r="E28" s="3121"/>
      <c r="F28" s="3121">
        <v>175</v>
      </c>
      <c r="G28" s="3121">
        <v>228</v>
      </c>
      <c r="H28" s="3120"/>
      <c r="I28" s="3121"/>
      <c r="J28" s="3121"/>
      <c r="K28" s="3121">
        <v>175</v>
      </c>
      <c r="L28" s="3121">
        <v>228</v>
      </c>
      <c r="M28" s="3120"/>
      <c r="N28" s="3121"/>
      <c r="O28" s="3121"/>
      <c r="P28" s="3121"/>
      <c r="Q28" s="3121"/>
      <c r="R28" s="3120"/>
      <c r="S28" s="3121"/>
      <c r="T28" s="3121"/>
      <c r="U28" s="3121"/>
      <c r="V28" s="3121"/>
      <c r="W28" s="3120"/>
      <c r="X28" s="3121"/>
      <c r="Y28" s="3121"/>
      <c r="Z28" s="3121"/>
      <c r="AA28" s="3121"/>
      <c r="AB28" s="4422"/>
      <c r="AC28" s="4427">
        <f t="shared" si="30"/>
        <v>0</v>
      </c>
      <c r="AD28" s="4427">
        <f t="shared" si="6"/>
        <v>0</v>
      </c>
      <c r="AE28" s="4427">
        <f t="shared" si="7"/>
        <v>0</v>
      </c>
      <c r="AF28" s="4427">
        <f t="shared" si="8"/>
        <v>89.476079209338238</v>
      </c>
      <c r="AG28" s="4427">
        <f t="shared" si="9"/>
        <v>116.57454891273781</v>
      </c>
      <c r="AH28" s="4427">
        <f t="shared" si="10"/>
        <v>0</v>
      </c>
      <c r="AI28" s="4427">
        <f t="shared" si="11"/>
        <v>0</v>
      </c>
      <c r="AJ28" s="4427">
        <f t="shared" si="12"/>
        <v>0</v>
      </c>
      <c r="AK28" s="4427">
        <f t="shared" si="13"/>
        <v>89.476079209338238</v>
      </c>
      <c r="AL28" s="4427">
        <f t="shared" si="14"/>
        <v>116.57454891273781</v>
      </c>
      <c r="AM28" s="4427">
        <f t="shared" si="15"/>
        <v>0</v>
      </c>
      <c r="AN28" s="4427">
        <f t="shared" si="16"/>
        <v>0</v>
      </c>
      <c r="AO28" s="4427">
        <f t="shared" si="17"/>
        <v>0</v>
      </c>
      <c r="AP28" s="4427">
        <f t="shared" si="18"/>
        <v>0</v>
      </c>
      <c r="AQ28" s="4427">
        <f t="shared" si="19"/>
        <v>0</v>
      </c>
      <c r="AR28" s="4427">
        <f t="shared" si="20"/>
        <v>0</v>
      </c>
      <c r="AS28" s="4427">
        <f t="shared" si="21"/>
        <v>0</v>
      </c>
      <c r="AT28" s="4427">
        <f t="shared" si="22"/>
        <v>0</v>
      </c>
      <c r="AU28" s="4427">
        <f t="shared" si="23"/>
        <v>0</v>
      </c>
      <c r="AV28" s="4427">
        <f t="shared" si="24"/>
        <v>0</v>
      </c>
      <c r="AW28" s="4427">
        <f t="shared" si="25"/>
        <v>0</v>
      </c>
      <c r="AX28" s="4427">
        <f t="shared" si="26"/>
        <v>0</v>
      </c>
      <c r="AY28" s="4427">
        <f t="shared" si="27"/>
        <v>0</v>
      </c>
      <c r="AZ28" s="4427">
        <f t="shared" si="28"/>
        <v>0</v>
      </c>
      <c r="BA28" s="4427">
        <f t="shared" si="29"/>
        <v>0</v>
      </c>
    </row>
    <row r="29" spans="1:53" ht="13.5" thickBot="1">
      <c r="A29" s="5307" t="s">
        <v>1458</v>
      </c>
      <c r="B29" s="5308"/>
      <c r="C29" s="3120"/>
      <c r="D29" s="3121"/>
      <c r="E29" s="3121"/>
      <c r="F29" s="3121">
        <v>41</v>
      </c>
      <c r="G29" s="3121">
        <v>52</v>
      </c>
      <c r="H29" s="3120"/>
      <c r="I29" s="3121"/>
      <c r="J29" s="3121"/>
      <c r="K29" s="3121">
        <v>41</v>
      </c>
      <c r="L29" s="3121">
        <v>52</v>
      </c>
      <c r="M29" s="3120"/>
      <c r="N29" s="3121"/>
      <c r="O29" s="3121"/>
      <c r="P29" s="3121"/>
      <c r="Q29" s="3121"/>
      <c r="R29" s="3120"/>
      <c r="S29" s="3121"/>
      <c r="T29" s="3121"/>
      <c r="U29" s="3121"/>
      <c r="V29" s="3121"/>
      <c r="W29" s="3120"/>
      <c r="X29" s="3121"/>
      <c r="Y29" s="3121"/>
      <c r="Z29" s="3121"/>
      <c r="AA29" s="3121"/>
      <c r="AB29" s="4422"/>
      <c r="AC29" s="4427">
        <f t="shared" si="30"/>
        <v>0</v>
      </c>
      <c r="AD29" s="4427">
        <f t="shared" si="6"/>
        <v>0</v>
      </c>
      <c r="AE29" s="4427">
        <f t="shared" si="7"/>
        <v>0</v>
      </c>
      <c r="AF29" s="4427">
        <f t="shared" si="8"/>
        <v>20.962967129044959</v>
      </c>
      <c r="AG29" s="4427">
        <f t="shared" si="9"/>
        <v>26.587177822203362</v>
      </c>
      <c r="AH29" s="4427">
        <f t="shared" si="10"/>
        <v>0</v>
      </c>
      <c r="AI29" s="4427">
        <f t="shared" si="11"/>
        <v>0</v>
      </c>
      <c r="AJ29" s="4427">
        <f t="shared" si="12"/>
        <v>0</v>
      </c>
      <c r="AK29" s="4427">
        <f t="shared" si="13"/>
        <v>20.962967129044959</v>
      </c>
      <c r="AL29" s="4427">
        <f t="shared" si="14"/>
        <v>26.587177822203362</v>
      </c>
      <c r="AM29" s="4427">
        <f t="shared" si="15"/>
        <v>0</v>
      </c>
      <c r="AN29" s="4427">
        <f t="shared" si="16"/>
        <v>0</v>
      </c>
      <c r="AO29" s="4427">
        <f t="shared" si="17"/>
        <v>0</v>
      </c>
      <c r="AP29" s="4427">
        <f t="shared" si="18"/>
        <v>0</v>
      </c>
      <c r="AQ29" s="4427">
        <f t="shared" si="19"/>
        <v>0</v>
      </c>
      <c r="AR29" s="4427">
        <f t="shared" si="20"/>
        <v>0</v>
      </c>
      <c r="AS29" s="4427">
        <f t="shared" si="21"/>
        <v>0</v>
      </c>
      <c r="AT29" s="4427">
        <f t="shared" si="22"/>
        <v>0</v>
      </c>
      <c r="AU29" s="4427">
        <f t="shared" si="23"/>
        <v>0</v>
      </c>
      <c r="AV29" s="4427">
        <f t="shared" si="24"/>
        <v>0</v>
      </c>
      <c r="AW29" s="4427">
        <f t="shared" si="25"/>
        <v>0</v>
      </c>
      <c r="AX29" s="4427">
        <f t="shared" si="26"/>
        <v>0</v>
      </c>
      <c r="AY29" s="4427">
        <f t="shared" si="27"/>
        <v>0</v>
      </c>
      <c r="AZ29" s="4427">
        <f t="shared" si="28"/>
        <v>0</v>
      </c>
      <c r="BA29" s="4427">
        <f t="shared" si="29"/>
        <v>0</v>
      </c>
    </row>
    <row r="30" spans="1:53" ht="13.5" thickBot="1">
      <c r="A30" s="5307" t="s">
        <v>1459</v>
      </c>
      <c r="B30" s="5308"/>
      <c r="C30" s="3120"/>
      <c r="D30" s="3121"/>
      <c r="E30" s="3121"/>
      <c r="F30" s="3121"/>
      <c r="G30" s="3121"/>
      <c r="H30" s="3120"/>
      <c r="I30" s="3121"/>
      <c r="J30" s="3121"/>
      <c r="K30" s="3121"/>
      <c r="L30" s="3121"/>
      <c r="M30" s="3120"/>
      <c r="N30" s="3121"/>
      <c r="O30" s="3121"/>
      <c r="P30" s="3121"/>
      <c r="Q30" s="3121"/>
      <c r="R30" s="3120"/>
      <c r="S30" s="3121"/>
      <c r="T30" s="3121"/>
      <c r="U30" s="3121"/>
      <c r="V30" s="3121"/>
      <c r="W30" s="3120"/>
      <c r="X30" s="3121"/>
      <c r="Y30" s="3121"/>
      <c r="Z30" s="3121"/>
      <c r="AA30" s="3121"/>
      <c r="AB30" s="4422"/>
      <c r="AC30" s="4427">
        <f t="shared" si="30"/>
        <v>0</v>
      </c>
      <c r="AD30" s="4427">
        <f t="shared" si="6"/>
        <v>0</v>
      </c>
      <c r="AE30" s="4427">
        <f t="shared" si="7"/>
        <v>0</v>
      </c>
      <c r="AF30" s="4427">
        <f t="shared" si="8"/>
        <v>0</v>
      </c>
      <c r="AG30" s="4427">
        <f t="shared" si="9"/>
        <v>0</v>
      </c>
      <c r="AH30" s="4427">
        <f t="shared" si="10"/>
        <v>0</v>
      </c>
      <c r="AI30" s="4427">
        <f t="shared" si="11"/>
        <v>0</v>
      </c>
      <c r="AJ30" s="4427">
        <f t="shared" si="12"/>
        <v>0</v>
      </c>
      <c r="AK30" s="4427">
        <f t="shared" si="13"/>
        <v>0</v>
      </c>
      <c r="AL30" s="4427">
        <f t="shared" si="14"/>
        <v>0</v>
      </c>
      <c r="AM30" s="4427">
        <f t="shared" si="15"/>
        <v>0</v>
      </c>
      <c r="AN30" s="4427">
        <f t="shared" si="16"/>
        <v>0</v>
      </c>
      <c r="AO30" s="4427">
        <f t="shared" si="17"/>
        <v>0</v>
      </c>
      <c r="AP30" s="4427">
        <f t="shared" si="18"/>
        <v>0</v>
      </c>
      <c r="AQ30" s="4427">
        <f t="shared" si="19"/>
        <v>0</v>
      </c>
      <c r="AR30" s="4427">
        <f t="shared" si="20"/>
        <v>0</v>
      </c>
      <c r="AS30" s="4427">
        <f t="shared" si="21"/>
        <v>0</v>
      </c>
      <c r="AT30" s="4427">
        <f t="shared" si="22"/>
        <v>0</v>
      </c>
      <c r="AU30" s="4427">
        <f t="shared" si="23"/>
        <v>0</v>
      </c>
      <c r="AV30" s="4427">
        <f t="shared" si="24"/>
        <v>0</v>
      </c>
      <c r="AW30" s="4427">
        <f t="shared" si="25"/>
        <v>0</v>
      </c>
      <c r="AX30" s="4427">
        <f t="shared" si="26"/>
        <v>0</v>
      </c>
      <c r="AY30" s="4427">
        <f t="shared" si="27"/>
        <v>0</v>
      </c>
      <c r="AZ30" s="4427">
        <f t="shared" si="28"/>
        <v>0</v>
      </c>
      <c r="BA30" s="4427">
        <f t="shared" si="29"/>
        <v>0</v>
      </c>
    </row>
    <row r="31" spans="1:53" ht="13.5" thickBot="1">
      <c r="A31" s="5309" t="s">
        <v>1460</v>
      </c>
      <c r="B31" s="5310"/>
      <c r="C31" s="3124"/>
      <c r="D31" s="3125"/>
      <c r="E31" s="3125"/>
      <c r="F31" s="3125"/>
      <c r="G31" s="3125"/>
      <c r="H31" s="3124"/>
      <c r="I31" s="3125"/>
      <c r="J31" s="3125"/>
      <c r="K31" s="3125"/>
      <c r="L31" s="3125"/>
      <c r="M31" s="3124"/>
      <c r="N31" s="3125"/>
      <c r="O31" s="3125"/>
      <c r="P31" s="3125"/>
      <c r="Q31" s="3125"/>
      <c r="R31" s="3124"/>
      <c r="S31" s="3125"/>
      <c r="T31" s="3125"/>
      <c r="U31" s="3125"/>
      <c r="V31" s="3125"/>
      <c r="W31" s="3124"/>
      <c r="X31" s="3125"/>
      <c r="Y31" s="3125"/>
      <c r="Z31" s="3125"/>
      <c r="AA31" s="3125"/>
      <c r="AB31" s="4422"/>
      <c r="AC31" s="4427">
        <f t="shared" si="30"/>
        <v>0</v>
      </c>
      <c r="AD31" s="4427">
        <f t="shared" si="6"/>
        <v>0</v>
      </c>
      <c r="AE31" s="4427">
        <f t="shared" si="7"/>
        <v>0</v>
      </c>
      <c r="AF31" s="4427">
        <f t="shared" si="8"/>
        <v>0</v>
      </c>
      <c r="AG31" s="4427">
        <f t="shared" si="9"/>
        <v>0</v>
      </c>
      <c r="AH31" s="4427">
        <f t="shared" si="10"/>
        <v>0</v>
      </c>
      <c r="AI31" s="4427">
        <f t="shared" si="11"/>
        <v>0</v>
      </c>
      <c r="AJ31" s="4427">
        <f t="shared" si="12"/>
        <v>0</v>
      </c>
      <c r="AK31" s="4427">
        <f t="shared" si="13"/>
        <v>0</v>
      </c>
      <c r="AL31" s="4427">
        <f t="shared" si="14"/>
        <v>0</v>
      </c>
      <c r="AM31" s="4427">
        <f t="shared" si="15"/>
        <v>0</v>
      </c>
      <c r="AN31" s="4427">
        <f t="shared" si="16"/>
        <v>0</v>
      </c>
      <c r="AO31" s="4427">
        <f t="shared" si="17"/>
        <v>0</v>
      </c>
      <c r="AP31" s="4427">
        <f t="shared" si="18"/>
        <v>0</v>
      </c>
      <c r="AQ31" s="4427">
        <f t="shared" si="19"/>
        <v>0</v>
      </c>
      <c r="AR31" s="4427">
        <f t="shared" si="20"/>
        <v>0</v>
      </c>
      <c r="AS31" s="4427">
        <f t="shared" si="21"/>
        <v>0</v>
      </c>
      <c r="AT31" s="4427">
        <f t="shared" si="22"/>
        <v>0</v>
      </c>
      <c r="AU31" s="4427">
        <f t="shared" si="23"/>
        <v>0</v>
      </c>
      <c r="AV31" s="4427">
        <f t="shared" si="24"/>
        <v>0</v>
      </c>
      <c r="AW31" s="4427">
        <f t="shared" si="25"/>
        <v>0</v>
      </c>
      <c r="AX31" s="4427">
        <f t="shared" si="26"/>
        <v>0</v>
      </c>
      <c r="AY31" s="4427">
        <f t="shared" si="27"/>
        <v>0</v>
      </c>
      <c r="AZ31" s="4427">
        <f t="shared" si="28"/>
        <v>0</v>
      </c>
      <c r="BA31" s="4427">
        <f t="shared" si="29"/>
        <v>0</v>
      </c>
    </row>
    <row r="32" spans="1:53" ht="20.25" customHeight="1" thickBot="1">
      <c r="A32" s="5298" t="s">
        <v>1175</v>
      </c>
      <c r="B32" s="5299"/>
      <c r="C32" s="5303">
        <v>6</v>
      </c>
      <c r="D32" s="5304"/>
      <c r="E32" s="5304"/>
      <c r="F32" s="5304"/>
      <c r="G32" s="5304"/>
      <c r="H32" s="5303">
        <f>C32+1</f>
        <v>7</v>
      </c>
      <c r="I32" s="5304"/>
      <c r="J32" s="5304"/>
      <c r="K32" s="5304"/>
      <c r="L32" s="5304"/>
      <c r="M32" s="5303">
        <f>H32+1</f>
        <v>8</v>
      </c>
      <c r="N32" s="5304"/>
      <c r="O32" s="5304"/>
      <c r="P32" s="5304"/>
      <c r="Q32" s="5304"/>
      <c r="R32" s="5303">
        <f>M32+1</f>
        <v>9</v>
      </c>
      <c r="S32" s="5304"/>
      <c r="T32" s="5304"/>
      <c r="U32" s="5304"/>
      <c r="V32" s="5304"/>
      <c r="W32" s="5303">
        <f>R32+1</f>
        <v>10</v>
      </c>
      <c r="X32" s="5304"/>
      <c r="Y32" s="5304"/>
      <c r="Z32" s="5304"/>
      <c r="AA32" s="5304"/>
      <c r="AB32" s="4422"/>
      <c r="AC32" s="5150">
        <f>+C32</f>
        <v>6</v>
      </c>
      <c r="AD32" s="5150"/>
      <c r="AE32" s="5150"/>
      <c r="AF32" s="5150"/>
      <c r="AG32" s="5150"/>
      <c r="AH32" s="5150">
        <f>+H32</f>
        <v>7</v>
      </c>
      <c r="AI32" s="5150"/>
      <c r="AJ32" s="5150"/>
      <c r="AK32" s="5150"/>
      <c r="AL32" s="5150"/>
      <c r="AM32" s="5150">
        <f>+M32</f>
        <v>8</v>
      </c>
      <c r="AN32" s="5150"/>
      <c r="AO32" s="5150"/>
      <c r="AP32" s="5150"/>
      <c r="AQ32" s="5150"/>
      <c r="AR32" s="5150">
        <f>+R32</f>
        <v>9</v>
      </c>
      <c r="AS32" s="5150"/>
      <c r="AT32" s="5150"/>
      <c r="AU32" s="5150"/>
      <c r="AV32" s="5150"/>
      <c r="AW32" s="5150">
        <f>+W32</f>
        <v>10</v>
      </c>
      <c r="AX32" s="5150"/>
      <c r="AY32" s="5150"/>
      <c r="AZ32" s="5150"/>
      <c r="BA32" s="5150"/>
    </row>
    <row r="33" spans="1:53" ht="12.75" customHeight="1" thickBot="1">
      <c r="A33" s="5295" t="s">
        <v>1297</v>
      </c>
      <c r="B33" s="3114" t="s">
        <v>1446</v>
      </c>
      <c r="C33" s="5288"/>
      <c r="D33" s="5289"/>
      <c r="E33" s="5289"/>
      <c r="F33" s="5289"/>
      <c r="G33" s="5289"/>
      <c r="H33" s="5288"/>
      <c r="I33" s="5289"/>
      <c r="J33" s="5289"/>
      <c r="K33" s="5289"/>
      <c r="L33" s="5289"/>
      <c r="M33" s="5288"/>
      <c r="N33" s="5289"/>
      <c r="O33" s="5289"/>
      <c r="P33" s="5289"/>
      <c r="Q33" s="5289"/>
      <c r="R33" s="5288"/>
      <c r="S33" s="5289"/>
      <c r="T33" s="5289"/>
      <c r="U33" s="5289"/>
      <c r="V33" s="5289"/>
      <c r="W33" s="5288"/>
      <c r="X33" s="5289"/>
      <c r="Y33" s="5289"/>
      <c r="Z33" s="5289"/>
      <c r="AA33" s="5289"/>
      <c r="AB33" s="4422"/>
      <c r="AC33" s="5324" t="str">
        <f>IF(C33=0,"",C33)</f>
        <v/>
      </c>
      <c r="AD33" s="5324"/>
      <c r="AE33" s="5324"/>
      <c r="AF33" s="5324"/>
      <c r="AG33" s="5324"/>
      <c r="AH33" s="5324" t="str">
        <f>IF(H33=0,"",H33)</f>
        <v/>
      </c>
      <c r="AI33" s="5324"/>
      <c r="AJ33" s="5324"/>
      <c r="AK33" s="5324"/>
      <c r="AL33" s="5324"/>
      <c r="AM33" s="5324" t="str">
        <f>IF(M33=0,"",M33)</f>
        <v/>
      </c>
      <c r="AN33" s="5324"/>
      <c r="AO33" s="5324"/>
      <c r="AP33" s="5324"/>
      <c r="AQ33" s="5324"/>
      <c r="AR33" s="5324" t="str">
        <f>IF(R33=0,"",R33)</f>
        <v/>
      </c>
      <c r="AS33" s="5324"/>
      <c r="AT33" s="5324"/>
      <c r="AU33" s="5324"/>
      <c r="AV33" s="5324"/>
      <c r="AW33" s="5324" t="str">
        <f>IF(W33=0,"",W33)</f>
        <v/>
      </c>
      <c r="AX33" s="5324"/>
      <c r="AY33" s="5324"/>
      <c r="AZ33" s="5324"/>
      <c r="BA33" s="5324"/>
    </row>
    <row r="34" spans="1:53" ht="13.5" thickBot="1">
      <c r="A34" s="5295"/>
      <c r="B34" s="3114" t="s">
        <v>1298</v>
      </c>
      <c r="C34" s="5288"/>
      <c r="D34" s="5289"/>
      <c r="E34" s="5289"/>
      <c r="F34" s="5289"/>
      <c r="G34" s="5289"/>
      <c r="H34" s="5288"/>
      <c r="I34" s="5289"/>
      <c r="J34" s="5289"/>
      <c r="K34" s="5289"/>
      <c r="L34" s="5289"/>
      <c r="M34" s="5288"/>
      <c r="N34" s="5289"/>
      <c r="O34" s="5289"/>
      <c r="P34" s="5289"/>
      <c r="Q34" s="5289"/>
      <c r="R34" s="5288"/>
      <c r="S34" s="5289"/>
      <c r="T34" s="5289"/>
      <c r="U34" s="5289"/>
      <c r="V34" s="5289"/>
      <c r="W34" s="5288"/>
      <c r="X34" s="5289"/>
      <c r="Y34" s="5289"/>
      <c r="Z34" s="5289"/>
      <c r="AA34" s="5289"/>
      <c r="AB34" s="4422"/>
      <c r="AC34" s="5324" t="str">
        <f t="shared" ref="AC34:AC38" si="31">IF(C34=0,"",C34)</f>
        <v/>
      </c>
      <c r="AD34" s="5324"/>
      <c r="AE34" s="5324"/>
      <c r="AF34" s="5324"/>
      <c r="AG34" s="5324"/>
      <c r="AH34" s="5324" t="str">
        <f t="shared" ref="AH34:AH38" si="32">IF(H34=0,"",H34)</f>
        <v/>
      </c>
      <c r="AI34" s="5324"/>
      <c r="AJ34" s="5324"/>
      <c r="AK34" s="5324"/>
      <c r="AL34" s="5324"/>
      <c r="AM34" s="5324" t="str">
        <f t="shared" ref="AM34:AM38" si="33">IF(M34=0,"",M34)</f>
        <v/>
      </c>
      <c r="AN34" s="5324"/>
      <c r="AO34" s="5324"/>
      <c r="AP34" s="5324"/>
      <c r="AQ34" s="5324"/>
      <c r="AR34" s="5324" t="str">
        <f t="shared" ref="AR34:AR38" si="34">IF(R34=0,"",R34)</f>
        <v/>
      </c>
      <c r="AS34" s="5324"/>
      <c r="AT34" s="5324"/>
      <c r="AU34" s="5324"/>
      <c r="AV34" s="5324"/>
      <c r="AW34" s="5324" t="str">
        <f t="shared" ref="AW34:AW38" si="35">IF(W34=0,"",W34)</f>
        <v/>
      </c>
      <c r="AX34" s="5324"/>
      <c r="AY34" s="5324"/>
      <c r="AZ34" s="5324"/>
      <c r="BA34" s="5324"/>
    </row>
    <row r="35" spans="1:53" ht="12.75" customHeight="1" thickBot="1">
      <c r="A35" s="5278" t="s">
        <v>1299</v>
      </c>
      <c r="B35" s="3115" t="s">
        <v>1300</v>
      </c>
      <c r="C35" s="5288"/>
      <c r="D35" s="5289"/>
      <c r="E35" s="5289"/>
      <c r="F35" s="5289"/>
      <c r="G35" s="5289"/>
      <c r="H35" s="5288"/>
      <c r="I35" s="5289"/>
      <c r="J35" s="5289"/>
      <c r="K35" s="5289"/>
      <c r="L35" s="5289"/>
      <c r="M35" s="5288"/>
      <c r="N35" s="5289"/>
      <c r="O35" s="5289"/>
      <c r="P35" s="5289"/>
      <c r="Q35" s="5289"/>
      <c r="R35" s="5288"/>
      <c r="S35" s="5289"/>
      <c r="T35" s="5289"/>
      <c r="U35" s="5289"/>
      <c r="V35" s="5289"/>
      <c r="W35" s="5288"/>
      <c r="X35" s="5289"/>
      <c r="Y35" s="5289"/>
      <c r="Z35" s="5289"/>
      <c r="AA35" s="5289"/>
      <c r="AB35" s="4422"/>
      <c r="AC35" s="5324" t="str">
        <f t="shared" si="31"/>
        <v/>
      </c>
      <c r="AD35" s="5324"/>
      <c r="AE35" s="5324"/>
      <c r="AF35" s="5324"/>
      <c r="AG35" s="5324"/>
      <c r="AH35" s="5324" t="str">
        <f t="shared" si="32"/>
        <v/>
      </c>
      <c r="AI35" s="5324"/>
      <c r="AJ35" s="5324"/>
      <c r="AK35" s="5324"/>
      <c r="AL35" s="5324"/>
      <c r="AM35" s="5324" t="str">
        <f t="shared" si="33"/>
        <v/>
      </c>
      <c r="AN35" s="5324"/>
      <c r="AO35" s="5324"/>
      <c r="AP35" s="5324"/>
      <c r="AQ35" s="5324"/>
      <c r="AR35" s="5324" t="str">
        <f t="shared" si="34"/>
        <v/>
      </c>
      <c r="AS35" s="5324"/>
      <c r="AT35" s="5324"/>
      <c r="AU35" s="5324"/>
      <c r="AV35" s="5324"/>
      <c r="AW35" s="5324" t="str">
        <f t="shared" si="35"/>
        <v/>
      </c>
      <c r="AX35" s="5324"/>
      <c r="AY35" s="5324"/>
      <c r="AZ35" s="5324"/>
      <c r="BA35" s="5324"/>
    </row>
    <row r="36" spans="1:53" ht="13.5" thickBot="1">
      <c r="A36" s="5279"/>
      <c r="B36" s="3114" t="s">
        <v>1301</v>
      </c>
      <c r="C36" s="5288"/>
      <c r="D36" s="5289"/>
      <c r="E36" s="5289"/>
      <c r="F36" s="5289"/>
      <c r="G36" s="5289"/>
      <c r="H36" s="5288"/>
      <c r="I36" s="5289"/>
      <c r="J36" s="5289"/>
      <c r="K36" s="5289"/>
      <c r="L36" s="5289"/>
      <c r="M36" s="5288"/>
      <c r="N36" s="5289"/>
      <c r="O36" s="5289"/>
      <c r="P36" s="5289"/>
      <c r="Q36" s="5289"/>
      <c r="R36" s="5288"/>
      <c r="S36" s="5289"/>
      <c r="T36" s="5289"/>
      <c r="U36" s="5289"/>
      <c r="V36" s="5289"/>
      <c r="W36" s="5288"/>
      <c r="X36" s="5289"/>
      <c r="Y36" s="5289"/>
      <c r="Z36" s="5289"/>
      <c r="AA36" s="5289"/>
      <c r="AB36" s="4422"/>
      <c r="AC36" s="5324" t="str">
        <f t="shared" si="31"/>
        <v/>
      </c>
      <c r="AD36" s="5324"/>
      <c r="AE36" s="5324"/>
      <c r="AF36" s="5324"/>
      <c r="AG36" s="5324"/>
      <c r="AH36" s="5324" t="str">
        <f t="shared" si="32"/>
        <v/>
      </c>
      <c r="AI36" s="5324"/>
      <c r="AJ36" s="5324"/>
      <c r="AK36" s="5324"/>
      <c r="AL36" s="5324"/>
      <c r="AM36" s="5324" t="str">
        <f t="shared" si="33"/>
        <v/>
      </c>
      <c r="AN36" s="5324"/>
      <c r="AO36" s="5324"/>
      <c r="AP36" s="5324"/>
      <c r="AQ36" s="5324"/>
      <c r="AR36" s="5324" t="str">
        <f t="shared" si="34"/>
        <v/>
      </c>
      <c r="AS36" s="5324"/>
      <c r="AT36" s="5324"/>
      <c r="AU36" s="5324"/>
      <c r="AV36" s="5324"/>
      <c r="AW36" s="5324" t="str">
        <f t="shared" si="35"/>
        <v/>
      </c>
      <c r="AX36" s="5324"/>
      <c r="AY36" s="5324"/>
      <c r="AZ36" s="5324"/>
      <c r="BA36" s="5324"/>
    </row>
    <row r="37" spans="1:53" ht="26.25" thickBot="1">
      <c r="A37" s="3756" t="s">
        <v>1302</v>
      </c>
      <c r="B37" s="3114" t="s">
        <v>1303</v>
      </c>
      <c r="C37" s="5288"/>
      <c r="D37" s="5289"/>
      <c r="E37" s="5289"/>
      <c r="F37" s="5289"/>
      <c r="G37" s="5289"/>
      <c r="H37" s="5288"/>
      <c r="I37" s="5289"/>
      <c r="J37" s="5289"/>
      <c r="K37" s="5289"/>
      <c r="L37" s="5289"/>
      <c r="M37" s="5288"/>
      <c r="N37" s="5289"/>
      <c r="O37" s="5289"/>
      <c r="P37" s="5289"/>
      <c r="Q37" s="5289"/>
      <c r="R37" s="5288"/>
      <c r="S37" s="5289"/>
      <c r="T37" s="5289"/>
      <c r="U37" s="5289"/>
      <c r="V37" s="5289"/>
      <c r="W37" s="5288"/>
      <c r="X37" s="5289"/>
      <c r="Y37" s="5289"/>
      <c r="Z37" s="5289"/>
      <c r="AA37" s="5289"/>
      <c r="AB37" s="4422"/>
      <c r="AC37" s="5324" t="str">
        <f t="shared" si="31"/>
        <v/>
      </c>
      <c r="AD37" s="5324"/>
      <c r="AE37" s="5324"/>
      <c r="AF37" s="5324"/>
      <c r="AG37" s="5324"/>
      <c r="AH37" s="5324" t="str">
        <f t="shared" si="32"/>
        <v/>
      </c>
      <c r="AI37" s="5324"/>
      <c r="AJ37" s="5324"/>
      <c r="AK37" s="5324"/>
      <c r="AL37" s="5324"/>
      <c r="AM37" s="5324" t="str">
        <f t="shared" si="33"/>
        <v/>
      </c>
      <c r="AN37" s="5324"/>
      <c r="AO37" s="5324"/>
      <c r="AP37" s="5324"/>
      <c r="AQ37" s="5324"/>
      <c r="AR37" s="5324" t="str">
        <f t="shared" si="34"/>
        <v/>
      </c>
      <c r="AS37" s="5324"/>
      <c r="AT37" s="5324"/>
      <c r="AU37" s="5324"/>
      <c r="AV37" s="5324"/>
      <c r="AW37" s="5324" t="str">
        <f t="shared" si="35"/>
        <v/>
      </c>
      <c r="AX37" s="5324"/>
      <c r="AY37" s="5324"/>
      <c r="AZ37" s="5324"/>
      <c r="BA37" s="5324"/>
    </row>
    <row r="38" spans="1:53" ht="26.25" thickBot="1">
      <c r="A38" s="3116" t="s">
        <v>1304</v>
      </c>
      <c r="B38" s="3117" t="s">
        <v>1305</v>
      </c>
      <c r="C38" s="5305"/>
      <c r="D38" s="5306"/>
      <c r="E38" s="5306"/>
      <c r="F38" s="5306"/>
      <c r="G38" s="5306"/>
      <c r="H38" s="5305"/>
      <c r="I38" s="5306"/>
      <c r="J38" s="5306"/>
      <c r="K38" s="5306"/>
      <c r="L38" s="5306"/>
      <c r="M38" s="5305"/>
      <c r="N38" s="5306"/>
      <c r="O38" s="5306"/>
      <c r="P38" s="5306"/>
      <c r="Q38" s="5306"/>
      <c r="R38" s="5305"/>
      <c r="S38" s="5306"/>
      <c r="T38" s="5306"/>
      <c r="U38" s="5306"/>
      <c r="V38" s="5306"/>
      <c r="W38" s="5305"/>
      <c r="X38" s="5306"/>
      <c r="Y38" s="5306"/>
      <c r="Z38" s="5306"/>
      <c r="AA38" s="5306"/>
      <c r="AB38" s="4422"/>
      <c r="AC38" s="5324" t="str">
        <f t="shared" si="31"/>
        <v/>
      </c>
      <c r="AD38" s="5324"/>
      <c r="AE38" s="5324"/>
      <c r="AF38" s="5324"/>
      <c r="AG38" s="5324"/>
      <c r="AH38" s="5324" t="str">
        <f t="shared" si="32"/>
        <v/>
      </c>
      <c r="AI38" s="5324"/>
      <c r="AJ38" s="5324"/>
      <c r="AK38" s="5324"/>
      <c r="AL38" s="5324"/>
      <c r="AM38" s="5324" t="str">
        <f t="shared" si="33"/>
        <v/>
      </c>
      <c r="AN38" s="5324"/>
      <c r="AO38" s="5324"/>
      <c r="AP38" s="5324"/>
      <c r="AQ38" s="5324"/>
      <c r="AR38" s="5324" t="str">
        <f t="shared" si="34"/>
        <v/>
      </c>
      <c r="AS38" s="5324"/>
      <c r="AT38" s="5324"/>
      <c r="AU38" s="5324"/>
      <c r="AV38" s="5324"/>
      <c r="AW38" s="5324" t="str">
        <f t="shared" si="35"/>
        <v/>
      </c>
      <c r="AX38" s="5324"/>
      <c r="AY38" s="5324"/>
      <c r="AZ38" s="5324"/>
      <c r="BA38" s="5324"/>
    </row>
    <row r="39" spans="1:53" ht="13.5" thickBot="1">
      <c r="A39" s="5296" t="s">
        <v>1461</v>
      </c>
      <c r="B39" s="5297"/>
      <c r="C39" s="4209" t="str">
        <f>'Приложение '!$C$14</f>
        <v>2027 г.</v>
      </c>
      <c r="D39" s="4210" t="str">
        <f>'Приложение '!$C$15</f>
        <v>2028 г.</v>
      </c>
      <c r="E39" s="4210" t="str">
        <f>'Приложение '!$C$16</f>
        <v>2029 г.</v>
      </c>
      <c r="F39" s="4210" t="str">
        <f>'Приложение '!$C$17</f>
        <v>2030 г.</v>
      </c>
      <c r="G39" s="4210" t="str">
        <f>'Приложение '!$C$18</f>
        <v>2031 г.</v>
      </c>
      <c r="H39" s="4209" t="str">
        <f>'Приложение '!$C$14</f>
        <v>2027 г.</v>
      </c>
      <c r="I39" s="4210" t="str">
        <f>'Приложение '!$C$15</f>
        <v>2028 г.</v>
      </c>
      <c r="J39" s="4210" t="str">
        <f>'Приложение '!$C$16</f>
        <v>2029 г.</v>
      </c>
      <c r="K39" s="4210" t="str">
        <f>'Приложение '!$C$17</f>
        <v>2030 г.</v>
      </c>
      <c r="L39" s="4210" t="str">
        <f>'Приложение '!$C$18</f>
        <v>2031 г.</v>
      </c>
      <c r="M39" s="4209" t="str">
        <f>'Приложение '!$C$14</f>
        <v>2027 г.</v>
      </c>
      <c r="N39" s="4210" t="str">
        <f>'Приложение '!$C$15</f>
        <v>2028 г.</v>
      </c>
      <c r="O39" s="4210" t="str">
        <f>'Приложение '!$C$16</f>
        <v>2029 г.</v>
      </c>
      <c r="P39" s="4210" t="str">
        <f>'Приложение '!$C$17</f>
        <v>2030 г.</v>
      </c>
      <c r="Q39" s="4210" t="str">
        <f>'Приложение '!$C$18</f>
        <v>2031 г.</v>
      </c>
      <c r="R39" s="4209" t="str">
        <f>'Приложение '!$C$14</f>
        <v>2027 г.</v>
      </c>
      <c r="S39" s="4210" t="str">
        <f>'Приложение '!$C$15</f>
        <v>2028 г.</v>
      </c>
      <c r="T39" s="4210" t="str">
        <f>'Приложение '!$C$16</f>
        <v>2029 г.</v>
      </c>
      <c r="U39" s="4210" t="str">
        <f>'Приложение '!$C$17</f>
        <v>2030 г.</v>
      </c>
      <c r="V39" s="4210" t="str">
        <f>'Приложение '!$C$18</f>
        <v>2031 г.</v>
      </c>
      <c r="W39" s="4209" t="str">
        <f>'Приложение '!$C$14</f>
        <v>2027 г.</v>
      </c>
      <c r="X39" s="4210" t="str">
        <f>'Приложение '!$C$15</f>
        <v>2028 г.</v>
      </c>
      <c r="Y39" s="4210" t="str">
        <f>'Приложение '!$C$16</f>
        <v>2029 г.</v>
      </c>
      <c r="Z39" s="4210" t="str">
        <f>'Приложение '!$C$17</f>
        <v>2030 г.</v>
      </c>
      <c r="AA39" s="4210" t="str">
        <f>'Приложение '!$C$18</f>
        <v>2031 г.</v>
      </c>
      <c r="AB39" s="4422"/>
      <c r="AC39" s="4469" t="str">
        <f>'Приложение '!$C$14</f>
        <v>2027 г.</v>
      </c>
      <c r="AD39" s="4469" t="str">
        <f>'Приложение '!$C$15</f>
        <v>2028 г.</v>
      </c>
      <c r="AE39" s="4469" t="str">
        <f>'Приложение '!$C$16</f>
        <v>2029 г.</v>
      </c>
      <c r="AF39" s="4469" t="str">
        <f>'Приложение '!$C$17</f>
        <v>2030 г.</v>
      </c>
      <c r="AG39" s="4469" t="str">
        <f>'Приложение '!$C$18</f>
        <v>2031 г.</v>
      </c>
      <c r="AH39" s="4469" t="str">
        <f>'Приложение '!$C$14</f>
        <v>2027 г.</v>
      </c>
      <c r="AI39" s="4469" t="str">
        <f>'Приложение '!$C$15</f>
        <v>2028 г.</v>
      </c>
      <c r="AJ39" s="4469" t="str">
        <f>'Приложение '!$C$16</f>
        <v>2029 г.</v>
      </c>
      <c r="AK39" s="4469" t="str">
        <f>'Приложение '!$C$17</f>
        <v>2030 г.</v>
      </c>
      <c r="AL39" s="4469" t="str">
        <f>'Приложение '!$C$18</f>
        <v>2031 г.</v>
      </c>
      <c r="AM39" s="4469" t="str">
        <f>'Приложение '!$C$14</f>
        <v>2027 г.</v>
      </c>
      <c r="AN39" s="4469" t="str">
        <f>'Приложение '!$C$15</f>
        <v>2028 г.</v>
      </c>
      <c r="AO39" s="4469" t="str">
        <f>'Приложение '!$C$16</f>
        <v>2029 г.</v>
      </c>
      <c r="AP39" s="4469" t="str">
        <f>'Приложение '!$C$17</f>
        <v>2030 г.</v>
      </c>
      <c r="AQ39" s="4469" t="str">
        <f>'Приложение '!$C$18</f>
        <v>2031 г.</v>
      </c>
      <c r="AR39" s="4469" t="str">
        <f>'Приложение '!$C$14</f>
        <v>2027 г.</v>
      </c>
      <c r="AS39" s="4469" t="str">
        <f>'Приложение '!$C$15</f>
        <v>2028 г.</v>
      </c>
      <c r="AT39" s="4469" t="str">
        <f>'Приложение '!$C$16</f>
        <v>2029 г.</v>
      </c>
      <c r="AU39" s="4469" t="str">
        <f>'Приложение '!$C$17</f>
        <v>2030 г.</v>
      </c>
      <c r="AV39" s="4469" t="str">
        <f>'Приложение '!$C$18</f>
        <v>2031 г.</v>
      </c>
      <c r="AW39" s="4469" t="str">
        <f>'Приложение '!$C$14</f>
        <v>2027 г.</v>
      </c>
      <c r="AX39" s="4469" t="str">
        <f>'Приложение '!$C$15</f>
        <v>2028 г.</v>
      </c>
      <c r="AY39" s="4469" t="str">
        <f>'Приложение '!$C$16</f>
        <v>2029 г.</v>
      </c>
      <c r="AZ39" s="4469" t="str">
        <f>'Приложение '!$C$17</f>
        <v>2030 г.</v>
      </c>
      <c r="BA39" s="4469" t="str">
        <f>'Приложение '!$C$18</f>
        <v>2031 г.</v>
      </c>
    </row>
    <row r="40" spans="1:53" ht="12.75" customHeight="1">
      <c r="A40" s="5280" t="s">
        <v>1447</v>
      </c>
      <c r="B40" s="5281"/>
      <c r="C40" s="3118"/>
      <c r="D40" s="3119"/>
      <c r="E40" s="3119"/>
      <c r="F40" s="3119"/>
      <c r="G40" s="3119"/>
      <c r="H40" s="3118"/>
      <c r="I40" s="3119"/>
      <c r="J40" s="3119"/>
      <c r="K40" s="3119"/>
      <c r="L40" s="3119"/>
      <c r="M40" s="3118"/>
      <c r="N40" s="3119"/>
      <c r="O40" s="3119"/>
      <c r="P40" s="3119"/>
      <c r="Q40" s="3119"/>
      <c r="R40" s="3118"/>
      <c r="S40" s="3119"/>
      <c r="T40" s="3119"/>
      <c r="U40" s="3119"/>
      <c r="V40" s="3119"/>
      <c r="W40" s="3118"/>
      <c r="X40" s="3119"/>
      <c r="Y40" s="3119"/>
      <c r="Z40" s="3119"/>
      <c r="AA40" s="3119"/>
      <c r="AB40" s="4422"/>
      <c r="AC40" s="4472"/>
      <c r="AD40" s="4472"/>
      <c r="AE40" s="4472"/>
      <c r="AF40" s="4472"/>
      <c r="AG40" s="4472"/>
      <c r="AH40" s="4472"/>
      <c r="AI40" s="4472"/>
      <c r="AJ40" s="4472"/>
      <c r="AK40" s="4472"/>
      <c r="AL40" s="4472"/>
      <c r="AM40" s="4472"/>
      <c r="AN40" s="4472"/>
      <c r="AO40" s="4472"/>
      <c r="AP40" s="4472"/>
      <c r="AQ40" s="4472"/>
      <c r="AR40" s="4472"/>
      <c r="AS40" s="4472"/>
      <c r="AT40" s="4472"/>
      <c r="AU40" s="4472"/>
      <c r="AV40" s="4472"/>
      <c r="AW40" s="4472"/>
      <c r="AX40" s="4472"/>
      <c r="AY40" s="4472"/>
      <c r="AZ40" s="4472"/>
      <c r="BA40" s="4472"/>
    </row>
    <row r="41" spans="1:53" ht="12.75" customHeight="1">
      <c r="A41" s="5282" t="s">
        <v>1448</v>
      </c>
      <c r="B41" s="5283"/>
      <c r="C41" s="3120"/>
      <c r="D41" s="3121"/>
      <c r="E41" s="3121"/>
      <c r="F41" s="3121"/>
      <c r="G41" s="3121"/>
      <c r="H41" s="3120"/>
      <c r="I41" s="3121"/>
      <c r="J41" s="3121"/>
      <c r="K41" s="3121"/>
      <c r="L41" s="3121"/>
      <c r="M41" s="3120"/>
      <c r="N41" s="3121"/>
      <c r="O41" s="3121"/>
      <c r="P41" s="3121"/>
      <c r="Q41" s="3121"/>
      <c r="R41" s="3120"/>
      <c r="S41" s="3121"/>
      <c r="T41" s="3121"/>
      <c r="U41" s="3121"/>
      <c r="V41" s="3121"/>
      <c r="W41" s="3120"/>
      <c r="X41" s="3121"/>
      <c r="Y41" s="3121"/>
      <c r="Z41" s="3121"/>
      <c r="AA41" s="3121"/>
      <c r="AB41" s="4422"/>
      <c r="AC41" s="4473"/>
      <c r="AD41" s="4473"/>
      <c r="AE41" s="4473"/>
      <c r="AF41" s="4473"/>
      <c r="AG41" s="4473"/>
      <c r="AH41" s="4473"/>
      <c r="AI41" s="4473"/>
      <c r="AJ41" s="4473"/>
      <c r="AK41" s="4473"/>
      <c r="AL41" s="4473"/>
      <c r="AM41" s="4473"/>
      <c r="AN41" s="4473"/>
      <c r="AO41" s="4473"/>
      <c r="AP41" s="4473"/>
      <c r="AQ41" s="4473"/>
      <c r="AR41" s="4473"/>
      <c r="AS41" s="4473"/>
      <c r="AT41" s="4473"/>
      <c r="AU41" s="4473"/>
      <c r="AV41" s="4473"/>
      <c r="AW41" s="4473"/>
      <c r="AX41" s="4473"/>
      <c r="AY41" s="4473"/>
      <c r="AZ41" s="4473"/>
      <c r="BA41" s="4473"/>
    </row>
    <row r="42" spans="1:53" ht="12.75" customHeight="1">
      <c r="A42" s="5311" t="s">
        <v>1449</v>
      </c>
      <c r="B42" s="5312"/>
      <c r="C42" s="3122"/>
      <c r="D42" s="3123"/>
      <c r="E42" s="3123"/>
      <c r="F42" s="3123"/>
      <c r="G42" s="3123"/>
      <c r="H42" s="3122"/>
      <c r="I42" s="3123"/>
      <c r="J42" s="3123"/>
      <c r="K42" s="3123"/>
      <c r="L42" s="3123"/>
      <c r="M42" s="3122"/>
      <c r="N42" s="3123"/>
      <c r="O42" s="3123"/>
      <c r="P42" s="3123"/>
      <c r="Q42" s="3123"/>
      <c r="R42" s="3122"/>
      <c r="S42" s="3123"/>
      <c r="T42" s="3123"/>
      <c r="U42" s="3123"/>
      <c r="V42" s="3123"/>
      <c r="W42" s="3122"/>
      <c r="X42" s="3123"/>
      <c r="Y42" s="3123"/>
      <c r="Z42" s="3123"/>
      <c r="AA42" s="3123"/>
      <c r="AB42" s="4422"/>
      <c r="AC42" s="4473"/>
      <c r="AD42" s="4473"/>
      <c r="AE42" s="4473"/>
      <c r="AF42" s="4473"/>
      <c r="AG42" s="4473"/>
      <c r="AH42" s="4473"/>
      <c r="AI42" s="4473"/>
      <c r="AJ42" s="4473"/>
      <c r="AK42" s="4473"/>
      <c r="AL42" s="4473"/>
      <c r="AM42" s="4473"/>
      <c r="AN42" s="4473"/>
      <c r="AO42" s="4473"/>
      <c r="AP42" s="4473"/>
      <c r="AQ42" s="4473"/>
      <c r="AR42" s="4473"/>
      <c r="AS42" s="4473"/>
      <c r="AT42" s="4473"/>
      <c r="AU42" s="4473"/>
      <c r="AV42" s="4473"/>
      <c r="AW42" s="4473"/>
      <c r="AX42" s="4473"/>
      <c r="AY42" s="4473"/>
      <c r="AZ42" s="4473"/>
      <c r="BA42" s="4473"/>
    </row>
    <row r="43" spans="1:53" ht="13.5" thickBot="1">
      <c r="A43" s="5286" t="s">
        <v>1450</v>
      </c>
      <c r="B43" s="5287"/>
      <c r="C43" s="3124"/>
      <c r="D43" s="3125"/>
      <c r="E43" s="3125"/>
      <c r="F43" s="3125"/>
      <c r="G43" s="3125"/>
      <c r="H43" s="3124"/>
      <c r="I43" s="3125"/>
      <c r="J43" s="3125"/>
      <c r="K43" s="3125"/>
      <c r="L43" s="3125"/>
      <c r="M43" s="3124"/>
      <c r="N43" s="3125"/>
      <c r="O43" s="3125"/>
      <c r="P43" s="3125"/>
      <c r="Q43" s="3125"/>
      <c r="R43" s="3124"/>
      <c r="S43" s="3125"/>
      <c r="T43" s="3125"/>
      <c r="U43" s="3125"/>
      <c r="V43" s="3125"/>
      <c r="W43" s="3124"/>
      <c r="X43" s="3125"/>
      <c r="Y43" s="3125"/>
      <c r="Z43" s="3125"/>
      <c r="AA43" s="3125"/>
      <c r="AB43" s="4422"/>
      <c r="AC43" s="4474"/>
      <c r="AD43" s="4474"/>
      <c r="AE43" s="4474"/>
      <c r="AF43" s="4474"/>
      <c r="AG43" s="4474"/>
      <c r="AH43" s="4474"/>
      <c r="AI43" s="4474"/>
      <c r="AJ43" s="4474"/>
      <c r="AK43" s="4474"/>
      <c r="AL43" s="4474"/>
      <c r="AM43" s="4474"/>
      <c r="AN43" s="4474"/>
      <c r="AO43" s="4474"/>
      <c r="AP43" s="4474"/>
      <c r="AQ43" s="4474"/>
      <c r="AR43" s="4474"/>
      <c r="AS43" s="4474"/>
      <c r="AT43" s="4474"/>
      <c r="AU43" s="4474"/>
      <c r="AV43" s="4474"/>
      <c r="AW43" s="4474"/>
      <c r="AX43" s="4474"/>
      <c r="AY43" s="4474"/>
      <c r="AZ43" s="4474"/>
      <c r="BA43" s="4474"/>
    </row>
    <row r="44" spans="1:53" s="2" customFormat="1" ht="25.5" customHeight="1" thickBot="1">
      <c r="A44" s="5313" t="s">
        <v>1452</v>
      </c>
      <c r="B44" s="5314"/>
      <c r="C44" s="3126">
        <f t="shared" ref="C44:AA44" si="36">SUM(C45,C50:C54)</f>
        <v>0</v>
      </c>
      <c r="D44" s="3127">
        <f t="shared" si="36"/>
        <v>0</v>
      </c>
      <c r="E44" s="3127">
        <f t="shared" si="36"/>
        <v>0</v>
      </c>
      <c r="F44" s="3127">
        <f t="shared" si="36"/>
        <v>0</v>
      </c>
      <c r="G44" s="3127">
        <f t="shared" si="36"/>
        <v>0</v>
      </c>
      <c r="H44" s="3126">
        <f t="shared" si="36"/>
        <v>0</v>
      </c>
      <c r="I44" s="3127">
        <f t="shared" si="36"/>
        <v>0</v>
      </c>
      <c r="J44" s="3127">
        <f t="shared" si="36"/>
        <v>0</v>
      </c>
      <c r="K44" s="3127">
        <f t="shared" si="36"/>
        <v>0</v>
      </c>
      <c r="L44" s="3127">
        <f t="shared" si="36"/>
        <v>0</v>
      </c>
      <c r="M44" s="3126">
        <f t="shared" si="36"/>
        <v>0</v>
      </c>
      <c r="N44" s="3127">
        <f t="shared" si="36"/>
        <v>0</v>
      </c>
      <c r="O44" s="3127">
        <f t="shared" si="36"/>
        <v>0</v>
      </c>
      <c r="P44" s="3127">
        <f t="shared" si="36"/>
        <v>0</v>
      </c>
      <c r="Q44" s="3127">
        <f t="shared" si="36"/>
        <v>0</v>
      </c>
      <c r="R44" s="3126">
        <f t="shared" si="36"/>
        <v>0</v>
      </c>
      <c r="S44" s="3127">
        <f t="shared" si="36"/>
        <v>0</v>
      </c>
      <c r="T44" s="3127">
        <f t="shared" si="36"/>
        <v>0</v>
      </c>
      <c r="U44" s="3127">
        <f t="shared" si="36"/>
        <v>0</v>
      </c>
      <c r="V44" s="3127">
        <f t="shared" si="36"/>
        <v>0</v>
      </c>
      <c r="W44" s="3126">
        <f t="shared" si="36"/>
        <v>0</v>
      </c>
      <c r="X44" s="3127">
        <f t="shared" si="36"/>
        <v>0</v>
      </c>
      <c r="Y44" s="3127">
        <f t="shared" si="36"/>
        <v>0</v>
      </c>
      <c r="Z44" s="3127">
        <f t="shared" si="36"/>
        <v>0</v>
      </c>
      <c r="AA44" s="3127">
        <f t="shared" si="36"/>
        <v>0</v>
      </c>
      <c r="AB44" s="4422"/>
      <c r="AC44" s="4470">
        <f>IFERROR(C44/$D$1,0)</f>
        <v>0</v>
      </c>
      <c r="AD44" s="4471">
        <f t="shared" ref="AD44:AD54" si="37">IFERROR(D44/$D$1,0)</f>
        <v>0</v>
      </c>
      <c r="AE44" s="4471">
        <f t="shared" ref="AE44:AE54" si="38">IFERROR(E44/$D$1,0)</f>
        <v>0</v>
      </c>
      <c r="AF44" s="4471">
        <f t="shared" ref="AF44:AF54" si="39">IFERROR(F44/$D$1,0)</f>
        <v>0</v>
      </c>
      <c r="AG44" s="4471">
        <f t="shared" ref="AG44:AG54" si="40">IFERROR(G44/$D$1,0)</f>
        <v>0</v>
      </c>
      <c r="AH44" s="4471">
        <f t="shared" ref="AH44:AH54" si="41">IFERROR(H44/$D$1,0)</f>
        <v>0</v>
      </c>
      <c r="AI44" s="4471">
        <f t="shared" ref="AI44:AI54" si="42">IFERROR(I44/$D$1,0)</f>
        <v>0</v>
      </c>
      <c r="AJ44" s="4471">
        <f t="shared" ref="AJ44:AJ54" si="43">IFERROR(J44/$D$1,0)</f>
        <v>0</v>
      </c>
      <c r="AK44" s="4471">
        <f t="shared" ref="AK44:AK54" si="44">IFERROR(K44/$D$1,0)</f>
        <v>0</v>
      </c>
      <c r="AL44" s="4471">
        <f t="shared" ref="AL44:AL54" si="45">IFERROR(L44/$D$1,0)</f>
        <v>0</v>
      </c>
      <c r="AM44" s="4471">
        <f t="shared" ref="AM44:AM54" si="46">IFERROR(M44/$D$1,0)</f>
        <v>0</v>
      </c>
      <c r="AN44" s="4471">
        <f t="shared" ref="AN44:AN54" si="47">IFERROR(N44/$D$1,0)</f>
        <v>0</v>
      </c>
      <c r="AO44" s="4471">
        <f t="shared" ref="AO44:AO54" si="48">IFERROR(O44/$D$1,0)</f>
        <v>0</v>
      </c>
      <c r="AP44" s="4471">
        <f t="shared" ref="AP44:AP54" si="49">IFERROR(P44/$D$1,0)</f>
        <v>0</v>
      </c>
      <c r="AQ44" s="4471">
        <f t="shared" ref="AQ44:AQ54" si="50">IFERROR(Q44/$D$1,0)</f>
        <v>0</v>
      </c>
      <c r="AR44" s="4471">
        <f t="shared" ref="AR44:AR54" si="51">IFERROR(R44/$D$1,0)</f>
        <v>0</v>
      </c>
      <c r="AS44" s="4471">
        <f t="shared" ref="AS44:AS54" si="52">IFERROR(S44/$D$1,0)</f>
        <v>0</v>
      </c>
      <c r="AT44" s="4471">
        <f t="shared" ref="AT44:AT54" si="53">IFERROR(T44/$D$1,0)</f>
        <v>0</v>
      </c>
      <c r="AU44" s="4471">
        <f t="shared" ref="AU44:AU54" si="54">IFERROR(U44/$D$1,0)</f>
        <v>0</v>
      </c>
      <c r="AV44" s="4471">
        <f t="shared" ref="AV44:AV54" si="55">IFERROR(V44/$D$1,0)</f>
        <v>0</v>
      </c>
      <c r="AW44" s="4471">
        <f t="shared" ref="AW44:AW54" si="56">IFERROR(W44/$D$1,0)</f>
        <v>0</v>
      </c>
      <c r="AX44" s="4471">
        <f t="shared" ref="AX44:AX54" si="57">IFERROR(X44/$D$1,0)</f>
        <v>0</v>
      </c>
      <c r="AY44" s="4471">
        <f t="shared" ref="AY44:AY54" si="58">IFERROR(Y44/$D$1,0)</f>
        <v>0</v>
      </c>
      <c r="AZ44" s="4471">
        <f t="shared" ref="AZ44:AZ54" si="59">IFERROR(Z44/$D$1,0)</f>
        <v>0</v>
      </c>
      <c r="BA44" s="4471">
        <f t="shared" ref="BA44:BA54" si="60">IFERROR(AA44/$D$1,0)</f>
        <v>0</v>
      </c>
    </row>
    <row r="45" spans="1:53" ht="12.75" customHeight="1" thickBot="1">
      <c r="A45" s="5315" t="s">
        <v>1451</v>
      </c>
      <c r="B45" s="5316"/>
      <c r="C45" s="3120"/>
      <c r="D45" s="3121"/>
      <c r="E45" s="3121"/>
      <c r="F45" s="3121"/>
      <c r="G45" s="3121"/>
      <c r="H45" s="3120"/>
      <c r="I45" s="3121"/>
      <c r="J45" s="3121"/>
      <c r="K45" s="3121"/>
      <c r="L45" s="3121"/>
      <c r="M45" s="3120"/>
      <c r="N45" s="3121"/>
      <c r="O45" s="3121"/>
      <c r="P45" s="3121"/>
      <c r="Q45" s="3121"/>
      <c r="R45" s="3120"/>
      <c r="S45" s="3121"/>
      <c r="T45" s="3121"/>
      <c r="U45" s="3121"/>
      <c r="V45" s="3121"/>
      <c r="W45" s="3120"/>
      <c r="X45" s="3121"/>
      <c r="Y45" s="3121"/>
      <c r="Z45" s="3121"/>
      <c r="AA45" s="3121"/>
      <c r="AB45" s="4422"/>
      <c r="AC45" s="4427">
        <f t="shared" ref="AC45:AC54" si="61">IFERROR(C45/$D$1,0)</f>
        <v>0</v>
      </c>
      <c r="AD45" s="4427">
        <f t="shared" si="37"/>
        <v>0</v>
      </c>
      <c r="AE45" s="4427">
        <f t="shared" si="38"/>
        <v>0</v>
      </c>
      <c r="AF45" s="4427">
        <f t="shared" si="39"/>
        <v>0</v>
      </c>
      <c r="AG45" s="4427">
        <f t="shared" si="40"/>
        <v>0</v>
      </c>
      <c r="AH45" s="4427">
        <f t="shared" si="41"/>
        <v>0</v>
      </c>
      <c r="AI45" s="4427">
        <f t="shared" si="42"/>
        <v>0</v>
      </c>
      <c r="AJ45" s="4427">
        <f t="shared" si="43"/>
        <v>0</v>
      </c>
      <c r="AK45" s="4427">
        <f t="shared" si="44"/>
        <v>0</v>
      </c>
      <c r="AL45" s="4427">
        <f t="shared" si="45"/>
        <v>0</v>
      </c>
      <c r="AM45" s="4427">
        <f t="shared" si="46"/>
        <v>0</v>
      </c>
      <c r="AN45" s="4427">
        <f t="shared" si="47"/>
        <v>0</v>
      </c>
      <c r="AO45" s="4427">
        <f t="shared" si="48"/>
        <v>0</v>
      </c>
      <c r="AP45" s="4427">
        <f t="shared" si="49"/>
        <v>0</v>
      </c>
      <c r="AQ45" s="4427">
        <f t="shared" si="50"/>
        <v>0</v>
      </c>
      <c r="AR45" s="4427">
        <f t="shared" si="51"/>
        <v>0</v>
      </c>
      <c r="AS45" s="4427">
        <f t="shared" si="52"/>
        <v>0</v>
      </c>
      <c r="AT45" s="4427">
        <f t="shared" si="53"/>
        <v>0</v>
      </c>
      <c r="AU45" s="4427">
        <f t="shared" si="54"/>
        <v>0</v>
      </c>
      <c r="AV45" s="4427">
        <f t="shared" si="55"/>
        <v>0</v>
      </c>
      <c r="AW45" s="4427">
        <f t="shared" si="56"/>
        <v>0</v>
      </c>
      <c r="AX45" s="4427">
        <f t="shared" si="57"/>
        <v>0</v>
      </c>
      <c r="AY45" s="4427">
        <f t="shared" si="58"/>
        <v>0</v>
      </c>
      <c r="AZ45" s="4427">
        <f t="shared" si="59"/>
        <v>0</v>
      </c>
      <c r="BA45" s="4427">
        <f t="shared" si="60"/>
        <v>0</v>
      </c>
    </row>
    <row r="46" spans="1:53" ht="13.5" thickBot="1">
      <c r="A46" s="5317" t="s">
        <v>1463</v>
      </c>
      <c r="B46" s="5318"/>
      <c r="C46" s="3120"/>
      <c r="D46" s="3121"/>
      <c r="E46" s="3121"/>
      <c r="F46" s="3121"/>
      <c r="G46" s="3121"/>
      <c r="H46" s="3120"/>
      <c r="I46" s="3121"/>
      <c r="J46" s="3121"/>
      <c r="K46" s="3121"/>
      <c r="L46" s="3121"/>
      <c r="M46" s="3120"/>
      <c r="N46" s="3121"/>
      <c r="O46" s="3121"/>
      <c r="P46" s="3121"/>
      <c r="Q46" s="3121"/>
      <c r="R46" s="3120"/>
      <c r="S46" s="3121"/>
      <c r="T46" s="3121"/>
      <c r="U46" s="3121"/>
      <c r="V46" s="3121"/>
      <c r="W46" s="3120"/>
      <c r="X46" s="3121"/>
      <c r="Y46" s="3121"/>
      <c r="Z46" s="3121"/>
      <c r="AA46" s="3121"/>
      <c r="AB46" s="4422"/>
      <c r="AC46" s="4427">
        <f t="shared" si="61"/>
        <v>0</v>
      </c>
      <c r="AD46" s="4427">
        <f t="shared" si="37"/>
        <v>0</v>
      </c>
      <c r="AE46" s="4427">
        <f t="shared" si="38"/>
        <v>0</v>
      </c>
      <c r="AF46" s="4427">
        <f t="shared" si="39"/>
        <v>0</v>
      </c>
      <c r="AG46" s="4427">
        <f t="shared" si="40"/>
        <v>0</v>
      </c>
      <c r="AH46" s="4427">
        <f t="shared" si="41"/>
        <v>0</v>
      </c>
      <c r="AI46" s="4427">
        <f t="shared" si="42"/>
        <v>0</v>
      </c>
      <c r="AJ46" s="4427">
        <f t="shared" si="43"/>
        <v>0</v>
      </c>
      <c r="AK46" s="4427">
        <f t="shared" si="44"/>
        <v>0</v>
      </c>
      <c r="AL46" s="4427">
        <f t="shared" si="45"/>
        <v>0</v>
      </c>
      <c r="AM46" s="4427">
        <f t="shared" si="46"/>
        <v>0</v>
      </c>
      <c r="AN46" s="4427">
        <f t="shared" si="47"/>
        <v>0</v>
      </c>
      <c r="AO46" s="4427">
        <f t="shared" si="48"/>
        <v>0</v>
      </c>
      <c r="AP46" s="4427">
        <f t="shared" si="49"/>
        <v>0</v>
      </c>
      <c r="AQ46" s="4427">
        <f t="shared" si="50"/>
        <v>0</v>
      </c>
      <c r="AR46" s="4427">
        <f t="shared" si="51"/>
        <v>0</v>
      </c>
      <c r="AS46" s="4427">
        <f t="shared" si="52"/>
        <v>0</v>
      </c>
      <c r="AT46" s="4427">
        <f t="shared" si="53"/>
        <v>0</v>
      </c>
      <c r="AU46" s="4427">
        <f t="shared" si="54"/>
        <v>0</v>
      </c>
      <c r="AV46" s="4427">
        <f t="shared" si="55"/>
        <v>0</v>
      </c>
      <c r="AW46" s="4427">
        <f t="shared" si="56"/>
        <v>0</v>
      </c>
      <c r="AX46" s="4427">
        <f t="shared" si="57"/>
        <v>0</v>
      </c>
      <c r="AY46" s="4427">
        <f t="shared" si="58"/>
        <v>0</v>
      </c>
      <c r="AZ46" s="4427">
        <f t="shared" si="59"/>
        <v>0</v>
      </c>
      <c r="BA46" s="4427">
        <f t="shared" si="60"/>
        <v>0</v>
      </c>
    </row>
    <row r="47" spans="1:53" ht="12.75" customHeight="1" thickBot="1">
      <c r="A47" s="5284" t="s">
        <v>1453</v>
      </c>
      <c r="B47" s="5285"/>
      <c r="C47" s="3120"/>
      <c r="D47" s="3121"/>
      <c r="E47" s="3121"/>
      <c r="F47" s="3121"/>
      <c r="G47" s="3121"/>
      <c r="H47" s="3120"/>
      <c r="I47" s="3121"/>
      <c r="J47" s="3121"/>
      <c r="K47" s="3121"/>
      <c r="L47" s="3121"/>
      <c r="M47" s="3120"/>
      <c r="N47" s="3121"/>
      <c r="O47" s="3121"/>
      <c r="P47" s="3121"/>
      <c r="Q47" s="3121"/>
      <c r="R47" s="3120"/>
      <c r="S47" s="3121"/>
      <c r="T47" s="3121"/>
      <c r="U47" s="3121"/>
      <c r="V47" s="3121"/>
      <c r="W47" s="3120"/>
      <c r="X47" s="3121"/>
      <c r="Y47" s="3121"/>
      <c r="Z47" s="3121"/>
      <c r="AA47" s="3121"/>
      <c r="AB47" s="4422"/>
      <c r="AC47" s="4427">
        <f t="shared" si="61"/>
        <v>0</v>
      </c>
      <c r="AD47" s="4427">
        <f t="shared" si="37"/>
        <v>0</v>
      </c>
      <c r="AE47" s="4427">
        <f t="shared" si="38"/>
        <v>0</v>
      </c>
      <c r="AF47" s="4427">
        <f t="shared" si="39"/>
        <v>0</v>
      </c>
      <c r="AG47" s="4427">
        <f t="shared" si="40"/>
        <v>0</v>
      </c>
      <c r="AH47" s="4427">
        <f t="shared" si="41"/>
        <v>0</v>
      </c>
      <c r="AI47" s="4427">
        <f t="shared" si="42"/>
        <v>0</v>
      </c>
      <c r="AJ47" s="4427">
        <f t="shared" si="43"/>
        <v>0</v>
      </c>
      <c r="AK47" s="4427">
        <f t="shared" si="44"/>
        <v>0</v>
      </c>
      <c r="AL47" s="4427">
        <f t="shared" si="45"/>
        <v>0</v>
      </c>
      <c r="AM47" s="4427">
        <f t="shared" si="46"/>
        <v>0</v>
      </c>
      <c r="AN47" s="4427">
        <f t="shared" si="47"/>
        <v>0</v>
      </c>
      <c r="AO47" s="4427">
        <f t="shared" si="48"/>
        <v>0</v>
      </c>
      <c r="AP47" s="4427">
        <f t="shared" si="49"/>
        <v>0</v>
      </c>
      <c r="AQ47" s="4427">
        <f t="shared" si="50"/>
        <v>0</v>
      </c>
      <c r="AR47" s="4427">
        <f t="shared" si="51"/>
        <v>0</v>
      </c>
      <c r="AS47" s="4427">
        <f t="shared" si="52"/>
        <v>0</v>
      </c>
      <c r="AT47" s="4427">
        <f t="shared" si="53"/>
        <v>0</v>
      </c>
      <c r="AU47" s="4427">
        <f t="shared" si="54"/>
        <v>0</v>
      </c>
      <c r="AV47" s="4427">
        <f t="shared" si="55"/>
        <v>0</v>
      </c>
      <c r="AW47" s="4427">
        <f t="shared" si="56"/>
        <v>0</v>
      </c>
      <c r="AX47" s="4427">
        <f t="shared" si="57"/>
        <v>0</v>
      </c>
      <c r="AY47" s="4427">
        <f t="shared" si="58"/>
        <v>0</v>
      </c>
      <c r="AZ47" s="4427">
        <f t="shared" si="59"/>
        <v>0</v>
      </c>
      <c r="BA47" s="4427">
        <f t="shared" si="60"/>
        <v>0</v>
      </c>
    </row>
    <row r="48" spans="1:53" ht="12.75" customHeight="1" thickBot="1">
      <c r="A48" s="5284" t="s">
        <v>1454</v>
      </c>
      <c r="B48" s="5285"/>
      <c r="C48" s="3120"/>
      <c r="D48" s="3121"/>
      <c r="E48" s="3121"/>
      <c r="F48" s="3121"/>
      <c r="G48" s="3121"/>
      <c r="H48" s="3120"/>
      <c r="I48" s="3121"/>
      <c r="J48" s="3121"/>
      <c r="K48" s="3121"/>
      <c r="L48" s="3121"/>
      <c r="M48" s="3120"/>
      <c r="N48" s="3121"/>
      <c r="O48" s="3121"/>
      <c r="P48" s="3121"/>
      <c r="Q48" s="3121"/>
      <c r="R48" s="3120"/>
      <c r="S48" s="3121"/>
      <c r="T48" s="3121"/>
      <c r="U48" s="3121"/>
      <c r="V48" s="3121"/>
      <c r="W48" s="3120"/>
      <c r="X48" s="3121"/>
      <c r="Y48" s="3121"/>
      <c r="Z48" s="3121"/>
      <c r="AA48" s="3121"/>
      <c r="AB48" s="4422"/>
      <c r="AC48" s="4427">
        <f t="shared" si="61"/>
        <v>0</v>
      </c>
      <c r="AD48" s="4427">
        <f t="shared" si="37"/>
        <v>0</v>
      </c>
      <c r="AE48" s="4427">
        <f t="shared" si="38"/>
        <v>0</v>
      </c>
      <c r="AF48" s="4427">
        <f t="shared" si="39"/>
        <v>0</v>
      </c>
      <c r="AG48" s="4427">
        <f t="shared" si="40"/>
        <v>0</v>
      </c>
      <c r="AH48" s="4427">
        <f t="shared" si="41"/>
        <v>0</v>
      </c>
      <c r="AI48" s="4427">
        <f t="shared" si="42"/>
        <v>0</v>
      </c>
      <c r="AJ48" s="4427">
        <f t="shared" si="43"/>
        <v>0</v>
      </c>
      <c r="AK48" s="4427">
        <f t="shared" si="44"/>
        <v>0</v>
      </c>
      <c r="AL48" s="4427">
        <f t="shared" si="45"/>
        <v>0</v>
      </c>
      <c r="AM48" s="4427">
        <f t="shared" si="46"/>
        <v>0</v>
      </c>
      <c r="AN48" s="4427">
        <f t="shared" si="47"/>
        <v>0</v>
      </c>
      <c r="AO48" s="4427">
        <f t="shared" si="48"/>
        <v>0</v>
      </c>
      <c r="AP48" s="4427">
        <f t="shared" si="49"/>
        <v>0</v>
      </c>
      <c r="AQ48" s="4427">
        <f t="shared" si="50"/>
        <v>0</v>
      </c>
      <c r="AR48" s="4427">
        <f t="shared" si="51"/>
        <v>0</v>
      </c>
      <c r="AS48" s="4427">
        <f t="shared" si="52"/>
        <v>0</v>
      </c>
      <c r="AT48" s="4427">
        <f t="shared" si="53"/>
        <v>0</v>
      </c>
      <c r="AU48" s="4427">
        <f t="shared" si="54"/>
        <v>0</v>
      </c>
      <c r="AV48" s="4427">
        <f t="shared" si="55"/>
        <v>0</v>
      </c>
      <c r="AW48" s="4427">
        <f t="shared" si="56"/>
        <v>0</v>
      </c>
      <c r="AX48" s="4427">
        <f t="shared" si="57"/>
        <v>0</v>
      </c>
      <c r="AY48" s="4427">
        <f t="shared" si="58"/>
        <v>0</v>
      </c>
      <c r="AZ48" s="4427">
        <f t="shared" si="59"/>
        <v>0</v>
      </c>
      <c r="BA48" s="4427">
        <f t="shared" si="60"/>
        <v>0</v>
      </c>
    </row>
    <row r="49" spans="1:53" ht="12.75" customHeight="1" thickBot="1">
      <c r="A49" s="5284" t="s">
        <v>1455</v>
      </c>
      <c r="B49" s="5285"/>
      <c r="C49" s="3120"/>
      <c r="D49" s="3121"/>
      <c r="E49" s="3121"/>
      <c r="F49" s="3121"/>
      <c r="G49" s="3121"/>
      <c r="H49" s="3120"/>
      <c r="I49" s="3121"/>
      <c r="J49" s="3121"/>
      <c r="K49" s="3121"/>
      <c r="L49" s="3121"/>
      <c r="M49" s="3120"/>
      <c r="N49" s="3121"/>
      <c r="O49" s="3121"/>
      <c r="P49" s="3121"/>
      <c r="Q49" s="3121"/>
      <c r="R49" s="3120"/>
      <c r="S49" s="3121"/>
      <c r="T49" s="3121"/>
      <c r="U49" s="3121"/>
      <c r="V49" s="3121"/>
      <c r="W49" s="3120"/>
      <c r="X49" s="3121"/>
      <c r="Y49" s="3121"/>
      <c r="Z49" s="3121"/>
      <c r="AA49" s="3121"/>
      <c r="AB49" s="4422"/>
      <c r="AC49" s="4427">
        <f t="shared" si="61"/>
        <v>0</v>
      </c>
      <c r="AD49" s="4427">
        <f t="shared" si="37"/>
        <v>0</v>
      </c>
      <c r="AE49" s="4427">
        <f t="shared" si="38"/>
        <v>0</v>
      </c>
      <c r="AF49" s="4427">
        <f t="shared" si="39"/>
        <v>0</v>
      </c>
      <c r="AG49" s="4427">
        <f t="shared" si="40"/>
        <v>0</v>
      </c>
      <c r="AH49" s="4427">
        <f t="shared" si="41"/>
        <v>0</v>
      </c>
      <c r="AI49" s="4427">
        <f t="shared" si="42"/>
        <v>0</v>
      </c>
      <c r="AJ49" s="4427">
        <f t="shared" si="43"/>
        <v>0</v>
      </c>
      <c r="AK49" s="4427">
        <f t="shared" si="44"/>
        <v>0</v>
      </c>
      <c r="AL49" s="4427">
        <f t="shared" si="45"/>
        <v>0</v>
      </c>
      <c r="AM49" s="4427">
        <f t="shared" si="46"/>
        <v>0</v>
      </c>
      <c r="AN49" s="4427">
        <f t="shared" si="47"/>
        <v>0</v>
      </c>
      <c r="AO49" s="4427">
        <f t="shared" si="48"/>
        <v>0</v>
      </c>
      <c r="AP49" s="4427">
        <f t="shared" si="49"/>
        <v>0</v>
      </c>
      <c r="AQ49" s="4427">
        <f t="shared" si="50"/>
        <v>0</v>
      </c>
      <c r="AR49" s="4427">
        <f t="shared" si="51"/>
        <v>0</v>
      </c>
      <c r="AS49" s="4427">
        <f t="shared" si="52"/>
        <v>0</v>
      </c>
      <c r="AT49" s="4427">
        <f t="shared" si="53"/>
        <v>0</v>
      </c>
      <c r="AU49" s="4427">
        <f t="shared" si="54"/>
        <v>0</v>
      </c>
      <c r="AV49" s="4427">
        <f t="shared" si="55"/>
        <v>0</v>
      </c>
      <c r="AW49" s="4427">
        <f t="shared" si="56"/>
        <v>0</v>
      </c>
      <c r="AX49" s="4427">
        <f t="shared" si="57"/>
        <v>0</v>
      </c>
      <c r="AY49" s="4427">
        <f t="shared" si="58"/>
        <v>0</v>
      </c>
      <c r="AZ49" s="4427">
        <f t="shared" si="59"/>
        <v>0</v>
      </c>
      <c r="BA49" s="4427">
        <f t="shared" si="60"/>
        <v>0</v>
      </c>
    </row>
    <row r="50" spans="1:53" ht="13.5" thickBot="1">
      <c r="A50" s="5291" t="s">
        <v>1456</v>
      </c>
      <c r="B50" s="5292"/>
      <c r="C50" s="3120"/>
      <c r="D50" s="3121"/>
      <c r="E50" s="3121"/>
      <c r="F50" s="3121"/>
      <c r="G50" s="3121"/>
      <c r="H50" s="3120"/>
      <c r="I50" s="3121"/>
      <c r="J50" s="3121"/>
      <c r="K50" s="3121"/>
      <c r="L50" s="3121"/>
      <c r="M50" s="3120"/>
      <c r="N50" s="3121"/>
      <c r="O50" s="3121"/>
      <c r="P50" s="3121"/>
      <c r="Q50" s="3121"/>
      <c r="R50" s="3120"/>
      <c r="S50" s="3121"/>
      <c r="T50" s="3121"/>
      <c r="U50" s="3121"/>
      <c r="V50" s="3121"/>
      <c r="W50" s="3120"/>
      <c r="X50" s="3121"/>
      <c r="Y50" s="3121"/>
      <c r="Z50" s="3121"/>
      <c r="AA50" s="3121"/>
      <c r="AB50" s="4422"/>
      <c r="AC50" s="4427">
        <f t="shared" si="61"/>
        <v>0</v>
      </c>
      <c r="AD50" s="4427">
        <f t="shared" si="37"/>
        <v>0</v>
      </c>
      <c r="AE50" s="4427">
        <f t="shared" si="38"/>
        <v>0</v>
      </c>
      <c r="AF50" s="4427">
        <f t="shared" si="39"/>
        <v>0</v>
      </c>
      <c r="AG50" s="4427">
        <f t="shared" si="40"/>
        <v>0</v>
      </c>
      <c r="AH50" s="4427">
        <f t="shared" si="41"/>
        <v>0</v>
      </c>
      <c r="AI50" s="4427">
        <f t="shared" si="42"/>
        <v>0</v>
      </c>
      <c r="AJ50" s="4427">
        <f t="shared" si="43"/>
        <v>0</v>
      </c>
      <c r="AK50" s="4427">
        <f t="shared" si="44"/>
        <v>0</v>
      </c>
      <c r="AL50" s="4427">
        <f t="shared" si="45"/>
        <v>0</v>
      </c>
      <c r="AM50" s="4427">
        <f t="shared" si="46"/>
        <v>0</v>
      </c>
      <c r="AN50" s="4427">
        <f t="shared" si="47"/>
        <v>0</v>
      </c>
      <c r="AO50" s="4427">
        <f t="shared" si="48"/>
        <v>0</v>
      </c>
      <c r="AP50" s="4427">
        <f t="shared" si="49"/>
        <v>0</v>
      </c>
      <c r="AQ50" s="4427">
        <f t="shared" si="50"/>
        <v>0</v>
      </c>
      <c r="AR50" s="4427">
        <f t="shared" si="51"/>
        <v>0</v>
      </c>
      <c r="AS50" s="4427">
        <f t="shared" si="52"/>
        <v>0</v>
      </c>
      <c r="AT50" s="4427">
        <f t="shared" si="53"/>
        <v>0</v>
      </c>
      <c r="AU50" s="4427">
        <f t="shared" si="54"/>
        <v>0</v>
      </c>
      <c r="AV50" s="4427">
        <f t="shared" si="55"/>
        <v>0</v>
      </c>
      <c r="AW50" s="4427">
        <f t="shared" si="56"/>
        <v>0</v>
      </c>
      <c r="AX50" s="4427">
        <f t="shared" si="57"/>
        <v>0</v>
      </c>
      <c r="AY50" s="4427">
        <f t="shared" si="58"/>
        <v>0</v>
      </c>
      <c r="AZ50" s="4427">
        <f t="shared" si="59"/>
        <v>0</v>
      </c>
      <c r="BA50" s="4427">
        <f t="shared" si="60"/>
        <v>0</v>
      </c>
    </row>
    <row r="51" spans="1:53" ht="12.75" customHeight="1" thickBot="1">
      <c r="A51" s="5307" t="s">
        <v>1457</v>
      </c>
      <c r="B51" s="5308"/>
      <c r="C51" s="3120"/>
      <c r="D51" s="3121"/>
      <c r="E51" s="3121"/>
      <c r="F51" s="3121"/>
      <c r="G51" s="3121"/>
      <c r="H51" s="3120"/>
      <c r="I51" s="3121"/>
      <c r="J51" s="3121"/>
      <c r="K51" s="3121"/>
      <c r="L51" s="3121"/>
      <c r="M51" s="3120"/>
      <c r="N51" s="3121"/>
      <c r="O51" s="3121"/>
      <c r="P51" s="3121"/>
      <c r="Q51" s="3121"/>
      <c r="R51" s="3120"/>
      <c r="S51" s="3121"/>
      <c r="T51" s="3121"/>
      <c r="U51" s="3121"/>
      <c r="V51" s="3121"/>
      <c r="W51" s="3120"/>
      <c r="X51" s="3121"/>
      <c r="Y51" s="3121"/>
      <c r="Z51" s="3121"/>
      <c r="AA51" s="3121"/>
      <c r="AB51" s="4422"/>
      <c r="AC51" s="4427">
        <f t="shared" si="61"/>
        <v>0</v>
      </c>
      <c r="AD51" s="4427">
        <f t="shared" si="37"/>
        <v>0</v>
      </c>
      <c r="AE51" s="4427">
        <f t="shared" si="38"/>
        <v>0</v>
      </c>
      <c r="AF51" s="4427">
        <f t="shared" si="39"/>
        <v>0</v>
      </c>
      <c r="AG51" s="4427">
        <f t="shared" si="40"/>
        <v>0</v>
      </c>
      <c r="AH51" s="4427">
        <f t="shared" si="41"/>
        <v>0</v>
      </c>
      <c r="AI51" s="4427">
        <f t="shared" si="42"/>
        <v>0</v>
      </c>
      <c r="AJ51" s="4427">
        <f t="shared" si="43"/>
        <v>0</v>
      </c>
      <c r="AK51" s="4427">
        <f t="shared" si="44"/>
        <v>0</v>
      </c>
      <c r="AL51" s="4427">
        <f t="shared" si="45"/>
        <v>0</v>
      </c>
      <c r="AM51" s="4427">
        <f t="shared" si="46"/>
        <v>0</v>
      </c>
      <c r="AN51" s="4427">
        <f t="shared" si="47"/>
        <v>0</v>
      </c>
      <c r="AO51" s="4427">
        <f t="shared" si="48"/>
        <v>0</v>
      </c>
      <c r="AP51" s="4427">
        <f t="shared" si="49"/>
        <v>0</v>
      </c>
      <c r="AQ51" s="4427">
        <f t="shared" si="50"/>
        <v>0</v>
      </c>
      <c r="AR51" s="4427">
        <f t="shared" si="51"/>
        <v>0</v>
      </c>
      <c r="AS51" s="4427">
        <f t="shared" si="52"/>
        <v>0</v>
      </c>
      <c r="AT51" s="4427">
        <f t="shared" si="53"/>
        <v>0</v>
      </c>
      <c r="AU51" s="4427">
        <f t="shared" si="54"/>
        <v>0</v>
      </c>
      <c r="AV51" s="4427">
        <f t="shared" si="55"/>
        <v>0</v>
      </c>
      <c r="AW51" s="4427">
        <f t="shared" si="56"/>
        <v>0</v>
      </c>
      <c r="AX51" s="4427">
        <f t="shared" si="57"/>
        <v>0</v>
      </c>
      <c r="AY51" s="4427">
        <f t="shared" si="58"/>
        <v>0</v>
      </c>
      <c r="AZ51" s="4427">
        <f t="shared" si="59"/>
        <v>0</v>
      </c>
      <c r="BA51" s="4427">
        <f t="shared" si="60"/>
        <v>0</v>
      </c>
    </row>
    <row r="52" spans="1:53" ht="12.75" customHeight="1" thickBot="1">
      <c r="A52" s="5307" t="s">
        <v>1458</v>
      </c>
      <c r="B52" s="5308"/>
      <c r="C52" s="3120"/>
      <c r="D52" s="3121"/>
      <c r="E52" s="3121"/>
      <c r="F52" s="3121"/>
      <c r="G52" s="3121"/>
      <c r="H52" s="3120"/>
      <c r="I52" s="3121"/>
      <c r="J52" s="3121"/>
      <c r="K52" s="3121"/>
      <c r="L52" s="3121"/>
      <c r="M52" s="3120"/>
      <c r="N52" s="3121"/>
      <c r="O52" s="3121"/>
      <c r="P52" s="3121"/>
      <c r="Q52" s="3121"/>
      <c r="R52" s="3120"/>
      <c r="S52" s="3121"/>
      <c r="T52" s="3121"/>
      <c r="U52" s="3121"/>
      <c r="V52" s="3121"/>
      <c r="W52" s="3120"/>
      <c r="X52" s="3121"/>
      <c r="Y52" s="3121"/>
      <c r="Z52" s="3121"/>
      <c r="AA52" s="3121"/>
      <c r="AB52" s="4422"/>
      <c r="AC52" s="4427">
        <f t="shared" si="61"/>
        <v>0</v>
      </c>
      <c r="AD52" s="4427">
        <f t="shared" si="37"/>
        <v>0</v>
      </c>
      <c r="AE52" s="4427">
        <f t="shared" si="38"/>
        <v>0</v>
      </c>
      <c r="AF52" s="4427">
        <f t="shared" si="39"/>
        <v>0</v>
      </c>
      <c r="AG52" s="4427">
        <f t="shared" si="40"/>
        <v>0</v>
      </c>
      <c r="AH52" s="4427">
        <f t="shared" si="41"/>
        <v>0</v>
      </c>
      <c r="AI52" s="4427">
        <f t="shared" si="42"/>
        <v>0</v>
      </c>
      <c r="AJ52" s="4427">
        <f t="shared" si="43"/>
        <v>0</v>
      </c>
      <c r="AK52" s="4427">
        <f t="shared" si="44"/>
        <v>0</v>
      </c>
      <c r="AL52" s="4427">
        <f t="shared" si="45"/>
        <v>0</v>
      </c>
      <c r="AM52" s="4427">
        <f t="shared" si="46"/>
        <v>0</v>
      </c>
      <c r="AN52" s="4427">
        <f t="shared" si="47"/>
        <v>0</v>
      </c>
      <c r="AO52" s="4427">
        <f t="shared" si="48"/>
        <v>0</v>
      </c>
      <c r="AP52" s="4427">
        <f t="shared" si="49"/>
        <v>0</v>
      </c>
      <c r="AQ52" s="4427">
        <f t="shared" si="50"/>
        <v>0</v>
      </c>
      <c r="AR52" s="4427">
        <f t="shared" si="51"/>
        <v>0</v>
      </c>
      <c r="AS52" s="4427">
        <f t="shared" si="52"/>
        <v>0</v>
      </c>
      <c r="AT52" s="4427">
        <f t="shared" si="53"/>
        <v>0</v>
      </c>
      <c r="AU52" s="4427">
        <f t="shared" si="54"/>
        <v>0</v>
      </c>
      <c r="AV52" s="4427">
        <f t="shared" si="55"/>
        <v>0</v>
      </c>
      <c r="AW52" s="4427">
        <f t="shared" si="56"/>
        <v>0</v>
      </c>
      <c r="AX52" s="4427">
        <f t="shared" si="57"/>
        <v>0</v>
      </c>
      <c r="AY52" s="4427">
        <f t="shared" si="58"/>
        <v>0</v>
      </c>
      <c r="AZ52" s="4427">
        <f t="shared" si="59"/>
        <v>0</v>
      </c>
      <c r="BA52" s="4427">
        <f t="shared" si="60"/>
        <v>0</v>
      </c>
    </row>
    <row r="53" spans="1:53" ht="12.75" customHeight="1" thickBot="1">
      <c r="A53" s="5307" t="s">
        <v>1459</v>
      </c>
      <c r="B53" s="5308"/>
      <c r="C53" s="3120"/>
      <c r="D53" s="3121"/>
      <c r="E53" s="3121"/>
      <c r="F53" s="3121"/>
      <c r="G53" s="3121"/>
      <c r="H53" s="3120"/>
      <c r="I53" s="3121"/>
      <c r="J53" s="3121"/>
      <c r="K53" s="3121"/>
      <c r="L53" s="3121"/>
      <c r="M53" s="3120"/>
      <c r="N53" s="3121"/>
      <c r="O53" s="3121"/>
      <c r="P53" s="3121"/>
      <c r="Q53" s="3121"/>
      <c r="R53" s="3120"/>
      <c r="S53" s="3121"/>
      <c r="T53" s="3121"/>
      <c r="U53" s="3121"/>
      <c r="V53" s="3121"/>
      <c r="W53" s="3120"/>
      <c r="X53" s="3121"/>
      <c r="Y53" s="3121"/>
      <c r="Z53" s="3121"/>
      <c r="AA53" s="3121"/>
      <c r="AB53" s="4422"/>
      <c r="AC53" s="4427">
        <f t="shared" si="61"/>
        <v>0</v>
      </c>
      <c r="AD53" s="4427">
        <f t="shared" si="37"/>
        <v>0</v>
      </c>
      <c r="AE53" s="4427">
        <f t="shared" si="38"/>
        <v>0</v>
      </c>
      <c r="AF53" s="4427">
        <f t="shared" si="39"/>
        <v>0</v>
      </c>
      <c r="AG53" s="4427">
        <f t="shared" si="40"/>
        <v>0</v>
      </c>
      <c r="AH53" s="4427">
        <f t="shared" si="41"/>
        <v>0</v>
      </c>
      <c r="AI53" s="4427">
        <f t="shared" si="42"/>
        <v>0</v>
      </c>
      <c r="AJ53" s="4427">
        <f t="shared" si="43"/>
        <v>0</v>
      </c>
      <c r="AK53" s="4427">
        <f t="shared" si="44"/>
        <v>0</v>
      </c>
      <c r="AL53" s="4427">
        <f t="shared" si="45"/>
        <v>0</v>
      </c>
      <c r="AM53" s="4427">
        <f t="shared" si="46"/>
        <v>0</v>
      </c>
      <c r="AN53" s="4427">
        <f t="shared" si="47"/>
        <v>0</v>
      </c>
      <c r="AO53" s="4427">
        <f t="shared" si="48"/>
        <v>0</v>
      </c>
      <c r="AP53" s="4427">
        <f t="shared" si="49"/>
        <v>0</v>
      </c>
      <c r="AQ53" s="4427">
        <f t="shared" si="50"/>
        <v>0</v>
      </c>
      <c r="AR53" s="4427">
        <f t="shared" si="51"/>
        <v>0</v>
      </c>
      <c r="AS53" s="4427">
        <f t="shared" si="52"/>
        <v>0</v>
      </c>
      <c r="AT53" s="4427">
        <f t="shared" si="53"/>
        <v>0</v>
      </c>
      <c r="AU53" s="4427">
        <f t="shared" si="54"/>
        <v>0</v>
      </c>
      <c r="AV53" s="4427">
        <f t="shared" si="55"/>
        <v>0</v>
      </c>
      <c r="AW53" s="4427">
        <f t="shared" si="56"/>
        <v>0</v>
      </c>
      <c r="AX53" s="4427">
        <f t="shared" si="57"/>
        <v>0</v>
      </c>
      <c r="AY53" s="4427">
        <f t="shared" si="58"/>
        <v>0</v>
      </c>
      <c r="AZ53" s="4427">
        <f t="shared" si="59"/>
        <v>0</v>
      </c>
      <c r="BA53" s="4427">
        <f t="shared" si="60"/>
        <v>0</v>
      </c>
    </row>
    <row r="54" spans="1:53" ht="13.5" customHeight="1" thickBot="1">
      <c r="A54" s="5309" t="s">
        <v>1460</v>
      </c>
      <c r="B54" s="5310"/>
      <c r="C54" s="3124"/>
      <c r="D54" s="3125"/>
      <c r="E54" s="3125"/>
      <c r="F54" s="3125"/>
      <c r="G54" s="3125"/>
      <c r="H54" s="3124"/>
      <c r="I54" s="3125"/>
      <c r="J54" s="3125"/>
      <c r="K54" s="3125"/>
      <c r="L54" s="3125"/>
      <c r="M54" s="3124"/>
      <c r="N54" s="3125"/>
      <c r="O54" s="3125"/>
      <c r="P54" s="3125"/>
      <c r="Q54" s="3125"/>
      <c r="R54" s="3124"/>
      <c r="S54" s="3125"/>
      <c r="T54" s="3125"/>
      <c r="U54" s="3125"/>
      <c r="V54" s="3125"/>
      <c r="W54" s="3124"/>
      <c r="X54" s="3125"/>
      <c r="Y54" s="3125"/>
      <c r="Z54" s="3125"/>
      <c r="AA54" s="3125"/>
      <c r="AB54" s="4422"/>
      <c r="AC54" s="4427">
        <f t="shared" si="61"/>
        <v>0</v>
      </c>
      <c r="AD54" s="4427">
        <f t="shared" si="37"/>
        <v>0</v>
      </c>
      <c r="AE54" s="4427">
        <f t="shared" si="38"/>
        <v>0</v>
      </c>
      <c r="AF54" s="4427">
        <f t="shared" si="39"/>
        <v>0</v>
      </c>
      <c r="AG54" s="4427">
        <f t="shared" si="40"/>
        <v>0</v>
      </c>
      <c r="AH54" s="4427">
        <f t="shared" si="41"/>
        <v>0</v>
      </c>
      <c r="AI54" s="4427">
        <f t="shared" si="42"/>
        <v>0</v>
      </c>
      <c r="AJ54" s="4427">
        <f t="shared" si="43"/>
        <v>0</v>
      </c>
      <c r="AK54" s="4427">
        <f t="shared" si="44"/>
        <v>0</v>
      </c>
      <c r="AL54" s="4427">
        <f t="shared" si="45"/>
        <v>0</v>
      </c>
      <c r="AM54" s="4427">
        <f t="shared" si="46"/>
        <v>0</v>
      </c>
      <c r="AN54" s="4427">
        <f t="shared" si="47"/>
        <v>0</v>
      </c>
      <c r="AO54" s="4427">
        <f t="shared" si="48"/>
        <v>0</v>
      </c>
      <c r="AP54" s="4427">
        <f t="shared" si="49"/>
        <v>0</v>
      </c>
      <c r="AQ54" s="4427">
        <f t="shared" si="50"/>
        <v>0</v>
      </c>
      <c r="AR54" s="4427">
        <f t="shared" si="51"/>
        <v>0</v>
      </c>
      <c r="AS54" s="4427">
        <f t="shared" si="52"/>
        <v>0</v>
      </c>
      <c r="AT54" s="4427">
        <f t="shared" si="53"/>
        <v>0</v>
      </c>
      <c r="AU54" s="4427">
        <f t="shared" si="54"/>
        <v>0</v>
      </c>
      <c r="AV54" s="4427">
        <f t="shared" si="55"/>
        <v>0</v>
      </c>
      <c r="AW54" s="4427">
        <f t="shared" si="56"/>
        <v>0</v>
      </c>
      <c r="AX54" s="4427">
        <f t="shared" si="57"/>
        <v>0</v>
      </c>
      <c r="AY54" s="4427">
        <f t="shared" si="58"/>
        <v>0</v>
      </c>
      <c r="AZ54" s="4427">
        <f t="shared" si="59"/>
        <v>0</v>
      </c>
      <c r="BA54" s="4427">
        <f t="shared" si="60"/>
        <v>0</v>
      </c>
    </row>
    <row r="55" spans="1:53" ht="21.75" customHeight="1" thickBot="1">
      <c r="A55" s="1483" t="s">
        <v>174</v>
      </c>
      <c r="B55" s="1484"/>
      <c r="C55" s="3128"/>
      <c r="D55" s="3128"/>
      <c r="E55" s="3128"/>
      <c r="F55" s="3128"/>
      <c r="G55" s="3128"/>
      <c r="H55" s="3128"/>
      <c r="I55" s="3128"/>
      <c r="J55" s="3128"/>
      <c r="K55" s="3128"/>
      <c r="L55" s="3128"/>
      <c r="M55" s="3128"/>
      <c r="N55" s="3128"/>
      <c r="O55" s="3128"/>
      <c r="P55" s="3128"/>
      <c r="Q55" s="3128"/>
      <c r="R55" s="3128"/>
      <c r="S55" s="3128"/>
      <c r="T55" s="3128"/>
      <c r="U55" s="3128"/>
      <c r="V55" s="3128"/>
      <c r="W55" s="3128"/>
      <c r="X55" s="3128"/>
      <c r="Y55" s="3128"/>
      <c r="Z55" s="3128"/>
      <c r="AA55" s="3128"/>
      <c r="AB55" s="4422"/>
      <c r="AC55" s="5325" t="str">
        <f>+A55</f>
        <v>Отвеждане на отпадъчни води</v>
      </c>
      <c r="AD55" s="5326"/>
      <c r="AE55" s="5326"/>
      <c r="AF55" s="5326"/>
      <c r="AG55" s="5326"/>
      <c r="AH55" s="5326"/>
      <c r="AI55" s="5326"/>
      <c r="AJ55" s="5326"/>
      <c r="AK55" s="5326"/>
      <c r="AL55" s="5326"/>
      <c r="AM55" s="5326"/>
      <c r="AN55" s="5326"/>
      <c r="AO55" s="5326"/>
      <c r="AP55" s="5326"/>
      <c r="AQ55" s="5326"/>
      <c r="AR55" s="5326"/>
      <c r="AS55" s="5326"/>
      <c r="AT55" s="5326"/>
      <c r="AU55" s="5326"/>
      <c r="AV55" s="5326"/>
      <c r="AW55" s="5326"/>
      <c r="AX55" s="5326"/>
      <c r="AY55" s="5326"/>
      <c r="AZ55" s="5326"/>
      <c r="BA55" s="5327"/>
    </row>
    <row r="56" spans="1:53" ht="21" customHeight="1" thickBot="1">
      <c r="A56" s="5298" t="s">
        <v>1175</v>
      </c>
      <c r="B56" s="5299"/>
      <c r="C56" s="5303">
        <v>1</v>
      </c>
      <c r="D56" s="5304"/>
      <c r="E56" s="5304"/>
      <c r="F56" s="5304"/>
      <c r="G56" s="5304"/>
      <c r="H56" s="5303">
        <f>C56+1</f>
        <v>2</v>
      </c>
      <c r="I56" s="5304"/>
      <c r="J56" s="5304"/>
      <c r="K56" s="5304"/>
      <c r="L56" s="5304"/>
      <c r="M56" s="5303">
        <f>H56+1</f>
        <v>3</v>
      </c>
      <c r="N56" s="5304"/>
      <c r="O56" s="5304"/>
      <c r="P56" s="5304"/>
      <c r="Q56" s="5304"/>
      <c r="R56" s="5303">
        <f>M56+1</f>
        <v>4</v>
      </c>
      <c r="S56" s="5304"/>
      <c r="T56" s="5304"/>
      <c r="U56" s="5304"/>
      <c r="V56" s="5304"/>
      <c r="W56" s="5303">
        <f>R56+1</f>
        <v>5</v>
      </c>
      <c r="X56" s="5304"/>
      <c r="Y56" s="5304"/>
      <c r="Z56" s="5304"/>
      <c r="AA56" s="5304"/>
      <c r="AB56" s="4422"/>
      <c r="AC56" s="5150">
        <f>+C56</f>
        <v>1</v>
      </c>
      <c r="AD56" s="5150"/>
      <c r="AE56" s="5150"/>
      <c r="AF56" s="5150"/>
      <c r="AG56" s="5150"/>
      <c r="AH56" s="5150">
        <f>+H56</f>
        <v>2</v>
      </c>
      <c r="AI56" s="5150"/>
      <c r="AJ56" s="5150"/>
      <c r="AK56" s="5150"/>
      <c r="AL56" s="5150"/>
      <c r="AM56" s="5150">
        <f>+M56</f>
        <v>3</v>
      </c>
      <c r="AN56" s="5150"/>
      <c r="AO56" s="5150"/>
      <c r="AP56" s="5150"/>
      <c r="AQ56" s="5150"/>
      <c r="AR56" s="5150">
        <f>+R56</f>
        <v>4</v>
      </c>
      <c r="AS56" s="5150"/>
      <c r="AT56" s="5150"/>
      <c r="AU56" s="5150"/>
      <c r="AV56" s="5150"/>
      <c r="AW56" s="5150">
        <f>+W56</f>
        <v>5</v>
      </c>
      <c r="AX56" s="5150"/>
      <c r="AY56" s="5150"/>
      <c r="AZ56" s="5150"/>
      <c r="BA56" s="5150"/>
    </row>
    <row r="57" spans="1:53" ht="66" customHeight="1" thickBot="1">
      <c r="A57" s="5295" t="s">
        <v>1297</v>
      </c>
      <c r="B57" s="3114" t="s">
        <v>1446</v>
      </c>
      <c r="C57" s="5300" t="s">
        <v>1988</v>
      </c>
      <c r="D57" s="5301"/>
      <c r="E57" s="5301"/>
      <c r="F57" s="5301"/>
      <c r="G57" s="5302"/>
      <c r="H57" s="5288"/>
      <c r="I57" s="5289"/>
      <c r="J57" s="5289"/>
      <c r="K57" s="5289"/>
      <c r="L57" s="5289"/>
      <c r="M57" s="5288"/>
      <c r="N57" s="5289"/>
      <c r="O57" s="5289"/>
      <c r="P57" s="5289"/>
      <c r="Q57" s="5289"/>
      <c r="R57" s="5288"/>
      <c r="S57" s="5289"/>
      <c r="T57" s="5289"/>
      <c r="U57" s="5289"/>
      <c r="V57" s="5289"/>
      <c r="W57" s="5288"/>
      <c r="X57" s="5289"/>
      <c r="Y57" s="5289"/>
      <c r="Z57" s="5289"/>
      <c r="AA57" s="5289"/>
      <c r="AB57" s="4422"/>
      <c r="AC57" s="5324" t="str">
        <f>IF(C57=0,"",C57)</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агломерация Харманли, включително довеждащ колектор до ПСОВ</v>
      </c>
      <c r="AD57" s="5324"/>
      <c r="AE57" s="5324"/>
      <c r="AF57" s="5324"/>
      <c r="AG57" s="5324"/>
      <c r="AH57" s="5324" t="str">
        <f>IF(H57=0,"",H57)</f>
        <v/>
      </c>
      <c r="AI57" s="5324"/>
      <c r="AJ57" s="5324"/>
      <c r="AK57" s="5324"/>
      <c r="AL57" s="5324"/>
      <c r="AM57" s="5324" t="str">
        <f>IF(M57=0,"",M57)</f>
        <v/>
      </c>
      <c r="AN57" s="5324"/>
      <c r="AO57" s="5324"/>
      <c r="AP57" s="5324"/>
      <c r="AQ57" s="5324"/>
      <c r="AR57" s="5324" t="str">
        <f>IF(R57=0,"",R57)</f>
        <v/>
      </c>
      <c r="AS57" s="5324"/>
      <c r="AT57" s="5324"/>
      <c r="AU57" s="5324"/>
      <c r="AV57" s="5324"/>
      <c r="AW57" s="5324" t="str">
        <f>IF(W57=0,"",W57)</f>
        <v/>
      </c>
      <c r="AX57" s="5324"/>
      <c r="AY57" s="5324"/>
      <c r="AZ57" s="5324"/>
      <c r="BA57" s="5324"/>
    </row>
    <row r="58" spans="1:53" ht="13.5" thickBot="1">
      <c r="A58" s="5295"/>
      <c r="B58" s="3114" t="s">
        <v>1298</v>
      </c>
      <c r="C58" s="5288" t="s">
        <v>1989</v>
      </c>
      <c r="D58" s="5289"/>
      <c r="E58" s="5289"/>
      <c r="F58" s="5289"/>
      <c r="G58" s="5289"/>
      <c r="H58" s="5288"/>
      <c r="I58" s="5289"/>
      <c r="J58" s="5289"/>
      <c r="K58" s="5289"/>
      <c r="L58" s="5289"/>
      <c r="M58" s="5288"/>
      <c r="N58" s="5289"/>
      <c r="O58" s="5289"/>
      <c r="P58" s="5289"/>
      <c r="Q58" s="5289"/>
      <c r="R58" s="5288"/>
      <c r="S58" s="5289"/>
      <c r="T58" s="5289"/>
      <c r="U58" s="5289"/>
      <c r="V58" s="5289"/>
      <c r="W58" s="5288"/>
      <c r="X58" s="5289"/>
      <c r="Y58" s="5289"/>
      <c r="Z58" s="5289"/>
      <c r="AA58" s="5289"/>
      <c r="AB58" s="4422"/>
      <c r="AC58" s="5324" t="str">
        <f t="shared" ref="AC58:AC62" si="62">IF(C58=0,"",C58)</f>
        <v>ХАРМАНЛИ</v>
      </c>
      <c r="AD58" s="5324"/>
      <c r="AE58" s="5324"/>
      <c r="AF58" s="5324"/>
      <c r="AG58" s="5324"/>
      <c r="AH58" s="5324" t="str">
        <f t="shared" ref="AH58:AH62" si="63">IF(H58=0,"",H58)</f>
        <v/>
      </c>
      <c r="AI58" s="5324"/>
      <c r="AJ58" s="5324"/>
      <c r="AK58" s="5324"/>
      <c r="AL58" s="5324"/>
      <c r="AM58" s="5324" t="str">
        <f t="shared" ref="AM58:AM62" si="64">IF(M58=0,"",M58)</f>
        <v/>
      </c>
      <c r="AN58" s="5324"/>
      <c r="AO58" s="5324"/>
      <c r="AP58" s="5324"/>
      <c r="AQ58" s="5324"/>
      <c r="AR58" s="5324" t="str">
        <f t="shared" ref="AR58:AR62" si="65">IF(R58=0,"",R58)</f>
        <v/>
      </c>
      <c r="AS58" s="5324"/>
      <c r="AT58" s="5324"/>
      <c r="AU58" s="5324"/>
      <c r="AV58" s="5324"/>
      <c r="AW58" s="5324" t="str">
        <f t="shared" ref="AW58:AW62" si="66">IF(W58=0,"",W58)</f>
        <v/>
      </c>
      <c r="AX58" s="5324"/>
      <c r="AY58" s="5324"/>
      <c r="AZ58" s="5324"/>
      <c r="BA58" s="5324"/>
    </row>
    <row r="59" spans="1:53" ht="12.75" customHeight="1" thickBot="1">
      <c r="A59" s="5278" t="s">
        <v>1299</v>
      </c>
      <c r="B59" s="3115" t="s">
        <v>1300</v>
      </c>
      <c r="C59" s="5319">
        <v>47524</v>
      </c>
      <c r="D59" s="5320"/>
      <c r="E59" s="5320"/>
      <c r="F59" s="5320"/>
      <c r="G59" s="5320"/>
      <c r="H59" s="5288"/>
      <c r="I59" s="5289"/>
      <c r="J59" s="5289"/>
      <c r="K59" s="5289"/>
      <c r="L59" s="5289"/>
      <c r="M59" s="5288"/>
      <c r="N59" s="5289"/>
      <c r="O59" s="5289"/>
      <c r="P59" s="5289"/>
      <c r="Q59" s="5289"/>
      <c r="R59" s="5288"/>
      <c r="S59" s="5289"/>
      <c r="T59" s="5289"/>
      <c r="U59" s="5289"/>
      <c r="V59" s="5289"/>
      <c r="W59" s="5288"/>
      <c r="X59" s="5289"/>
      <c r="Y59" s="5289"/>
      <c r="Z59" s="5289"/>
      <c r="AA59" s="5289"/>
      <c r="AB59" s="4422"/>
      <c r="AC59" s="5324">
        <f t="shared" si="62"/>
        <v>47524</v>
      </c>
      <c r="AD59" s="5324"/>
      <c r="AE59" s="5324"/>
      <c r="AF59" s="5324"/>
      <c r="AG59" s="5324"/>
      <c r="AH59" s="5324" t="str">
        <f t="shared" si="63"/>
        <v/>
      </c>
      <c r="AI59" s="5324"/>
      <c r="AJ59" s="5324"/>
      <c r="AK59" s="5324"/>
      <c r="AL59" s="5324"/>
      <c r="AM59" s="5324" t="str">
        <f t="shared" si="64"/>
        <v/>
      </c>
      <c r="AN59" s="5324"/>
      <c r="AO59" s="5324"/>
      <c r="AP59" s="5324"/>
      <c r="AQ59" s="5324"/>
      <c r="AR59" s="5324" t="str">
        <f t="shared" si="65"/>
        <v/>
      </c>
      <c r="AS59" s="5324"/>
      <c r="AT59" s="5324"/>
      <c r="AU59" s="5324"/>
      <c r="AV59" s="5324"/>
      <c r="AW59" s="5324" t="str">
        <f t="shared" si="66"/>
        <v/>
      </c>
      <c r="AX59" s="5324"/>
      <c r="AY59" s="5324"/>
      <c r="AZ59" s="5324"/>
      <c r="BA59" s="5324"/>
    </row>
    <row r="60" spans="1:53" ht="306.60000000000002" customHeight="1" thickBot="1">
      <c r="A60" s="5279"/>
      <c r="B60" s="3114" t="s">
        <v>1301</v>
      </c>
      <c r="C60" s="5290" t="s">
        <v>1990</v>
      </c>
      <c r="D60" s="5289"/>
      <c r="E60" s="5289"/>
      <c r="F60" s="5289"/>
      <c r="G60" s="5289"/>
      <c r="H60" s="5288"/>
      <c r="I60" s="5289"/>
      <c r="J60" s="5289"/>
      <c r="K60" s="5289"/>
      <c r="L60" s="5289"/>
      <c r="M60" s="5288"/>
      <c r="N60" s="5289"/>
      <c r="O60" s="5289"/>
      <c r="P60" s="5289"/>
      <c r="Q60" s="5289"/>
      <c r="R60" s="5288"/>
      <c r="S60" s="5289"/>
      <c r="T60" s="5289"/>
      <c r="U60" s="5289"/>
      <c r="V60" s="5289"/>
      <c r="W60" s="5288"/>
      <c r="X60" s="5289"/>
      <c r="Y60" s="5289"/>
      <c r="Z60" s="5289"/>
      <c r="AA60" s="5289"/>
      <c r="AB60" s="4422"/>
      <c r="AC60" s="5324" t="str">
        <f t="shared" si="62"/>
        <v>„Реконструкция и доизграждане на канализационната мрежа на агломерация Харманли. •Изградена нова канализационна мрежа в агломерация Харманли – 3628 м. •Реконструкция на съществуваща канализация - 1523 м. •Изграден отливен канал от ДПР-4 в агломерация Харманли – 42 м. •Изграден тласкател от КПС-1 в агломерация Харманли - 285 м. •Изградени аварийни изпускатели от КПС в агломерация Харманли – 36 м. •Изградени сградни канализационни отклонения (СКО) в агломерация Харманли - нови битови – 71 бр. •Изградени сградни канализационни отклонения (СКО) в агломерация Харманли - реконструирани – 42 бр. •Изградени сградни канализационни отклонения (СКО) в агломерация Харманли: ДПР- Реконструиран 1 бр., ДПР- нов 3 бр., КПС 1 Q=5,0 l/s; H=12 m; ШАХТА+ ПОМПИ -комплект - 1 бр., КПС 2 Q=15,0 l/s; H=10 m; - ШАХТА+ ПОМПИ - комплект – 1 бр., Шахта за решетки преди КПС – 2 бр., Изграден тласкател DN160 от КПС-2 с преминаване под река – 105 м., Направа на входни и изходни монтажни отвори с шпунтови стени с размери в план 14/6 м и 7/5 м и дълбочина 7 м, за сондиране под ЖП линии – 2 бр, Сондажно преминаване под ЖП линии със стоманена обсадна тръба Ø1400 – 58 м, Сондажно преминаване под ЖП линии със стоманена обсадна тръба Ø1200 – 36 м, Изградени входна и изходна ревизионна шахта при преминаванията на ЖП линии – 4 бр., Водопонижение на монтажни отвори за направа на сондажи под ЖП линии , УО – двойни – 21 бр., Изградени зауствания на същ. отливни канали от ДПР-1-нов и ДПР-2-нов с размери 210/133 см., за осигуряване на възможност за монтаж на възвратна клапа – 2 бр., Изградени зауствания на същ. отливни канали от ДПР-1-нов и ДПР-2-нов с размери 210/133 см., за осигуряване на възможност за монтаж на възвратна клапа -1 бр., Фрезоване, извозване на стр. отпадъци, полагане на пласт от плътен асфалтобетон и битумен разлив за площта от пътното платно извън рамките на траншеята (за участъците преминаващи по път на АПИ) – 3670м2</v>
      </c>
      <c r="AD60" s="5324"/>
      <c r="AE60" s="5324"/>
      <c r="AF60" s="5324"/>
      <c r="AG60" s="5324"/>
      <c r="AH60" s="5324" t="str">
        <f t="shared" si="63"/>
        <v/>
      </c>
      <c r="AI60" s="5324"/>
      <c r="AJ60" s="5324"/>
      <c r="AK60" s="5324"/>
      <c r="AL60" s="5324"/>
      <c r="AM60" s="5324" t="str">
        <f t="shared" si="64"/>
        <v/>
      </c>
      <c r="AN60" s="5324"/>
      <c r="AO60" s="5324"/>
      <c r="AP60" s="5324"/>
      <c r="AQ60" s="5324"/>
      <c r="AR60" s="5324" t="str">
        <f t="shared" si="65"/>
        <v/>
      </c>
      <c r="AS60" s="5324"/>
      <c r="AT60" s="5324"/>
      <c r="AU60" s="5324"/>
      <c r="AV60" s="5324"/>
      <c r="AW60" s="5324" t="str">
        <f t="shared" si="66"/>
        <v/>
      </c>
      <c r="AX60" s="5324"/>
      <c r="AY60" s="5324"/>
      <c r="AZ60" s="5324"/>
      <c r="BA60" s="5324"/>
    </row>
    <row r="61" spans="1:53" ht="147.6" customHeight="1" thickBot="1">
      <c r="A61" s="3756" t="s">
        <v>1302</v>
      </c>
      <c r="B61" s="3114" t="s">
        <v>1303</v>
      </c>
      <c r="C61" s="5290" t="s">
        <v>1991</v>
      </c>
      <c r="D61" s="5289"/>
      <c r="E61" s="5289"/>
      <c r="F61" s="5289"/>
      <c r="G61" s="5289"/>
      <c r="H61" s="5288"/>
      <c r="I61" s="5289"/>
      <c r="J61" s="5289"/>
      <c r="K61" s="5289"/>
      <c r="L61" s="5289"/>
      <c r="M61" s="5288"/>
      <c r="N61" s="5289"/>
      <c r="O61" s="5289"/>
      <c r="P61" s="5289"/>
      <c r="Q61" s="5289"/>
      <c r="R61" s="5288"/>
      <c r="S61" s="5289"/>
      <c r="T61" s="5289"/>
      <c r="U61" s="5289"/>
      <c r="V61" s="5289"/>
      <c r="W61" s="5288"/>
      <c r="X61" s="5289"/>
      <c r="Y61" s="5289"/>
      <c r="Z61" s="5289"/>
      <c r="AA61" s="5289"/>
      <c r="AB61" s="4422"/>
      <c r="AC61" s="5324" t="str">
        <f t="shared" si="62"/>
        <v>Избран е изпълнител ДЗЗД "ПН ХАРМАНЛИ 25" с членове на обединението НИВЕЛ СТРОЙ ЕООД, ПИМК ООД и е изпратена покана за сключване на договор. С писмо Възложителят е уведомен, че поради техническа забава в административната процедура по одобрение и издаване на Гаранция за изпълнение, Изпълнителят има нужда от допълнително техническо време за предоставянето и.</v>
      </c>
      <c r="AD61" s="5324"/>
      <c r="AE61" s="5324"/>
      <c r="AF61" s="5324"/>
      <c r="AG61" s="5324"/>
      <c r="AH61" s="5324" t="str">
        <f t="shared" si="63"/>
        <v/>
      </c>
      <c r="AI61" s="5324"/>
      <c r="AJ61" s="5324"/>
      <c r="AK61" s="5324"/>
      <c r="AL61" s="5324"/>
      <c r="AM61" s="5324" t="str">
        <f t="shared" si="64"/>
        <v/>
      </c>
      <c r="AN61" s="5324"/>
      <c r="AO61" s="5324"/>
      <c r="AP61" s="5324"/>
      <c r="AQ61" s="5324"/>
      <c r="AR61" s="5324" t="str">
        <f t="shared" si="65"/>
        <v/>
      </c>
      <c r="AS61" s="5324"/>
      <c r="AT61" s="5324"/>
      <c r="AU61" s="5324"/>
      <c r="AV61" s="5324"/>
      <c r="AW61" s="5324" t="str">
        <f t="shared" si="66"/>
        <v/>
      </c>
      <c r="AX61" s="5324"/>
      <c r="AY61" s="5324"/>
      <c r="AZ61" s="5324"/>
      <c r="BA61" s="5324"/>
    </row>
    <row r="62" spans="1:53" ht="26.25" thickBot="1">
      <c r="A62" s="3116" t="s">
        <v>1304</v>
      </c>
      <c r="B62" s="3117" t="s">
        <v>1305</v>
      </c>
      <c r="C62" s="5305"/>
      <c r="D62" s="5306"/>
      <c r="E62" s="5306"/>
      <c r="F62" s="5306"/>
      <c r="G62" s="5306"/>
      <c r="H62" s="5305"/>
      <c r="I62" s="5306"/>
      <c r="J62" s="5306"/>
      <c r="K62" s="5306"/>
      <c r="L62" s="5306"/>
      <c r="M62" s="5305"/>
      <c r="N62" s="5306"/>
      <c r="O62" s="5306"/>
      <c r="P62" s="5306"/>
      <c r="Q62" s="5306"/>
      <c r="R62" s="5305"/>
      <c r="S62" s="5306"/>
      <c r="T62" s="5306"/>
      <c r="U62" s="5306"/>
      <c r="V62" s="5306"/>
      <c r="W62" s="5305"/>
      <c r="X62" s="5306"/>
      <c r="Y62" s="5306"/>
      <c r="Z62" s="5306"/>
      <c r="AA62" s="5306"/>
      <c r="AB62" s="4422"/>
      <c r="AC62" s="5324" t="str">
        <f t="shared" si="62"/>
        <v/>
      </c>
      <c r="AD62" s="5324"/>
      <c r="AE62" s="5324"/>
      <c r="AF62" s="5324"/>
      <c r="AG62" s="5324"/>
      <c r="AH62" s="5324" t="str">
        <f t="shared" si="63"/>
        <v/>
      </c>
      <c r="AI62" s="5324"/>
      <c r="AJ62" s="5324"/>
      <c r="AK62" s="5324"/>
      <c r="AL62" s="5324"/>
      <c r="AM62" s="5324" t="str">
        <f t="shared" si="64"/>
        <v/>
      </c>
      <c r="AN62" s="5324"/>
      <c r="AO62" s="5324"/>
      <c r="AP62" s="5324"/>
      <c r="AQ62" s="5324"/>
      <c r="AR62" s="5324" t="str">
        <f t="shared" si="65"/>
        <v/>
      </c>
      <c r="AS62" s="5324"/>
      <c r="AT62" s="5324"/>
      <c r="AU62" s="5324"/>
      <c r="AV62" s="5324"/>
      <c r="AW62" s="5324" t="str">
        <f t="shared" si="66"/>
        <v/>
      </c>
      <c r="AX62" s="5324"/>
      <c r="AY62" s="5324"/>
      <c r="AZ62" s="5324"/>
      <c r="BA62" s="5324"/>
    </row>
    <row r="63" spans="1:53" ht="13.5" thickBot="1">
      <c r="A63" s="5296" t="s">
        <v>1461</v>
      </c>
      <c r="B63" s="5297"/>
      <c r="C63" s="4209" t="str">
        <f>'Приложение '!$C$14</f>
        <v>2027 г.</v>
      </c>
      <c r="D63" s="4210" t="str">
        <f>'Приложение '!$C$15</f>
        <v>2028 г.</v>
      </c>
      <c r="E63" s="4210" t="str">
        <f>'Приложение '!$C$16</f>
        <v>2029 г.</v>
      </c>
      <c r="F63" s="4210" t="str">
        <f>'Приложение '!$C$17</f>
        <v>2030 г.</v>
      </c>
      <c r="G63" s="4210" t="str">
        <f>'Приложение '!$C$18</f>
        <v>2031 г.</v>
      </c>
      <c r="H63" s="4209" t="str">
        <f>'Приложение '!$C$14</f>
        <v>2027 г.</v>
      </c>
      <c r="I63" s="4210" t="str">
        <f>'Приложение '!$C$15</f>
        <v>2028 г.</v>
      </c>
      <c r="J63" s="4210" t="str">
        <f>'Приложение '!$C$16</f>
        <v>2029 г.</v>
      </c>
      <c r="K63" s="4210" t="str">
        <f>'Приложение '!$C$17</f>
        <v>2030 г.</v>
      </c>
      <c r="L63" s="4210" t="str">
        <f>'Приложение '!$C$18</f>
        <v>2031 г.</v>
      </c>
      <c r="M63" s="4209" t="str">
        <f>'Приложение '!$C$14</f>
        <v>2027 г.</v>
      </c>
      <c r="N63" s="4210" t="str">
        <f>'Приложение '!$C$15</f>
        <v>2028 г.</v>
      </c>
      <c r="O63" s="4210" t="str">
        <f>'Приложение '!$C$16</f>
        <v>2029 г.</v>
      </c>
      <c r="P63" s="4210" t="str">
        <f>'Приложение '!$C$17</f>
        <v>2030 г.</v>
      </c>
      <c r="Q63" s="4210" t="str">
        <f>'Приложение '!$C$18</f>
        <v>2031 г.</v>
      </c>
      <c r="R63" s="4209" t="str">
        <f>'Приложение '!$C$14</f>
        <v>2027 г.</v>
      </c>
      <c r="S63" s="4210" t="str">
        <f>'Приложение '!$C$15</f>
        <v>2028 г.</v>
      </c>
      <c r="T63" s="4210" t="str">
        <f>'Приложение '!$C$16</f>
        <v>2029 г.</v>
      </c>
      <c r="U63" s="4210" t="str">
        <f>'Приложение '!$C$17</f>
        <v>2030 г.</v>
      </c>
      <c r="V63" s="4210" t="str">
        <f>'Приложение '!$C$18</f>
        <v>2031 г.</v>
      </c>
      <c r="W63" s="4209" t="str">
        <f>'Приложение '!$C$14</f>
        <v>2027 г.</v>
      </c>
      <c r="X63" s="4210" t="str">
        <f>'Приложение '!$C$15</f>
        <v>2028 г.</v>
      </c>
      <c r="Y63" s="4210" t="str">
        <f>'Приложение '!$C$16</f>
        <v>2029 г.</v>
      </c>
      <c r="Z63" s="4210" t="str">
        <f>'Приложение '!$C$17</f>
        <v>2030 г.</v>
      </c>
      <c r="AA63" s="4210" t="str">
        <f>'Приложение '!$C$18</f>
        <v>2031 г.</v>
      </c>
      <c r="AB63" s="4422"/>
      <c r="AC63" s="4469" t="str">
        <f>'Приложение '!$C$14</f>
        <v>2027 г.</v>
      </c>
      <c r="AD63" s="4469" t="str">
        <f>'Приложение '!$C$15</f>
        <v>2028 г.</v>
      </c>
      <c r="AE63" s="4469" t="str">
        <f>'Приложение '!$C$16</f>
        <v>2029 г.</v>
      </c>
      <c r="AF63" s="4469" t="str">
        <f>'Приложение '!$C$17</f>
        <v>2030 г.</v>
      </c>
      <c r="AG63" s="4469" t="str">
        <f>'Приложение '!$C$18</f>
        <v>2031 г.</v>
      </c>
      <c r="AH63" s="4469" t="str">
        <f>'Приложение '!$C$14</f>
        <v>2027 г.</v>
      </c>
      <c r="AI63" s="4469" t="str">
        <f>'Приложение '!$C$15</f>
        <v>2028 г.</v>
      </c>
      <c r="AJ63" s="4469" t="str">
        <f>'Приложение '!$C$16</f>
        <v>2029 г.</v>
      </c>
      <c r="AK63" s="4469" t="str">
        <f>'Приложение '!$C$17</f>
        <v>2030 г.</v>
      </c>
      <c r="AL63" s="4469" t="str">
        <f>'Приложение '!$C$18</f>
        <v>2031 г.</v>
      </c>
      <c r="AM63" s="4469" t="str">
        <f>'Приложение '!$C$14</f>
        <v>2027 г.</v>
      </c>
      <c r="AN63" s="4469" t="str">
        <f>'Приложение '!$C$15</f>
        <v>2028 г.</v>
      </c>
      <c r="AO63" s="4469" t="str">
        <f>'Приложение '!$C$16</f>
        <v>2029 г.</v>
      </c>
      <c r="AP63" s="4469" t="str">
        <f>'Приложение '!$C$17</f>
        <v>2030 г.</v>
      </c>
      <c r="AQ63" s="4469" t="str">
        <f>'Приложение '!$C$18</f>
        <v>2031 г.</v>
      </c>
      <c r="AR63" s="4469" t="str">
        <f>'Приложение '!$C$14</f>
        <v>2027 г.</v>
      </c>
      <c r="AS63" s="4469" t="str">
        <f>'Приложение '!$C$15</f>
        <v>2028 г.</v>
      </c>
      <c r="AT63" s="4469" t="str">
        <f>'Приложение '!$C$16</f>
        <v>2029 г.</v>
      </c>
      <c r="AU63" s="4469" t="str">
        <f>'Приложение '!$C$17</f>
        <v>2030 г.</v>
      </c>
      <c r="AV63" s="4469" t="str">
        <f>'Приложение '!$C$18</f>
        <v>2031 г.</v>
      </c>
      <c r="AW63" s="4469" t="str">
        <f>'Приложение '!$C$14</f>
        <v>2027 г.</v>
      </c>
      <c r="AX63" s="4469" t="str">
        <f>'Приложение '!$C$15</f>
        <v>2028 г.</v>
      </c>
      <c r="AY63" s="4469" t="str">
        <f>'Приложение '!$C$16</f>
        <v>2029 г.</v>
      </c>
      <c r="AZ63" s="4469" t="str">
        <f>'Приложение '!$C$17</f>
        <v>2030 г.</v>
      </c>
      <c r="BA63" s="4469" t="str">
        <f>'Приложение '!$C$18</f>
        <v>2031 г.</v>
      </c>
    </row>
    <row r="64" spans="1:53" ht="12.75" customHeight="1">
      <c r="A64" s="5280" t="s">
        <v>1447</v>
      </c>
      <c r="B64" s="5281"/>
      <c r="C64" s="3118"/>
      <c r="D64" s="3119"/>
      <c r="E64" s="3119"/>
      <c r="F64" s="3119">
        <v>17223</v>
      </c>
      <c r="G64" s="3119">
        <v>17223</v>
      </c>
      <c r="H64" s="3118"/>
      <c r="I64" s="3119"/>
      <c r="J64" s="3119"/>
      <c r="K64" s="3119"/>
      <c r="L64" s="3119"/>
      <c r="M64" s="3118"/>
      <c r="N64" s="3119"/>
      <c r="O64" s="3119"/>
      <c r="P64" s="3119"/>
      <c r="Q64" s="3119"/>
      <c r="R64" s="3118"/>
      <c r="S64" s="3119"/>
      <c r="T64" s="3119"/>
      <c r="U64" s="3119"/>
      <c r="V64" s="3119"/>
      <c r="W64" s="3118"/>
      <c r="X64" s="3119"/>
      <c r="Y64" s="3119"/>
      <c r="Z64" s="3119"/>
      <c r="AA64" s="3119"/>
      <c r="AB64" s="4422"/>
      <c r="AC64" s="4472"/>
      <c r="AD64" s="4472"/>
      <c r="AE64" s="4472"/>
      <c r="AF64" s="4472"/>
      <c r="AG64" s="4472"/>
      <c r="AH64" s="4472"/>
      <c r="AI64" s="4472"/>
      <c r="AJ64" s="4472"/>
      <c r="AK64" s="4472"/>
      <c r="AL64" s="4472"/>
      <c r="AM64" s="4472"/>
      <c r="AN64" s="4472"/>
      <c r="AO64" s="4472"/>
      <c r="AP64" s="4472"/>
      <c r="AQ64" s="4472"/>
      <c r="AR64" s="4472"/>
      <c r="AS64" s="4472"/>
      <c r="AT64" s="4472"/>
      <c r="AU64" s="4472"/>
      <c r="AV64" s="4472"/>
      <c r="AW64" s="4472"/>
      <c r="AX64" s="4472"/>
      <c r="AY64" s="4472"/>
      <c r="AZ64" s="4472"/>
      <c r="BA64" s="4472"/>
    </row>
    <row r="65" spans="1:53" ht="12.75" customHeight="1">
      <c r="A65" s="5282" t="s">
        <v>1448</v>
      </c>
      <c r="B65" s="5283"/>
      <c r="C65" s="3120"/>
      <c r="D65" s="3121"/>
      <c r="E65" s="3121"/>
      <c r="F65" s="3121"/>
      <c r="G65" s="3121"/>
      <c r="H65" s="3120"/>
      <c r="I65" s="3121"/>
      <c r="J65" s="3121"/>
      <c r="K65" s="3121"/>
      <c r="L65" s="3121"/>
      <c r="M65" s="3120"/>
      <c r="N65" s="3121"/>
      <c r="O65" s="3121"/>
      <c r="P65" s="3121"/>
      <c r="Q65" s="3121"/>
      <c r="R65" s="3120"/>
      <c r="S65" s="3121"/>
      <c r="T65" s="3121"/>
      <c r="U65" s="3121"/>
      <c r="V65" s="3121"/>
      <c r="W65" s="3120"/>
      <c r="X65" s="3121"/>
      <c r="Y65" s="3121"/>
      <c r="Z65" s="3121"/>
      <c r="AA65" s="3121"/>
      <c r="AB65" s="4422"/>
      <c r="AC65" s="4473"/>
      <c r="AD65" s="4473"/>
      <c r="AE65" s="4473"/>
      <c r="AF65" s="4473"/>
      <c r="AG65" s="4473"/>
      <c r="AH65" s="4473"/>
      <c r="AI65" s="4473"/>
      <c r="AJ65" s="4473"/>
      <c r="AK65" s="4473"/>
      <c r="AL65" s="4473"/>
      <c r="AM65" s="4473"/>
      <c r="AN65" s="4473"/>
      <c r="AO65" s="4473"/>
      <c r="AP65" s="4473"/>
      <c r="AQ65" s="4473"/>
      <c r="AR65" s="4473"/>
      <c r="AS65" s="4473"/>
      <c r="AT65" s="4473"/>
      <c r="AU65" s="4473"/>
      <c r="AV65" s="4473"/>
      <c r="AW65" s="4473"/>
      <c r="AX65" s="4473"/>
      <c r="AY65" s="4473"/>
      <c r="AZ65" s="4473"/>
      <c r="BA65" s="4473"/>
    </row>
    <row r="66" spans="1:53" ht="12.75" customHeight="1">
      <c r="A66" s="5311" t="s">
        <v>1449</v>
      </c>
      <c r="B66" s="5312"/>
      <c r="C66" s="3122"/>
      <c r="D66" s="3123"/>
      <c r="E66" s="3123"/>
      <c r="F66" s="3123">
        <v>142938</v>
      </c>
      <c r="G66" s="3123">
        <v>142938</v>
      </c>
      <c r="H66" s="3122"/>
      <c r="I66" s="3123"/>
      <c r="J66" s="3123"/>
      <c r="K66" s="3123"/>
      <c r="L66" s="3123"/>
      <c r="M66" s="3122"/>
      <c r="N66" s="3123"/>
      <c r="O66" s="3123"/>
      <c r="P66" s="3123"/>
      <c r="Q66" s="3123"/>
      <c r="R66" s="3122"/>
      <c r="S66" s="3123"/>
      <c r="T66" s="3123"/>
      <c r="U66" s="3123"/>
      <c r="V66" s="3123"/>
      <c r="W66" s="3122"/>
      <c r="X66" s="3123"/>
      <c r="Y66" s="3123"/>
      <c r="Z66" s="3123"/>
      <c r="AA66" s="3123"/>
      <c r="AB66" s="4422"/>
      <c r="AC66" s="4473"/>
      <c r="AD66" s="4473"/>
      <c r="AE66" s="4473"/>
      <c r="AF66" s="4473"/>
      <c r="AG66" s="4473"/>
      <c r="AH66" s="4473"/>
      <c r="AI66" s="4473"/>
      <c r="AJ66" s="4473"/>
      <c r="AK66" s="4473"/>
      <c r="AL66" s="4473"/>
      <c r="AM66" s="4473"/>
      <c r="AN66" s="4473"/>
      <c r="AO66" s="4473"/>
      <c r="AP66" s="4473"/>
      <c r="AQ66" s="4473"/>
      <c r="AR66" s="4473"/>
      <c r="AS66" s="4473"/>
      <c r="AT66" s="4473"/>
      <c r="AU66" s="4473"/>
      <c r="AV66" s="4473"/>
      <c r="AW66" s="4473"/>
      <c r="AX66" s="4473"/>
      <c r="AY66" s="4473"/>
      <c r="AZ66" s="4473"/>
      <c r="BA66" s="4473"/>
    </row>
    <row r="67" spans="1:53" ht="13.5" thickBot="1">
      <c r="A67" s="5286" t="s">
        <v>1450</v>
      </c>
      <c r="B67" s="5287"/>
      <c r="C67" s="3124"/>
      <c r="D67" s="3125"/>
      <c r="E67" s="3125"/>
      <c r="F67" s="3125"/>
      <c r="G67" s="3125"/>
      <c r="H67" s="3124"/>
      <c r="I67" s="3125"/>
      <c r="J67" s="3125"/>
      <c r="K67" s="3125"/>
      <c r="L67" s="3125"/>
      <c r="M67" s="3124"/>
      <c r="N67" s="3125"/>
      <c r="O67" s="3125"/>
      <c r="P67" s="3125"/>
      <c r="Q67" s="3125"/>
      <c r="R67" s="3124"/>
      <c r="S67" s="3125"/>
      <c r="T67" s="3125"/>
      <c r="U67" s="3125"/>
      <c r="V67" s="3125"/>
      <c r="W67" s="3124"/>
      <c r="X67" s="3125"/>
      <c r="Y67" s="3125"/>
      <c r="Z67" s="3125"/>
      <c r="AA67" s="3125"/>
      <c r="AB67" s="4422"/>
      <c r="AC67" s="4474"/>
      <c r="AD67" s="4474"/>
      <c r="AE67" s="4474"/>
      <c r="AF67" s="4474"/>
      <c r="AG67" s="4474"/>
      <c r="AH67" s="4474"/>
      <c r="AI67" s="4474"/>
      <c r="AJ67" s="4474"/>
      <c r="AK67" s="4474"/>
      <c r="AL67" s="4474"/>
      <c r="AM67" s="4474"/>
      <c r="AN67" s="4474"/>
      <c r="AO67" s="4474"/>
      <c r="AP67" s="4474"/>
      <c r="AQ67" s="4474"/>
      <c r="AR67" s="4474"/>
      <c r="AS67" s="4474"/>
      <c r="AT67" s="4474"/>
      <c r="AU67" s="4474"/>
      <c r="AV67" s="4474"/>
      <c r="AW67" s="4474"/>
      <c r="AX67" s="4474"/>
      <c r="AY67" s="4474"/>
      <c r="AZ67" s="4474"/>
      <c r="BA67" s="4474"/>
    </row>
    <row r="68" spans="1:53" s="2" customFormat="1" ht="27" customHeight="1" thickBot="1">
      <c r="A68" s="5313" t="s">
        <v>1452</v>
      </c>
      <c r="B68" s="5314"/>
      <c r="C68" s="3126">
        <f t="shared" ref="C68:AA68" si="67">SUM(C69,C74:C78)</f>
        <v>0</v>
      </c>
      <c r="D68" s="3127">
        <f t="shared" si="67"/>
        <v>0</v>
      </c>
      <c r="E68" s="3127">
        <f t="shared" si="67"/>
        <v>0</v>
      </c>
      <c r="F68" s="3127">
        <f t="shared" si="67"/>
        <v>0</v>
      </c>
      <c r="G68" s="3127">
        <f t="shared" si="67"/>
        <v>0</v>
      </c>
      <c r="H68" s="3126">
        <f t="shared" si="67"/>
        <v>0</v>
      </c>
      <c r="I68" s="3127">
        <f t="shared" si="67"/>
        <v>0</v>
      </c>
      <c r="J68" s="3127">
        <f t="shared" si="67"/>
        <v>0</v>
      </c>
      <c r="K68" s="3127">
        <f t="shared" si="67"/>
        <v>0</v>
      </c>
      <c r="L68" s="3127">
        <f t="shared" si="67"/>
        <v>0</v>
      </c>
      <c r="M68" s="3126">
        <f t="shared" si="67"/>
        <v>0</v>
      </c>
      <c r="N68" s="3127">
        <f t="shared" si="67"/>
        <v>0</v>
      </c>
      <c r="O68" s="3127">
        <f t="shared" si="67"/>
        <v>0</v>
      </c>
      <c r="P68" s="3127">
        <f t="shared" si="67"/>
        <v>0</v>
      </c>
      <c r="Q68" s="3127">
        <f t="shared" si="67"/>
        <v>0</v>
      </c>
      <c r="R68" s="3126">
        <f t="shared" si="67"/>
        <v>0</v>
      </c>
      <c r="S68" s="3127">
        <f t="shared" si="67"/>
        <v>0</v>
      </c>
      <c r="T68" s="3127">
        <f t="shared" si="67"/>
        <v>0</v>
      </c>
      <c r="U68" s="3127">
        <f t="shared" si="67"/>
        <v>0</v>
      </c>
      <c r="V68" s="3127">
        <f t="shared" si="67"/>
        <v>0</v>
      </c>
      <c r="W68" s="3126">
        <f t="shared" si="67"/>
        <v>0</v>
      </c>
      <c r="X68" s="3127">
        <f t="shared" si="67"/>
        <v>0</v>
      </c>
      <c r="Y68" s="3127">
        <f t="shared" si="67"/>
        <v>0</v>
      </c>
      <c r="Z68" s="3127">
        <f t="shared" si="67"/>
        <v>0</v>
      </c>
      <c r="AA68" s="3127">
        <f t="shared" si="67"/>
        <v>0</v>
      </c>
      <c r="AB68" s="4422"/>
      <c r="AC68" s="4470">
        <f>IFERROR(C68/$D$1,0)</f>
        <v>0</v>
      </c>
      <c r="AD68" s="4471">
        <f t="shared" ref="AD68:AD78" si="68">IFERROR(D68/$D$1,0)</f>
        <v>0</v>
      </c>
      <c r="AE68" s="4471">
        <f t="shared" ref="AE68:AE78" si="69">IFERROR(E68/$D$1,0)</f>
        <v>0</v>
      </c>
      <c r="AF68" s="4471">
        <f t="shared" ref="AF68:AF78" si="70">IFERROR(F68/$D$1,0)</f>
        <v>0</v>
      </c>
      <c r="AG68" s="4471">
        <f t="shared" ref="AG68:AG78" si="71">IFERROR(G68/$D$1,0)</f>
        <v>0</v>
      </c>
      <c r="AH68" s="4471">
        <f t="shared" ref="AH68:AH78" si="72">IFERROR(H68/$D$1,0)</f>
        <v>0</v>
      </c>
      <c r="AI68" s="4471">
        <f t="shared" ref="AI68:AI78" si="73">IFERROR(I68/$D$1,0)</f>
        <v>0</v>
      </c>
      <c r="AJ68" s="4471">
        <f t="shared" ref="AJ68:AJ78" si="74">IFERROR(J68/$D$1,0)</f>
        <v>0</v>
      </c>
      <c r="AK68" s="4471">
        <f t="shared" ref="AK68:AK78" si="75">IFERROR(K68/$D$1,0)</f>
        <v>0</v>
      </c>
      <c r="AL68" s="4471">
        <f t="shared" ref="AL68:AL78" si="76">IFERROR(L68/$D$1,0)</f>
        <v>0</v>
      </c>
      <c r="AM68" s="4471">
        <f t="shared" ref="AM68:AM78" si="77">IFERROR(M68/$D$1,0)</f>
        <v>0</v>
      </c>
      <c r="AN68" s="4471">
        <f t="shared" ref="AN68:AN78" si="78">IFERROR(N68/$D$1,0)</f>
        <v>0</v>
      </c>
      <c r="AO68" s="4471">
        <f t="shared" ref="AO68:AO78" si="79">IFERROR(O68/$D$1,0)</f>
        <v>0</v>
      </c>
      <c r="AP68" s="4471">
        <f t="shared" ref="AP68:AP78" si="80">IFERROR(P68/$D$1,0)</f>
        <v>0</v>
      </c>
      <c r="AQ68" s="4471">
        <f t="shared" ref="AQ68:AQ78" si="81">IFERROR(Q68/$D$1,0)</f>
        <v>0</v>
      </c>
      <c r="AR68" s="4471">
        <f t="shared" ref="AR68:AR78" si="82">IFERROR(R68/$D$1,0)</f>
        <v>0</v>
      </c>
      <c r="AS68" s="4471">
        <f t="shared" ref="AS68:AS78" si="83">IFERROR(S68/$D$1,0)</f>
        <v>0</v>
      </c>
      <c r="AT68" s="4471">
        <f t="shared" ref="AT68:AT78" si="84">IFERROR(T68/$D$1,0)</f>
        <v>0</v>
      </c>
      <c r="AU68" s="4471">
        <f t="shared" ref="AU68:AU78" si="85">IFERROR(U68/$D$1,0)</f>
        <v>0</v>
      </c>
      <c r="AV68" s="4471">
        <f t="shared" ref="AV68:AV78" si="86">IFERROR(V68/$D$1,0)</f>
        <v>0</v>
      </c>
      <c r="AW68" s="4471">
        <f t="shared" ref="AW68:AW78" si="87">IFERROR(W68/$D$1,0)</f>
        <v>0</v>
      </c>
      <c r="AX68" s="4471">
        <f t="shared" ref="AX68:AX78" si="88">IFERROR(X68/$D$1,0)</f>
        <v>0</v>
      </c>
      <c r="AY68" s="4471">
        <f t="shared" ref="AY68:AY78" si="89">IFERROR(Y68/$D$1,0)</f>
        <v>0</v>
      </c>
      <c r="AZ68" s="4471">
        <f t="shared" ref="AZ68:AZ78" si="90">IFERROR(Z68/$D$1,0)</f>
        <v>0</v>
      </c>
      <c r="BA68" s="4471">
        <f t="shared" ref="BA68:BA78" si="91">IFERROR(AA68/$D$1,0)</f>
        <v>0</v>
      </c>
    </row>
    <row r="69" spans="1:53" ht="12.75" customHeight="1" thickBot="1">
      <c r="A69" s="5315" t="s">
        <v>1451</v>
      </c>
      <c r="B69" s="5316"/>
      <c r="C69" s="3120"/>
      <c r="D69" s="3121"/>
      <c r="E69" s="3121"/>
      <c r="F69" s="3121"/>
      <c r="G69" s="3121"/>
      <c r="H69" s="3120"/>
      <c r="I69" s="3121"/>
      <c r="J69" s="3121"/>
      <c r="K69" s="3121"/>
      <c r="L69" s="3121"/>
      <c r="M69" s="3120"/>
      <c r="N69" s="3121"/>
      <c r="O69" s="3121"/>
      <c r="P69" s="3121"/>
      <c r="Q69" s="3121"/>
      <c r="R69" s="3120"/>
      <c r="S69" s="3121"/>
      <c r="T69" s="3121"/>
      <c r="U69" s="3121"/>
      <c r="V69" s="3121"/>
      <c r="W69" s="3120"/>
      <c r="X69" s="3121"/>
      <c r="Y69" s="3121"/>
      <c r="Z69" s="3121"/>
      <c r="AA69" s="3121"/>
      <c r="AB69" s="4422"/>
      <c r="AC69" s="4427">
        <f t="shared" ref="AC69:AC78" si="92">IFERROR(C69/$D$1,0)</f>
        <v>0</v>
      </c>
      <c r="AD69" s="4427">
        <f t="shared" si="68"/>
        <v>0</v>
      </c>
      <c r="AE69" s="4427">
        <f t="shared" si="69"/>
        <v>0</v>
      </c>
      <c r="AF69" s="4427">
        <f t="shared" si="70"/>
        <v>0</v>
      </c>
      <c r="AG69" s="4427">
        <f t="shared" si="71"/>
        <v>0</v>
      </c>
      <c r="AH69" s="4427">
        <f t="shared" si="72"/>
        <v>0</v>
      </c>
      <c r="AI69" s="4427">
        <f t="shared" si="73"/>
        <v>0</v>
      </c>
      <c r="AJ69" s="4427">
        <f t="shared" si="74"/>
        <v>0</v>
      </c>
      <c r="AK69" s="4427">
        <f t="shared" si="75"/>
        <v>0</v>
      </c>
      <c r="AL69" s="4427">
        <f t="shared" si="76"/>
        <v>0</v>
      </c>
      <c r="AM69" s="4427">
        <f t="shared" si="77"/>
        <v>0</v>
      </c>
      <c r="AN69" s="4427">
        <f t="shared" si="78"/>
        <v>0</v>
      </c>
      <c r="AO69" s="4427">
        <f t="shared" si="79"/>
        <v>0</v>
      </c>
      <c r="AP69" s="4427">
        <f t="shared" si="80"/>
        <v>0</v>
      </c>
      <c r="AQ69" s="4427">
        <f t="shared" si="81"/>
        <v>0</v>
      </c>
      <c r="AR69" s="4427">
        <f t="shared" si="82"/>
        <v>0</v>
      </c>
      <c r="AS69" s="4427">
        <f t="shared" si="83"/>
        <v>0</v>
      </c>
      <c r="AT69" s="4427">
        <f t="shared" si="84"/>
        <v>0</v>
      </c>
      <c r="AU69" s="4427">
        <f t="shared" si="85"/>
        <v>0</v>
      </c>
      <c r="AV69" s="4427">
        <f t="shared" si="86"/>
        <v>0</v>
      </c>
      <c r="AW69" s="4427">
        <f t="shared" si="87"/>
        <v>0</v>
      </c>
      <c r="AX69" s="4427">
        <f t="shared" si="88"/>
        <v>0</v>
      </c>
      <c r="AY69" s="4427">
        <f t="shared" si="89"/>
        <v>0</v>
      </c>
      <c r="AZ69" s="4427">
        <f t="shared" si="90"/>
        <v>0</v>
      </c>
      <c r="BA69" s="4427">
        <f t="shared" si="91"/>
        <v>0</v>
      </c>
    </row>
    <row r="70" spans="1:53" ht="13.5" thickBot="1">
      <c r="A70" s="5317" t="s">
        <v>1463</v>
      </c>
      <c r="B70" s="5318"/>
      <c r="C70" s="3120"/>
      <c r="D70" s="3121"/>
      <c r="E70" s="3121"/>
      <c r="F70" s="3121"/>
      <c r="G70" s="3121"/>
      <c r="H70" s="3120"/>
      <c r="I70" s="3121"/>
      <c r="J70" s="3121"/>
      <c r="K70" s="3121"/>
      <c r="L70" s="3121"/>
      <c r="M70" s="3120"/>
      <c r="N70" s="3121"/>
      <c r="O70" s="3121"/>
      <c r="P70" s="3121"/>
      <c r="Q70" s="3121"/>
      <c r="R70" s="3120"/>
      <c r="S70" s="3121"/>
      <c r="T70" s="3121"/>
      <c r="U70" s="3121"/>
      <c r="V70" s="3121"/>
      <c r="W70" s="3120"/>
      <c r="X70" s="3121"/>
      <c r="Y70" s="3121"/>
      <c r="Z70" s="3121"/>
      <c r="AA70" s="3121"/>
      <c r="AB70" s="4422"/>
      <c r="AC70" s="4427">
        <f t="shared" si="92"/>
        <v>0</v>
      </c>
      <c r="AD70" s="4427">
        <f t="shared" si="68"/>
        <v>0</v>
      </c>
      <c r="AE70" s="4427">
        <f t="shared" si="69"/>
        <v>0</v>
      </c>
      <c r="AF70" s="4427">
        <f t="shared" si="70"/>
        <v>0</v>
      </c>
      <c r="AG70" s="4427">
        <f t="shared" si="71"/>
        <v>0</v>
      </c>
      <c r="AH70" s="4427">
        <f t="shared" si="72"/>
        <v>0</v>
      </c>
      <c r="AI70" s="4427">
        <f t="shared" si="73"/>
        <v>0</v>
      </c>
      <c r="AJ70" s="4427">
        <f t="shared" si="74"/>
        <v>0</v>
      </c>
      <c r="AK70" s="4427">
        <f t="shared" si="75"/>
        <v>0</v>
      </c>
      <c r="AL70" s="4427">
        <f t="shared" si="76"/>
        <v>0</v>
      </c>
      <c r="AM70" s="4427">
        <f t="shared" si="77"/>
        <v>0</v>
      </c>
      <c r="AN70" s="4427">
        <f t="shared" si="78"/>
        <v>0</v>
      </c>
      <c r="AO70" s="4427">
        <f t="shared" si="79"/>
        <v>0</v>
      </c>
      <c r="AP70" s="4427">
        <f t="shared" si="80"/>
        <v>0</v>
      </c>
      <c r="AQ70" s="4427">
        <f t="shared" si="81"/>
        <v>0</v>
      </c>
      <c r="AR70" s="4427">
        <f t="shared" si="82"/>
        <v>0</v>
      </c>
      <c r="AS70" s="4427">
        <f t="shared" si="83"/>
        <v>0</v>
      </c>
      <c r="AT70" s="4427">
        <f t="shared" si="84"/>
        <v>0</v>
      </c>
      <c r="AU70" s="4427">
        <f t="shared" si="85"/>
        <v>0</v>
      </c>
      <c r="AV70" s="4427">
        <f t="shared" si="86"/>
        <v>0</v>
      </c>
      <c r="AW70" s="4427">
        <f t="shared" si="87"/>
        <v>0</v>
      </c>
      <c r="AX70" s="4427">
        <f t="shared" si="88"/>
        <v>0</v>
      </c>
      <c r="AY70" s="4427">
        <f t="shared" si="89"/>
        <v>0</v>
      </c>
      <c r="AZ70" s="4427">
        <f t="shared" si="90"/>
        <v>0</v>
      </c>
      <c r="BA70" s="4427">
        <f t="shared" si="91"/>
        <v>0</v>
      </c>
    </row>
    <row r="71" spans="1:53" ht="12.75" customHeight="1" thickBot="1">
      <c r="A71" s="5284" t="s">
        <v>1453</v>
      </c>
      <c r="B71" s="5285"/>
      <c r="C71" s="3120"/>
      <c r="D71" s="3121"/>
      <c r="E71" s="3121"/>
      <c r="F71" s="3121"/>
      <c r="G71" s="3121"/>
      <c r="H71" s="3120"/>
      <c r="I71" s="3121"/>
      <c r="J71" s="3121"/>
      <c r="K71" s="3121"/>
      <c r="L71" s="3121"/>
      <c r="M71" s="3120"/>
      <c r="N71" s="3121"/>
      <c r="O71" s="3121"/>
      <c r="P71" s="3121"/>
      <c r="Q71" s="3121"/>
      <c r="R71" s="3120"/>
      <c r="S71" s="3121"/>
      <c r="T71" s="3121"/>
      <c r="U71" s="3121"/>
      <c r="V71" s="3121"/>
      <c r="W71" s="3120"/>
      <c r="X71" s="3121"/>
      <c r="Y71" s="3121"/>
      <c r="Z71" s="3121"/>
      <c r="AA71" s="3121"/>
      <c r="AB71" s="4422"/>
      <c r="AC71" s="4427">
        <f t="shared" si="92"/>
        <v>0</v>
      </c>
      <c r="AD71" s="4427">
        <f t="shared" si="68"/>
        <v>0</v>
      </c>
      <c r="AE71" s="4427">
        <f t="shared" si="69"/>
        <v>0</v>
      </c>
      <c r="AF71" s="4427">
        <f t="shared" si="70"/>
        <v>0</v>
      </c>
      <c r="AG71" s="4427">
        <f t="shared" si="71"/>
        <v>0</v>
      </c>
      <c r="AH71" s="4427">
        <f t="shared" si="72"/>
        <v>0</v>
      </c>
      <c r="AI71" s="4427">
        <f t="shared" si="73"/>
        <v>0</v>
      </c>
      <c r="AJ71" s="4427">
        <f t="shared" si="74"/>
        <v>0</v>
      </c>
      <c r="AK71" s="4427">
        <f t="shared" si="75"/>
        <v>0</v>
      </c>
      <c r="AL71" s="4427">
        <f t="shared" si="76"/>
        <v>0</v>
      </c>
      <c r="AM71" s="4427">
        <f t="shared" si="77"/>
        <v>0</v>
      </c>
      <c r="AN71" s="4427">
        <f t="shared" si="78"/>
        <v>0</v>
      </c>
      <c r="AO71" s="4427">
        <f t="shared" si="79"/>
        <v>0</v>
      </c>
      <c r="AP71" s="4427">
        <f t="shared" si="80"/>
        <v>0</v>
      </c>
      <c r="AQ71" s="4427">
        <f t="shared" si="81"/>
        <v>0</v>
      </c>
      <c r="AR71" s="4427">
        <f t="shared" si="82"/>
        <v>0</v>
      </c>
      <c r="AS71" s="4427">
        <f t="shared" si="83"/>
        <v>0</v>
      </c>
      <c r="AT71" s="4427">
        <f t="shared" si="84"/>
        <v>0</v>
      </c>
      <c r="AU71" s="4427">
        <f t="shared" si="85"/>
        <v>0</v>
      </c>
      <c r="AV71" s="4427">
        <f t="shared" si="86"/>
        <v>0</v>
      </c>
      <c r="AW71" s="4427">
        <f t="shared" si="87"/>
        <v>0</v>
      </c>
      <c r="AX71" s="4427">
        <f t="shared" si="88"/>
        <v>0</v>
      </c>
      <c r="AY71" s="4427">
        <f t="shared" si="89"/>
        <v>0</v>
      </c>
      <c r="AZ71" s="4427">
        <f t="shared" si="90"/>
        <v>0</v>
      </c>
      <c r="BA71" s="4427">
        <f t="shared" si="91"/>
        <v>0</v>
      </c>
    </row>
    <row r="72" spans="1:53" ht="12.75" customHeight="1" thickBot="1">
      <c r="A72" s="5284" t="s">
        <v>1454</v>
      </c>
      <c r="B72" s="5285"/>
      <c r="C72" s="3120"/>
      <c r="D72" s="3121"/>
      <c r="E72" s="3121"/>
      <c r="F72" s="3121"/>
      <c r="G72" s="3121"/>
      <c r="H72" s="3120"/>
      <c r="I72" s="3121"/>
      <c r="J72" s="3121"/>
      <c r="K72" s="3121"/>
      <c r="L72" s="3121"/>
      <c r="M72" s="3120"/>
      <c r="N72" s="3121"/>
      <c r="O72" s="3121"/>
      <c r="P72" s="3121"/>
      <c r="Q72" s="3121"/>
      <c r="R72" s="3120"/>
      <c r="S72" s="3121"/>
      <c r="T72" s="3121"/>
      <c r="U72" s="3121"/>
      <c r="V72" s="3121"/>
      <c r="W72" s="3120"/>
      <c r="X72" s="3121"/>
      <c r="Y72" s="3121"/>
      <c r="Z72" s="3121"/>
      <c r="AA72" s="3121"/>
      <c r="AB72" s="4422"/>
      <c r="AC72" s="4427">
        <f t="shared" si="92"/>
        <v>0</v>
      </c>
      <c r="AD72" s="4427">
        <f t="shared" si="68"/>
        <v>0</v>
      </c>
      <c r="AE72" s="4427">
        <f t="shared" si="69"/>
        <v>0</v>
      </c>
      <c r="AF72" s="4427">
        <f t="shared" si="70"/>
        <v>0</v>
      </c>
      <c r="AG72" s="4427">
        <f t="shared" si="71"/>
        <v>0</v>
      </c>
      <c r="AH72" s="4427">
        <f t="shared" si="72"/>
        <v>0</v>
      </c>
      <c r="AI72" s="4427">
        <f t="shared" si="73"/>
        <v>0</v>
      </c>
      <c r="AJ72" s="4427">
        <f t="shared" si="74"/>
        <v>0</v>
      </c>
      <c r="AK72" s="4427">
        <f t="shared" si="75"/>
        <v>0</v>
      </c>
      <c r="AL72" s="4427">
        <f t="shared" si="76"/>
        <v>0</v>
      </c>
      <c r="AM72" s="4427">
        <f t="shared" si="77"/>
        <v>0</v>
      </c>
      <c r="AN72" s="4427">
        <f t="shared" si="78"/>
        <v>0</v>
      </c>
      <c r="AO72" s="4427">
        <f t="shared" si="79"/>
        <v>0</v>
      </c>
      <c r="AP72" s="4427">
        <f t="shared" si="80"/>
        <v>0</v>
      </c>
      <c r="AQ72" s="4427">
        <f t="shared" si="81"/>
        <v>0</v>
      </c>
      <c r="AR72" s="4427">
        <f t="shared" si="82"/>
        <v>0</v>
      </c>
      <c r="AS72" s="4427">
        <f t="shared" si="83"/>
        <v>0</v>
      </c>
      <c r="AT72" s="4427">
        <f t="shared" si="84"/>
        <v>0</v>
      </c>
      <c r="AU72" s="4427">
        <f t="shared" si="85"/>
        <v>0</v>
      </c>
      <c r="AV72" s="4427">
        <f t="shared" si="86"/>
        <v>0</v>
      </c>
      <c r="AW72" s="4427">
        <f t="shared" si="87"/>
        <v>0</v>
      </c>
      <c r="AX72" s="4427">
        <f t="shared" si="88"/>
        <v>0</v>
      </c>
      <c r="AY72" s="4427">
        <f t="shared" si="89"/>
        <v>0</v>
      </c>
      <c r="AZ72" s="4427">
        <f t="shared" si="90"/>
        <v>0</v>
      </c>
      <c r="BA72" s="4427">
        <f t="shared" si="91"/>
        <v>0</v>
      </c>
    </row>
    <row r="73" spans="1:53" ht="12.75" customHeight="1" thickBot="1">
      <c r="A73" s="5284" t="s">
        <v>1455</v>
      </c>
      <c r="B73" s="5285"/>
      <c r="C73" s="3120"/>
      <c r="D73" s="3121"/>
      <c r="E73" s="3121"/>
      <c r="F73" s="3121"/>
      <c r="G73" s="3121"/>
      <c r="H73" s="3120"/>
      <c r="I73" s="3121"/>
      <c r="J73" s="3121"/>
      <c r="K73" s="3121"/>
      <c r="L73" s="3121"/>
      <c r="M73" s="3120"/>
      <c r="N73" s="3121"/>
      <c r="O73" s="3121"/>
      <c r="P73" s="3121"/>
      <c r="Q73" s="3121"/>
      <c r="R73" s="3120"/>
      <c r="S73" s="3121"/>
      <c r="T73" s="3121"/>
      <c r="U73" s="3121"/>
      <c r="V73" s="3121"/>
      <c r="W73" s="3120"/>
      <c r="X73" s="3121"/>
      <c r="Y73" s="3121"/>
      <c r="Z73" s="3121"/>
      <c r="AA73" s="3121"/>
      <c r="AB73" s="4422"/>
      <c r="AC73" s="4427">
        <f t="shared" si="92"/>
        <v>0</v>
      </c>
      <c r="AD73" s="4427">
        <f t="shared" si="68"/>
        <v>0</v>
      </c>
      <c r="AE73" s="4427">
        <f t="shared" si="69"/>
        <v>0</v>
      </c>
      <c r="AF73" s="4427">
        <f t="shared" si="70"/>
        <v>0</v>
      </c>
      <c r="AG73" s="4427">
        <f t="shared" si="71"/>
        <v>0</v>
      </c>
      <c r="AH73" s="4427">
        <f t="shared" si="72"/>
        <v>0</v>
      </c>
      <c r="AI73" s="4427">
        <f t="shared" si="73"/>
        <v>0</v>
      </c>
      <c r="AJ73" s="4427">
        <f t="shared" si="74"/>
        <v>0</v>
      </c>
      <c r="AK73" s="4427">
        <f t="shared" si="75"/>
        <v>0</v>
      </c>
      <c r="AL73" s="4427">
        <f t="shared" si="76"/>
        <v>0</v>
      </c>
      <c r="AM73" s="4427">
        <f t="shared" si="77"/>
        <v>0</v>
      </c>
      <c r="AN73" s="4427">
        <f t="shared" si="78"/>
        <v>0</v>
      </c>
      <c r="AO73" s="4427">
        <f t="shared" si="79"/>
        <v>0</v>
      </c>
      <c r="AP73" s="4427">
        <f t="shared" si="80"/>
        <v>0</v>
      </c>
      <c r="AQ73" s="4427">
        <f t="shared" si="81"/>
        <v>0</v>
      </c>
      <c r="AR73" s="4427">
        <f t="shared" si="82"/>
        <v>0</v>
      </c>
      <c r="AS73" s="4427">
        <f t="shared" si="83"/>
        <v>0</v>
      </c>
      <c r="AT73" s="4427">
        <f t="shared" si="84"/>
        <v>0</v>
      </c>
      <c r="AU73" s="4427">
        <f t="shared" si="85"/>
        <v>0</v>
      </c>
      <c r="AV73" s="4427">
        <f t="shared" si="86"/>
        <v>0</v>
      </c>
      <c r="AW73" s="4427">
        <f t="shared" si="87"/>
        <v>0</v>
      </c>
      <c r="AX73" s="4427">
        <f t="shared" si="88"/>
        <v>0</v>
      </c>
      <c r="AY73" s="4427">
        <f t="shared" si="89"/>
        <v>0</v>
      </c>
      <c r="AZ73" s="4427">
        <f t="shared" si="90"/>
        <v>0</v>
      </c>
      <c r="BA73" s="4427">
        <f t="shared" si="91"/>
        <v>0</v>
      </c>
    </row>
    <row r="74" spans="1:53" ht="13.5" thickBot="1">
      <c r="A74" s="5291" t="s">
        <v>1456</v>
      </c>
      <c r="B74" s="5292"/>
      <c r="C74" s="3120"/>
      <c r="D74" s="3121"/>
      <c r="E74" s="3121"/>
      <c r="F74" s="3121"/>
      <c r="G74" s="3121"/>
      <c r="H74" s="3120"/>
      <c r="I74" s="3121"/>
      <c r="J74" s="3121"/>
      <c r="K74" s="3121"/>
      <c r="L74" s="3121"/>
      <c r="M74" s="3120"/>
      <c r="N74" s="3121"/>
      <c r="O74" s="3121"/>
      <c r="P74" s="3121"/>
      <c r="Q74" s="3121"/>
      <c r="R74" s="3120"/>
      <c r="S74" s="3121"/>
      <c r="T74" s="3121"/>
      <c r="U74" s="3121"/>
      <c r="V74" s="3121"/>
      <c r="W74" s="3120"/>
      <c r="X74" s="3121"/>
      <c r="Y74" s="3121"/>
      <c r="Z74" s="3121"/>
      <c r="AA74" s="3121"/>
      <c r="AB74" s="4422"/>
      <c r="AC74" s="4427">
        <f t="shared" si="92"/>
        <v>0</v>
      </c>
      <c r="AD74" s="4427">
        <f t="shared" si="68"/>
        <v>0</v>
      </c>
      <c r="AE74" s="4427">
        <f t="shared" si="69"/>
        <v>0</v>
      </c>
      <c r="AF74" s="4427">
        <f t="shared" si="70"/>
        <v>0</v>
      </c>
      <c r="AG74" s="4427">
        <f t="shared" si="71"/>
        <v>0</v>
      </c>
      <c r="AH74" s="4427">
        <f t="shared" si="72"/>
        <v>0</v>
      </c>
      <c r="AI74" s="4427">
        <f t="shared" si="73"/>
        <v>0</v>
      </c>
      <c r="AJ74" s="4427">
        <f t="shared" si="74"/>
        <v>0</v>
      </c>
      <c r="AK74" s="4427">
        <f t="shared" si="75"/>
        <v>0</v>
      </c>
      <c r="AL74" s="4427">
        <f t="shared" si="76"/>
        <v>0</v>
      </c>
      <c r="AM74" s="4427">
        <f t="shared" si="77"/>
        <v>0</v>
      </c>
      <c r="AN74" s="4427">
        <f t="shared" si="78"/>
        <v>0</v>
      </c>
      <c r="AO74" s="4427">
        <f t="shared" si="79"/>
        <v>0</v>
      </c>
      <c r="AP74" s="4427">
        <f t="shared" si="80"/>
        <v>0</v>
      </c>
      <c r="AQ74" s="4427">
        <f t="shared" si="81"/>
        <v>0</v>
      </c>
      <c r="AR74" s="4427">
        <f t="shared" si="82"/>
        <v>0</v>
      </c>
      <c r="AS74" s="4427">
        <f t="shared" si="83"/>
        <v>0</v>
      </c>
      <c r="AT74" s="4427">
        <f t="shared" si="84"/>
        <v>0</v>
      </c>
      <c r="AU74" s="4427">
        <f t="shared" si="85"/>
        <v>0</v>
      </c>
      <c r="AV74" s="4427">
        <f t="shared" si="86"/>
        <v>0</v>
      </c>
      <c r="AW74" s="4427">
        <f t="shared" si="87"/>
        <v>0</v>
      </c>
      <c r="AX74" s="4427">
        <f t="shared" si="88"/>
        <v>0</v>
      </c>
      <c r="AY74" s="4427">
        <f t="shared" si="89"/>
        <v>0</v>
      </c>
      <c r="AZ74" s="4427">
        <f t="shared" si="90"/>
        <v>0</v>
      </c>
      <c r="BA74" s="4427">
        <f t="shared" si="91"/>
        <v>0</v>
      </c>
    </row>
    <row r="75" spans="1:53" ht="12.75" customHeight="1" thickBot="1">
      <c r="A75" s="5307" t="s">
        <v>1457</v>
      </c>
      <c r="B75" s="5308"/>
      <c r="C75" s="3120"/>
      <c r="D75" s="3121"/>
      <c r="E75" s="3121"/>
      <c r="F75" s="3121"/>
      <c r="G75" s="3121"/>
      <c r="H75" s="3120"/>
      <c r="I75" s="3121"/>
      <c r="J75" s="3121"/>
      <c r="K75" s="3121"/>
      <c r="L75" s="3121"/>
      <c r="M75" s="3120"/>
      <c r="N75" s="3121"/>
      <c r="O75" s="3121"/>
      <c r="P75" s="3121"/>
      <c r="Q75" s="3121"/>
      <c r="R75" s="3120"/>
      <c r="S75" s="3121"/>
      <c r="T75" s="3121"/>
      <c r="U75" s="3121"/>
      <c r="V75" s="3121"/>
      <c r="W75" s="3120"/>
      <c r="X75" s="3121"/>
      <c r="Y75" s="3121"/>
      <c r="Z75" s="3121"/>
      <c r="AA75" s="3121"/>
      <c r="AB75" s="4422"/>
      <c r="AC75" s="4427">
        <f t="shared" si="92"/>
        <v>0</v>
      </c>
      <c r="AD75" s="4427">
        <f t="shared" si="68"/>
        <v>0</v>
      </c>
      <c r="AE75" s="4427">
        <f t="shared" si="69"/>
        <v>0</v>
      </c>
      <c r="AF75" s="4427">
        <f t="shared" si="70"/>
        <v>0</v>
      </c>
      <c r="AG75" s="4427">
        <f t="shared" si="71"/>
        <v>0</v>
      </c>
      <c r="AH75" s="4427">
        <f t="shared" si="72"/>
        <v>0</v>
      </c>
      <c r="AI75" s="4427">
        <f t="shared" si="73"/>
        <v>0</v>
      </c>
      <c r="AJ75" s="4427">
        <f t="shared" si="74"/>
        <v>0</v>
      </c>
      <c r="AK75" s="4427">
        <f t="shared" si="75"/>
        <v>0</v>
      </c>
      <c r="AL75" s="4427">
        <f t="shared" si="76"/>
        <v>0</v>
      </c>
      <c r="AM75" s="4427">
        <f t="shared" si="77"/>
        <v>0</v>
      </c>
      <c r="AN75" s="4427">
        <f t="shared" si="78"/>
        <v>0</v>
      </c>
      <c r="AO75" s="4427">
        <f t="shared" si="79"/>
        <v>0</v>
      </c>
      <c r="AP75" s="4427">
        <f t="shared" si="80"/>
        <v>0</v>
      </c>
      <c r="AQ75" s="4427">
        <f t="shared" si="81"/>
        <v>0</v>
      </c>
      <c r="AR75" s="4427">
        <f t="shared" si="82"/>
        <v>0</v>
      </c>
      <c r="AS75" s="4427">
        <f t="shared" si="83"/>
        <v>0</v>
      </c>
      <c r="AT75" s="4427">
        <f t="shared" si="84"/>
        <v>0</v>
      </c>
      <c r="AU75" s="4427">
        <f t="shared" si="85"/>
        <v>0</v>
      </c>
      <c r="AV75" s="4427">
        <f t="shared" si="86"/>
        <v>0</v>
      </c>
      <c r="AW75" s="4427">
        <f t="shared" si="87"/>
        <v>0</v>
      </c>
      <c r="AX75" s="4427">
        <f t="shared" si="88"/>
        <v>0</v>
      </c>
      <c r="AY75" s="4427">
        <f t="shared" si="89"/>
        <v>0</v>
      </c>
      <c r="AZ75" s="4427">
        <f t="shared" si="90"/>
        <v>0</v>
      </c>
      <c r="BA75" s="4427">
        <f t="shared" si="91"/>
        <v>0</v>
      </c>
    </row>
    <row r="76" spans="1:53" ht="12.75" customHeight="1" thickBot="1">
      <c r="A76" s="5307" t="s">
        <v>1458</v>
      </c>
      <c r="B76" s="5308"/>
      <c r="C76" s="3120"/>
      <c r="D76" s="3121"/>
      <c r="E76" s="3121"/>
      <c r="F76" s="3121"/>
      <c r="G76" s="3121"/>
      <c r="H76" s="3120"/>
      <c r="I76" s="3121"/>
      <c r="J76" s="3121"/>
      <c r="K76" s="3121"/>
      <c r="L76" s="3121"/>
      <c r="M76" s="3120"/>
      <c r="N76" s="3121"/>
      <c r="O76" s="3121"/>
      <c r="P76" s="3121"/>
      <c r="Q76" s="3121"/>
      <c r="R76" s="3120"/>
      <c r="S76" s="3121"/>
      <c r="T76" s="3121"/>
      <c r="U76" s="3121"/>
      <c r="V76" s="3121"/>
      <c r="W76" s="3120"/>
      <c r="X76" s="3121"/>
      <c r="Y76" s="3121"/>
      <c r="Z76" s="3121"/>
      <c r="AA76" s="3121"/>
      <c r="AB76" s="4422"/>
      <c r="AC76" s="4427">
        <f t="shared" si="92"/>
        <v>0</v>
      </c>
      <c r="AD76" s="4427">
        <f t="shared" si="68"/>
        <v>0</v>
      </c>
      <c r="AE76" s="4427">
        <f t="shared" si="69"/>
        <v>0</v>
      </c>
      <c r="AF76" s="4427">
        <f t="shared" si="70"/>
        <v>0</v>
      </c>
      <c r="AG76" s="4427">
        <f t="shared" si="71"/>
        <v>0</v>
      </c>
      <c r="AH76" s="4427">
        <f t="shared" si="72"/>
        <v>0</v>
      </c>
      <c r="AI76" s="4427">
        <f t="shared" si="73"/>
        <v>0</v>
      </c>
      <c r="AJ76" s="4427">
        <f t="shared" si="74"/>
        <v>0</v>
      </c>
      <c r="AK76" s="4427">
        <f t="shared" si="75"/>
        <v>0</v>
      </c>
      <c r="AL76" s="4427">
        <f t="shared" si="76"/>
        <v>0</v>
      </c>
      <c r="AM76" s="4427">
        <f t="shared" si="77"/>
        <v>0</v>
      </c>
      <c r="AN76" s="4427">
        <f t="shared" si="78"/>
        <v>0</v>
      </c>
      <c r="AO76" s="4427">
        <f t="shared" si="79"/>
        <v>0</v>
      </c>
      <c r="AP76" s="4427">
        <f t="shared" si="80"/>
        <v>0</v>
      </c>
      <c r="AQ76" s="4427">
        <f t="shared" si="81"/>
        <v>0</v>
      </c>
      <c r="AR76" s="4427">
        <f t="shared" si="82"/>
        <v>0</v>
      </c>
      <c r="AS76" s="4427">
        <f t="shared" si="83"/>
        <v>0</v>
      </c>
      <c r="AT76" s="4427">
        <f t="shared" si="84"/>
        <v>0</v>
      </c>
      <c r="AU76" s="4427">
        <f t="shared" si="85"/>
        <v>0</v>
      </c>
      <c r="AV76" s="4427">
        <f t="shared" si="86"/>
        <v>0</v>
      </c>
      <c r="AW76" s="4427">
        <f t="shared" si="87"/>
        <v>0</v>
      </c>
      <c r="AX76" s="4427">
        <f t="shared" si="88"/>
        <v>0</v>
      </c>
      <c r="AY76" s="4427">
        <f t="shared" si="89"/>
        <v>0</v>
      </c>
      <c r="AZ76" s="4427">
        <f t="shared" si="90"/>
        <v>0</v>
      </c>
      <c r="BA76" s="4427">
        <f t="shared" si="91"/>
        <v>0</v>
      </c>
    </row>
    <row r="77" spans="1:53" ht="12.75" customHeight="1" thickBot="1">
      <c r="A77" s="5307" t="s">
        <v>1459</v>
      </c>
      <c r="B77" s="5308"/>
      <c r="C77" s="3120"/>
      <c r="D77" s="3121"/>
      <c r="E77" s="3121"/>
      <c r="F77" s="3121"/>
      <c r="G77" s="3121"/>
      <c r="H77" s="3120"/>
      <c r="I77" s="3121"/>
      <c r="J77" s="3121"/>
      <c r="K77" s="3121"/>
      <c r="L77" s="3121"/>
      <c r="M77" s="3120"/>
      <c r="N77" s="3121"/>
      <c r="O77" s="3121"/>
      <c r="P77" s="3121"/>
      <c r="Q77" s="3121"/>
      <c r="R77" s="3120"/>
      <c r="S77" s="3121"/>
      <c r="T77" s="3121"/>
      <c r="U77" s="3121"/>
      <c r="V77" s="3121"/>
      <c r="W77" s="3120"/>
      <c r="X77" s="3121"/>
      <c r="Y77" s="3121"/>
      <c r="Z77" s="3121"/>
      <c r="AA77" s="3121"/>
      <c r="AB77" s="4422"/>
      <c r="AC77" s="4427">
        <f t="shared" si="92"/>
        <v>0</v>
      </c>
      <c r="AD77" s="4427">
        <f t="shared" si="68"/>
        <v>0</v>
      </c>
      <c r="AE77" s="4427">
        <f t="shared" si="69"/>
        <v>0</v>
      </c>
      <c r="AF77" s="4427">
        <f t="shared" si="70"/>
        <v>0</v>
      </c>
      <c r="AG77" s="4427">
        <f t="shared" si="71"/>
        <v>0</v>
      </c>
      <c r="AH77" s="4427">
        <f t="shared" si="72"/>
        <v>0</v>
      </c>
      <c r="AI77" s="4427">
        <f t="shared" si="73"/>
        <v>0</v>
      </c>
      <c r="AJ77" s="4427">
        <f t="shared" si="74"/>
        <v>0</v>
      </c>
      <c r="AK77" s="4427">
        <f t="shared" si="75"/>
        <v>0</v>
      </c>
      <c r="AL77" s="4427">
        <f t="shared" si="76"/>
        <v>0</v>
      </c>
      <c r="AM77" s="4427">
        <f t="shared" si="77"/>
        <v>0</v>
      </c>
      <c r="AN77" s="4427">
        <f t="shared" si="78"/>
        <v>0</v>
      </c>
      <c r="AO77" s="4427">
        <f t="shared" si="79"/>
        <v>0</v>
      </c>
      <c r="AP77" s="4427">
        <f t="shared" si="80"/>
        <v>0</v>
      </c>
      <c r="AQ77" s="4427">
        <f t="shared" si="81"/>
        <v>0</v>
      </c>
      <c r="AR77" s="4427">
        <f t="shared" si="82"/>
        <v>0</v>
      </c>
      <c r="AS77" s="4427">
        <f t="shared" si="83"/>
        <v>0</v>
      </c>
      <c r="AT77" s="4427">
        <f t="shared" si="84"/>
        <v>0</v>
      </c>
      <c r="AU77" s="4427">
        <f t="shared" si="85"/>
        <v>0</v>
      </c>
      <c r="AV77" s="4427">
        <f t="shared" si="86"/>
        <v>0</v>
      </c>
      <c r="AW77" s="4427">
        <f t="shared" si="87"/>
        <v>0</v>
      </c>
      <c r="AX77" s="4427">
        <f t="shared" si="88"/>
        <v>0</v>
      </c>
      <c r="AY77" s="4427">
        <f t="shared" si="89"/>
        <v>0</v>
      </c>
      <c r="AZ77" s="4427">
        <f t="shared" si="90"/>
        <v>0</v>
      </c>
      <c r="BA77" s="4427">
        <f t="shared" si="91"/>
        <v>0</v>
      </c>
    </row>
    <row r="78" spans="1:53" ht="13.5" customHeight="1" thickBot="1">
      <c r="A78" s="5309" t="s">
        <v>1460</v>
      </c>
      <c r="B78" s="5310"/>
      <c r="C78" s="3124"/>
      <c r="D78" s="3125"/>
      <c r="E78" s="3125"/>
      <c r="F78" s="3125"/>
      <c r="G78" s="3125"/>
      <c r="H78" s="3124"/>
      <c r="I78" s="3125"/>
      <c r="J78" s="3125"/>
      <c r="K78" s="3125"/>
      <c r="L78" s="3125"/>
      <c r="M78" s="3124"/>
      <c r="N78" s="3125"/>
      <c r="O78" s="3125"/>
      <c r="P78" s="3125"/>
      <c r="Q78" s="3125"/>
      <c r="R78" s="3124"/>
      <c r="S78" s="3125"/>
      <c r="T78" s="3125"/>
      <c r="U78" s="3125"/>
      <c r="V78" s="3125"/>
      <c r="W78" s="3124"/>
      <c r="X78" s="3125"/>
      <c r="Y78" s="3125"/>
      <c r="Z78" s="3125"/>
      <c r="AA78" s="3125"/>
      <c r="AB78" s="4422"/>
      <c r="AC78" s="4427">
        <f t="shared" si="92"/>
        <v>0</v>
      </c>
      <c r="AD78" s="4427">
        <f t="shared" si="68"/>
        <v>0</v>
      </c>
      <c r="AE78" s="4427">
        <f t="shared" si="69"/>
        <v>0</v>
      </c>
      <c r="AF78" s="4427">
        <f t="shared" si="70"/>
        <v>0</v>
      </c>
      <c r="AG78" s="4427">
        <f t="shared" si="71"/>
        <v>0</v>
      </c>
      <c r="AH78" s="4427">
        <f t="shared" si="72"/>
        <v>0</v>
      </c>
      <c r="AI78" s="4427">
        <f t="shared" si="73"/>
        <v>0</v>
      </c>
      <c r="AJ78" s="4427">
        <f t="shared" si="74"/>
        <v>0</v>
      </c>
      <c r="AK78" s="4427">
        <f t="shared" si="75"/>
        <v>0</v>
      </c>
      <c r="AL78" s="4427">
        <f t="shared" si="76"/>
        <v>0</v>
      </c>
      <c r="AM78" s="4427">
        <f t="shared" si="77"/>
        <v>0</v>
      </c>
      <c r="AN78" s="4427">
        <f t="shared" si="78"/>
        <v>0</v>
      </c>
      <c r="AO78" s="4427">
        <f t="shared" si="79"/>
        <v>0</v>
      </c>
      <c r="AP78" s="4427">
        <f t="shared" si="80"/>
        <v>0</v>
      </c>
      <c r="AQ78" s="4427">
        <f t="shared" si="81"/>
        <v>0</v>
      </c>
      <c r="AR78" s="4427">
        <f t="shared" si="82"/>
        <v>0</v>
      </c>
      <c r="AS78" s="4427">
        <f t="shared" si="83"/>
        <v>0</v>
      </c>
      <c r="AT78" s="4427">
        <f t="shared" si="84"/>
        <v>0</v>
      </c>
      <c r="AU78" s="4427">
        <f t="shared" si="85"/>
        <v>0</v>
      </c>
      <c r="AV78" s="4427">
        <f t="shared" si="86"/>
        <v>0</v>
      </c>
      <c r="AW78" s="4427">
        <f t="shared" si="87"/>
        <v>0</v>
      </c>
      <c r="AX78" s="4427">
        <f t="shared" si="88"/>
        <v>0</v>
      </c>
      <c r="AY78" s="4427">
        <f t="shared" si="89"/>
        <v>0</v>
      </c>
      <c r="AZ78" s="4427">
        <f t="shared" si="90"/>
        <v>0</v>
      </c>
      <c r="BA78" s="4427">
        <f t="shared" si="91"/>
        <v>0</v>
      </c>
    </row>
    <row r="79" spans="1:53" ht="23.25" customHeight="1" thickBot="1">
      <c r="A79" s="5298" t="s">
        <v>1175</v>
      </c>
      <c r="B79" s="5299"/>
      <c r="C79" s="5303">
        <v>6</v>
      </c>
      <c r="D79" s="5304"/>
      <c r="E79" s="5304"/>
      <c r="F79" s="5304"/>
      <c r="G79" s="5304"/>
      <c r="H79" s="5303">
        <f>C79+1</f>
        <v>7</v>
      </c>
      <c r="I79" s="5304"/>
      <c r="J79" s="5304"/>
      <c r="K79" s="5304"/>
      <c r="L79" s="5304"/>
      <c r="M79" s="5303">
        <f>H79+1</f>
        <v>8</v>
      </c>
      <c r="N79" s="5304"/>
      <c r="O79" s="5304"/>
      <c r="P79" s="5304"/>
      <c r="Q79" s="5304"/>
      <c r="R79" s="5303">
        <f>M79+1</f>
        <v>9</v>
      </c>
      <c r="S79" s="5304"/>
      <c r="T79" s="5304"/>
      <c r="U79" s="5304"/>
      <c r="V79" s="5304"/>
      <c r="W79" s="5303">
        <f>R79+1</f>
        <v>10</v>
      </c>
      <c r="X79" s="5304"/>
      <c r="Y79" s="5304"/>
      <c r="Z79" s="5304"/>
      <c r="AA79" s="5304"/>
      <c r="AB79" s="4422"/>
      <c r="AC79" s="5150">
        <f>+C79</f>
        <v>6</v>
      </c>
      <c r="AD79" s="5150"/>
      <c r="AE79" s="5150"/>
      <c r="AF79" s="5150"/>
      <c r="AG79" s="5150"/>
      <c r="AH79" s="5150">
        <f>+H79</f>
        <v>7</v>
      </c>
      <c r="AI79" s="5150"/>
      <c r="AJ79" s="5150"/>
      <c r="AK79" s="5150"/>
      <c r="AL79" s="5150"/>
      <c r="AM79" s="5150">
        <f>+M79</f>
        <v>8</v>
      </c>
      <c r="AN79" s="5150"/>
      <c r="AO79" s="5150"/>
      <c r="AP79" s="5150"/>
      <c r="AQ79" s="5150"/>
      <c r="AR79" s="5150">
        <f>+R79</f>
        <v>9</v>
      </c>
      <c r="AS79" s="5150"/>
      <c r="AT79" s="5150"/>
      <c r="AU79" s="5150"/>
      <c r="AV79" s="5150"/>
      <c r="AW79" s="5150">
        <f>+W79</f>
        <v>10</v>
      </c>
      <c r="AX79" s="5150"/>
      <c r="AY79" s="5150"/>
      <c r="AZ79" s="5150"/>
      <c r="BA79" s="5150"/>
    </row>
    <row r="80" spans="1:53" ht="12.75" customHeight="1" thickBot="1">
      <c r="A80" s="5295" t="s">
        <v>1297</v>
      </c>
      <c r="B80" s="3114" t="s">
        <v>1446</v>
      </c>
      <c r="C80" s="5288"/>
      <c r="D80" s="5289"/>
      <c r="E80" s="5289"/>
      <c r="F80" s="5289"/>
      <c r="G80" s="5289"/>
      <c r="H80" s="5288"/>
      <c r="I80" s="5289"/>
      <c r="J80" s="5289"/>
      <c r="K80" s="5289"/>
      <c r="L80" s="5289"/>
      <c r="M80" s="5288"/>
      <c r="N80" s="5289"/>
      <c r="O80" s="5289"/>
      <c r="P80" s="5289"/>
      <c r="Q80" s="5289"/>
      <c r="R80" s="5288"/>
      <c r="S80" s="5289"/>
      <c r="T80" s="5289"/>
      <c r="U80" s="5289"/>
      <c r="V80" s="5289"/>
      <c r="W80" s="5288"/>
      <c r="X80" s="5289"/>
      <c r="Y80" s="5289"/>
      <c r="Z80" s="5289"/>
      <c r="AA80" s="5289"/>
      <c r="AB80" s="4422"/>
      <c r="AC80" s="5324" t="str">
        <f>IF(C80=0,"",C80)</f>
        <v/>
      </c>
      <c r="AD80" s="5324"/>
      <c r="AE80" s="5324"/>
      <c r="AF80" s="5324"/>
      <c r="AG80" s="5324"/>
      <c r="AH80" s="5324" t="str">
        <f>IF(H80=0,"",H80)</f>
        <v/>
      </c>
      <c r="AI80" s="5324"/>
      <c r="AJ80" s="5324"/>
      <c r="AK80" s="5324"/>
      <c r="AL80" s="5324"/>
      <c r="AM80" s="5324" t="str">
        <f>IF(M80=0,"",M80)</f>
        <v/>
      </c>
      <c r="AN80" s="5324"/>
      <c r="AO80" s="5324"/>
      <c r="AP80" s="5324"/>
      <c r="AQ80" s="5324"/>
      <c r="AR80" s="5324" t="str">
        <f>IF(R80=0,"",R80)</f>
        <v/>
      </c>
      <c r="AS80" s="5324"/>
      <c r="AT80" s="5324"/>
      <c r="AU80" s="5324"/>
      <c r="AV80" s="5324"/>
      <c r="AW80" s="5324" t="str">
        <f>IF(W80=0,"",W80)</f>
        <v/>
      </c>
      <c r="AX80" s="5324"/>
      <c r="AY80" s="5324"/>
      <c r="AZ80" s="5324"/>
      <c r="BA80" s="5324"/>
    </row>
    <row r="81" spans="1:53" ht="13.5" thickBot="1">
      <c r="A81" s="5295"/>
      <c r="B81" s="3114" t="s">
        <v>1298</v>
      </c>
      <c r="C81" s="5288"/>
      <c r="D81" s="5289"/>
      <c r="E81" s="5289"/>
      <c r="F81" s="5289"/>
      <c r="G81" s="5289"/>
      <c r="H81" s="5288"/>
      <c r="I81" s="5289"/>
      <c r="J81" s="5289"/>
      <c r="K81" s="5289"/>
      <c r="L81" s="5289"/>
      <c r="M81" s="5288"/>
      <c r="N81" s="5289"/>
      <c r="O81" s="5289"/>
      <c r="P81" s="5289"/>
      <c r="Q81" s="5289"/>
      <c r="R81" s="5288"/>
      <c r="S81" s="5289"/>
      <c r="T81" s="5289"/>
      <c r="U81" s="5289"/>
      <c r="V81" s="5289"/>
      <c r="W81" s="5288"/>
      <c r="X81" s="5289"/>
      <c r="Y81" s="5289"/>
      <c r="Z81" s="5289"/>
      <c r="AA81" s="5289"/>
      <c r="AB81" s="4422"/>
      <c r="AC81" s="5324" t="str">
        <f t="shared" ref="AC81:AC85" si="93">IF(C81=0,"",C81)</f>
        <v/>
      </c>
      <c r="AD81" s="5324"/>
      <c r="AE81" s="5324"/>
      <c r="AF81" s="5324"/>
      <c r="AG81" s="5324"/>
      <c r="AH81" s="5324" t="str">
        <f t="shared" ref="AH81:AH85" si="94">IF(H81=0,"",H81)</f>
        <v/>
      </c>
      <c r="AI81" s="5324"/>
      <c r="AJ81" s="5324"/>
      <c r="AK81" s="5324"/>
      <c r="AL81" s="5324"/>
      <c r="AM81" s="5324" t="str">
        <f t="shared" ref="AM81:AM85" si="95">IF(M81=0,"",M81)</f>
        <v/>
      </c>
      <c r="AN81" s="5324"/>
      <c r="AO81" s="5324"/>
      <c r="AP81" s="5324"/>
      <c r="AQ81" s="5324"/>
      <c r="AR81" s="5324" t="str">
        <f t="shared" ref="AR81:AR85" si="96">IF(R81=0,"",R81)</f>
        <v/>
      </c>
      <c r="AS81" s="5324"/>
      <c r="AT81" s="5324"/>
      <c r="AU81" s="5324"/>
      <c r="AV81" s="5324"/>
      <c r="AW81" s="5324" t="str">
        <f t="shared" ref="AW81:AW85" si="97">IF(W81=0,"",W81)</f>
        <v/>
      </c>
      <c r="AX81" s="5324"/>
      <c r="AY81" s="5324"/>
      <c r="AZ81" s="5324"/>
      <c r="BA81" s="5324"/>
    </row>
    <row r="82" spans="1:53" ht="12.75" customHeight="1" thickBot="1">
      <c r="A82" s="5278" t="s">
        <v>1299</v>
      </c>
      <c r="B82" s="3115" t="s">
        <v>1300</v>
      </c>
      <c r="C82" s="5288"/>
      <c r="D82" s="5289"/>
      <c r="E82" s="5289"/>
      <c r="F82" s="5289"/>
      <c r="G82" s="5289"/>
      <c r="H82" s="5288"/>
      <c r="I82" s="5289"/>
      <c r="J82" s="5289"/>
      <c r="K82" s="5289"/>
      <c r="L82" s="5289"/>
      <c r="M82" s="5288"/>
      <c r="N82" s="5289"/>
      <c r="O82" s="5289"/>
      <c r="P82" s="5289"/>
      <c r="Q82" s="5289"/>
      <c r="R82" s="5288"/>
      <c r="S82" s="5289"/>
      <c r="T82" s="5289"/>
      <c r="U82" s="5289"/>
      <c r="V82" s="5289"/>
      <c r="W82" s="5288"/>
      <c r="X82" s="5289"/>
      <c r="Y82" s="5289"/>
      <c r="Z82" s="5289"/>
      <c r="AA82" s="5289"/>
      <c r="AB82" s="4422"/>
      <c r="AC82" s="5324" t="str">
        <f t="shared" si="93"/>
        <v/>
      </c>
      <c r="AD82" s="5324"/>
      <c r="AE82" s="5324"/>
      <c r="AF82" s="5324"/>
      <c r="AG82" s="5324"/>
      <c r="AH82" s="5324" t="str">
        <f t="shared" si="94"/>
        <v/>
      </c>
      <c r="AI82" s="5324"/>
      <c r="AJ82" s="5324"/>
      <c r="AK82" s="5324"/>
      <c r="AL82" s="5324"/>
      <c r="AM82" s="5324" t="str">
        <f t="shared" si="95"/>
        <v/>
      </c>
      <c r="AN82" s="5324"/>
      <c r="AO82" s="5324"/>
      <c r="AP82" s="5324"/>
      <c r="AQ82" s="5324"/>
      <c r="AR82" s="5324" t="str">
        <f t="shared" si="96"/>
        <v/>
      </c>
      <c r="AS82" s="5324"/>
      <c r="AT82" s="5324"/>
      <c r="AU82" s="5324"/>
      <c r="AV82" s="5324"/>
      <c r="AW82" s="5324" t="str">
        <f t="shared" si="97"/>
        <v/>
      </c>
      <c r="AX82" s="5324"/>
      <c r="AY82" s="5324"/>
      <c r="AZ82" s="5324"/>
      <c r="BA82" s="5324"/>
    </row>
    <row r="83" spans="1:53" ht="13.5" thickBot="1">
      <c r="A83" s="5279"/>
      <c r="B83" s="3114" t="s">
        <v>1301</v>
      </c>
      <c r="C83" s="5288"/>
      <c r="D83" s="5289"/>
      <c r="E83" s="5289"/>
      <c r="F83" s="5289"/>
      <c r="G83" s="5289"/>
      <c r="H83" s="5288"/>
      <c r="I83" s="5289"/>
      <c r="J83" s="5289"/>
      <c r="K83" s="5289"/>
      <c r="L83" s="5289"/>
      <c r="M83" s="5288"/>
      <c r="N83" s="5289"/>
      <c r="O83" s="5289"/>
      <c r="P83" s="5289"/>
      <c r="Q83" s="5289"/>
      <c r="R83" s="5288"/>
      <c r="S83" s="5289"/>
      <c r="T83" s="5289"/>
      <c r="U83" s="5289"/>
      <c r="V83" s="5289"/>
      <c r="W83" s="5288"/>
      <c r="X83" s="5289"/>
      <c r="Y83" s="5289"/>
      <c r="Z83" s="5289"/>
      <c r="AA83" s="5289"/>
      <c r="AB83" s="4422"/>
      <c r="AC83" s="5324" t="str">
        <f t="shared" si="93"/>
        <v/>
      </c>
      <c r="AD83" s="5324"/>
      <c r="AE83" s="5324"/>
      <c r="AF83" s="5324"/>
      <c r="AG83" s="5324"/>
      <c r="AH83" s="5324" t="str">
        <f t="shared" si="94"/>
        <v/>
      </c>
      <c r="AI83" s="5324"/>
      <c r="AJ83" s="5324"/>
      <c r="AK83" s="5324"/>
      <c r="AL83" s="5324"/>
      <c r="AM83" s="5324" t="str">
        <f t="shared" si="95"/>
        <v/>
      </c>
      <c r="AN83" s="5324"/>
      <c r="AO83" s="5324"/>
      <c r="AP83" s="5324"/>
      <c r="AQ83" s="5324"/>
      <c r="AR83" s="5324" t="str">
        <f t="shared" si="96"/>
        <v/>
      </c>
      <c r="AS83" s="5324"/>
      <c r="AT83" s="5324"/>
      <c r="AU83" s="5324"/>
      <c r="AV83" s="5324"/>
      <c r="AW83" s="5324" t="str">
        <f t="shared" si="97"/>
        <v/>
      </c>
      <c r="AX83" s="5324"/>
      <c r="AY83" s="5324"/>
      <c r="AZ83" s="5324"/>
      <c r="BA83" s="5324"/>
    </row>
    <row r="84" spans="1:53" ht="26.25" thickBot="1">
      <c r="A84" s="3756" t="s">
        <v>1302</v>
      </c>
      <c r="B84" s="3114" t="s">
        <v>1303</v>
      </c>
      <c r="C84" s="5288"/>
      <c r="D84" s="5289"/>
      <c r="E84" s="5289"/>
      <c r="F84" s="5289"/>
      <c r="G84" s="5289"/>
      <c r="H84" s="5288"/>
      <c r="I84" s="5289"/>
      <c r="J84" s="5289"/>
      <c r="K84" s="5289"/>
      <c r="L84" s="5289"/>
      <c r="M84" s="5288"/>
      <c r="N84" s="5289"/>
      <c r="O84" s="5289"/>
      <c r="P84" s="5289"/>
      <c r="Q84" s="5289"/>
      <c r="R84" s="5288"/>
      <c r="S84" s="5289"/>
      <c r="T84" s="5289"/>
      <c r="U84" s="5289"/>
      <c r="V84" s="5289"/>
      <c r="W84" s="5288"/>
      <c r="X84" s="5289"/>
      <c r="Y84" s="5289"/>
      <c r="Z84" s="5289"/>
      <c r="AA84" s="5289"/>
      <c r="AB84" s="4422"/>
      <c r="AC84" s="5324" t="str">
        <f t="shared" si="93"/>
        <v/>
      </c>
      <c r="AD84" s="5324"/>
      <c r="AE84" s="5324"/>
      <c r="AF84" s="5324"/>
      <c r="AG84" s="5324"/>
      <c r="AH84" s="5324" t="str">
        <f t="shared" si="94"/>
        <v/>
      </c>
      <c r="AI84" s="5324"/>
      <c r="AJ84" s="5324"/>
      <c r="AK84" s="5324"/>
      <c r="AL84" s="5324"/>
      <c r="AM84" s="5324" t="str">
        <f t="shared" si="95"/>
        <v/>
      </c>
      <c r="AN84" s="5324"/>
      <c r="AO84" s="5324"/>
      <c r="AP84" s="5324"/>
      <c r="AQ84" s="5324"/>
      <c r="AR84" s="5324" t="str">
        <f t="shared" si="96"/>
        <v/>
      </c>
      <c r="AS84" s="5324"/>
      <c r="AT84" s="5324"/>
      <c r="AU84" s="5324"/>
      <c r="AV84" s="5324"/>
      <c r="AW84" s="5324" t="str">
        <f t="shared" si="97"/>
        <v/>
      </c>
      <c r="AX84" s="5324"/>
      <c r="AY84" s="5324"/>
      <c r="AZ84" s="5324"/>
      <c r="BA84" s="5324"/>
    </row>
    <row r="85" spans="1:53" ht="26.25" thickBot="1">
      <c r="A85" s="3116" t="s">
        <v>1304</v>
      </c>
      <c r="B85" s="3117" t="s">
        <v>1305</v>
      </c>
      <c r="C85" s="5305"/>
      <c r="D85" s="5306"/>
      <c r="E85" s="5306"/>
      <c r="F85" s="5306"/>
      <c r="G85" s="5306"/>
      <c r="H85" s="5305"/>
      <c r="I85" s="5306"/>
      <c r="J85" s="5306"/>
      <c r="K85" s="5306"/>
      <c r="L85" s="5306"/>
      <c r="M85" s="5305"/>
      <c r="N85" s="5306"/>
      <c r="O85" s="5306"/>
      <c r="P85" s="5306"/>
      <c r="Q85" s="5306"/>
      <c r="R85" s="5305"/>
      <c r="S85" s="5306"/>
      <c r="T85" s="5306"/>
      <c r="U85" s="5306"/>
      <c r="V85" s="5306"/>
      <c r="W85" s="5305"/>
      <c r="X85" s="5306"/>
      <c r="Y85" s="5306"/>
      <c r="Z85" s="5306"/>
      <c r="AA85" s="5306"/>
      <c r="AB85" s="4422"/>
      <c r="AC85" s="5324" t="str">
        <f t="shared" si="93"/>
        <v/>
      </c>
      <c r="AD85" s="5324"/>
      <c r="AE85" s="5324"/>
      <c r="AF85" s="5324"/>
      <c r="AG85" s="5324"/>
      <c r="AH85" s="5324" t="str">
        <f t="shared" si="94"/>
        <v/>
      </c>
      <c r="AI85" s="5324"/>
      <c r="AJ85" s="5324"/>
      <c r="AK85" s="5324"/>
      <c r="AL85" s="5324"/>
      <c r="AM85" s="5324" t="str">
        <f t="shared" si="95"/>
        <v/>
      </c>
      <c r="AN85" s="5324"/>
      <c r="AO85" s="5324"/>
      <c r="AP85" s="5324"/>
      <c r="AQ85" s="5324"/>
      <c r="AR85" s="5324" t="str">
        <f t="shared" si="96"/>
        <v/>
      </c>
      <c r="AS85" s="5324"/>
      <c r="AT85" s="5324"/>
      <c r="AU85" s="5324"/>
      <c r="AV85" s="5324"/>
      <c r="AW85" s="5324" t="str">
        <f t="shared" si="97"/>
        <v/>
      </c>
      <c r="AX85" s="5324"/>
      <c r="AY85" s="5324"/>
      <c r="AZ85" s="5324"/>
      <c r="BA85" s="5324"/>
    </row>
    <row r="86" spans="1:53" ht="13.5" thickBot="1">
      <c r="A86" s="5296" t="s">
        <v>1461</v>
      </c>
      <c r="B86" s="5297"/>
      <c r="C86" s="4209" t="str">
        <f>'Приложение '!$C$14</f>
        <v>2027 г.</v>
      </c>
      <c r="D86" s="4210" t="str">
        <f>'Приложение '!$C$15</f>
        <v>2028 г.</v>
      </c>
      <c r="E86" s="4210" t="str">
        <f>'Приложение '!$C$16</f>
        <v>2029 г.</v>
      </c>
      <c r="F86" s="4210" t="str">
        <f>'Приложение '!$C$17</f>
        <v>2030 г.</v>
      </c>
      <c r="G86" s="4210" t="str">
        <f>'Приложение '!$C$18</f>
        <v>2031 г.</v>
      </c>
      <c r="H86" s="4209" t="str">
        <f>'Приложение '!$C$14</f>
        <v>2027 г.</v>
      </c>
      <c r="I86" s="4210" t="str">
        <f>'Приложение '!$C$15</f>
        <v>2028 г.</v>
      </c>
      <c r="J86" s="4210" t="str">
        <f>'Приложение '!$C$16</f>
        <v>2029 г.</v>
      </c>
      <c r="K86" s="4210" t="str">
        <f>'Приложение '!$C$17</f>
        <v>2030 г.</v>
      </c>
      <c r="L86" s="4210" t="str">
        <f>'Приложение '!$C$18</f>
        <v>2031 г.</v>
      </c>
      <c r="M86" s="4209" t="str">
        <f>'Приложение '!$C$14</f>
        <v>2027 г.</v>
      </c>
      <c r="N86" s="4210" t="str">
        <f>'Приложение '!$C$15</f>
        <v>2028 г.</v>
      </c>
      <c r="O86" s="4210" t="str">
        <f>'Приложение '!$C$16</f>
        <v>2029 г.</v>
      </c>
      <c r="P86" s="4210" t="str">
        <f>'Приложение '!$C$17</f>
        <v>2030 г.</v>
      </c>
      <c r="Q86" s="4210" t="str">
        <f>'Приложение '!$C$18</f>
        <v>2031 г.</v>
      </c>
      <c r="R86" s="4209" t="str">
        <f>'Приложение '!$C$14</f>
        <v>2027 г.</v>
      </c>
      <c r="S86" s="4210" t="str">
        <f>'Приложение '!$C$15</f>
        <v>2028 г.</v>
      </c>
      <c r="T86" s="4210" t="str">
        <f>'Приложение '!$C$16</f>
        <v>2029 г.</v>
      </c>
      <c r="U86" s="4210" t="str">
        <f>'Приложение '!$C$17</f>
        <v>2030 г.</v>
      </c>
      <c r="V86" s="4210" t="str">
        <f>'Приложение '!$C$18</f>
        <v>2031 г.</v>
      </c>
      <c r="W86" s="4209" t="str">
        <f>'Приложение '!$C$14</f>
        <v>2027 г.</v>
      </c>
      <c r="X86" s="4210" t="str">
        <f>'Приложение '!$C$15</f>
        <v>2028 г.</v>
      </c>
      <c r="Y86" s="4210" t="str">
        <f>'Приложение '!$C$16</f>
        <v>2029 г.</v>
      </c>
      <c r="Z86" s="4210" t="str">
        <f>'Приложение '!$C$17</f>
        <v>2030 г.</v>
      </c>
      <c r="AA86" s="4210" t="str">
        <f>'Приложение '!$C$18</f>
        <v>2031 г.</v>
      </c>
      <c r="AB86" s="4422"/>
      <c r="AC86" s="4469" t="str">
        <f>'Приложение '!$C$14</f>
        <v>2027 г.</v>
      </c>
      <c r="AD86" s="4469" t="str">
        <f>'Приложение '!$C$15</f>
        <v>2028 г.</v>
      </c>
      <c r="AE86" s="4469" t="str">
        <f>'Приложение '!$C$16</f>
        <v>2029 г.</v>
      </c>
      <c r="AF86" s="4469" t="str">
        <f>'Приложение '!$C$17</f>
        <v>2030 г.</v>
      </c>
      <c r="AG86" s="4469" t="str">
        <f>'Приложение '!$C$18</f>
        <v>2031 г.</v>
      </c>
      <c r="AH86" s="4469" t="str">
        <f>'Приложение '!$C$14</f>
        <v>2027 г.</v>
      </c>
      <c r="AI86" s="4469" t="str">
        <f>'Приложение '!$C$15</f>
        <v>2028 г.</v>
      </c>
      <c r="AJ86" s="4469" t="str">
        <f>'Приложение '!$C$16</f>
        <v>2029 г.</v>
      </c>
      <c r="AK86" s="4469" t="str">
        <f>'Приложение '!$C$17</f>
        <v>2030 г.</v>
      </c>
      <c r="AL86" s="4469" t="str">
        <f>'Приложение '!$C$18</f>
        <v>2031 г.</v>
      </c>
      <c r="AM86" s="4469" t="str">
        <f>'Приложение '!$C$14</f>
        <v>2027 г.</v>
      </c>
      <c r="AN86" s="4469" t="str">
        <f>'Приложение '!$C$15</f>
        <v>2028 г.</v>
      </c>
      <c r="AO86" s="4469" t="str">
        <f>'Приложение '!$C$16</f>
        <v>2029 г.</v>
      </c>
      <c r="AP86" s="4469" t="str">
        <f>'Приложение '!$C$17</f>
        <v>2030 г.</v>
      </c>
      <c r="AQ86" s="4469" t="str">
        <f>'Приложение '!$C$18</f>
        <v>2031 г.</v>
      </c>
      <c r="AR86" s="4469" t="str">
        <f>'Приложение '!$C$14</f>
        <v>2027 г.</v>
      </c>
      <c r="AS86" s="4469" t="str">
        <f>'Приложение '!$C$15</f>
        <v>2028 г.</v>
      </c>
      <c r="AT86" s="4469" t="str">
        <f>'Приложение '!$C$16</f>
        <v>2029 г.</v>
      </c>
      <c r="AU86" s="4469" t="str">
        <f>'Приложение '!$C$17</f>
        <v>2030 г.</v>
      </c>
      <c r="AV86" s="4469" t="str">
        <f>'Приложение '!$C$18</f>
        <v>2031 г.</v>
      </c>
      <c r="AW86" s="4469" t="str">
        <f>'Приложение '!$C$14</f>
        <v>2027 г.</v>
      </c>
      <c r="AX86" s="4469" t="str">
        <f>'Приложение '!$C$15</f>
        <v>2028 г.</v>
      </c>
      <c r="AY86" s="4469" t="str">
        <f>'Приложение '!$C$16</f>
        <v>2029 г.</v>
      </c>
      <c r="AZ86" s="4469" t="str">
        <f>'Приложение '!$C$17</f>
        <v>2030 г.</v>
      </c>
      <c r="BA86" s="4469" t="str">
        <f>'Приложение '!$C$18</f>
        <v>2031 г.</v>
      </c>
    </row>
    <row r="87" spans="1:53" ht="12.75" customHeight="1">
      <c r="A87" s="5280" t="s">
        <v>1447</v>
      </c>
      <c r="B87" s="5281"/>
      <c r="C87" s="3118"/>
      <c r="D87" s="3119"/>
      <c r="E87" s="3119"/>
      <c r="F87" s="3119"/>
      <c r="G87" s="3119"/>
      <c r="H87" s="3118"/>
      <c r="I87" s="3119"/>
      <c r="J87" s="3119"/>
      <c r="K87" s="3119"/>
      <c r="L87" s="3119"/>
      <c r="M87" s="3118"/>
      <c r="N87" s="3119"/>
      <c r="O87" s="3119"/>
      <c r="P87" s="3119"/>
      <c r="Q87" s="3119"/>
      <c r="R87" s="3118"/>
      <c r="S87" s="3119"/>
      <c r="T87" s="3119"/>
      <c r="U87" s="3119"/>
      <c r="V87" s="3119"/>
      <c r="W87" s="3118"/>
      <c r="X87" s="3119"/>
      <c r="Y87" s="3119"/>
      <c r="Z87" s="3119"/>
      <c r="AA87" s="3119"/>
      <c r="AB87" s="4422"/>
      <c r="AC87" s="4472"/>
      <c r="AD87" s="4472"/>
      <c r="AE87" s="4472"/>
      <c r="AF87" s="4472"/>
      <c r="AG87" s="4472"/>
      <c r="AH87" s="4472"/>
      <c r="AI87" s="4472"/>
      <c r="AJ87" s="4472"/>
      <c r="AK87" s="4472"/>
      <c r="AL87" s="4472"/>
      <c r="AM87" s="4472"/>
      <c r="AN87" s="4472"/>
      <c r="AO87" s="4472"/>
      <c r="AP87" s="4472"/>
      <c r="AQ87" s="4472"/>
      <c r="AR87" s="4472"/>
      <c r="AS87" s="4472"/>
      <c r="AT87" s="4472"/>
      <c r="AU87" s="4472"/>
      <c r="AV87" s="4472"/>
      <c r="AW87" s="4472"/>
      <c r="AX87" s="4472"/>
      <c r="AY87" s="4472"/>
      <c r="AZ87" s="4472"/>
      <c r="BA87" s="4472"/>
    </row>
    <row r="88" spans="1:53" ht="12.75" customHeight="1">
      <c r="A88" s="5282" t="s">
        <v>1448</v>
      </c>
      <c r="B88" s="5283"/>
      <c r="C88" s="3120"/>
      <c r="D88" s="3121"/>
      <c r="E88" s="3121"/>
      <c r="F88" s="3121"/>
      <c r="G88" s="3121"/>
      <c r="H88" s="3120"/>
      <c r="I88" s="3121"/>
      <c r="J88" s="3121"/>
      <c r="K88" s="3121"/>
      <c r="L88" s="3121"/>
      <c r="M88" s="3120"/>
      <c r="N88" s="3121"/>
      <c r="O88" s="3121"/>
      <c r="P88" s="3121"/>
      <c r="Q88" s="3121"/>
      <c r="R88" s="3120"/>
      <c r="S88" s="3121"/>
      <c r="T88" s="3121"/>
      <c r="U88" s="3121"/>
      <c r="V88" s="3121"/>
      <c r="W88" s="3120"/>
      <c r="X88" s="3121"/>
      <c r="Y88" s="3121"/>
      <c r="Z88" s="3121"/>
      <c r="AA88" s="3121"/>
      <c r="AB88" s="4422"/>
      <c r="AC88" s="4473"/>
      <c r="AD88" s="4473"/>
      <c r="AE88" s="4473"/>
      <c r="AF88" s="4473"/>
      <c r="AG88" s="4473"/>
      <c r="AH88" s="4473"/>
      <c r="AI88" s="4473"/>
      <c r="AJ88" s="4473"/>
      <c r="AK88" s="4473"/>
      <c r="AL88" s="4473"/>
      <c r="AM88" s="4473"/>
      <c r="AN88" s="4473"/>
      <c r="AO88" s="4473"/>
      <c r="AP88" s="4473"/>
      <c r="AQ88" s="4473"/>
      <c r="AR88" s="4473"/>
      <c r="AS88" s="4473"/>
      <c r="AT88" s="4473"/>
      <c r="AU88" s="4473"/>
      <c r="AV88" s="4473"/>
      <c r="AW88" s="4473"/>
      <c r="AX88" s="4473"/>
      <c r="AY88" s="4473"/>
      <c r="AZ88" s="4473"/>
      <c r="BA88" s="4473"/>
    </row>
    <row r="89" spans="1:53" ht="12.75" customHeight="1">
      <c r="A89" s="5311" t="s">
        <v>1449</v>
      </c>
      <c r="B89" s="5312"/>
      <c r="C89" s="3122"/>
      <c r="D89" s="3123"/>
      <c r="E89" s="3123"/>
      <c r="F89" s="3123"/>
      <c r="G89" s="3123"/>
      <c r="H89" s="3122"/>
      <c r="I89" s="3123"/>
      <c r="J89" s="3123"/>
      <c r="K89" s="3123"/>
      <c r="L89" s="3123"/>
      <c r="M89" s="3122"/>
      <c r="N89" s="3123"/>
      <c r="O89" s="3123"/>
      <c r="P89" s="3123"/>
      <c r="Q89" s="3123"/>
      <c r="R89" s="3122"/>
      <c r="S89" s="3123"/>
      <c r="T89" s="3123"/>
      <c r="U89" s="3123"/>
      <c r="V89" s="3123"/>
      <c r="W89" s="3122"/>
      <c r="X89" s="3123"/>
      <c r="Y89" s="3123"/>
      <c r="Z89" s="3123"/>
      <c r="AA89" s="3123"/>
      <c r="AB89" s="4422"/>
      <c r="AC89" s="4473"/>
      <c r="AD89" s="4473"/>
      <c r="AE89" s="4473"/>
      <c r="AF89" s="4473"/>
      <c r="AG89" s="4473"/>
      <c r="AH89" s="4473"/>
      <c r="AI89" s="4473"/>
      <c r="AJ89" s="4473"/>
      <c r="AK89" s="4473"/>
      <c r="AL89" s="4473"/>
      <c r="AM89" s="4473"/>
      <c r="AN89" s="4473"/>
      <c r="AO89" s="4473"/>
      <c r="AP89" s="4473"/>
      <c r="AQ89" s="4473"/>
      <c r="AR89" s="4473"/>
      <c r="AS89" s="4473"/>
      <c r="AT89" s="4473"/>
      <c r="AU89" s="4473"/>
      <c r="AV89" s="4473"/>
      <c r="AW89" s="4473"/>
      <c r="AX89" s="4473"/>
      <c r="AY89" s="4473"/>
      <c r="AZ89" s="4473"/>
      <c r="BA89" s="4473"/>
    </row>
    <row r="90" spans="1:53" ht="13.5" thickBot="1">
      <c r="A90" s="5286" t="s">
        <v>1450</v>
      </c>
      <c r="B90" s="5287"/>
      <c r="C90" s="3124"/>
      <c r="D90" s="3125"/>
      <c r="E90" s="3125"/>
      <c r="F90" s="3125"/>
      <c r="G90" s="3125"/>
      <c r="H90" s="3124"/>
      <c r="I90" s="3125"/>
      <c r="J90" s="3125"/>
      <c r="K90" s="3125"/>
      <c r="L90" s="3125"/>
      <c r="M90" s="3124"/>
      <c r="N90" s="3125"/>
      <c r="O90" s="3125"/>
      <c r="P90" s="3125"/>
      <c r="Q90" s="3125"/>
      <c r="R90" s="3124"/>
      <c r="S90" s="3125"/>
      <c r="T90" s="3125"/>
      <c r="U90" s="3125"/>
      <c r="V90" s="3125"/>
      <c r="W90" s="3124"/>
      <c r="X90" s="3125"/>
      <c r="Y90" s="3125"/>
      <c r="Z90" s="3125"/>
      <c r="AA90" s="3125"/>
      <c r="AB90" s="4422"/>
      <c r="AC90" s="4474"/>
      <c r="AD90" s="4474"/>
      <c r="AE90" s="4474"/>
      <c r="AF90" s="4474"/>
      <c r="AG90" s="4474"/>
      <c r="AH90" s="4474"/>
      <c r="AI90" s="4474"/>
      <c r="AJ90" s="4474"/>
      <c r="AK90" s="4474"/>
      <c r="AL90" s="4474"/>
      <c r="AM90" s="4474"/>
      <c r="AN90" s="4474"/>
      <c r="AO90" s="4474"/>
      <c r="AP90" s="4474"/>
      <c r="AQ90" s="4474"/>
      <c r="AR90" s="4474"/>
      <c r="AS90" s="4474"/>
      <c r="AT90" s="4474"/>
      <c r="AU90" s="4474"/>
      <c r="AV90" s="4474"/>
      <c r="AW90" s="4474"/>
      <c r="AX90" s="4474"/>
      <c r="AY90" s="4474"/>
      <c r="AZ90" s="4474"/>
      <c r="BA90" s="4474"/>
    </row>
    <row r="91" spans="1:53" s="2" customFormat="1" ht="25.5" customHeight="1" thickBot="1">
      <c r="A91" s="5313" t="s">
        <v>1452</v>
      </c>
      <c r="B91" s="5314"/>
      <c r="C91" s="3126">
        <f t="shared" ref="C91:AA91" si="98">SUM(C92,C97:C101)</f>
        <v>0</v>
      </c>
      <c r="D91" s="3127">
        <f t="shared" si="98"/>
        <v>0</v>
      </c>
      <c r="E91" s="3127">
        <f t="shared" si="98"/>
        <v>0</v>
      </c>
      <c r="F91" s="3127">
        <f t="shared" si="98"/>
        <v>0</v>
      </c>
      <c r="G91" s="3127">
        <f t="shared" si="98"/>
        <v>0</v>
      </c>
      <c r="H91" s="3126">
        <f t="shared" si="98"/>
        <v>0</v>
      </c>
      <c r="I91" s="3127">
        <f t="shared" si="98"/>
        <v>0</v>
      </c>
      <c r="J91" s="3127">
        <f t="shared" si="98"/>
        <v>0</v>
      </c>
      <c r="K91" s="3127">
        <f t="shared" si="98"/>
        <v>0</v>
      </c>
      <c r="L91" s="3127">
        <f t="shared" si="98"/>
        <v>0</v>
      </c>
      <c r="M91" s="3126">
        <f t="shared" si="98"/>
        <v>0</v>
      </c>
      <c r="N91" s="3127">
        <f t="shared" si="98"/>
        <v>0</v>
      </c>
      <c r="O91" s="3127">
        <f t="shared" si="98"/>
        <v>0</v>
      </c>
      <c r="P91" s="3127">
        <f t="shared" si="98"/>
        <v>0</v>
      </c>
      <c r="Q91" s="3127">
        <f t="shared" si="98"/>
        <v>0</v>
      </c>
      <c r="R91" s="3126">
        <f t="shared" si="98"/>
        <v>0</v>
      </c>
      <c r="S91" s="3127">
        <f t="shared" si="98"/>
        <v>0</v>
      </c>
      <c r="T91" s="3127">
        <f t="shared" si="98"/>
        <v>0</v>
      </c>
      <c r="U91" s="3127">
        <f t="shared" si="98"/>
        <v>0</v>
      </c>
      <c r="V91" s="3127">
        <f t="shared" si="98"/>
        <v>0</v>
      </c>
      <c r="W91" s="3126">
        <f t="shared" si="98"/>
        <v>0</v>
      </c>
      <c r="X91" s="3127">
        <f t="shared" si="98"/>
        <v>0</v>
      </c>
      <c r="Y91" s="3127">
        <f t="shared" si="98"/>
        <v>0</v>
      </c>
      <c r="Z91" s="3127">
        <f t="shared" si="98"/>
        <v>0</v>
      </c>
      <c r="AA91" s="3127">
        <f t="shared" si="98"/>
        <v>0</v>
      </c>
      <c r="AB91" s="4422"/>
      <c r="AC91" s="4470">
        <f>IFERROR(C91/$D$1,0)</f>
        <v>0</v>
      </c>
      <c r="AD91" s="4471">
        <f t="shared" ref="AD91:AD101" si="99">IFERROR(D91/$D$1,0)</f>
        <v>0</v>
      </c>
      <c r="AE91" s="4471">
        <f t="shared" ref="AE91:AE101" si="100">IFERROR(E91/$D$1,0)</f>
        <v>0</v>
      </c>
      <c r="AF91" s="4471">
        <f t="shared" ref="AF91:AF101" si="101">IFERROR(F91/$D$1,0)</f>
        <v>0</v>
      </c>
      <c r="AG91" s="4471">
        <f t="shared" ref="AG91:AG101" si="102">IFERROR(G91/$D$1,0)</f>
        <v>0</v>
      </c>
      <c r="AH91" s="4471">
        <f t="shared" ref="AH91:AH101" si="103">IFERROR(H91/$D$1,0)</f>
        <v>0</v>
      </c>
      <c r="AI91" s="4471">
        <f t="shared" ref="AI91:AI101" si="104">IFERROR(I91/$D$1,0)</f>
        <v>0</v>
      </c>
      <c r="AJ91" s="4471">
        <f t="shared" ref="AJ91:AJ101" si="105">IFERROR(J91/$D$1,0)</f>
        <v>0</v>
      </c>
      <c r="AK91" s="4471">
        <f t="shared" ref="AK91:AK101" si="106">IFERROR(K91/$D$1,0)</f>
        <v>0</v>
      </c>
      <c r="AL91" s="4471">
        <f t="shared" ref="AL91:AL101" si="107">IFERROR(L91/$D$1,0)</f>
        <v>0</v>
      </c>
      <c r="AM91" s="4471">
        <f t="shared" ref="AM91:AM101" si="108">IFERROR(M91/$D$1,0)</f>
        <v>0</v>
      </c>
      <c r="AN91" s="4471">
        <f t="shared" ref="AN91:AN101" si="109">IFERROR(N91/$D$1,0)</f>
        <v>0</v>
      </c>
      <c r="AO91" s="4471">
        <f t="shared" ref="AO91:AO101" si="110">IFERROR(O91/$D$1,0)</f>
        <v>0</v>
      </c>
      <c r="AP91" s="4471">
        <f t="shared" ref="AP91:AP101" si="111">IFERROR(P91/$D$1,0)</f>
        <v>0</v>
      </c>
      <c r="AQ91" s="4471">
        <f t="shared" ref="AQ91:AQ101" si="112">IFERROR(Q91/$D$1,0)</f>
        <v>0</v>
      </c>
      <c r="AR91" s="4471">
        <f t="shared" ref="AR91:AR101" si="113">IFERROR(R91/$D$1,0)</f>
        <v>0</v>
      </c>
      <c r="AS91" s="4471">
        <f t="shared" ref="AS91:AS101" si="114">IFERROR(S91/$D$1,0)</f>
        <v>0</v>
      </c>
      <c r="AT91" s="4471">
        <f t="shared" ref="AT91:AT101" si="115">IFERROR(T91/$D$1,0)</f>
        <v>0</v>
      </c>
      <c r="AU91" s="4471">
        <f t="shared" ref="AU91:AU101" si="116">IFERROR(U91/$D$1,0)</f>
        <v>0</v>
      </c>
      <c r="AV91" s="4471">
        <f t="shared" ref="AV91:AV101" si="117">IFERROR(V91/$D$1,0)</f>
        <v>0</v>
      </c>
      <c r="AW91" s="4471">
        <f t="shared" ref="AW91:AW101" si="118">IFERROR(W91/$D$1,0)</f>
        <v>0</v>
      </c>
      <c r="AX91" s="4471">
        <f t="shared" ref="AX91:AX101" si="119">IFERROR(X91/$D$1,0)</f>
        <v>0</v>
      </c>
      <c r="AY91" s="4471">
        <f t="shared" ref="AY91:AY101" si="120">IFERROR(Y91/$D$1,0)</f>
        <v>0</v>
      </c>
      <c r="AZ91" s="4471">
        <f t="shared" ref="AZ91:AZ101" si="121">IFERROR(Z91/$D$1,0)</f>
        <v>0</v>
      </c>
      <c r="BA91" s="4471">
        <f t="shared" ref="BA91:BA101" si="122">IFERROR(AA91/$D$1,0)</f>
        <v>0</v>
      </c>
    </row>
    <row r="92" spans="1:53" ht="12.75" customHeight="1" thickBot="1">
      <c r="A92" s="5315" t="s">
        <v>1451</v>
      </c>
      <c r="B92" s="5316"/>
      <c r="C92" s="3120"/>
      <c r="D92" s="3121"/>
      <c r="E92" s="3121"/>
      <c r="F92" s="3121"/>
      <c r="G92" s="3121"/>
      <c r="H92" s="3120"/>
      <c r="I92" s="3121"/>
      <c r="J92" s="3121"/>
      <c r="K92" s="3121"/>
      <c r="L92" s="3121"/>
      <c r="M92" s="3120"/>
      <c r="N92" s="3121"/>
      <c r="O92" s="3121"/>
      <c r="P92" s="3121"/>
      <c r="Q92" s="3121"/>
      <c r="R92" s="3120"/>
      <c r="S92" s="3121"/>
      <c r="T92" s="3121"/>
      <c r="U92" s="3121"/>
      <c r="V92" s="3121"/>
      <c r="W92" s="3120"/>
      <c r="X92" s="3121"/>
      <c r="Y92" s="3121"/>
      <c r="Z92" s="3121"/>
      <c r="AA92" s="3121"/>
      <c r="AB92" s="4422"/>
      <c r="AC92" s="4427">
        <f t="shared" ref="AC92:AC101" si="123">IFERROR(C92/$D$1,0)</f>
        <v>0</v>
      </c>
      <c r="AD92" s="4427">
        <f t="shared" si="99"/>
        <v>0</v>
      </c>
      <c r="AE92" s="4427">
        <f t="shared" si="100"/>
        <v>0</v>
      </c>
      <c r="AF92" s="4427">
        <f t="shared" si="101"/>
        <v>0</v>
      </c>
      <c r="AG92" s="4427">
        <f t="shared" si="102"/>
        <v>0</v>
      </c>
      <c r="AH92" s="4427">
        <f t="shared" si="103"/>
        <v>0</v>
      </c>
      <c r="AI92" s="4427">
        <f t="shared" si="104"/>
        <v>0</v>
      </c>
      <c r="AJ92" s="4427">
        <f t="shared" si="105"/>
        <v>0</v>
      </c>
      <c r="AK92" s="4427">
        <f t="shared" si="106"/>
        <v>0</v>
      </c>
      <c r="AL92" s="4427">
        <f t="shared" si="107"/>
        <v>0</v>
      </c>
      <c r="AM92" s="4427">
        <f t="shared" si="108"/>
        <v>0</v>
      </c>
      <c r="AN92" s="4427">
        <f t="shared" si="109"/>
        <v>0</v>
      </c>
      <c r="AO92" s="4427">
        <f t="shared" si="110"/>
        <v>0</v>
      </c>
      <c r="AP92" s="4427">
        <f t="shared" si="111"/>
        <v>0</v>
      </c>
      <c r="AQ92" s="4427">
        <f t="shared" si="112"/>
        <v>0</v>
      </c>
      <c r="AR92" s="4427">
        <f t="shared" si="113"/>
        <v>0</v>
      </c>
      <c r="AS92" s="4427">
        <f t="shared" si="114"/>
        <v>0</v>
      </c>
      <c r="AT92" s="4427">
        <f t="shared" si="115"/>
        <v>0</v>
      </c>
      <c r="AU92" s="4427">
        <f t="shared" si="116"/>
        <v>0</v>
      </c>
      <c r="AV92" s="4427">
        <f t="shared" si="117"/>
        <v>0</v>
      </c>
      <c r="AW92" s="4427">
        <f t="shared" si="118"/>
        <v>0</v>
      </c>
      <c r="AX92" s="4427">
        <f t="shared" si="119"/>
        <v>0</v>
      </c>
      <c r="AY92" s="4427">
        <f t="shared" si="120"/>
        <v>0</v>
      </c>
      <c r="AZ92" s="4427">
        <f t="shared" si="121"/>
        <v>0</v>
      </c>
      <c r="BA92" s="4427">
        <f t="shared" si="122"/>
        <v>0</v>
      </c>
    </row>
    <row r="93" spans="1:53" ht="13.5" thickBot="1">
      <c r="A93" s="5317" t="s">
        <v>1463</v>
      </c>
      <c r="B93" s="5318"/>
      <c r="C93" s="3120"/>
      <c r="D93" s="3121"/>
      <c r="E93" s="3121"/>
      <c r="F93" s="3121"/>
      <c r="G93" s="3121"/>
      <c r="H93" s="3120"/>
      <c r="I93" s="3121"/>
      <c r="J93" s="3121"/>
      <c r="K93" s="3121"/>
      <c r="L93" s="3121"/>
      <c r="M93" s="3120"/>
      <c r="N93" s="3121"/>
      <c r="O93" s="3121"/>
      <c r="P93" s="3121"/>
      <c r="Q93" s="3121"/>
      <c r="R93" s="3120"/>
      <c r="S93" s="3121"/>
      <c r="T93" s="3121"/>
      <c r="U93" s="3121"/>
      <c r="V93" s="3121"/>
      <c r="W93" s="3120"/>
      <c r="X93" s="3121"/>
      <c r="Y93" s="3121"/>
      <c r="Z93" s="3121"/>
      <c r="AA93" s="3121"/>
      <c r="AB93" s="4422"/>
      <c r="AC93" s="4427">
        <f t="shared" si="123"/>
        <v>0</v>
      </c>
      <c r="AD93" s="4427">
        <f t="shared" si="99"/>
        <v>0</v>
      </c>
      <c r="AE93" s="4427">
        <f t="shared" si="100"/>
        <v>0</v>
      </c>
      <c r="AF93" s="4427">
        <f t="shared" si="101"/>
        <v>0</v>
      </c>
      <c r="AG93" s="4427">
        <f t="shared" si="102"/>
        <v>0</v>
      </c>
      <c r="AH93" s="4427">
        <f t="shared" si="103"/>
        <v>0</v>
      </c>
      <c r="AI93" s="4427">
        <f t="shared" si="104"/>
        <v>0</v>
      </c>
      <c r="AJ93" s="4427">
        <f t="shared" si="105"/>
        <v>0</v>
      </c>
      <c r="AK93" s="4427">
        <f t="shared" si="106"/>
        <v>0</v>
      </c>
      <c r="AL93" s="4427">
        <f t="shared" si="107"/>
        <v>0</v>
      </c>
      <c r="AM93" s="4427">
        <f t="shared" si="108"/>
        <v>0</v>
      </c>
      <c r="AN93" s="4427">
        <f t="shared" si="109"/>
        <v>0</v>
      </c>
      <c r="AO93" s="4427">
        <f t="shared" si="110"/>
        <v>0</v>
      </c>
      <c r="AP93" s="4427">
        <f t="shared" si="111"/>
        <v>0</v>
      </c>
      <c r="AQ93" s="4427">
        <f t="shared" si="112"/>
        <v>0</v>
      </c>
      <c r="AR93" s="4427">
        <f t="shared" si="113"/>
        <v>0</v>
      </c>
      <c r="AS93" s="4427">
        <f t="shared" si="114"/>
        <v>0</v>
      </c>
      <c r="AT93" s="4427">
        <f t="shared" si="115"/>
        <v>0</v>
      </c>
      <c r="AU93" s="4427">
        <f t="shared" si="116"/>
        <v>0</v>
      </c>
      <c r="AV93" s="4427">
        <f t="shared" si="117"/>
        <v>0</v>
      </c>
      <c r="AW93" s="4427">
        <f t="shared" si="118"/>
        <v>0</v>
      </c>
      <c r="AX93" s="4427">
        <f t="shared" si="119"/>
        <v>0</v>
      </c>
      <c r="AY93" s="4427">
        <f t="shared" si="120"/>
        <v>0</v>
      </c>
      <c r="AZ93" s="4427">
        <f t="shared" si="121"/>
        <v>0</v>
      </c>
      <c r="BA93" s="4427">
        <f t="shared" si="122"/>
        <v>0</v>
      </c>
    </row>
    <row r="94" spans="1:53" ht="12.75" customHeight="1" thickBot="1">
      <c r="A94" s="5284" t="s">
        <v>1453</v>
      </c>
      <c r="B94" s="5285"/>
      <c r="C94" s="3120"/>
      <c r="D94" s="3121"/>
      <c r="E94" s="3121"/>
      <c r="F94" s="3121"/>
      <c r="G94" s="3121"/>
      <c r="H94" s="3120"/>
      <c r="I94" s="3121"/>
      <c r="J94" s="3121"/>
      <c r="K94" s="3121"/>
      <c r="L94" s="3121"/>
      <c r="M94" s="3120"/>
      <c r="N94" s="3121"/>
      <c r="O94" s="3121"/>
      <c r="P94" s="3121"/>
      <c r="Q94" s="3121"/>
      <c r="R94" s="3120"/>
      <c r="S94" s="3121"/>
      <c r="T94" s="3121"/>
      <c r="U94" s="3121"/>
      <c r="V94" s="3121"/>
      <c r="W94" s="3120"/>
      <c r="X94" s="3121"/>
      <c r="Y94" s="3121"/>
      <c r="Z94" s="3121"/>
      <c r="AA94" s="3121"/>
      <c r="AB94" s="4422"/>
      <c r="AC94" s="4427">
        <f t="shared" si="123"/>
        <v>0</v>
      </c>
      <c r="AD94" s="4427">
        <f t="shared" si="99"/>
        <v>0</v>
      </c>
      <c r="AE94" s="4427">
        <f t="shared" si="100"/>
        <v>0</v>
      </c>
      <c r="AF94" s="4427">
        <f t="shared" si="101"/>
        <v>0</v>
      </c>
      <c r="AG94" s="4427">
        <f t="shared" si="102"/>
        <v>0</v>
      </c>
      <c r="AH94" s="4427">
        <f t="shared" si="103"/>
        <v>0</v>
      </c>
      <c r="AI94" s="4427">
        <f t="shared" si="104"/>
        <v>0</v>
      </c>
      <c r="AJ94" s="4427">
        <f t="shared" si="105"/>
        <v>0</v>
      </c>
      <c r="AK94" s="4427">
        <f t="shared" si="106"/>
        <v>0</v>
      </c>
      <c r="AL94" s="4427">
        <f t="shared" si="107"/>
        <v>0</v>
      </c>
      <c r="AM94" s="4427">
        <f t="shared" si="108"/>
        <v>0</v>
      </c>
      <c r="AN94" s="4427">
        <f t="shared" si="109"/>
        <v>0</v>
      </c>
      <c r="AO94" s="4427">
        <f t="shared" si="110"/>
        <v>0</v>
      </c>
      <c r="AP94" s="4427">
        <f t="shared" si="111"/>
        <v>0</v>
      </c>
      <c r="AQ94" s="4427">
        <f t="shared" si="112"/>
        <v>0</v>
      </c>
      <c r="AR94" s="4427">
        <f t="shared" si="113"/>
        <v>0</v>
      </c>
      <c r="AS94" s="4427">
        <f t="shared" si="114"/>
        <v>0</v>
      </c>
      <c r="AT94" s="4427">
        <f t="shared" si="115"/>
        <v>0</v>
      </c>
      <c r="AU94" s="4427">
        <f t="shared" si="116"/>
        <v>0</v>
      </c>
      <c r="AV94" s="4427">
        <f t="shared" si="117"/>
        <v>0</v>
      </c>
      <c r="AW94" s="4427">
        <f t="shared" si="118"/>
        <v>0</v>
      </c>
      <c r="AX94" s="4427">
        <f t="shared" si="119"/>
        <v>0</v>
      </c>
      <c r="AY94" s="4427">
        <f t="shared" si="120"/>
        <v>0</v>
      </c>
      <c r="AZ94" s="4427">
        <f t="shared" si="121"/>
        <v>0</v>
      </c>
      <c r="BA94" s="4427">
        <f t="shared" si="122"/>
        <v>0</v>
      </c>
    </row>
    <row r="95" spans="1:53" ht="12.75" customHeight="1" thickBot="1">
      <c r="A95" s="5284" t="s">
        <v>1454</v>
      </c>
      <c r="B95" s="5285"/>
      <c r="C95" s="3120"/>
      <c r="D95" s="3121"/>
      <c r="E95" s="3121"/>
      <c r="F95" s="3121"/>
      <c r="G95" s="3121"/>
      <c r="H95" s="3120"/>
      <c r="I95" s="3121"/>
      <c r="J95" s="3121"/>
      <c r="K95" s="3121"/>
      <c r="L95" s="3121"/>
      <c r="M95" s="3120"/>
      <c r="N95" s="3121"/>
      <c r="O95" s="3121"/>
      <c r="P95" s="3121"/>
      <c r="Q95" s="3121"/>
      <c r="R95" s="3120"/>
      <c r="S95" s="3121"/>
      <c r="T95" s="3121"/>
      <c r="U95" s="3121"/>
      <c r="V95" s="3121"/>
      <c r="W95" s="3120"/>
      <c r="X95" s="3121"/>
      <c r="Y95" s="3121"/>
      <c r="Z95" s="3121"/>
      <c r="AA95" s="3121"/>
      <c r="AB95" s="4422"/>
      <c r="AC95" s="4427">
        <f t="shared" si="123"/>
        <v>0</v>
      </c>
      <c r="AD95" s="4427">
        <f t="shared" si="99"/>
        <v>0</v>
      </c>
      <c r="AE95" s="4427">
        <f t="shared" si="100"/>
        <v>0</v>
      </c>
      <c r="AF95" s="4427">
        <f t="shared" si="101"/>
        <v>0</v>
      </c>
      <c r="AG95" s="4427">
        <f t="shared" si="102"/>
        <v>0</v>
      </c>
      <c r="AH95" s="4427">
        <f t="shared" si="103"/>
        <v>0</v>
      </c>
      <c r="AI95" s="4427">
        <f t="shared" si="104"/>
        <v>0</v>
      </c>
      <c r="AJ95" s="4427">
        <f t="shared" si="105"/>
        <v>0</v>
      </c>
      <c r="AK95" s="4427">
        <f t="shared" si="106"/>
        <v>0</v>
      </c>
      <c r="AL95" s="4427">
        <f t="shared" si="107"/>
        <v>0</v>
      </c>
      <c r="AM95" s="4427">
        <f t="shared" si="108"/>
        <v>0</v>
      </c>
      <c r="AN95" s="4427">
        <f t="shared" si="109"/>
        <v>0</v>
      </c>
      <c r="AO95" s="4427">
        <f t="shared" si="110"/>
        <v>0</v>
      </c>
      <c r="AP95" s="4427">
        <f t="shared" si="111"/>
        <v>0</v>
      </c>
      <c r="AQ95" s="4427">
        <f t="shared" si="112"/>
        <v>0</v>
      </c>
      <c r="AR95" s="4427">
        <f t="shared" si="113"/>
        <v>0</v>
      </c>
      <c r="AS95" s="4427">
        <f t="shared" si="114"/>
        <v>0</v>
      </c>
      <c r="AT95" s="4427">
        <f t="shared" si="115"/>
        <v>0</v>
      </c>
      <c r="AU95" s="4427">
        <f t="shared" si="116"/>
        <v>0</v>
      </c>
      <c r="AV95" s="4427">
        <f t="shared" si="117"/>
        <v>0</v>
      </c>
      <c r="AW95" s="4427">
        <f t="shared" si="118"/>
        <v>0</v>
      </c>
      <c r="AX95" s="4427">
        <f t="shared" si="119"/>
        <v>0</v>
      </c>
      <c r="AY95" s="4427">
        <f t="shared" si="120"/>
        <v>0</v>
      </c>
      <c r="AZ95" s="4427">
        <f t="shared" si="121"/>
        <v>0</v>
      </c>
      <c r="BA95" s="4427">
        <f t="shared" si="122"/>
        <v>0</v>
      </c>
    </row>
    <row r="96" spans="1:53" ht="12.75" customHeight="1" thickBot="1">
      <c r="A96" s="5284" t="s">
        <v>1455</v>
      </c>
      <c r="B96" s="5285"/>
      <c r="C96" s="3120"/>
      <c r="D96" s="3121"/>
      <c r="E96" s="3121"/>
      <c r="F96" s="3121"/>
      <c r="G96" s="3121"/>
      <c r="H96" s="3120"/>
      <c r="I96" s="3121"/>
      <c r="J96" s="3121"/>
      <c r="K96" s="3121"/>
      <c r="L96" s="3121"/>
      <c r="M96" s="3120"/>
      <c r="N96" s="3121"/>
      <c r="O96" s="3121"/>
      <c r="P96" s="3121"/>
      <c r="Q96" s="3121"/>
      <c r="R96" s="3120"/>
      <c r="S96" s="3121"/>
      <c r="T96" s="3121"/>
      <c r="U96" s="3121"/>
      <c r="V96" s="3121"/>
      <c r="W96" s="3120"/>
      <c r="X96" s="3121"/>
      <c r="Y96" s="3121"/>
      <c r="Z96" s="3121"/>
      <c r="AA96" s="3121"/>
      <c r="AB96" s="4422"/>
      <c r="AC96" s="4427">
        <f t="shared" si="123"/>
        <v>0</v>
      </c>
      <c r="AD96" s="4427">
        <f t="shared" si="99"/>
        <v>0</v>
      </c>
      <c r="AE96" s="4427">
        <f t="shared" si="100"/>
        <v>0</v>
      </c>
      <c r="AF96" s="4427">
        <f t="shared" si="101"/>
        <v>0</v>
      </c>
      <c r="AG96" s="4427">
        <f t="shared" si="102"/>
        <v>0</v>
      </c>
      <c r="AH96" s="4427">
        <f t="shared" si="103"/>
        <v>0</v>
      </c>
      <c r="AI96" s="4427">
        <f t="shared" si="104"/>
        <v>0</v>
      </c>
      <c r="AJ96" s="4427">
        <f t="shared" si="105"/>
        <v>0</v>
      </c>
      <c r="AK96" s="4427">
        <f t="shared" si="106"/>
        <v>0</v>
      </c>
      <c r="AL96" s="4427">
        <f t="shared" si="107"/>
        <v>0</v>
      </c>
      <c r="AM96" s="4427">
        <f t="shared" si="108"/>
        <v>0</v>
      </c>
      <c r="AN96" s="4427">
        <f t="shared" si="109"/>
        <v>0</v>
      </c>
      <c r="AO96" s="4427">
        <f t="shared" si="110"/>
        <v>0</v>
      </c>
      <c r="AP96" s="4427">
        <f t="shared" si="111"/>
        <v>0</v>
      </c>
      <c r="AQ96" s="4427">
        <f t="shared" si="112"/>
        <v>0</v>
      </c>
      <c r="AR96" s="4427">
        <f t="shared" si="113"/>
        <v>0</v>
      </c>
      <c r="AS96" s="4427">
        <f t="shared" si="114"/>
        <v>0</v>
      </c>
      <c r="AT96" s="4427">
        <f t="shared" si="115"/>
        <v>0</v>
      </c>
      <c r="AU96" s="4427">
        <f t="shared" si="116"/>
        <v>0</v>
      </c>
      <c r="AV96" s="4427">
        <f t="shared" si="117"/>
        <v>0</v>
      </c>
      <c r="AW96" s="4427">
        <f t="shared" si="118"/>
        <v>0</v>
      </c>
      <c r="AX96" s="4427">
        <f t="shared" si="119"/>
        <v>0</v>
      </c>
      <c r="AY96" s="4427">
        <f t="shared" si="120"/>
        <v>0</v>
      </c>
      <c r="AZ96" s="4427">
        <f t="shared" si="121"/>
        <v>0</v>
      </c>
      <c r="BA96" s="4427">
        <f t="shared" si="122"/>
        <v>0</v>
      </c>
    </row>
    <row r="97" spans="1:53" ht="13.5" thickBot="1">
      <c r="A97" s="5291" t="s">
        <v>1456</v>
      </c>
      <c r="B97" s="5292"/>
      <c r="C97" s="3120"/>
      <c r="D97" s="3121"/>
      <c r="E97" s="3121"/>
      <c r="F97" s="3121"/>
      <c r="G97" s="3121"/>
      <c r="H97" s="3120"/>
      <c r="I97" s="3121"/>
      <c r="J97" s="3121"/>
      <c r="K97" s="3121"/>
      <c r="L97" s="3121"/>
      <c r="M97" s="3120"/>
      <c r="N97" s="3121"/>
      <c r="O97" s="3121"/>
      <c r="P97" s="3121"/>
      <c r="Q97" s="3121"/>
      <c r="R97" s="3120"/>
      <c r="S97" s="3121"/>
      <c r="T97" s="3121"/>
      <c r="U97" s="3121"/>
      <c r="V97" s="3121"/>
      <c r="W97" s="3120"/>
      <c r="X97" s="3121"/>
      <c r="Y97" s="3121"/>
      <c r="Z97" s="3121"/>
      <c r="AA97" s="3121"/>
      <c r="AB97" s="4422"/>
      <c r="AC97" s="4427">
        <f t="shared" si="123"/>
        <v>0</v>
      </c>
      <c r="AD97" s="4427">
        <f t="shared" si="99"/>
        <v>0</v>
      </c>
      <c r="AE97" s="4427">
        <f t="shared" si="100"/>
        <v>0</v>
      </c>
      <c r="AF97" s="4427">
        <f t="shared" si="101"/>
        <v>0</v>
      </c>
      <c r="AG97" s="4427">
        <f t="shared" si="102"/>
        <v>0</v>
      </c>
      <c r="AH97" s="4427">
        <f t="shared" si="103"/>
        <v>0</v>
      </c>
      <c r="AI97" s="4427">
        <f t="shared" si="104"/>
        <v>0</v>
      </c>
      <c r="AJ97" s="4427">
        <f t="shared" si="105"/>
        <v>0</v>
      </c>
      <c r="AK97" s="4427">
        <f t="shared" si="106"/>
        <v>0</v>
      </c>
      <c r="AL97" s="4427">
        <f t="shared" si="107"/>
        <v>0</v>
      </c>
      <c r="AM97" s="4427">
        <f t="shared" si="108"/>
        <v>0</v>
      </c>
      <c r="AN97" s="4427">
        <f t="shared" si="109"/>
        <v>0</v>
      </c>
      <c r="AO97" s="4427">
        <f t="shared" si="110"/>
        <v>0</v>
      </c>
      <c r="AP97" s="4427">
        <f t="shared" si="111"/>
        <v>0</v>
      </c>
      <c r="AQ97" s="4427">
        <f t="shared" si="112"/>
        <v>0</v>
      </c>
      <c r="AR97" s="4427">
        <f t="shared" si="113"/>
        <v>0</v>
      </c>
      <c r="AS97" s="4427">
        <f t="shared" si="114"/>
        <v>0</v>
      </c>
      <c r="AT97" s="4427">
        <f t="shared" si="115"/>
        <v>0</v>
      </c>
      <c r="AU97" s="4427">
        <f t="shared" si="116"/>
        <v>0</v>
      </c>
      <c r="AV97" s="4427">
        <f t="shared" si="117"/>
        <v>0</v>
      </c>
      <c r="AW97" s="4427">
        <f t="shared" si="118"/>
        <v>0</v>
      </c>
      <c r="AX97" s="4427">
        <f t="shared" si="119"/>
        <v>0</v>
      </c>
      <c r="AY97" s="4427">
        <f t="shared" si="120"/>
        <v>0</v>
      </c>
      <c r="AZ97" s="4427">
        <f t="shared" si="121"/>
        <v>0</v>
      </c>
      <c r="BA97" s="4427">
        <f t="shared" si="122"/>
        <v>0</v>
      </c>
    </row>
    <row r="98" spans="1:53" ht="12.75" customHeight="1" thickBot="1">
      <c r="A98" s="5307" t="s">
        <v>1457</v>
      </c>
      <c r="B98" s="5308"/>
      <c r="C98" s="3120"/>
      <c r="D98" s="3121"/>
      <c r="E98" s="3121"/>
      <c r="F98" s="3121"/>
      <c r="G98" s="3121"/>
      <c r="H98" s="3120"/>
      <c r="I98" s="3121"/>
      <c r="J98" s="3121"/>
      <c r="K98" s="3121"/>
      <c r="L98" s="3121"/>
      <c r="M98" s="3120"/>
      <c r="N98" s="3121"/>
      <c r="O98" s="3121"/>
      <c r="P98" s="3121"/>
      <c r="Q98" s="3121"/>
      <c r="R98" s="3120"/>
      <c r="S98" s="3121"/>
      <c r="T98" s="3121"/>
      <c r="U98" s="3121"/>
      <c r="V98" s="3121"/>
      <c r="W98" s="3120"/>
      <c r="X98" s="3121"/>
      <c r="Y98" s="3121"/>
      <c r="Z98" s="3121"/>
      <c r="AA98" s="3121"/>
      <c r="AB98" s="4422"/>
      <c r="AC98" s="4427">
        <f t="shared" si="123"/>
        <v>0</v>
      </c>
      <c r="AD98" s="4427">
        <f t="shared" si="99"/>
        <v>0</v>
      </c>
      <c r="AE98" s="4427">
        <f t="shared" si="100"/>
        <v>0</v>
      </c>
      <c r="AF98" s="4427">
        <f t="shared" si="101"/>
        <v>0</v>
      </c>
      <c r="AG98" s="4427">
        <f t="shared" si="102"/>
        <v>0</v>
      </c>
      <c r="AH98" s="4427">
        <f t="shared" si="103"/>
        <v>0</v>
      </c>
      <c r="AI98" s="4427">
        <f t="shared" si="104"/>
        <v>0</v>
      </c>
      <c r="AJ98" s="4427">
        <f t="shared" si="105"/>
        <v>0</v>
      </c>
      <c r="AK98" s="4427">
        <f t="shared" si="106"/>
        <v>0</v>
      </c>
      <c r="AL98" s="4427">
        <f t="shared" si="107"/>
        <v>0</v>
      </c>
      <c r="AM98" s="4427">
        <f t="shared" si="108"/>
        <v>0</v>
      </c>
      <c r="AN98" s="4427">
        <f t="shared" si="109"/>
        <v>0</v>
      </c>
      <c r="AO98" s="4427">
        <f t="shared" si="110"/>
        <v>0</v>
      </c>
      <c r="AP98" s="4427">
        <f t="shared" si="111"/>
        <v>0</v>
      </c>
      <c r="AQ98" s="4427">
        <f t="shared" si="112"/>
        <v>0</v>
      </c>
      <c r="AR98" s="4427">
        <f t="shared" si="113"/>
        <v>0</v>
      </c>
      <c r="AS98" s="4427">
        <f t="shared" si="114"/>
        <v>0</v>
      </c>
      <c r="AT98" s="4427">
        <f t="shared" si="115"/>
        <v>0</v>
      </c>
      <c r="AU98" s="4427">
        <f t="shared" si="116"/>
        <v>0</v>
      </c>
      <c r="AV98" s="4427">
        <f t="shared" si="117"/>
        <v>0</v>
      </c>
      <c r="AW98" s="4427">
        <f t="shared" si="118"/>
        <v>0</v>
      </c>
      <c r="AX98" s="4427">
        <f t="shared" si="119"/>
        <v>0</v>
      </c>
      <c r="AY98" s="4427">
        <f t="shared" si="120"/>
        <v>0</v>
      </c>
      <c r="AZ98" s="4427">
        <f t="shared" si="121"/>
        <v>0</v>
      </c>
      <c r="BA98" s="4427">
        <f t="shared" si="122"/>
        <v>0</v>
      </c>
    </row>
    <row r="99" spans="1:53" ht="12.75" customHeight="1" thickBot="1">
      <c r="A99" s="5307" t="s">
        <v>1458</v>
      </c>
      <c r="B99" s="5308"/>
      <c r="C99" s="3120"/>
      <c r="D99" s="3121"/>
      <c r="E99" s="3121"/>
      <c r="F99" s="3121"/>
      <c r="G99" s="3121"/>
      <c r="H99" s="3120"/>
      <c r="I99" s="3121"/>
      <c r="J99" s="3121"/>
      <c r="K99" s="3121"/>
      <c r="L99" s="3121"/>
      <c r="M99" s="3120"/>
      <c r="N99" s="3121"/>
      <c r="O99" s="3121"/>
      <c r="P99" s="3121"/>
      <c r="Q99" s="3121"/>
      <c r="R99" s="3120"/>
      <c r="S99" s="3121"/>
      <c r="T99" s="3121"/>
      <c r="U99" s="3121"/>
      <c r="V99" s="3121"/>
      <c r="W99" s="3120"/>
      <c r="X99" s="3121"/>
      <c r="Y99" s="3121"/>
      <c r="Z99" s="3121"/>
      <c r="AA99" s="3121"/>
      <c r="AB99" s="4422"/>
      <c r="AC99" s="4427">
        <f t="shared" si="123"/>
        <v>0</v>
      </c>
      <c r="AD99" s="4427">
        <f t="shared" si="99"/>
        <v>0</v>
      </c>
      <c r="AE99" s="4427">
        <f t="shared" si="100"/>
        <v>0</v>
      </c>
      <c r="AF99" s="4427">
        <f t="shared" si="101"/>
        <v>0</v>
      </c>
      <c r="AG99" s="4427">
        <f t="shared" si="102"/>
        <v>0</v>
      </c>
      <c r="AH99" s="4427">
        <f t="shared" si="103"/>
        <v>0</v>
      </c>
      <c r="AI99" s="4427">
        <f t="shared" si="104"/>
        <v>0</v>
      </c>
      <c r="AJ99" s="4427">
        <f t="shared" si="105"/>
        <v>0</v>
      </c>
      <c r="AK99" s="4427">
        <f t="shared" si="106"/>
        <v>0</v>
      </c>
      <c r="AL99" s="4427">
        <f t="shared" si="107"/>
        <v>0</v>
      </c>
      <c r="AM99" s="4427">
        <f t="shared" si="108"/>
        <v>0</v>
      </c>
      <c r="AN99" s="4427">
        <f t="shared" si="109"/>
        <v>0</v>
      </c>
      <c r="AO99" s="4427">
        <f t="shared" si="110"/>
        <v>0</v>
      </c>
      <c r="AP99" s="4427">
        <f t="shared" si="111"/>
        <v>0</v>
      </c>
      <c r="AQ99" s="4427">
        <f t="shared" si="112"/>
        <v>0</v>
      </c>
      <c r="AR99" s="4427">
        <f t="shared" si="113"/>
        <v>0</v>
      </c>
      <c r="AS99" s="4427">
        <f t="shared" si="114"/>
        <v>0</v>
      </c>
      <c r="AT99" s="4427">
        <f t="shared" si="115"/>
        <v>0</v>
      </c>
      <c r="AU99" s="4427">
        <f t="shared" si="116"/>
        <v>0</v>
      </c>
      <c r="AV99" s="4427">
        <f t="shared" si="117"/>
        <v>0</v>
      </c>
      <c r="AW99" s="4427">
        <f t="shared" si="118"/>
        <v>0</v>
      </c>
      <c r="AX99" s="4427">
        <f t="shared" si="119"/>
        <v>0</v>
      </c>
      <c r="AY99" s="4427">
        <f t="shared" si="120"/>
        <v>0</v>
      </c>
      <c r="AZ99" s="4427">
        <f t="shared" si="121"/>
        <v>0</v>
      </c>
      <c r="BA99" s="4427">
        <f t="shared" si="122"/>
        <v>0</v>
      </c>
    </row>
    <row r="100" spans="1:53" ht="12.75" customHeight="1" thickBot="1">
      <c r="A100" s="5307" t="s">
        <v>1459</v>
      </c>
      <c r="B100" s="5308"/>
      <c r="C100" s="3120"/>
      <c r="D100" s="3121"/>
      <c r="E100" s="3121"/>
      <c r="F100" s="3121"/>
      <c r="G100" s="3121"/>
      <c r="H100" s="3120"/>
      <c r="I100" s="3121"/>
      <c r="J100" s="3121"/>
      <c r="K100" s="3121"/>
      <c r="L100" s="3121"/>
      <c r="M100" s="3120"/>
      <c r="N100" s="3121"/>
      <c r="O100" s="3121"/>
      <c r="P100" s="3121"/>
      <c r="Q100" s="3121"/>
      <c r="R100" s="3120"/>
      <c r="S100" s="3121"/>
      <c r="T100" s="3121"/>
      <c r="U100" s="3121"/>
      <c r="V100" s="3121"/>
      <c r="W100" s="3120"/>
      <c r="X100" s="3121"/>
      <c r="Y100" s="3121"/>
      <c r="Z100" s="3121"/>
      <c r="AA100" s="3121"/>
      <c r="AB100" s="4422"/>
      <c r="AC100" s="4427">
        <f t="shared" si="123"/>
        <v>0</v>
      </c>
      <c r="AD100" s="4427">
        <f t="shared" si="99"/>
        <v>0</v>
      </c>
      <c r="AE100" s="4427">
        <f t="shared" si="100"/>
        <v>0</v>
      </c>
      <c r="AF100" s="4427">
        <f t="shared" si="101"/>
        <v>0</v>
      </c>
      <c r="AG100" s="4427">
        <f t="shared" si="102"/>
        <v>0</v>
      </c>
      <c r="AH100" s="4427">
        <f t="shared" si="103"/>
        <v>0</v>
      </c>
      <c r="AI100" s="4427">
        <f t="shared" si="104"/>
        <v>0</v>
      </c>
      <c r="AJ100" s="4427">
        <f t="shared" si="105"/>
        <v>0</v>
      </c>
      <c r="AK100" s="4427">
        <f t="shared" si="106"/>
        <v>0</v>
      </c>
      <c r="AL100" s="4427">
        <f t="shared" si="107"/>
        <v>0</v>
      </c>
      <c r="AM100" s="4427">
        <f t="shared" si="108"/>
        <v>0</v>
      </c>
      <c r="AN100" s="4427">
        <f t="shared" si="109"/>
        <v>0</v>
      </c>
      <c r="AO100" s="4427">
        <f t="shared" si="110"/>
        <v>0</v>
      </c>
      <c r="AP100" s="4427">
        <f t="shared" si="111"/>
        <v>0</v>
      </c>
      <c r="AQ100" s="4427">
        <f t="shared" si="112"/>
        <v>0</v>
      </c>
      <c r="AR100" s="4427">
        <f t="shared" si="113"/>
        <v>0</v>
      </c>
      <c r="AS100" s="4427">
        <f t="shared" si="114"/>
        <v>0</v>
      </c>
      <c r="AT100" s="4427">
        <f t="shared" si="115"/>
        <v>0</v>
      </c>
      <c r="AU100" s="4427">
        <f t="shared" si="116"/>
        <v>0</v>
      </c>
      <c r="AV100" s="4427">
        <f t="shared" si="117"/>
        <v>0</v>
      </c>
      <c r="AW100" s="4427">
        <f t="shared" si="118"/>
        <v>0</v>
      </c>
      <c r="AX100" s="4427">
        <f t="shared" si="119"/>
        <v>0</v>
      </c>
      <c r="AY100" s="4427">
        <f t="shared" si="120"/>
        <v>0</v>
      </c>
      <c r="AZ100" s="4427">
        <f t="shared" si="121"/>
        <v>0</v>
      </c>
      <c r="BA100" s="4427">
        <f t="shared" si="122"/>
        <v>0</v>
      </c>
    </row>
    <row r="101" spans="1:53" ht="13.5" customHeight="1" thickBot="1">
      <c r="A101" s="5309" t="s">
        <v>1460</v>
      </c>
      <c r="B101" s="5310"/>
      <c r="C101" s="3124"/>
      <c r="D101" s="3125"/>
      <c r="E101" s="3125"/>
      <c r="F101" s="3125"/>
      <c r="G101" s="3125"/>
      <c r="H101" s="3124"/>
      <c r="I101" s="3125"/>
      <c r="J101" s="3125"/>
      <c r="K101" s="3125"/>
      <c r="L101" s="3125"/>
      <c r="M101" s="3124"/>
      <c r="N101" s="3125"/>
      <c r="O101" s="3125"/>
      <c r="P101" s="3125"/>
      <c r="Q101" s="3125"/>
      <c r="R101" s="3124"/>
      <c r="S101" s="3125"/>
      <c r="T101" s="3125"/>
      <c r="U101" s="3125"/>
      <c r="V101" s="3125"/>
      <c r="W101" s="3124"/>
      <c r="X101" s="3125"/>
      <c r="Y101" s="3125"/>
      <c r="Z101" s="3125"/>
      <c r="AA101" s="3125"/>
      <c r="AB101" s="4422"/>
      <c r="AC101" s="4427">
        <f t="shared" si="123"/>
        <v>0</v>
      </c>
      <c r="AD101" s="4427">
        <f t="shared" si="99"/>
        <v>0</v>
      </c>
      <c r="AE101" s="4427">
        <f t="shared" si="100"/>
        <v>0</v>
      </c>
      <c r="AF101" s="4427">
        <f t="shared" si="101"/>
        <v>0</v>
      </c>
      <c r="AG101" s="4427">
        <f t="shared" si="102"/>
        <v>0</v>
      </c>
      <c r="AH101" s="4427">
        <f t="shared" si="103"/>
        <v>0</v>
      </c>
      <c r="AI101" s="4427">
        <f t="shared" si="104"/>
        <v>0</v>
      </c>
      <c r="AJ101" s="4427">
        <f t="shared" si="105"/>
        <v>0</v>
      </c>
      <c r="AK101" s="4427">
        <f t="shared" si="106"/>
        <v>0</v>
      </c>
      <c r="AL101" s="4427">
        <f t="shared" si="107"/>
        <v>0</v>
      </c>
      <c r="AM101" s="4427">
        <f t="shared" si="108"/>
        <v>0</v>
      </c>
      <c r="AN101" s="4427">
        <f t="shared" si="109"/>
        <v>0</v>
      </c>
      <c r="AO101" s="4427">
        <f t="shared" si="110"/>
        <v>0</v>
      </c>
      <c r="AP101" s="4427">
        <f t="shared" si="111"/>
        <v>0</v>
      </c>
      <c r="AQ101" s="4427">
        <f t="shared" si="112"/>
        <v>0</v>
      </c>
      <c r="AR101" s="4427">
        <f t="shared" si="113"/>
        <v>0</v>
      </c>
      <c r="AS101" s="4427">
        <f t="shared" si="114"/>
        <v>0</v>
      </c>
      <c r="AT101" s="4427">
        <f t="shared" si="115"/>
        <v>0</v>
      </c>
      <c r="AU101" s="4427">
        <f t="shared" si="116"/>
        <v>0</v>
      </c>
      <c r="AV101" s="4427">
        <f t="shared" si="117"/>
        <v>0</v>
      </c>
      <c r="AW101" s="4427">
        <f t="shared" si="118"/>
        <v>0</v>
      </c>
      <c r="AX101" s="4427">
        <f t="shared" si="119"/>
        <v>0</v>
      </c>
      <c r="AY101" s="4427">
        <f t="shared" si="120"/>
        <v>0</v>
      </c>
      <c r="AZ101" s="4427">
        <f t="shared" si="121"/>
        <v>0</v>
      </c>
      <c r="BA101" s="4427">
        <f t="shared" si="122"/>
        <v>0</v>
      </c>
    </row>
    <row r="102" spans="1:53" ht="20.25" customHeight="1" thickBot="1">
      <c r="A102" s="1483" t="s">
        <v>184</v>
      </c>
      <c r="B102" s="1484"/>
      <c r="C102" s="3128"/>
      <c r="D102" s="3128"/>
      <c r="E102" s="3128"/>
      <c r="F102" s="3128"/>
      <c r="G102" s="3128"/>
      <c r="H102" s="3128"/>
      <c r="I102" s="3128"/>
      <c r="J102" s="3128"/>
      <c r="K102" s="3128"/>
      <c r="L102" s="3128"/>
      <c r="M102" s="3128"/>
      <c r="N102" s="3128"/>
      <c r="O102" s="3128"/>
      <c r="P102" s="3128"/>
      <c r="Q102" s="3128"/>
      <c r="R102" s="3128"/>
      <c r="S102" s="3128"/>
      <c r="T102" s="3128"/>
      <c r="U102" s="3128"/>
      <c r="V102" s="3128"/>
      <c r="W102" s="3128"/>
      <c r="X102" s="3128"/>
      <c r="Y102" s="3128"/>
      <c r="Z102" s="3128"/>
      <c r="AA102" s="3128"/>
      <c r="AB102" s="4422"/>
      <c r="AC102" s="5325" t="str">
        <f>+A102</f>
        <v>Пречистване на отпадъчни води</v>
      </c>
      <c r="AD102" s="5326"/>
      <c r="AE102" s="5326"/>
      <c r="AF102" s="5326"/>
      <c r="AG102" s="5326"/>
      <c r="AH102" s="5326"/>
      <c r="AI102" s="5326"/>
      <c r="AJ102" s="5326"/>
      <c r="AK102" s="5326"/>
      <c r="AL102" s="5326"/>
      <c r="AM102" s="5326"/>
      <c r="AN102" s="5326"/>
      <c r="AO102" s="5326"/>
      <c r="AP102" s="5326"/>
      <c r="AQ102" s="5326"/>
      <c r="AR102" s="5326"/>
      <c r="AS102" s="5326"/>
      <c r="AT102" s="5326"/>
      <c r="AU102" s="5326"/>
      <c r="AV102" s="5326"/>
      <c r="AW102" s="5326"/>
      <c r="AX102" s="5326"/>
      <c r="AY102" s="5326"/>
      <c r="AZ102" s="5326"/>
      <c r="BA102" s="5327"/>
    </row>
    <row r="103" spans="1:53" ht="20.25" customHeight="1" thickBot="1">
      <c r="A103" s="5298" t="s">
        <v>1175</v>
      </c>
      <c r="B103" s="5299"/>
      <c r="C103" s="5303">
        <v>1</v>
      </c>
      <c r="D103" s="5304"/>
      <c r="E103" s="5304"/>
      <c r="F103" s="5304"/>
      <c r="G103" s="5304"/>
      <c r="H103" s="5303">
        <f>C103+1</f>
        <v>2</v>
      </c>
      <c r="I103" s="5304"/>
      <c r="J103" s="5304"/>
      <c r="K103" s="5304"/>
      <c r="L103" s="5304"/>
      <c r="M103" s="5303">
        <f>H103+1</f>
        <v>3</v>
      </c>
      <c r="N103" s="5304"/>
      <c r="O103" s="5304"/>
      <c r="P103" s="5304"/>
      <c r="Q103" s="5304"/>
      <c r="R103" s="5303">
        <f>M103+1</f>
        <v>4</v>
      </c>
      <c r="S103" s="5304"/>
      <c r="T103" s="5304"/>
      <c r="U103" s="5304"/>
      <c r="V103" s="5304"/>
      <c r="W103" s="5303">
        <f>R103+1</f>
        <v>5</v>
      </c>
      <c r="X103" s="5304"/>
      <c r="Y103" s="5304"/>
      <c r="Z103" s="5304"/>
      <c r="AA103" s="5304"/>
      <c r="AB103" s="4422"/>
      <c r="AC103" s="5150">
        <f>+C103</f>
        <v>1</v>
      </c>
      <c r="AD103" s="5150"/>
      <c r="AE103" s="5150"/>
      <c r="AF103" s="5150"/>
      <c r="AG103" s="5150"/>
      <c r="AH103" s="5150">
        <f>+H103</f>
        <v>2</v>
      </c>
      <c r="AI103" s="5150"/>
      <c r="AJ103" s="5150"/>
      <c r="AK103" s="5150"/>
      <c r="AL103" s="5150"/>
      <c r="AM103" s="5150">
        <f>+M103</f>
        <v>3</v>
      </c>
      <c r="AN103" s="5150"/>
      <c r="AO103" s="5150"/>
      <c r="AP103" s="5150"/>
      <c r="AQ103" s="5150"/>
      <c r="AR103" s="5150">
        <f>+R103</f>
        <v>4</v>
      </c>
      <c r="AS103" s="5150"/>
      <c r="AT103" s="5150"/>
      <c r="AU103" s="5150"/>
      <c r="AV103" s="5150"/>
      <c r="AW103" s="5150">
        <f>+W103</f>
        <v>5</v>
      </c>
      <c r="AX103" s="5150"/>
      <c r="AY103" s="5150"/>
      <c r="AZ103" s="5150"/>
      <c r="BA103" s="5150"/>
    </row>
    <row r="104" spans="1:53" ht="69.599999999999994" customHeight="1" thickBot="1">
      <c r="A104" s="5295" t="s">
        <v>1297</v>
      </c>
      <c r="B104" s="3114" t="s">
        <v>1446</v>
      </c>
      <c r="C104" s="5300" t="s">
        <v>1992</v>
      </c>
      <c r="D104" s="5301"/>
      <c r="E104" s="5301"/>
      <c r="F104" s="5301"/>
      <c r="G104" s="5302"/>
      <c r="H104" s="5288"/>
      <c r="I104" s="5289"/>
      <c r="J104" s="5289"/>
      <c r="K104" s="5289"/>
      <c r="L104" s="5289"/>
      <c r="M104" s="5288"/>
      <c r="N104" s="5289"/>
      <c r="O104" s="5289"/>
      <c r="P104" s="5289"/>
      <c r="Q104" s="5289"/>
      <c r="R104" s="5288"/>
      <c r="S104" s="5289"/>
      <c r="T104" s="5289"/>
      <c r="U104" s="5289"/>
      <c r="V104" s="5289"/>
      <c r="W104" s="5288"/>
      <c r="X104" s="5289"/>
      <c r="Y104" s="5289"/>
      <c r="Z104" s="5289"/>
      <c r="AA104" s="5289"/>
      <c r="AB104" s="4422"/>
      <c r="AC104" s="5324" t="str">
        <f>IF(C104=0,"",C104)</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ЕООД- 2. "Инженеринг (проектиране, авторски надзор, строителство и доставка на оборудване) за изграждане на нова ПСОВ Харманли”.</v>
      </c>
      <c r="AD104" s="5324"/>
      <c r="AE104" s="5324"/>
      <c r="AF104" s="5324"/>
      <c r="AG104" s="5324"/>
      <c r="AH104" s="5324" t="str">
        <f>IF(H104=0,"",H104)</f>
        <v/>
      </c>
      <c r="AI104" s="5324"/>
      <c r="AJ104" s="5324"/>
      <c r="AK104" s="5324"/>
      <c r="AL104" s="5324"/>
      <c r="AM104" s="5324" t="str">
        <f>IF(M104=0,"",M104)</f>
        <v/>
      </c>
      <c r="AN104" s="5324"/>
      <c r="AO104" s="5324"/>
      <c r="AP104" s="5324"/>
      <c r="AQ104" s="5324"/>
      <c r="AR104" s="5324" t="str">
        <f>IF(R104=0,"",R104)</f>
        <v/>
      </c>
      <c r="AS104" s="5324"/>
      <c r="AT104" s="5324"/>
      <c r="AU104" s="5324"/>
      <c r="AV104" s="5324"/>
      <c r="AW104" s="5324" t="str">
        <f>IF(W104=0,"",W104)</f>
        <v/>
      </c>
      <c r="AX104" s="5324"/>
      <c r="AY104" s="5324"/>
      <c r="AZ104" s="5324"/>
      <c r="BA104" s="5324"/>
    </row>
    <row r="105" spans="1:53" ht="13.5" thickBot="1">
      <c r="A105" s="5295"/>
      <c r="B105" s="3114" t="s">
        <v>1298</v>
      </c>
      <c r="C105" s="5288" t="s">
        <v>1989</v>
      </c>
      <c r="D105" s="5289"/>
      <c r="E105" s="5289"/>
      <c r="F105" s="5289"/>
      <c r="G105" s="5289"/>
      <c r="H105" s="5288"/>
      <c r="I105" s="5289"/>
      <c r="J105" s="5289"/>
      <c r="K105" s="5289"/>
      <c r="L105" s="5289"/>
      <c r="M105" s="5288"/>
      <c r="N105" s="5289"/>
      <c r="O105" s="5289"/>
      <c r="P105" s="5289"/>
      <c r="Q105" s="5289"/>
      <c r="R105" s="5288"/>
      <c r="S105" s="5289"/>
      <c r="T105" s="5289"/>
      <c r="U105" s="5289"/>
      <c r="V105" s="5289"/>
      <c r="W105" s="5288"/>
      <c r="X105" s="5289"/>
      <c r="Y105" s="5289"/>
      <c r="Z105" s="5289"/>
      <c r="AA105" s="5289"/>
      <c r="AB105" s="4422"/>
      <c r="AC105" s="5324" t="str">
        <f t="shared" ref="AC105:AC109" si="124">IF(C105=0,"",C105)</f>
        <v>ХАРМАНЛИ</v>
      </c>
      <c r="AD105" s="5324"/>
      <c r="AE105" s="5324"/>
      <c r="AF105" s="5324"/>
      <c r="AG105" s="5324"/>
      <c r="AH105" s="5324" t="str">
        <f t="shared" ref="AH105:AH109" si="125">IF(H105=0,"",H105)</f>
        <v/>
      </c>
      <c r="AI105" s="5324"/>
      <c r="AJ105" s="5324"/>
      <c r="AK105" s="5324"/>
      <c r="AL105" s="5324"/>
      <c r="AM105" s="5324" t="str">
        <f t="shared" ref="AM105:AM109" si="126">IF(M105=0,"",M105)</f>
        <v/>
      </c>
      <c r="AN105" s="5324"/>
      <c r="AO105" s="5324"/>
      <c r="AP105" s="5324"/>
      <c r="AQ105" s="5324"/>
      <c r="AR105" s="5324" t="str">
        <f t="shared" ref="AR105:AR109" si="127">IF(R105=0,"",R105)</f>
        <v/>
      </c>
      <c r="AS105" s="5324"/>
      <c r="AT105" s="5324"/>
      <c r="AU105" s="5324"/>
      <c r="AV105" s="5324"/>
      <c r="AW105" s="5324" t="str">
        <f t="shared" ref="AW105:AW109" si="128">IF(W105=0,"",W105)</f>
        <v/>
      </c>
      <c r="AX105" s="5324"/>
      <c r="AY105" s="5324"/>
      <c r="AZ105" s="5324"/>
      <c r="BA105" s="5324"/>
    </row>
    <row r="106" spans="1:53" ht="13.5" thickBot="1">
      <c r="A106" s="5278" t="s">
        <v>1299</v>
      </c>
      <c r="B106" s="3115" t="s">
        <v>1300</v>
      </c>
      <c r="C106" s="5319">
        <v>47524</v>
      </c>
      <c r="D106" s="5320"/>
      <c r="E106" s="5320"/>
      <c r="F106" s="5320"/>
      <c r="G106" s="5320"/>
      <c r="H106" s="5288"/>
      <c r="I106" s="5289"/>
      <c r="J106" s="5289"/>
      <c r="K106" s="5289"/>
      <c r="L106" s="5289"/>
      <c r="M106" s="5288"/>
      <c r="N106" s="5289"/>
      <c r="O106" s="5289"/>
      <c r="P106" s="5289"/>
      <c r="Q106" s="5289"/>
      <c r="R106" s="5288"/>
      <c r="S106" s="5289"/>
      <c r="T106" s="5289"/>
      <c r="U106" s="5289"/>
      <c r="V106" s="5289"/>
      <c r="W106" s="5288"/>
      <c r="X106" s="5289"/>
      <c r="Y106" s="5289"/>
      <c r="Z106" s="5289"/>
      <c r="AA106" s="5289"/>
      <c r="AB106" s="4422"/>
      <c r="AC106" s="5324">
        <f t="shared" si="124"/>
        <v>47524</v>
      </c>
      <c r="AD106" s="5324"/>
      <c r="AE106" s="5324"/>
      <c r="AF106" s="5324"/>
      <c r="AG106" s="5324"/>
      <c r="AH106" s="5324" t="str">
        <f t="shared" si="125"/>
        <v/>
      </c>
      <c r="AI106" s="5324"/>
      <c r="AJ106" s="5324"/>
      <c r="AK106" s="5324"/>
      <c r="AL106" s="5324"/>
      <c r="AM106" s="5324" t="str">
        <f t="shared" si="126"/>
        <v/>
      </c>
      <c r="AN106" s="5324"/>
      <c r="AO106" s="5324"/>
      <c r="AP106" s="5324"/>
      <c r="AQ106" s="5324"/>
      <c r="AR106" s="5324" t="str">
        <f t="shared" si="127"/>
        <v/>
      </c>
      <c r="AS106" s="5324"/>
      <c r="AT106" s="5324"/>
      <c r="AU106" s="5324"/>
      <c r="AV106" s="5324"/>
      <c r="AW106" s="5324" t="str">
        <f t="shared" si="128"/>
        <v/>
      </c>
      <c r="AX106" s="5324"/>
      <c r="AY106" s="5324"/>
      <c r="AZ106" s="5324"/>
      <c r="BA106" s="5324"/>
    </row>
    <row r="107" spans="1:53" ht="13.5" thickBot="1">
      <c r="A107" s="5279"/>
      <c r="B107" s="3114" t="s">
        <v>1301</v>
      </c>
      <c r="C107" s="4684"/>
      <c r="D107" s="4685"/>
      <c r="E107" s="4685"/>
      <c r="F107" s="4685"/>
      <c r="G107" s="4686"/>
      <c r="H107" s="5288"/>
      <c r="I107" s="5289"/>
      <c r="J107" s="5289"/>
      <c r="K107" s="5289"/>
      <c r="L107" s="5289"/>
      <c r="M107" s="5288"/>
      <c r="N107" s="5289"/>
      <c r="O107" s="5289"/>
      <c r="P107" s="5289"/>
      <c r="Q107" s="5289"/>
      <c r="R107" s="5288"/>
      <c r="S107" s="5289"/>
      <c r="T107" s="5289"/>
      <c r="U107" s="5289"/>
      <c r="V107" s="5289"/>
      <c r="W107" s="5288"/>
      <c r="X107" s="5289"/>
      <c r="Y107" s="5289"/>
      <c r="Z107" s="5289"/>
      <c r="AA107" s="5289"/>
      <c r="AB107" s="4422"/>
      <c r="AC107" s="5324" t="str">
        <f t="shared" si="124"/>
        <v/>
      </c>
      <c r="AD107" s="5324"/>
      <c r="AE107" s="5324"/>
      <c r="AF107" s="5324"/>
      <c r="AG107" s="5324"/>
      <c r="AH107" s="5324" t="str">
        <f t="shared" si="125"/>
        <v/>
      </c>
      <c r="AI107" s="5324"/>
      <c r="AJ107" s="5324"/>
      <c r="AK107" s="5324"/>
      <c r="AL107" s="5324"/>
      <c r="AM107" s="5324" t="str">
        <f t="shared" si="126"/>
        <v/>
      </c>
      <c r="AN107" s="5324"/>
      <c r="AO107" s="5324"/>
      <c r="AP107" s="5324"/>
      <c r="AQ107" s="5324"/>
      <c r="AR107" s="5324" t="str">
        <f t="shared" si="127"/>
        <v/>
      </c>
      <c r="AS107" s="5324"/>
      <c r="AT107" s="5324"/>
      <c r="AU107" s="5324"/>
      <c r="AV107" s="5324"/>
      <c r="AW107" s="5324" t="str">
        <f t="shared" si="128"/>
        <v/>
      </c>
      <c r="AX107" s="5324"/>
      <c r="AY107" s="5324"/>
      <c r="AZ107" s="5324"/>
      <c r="BA107" s="5324"/>
    </row>
    <row r="108" spans="1:53" ht="147" customHeight="1" thickBot="1">
      <c r="A108" s="3756" t="s">
        <v>1302</v>
      </c>
      <c r="B108" s="3114" t="s">
        <v>1303</v>
      </c>
      <c r="C108" s="5300" t="s">
        <v>1993</v>
      </c>
      <c r="D108" s="5301"/>
      <c r="E108" s="5301"/>
      <c r="F108" s="5301"/>
      <c r="G108" s="5302"/>
      <c r="H108" s="5288"/>
      <c r="I108" s="5289"/>
      <c r="J108" s="5289"/>
      <c r="K108" s="5289"/>
      <c r="L108" s="5289"/>
      <c r="M108" s="5288"/>
      <c r="N108" s="5289"/>
      <c r="O108" s="5289"/>
      <c r="P108" s="5289"/>
      <c r="Q108" s="5289"/>
      <c r="R108" s="5288"/>
      <c r="S108" s="5289"/>
      <c r="T108" s="5289"/>
      <c r="U108" s="5289"/>
      <c r="V108" s="5289"/>
      <c r="W108" s="5288"/>
      <c r="X108" s="5289"/>
      <c r="Y108" s="5289"/>
      <c r="Z108" s="5289"/>
      <c r="AA108" s="5289"/>
      <c r="AB108" s="4422"/>
      <c r="AC108" s="5324" t="str">
        <f t="shared" si="124"/>
        <v>Сключен е Договор №ПОС-4 от 28.11.2025год. с изпълнител "КАРО ТРЕЙДИНГ" ООД и стойност 10 901 057,35 евро без ДДС. Срок за изпълнение: 570 (петстотин и седемдесет) календарни дни за проектиране и изпълнение на строително-монтажни работи на Обекта (считано от датата на започване до издаване на Сертификат за приемане от Инженера), но не по-късно от 31.12.2029 г. Изпратено Уведомително писмо за стартиране изпълнението на дейностите съгласно клауза 8.1. [Започване на работите] на 26.02.2026г. Дата на започване 13.03.2026г.  Изпълнителят е предал на Инженера и Възложителя идеен проект част Технологична</v>
      </c>
      <c r="AD108" s="5324"/>
      <c r="AE108" s="5324"/>
      <c r="AF108" s="5324"/>
      <c r="AG108" s="5324"/>
      <c r="AH108" s="5324" t="str">
        <f t="shared" si="125"/>
        <v/>
      </c>
      <c r="AI108" s="5324"/>
      <c r="AJ108" s="5324"/>
      <c r="AK108" s="5324"/>
      <c r="AL108" s="5324"/>
      <c r="AM108" s="5324" t="str">
        <f t="shared" si="126"/>
        <v/>
      </c>
      <c r="AN108" s="5324"/>
      <c r="AO108" s="5324"/>
      <c r="AP108" s="5324"/>
      <c r="AQ108" s="5324"/>
      <c r="AR108" s="5324" t="str">
        <f t="shared" si="127"/>
        <v/>
      </c>
      <c r="AS108" s="5324"/>
      <c r="AT108" s="5324"/>
      <c r="AU108" s="5324"/>
      <c r="AV108" s="5324"/>
      <c r="AW108" s="5324" t="str">
        <f t="shared" si="128"/>
        <v/>
      </c>
      <c r="AX108" s="5324"/>
      <c r="AY108" s="5324"/>
      <c r="AZ108" s="5324"/>
      <c r="BA108" s="5324"/>
    </row>
    <row r="109" spans="1:53" ht="26.25" thickBot="1">
      <c r="A109" s="3116" t="s">
        <v>1304</v>
      </c>
      <c r="B109" s="3117" t="s">
        <v>1305</v>
      </c>
      <c r="C109" s="5305"/>
      <c r="D109" s="5306"/>
      <c r="E109" s="5306"/>
      <c r="F109" s="5306"/>
      <c r="G109" s="5306"/>
      <c r="H109" s="5305"/>
      <c r="I109" s="5306"/>
      <c r="J109" s="5306"/>
      <c r="K109" s="5306"/>
      <c r="L109" s="5306"/>
      <c r="M109" s="5305"/>
      <c r="N109" s="5306"/>
      <c r="O109" s="5306"/>
      <c r="P109" s="5306"/>
      <c r="Q109" s="5306"/>
      <c r="R109" s="5305"/>
      <c r="S109" s="5306"/>
      <c r="T109" s="5306"/>
      <c r="U109" s="5306"/>
      <c r="V109" s="5306"/>
      <c r="W109" s="5305"/>
      <c r="X109" s="5306"/>
      <c r="Y109" s="5306"/>
      <c r="Z109" s="5306"/>
      <c r="AA109" s="5306"/>
      <c r="AB109" s="4422"/>
      <c r="AC109" s="5324" t="str">
        <f t="shared" si="124"/>
        <v/>
      </c>
      <c r="AD109" s="5324"/>
      <c r="AE109" s="5324"/>
      <c r="AF109" s="5324"/>
      <c r="AG109" s="5324"/>
      <c r="AH109" s="5324" t="str">
        <f t="shared" si="125"/>
        <v/>
      </c>
      <c r="AI109" s="5324"/>
      <c r="AJ109" s="5324"/>
      <c r="AK109" s="5324"/>
      <c r="AL109" s="5324"/>
      <c r="AM109" s="5324" t="str">
        <f t="shared" si="126"/>
        <v/>
      </c>
      <c r="AN109" s="5324"/>
      <c r="AO109" s="5324"/>
      <c r="AP109" s="5324"/>
      <c r="AQ109" s="5324"/>
      <c r="AR109" s="5324" t="str">
        <f t="shared" si="127"/>
        <v/>
      </c>
      <c r="AS109" s="5324"/>
      <c r="AT109" s="5324"/>
      <c r="AU109" s="5324"/>
      <c r="AV109" s="5324"/>
      <c r="AW109" s="5324" t="str">
        <f t="shared" si="128"/>
        <v/>
      </c>
      <c r="AX109" s="5324"/>
      <c r="AY109" s="5324"/>
      <c r="AZ109" s="5324"/>
      <c r="BA109" s="5324"/>
    </row>
    <row r="110" spans="1:53" ht="13.5" thickBot="1">
      <c r="A110" s="5296" t="s">
        <v>1461</v>
      </c>
      <c r="B110" s="5297"/>
      <c r="C110" s="4209" t="str">
        <f>'Приложение '!$C$14</f>
        <v>2027 г.</v>
      </c>
      <c r="D110" s="4210" t="str">
        <f>'Приложение '!$C$15</f>
        <v>2028 г.</v>
      </c>
      <c r="E110" s="4210" t="str">
        <f>'Приложение '!$C$16</f>
        <v>2029 г.</v>
      </c>
      <c r="F110" s="4210" t="str">
        <f>'Приложение '!$C$17</f>
        <v>2030 г.</v>
      </c>
      <c r="G110" s="4210" t="str">
        <f>'Приложение '!$C$18</f>
        <v>2031 г.</v>
      </c>
      <c r="H110" s="4209" t="str">
        <f>'Приложение '!$C$14</f>
        <v>2027 г.</v>
      </c>
      <c r="I110" s="4210" t="str">
        <f>'Приложение '!$C$15</f>
        <v>2028 г.</v>
      </c>
      <c r="J110" s="4210" t="str">
        <f>'Приложение '!$C$16</f>
        <v>2029 г.</v>
      </c>
      <c r="K110" s="4210" t="str">
        <f>'Приложение '!$C$17</f>
        <v>2030 г.</v>
      </c>
      <c r="L110" s="4210" t="str">
        <f>'Приложение '!$C$18</f>
        <v>2031 г.</v>
      </c>
      <c r="M110" s="4209" t="str">
        <f>'Приложение '!$C$14</f>
        <v>2027 г.</v>
      </c>
      <c r="N110" s="4210" t="str">
        <f>'Приложение '!$C$15</f>
        <v>2028 г.</v>
      </c>
      <c r="O110" s="4210" t="str">
        <f>'Приложение '!$C$16</f>
        <v>2029 г.</v>
      </c>
      <c r="P110" s="4210" t="str">
        <f>'Приложение '!$C$17</f>
        <v>2030 г.</v>
      </c>
      <c r="Q110" s="4210" t="str">
        <f>'Приложение '!$C$18</f>
        <v>2031 г.</v>
      </c>
      <c r="R110" s="4209" t="str">
        <f>'Приложение '!$C$14</f>
        <v>2027 г.</v>
      </c>
      <c r="S110" s="4210" t="str">
        <f>'Приложение '!$C$15</f>
        <v>2028 г.</v>
      </c>
      <c r="T110" s="4210" t="str">
        <f>'Приложение '!$C$16</f>
        <v>2029 г.</v>
      </c>
      <c r="U110" s="4210" t="str">
        <f>'Приложение '!$C$17</f>
        <v>2030 г.</v>
      </c>
      <c r="V110" s="4210" t="str">
        <f>'Приложение '!$C$18</f>
        <v>2031 г.</v>
      </c>
      <c r="W110" s="4209" t="str">
        <f>'Приложение '!$C$14</f>
        <v>2027 г.</v>
      </c>
      <c r="X110" s="4210" t="str">
        <f>'Приложение '!$C$15</f>
        <v>2028 г.</v>
      </c>
      <c r="Y110" s="4210" t="str">
        <f>'Приложение '!$C$16</f>
        <v>2029 г.</v>
      </c>
      <c r="Z110" s="4210" t="str">
        <f>'Приложение '!$C$17</f>
        <v>2030 г.</v>
      </c>
      <c r="AA110" s="4210" t="str">
        <f>'Приложение '!$C$18</f>
        <v>2031 г.</v>
      </c>
      <c r="AB110" s="4422"/>
      <c r="AC110" s="4469" t="str">
        <f>'Приложение '!$C$14</f>
        <v>2027 г.</v>
      </c>
      <c r="AD110" s="4469" t="str">
        <f>'Приложение '!$C$15</f>
        <v>2028 г.</v>
      </c>
      <c r="AE110" s="4469" t="str">
        <f>'Приложение '!$C$16</f>
        <v>2029 г.</v>
      </c>
      <c r="AF110" s="4469" t="str">
        <f>'Приложение '!$C$17</f>
        <v>2030 г.</v>
      </c>
      <c r="AG110" s="4469" t="str">
        <f>'Приложение '!$C$18</f>
        <v>2031 г.</v>
      </c>
      <c r="AH110" s="4469" t="str">
        <f>'Приложение '!$C$14</f>
        <v>2027 г.</v>
      </c>
      <c r="AI110" s="4469" t="str">
        <f>'Приложение '!$C$15</f>
        <v>2028 г.</v>
      </c>
      <c r="AJ110" s="4469" t="str">
        <f>'Приложение '!$C$16</f>
        <v>2029 г.</v>
      </c>
      <c r="AK110" s="4469" t="str">
        <f>'Приложение '!$C$17</f>
        <v>2030 г.</v>
      </c>
      <c r="AL110" s="4469" t="str">
        <f>'Приложение '!$C$18</f>
        <v>2031 г.</v>
      </c>
      <c r="AM110" s="4469" t="str">
        <f>'Приложение '!$C$14</f>
        <v>2027 г.</v>
      </c>
      <c r="AN110" s="4469" t="str">
        <f>'Приложение '!$C$15</f>
        <v>2028 г.</v>
      </c>
      <c r="AO110" s="4469" t="str">
        <f>'Приложение '!$C$16</f>
        <v>2029 г.</v>
      </c>
      <c r="AP110" s="4469" t="str">
        <f>'Приложение '!$C$17</f>
        <v>2030 г.</v>
      </c>
      <c r="AQ110" s="4469" t="str">
        <f>'Приложение '!$C$18</f>
        <v>2031 г.</v>
      </c>
      <c r="AR110" s="4469" t="str">
        <f>'Приложение '!$C$14</f>
        <v>2027 г.</v>
      </c>
      <c r="AS110" s="4469" t="str">
        <f>'Приложение '!$C$15</f>
        <v>2028 г.</v>
      </c>
      <c r="AT110" s="4469" t="str">
        <f>'Приложение '!$C$16</f>
        <v>2029 г.</v>
      </c>
      <c r="AU110" s="4469" t="str">
        <f>'Приложение '!$C$17</f>
        <v>2030 г.</v>
      </c>
      <c r="AV110" s="4469" t="str">
        <f>'Приложение '!$C$18</f>
        <v>2031 г.</v>
      </c>
      <c r="AW110" s="4469" t="str">
        <f>'Приложение '!$C$14</f>
        <v>2027 г.</v>
      </c>
      <c r="AX110" s="4469" t="str">
        <f>'Приложение '!$C$15</f>
        <v>2028 г.</v>
      </c>
      <c r="AY110" s="4469" t="str">
        <f>'Приложение '!$C$16</f>
        <v>2029 г.</v>
      </c>
      <c r="AZ110" s="4469" t="str">
        <f>'Приложение '!$C$17</f>
        <v>2030 г.</v>
      </c>
      <c r="BA110" s="4469" t="str">
        <f>'Приложение '!$C$18</f>
        <v>2031 г.</v>
      </c>
    </row>
    <row r="111" spans="1:53" ht="12.75" customHeight="1">
      <c r="A111" s="5280" t="s">
        <v>1447</v>
      </c>
      <c r="B111" s="5281"/>
      <c r="C111" s="3118">
        <v>0</v>
      </c>
      <c r="D111" s="3119">
        <v>0</v>
      </c>
      <c r="E111" s="3119">
        <v>0</v>
      </c>
      <c r="F111" s="3119">
        <v>17223</v>
      </c>
      <c r="G111" s="3119">
        <v>17223</v>
      </c>
      <c r="H111" s="3118"/>
      <c r="I111" s="3119"/>
      <c r="J111" s="3119"/>
      <c r="K111" s="3119"/>
      <c r="L111" s="3119"/>
      <c r="M111" s="3118"/>
      <c r="N111" s="3119"/>
      <c r="O111" s="3119"/>
      <c r="P111" s="3119"/>
      <c r="Q111" s="3119"/>
      <c r="R111" s="3118"/>
      <c r="S111" s="3119"/>
      <c r="T111" s="3119"/>
      <c r="U111" s="3119"/>
      <c r="V111" s="3119"/>
      <c r="W111" s="3118"/>
      <c r="X111" s="3119"/>
      <c r="Y111" s="3119"/>
      <c r="Z111" s="3119"/>
      <c r="AA111" s="3119"/>
      <c r="AB111" s="4422"/>
      <c r="AC111" s="4472"/>
      <c r="AD111" s="4472"/>
      <c r="AE111" s="4472"/>
      <c r="AF111" s="4472"/>
      <c r="AG111" s="4472"/>
      <c r="AH111" s="4472"/>
      <c r="AI111" s="4472"/>
      <c r="AJ111" s="4472"/>
      <c r="AK111" s="4472"/>
      <c r="AL111" s="4472"/>
      <c r="AM111" s="4472"/>
      <c r="AN111" s="4472"/>
      <c r="AO111" s="4472"/>
      <c r="AP111" s="4472"/>
      <c r="AQ111" s="4472"/>
      <c r="AR111" s="4472"/>
      <c r="AS111" s="4472"/>
      <c r="AT111" s="4472"/>
      <c r="AU111" s="4472"/>
      <c r="AV111" s="4472"/>
      <c r="AW111" s="4472"/>
      <c r="AX111" s="4472"/>
      <c r="AY111" s="4472"/>
      <c r="AZ111" s="4472"/>
      <c r="BA111" s="4472"/>
    </row>
    <row r="112" spans="1:53" ht="12.75" customHeight="1">
      <c r="A112" s="5282" t="s">
        <v>1448</v>
      </c>
      <c r="B112" s="5283"/>
      <c r="C112" s="3120">
        <v>0</v>
      </c>
      <c r="D112" s="3121">
        <v>0</v>
      </c>
      <c r="E112" s="3121">
        <v>0</v>
      </c>
      <c r="F112" s="3121">
        <v>622367.94000000006</v>
      </c>
      <c r="G112" s="3121">
        <v>622367.94000000006</v>
      </c>
      <c r="H112" s="3120"/>
      <c r="I112" s="3121"/>
      <c r="J112" s="3121"/>
      <c r="K112" s="3121"/>
      <c r="L112" s="3121"/>
      <c r="M112" s="3120"/>
      <c r="N112" s="3121"/>
      <c r="O112" s="3121"/>
      <c r="P112" s="3121"/>
      <c r="Q112" s="3121"/>
      <c r="R112" s="3120"/>
      <c r="S112" s="3121"/>
      <c r="T112" s="3121"/>
      <c r="U112" s="3121"/>
      <c r="V112" s="3121"/>
      <c r="W112" s="3120"/>
      <c r="X112" s="3121"/>
      <c r="Y112" s="3121"/>
      <c r="Z112" s="3121"/>
      <c r="AA112" s="3121"/>
      <c r="AB112" s="4422"/>
      <c r="AC112" s="4473"/>
      <c r="AD112" s="4473"/>
      <c r="AE112" s="4473"/>
      <c r="AF112" s="4473"/>
      <c r="AG112" s="4473"/>
      <c r="AH112" s="4473"/>
      <c r="AI112" s="4473"/>
      <c r="AJ112" s="4473"/>
      <c r="AK112" s="4473"/>
      <c r="AL112" s="4473"/>
      <c r="AM112" s="4473"/>
      <c r="AN112" s="4473"/>
      <c r="AO112" s="4473"/>
      <c r="AP112" s="4473"/>
      <c r="AQ112" s="4473"/>
      <c r="AR112" s="4473"/>
      <c r="AS112" s="4473"/>
      <c r="AT112" s="4473"/>
      <c r="AU112" s="4473"/>
      <c r="AV112" s="4473"/>
      <c r="AW112" s="4473"/>
      <c r="AX112" s="4473"/>
      <c r="AY112" s="4473"/>
      <c r="AZ112" s="4473"/>
      <c r="BA112" s="4473"/>
    </row>
    <row r="113" spans="1:53">
      <c r="A113" s="5311" t="s">
        <v>1449</v>
      </c>
      <c r="B113" s="5312"/>
      <c r="C113" s="3122">
        <v>0</v>
      </c>
      <c r="D113" s="3123">
        <v>0</v>
      </c>
      <c r="E113" s="3123">
        <v>0</v>
      </c>
      <c r="F113" s="3123">
        <v>445287.4</v>
      </c>
      <c r="G113" s="3123">
        <v>445287</v>
      </c>
      <c r="H113" s="3122"/>
      <c r="I113" s="3123"/>
      <c r="J113" s="3123"/>
      <c r="K113" s="3123"/>
      <c r="L113" s="3123"/>
      <c r="M113" s="3122"/>
      <c r="N113" s="3123"/>
      <c r="O113" s="3123"/>
      <c r="P113" s="3123"/>
      <c r="Q113" s="3123"/>
      <c r="R113" s="3122"/>
      <c r="S113" s="3123"/>
      <c r="T113" s="3123"/>
      <c r="U113" s="3123"/>
      <c r="V113" s="3123"/>
      <c r="W113" s="3122"/>
      <c r="X113" s="3123"/>
      <c r="Y113" s="3123"/>
      <c r="Z113" s="3123"/>
      <c r="AA113" s="3123"/>
      <c r="AB113" s="4422"/>
      <c r="AC113" s="4473"/>
      <c r="AD113" s="4473"/>
      <c r="AE113" s="4473"/>
      <c r="AF113" s="4473"/>
      <c r="AG113" s="4473"/>
      <c r="AH113" s="4473"/>
      <c r="AI113" s="4473"/>
      <c r="AJ113" s="4473"/>
      <c r="AK113" s="4473"/>
      <c r="AL113" s="4473"/>
      <c r="AM113" s="4473"/>
      <c r="AN113" s="4473"/>
      <c r="AO113" s="4473"/>
      <c r="AP113" s="4473"/>
      <c r="AQ113" s="4473"/>
      <c r="AR113" s="4473"/>
      <c r="AS113" s="4473"/>
      <c r="AT113" s="4473"/>
      <c r="AU113" s="4473"/>
      <c r="AV113" s="4473"/>
      <c r="AW113" s="4473"/>
      <c r="AX113" s="4473"/>
      <c r="AY113" s="4473"/>
      <c r="AZ113" s="4473"/>
      <c r="BA113" s="4473"/>
    </row>
    <row r="114" spans="1:53" ht="13.5" thickBot="1">
      <c r="A114" s="5286" t="s">
        <v>1450</v>
      </c>
      <c r="B114" s="5287"/>
      <c r="C114" s="3124">
        <v>0</v>
      </c>
      <c r="D114" s="3125">
        <v>0</v>
      </c>
      <c r="E114" s="3125">
        <v>0</v>
      </c>
      <c r="F114" s="3125">
        <v>8</v>
      </c>
      <c r="G114" s="3125">
        <v>8</v>
      </c>
      <c r="H114" s="3124"/>
      <c r="I114" s="3125"/>
      <c r="J114" s="3125"/>
      <c r="K114" s="3125"/>
      <c r="L114" s="3125"/>
      <c r="M114" s="3124"/>
      <c r="N114" s="3125"/>
      <c r="O114" s="3125"/>
      <c r="P114" s="3125"/>
      <c r="Q114" s="3125"/>
      <c r="R114" s="3124"/>
      <c r="S114" s="3125"/>
      <c r="T114" s="3125"/>
      <c r="U114" s="3125"/>
      <c r="V114" s="3125"/>
      <c r="W114" s="3124"/>
      <c r="X114" s="3125"/>
      <c r="Y114" s="3125"/>
      <c r="Z114" s="3125"/>
      <c r="AA114" s="3125"/>
      <c r="AB114" s="4422"/>
      <c r="AC114" s="4474"/>
      <c r="AD114" s="4474"/>
      <c r="AE114" s="4474"/>
      <c r="AF114" s="4474"/>
      <c r="AG114" s="4474"/>
      <c r="AH114" s="4474"/>
      <c r="AI114" s="4474"/>
      <c r="AJ114" s="4474"/>
      <c r="AK114" s="4474"/>
      <c r="AL114" s="4474"/>
      <c r="AM114" s="4474"/>
      <c r="AN114" s="4474"/>
      <c r="AO114" s="4474"/>
      <c r="AP114" s="4474"/>
      <c r="AQ114" s="4474"/>
      <c r="AR114" s="4474"/>
      <c r="AS114" s="4474"/>
      <c r="AT114" s="4474"/>
      <c r="AU114" s="4474"/>
      <c r="AV114" s="4474"/>
      <c r="AW114" s="4474"/>
      <c r="AX114" s="4474"/>
      <c r="AY114" s="4474"/>
      <c r="AZ114" s="4474"/>
      <c r="BA114" s="4474"/>
    </row>
    <row r="115" spans="1:53" s="2" customFormat="1" ht="25.5" customHeight="1" thickBot="1">
      <c r="A115" s="5313" t="s">
        <v>1452</v>
      </c>
      <c r="B115" s="5314"/>
      <c r="C115" s="3126">
        <f t="shared" ref="C115:AA115" si="129">SUM(C116,C121:C125)</f>
        <v>0</v>
      </c>
      <c r="D115" s="3127">
        <f t="shared" si="129"/>
        <v>0</v>
      </c>
      <c r="E115" s="3127">
        <f t="shared" si="129"/>
        <v>0</v>
      </c>
      <c r="F115" s="3127">
        <f t="shared" si="129"/>
        <v>465</v>
      </c>
      <c r="G115" s="3127">
        <f t="shared" si="129"/>
        <v>551</v>
      </c>
      <c r="H115" s="3126">
        <f t="shared" si="129"/>
        <v>0</v>
      </c>
      <c r="I115" s="3127">
        <f t="shared" si="129"/>
        <v>0</v>
      </c>
      <c r="J115" s="3127">
        <f t="shared" si="129"/>
        <v>0</v>
      </c>
      <c r="K115" s="3127">
        <f t="shared" si="129"/>
        <v>0</v>
      </c>
      <c r="L115" s="3127">
        <f t="shared" si="129"/>
        <v>0</v>
      </c>
      <c r="M115" s="3126">
        <f t="shared" si="129"/>
        <v>0</v>
      </c>
      <c r="N115" s="3127">
        <f t="shared" si="129"/>
        <v>0</v>
      </c>
      <c r="O115" s="3127">
        <f t="shared" si="129"/>
        <v>0</v>
      </c>
      <c r="P115" s="3127">
        <f t="shared" si="129"/>
        <v>0</v>
      </c>
      <c r="Q115" s="3127">
        <f t="shared" si="129"/>
        <v>0</v>
      </c>
      <c r="R115" s="3126">
        <f t="shared" si="129"/>
        <v>0</v>
      </c>
      <c r="S115" s="3127">
        <f t="shared" si="129"/>
        <v>0</v>
      </c>
      <c r="T115" s="3127">
        <f t="shared" si="129"/>
        <v>0</v>
      </c>
      <c r="U115" s="3127">
        <f t="shared" si="129"/>
        <v>0</v>
      </c>
      <c r="V115" s="3127">
        <f t="shared" si="129"/>
        <v>0</v>
      </c>
      <c r="W115" s="3126">
        <f t="shared" si="129"/>
        <v>0</v>
      </c>
      <c r="X115" s="3127">
        <f t="shared" si="129"/>
        <v>0</v>
      </c>
      <c r="Y115" s="3127">
        <f t="shared" si="129"/>
        <v>0</v>
      </c>
      <c r="Z115" s="3127">
        <f t="shared" si="129"/>
        <v>0</v>
      </c>
      <c r="AA115" s="3127">
        <f t="shared" si="129"/>
        <v>0</v>
      </c>
      <c r="AB115" s="4422"/>
      <c r="AC115" s="4470">
        <f>IFERROR(C115/$D$1,0)</f>
        <v>0</v>
      </c>
      <c r="AD115" s="4471">
        <f t="shared" ref="AD115:AD125" si="130">IFERROR(D115/$D$1,0)</f>
        <v>0</v>
      </c>
      <c r="AE115" s="4471">
        <f t="shared" ref="AE115:AE125" si="131">IFERROR(E115/$D$1,0)</f>
        <v>0</v>
      </c>
      <c r="AF115" s="4471">
        <f t="shared" ref="AF115:AF125" si="132">IFERROR(F115/$D$1,0)</f>
        <v>237.7507247562416</v>
      </c>
      <c r="AG115" s="4471">
        <f t="shared" ref="AG115:AG125" si="133">IFERROR(G115/$D$1,0)</f>
        <v>281.72182653911636</v>
      </c>
      <c r="AH115" s="4471">
        <f t="shared" ref="AH115:AH125" si="134">IFERROR(H115/$D$1,0)</f>
        <v>0</v>
      </c>
      <c r="AI115" s="4471">
        <f t="shared" ref="AI115:AI125" si="135">IFERROR(I115/$D$1,0)</f>
        <v>0</v>
      </c>
      <c r="AJ115" s="4471">
        <f t="shared" ref="AJ115:AJ125" si="136">IFERROR(J115/$D$1,0)</f>
        <v>0</v>
      </c>
      <c r="AK115" s="4471">
        <f t="shared" ref="AK115:AK125" si="137">IFERROR(K115/$D$1,0)</f>
        <v>0</v>
      </c>
      <c r="AL115" s="4471">
        <f t="shared" ref="AL115:AL125" si="138">IFERROR(L115/$D$1,0)</f>
        <v>0</v>
      </c>
      <c r="AM115" s="4471">
        <f t="shared" ref="AM115:AM125" si="139">IFERROR(M115/$D$1,0)</f>
        <v>0</v>
      </c>
      <c r="AN115" s="4471">
        <f t="shared" ref="AN115:AN125" si="140">IFERROR(N115/$D$1,0)</f>
        <v>0</v>
      </c>
      <c r="AO115" s="4471">
        <f t="shared" ref="AO115:AO125" si="141">IFERROR(O115/$D$1,0)</f>
        <v>0</v>
      </c>
      <c r="AP115" s="4471">
        <f t="shared" ref="AP115:AP125" si="142">IFERROR(P115/$D$1,0)</f>
        <v>0</v>
      </c>
      <c r="AQ115" s="4471">
        <f t="shared" ref="AQ115:AQ125" si="143">IFERROR(Q115/$D$1,0)</f>
        <v>0</v>
      </c>
      <c r="AR115" s="4471">
        <f t="shared" ref="AR115:AR125" si="144">IFERROR(R115/$D$1,0)</f>
        <v>0</v>
      </c>
      <c r="AS115" s="4471">
        <f t="shared" ref="AS115:AS125" si="145">IFERROR(S115/$D$1,0)</f>
        <v>0</v>
      </c>
      <c r="AT115" s="4471">
        <f t="shared" ref="AT115:AT125" si="146">IFERROR(T115/$D$1,0)</f>
        <v>0</v>
      </c>
      <c r="AU115" s="4471">
        <f t="shared" ref="AU115:AU125" si="147">IFERROR(U115/$D$1,0)</f>
        <v>0</v>
      </c>
      <c r="AV115" s="4471">
        <f t="shared" ref="AV115:AV125" si="148">IFERROR(V115/$D$1,0)</f>
        <v>0</v>
      </c>
      <c r="AW115" s="4471">
        <f t="shared" ref="AW115:AW125" si="149">IFERROR(W115/$D$1,0)</f>
        <v>0</v>
      </c>
      <c r="AX115" s="4471">
        <f t="shared" ref="AX115:AX125" si="150">IFERROR(X115/$D$1,0)</f>
        <v>0</v>
      </c>
      <c r="AY115" s="4471">
        <f t="shared" ref="AY115:AY125" si="151">IFERROR(Y115/$D$1,0)</f>
        <v>0</v>
      </c>
      <c r="AZ115" s="4471">
        <f t="shared" ref="AZ115:AZ125" si="152">IFERROR(Z115/$D$1,0)</f>
        <v>0</v>
      </c>
      <c r="BA115" s="4471">
        <f t="shared" ref="BA115:BA125" si="153">IFERROR(AA115/$D$1,0)</f>
        <v>0</v>
      </c>
    </row>
    <row r="116" spans="1:53" ht="12.75" customHeight="1" thickBot="1">
      <c r="A116" s="5315" t="s">
        <v>1451</v>
      </c>
      <c r="B116" s="5316"/>
      <c r="C116" s="3120"/>
      <c r="D116" s="3121"/>
      <c r="E116" s="3121"/>
      <c r="F116" s="3121">
        <v>145</v>
      </c>
      <c r="G116" s="3121">
        <v>145</v>
      </c>
      <c r="H116" s="3120"/>
      <c r="I116" s="3121"/>
      <c r="J116" s="3121"/>
      <c r="K116" s="3121"/>
      <c r="L116" s="3121"/>
      <c r="M116" s="3120"/>
      <c r="N116" s="3121"/>
      <c r="O116" s="3121"/>
      <c r="P116" s="3121"/>
      <c r="Q116" s="3121"/>
      <c r="R116" s="3120"/>
      <c r="S116" s="3121"/>
      <c r="T116" s="3121"/>
      <c r="U116" s="3121"/>
      <c r="V116" s="3121"/>
      <c r="W116" s="3120"/>
      <c r="X116" s="3121"/>
      <c r="Y116" s="3121"/>
      <c r="Z116" s="3121"/>
      <c r="AA116" s="3121"/>
      <c r="AB116" s="4422"/>
      <c r="AC116" s="4427">
        <f t="shared" ref="AC116:AC125" si="154">IFERROR(C116/$D$1,0)</f>
        <v>0</v>
      </c>
      <c r="AD116" s="4427">
        <f t="shared" si="130"/>
        <v>0</v>
      </c>
      <c r="AE116" s="4427">
        <f t="shared" si="131"/>
        <v>0</v>
      </c>
      <c r="AF116" s="4427">
        <f t="shared" si="132"/>
        <v>74.137322773451686</v>
      </c>
      <c r="AG116" s="4427">
        <f t="shared" si="133"/>
        <v>74.137322773451686</v>
      </c>
      <c r="AH116" s="4427">
        <f t="shared" si="134"/>
        <v>0</v>
      </c>
      <c r="AI116" s="4427">
        <f t="shared" si="135"/>
        <v>0</v>
      </c>
      <c r="AJ116" s="4427">
        <f t="shared" si="136"/>
        <v>0</v>
      </c>
      <c r="AK116" s="4427">
        <f t="shared" si="137"/>
        <v>0</v>
      </c>
      <c r="AL116" s="4427">
        <f t="shared" si="138"/>
        <v>0</v>
      </c>
      <c r="AM116" s="4427">
        <f t="shared" si="139"/>
        <v>0</v>
      </c>
      <c r="AN116" s="4427">
        <f t="shared" si="140"/>
        <v>0</v>
      </c>
      <c r="AO116" s="4427">
        <f t="shared" si="141"/>
        <v>0</v>
      </c>
      <c r="AP116" s="4427">
        <f t="shared" si="142"/>
        <v>0</v>
      </c>
      <c r="AQ116" s="4427">
        <f t="shared" si="143"/>
        <v>0</v>
      </c>
      <c r="AR116" s="4427">
        <f t="shared" si="144"/>
        <v>0</v>
      </c>
      <c r="AS116" s="4427">
        <f t="shared" si="145"/>
        <v>0</v>
      </c>
      <c r="AT116" s="4427">
        <f t="shared" si="146"/>
        <v>0</v>
      </c>
      <c r="AU116" s="4427">
        <f t="shared" si="147"/>
        <v>0</v>
      </c>
      <c r="AV116" s="4427">
        <f t="shared" si="148"/>
        <v>0</v>
      </c>
      <c r="AW116" s="4427">
        <f t="shared" si="149"/>
        <v>0</v>
      </c>
      <c r="AX116" s="4427">
        <f t="shared" si="150"/>
        <v>0</v>
      </c>
      <c r="AY116" s="4427">
        <f t="shared" si="151"/>
        <v>0</v>
      </c>
      <c r="AZ116" s="4427">
        <f t="shared" si="152"/>
        <v>0</v>
      </c>
      <c r="BA116" s="4427">
        <f t="shared" si="153"/>
        <v>0</v>
      </c>
    </row>
    <row r="117" spans="1:53" ht="13.5" thickBot="1">
      <c r="A117" s="5317" t="s">
        <v>1463</v>
      </c>
      <c r="B117" s="5318"/>
      <c r="C117" s="3120"/>
      <c r="D117" s="3121"/>
      <c r="E117" s="3121"/>
      <c r="F117" s="3121">
        <v>1</v>
      </c>
      <c r="G117" s="3121">
        <v>1</v>
      </c>
      <c r="H117" s="3120"/>
      <c r="I117" s="3121"/>
      <c r="J117" s="3121"/>
      <c r="K117" s="3121"/>
      <c r="L117" s="3121"/>
      <c r="M117" s="3120"/>
      <c r="N117" s="3121"/>
      <c r="O117" s="3121"/>
      <c r="P117" s="3121"/>
      <c r="Q117" s="3121"/>
      <c r="R117" s="3120"/>
      <c r="S117" s="3121"/>
      <c r="T117" s="3121"/>
      <c r="U117" s="3121"/>
      <c r="V117" s="3121"/>
      <c r="W117" s="3120"/>
      <c r="X117" s="3121"/>
      <c r="Y117" s="3121"/>
      <c r="Z117" s="3121"/>
      <c r="AA117" s="3121"/>
      <c r="AB117" s="4422"/>
      <c r="AC117" s="4427">
        <f t="shared" si="154"/>
        <v>0</v>
      </c>
      <c r="AD117" s="4427">
        <f t="shared" si="130"/>
        <v>0</v>
      </c>
      <c r="AE117" s="4427">
        <f t="shared" si="131"/>
        <v>0</v>
      </c>
      <c r="AF117" s="4427">
        <f t="shared" si="132"/>
        <v>0.51129188119621849</v>
      </c>
      <c r="AG117" s="4427">
        <f t="shared" si="133"/>
        <v>0.51129188119621849</v>
      </c>
      <c r="AH117" s="4427">
        <f t="shared" si="134"/>
        <v>0</v>
      </c>
      <c r="AI117" s="4427">
        <f t="shared" si="135"/>
        <v>0</v>
      </c>
      <c r="AJ117" s="4427">
        <f t="shared" si="136"/>
        <v>0</v>
      </c>
      <c r="AK117" s="4427">
        <f t="shared" si="137"/>
        <v>0</v>
      </c>
      <c r="AL117" s="4427">
        <f t="shared" si="138"/>
        <v>0</v>
      </c>
      <c r="AM117" s="4427">
        <f t="shared" si="139"/>
        <v>0</v>
      </c>
      <c r="AN117" s="4427">
        <f t="shared" si="140"/>
        <v>0</v>
      </c>
      <c r="AO117" s="4427">
        <f t="shared" si="141"/>
        <v>0</v>
      </c>
      <c r="AP117" s="4427">
        <f t="shared" si="142"/>
        <v>0</v>
      </c>
      <c r="AQ117" s="4427">
        <f t="shared" si="143"/>
        <v>0</v>
      </c>
      <c r="AR117" s="4427">
        <f t="shared" si="144"/>
        <v>0</v>
      </c>
      <c r="AS117" s="4427">
        <f t="shared" si="145"/>
        <v>0</v>
      </c>
      <c r="AT117" s="4427">
        <f t="shared" si="146"/>
        <v>0</v>
      </c>
      <c r="AU117" s="4427">
        <f t="shared" si="147"/>
        <v>0</v>
      </c>
      <c r="AV117" s="4427">
        <f t="shared" si="148"/>
        <v>0</v>
      </c>
      <c r="AW117" s="4427">
        <f t="shared" si="149"/>
        <v>0</v>
      </c>
      <c r="AX117" s="4427">
        <f t="shared" si="150"/>
        <v>0</v>
      </c>
      <c r="AY117" s="4427">
        <f t="shared" si="151"/>
        <v>0</v>
      </c>
      <c r="AZ117" s="4427">
        <f t="shared" si="152"/>
        <v>0</v>
      </c>
      <c r="BA117" s="4427">
        <f t="shared" si="153"/>
        <v>0</v>
      </c>
    </row>
    <row r="118" spans="1:53" ht="12.75" customHeight="1" thickBot="1">
      <c r="A118" s="5284" t="s">
        <v>1453</v>
      </c>
      <c r="B118" s="5285"/>
      <c r="C118" s="3120"/>
      <c r="D118" s="3121"/>
      <c r="E118" s="3121"/>
      <c r="F118" s="3121">
        <v>5</v>
      </c>
      <c r="G118" s="3121">
        <v>5</v>
      </c>
      <c r="H118" s="3120"/>
      <c r="I118" s="3121"/>
      <c r="J118" s="3121"/>
      <c r="K118" s="3121"/>
      <c r="L118" s="3121"/>
      <c r="M118" s="3120"/>
      <c r="N118" s="3121"/>
      <c r="O118" s="3121"/>
      <c r="P118" s="3121"/>
      <c r="Q118" s="3121"/>
      <c r="R118" s="3120"/>
      <c r="S118" s="3121"/>
      <c r="T118" s="3121"/>
      <c r="U118" s="3121"/>
      <c r="V118" s="3121"/>
      <c r="W118" s="3120"/>
      <c r="X118" s="3121"/>
      <c r="Y118" s="3121"/>
      <c r="Z118" s="3121"/>
      <c r="AA118" s="3121"/>
      <c r="AB118" s="4422"/>
      <c r="AC118" s="4427">
        <f t="shared" si="154"/>
        <v>0</v>
      </c>
      <c r="AD118" s="4427">
        <f t="shared" si="130"/>
        <v>0</v>
      </c>
      <c r="AE118" s="4427">
        <f t="shared" si="131"/>
        <v>0</v>
      </c>
      <c r="AF118" s="4427">
        <f t="shared" si="132"/>
        <v>2.5564594059810926</v>
      </c>
      <c r="AG118" s="4427">
        <f t="shared" si="133"/>
        <v>2.5564594059810926</v>
      </c>
      <c r="AH118" s="4427">
        <f t="shared" si="134"/>
        <v>0</v>
      </c>
      <c r="AI118" s="4427">
        <f t="shared" si="135"/>
        <v>0</v>
      </c>
      <c r="AJ118" s="4427">
        <f t="shared" si="136"/>
        <v>0</v>
      </c>
      <c r="AK118" s="4427">
        <f t="shared" si="137"/>
        <v>0</v>
      </c>
      <c r="AL118" s="4427">
        <f t="shared" si="138"/>
        <v>0</v>
      </c>
      <c r="AM118" s="4427">
        <f t="shared" si="139"/>
        <v>0</v>
      </c>
      <c r="AN118" s="4427">
        <f t="shared" si="140"/>
        <v>0</v>
      </c>
      <c r="AO118" s="4427">
        <f t="shared" si="141"/>
        <v>0</v>
      </c>
      <c r="AP118" s="4427">
        <f t="shared" si="142"/>
        <v>0</v>
      </c>
      <c r="AQ118" s="4427">
        <f t="shared" si="143"/>
        <v>0</v>
      </c>
      <c r="AR118" s="4427">
        <f t="shared" si="144"/>
        <v>0</v>
      </c>
      <c r="AS118" s="4427">
        <f t="shared" si="145"/>
        <v>0</v>
      </c>
      <c r="AT118" s="4427">
        <f t="shared" si="146"/>
        <v>0</v>
      </c>
      <c r="AU118" s="4427">
        <f t="shared" si="147"/>
        <v>0</v>
      </c>
      <c r="AV118" s="4427">
        <f t="shared" si="148"/>
        <v>0</v>
      </c>
      <c r="AW118" s="4427">
        <f t="shared" si="149"/>
        <v>0</v>
      </c>
      <c r="AX118" s="4427">
        <f t="shared" si="150"/>
        <v>0</v>
      </c>
      <c r="AY118" s="4427">
        <f t="shared" si="151"/>
        <v>0</v>
      </c>
      <c r="AZ118" s="4427">
        <f t="shared" si="152"/>
        <v>0</v>
      </c>
      <c r="BA118" s="4427">
        <f t="shared" si="153"/>
        <v>0</v>
      </c>
    </row>
    <row r="119" spans="1:53" ht="12.75" customHeight="1" thickBot="1">
      <c r="A119" s="5284" t="s">
        <v>1454</v>
      </c>
      <c r="B119" s="5285"/>
      <c r="C119" s="3120"/>
      <c r="D119" s="3121"/>
      <c r="E119" s="3121"/>
      <c r="F119" s="3121">
        <v>0</v>
      </c>
      <c r="G119" s="3121">
        <v>0</v>
      </c>
      <c r="H119" s="3120"/>
      <c r="I119" s="3121"/>
      <c r="J119" s="3121"/>
      <c r="K119" s="3121"/>
      <c r="L119" s="3121"/>
      <c r="M119" s="3120"/>
      <c r="N119" s="3121"/>
      <c r="O119" s="3121"/>
      <c r="P119" s="3121"/>
      <c r="Q119" s="3121"/>
      <c r="R119" s="3120"/>
      <c r="S119" s="3121"/>
      <c r="T119" s="3121"/>
      <c r="U119" s="3121"/>
      <c r="V119" s="3121"/>
      <c r="W119" s="3120"/>
      <c r="X119" s="3121"/>
      <c r="Y119" s="3121"/>
      <c r="Z119" s="3121"/>
      <c r="AA119" s="3121"/>
      <c r="AB119" s="4422"/>
      <c r="AC119" s="4427">
        <f t="shared" si="154"/>
        <v>0</v>
      </c>
      <c r="AD119" s="4427">
        <f t="shared" si="130"/>
        <v>0</v>
      </c>
      <c r="AE119" s="4427">
        <f t="shared" si="131"/>
        <v>0</v>
      </c>
      <c r="AF119" s="4427">
        <f t="shared" si="132"/>
        <v>0</v>
      </c>
      <c r="AG119" s="4427">
        <f t="shared" si="133"/>
        <v>0</v>
      </c>
      <c r="AH119" s="4427">
        <f t="shared" si="134"/>
        <v>0</v>
      </c>
      <c r="AI119" s="4427">
        <f t="shared" si="135"/>
        <v>0</v>
      </c>
      <c r="AJ119" s="4427">
        <f t="shared" si="136"/>
        <v>0</v>
      </c>
      <c r="AK119" s="4427">
        <f t="shared" si="137"/>
        <v>0</v>
      </c>
      <c r="AL119" s="4427">
        <f t="shared" si="138"/>
        <v>0</v>
      </c>
      <c r="AM119" s="4427">
        <f t="shared" si="139"/>
        <v>0</v>
      </c>
      <c r="AN119" s="4427">
        <f t="shared" si="140"/>
        <v>0</v>
      </c>
      <c r="AO119" s="4427">
        <f t="shared" si="141"/>
        <v>0</v>
      </c>
      <c r="AP119" s="4427">
        <f t="shared" si="142"/>
        <v>0</v>
      </c>
      <c r="AQ119" s="4427">
        <f t="shared" si="143"/>
        <v>0</v>
      </c>
      <c r="AR119" s="4427">
        <f t="shared" si="144"/>
        <v>0</v>
      </c>
      <c r="AS119" s="4427">
        <f t="shared" si="145"/>
        <v>0</v>
      </c>
      <c r="AT119" s="4427">
        <f t="shared" si="146"/>
        <v>0</v>
      </c>
      <c r="AU119" s="4427">
        <f t="shared" si="147"/>
        <v>0</v>
      </c>
      <c r="AV119" s="4427">
        <f t="shared" si="148"/>
        <v>0</v>
      </c>
      <c r="AW119" s="4427">
        <f t="shared" si="149"/>
        <v>0</v>
      </c>
      <c r="AX119" s="4427">
        <f t="shared" si="150"/>
        <v>0</v>
      </c>
      <c r="AY119" s="4427">
        <f t="shared" si="151"/>
        <v>0</v>
      </c>
      <c r="AZ119" s="4427">
        <f t="shared" si="152"/>
        <v>0</v>
      </c>
      <c r="BA119" s="4427">
        <f t="shared" si="153"/>
        <v>0</v>
      </c>
    </row>
    <row r="120" spans="1:53" ht="12.75" customHeight="1" thickBot="1">
      <c r="A120" s="5284" t="s">
        <v>1455</v>
      </c>
      <c r="B120" s="5285"/>
      <c r="C120" s="3120"/>
      <c r="D120" s="3121"/>
      <c r="E120" s="3121"/>
      <c r="F120" s="3121">
        <v>111162.337254</v>
      </c>
      <c r="G120" s="3121">
        <v>111162.337254</v>
      </c>
      <c r="H120" s="3120"/>
      <c r="I120" s="3121"/>
      <c r="J120" s="3121"/>
      <c r="K120" s="3121"/>
      <c r="L120" s="3121"/>
      <c r="M120" s="3120"/>
      <c r="N120" s="3121"/>
      <c r="O120" s="3121"/>
      <c r="P120" s="3121"/>
      <c r="Q120" s="3121"/>
      <c r="R120" s="3120"/>
      <c r="S120" s="3121"/>
      <c r="T120" s="3121"/>
      <c r="U120" s="3121"/>
      <c r="V120" s="3121"/>
      <c r="W120" s="3120"/>
      <c r="X120" s="3121"/>
      <c r="Y120" s="3121"/>
      <c r="Z120" s="3121"/>
      <c r="AA120" s="3121"/>
      <c r="AB120" s="4422"/>
      <c r="AC120" s="4427">
        <f t="shared" si="154"/>
        <v>0</v>
      </c>
      <c r="AD120" s="4427">
        <f t="shared" si="130"/>
        <v>0</v>
      </c>
      <c r="AE120" s="4427">
        <f t="shared" si="131"/>
        <v>0</v>
      </c>
      <c r="AF120" s="4427">
        <f t="shared" si="132"/>
        <v>56836.400532766143</v>
      </c>
      <c r="AG120" s="4427">
        <f t="shared" si="133"/>
        <v>56836.400532766143</v>
      </c>
      <c r="AH120" s="4427">
        <f t="shared" si="134"/>
        <v>0</v>
      </c>
      <c r="AI120" s="4427">
        <f t="shared" si="135"/>
        <v>0</v>
      </c>
      <c r="AJ120" s="4427">
        <f t="shared" si="136"/>
        <v>0</v>
      </c>
      <c r="AK120" s="4427">
        <f t="shared" si="137"/>
        <v>0</v>
      </c>
      <c r="AL120" s="4427">
        <f t="shared" si="138"/>
        <v>0</v>
      </c>
      <c r="AM120" s="4427">
        <f t="shared" si="139"/>
        <v>0</v>
      </c>
      <c r="AN120" s="4427">
        <f t="shared" si="140"/>
        <v>0</v>
      </c>
      <c r="AO120" s="4427">
        <f t="shared" si="141"/>
        <v>0</v>
      </c>
      <c r="AP120" s="4427">
        <f t="shared" si="142"/>
        <v>0</v>
      </c>
      <c r="AQ120" s="4427">
        <f t="shared" si="143"/>
        <v>0</v>
      </c>
      <c r="AR120" s="4427">
        <f t="shared" si="144"/>
        <v>0</v>
      </c>
      <c r="AS120" s="4427">
        <f t="shared" si="145"/>
        <v>0</v>
      </c>
      <c r="AT120" s="4427">
        <f t="shared" si="146"/>
        <v>0</v>
      </c>
      <c r="AU120" s="4427">
        <f t="shared" si="147"/>
        <v>0</v>
      </c>
      <c r="AV120" s="4427">
        <f t="shared" si="148"/>
        <v>0</v>
      </c>
      <c r="AW120" s="4427">
        <f t="shared" si="149"/>
        <v>0</v>
      </c>
      <c r="AX120" s="4427">
        <f t="shared" si="150"/>
        <v>0</v>
      </c>
      <c r="AY120" s="4427">
        <f t="shared" si="151"/>
        <v>0</v>
      </c>
      <c r="AZ120" s="4427">
        <f t="shared" si="152"/>
        <v>0</v>
      </c>
      <c r="BA120" s="4427">
        <f t="shared" si="153"/>
        <v>0</v>
      </c>
    </row>
    <row r="121" spans="1:53" ht="13.5" thickBot="1">
      <c r="A121" s="5291" t="s">
        <v>1456</v>
      </c>
      <c r="B121" s="5292"/>
      <c r="C121" s="3120"/>
      <c r="D121" s="3121"/>
      <c r="E121" s="3121"/>
      <c r="F121" s="3121">
        <v>22</v>
      </c>
      <c r="G121" s="3121">
        <v>22</v>
      </c>
      <c r="H121" s="3120"/>
      <c r="I121" s="3121"/>
      <c r="J121" s="3121"/>
      <c r="K121" s="3121"/>
      <c r="L121" s="3121"/>
      <c r="M121" s="3120"/>
      <c r="N121" s="3121"/>
      <c r="O121" s="3121"/>
      <c r="P121" s="3121"/>
      <c r="Q121" s="3121"/>
      <c r="R121" s="3120"/>
      <c r="S121" s="3121"/>
      <c r="T121" s="3121"/>
      <c r="U121" s="3121"/>
      <c r="V121" s="3121"/>
      <c r="W121" s="3120"/>
      <c r="X121" s="3121"/>
      <c r="Y121" s="3121"/>
      <c r="Z121" s="3121"/>
      <c r="AA121" s="3121"/>
      <c r="AB121" s="4422"/>
      <c r="AC121" s="4427">
        <f t="shared" si="154"/>
        <v>0</v>
      </c>
      <c r="AD121" s="4427">
        <f t="shared" si="130"/>
        <v>0</v>
      </c>
      <c r="AE121" s="4427">
        <f t="shared" si="131"/>
        <v>0</v>
      </c>
      <c r="AF121" s="4427">
        <f t="shared" si="132"/>
        <v>11.248421386316807</v>
      </c>
      <c r="AG121" s="4427">
        <f t="shared" si="133"/>
        <v>11.248421386316807</v>
      </c>
      <c r="AH121" s="4427">
        <f t="shared" si="134"/>
        <v>0</v>
      </c>
      <c r="AI121" s="4427">
        <f t="shared" si="135"/>
        <v>0</v>
      </c>
      <c r="AJ121" s="4427">
        <f t="shared" si="136"/>
        <v>0</v>
      </c>
      <c r="AK121" s="4427">
        <f t="shared" si="137"/>
        <v>0</v>
      </c>
      <c r="AL121" s="4427">
        <f t="shared" si="138"/>
        <v>0</v>
      </c>
      <c r="AM121" s="4427">
        <f t="shared" si="139"/>
        <v>0</v>
      </c>
      <c r="AN121" s="4427">
        <f t="shared" si="140"/>
        <v>0</v>
      </c>
      <c r="AO121" s="4427">
        <f t="shared" si="141"/>
        <v>0</v>
      </c>
      <c r="AP121" s="4427">
        <f t="shared" si="142"/>
        <v>0</v>
      </c>
      <c r="AQ121" s="4427">
        <f t="shared" si="143"/>
        <v>0</v>
      </c>
      <c r="AR121" s="4427">
        <f t="shared" si="144"/>
        <v>0</v>
      </c>
      <c r="AS121" s="4427">
        <f t="shared" si="145"/>
        <v>0</v>
      </c>
      <c r="AT121" s="4427">
        <f t="shared" si="146"/>
        <v>0</v>
      </c>
      <c r="AU121" s="4427">
        <f t="shared" si="147"/>
        <v>0</v>
      </c>
      <c r="AV121" s="4427">
        <f t="shared" si="148"/>
        <v>0</v>
      </c>
      <c r="AW121" s="4427">
        <f t="shared" si="149"/>
        <v>0</v>
      </c>
      <c r="AX121" s="4427">
        <f t="shared" si="150"/>
        <v>0</v>
      </c>
      <c r="AY121" s="4427">
        <f t="shared" si="151"/>
        <v>0</v>
      </c>
      <c r="AZ121" s="4427">
        <f t="shared" si="152"/>
        <v>0</v>
      </c>
      <c r="BA121" s="4427">
        <f t="shared" si="153"/>
        <v>0</v>
      </c>
    </row>
    <row r="122" spans="1:53" ht="12.75" customHeight="1" thickBot="1">
      <c r="A122" s="5307" t="s">
        <v>1457</v>
      </c>
      <c r="B122" s="5308"/>
      <c r="C122" s="3120"/>
      <c r="D122" s="3121"/>
      <c r="E122" s="3121"/>
      <c r="F122" s="3121">
        <v>236</v>
      </c>
      <c r="G122" s="3121">
        <v>307</v>
      </c>
      <c r="H122" s="3120"/>
      <c r="I122" s="3121"/>
      <c r="J122" s="3121"/>
      <c r="K122" s="3121"/>
      <c r="L122" s="3121"/>
      <c r="M122" s="3120"/>
      <c r="N122" s="3121"/>
      <c r="O122" s="3121"/>
      <c r="P122" s="3121"/>
      <c r="Q122" s="3121"/>
      <c r="R122" s="3120"/>
      <c r="S122" s="3121"/>
      <c r="T122" s="3121"/>
      <c r="U122" s="3121"/>
      <c r="V122" s="3121"/>
      <c r="W122" s="3120"/>
      <c r="X122" s="3121"/>
      <c r="Y122" s="3121"/>
      <c r="Z122" s="3121"/>
      <c r="AA122" s="3121"/>
      <c r="AB122" s="4422"/>
      <c r="AC122" s="4427">
        <f t="shared" si="154"/>
        <v>0</v>
      </c>
      <c r="AD122" s="4427">
        <f t="shared" si="130"/>
        <v>0</v>
      </c>
      <c r="AE122" s="4427">
        <f t="shared" si="131"/>
        <v>0</v>
      </c>
      <c r="AF122" s="4427">
        <f t="shared" si="132"/>
        <v>120.66488396230757</v>
      </c>
      <c r="AG122" s="4427">
        <f t="shared" si="133"/>
        <v>156.96660752723909</v>
      </c>
      <c r="AH122" s="4427">
        <f t="shared" si="134"/>
        <v>0</v>
      </c>
      <c r="AI122" s="4427">
        <f t="shared" si="135"/>
        <v>0</v>
      </c>
      <c r="AJ122" s="4427">
        <f t="shared" si="136"/>
        <v>0</v>
      </c>
      <c r="AK122" s="4427">
        <f t="shared" si="137"/>
        <v>0</v>
      </c>
      <c r="AL122" s="4427">
        <f t="shared" si="138"/>
        <v>0</v>
      </c>
      <c r="AM122" s="4427">
        <f t="shared" si="139"/>
        <v>0</v>
      </c>
      <c r="AN122" s="4427">
        <f t="shared" si="140"/>
        <v>0</v>
      </c>
      <c r="AO122" s="4427">
        <f t="shared" si="141"/>
        <v>0</v>
      </c>
      <c r="AP122" s="4427">
        <f t="shared" si="142"/>
        <v>0</v>
      </c>
      <c r="AQ122" s="4427">
        <f t="shared" si="143"/>
        <v>0</v>
      </c>
      <c r="AR122" s="4427">
        <f t="shared" si="144"/>
        <v>0</v>
      </c>
      <c r="AS122" s="4427">
        <f t="shared" si="145"/>
        <v>0</v>
      </c>
      <c r="AT122" s="4427">
        <f t="shared" si="146"/>
        <v>0</v>
      </c>
      <c r="AU122" s="4427">
        <f t="shared" si="147"/>
        <v>0</v>
      </c>
      <c r="AV122" s="4427">
        <f t="shared" si="148"/>
        <v>0</v>
      </c>
      <c r="AW122" s="4427">
        <f t="shared" si="149"/>
        <v>0</v>
      </c>
      <c r="AX122" s="4427">
        <f t="shared" si="150"/>
        <v>0</v>
      </c>
      <c r="AY122" s="4427">
        <f t="shared" si="151"/>
        <v>0</v>
      </c>
      <c r="AZ122" s="4427">
        <f t="shared" si="152"/>
        <v>0</v>
      </c>
      <c r="BA122" s="4427">
        <f t="shared" si="153"/>
        <v>0</v>
      </c>
    </row>
    <row r="123" spans="1:53" ht="12.75" customHeight="1" thickBot="1">
      <c r="A123" s="5307" t="s">
        <v>1458</v>
      </c>
      <c r="B123" s="5308"/>
      <c r="C123" s="3120"/>
      <c r="D123" s="3121"/>
      <c r="E123" s="3121"/>
      <c r="F123" s="3121">
        <v>55</v>
      </c>
      <c r="G123" s="3121">
        <v>70</v>
      </c>
      <c r="H123" s="3120"/>
      <c r="I123" s="3121"/>
      <c r="J123" s="3121"/>
      <c r="K123" s="3121"/>
      <c r="L123" s="3121"/>
      <c r="M123" s="3120"/>
      <c r="N123" s="3121"/>
      <c r="O123" s="3121"/>
      <c r="P123" s="3121"/>
      <c r="Q123" s="3121"/>
      <c r="R123" s="3120"/>
      <c r="S123" s="3121"/>
      <c r="T123" s="3121"/>
      <c r="U123" s="3121"/>
      <c r="V123" s="3121"/>
      <c r="W123" s="3120"/>
      <c r="X123" s="3121"/>
      <c r="Y123" s="3121"/>
      <c r="Z123" s="3121"/>
      <c r="AA123" s="3121"/>
      <c r="AB123" s="4422"/>
      <c r="AC123" s="4427">
        <f t="shared" si="154"/>
        <v>0</v>
      </c>
      <c r="AD123" s="4427">
        <f t="shared" si="130"/>
        <v>0</v>
      </c>
      <c r="AE123" s="4427">
        <f t="shared" si="131"/>
        <v>0</v>
      </c>
      <c r="AF123" s="4427">
        <f t="shared" si="132"/>
        <v>28.121053465792016</v>
      </c>
      <c r="AG123" s="4427">
        <f t="shared" si="133"/>
        <v>35.790431683735292</v>
      </c>
      <c r="AH123" s="4427">
        <f t="shared" si="134"/>
        <v>0</v>
      </c>
      <c r="AI123" s="4427">
        <f t="shared" si="135"/>
        <v>0</v>
      </c>
      <c r="AJ123" s="4427">
        <f t="shared" si="136"/>
        <v>0</v>
      </c>
      <c r="AK123" s="4427">
        <f t="shared" si="137"/>
        <v>0</v>
      </c>
      <c r="AL123" s="4427">
        <f t="shared" si="138"/>
        <v>0</v>
      </c>
      <c r="AM123" s="4427">
        <f t="shared" si="139"/>
        <v>0</v>
      </c>
      <c r="AN123" s="4427">
        <f t="shared" si="140"/>
        <v>0</v>
      </c>
      <c r="AO123" s="4427">
        <f t="shared" si="141"/>
        <v>0</v>
      </c>
      <c r="AP123" s="4427">
        <f t="shared" si="142"/>
        <v>0</v>
      </c>
      <c r="AQ123" s="4427">
        <f t="shared" si="143"/>
        <v>0</v>
      </c>
      <c r="AR123" s="4427">
        <f t="shared" si="144"/>
        <v>0</v>
      </c>
      <c r="AS123" s="4427">
        <f t="shared" si="145"/>
        <v>0</v>
      </c>
      <c r="AT123" s="4427">
        <f t="shared" si="146"/>
        <v>0</v>
      </c>
      <c r="AU123" s="4427">
        <f t="shared" si="147"/>
        <v>0</v>
      </c>
      <c r="AV123" s="4427">
        <f t="shared" si="148"/>
        <v>0</v>
      </c>
      <c r="AW123" s="4427">
        <f t="shared" si="149"/>
        <v>0</v>
      </c>
      <c r="AX123" s="4427">
        <f t="shared" si="150"/>
        <v>0</v>
      </c>
      <c r="AY123" s="4427">
        <f t="shared" si="151"/>
        <v>0</v>
      </c>
      <c r="AZ123" s="4427">
        <f t="shared" si="152"/>
        <v>0</v>
      </c>
      <c r="BA123" s="4427">
        <f t="shared" si="153"/>
        <v>0</v>
      </c>
    </row>
    <row r="124" spans="1:53" ht="13.5" thickBot="1">
      <c r="A124" s="5307" t="s">
        <v>1459</v>
      </c>
      <c r="B124" s="5308"/>
      <c r="C124" s="3120"/>
      <c r="D124" s="3121"/>
      <c r="E124" s="3121"/>
      <c r="F124" s="3121">
        <v>6</v>
      </c>
      <c r="G124" s="3121">
        <v>6</v>
      </c>
      <c r="H124" s="3120"/>
      <c r="I124" s="3121"/>
      <c r="J124" s="3121"/>
      <c r="K124" s="3121"/>
      <c r="L124" s="3121"/>
      <c r="M124" s="3120"/>
      <c r="N124" s="3121"/>
      <c r="O124" s="3121"/>
      <c r="P124" s="3121"/>
      <c r="Q124" s="3121"/>
      <c r="R124" s="3120"/>
      <c r="S124" s="3121"/>
      <c r="T124" s="3121"/>
      <c r="U124" s="3121"/>
      <c r="V124" s="3121"/>
      <c r="W124" s="3120"/>
      <c r="X124" s="3121"/>
      <c r="Y124" s="3121"/>
      <c r="Z124" s="3121"/>
      <c r="AA124" s="3121"/>
      <c r="AB124" s="4422"/>
      <c r="AC124" s="4427">
        <f t="shared" si="154"/>
        <v>0</v>
      </c>
      <c r="AD124" s="4427">
        <f t="shared" si="130"/>
        <v>0</v>
      </c>
      <c r="AE124" s="4427">
        <f t="shared" si="131"/>
        <v>0</v>
      </c>
      <c r="AF124" s="4427">
        <f t="shared" si="132"/>
        <v>3.0677512871773112</v>
      </c>
      <c r="AG124" s="4427">
        <f t="shared" si="133"/>
        <v>3.0677512871773112</v>
      </c>
      <c r="AH124" s="4427">
        <f t="shared" si="134"/>
        <v>0</v>
      </c>
      <c r="AI124" s="4427">
        <f t="shared" si="135"/>
        <v>0</v>
      </c>
      <c r="AJ124" s="4427">
        <f t="shared" si="136"/>
        <v>0</v>
      </c>
      <c r="AK124" s="4427">
        <f t="shared" si="137"/>
        <v>0</v>
      </c>
      <c r="AL124" s="4427">
        <f t="shared" si="138"/>
        <v>0</v>
      </c>
      <c r="AM124" s="4427">
        <f t="shared" si="139"/>
        <v>0</v>
      </c>
      <c r="AN124" s="4427">
        <f t="shared" si="140"/>
        <v>0</v>
      </c>
      <c r="AO124" s="4427">
        <f t="shared" si="141"/>
        <v>0</v>
      </c>
      <c r="AP124" s="4427">
        <f t="shared" si="142"/>
        <v>0</v>
      </c>
      <c r="AQ124" s="4427">
        <f t="shared" si="143"/>
        <v>0</v>
      </c>
      <c r="AR124" s="4427">
        <f t="shared" si="144"/>
        <v>0</v>
      </c>
      <c r="AS124" s="4427">
        <f t="shared" si="145"/>
        <v>0</v>
      </c>
      <c r="AT124" s="4427">
        <f t="shared" si="146"/>
        <v>0</v>
      </c>
      <c r="AU124" s="4427">
        <f t="shared" si="147"/>
        <v>0</v>
      </c>
      <c r="AV124" s="4427">
        <f t="shared" si="148"/>
        <v>0</v>
      </c>
      <c r="AW124" s="4427">
        <f t="shared" si="149"/>
        <v>0</v>
      </c>
      <c r="AX124" s="4427">
        <f t="shared" si="150"/>
        <v>0</v>
      </c>
      <c r="AY124" s="4427">
        <f t="shared" si="151"/>
        <v>0</v>
      </c>
      <c r="AZ124" s="4427">
        <f t="shared" si="152"/>
        <v>0</v>
      </c>
      <c r="BA124" s="4427">
        <f t="shared" si="153"/>
        <v>0</v>
      </c>
    </row>
    <row r="125" spans="1:53" ht="13.5" thickBot="1">
      <c r="A125" s="5309" t="s">
        <v>1460</v>
      </c>
      <c r="B125" s="5310"/>
      <c r="C125" s="3124"/>
      <c r="D125" s="3125"/>
      <c r="E125" s="3125"/>
      <c r="F125" s="3125">
        <v>1</v>
      </c>
      <c r="G125" s="3125">
        <v>1</v>
      </c>
      <c r="H125" s="3124"/>
      <c r="I125" s="3125"/>
      <c r="J125" s="3125"/>
      <c r="K125" s="3125"/>
      <c r="L125" s="3125"/>
      <c r="M125" s="3124"/>
      <c r="N125" s="3125"/>
      <c r="O125" s="3125"/>
      <c r="P125" s="3125"/>
      <c r="Q125" s="3125"/>
      <c r="R125" s="3124"/>
      <c r="S125" s="3125"/>
      <c r="T125" s="3125"/>
      <c r="U125" s="3125"/>
      <c r="V125" s="3125"/>
      <c r="W125" s="3124"/>
      <c r="X125" s="3125"/>
      <c r="Y125" s="3125"/>
      <c r="Z125" s="3125"/>
      <c r="AA125" s="3125"/>
      <c r="AB125" s="4422"/>
      <c r="AC125" s="4427">
        <f t="shared" si="154"/>
        <v>0</v>
      </c>
      <c r="AD125" s="4427">
        <f t="shared" si="130"/>
        <v>0</v>
      </c>
      <c r="AE125" s="4427">
        <f t="shared" si="131"/>
        <v>0</v>
      </c>
      <c r="AF125" s="4427">
        <f t="shared" si="132"/>
        <v>0.51129188119621849</v>
      </c>
      <c r="AG125" s="4427">
        <f t="shared" si="133"/>
        <v>0.51129188119621849</v>
      </c>
      <c r="AH125" s="4427">
        <f t="shared" si="134"/>
        <v>0</v>
      </c>
      <c r="AI125" s="4427">
        <f t="shared" si="135"/>
        <v>0</v>
      </c>
      <c r="AJ125" s="4427">
        <f t="shared" si="136"/>
        <v>0</v>
      </c>
      <c r="AK125" s="4427">
        <f t="shared" si="137"/>
        <v>0</v>
      </c>
      <c r="AL125" s="4427">
        <f t="shared" si="138"/>
        <v>0</v>
      </c>
      <c r="AM125" s="4427">
        <f t="shared" si="139"/>
        <v>0</v>
      </c>
      <c r="AN125" s="4427">
        <f t="shared" si="140"/>
        <v>0</v>
      </c>
      <c r="AO125" s="4427">
        <f t="shared" si="141"/>
        <v>0</v>
      </c>
      <c r="AP125" s="4427">
        <f t="shared" si="142"/>
        <v>0</v>
      </c>
      <c r="AQ125" s="4427">
        <f t="shared" si="143"/>
        <v>0</v>
      </c>
      <c r="AR125" s="4427">
        <f t="shared" si="144"/>
        <v>0</v>
      </c>
      <c r="AS125" s="4427">
        <f t="shared" si="145"/>
        <v>0</v>
      </c>
      <c r="AT125" s="4427">
        <f t="shared" si="146"/>
        <v>0</v>
      </c>
      <c r="AU125" s="4427">
        <f t="shared" si="147"/>
        <v>0</v>
      </c>
      <c r="AV125" s="4427">
        <f t="shared" si="148"/>
        <v>0</v>
      </c>
      <c r="AW125" s="4427">
        <f t="shared" si="149"/>
        <v>0</v>
      </c>
      <c r="AX125" s="4427">
        <f t="shared" si="150"/>
        <v>0</v>
      </c>
      <c r="AY125" s="4427">
        <f t="shared" si="151"/>
        <v>0</v>
      </c>
      <c r="AZ125" s="4427">
        <f t="shared" si="152"/>
        <v>0</v>
      </c>
      <c r="BA125" s="4427">
        <f t="shared" si="153"/>
        <v>0</v>
      </c>
    </row>
    <row r="126" spans="1:53" ht="18.75" customHeight="1" thickBot="1">
      <c r="A126" s="5298" t="s">
        <v>1175</v>
      </c>
      <c r="B126" s="5299"/>
      <c r="C126" s="5303">
        <v>6</v>
      </c>
      <c r="D126" s="5304"/>
      <c r="E126" s="5304"/>
      <c r="F126" s="5304"/>
      <c r="G126" s="5304"/>
      <c r="H126" s="5303">
        <f>C126+1</f>
        <v>7</v>
      </c>
      <c r="I126" s="5304"/>
      <c r="J126" s="5304"/>
      <c r="K126" s="5304"/>
      <c r="L126" s="5304"/>
      <c r="M126" s="5303">
        <f>H126+1</f>
        <v>8</v>
      </c>
      <c r="N126" s="5304"/>
      <c r="O126" s="5304"/>
      <c r="P126" s="5304"/>
      <c r="Q126" s="5304"/>
      <c r="R126" s="5303">
        <f>M126+1</f>
        <v>9</v>
      </c>
      <c r="S126" s="5304"/>
      <c r="T126" s="5304"/>
      <c r="U126" s="5304"/>
      <c r="V126" s="5304"/>
      <c r="W126" s="5303">
        <f>R126+1</f>
        <v>10</v>
      </c>
      <c r="X126" s="5304"/>
      <c r="Y126" s="5304"/>
      <c r="Z126" s="5304"/>
      <c r="AA126" s="5304"/>
      <c r="AB126" s="4422"/>
      <c r="AC126" s="5150">
        <f>+C126</f>
        <v>6</v>
      </c>
      <c r="AD126" s="5150"/>
      <c r="AE126" s="5150"/>
      <c r="AF126" s="5150"/>
      <c r="AG126" s="5150"/>
      <c r="AH126" s="5150">
        <f>+H126</f>
        <v>7</v>
      </c>
      <c r="AI126" s="5150"/>
      <c r="AJ126" s="5150"/>
      <c r="AK126" s="5150"/>
      <c r="AL126" s="5150"/>
      <c r="AM126" s="5150">
        <f>+M126</f>
        <v>8</v>
      </c>
      <c r="AN126" s="5150"/>
      <c r="AO126" s="5150"/>
      <c r="AP126" s="5150"/>
      <c r="AQ126" s="5150"/>
      <c r="AR126" s="5150">
        <f>+R126</f>
        <v>9</v>
      </c>
      <c r="AS126" s="5150"/>
      <c r="AT126" s="5150"/>
      <c r="AU126" s="5150"/>
      <c r="AV126" s="5150"/>
      <c r="AW126" s="5150">
        <f>+W126</f>
        <v>10</v>
      </c>
      <c r="AX126" s="5150"/>
      <c r="AY126" s="5150"/>
      <c r="AZ126" s="5150"/>
      <c r="BA126" s="5150"/>
    </row>
    <row r="127" spans="1:53" ht="12.75" customHeight="1" thickBot="1">
      <c r="A127" s="5295" t="s">
        <v>1297</v>
      </c>
      <c r="B127" s="3114" t="s">
        <v>1446</v>
      </c>
      <c r="C127" s="5288"/>
      <c r="D127" s="5289"/>
      <c r="E127" s="5289"/>
      <c r="F127" s="5289"/>
      <c r="G127" s="5289"/>
      <c r="H127" s="5288"/>
      <c r="I127" s="5289"/>
      <c r="J127" s="5289"/>
      <c r="K127" s="5289"/>
      <c r="L127" s="5289"/>
      <c r="M127" s="5288"/>
      <c r="N127" s="5289"/>
      <c r="O127" s="5289"/>
      <c r="P127" s="5289"/>
      <c r="Q127" s="5289"/>
      <c r="R127" s="5288"/>
      <c r="S127" s="5289"/>
      <c r="T127" s="5289"/>
      <c r="U127" s="5289"/>
      <c r="V127" s="5289"/>
      <c r="W127" s="5288"/>
      <c r="X127" s="5289"/>
      <c r="Y127" s="5289"/>
      <c r="Z127" s="5289"/>
      <c r="AA127" s="5289"/>
      <c r="AB127" s="4422"/>
      <c r="AC127" s="5324" t="str">
        <f>IF(C127=0,"",C127)</f>
        <v/>
      </c>
      <c r="AD127" s="5324"/>
      <c r="AE127" s="5324"/>
      <c r="AF127" s="5324"/>
      <c r="AG127" s="5324"/>
      <c r="AH127" s="5324" t="str">
        <f>IF(H127=0,"",H127)</f>
        <v/>
      </c>
      <c r="AI127" s="5324"/>
      <c r="AJ127" s="5324"/>
      <c r="AK127" s="5324"/>
      <c r="AL127" s="5324"/>
      <c r="AM127" s="5324" t="str">
        <f>IF(M127=0,"",M127)</f>
        <v/>
      </c>
      <c r="AN127" s="5324"/>
      <c r="AO127" s="5324"/>
      <c r="AP127" s="5324"/>
      <c r="AQ127" s="5324"/>
      <c r="AR127" s="5324" t="str">
        <f>IF(R127=0,"",R127)</f>
        <v/>
      </c>
      <c r="AS127" s="5324"/>
      <c r="AT127" s="5324"/>
      <c r="AU127" s="5324"/>
      <c r="AV127" s="5324"/>
      <c r="AW127" s="5324" t="str">
        <f>IF(W127=0,"",W127)</f>
        <v/>
      </c>
      <c r="AX127" s="5324"/>
      <c r="AY127" s="5324"/>
      <c r="AZ127" s="5324"/>
      <c r="BA127" s="5324"/>
    </row>
    <row r="128" spans="1:53" ht="13.5" thickBot="1">
      <c r="A128" s="5295"/>
      <c r="B128" s="3114" t="s">
        <v>1298</v>
      </c>
      <c r="C128" s="5288"/>
      <c r="D128" s="5289"/>
      <c r="E128" s="5289"/>
      <c r="F128" s="5289"/>
      <c r="G128" s="5289"/>
      <c r="H128" s="5288"/>
      <c r="I128" s="5289"/>
      <c r="J128" s="5289"/>
      <c r="K128" s="5289"/>
      <c r="L128" s="5289"/>
      <c r="M128" s="5288"/>
      <c r="N128" s="5289"/>
      <c r="O128" s="5289"/>
      <c r="P128" s="5289"/>
      <c r="Q128" s="5289"/>
      <c r="R128" s="5288"/>
      <c r="S128" s="5289"/>
      <c r="T128" s="5289"/>
      <c r="U128" s="5289"/>
      <c r="V128" s="5289"/>
      <c r="W128" s="5288"/>
      <c r="X128" s="5289"/>
      <c r="Y128" s="5289"/>
      <c r="Z128" s="5289"/>
      <c r="AA128" s="5289"/>
      <c r="AB128" s="4422"/>
      <c r="AC128" s="5324" t="str">
        <f t="shared" ref="AC128:AC132" si="155">IF(C128=0,"",C128)</f>
        <v/>
      </c>
      <c r="AD128" s="5324"/>
      <c r="AE128" s="5324"/>
      <c r="AF128" s="5324"/>
      <c r="AG128" s="5324"/>
      <c r="AH128" s="5324" t="str">
        <f t="shared" ref="AH128:AH132" si="156">IF(H128=0,"",H128)</f>
        <v/>
      </c>
      <c r="AI128" s="5324"/>
      <c r="AJ128" s="5324"/>
      <c r="AK128" s="5324"/>
      <c r="AL128" s="5324"/>
      <c r="AM128" s="5324" t="str">
        <f t="shared" ref="AM128:AM132" si="157">IF(M128=0,"",M128)</f>
        <v/>
      </c>
      <c r="AN128" s="5324"/>
      <c r="AO128" s="5324"/>
      <c r="AP128" s="5324"/>
      <c r="AQ128" s="5324"/>
      <c r="AR128" s="5324" t="str">
        <f t="shared" ref="AR128:AR132" si="158">IF(R128=0,"",R128)</f>
        <v/>
      </c>
      <c r="AS128" s="5324"/>
      <c r="AT128" s="5324"/>
      <c r="AU128" s="5324"/>
      <c r="AV128" s="5324"/>
      <c r="AW128" s="5324" t="str">
        <f t="shared" ref="AW128:AW132" si="159">IF(W128=0,"",W128)</f>
        <v/>
      </c>
      <c r="AX128" s="5324"/>
      <c r="AY128" s="5324"/>
      <c r="AZ128" s="5324"/>
      <c r="BA128" s="5324"/>
    </row>
    <row r="129" spans="1:53" ht="13.5" thickBot="1">
      <c r="A129" s="5278" t="s">
        <v>1299</v>
      </c>
      <c r="B129" s="3115" t="s">
        <v>1300</v>
      </c>
      <c r="C129" s="5293"/>
      <c r="D129" s="5289"/>
      <c r="E129" s="5289"/>
      <c r="F129" s="5289"/>
      <c r="G129" s="5289"/>
      <c r="H129" s="5288"/>
      <c r="I129" s="5289"/>
      <c r="J129" s="5289"/>
      <c r="K129" s="5289"/>
      <c r="L129" s="5289"/>
      <c r="M129" s="5288"/>
      <c r="N129" s="5289"/>
      <c r="O129" s="5289"/>
      <c r="P129" s="5289"/>
      <c r="Q129" s="5289"/>
      <c r="R129" s="5288"/>
      <c r="S129" s="5289"/>
      <c r="T129" s="5289"/>
      <c r="U129" s="5289"/>
      <c r="V129" s="5289"/>
      <c r="W129" s="5288"/>
      <c r="X129" s="5289"/>
      <c r="Y129" s="5289"/>
      <c r="Z129" s="5289"/>
      <c r="AA129" s="5289"/>
      <c r="AB129" s="4422"/>
      <c r="AC129" s="5324" t="str">
        <f t="shared" si="155"/>
        <v/>
      </c>
      <c r="AD129" s="5324"/>
      <c r="AE129" s="5324"/>
      <c r="AF129" s="5324"/>
      <c r="AG129" s="5324"/>
      <c r="AH129" s="5324" t="str">
        <f t="shared" si="156"/>
        <v/>
      </c>
      <c r="AI129" s="5324"/>
      <c r="AJ129" s="5324"/>
      <c r="AK129" s="5324"/>
      <c r="AL129" s="5324"/>
      <c r="AM129" s="5324" t="str">
        <f t="shared" si="157"/>
        <v/>
      </c>
      <c r="AN129" s="5324"/>
      <c r="AO129" s="5324"/>
      <c r="AP129" s="5324"/>
      <c r="AQ129" s="5324"/>
      <c r="AR129" s="5324" t="str">
        <f t="shared" si="158"/>
        <v/>
      </c>
      <c r="AS129" s="5324"/>
      <c r="AT129" s="5324"/>
      <c r="AU129" s="5324"/>
      <c r="AV129" s="5324"/>
      <c r="AW129" s="5324" t="str">
        <f t="shared" si="159"/>
        <v/>
      </c>
      <c r="AX129" s="5324"/>
      <c r="AY129" s="5324"/>
      <c r="AZ129" s="5324"/>
      <c r="BA129" s="5324"/>
    </row>
    <row r="130" spans="1:53" ht="13.5" thickBot="1">
      <c r="A130" s="5279"/>
      <c r="B130" s="3114" t="s">
        <v>1301</v>
      </c>
      <c r="C130" s="5288"/>
      <c r="D130" s="5289"/>
      <c r="E130" s="5289"/>
      <c r="F130" s="5289"/>
      <c r="G130" s="5289"/>
      <c r="H130" s="5288"/>
      <c r="I130" s="5289"/>
      <c r="J130" s="5289"/>
      <c r="K130" s="5289"/>
      <c r="L130" s="5289"/>
      <c r="M130" s="5288"/>
      <c r="N130" s="5289"/>
      <c r="O130" s="5289"/>
      <c r="P130" s="5289"/>
      <c r="Q130" s="5289"/>
      <c r="R130" s="5288"/>
      <c r="S130" s="5289"/>
      <c r="T130" s="5289"/>
      <c r="U130" s="5289"/>
      <c r="V130" s="5289"/>
      <c r="W130" s="5288"/>
      <c r="X130" s="5289"/>
      <c r="Y130" s="5289"/>
      <c r="Z130" s="5289"/>
      <c r="AA130" s="5289"/>
      <c r="AB130" s="4422"/>
      <c r="AC130" s="5324" t="str">
        <f t="shared" si="155"/>
        <v/>
      </c>
      <c r="AD130" s="5324"/>
      <c r="AE130" s="5324"/>
      <c r="AF130" s="5324"/>
      <c r="AG130" s="5324"/>
      <c r="AH130" s="5324" t="str">
        <f t="shared" si="156"/>
        <v/>
      </c>
      <c r="AI130" s="5324"/>
      <c r="AJ130" s="5324"/>
      <c r="AK130" s="5324"/>
      <c r="AL130" s="5324"/>
      <c r="AM130" s="5324" t="str">
        <f t="shared" si="157"/>
        <v/>
      </c>
      <c r="AN130" s="5324"/>
      <c r="AO130" s="5324"/>
      <c r="AP130" s="5324"/>
      <c r="AQ130" s="5324"/>
      <c r="AR130" s="5324" t="str">
        <f t="shared" si="158"/>
        <v/>
      </c>
      <c r="AS130" s="5324"/>
      <c r="AT130" s="5324"/>
      <c r="AU130" s="5324"/>
      <c r="AV130" s="5324"/>
      <c r="AW130" s="5324" t="str">
        <f t="shared" si="159"/>
        <v/>
      </c>
      <c r="AX130" s="5324"/>
      <c r="AY130" s="5324"/>
      <c r="AZ130" s="5324"/>
      <c r="BA130" s="5324"/>
    </row>
    <row r="131" spans="1:53" ht="26.25" thickBot="1">
      <c r="A131" s="3756" t="s">
        <v>1302</v>
      </c>
      <c r="B131" s="3114" t="s">
        <v>1303</v>
      </c>
      <c r="C131" s="5288"/>
      <c r="D131" s="5289"/>
      <c r="E131" s="5289"/>
      <c r="F131" s="5289"/>
      <c r="G131" s="5289"/>
      <c r="H131" s="5288"/>
      <c r="I131" s="5289"/>
      <c r="J131" s="5289"/>
      <c r="K131" s="5289"/>
      <c r="L131" s="5289"/>
      <c r="M131" s="5288"/>
      <c r="N131" s="5289"/>
      <c r="O131" s="5289"/>
      <c r="P131" s="5289"/>
      <c r="Q131" s="5289"/>
      <c r="R131" s="5288"/>
      <c r="S131" s="5289"/>
      <c r="T131" s="5289"/>
      <c r="U131" s="5289"/>
      <c r="V131" s="5289"/>
      <c r="W131" s="5288"/>
      <c r="X131" s="5289"/>
      <c r="Y131" s="5289"/>
      <c r="Z131" s="5289"/>
      <c r="AA131" s="5289"/>
      <c r="AB131" s="4422"/>
      <c r="AC131" s="5324" t="str">
        <f t="shared" si="155"/>
        <v/>
      </c>
      <c r="AD131" s="5324"/>
      <c r="AE131" s="5324"/>
      <c r="AF131" s="5324"/>
      <c r="AG131" s="5324"/>
      <c r="AH131" s="5324" t="str">
        <f t="shared" si="156"/>
        <v/>
      </c>
      <c r="AI131" s="5324"/>
      <c r="AJ131" s="5324"/>
      <c r="AK131" s="5324"/>
      <c r="AL131" s="5324"/>
      <c r="AM131" s="5324" t="str">
        <f t="shared" si="157"/>
        <v/>
      </c>
      <c r="AN131" s="5324"/>
      <c r="AO131" s="5324"/>
      <c r="AP131" s="5324"/>
      <c r="AQ131" s="5324"/>
      <c r="AR131" s="5324" t="str">
        <f t="shared" si="158"/>
        <v/>
      </c>
      <c r="AS131" s="5324"/>
      <c r="AT131" s="5324"/>
      <c r="AU131" s="5324"/>
      <c r="AV131" s="5324"/>
      <c r="AW131" s="5324" t="str">
        <f t="shared" si="159"/>
        <v/>
      </c>
      <c r="AX131" s="5324"/>
      <c r="AY131" s="5324"/>
      <c r="AZ131" s="5324"/>
      <c r="BA131" s="5324"/>
    </row>
    <row r="132" spans="1:53" ht="26.25" customHeight="1" thickBot="1">
      <c r="A132" s="3116" t="s">
        <v>1304</v>
      </c>
      <c r="B132" s="3117" t="s">
        <v>1305</v>
      </c>
      <c r="C132" s="5305"/>
      <c r="D132" s="5306"/>
      <c r="E132" s="5306"/>
      <c r="F132" s="5306"/>
      <c r="G132" s="5306"/>
      <c r="H132" s="5305"/>
      <c r="I132" s="5306"/>
      <c r="J132" s="5306"/>
      <c r="K132" s="5306"/>
      <c r="L132" s="5306"/>
      <c r="M132" s="5305"/>
      <c r="N132" s="5306"/>
      <c r="O132" s="5306"/>
      <c r="P132" s="5306"/>
      <c r="Q132" s="5306"/>
      <c r="R132" s="5305"/>
      <c r="S132" s="5306"/>
      <c r="T132" s="5306"/>
      <c r="U132" s="5306"/>
      <c r="V132" s="5306"/>
      <c r="W132" s="5305"/>
      <c r="X132" s="5306"/>
      <c r="Y132" s="5306"/>
      <c r="Z132" s="5306"/>
      <c r="AA132" s="5306"/>
      <c r="AB132" s="4422"/>
      <c r="AC132" s="5324" t="str">
        <f t="shared" si="155"/>
        <v/>
      </c>
      <c r="AD132" s="5324"/>
      <c r="AE132" s="5324"/>
      <c r="AF132" s="5324"/>
      <c r="AG132" s="5324"/>
      <c r="AH132" s="5324" t="str">
        <f t="shared" si="156"/>
        <v/>
      </c>
      <c r="AI132" s="5324"/>
      <c r="AJ132" s="5324"/>
      <c r="AK132" s="5324"/>
      <c r="AL132" s="5324"/>
      <c r="AM132" s="5324" t="str">
        <f t="shared" si="157"/>
        <v/>
      </c>
      <c r="AN132" s="5324"/>
      <c r="AO132" s="5324"/>
      <c r="AP132" s="5324"/>
      <c r="AQ132" s="5324"/>
      <c r="AR132" s="5324" t="str">
        <f t="shared" si="158"/>
        <v/>
      </c>
      <c r="AS132" s="5324"/>
      <c r="AT132" s="5324"/>
      <c r="AU132" s="5324"/>
      <c r="AV132" s="5324"/>
      <c r="AW132" s="5324" t="str">
        <f t="shared" si="159"/>
        <v/>
      </c>
      <c r="AX132" s="5324"/>
      <c r="AY132" s="5324"/>
      <c r="AZ132" s="5324"/>
      <c r="BA132" s="5324"/>
    </row>
    <row r="133" spans="1:53" ht="13.5" thickBot="1">
      <c r="A133" s="5296" t="s">
        <v>1461</v>
      </c>
      <c r="B133" s="5297"/>
      <c r="C133" s="4209" t="str">
        <f>'Приложение '!$C$14</f>
        <v>2027 г.</v>
      </c>
      <c r="D133" s="4210" t="str">
        <f>'Приложение '!$C$15</f>
        <v>2028 г.</v>
      </c>
      <c r="E133" s="4210" t="str">
        <f>'Приложение '!$C$16</f>
        <v>2029 г.</v>
      </c>
      <c r="F133" s="4210" t="str">
        <f>'Приложение '!$C$17</f>
        <v>2030 г.</v>
      </c>
      <c r="G133" s="4210" t="str">
        <f>'Приложение '!$C$18</f>
        <v>2031 г.</v>
      </c>
      <c r="H133" s="4209" t="str">
        <f>'Приложение '!$C$14</f>
        <v>2027 г.</v>
      </c>
      <c r="I133" s="4210" t="str">
        <f>'Приложение '!$C$15</f>
        <v>2028 г.</v>
      </c>
      <c r="J133" s="4210" t="str">
        <f>'Приложение '!$C$16</f>
        <v>2029 г.</v>
      </c>
      <c r="K133" s="4210" t="str">
        <f>'Приложение '!$C$17</f>
        <v>2030 г.</v>
      </c>
      <c r="L133" s="4210" t="str">
        <f>'Приложение '!$C$18</f>
        <v>2031 г.</v>
      </c>
      <c r="M133" s="4209" t="str">
        <f>'Приложение '!$C$14</f>
        <v>2027 г.</v>
      </c>
      <c r="N133" s="4210" t="str">
        <f>'Приложение '!$C$15</f>
        <v>2028 г.</v>
      </c>
      <c r="O133" s="4210" t="str">
        <f>'Приложение '!$C$16</f>
        <v>2029 г.</v>
      </c>
      <c r="P133" s="4210" t="str">
        <f>'Приложение '!$C$17</f>
        <v>2030 г.</v>
      </c>
      <c r="Q133" s="4210" t="str">
        <f>'Приложение '!$C$18</f>
        <v>2031 г.</v>
      </c>
      <c r="R133" s="4209" t="str">
        <f>'Приложение '!$C$14</f>
        <v>2027 г.</v>
      </c>
      <c r="S133" s="4210" t="str">
        <f>'Приложение '!$C$15</f>
        <v>2028 г.</v>
      </c>
      <c r="T133" s="4210" t="str">
        <f>'Приложение '!$C$16</f>
        <v>2029 г.</v>
      </c>
      <c r="U133" s="4210" t="str">
        <f>'Приложение '!$C$17</f>
        <v>2030 г.</v>
      </c>
      <c r="V133" s="4210" t="str">
        <f>'Приложение '!$C$18</f>
        <v>2031 г.</v>
      </c>
      <c r="W133" s="4209" t="str">
        <f>'Приложение '!$C$14</f>
        <v>2027 г.</v>
      </c>
      <c r="X133" s="4210" t="str">
        <f>'Приложение '!$C$15</f>
        <v>2028 г.</v>
      </c>
      <c r="Y133" s="4210" t="str">
        <f>'Приложение '!$C$16</f>
        <v>2029 г.</v>
      </c>
      <c r="Z133" s="4210" t="str">
        <f>'Приложение '!$C$17</f>
        <v>2030 г.</v>
      </c>
      <c r="AA133" s="4210" t="str">
        <f>'Приложение '!$C$18</f>
        <v>2031 г.</v>
      </c>
      <c r="AB133" s="4422"/>
      <c r="AC133" s="4469" t="str">
        <f>'Приложение '!$C$14</f>
        <v>2027 г.</v>
      </c>
      <c r="AD133" s="4469" t="str">
        <f>'Приложение '!$C$15</f>
        <v>2028 г.</v>
      </c>
      <c r="AE133" s="4469" t="str">
        <f>'Приложение '!$C$16</f>
        <v>2029 г.</v>
      </c>
      <c r="AF133" s="4469" t="str">
        <f>'Приложение '!$C$17</f>
        <v>2030 г.</v>
      </c>
      <c r="AG133" s="4469" t="str">
        <f>'Приложение '!$C$18</f>
        <v>2031 г.</v>
      </c>
      <c r="AH133" s="4469" t="str">
        <f>'Приложение '!$C$14</f>
        <v>2027 г.</v>
      </c>
      <c r="AI133" s="4469" t="str">
        <f>'Приложение '!$C$15</f>
        <v>2028 г.</v>
      </c>
      <c r="AJ133" s="4469" t="str">
        <f>'Приложение '!$C$16</f>
        <v>2029 г.</v>
      </c>
      <c r="AK133" s="4469" t="str">
        <f>'Приложение '!$C$17</f>
        <v>2030 г.</v>
      </c>
      <c r="AL133" s="4469" t="str">
        <f>'Приложение '!$C$18</f>
        <v>2031 г.</v>
      </c>
      <c r="AM133" s="4469" t="str">
        <f>'Приложение '!$C$14</f>
        <v>2027 г.</v>
      </c>
      <c r="AN133" s="4469" t="str">
        <f>'Приложение '!$C$15</f>
        <v>2028 г.</v>
      </c>
      <c r="AO133" s="4469" t="str">
        <f>'Приложение '!$C$16</f>
        <v>2029 г.</v>
      </c>
      <c r="AP133" s="4469" t="str">
        <f>'Приложение '!$C$17</f>
        <v>2030 г.</v>
      </c>
      <c r="AQ133" s="4469" t="str">
        <f>'Приложение '!$C$18</f>
        <v>2031 г.</v>
      </c>
      <c r="AR133" s="4469" t="str">
        <f>'Приложение '!$C$14</f>
        <v>2027 г.</v>
      </c>
      <c r="AS133" s="4469" t="str">
        <f>'Приложение '!$C$15</f>
        <v>2028 г.</v>
      </c>
      <c r="AT133" s="4469" t="str">
        <f>'Приложение '!$C$16</f>
        <v>2029 г.</v>
      </c>
      <c r="AU133" s="4469" t="str">
        <f>'Приложение '!$C$17</f>
        <v>2030 г.</v>
      </c>
      <c r="AV133" s="4469" t="str">
        <f>'Приложение '!$C$18</f>
        <v>2031 г.</v>
      </c>
      <c r="AW133" s="4469" t="str">
        <f>'Приложение '!$C$14</f>
        <v>2027 г.</v>
      </c>
      <c r="AX133" s="4469" t="str">
        <f>'Приложение '!$C$15</f>
        <v>2028 г.</v>
      </c>
      <c r="AY133" s="4469" t="str">
        <f>'Приложение '!$C$16</f>
        <v>2029 г.</v>
      </c>
      <c r="AZ133" s="4469" t="str">
        <f>'Приложение '!$C$17</f>
        <v>2030 г.</v>
      </c>
      <c r="BA133" s="4469" t="str">
        <f>'Приложение '!$C$18</f>
        <v>2031 г.</v>
      </c>
    </row>
    <row r="134" spans="1:53" ht="12.75" customHeight="1">
      <c r="A134" s="5280" t="s">
        <v>1447</v>
      </c>
      <c r="B134" s="5281"/>
      <c r="C134" s="3118"/>
      <c r="D134" s="3119"/>
      <c r="E134" s="3119"/>
      <c r="F134" s="3119"/>
      <c r="G134" s="3119"/>
      <c r="H134" s="3118"/>
      <c r="I134" s="3119"/>
      <c r="J134" s="3119"/>
      <c r="K134" s="3119"/>
      <c r="L134" s="3119"/>
      <c r="M134" s="3118"/>
      <c r="N134" s="3119"/>
      <c r="O134" s="3119"/>
      <c r="P134" s="3119"/>
      <c r="Q134" s="3119"/>
      <c r="R134" s="3118"/>
      <c r="S134" s="3119"/>
      <c r="T134" s="3119"/>
      <c r="U134" s="3119"/>
      <c r="V134" s="3119"/>
      <c r="W134" s="3118"/>
      <c r="X134" s="3119"/>
      <c r="Y134" s="3119"/>
      <c r="Z134" s="3119"/>
      <c r="AA134" s="3119"/>
      <c r="AB134" s="4422"/>
      <c r="AC134" s="4472"/>
      <c r="AD134" s="4472"/>
      <c r="AE134" s="4472"/>
      <c r="AF134" s="4472"/>
      <c r="AG134" s="4472"/>
      <c r="AH134" s="4472"/>
      <c r="AI134" s="4472"/>
      <c r="AJ134" s="4472"/>
      <c r="AK134" s="4472"/>
      <c r="AL134" s="4472"/>
      <c r="AM134" s="4472"/>
      <c r="AN134" s="4472"/>
      <c r="AO134" s="4472"/>
      <c r="AP134" s="4472"/>
      <c r="AQ134" s="4472"/>
      <c r="AR134" s="4472"/>
      <c r="AS134" s="4472"/>
      <c r="AT134" s="4472"/>
      <c r="AU134" s="4472"/>
      <c r="AV134" s="4472"/>
      <c r="AW134" s="4472"/>
      <c r="AX134" s="4472"/>
      <c r="AY134" s="4472"/>
      <c r="AZ134" s="4472"/>
      <c r="BA134" s="4472"/>
    </row>
    <row r="135" spans="1:53" ht="12.75" customHeight="1">
      <c r="A135" s="5282" t="s">
        <v>1448</v>
      </c>
      <c r="B135" s="5283"/>
      <c r="C135" s="3120"/>
      <c r="D135" s="3121"/>
      <c r="E135" s="3121"/>
      <c r="F135" s="3121"/>
      <c r="G135" s="3121"/>
      <c r="H135" s="3120"/>
      <c r="I135" s="3121"/>
      <c r="J135" s="3121"/>
      <c r="K135" s="3121"/>
      <c r="L135" s="3121"/>
      <c r="M135" s="3120"/>
      <c r="N135" s="3121"/>
      <c r="O135" s="3121"/>
      <c r="P135" s="3121"/>
      <c r="Q135" s="3121"/>
      <c r="R135" s="3120"/>
      <c r="S135" s="3121"/>
      <c r="T135" s="3121"/>
      <c r="U135" s="3121"/>
      <c r="V135" s="3121"/>
      <c r="W135" s="3120"/>
      <c r="X135" s="3121"/>
      <c r="Y135" s="3121"/>
      <c r="Z135" s="3121"/>
      <c r="AA135" s="3121"/>
      <c r="AB135" s="4422"/>
      <c r="AC135" s="4473"/>
      <c r="AD135" s="4473"/>
      <c r="AE135" s="4473"/>
      <c r="AF135" s="4473"/>
      <c r="AG135" s="4473"/>
      <c r="AH135" s="4473"/>
      <c r="AI135" s="4473"/>
      <c r="AJ135" s="4473"/>
      <c r="AK135" s="4473"/>
      <c r="AL135" s="4473"/>
      <c r="AM135" s="4473"/>
      <c r="AN135" s="4473"/>
      <c r="AO135" s="4473"/>
      <c r="AP135" s="4473"/>
      <c r="AQ135" s="4473"/>
      <c r="AR135" s="4473"/>
      <c r="AS135" s="4473"/>
      <c r="AT135" s="4473"/>
      <c r="AU135" s="4473"/>
      <c r="AV135" s="4473"/>
      <c r="AW135" s="4473"/>
      <c r="AX135" s="4473"/>
      <c r="AY135" s="4473"/>
      <c r="AZ135" s="4473"/>
      <c r="BA135" s="4473"/>
    </row>
    <row r="136" spans="1:53">
      <c r="A136" s="5311" t="s">
        <v>1449</v>
      </c>
      <c r="B136" s="5312"/>
      <c r="C136" s="3122"/>
      <c r="D136" s="3123"/>
      <c r="E136" s="3123"/>
      <c r="F136" s="3123"/>
      <c r="G136" s="3123"/>
      <c r="H136" s="3122"/>
      <c r="I136" s="3123"/>
      <c r="J136" s="3123"/>
      <c r="K136" s="3123"/>
      <c r="L136" s="3123"/>
      <c r="M136" s="3122"/>
      <c r="N136" s="3123"/>
      <c r="O136" s="3123"/>
      <c r="P136" s="3123"/>
      <c r="Q136" s="3123"/>
      <c r="R136" s="3122"/>
      <c r="S136" s="3123"/>
      <c r="T136" s="3123"/>
      <c r="U136" s="3123"/>
      <c r="V136" s="3123"/>
      <c r="W136" s="3122"/>
      <c r="X136" s="3123"/>
      <c r="Y136" s="3123"/>
      <c r="Z136" s="3123"/>
      <c r="AA136" s="3123"/>
      <c r="AB136" s="4422"/>
      <c r="AC136" s="4473"/>
      <c r="AD136" s="4473"/>
      <c r="AE136" s="4473"/>
      <c r="AF136" s="4473"/>
      <c r="AG136" s="4473"/>
      <c r="AH136" s="4473"/>
      <c r="AI136" s="4473"/>
      <c r="AJ136" s="4473"/>
      <c r="AK136" s="4473"/>
      <c r="AL136" s="4473"/>
      <c r="AM136" s="4473"/>
      <c r="AN136" s="4473"/>
      <c r="AO136" s="4473"/>
      <c r="AP136" s="4473"/>
      <c r="AQ136" s="4473"/>
      <c r="AR136" s="4473"/>
      <c r="AS136" s="4473"/>
      <c r="AT136" s="4473"/>
      <c r="AU136" s="4473"/>
      <c r="AV136" s="4473"/>
      <c r="AW136" s="4473"/>
      <c r="AX136" s="4473"/>
      <c r="AY136" s="4473"/>
      <c r="AZ136" s="4473"/>
      <c r="BA136" s="4473"/>
    </row>
    <row r="137" spans="1:53" ht="13.5" thickBot="1">
      <c r="A137" s="5286" t="s">
        <v>1450</v>
      </c>
      <c r="B137" s="5287"/>
      <c r="C137" s="3124"/>
      <c r="D137" s="3125"/>
      <c r="E137" s="3125"/>
      <c r="F137" s="3125"/>
      <c r="G137" s="3125"/>
      <c r="H137" s="3124"/>
      <c r="I137" s="3125"/>
      <c r="J137" s="3125"/>
      <c r="K137" s="3125"/>
      <c r="L137" s="3125"/>
      <c r="M137" s="3124"/>
      <c r="N137" s="3125"/>
      <c r="O137" s="3125"/>
      <c r="P137" s="3125"/>
      <c r="Q137" s="3125"/>
      <c r="R137" s="3124"/>
      <c r="S137" s="3125"/>
      <c r="T137" s="3125"/>
      <c r="U137" s="3125"/>
      <c r="V137" s="3125"/>
      <c r="W137" s="3124"/>
      <c r="X137" s="3125"/>
      <c r="Y137" s="3125"/>
      <c r="Z137" s="3125"/>
      <c r="AA137" s="3125"/>
      <c r="AB137" s="4422"/>
      <c r="AC137" s="4474"/>
      <c r="AD137" s="4474"/>
      <c r="AE137" s="4474"/>
      <c r="AF137" s="4474"/>
      <c r="AG137" s="4474"/>
      <c r="AH137" s="4474"/>
      <c r="AI137" s="4474"/>
      <c r="AJ137" s="4474"/>
      <c r="AK137" s="4474"/>
      <c r="AL137" s="4474"/>
      <c r="AM137" s="4474"/>
      <c r="AN137" s="4474"/>
      <c r="AO137" s="4474"/>
      <c r="AP137" s="4474"/>
      <c r="AQ137" s="4474"/>
      <c r="AR137" s="4474"/>
      <c r="AS137" s="4474"/>
      <c r="AT137" s="4474"/>
      <c r="AU137" s="4474"/>
      <c r="AV137" s="4474"/>
      <c r="AW137" s="4474"/>
      <c r="AX137" s="4474"/>
      <c r="AY137" s="4474"/>
      <c r="AZ137" s="4474"/>
      <c r="BA137" s="4474"/>
    </row>
    <row r="138" spans="1:53" s="2" customFormat="1" ht="27" customHeight="1" thickBot="1">
      <c r="A138" s="5313" t="s">
        <v>1452</v>
      </c>
      <c r="B138" s="5314"/>
      <c r="C138" s="3126">
        <f t="shared" ref="C138:AA138" si="160">SUM(C139,C144:C148)</f>
        <v>0</v>
      </c>
      <c r="D138" s="3127">
        <f t="shared" si="160"/>
        <v>0</v>
      </c>
      <c r="E138" s="3127">
        <f t="shared" si="160"/>
        <v>0</v>
      </c>
      <c r="F138" s="3127">
        <f t="shared" si="160"/>
        <v>0</v>
      </c>
      <c r="G138" s="3127">
        <f t="shared" si="160"/>
        <v>0</v>
      </c>
      <c r="H138" s="3126">
        <f t="shared" si="160"/>
        <v>0</v>
      </c>
      <c r="I138" s="3127">
        <f t="shared" si="160"/>
        <v>0</v>
      </c>
      <c r="J138" s="3127">
        <f t="shared" si="160"/>
        <v>0</v>
      </c>
      <c r="K138" s="3127">
        <f t="shared" si="160"/>
        <v>0</v>
      </c>
      <c r="L138" s="3127">
        <f t="shared" si="160"/>
        <v>0</v>
      </c>
      <c r="M138" s="3126">
        <f t="shared" si="160"/>
        <v>0</v>
      </c>
      <c r="N138" s="3127">
        <f t="shared" si="160"/>
        <v>0</v>
      </c>
      <c r="O138" s="3127">
        <f t="shared" si="160"/>
        <v>0</v>
      </c>
      <c r="P138" s="3127">
        <f t="shared" si="160"/>
        <v>0</v>
      </c>
      <c r="Q138" s="3127">
        <f t="shared" si="160"/>
        <v>0</v>
      </c>
      <c r="R138" s="3126">
        <f t="shared" si="160"/>
        <v>0</v>
      </c>
      <c r="S138" s="3127">
        <f t="shared" si="160"/>
        <v>0</v>
      </c>
      <c r="T138" s="3127">
        <f t="shared" si="160"/>
        <v>0</v>
      </c>
      <c r="U138" s="3127">
        <f t="shared" si="160"/>
        <v>0</v>
      </c>
      <c r="V138" s="3127">
        <f t="shared" si="160"/>
        <v>0</v>
      </c>
      <c r="W138" s="3126">
        <f t="shared" si="160"/>
        <v>0</v>
      </c>
      <c r="X138" s="3127">
        <f t="shared" si="160"/>
        <v>0</v>
      </c>
      <c r="Y138" s="3127">
        <f t="shared" si="160"/>
        <v>0</v>
      </c>
      <c r="Z138" s="3127">
        <f t="shared" si="160"/>
        <v>0</v>
      </c>
      <c r="AA138" s="3127">
        <f t="shared" si="160"/>
        <v>0</v>
      </c>
      <c r="AB138" s="4422"/>
      <c r="AC138" s="4470">
        <f>IFERROR(C138/$D$1,0)</f>
        <v>0</v>
      </c>
      <c r="AD138" s="4471">
        <f t="shared" ref="AD138:AD148" si="161">IFERROR(D138/$D$1,0)</f>
        <v>0</v>
      </c>
      <c r="AE138" s="4471">
        <f t="shared" ref="AE138:AE148" si="162">IFERROR(E138/$D$1,0)</f>
        <v>0</v>
      </c>
      <c r="AF138" s="4471">
        <f t="shared" ref="AF138:AF148" si="163">IFERROR(F138/$D$1,0)</f>
        <v>0</v>
      </c>
      <c r="AG138" s="4471">
        <f t="shared" ref="AG138:AG148" si="164">IFERROR(G138/$D$1,0)</f>
        <v>0</v>
      </c>
      <c r="AH138" s="4471">
        <f t="shared" ref="AH138:AH148" si="165">IFERROR(H138/$D$1,0)</f>
        <v>0</v>
      </c>
      <c r="AI138" s="4471">
        <f t="shared" ref="AI138:AI148" si="166">IFERROR(I138/$D$1,0)</f>
        <v>0</v>
      </c>
      <c r="AJ138" s="4471">
        <f t="shared" ref="AJ138:AJ148" si="167">IFERROR(J138/$D$1,0)</f>
        <v>0</v>
      </c>
      <c r="AK138" s="4471">
        <f t="shared" ref="AK138:AK148" si="168">IFERROR(K138/$D$1,0)</f>
        <v>0</v>
      </c>
      <c r="AL138" s="4471">
        <f t="shared" ref="AL138:AL148" si="169">IFERROR(L138/$D$1,0)</f>
        <v>0</v>
      </c>
      <c r="AM138" s="4471">
        <f t="shared" ref="AM138:AM148" si="170">IFERROR(M138/$D$1,0)</f>
        <v>0</v>
      </c>
      <c r="AN138" s="4471">
        <f t="shared" ref="AN138:AN148" si="171">IFERROR(N138/$D$1,0)</f>
        <v>0</v>
      </c>
      <c r="AO138" s="4471">
        <f t="shared" ref="AO138:AO148" si="172">IFERROR(O138/$D$1,0)</f>
        <v>0</v>
      </c>
      <c r="AP138" s="4471">
        <f t="shared" ref="AP138:AP148" si="173">IFERROR(P138/$D$1,0)</f>
        <v>0</v>
      </c>
      <c r="AQ138" s="4471">
        <f t="shared" ref="AQ138:AQ148" si="174">IFERROR(Q138/$D$1,0)</f>
        <v>0</v>
      </c>
      <c r="AR138" s="4471">
        <f t="shared" ref="AR138:AR148" si="175">IFERROR(R138/$D$1,0)</f>
        <v>0</v>
      </c>
      <c r="AS138" s="4471">
        <f t="shared" ref="AS138:AS148" si="176">IFERROR(S138/$D$1,0)</f>
        <v>0</v>
      </c>
      <c r="AT138" s="4471">
        <f t="shared" ref="AT138:AT148" si="177">IFERROR(T138/$D$1,0)</f>
        <v>0</v>
      </c>
      <c r="AU138" s="4471">
        <f t="shared" ref="AU138:AU148" si="178">IFERROR(U138/$D$1,0)</f>
        <v>0</v>
      </c>
      <c r="AV138" s="4471">
        <f t="shared" ref="AV138:AV148" si="179">IFERROR(V138/$D$1,0)</f>
        <v>0</v>
      </c>
      <c r="AW138" s="4471">
        <f t="shared" ref="AW138:AW148" si="180">IFERROR(W138/$D$1,0)</f>
        <v>0</v>
      </c>
      <c r="AX138" s="4471">
        <f t="shared" ref="AX138:AX148" si="181">IFERROR(X138/$D$1,0)</f>
        <v>0</v>
      </c>
      <c r="AY138" s="4471">
        <f t="shared" ref="AY138:AY148" si="182">IFERROR(Y138/$D$1,0)</f>
        <v>0</v>
      </c>
      <c r="AZ138" s="4471">
        <f t="shared" ref="AZ138:AZ148" si="183">IFERROR(Z138/$D$1,0)</f>
        <v>0</v>
      </c>
      <c r="BA138" s="4471">
        <f t="shared" ref="BA138:BA148" si="184">IFERROR(AA138/$D$1,0)</f>
        <v>0</v>
      </c>
    </row>
    <row r="139" spans="1:53" ht="12.75" customHeight="1" thickBot="1">
      <c r="A139" s="5315" t="s">
        <v>1451</v>
      </c>
      <c r="B139" s="5316"/>
      <c r="C139" s="3120"/>
      <c r="D139" s="3121"/>
      <c r="E139" s="3121"/>
      <c r="F139" s="3121"/>
      <c r="G139" s="3121"/>
      <c r="H139" s="3120"/>
      <c r="I139" s="3121"/>
      <c r="J139" s="3121"/>
      <c r="K139" s="3121"/>
      <c r="L139" s="3121"/>
      <c r="M139" s="3120"/>
      <c r="N139" s="3121"/>
      <c r="O139" s="3121"/>
      <c r="P139" s="3121"/>
      <c r="Q139" s="3121"/>
      <c r="R139" s="3120"/>
      <c r="S139" s="3121"/>
      <c r="T139" s="3121"/>
      <c r="U139" s="3121"/>
      <c r="V139" s="3121"/>
      <c r="W139" s="3120"/>
      <c r="X139" s="3121"/>
      <c r="Y139" s="3121"/>
      <c r="Z139" s="3121"/>
      <c r="AA139" s="3121"/>
      <c r="AB139" s="4422"/>
      <c r="AC139" s="4427">
        <f t="shared" ref="AC139:AC148" si="185">IFERROR(C139/$D$1,0)</f>
        <v>0</v>
      </c>
      <c r="AD139" s="4427">
        <f t="shared" si="161"/>
        <v>0</v>
      </c>
      <c r="AE139" s="4427">
        <f t="shared" si="162"/>
        <v>0</v>
      </c>
      <c r="AF139" s="4427">
        <f t="shared" si="163"/>
        <v>0</v>
      </c>
      <c r="AG139" s="4427">
        <f t="shared" si="164"/>
        <v>0</v>
      </c>
      <c r="AH139" s="4427">
        <f t="shared" si="165"/>
        <v>0</v>
      </c>
      <c r="AI139" s="4427">
        <f t="shared" si="166"/>
        <v>0</v>
      </c>
      <c r="AJ139" s="4427">
        <f t="shared" si="167"/>
        <v>0</v>
      </c>
      <c r="AK139" s="4427">
        <f t="shared" si="168"/>
        <v>0</v>
      </c>
      <c r="AL139" s="4427">
        <f t="shared" si="169"/>
        <v>0</v>
      </c>
      <c r="AM139" s="4427">
        <f t="shared" si="170"/>
        <v>0</v>
      </c>
      <c r="AN139" s="4427">
        <f t="shared" si="171"/>
        <v>0</v>
      </c>
      <c r="AO139" s="4427">
        <f t="shared" si="172"/>
        <v>0</v>
      </c>
      <c r="AP139" s="4427">
        <f t="shared" si="173"/>
        <v>0</v>
      </c>
      <c r="AQ139" s="4427">
        <f t="shared" si="174"/>
        <v>0</v>
      </c>
      <c r="AR139" s="4427">
        <f t="shared" si="175"/>
        <v>0</v>
      </c>
      <c r="AS139" s="4427">
        <f t="shared" si="176"/>
        <v>0</v>
      </c>
      <c r="AT139" s="4427">
        <f t="shared" si="177"/>
        <v>0</v>
      </c>
      <c r="AU139" s="4427">
        <f t="shared" si="178"/>
        <v>0</v>
      </c>
      <c r="AV139" s="4427">
        <f t="shared" si="179"/>
        <v>0</v>
      </c>
      <c r="AW139" s="4427">
        <f t="shared" si="180"/>
        <v>0</v>
      </c>
      <c r="AX139" s="4427">
        <f t="shared" si="181"/>
        <v>0</v>
      </c>
      <c r="AY139" s="4427">
        <f t="shared" si="182"/>
        <v>0</v>
      </c>
      <c r="AZ139" s="4427">
        <f t="shared" si="183"/>
        <v>0</v>
      </c>
      <c r="BA139" s="4427">
        <f t="shared" si="184"/>
        <v>0</v>
      </c>
    </row>
    <row r="140" spans="1:53" ht="13.5" thickBot="1">
      <c r="A140" s="5317" t="s">
        <v>1463</v>
      </c>
      <c r="B140" s="5318"/>
      <c r="C140" s="3120"/>
      <c r="D140" s="3121"/>
      <c r="E140" s="3121"/>
      <c r="F140" s="3121"/>
      <c r="G140" s="3121"/>
      <c r="H140" s="3120"/>
      <c r="I140" s="3121"/>
      <c r="J140" s="3121"/>
      <c r="K140" s="3121"/>
      <c r="L140" s="3121"/>
      <c r="M140" s="3120"/>
      <c r="N140" s="3121"/>
      <c r="O140" s="3121"/>
      <c r="P140" s="3121"/>
      <c r="Q140" s="3121"/>
      <c r="R140" s="3120"/>
      <c r="S140" s="3121"/>
      <c r="T140" s="3121"/>
      <c r="U140" s="3121"/>
      <c r="V140" s="3121"/>
      <c r="W140" s="3120"/>
      <c r="X140" s="3121"/>
      <c r="Y140" s="3121"/>
      <c r="Z140" s="3121"/>
      <c r="AA140" s="3121"/>
      <c r="AB140" s="4422"/>
      <c r="AC140" s="4427">
        <f t="shared" si="185"/>
        <v>0</v>
      </c>
      <c r="AD140" s="4427">
        <f t="shared" si="161"/>
        <v>0</v>
      </c>
      <c r="AE140" s="4427">
        <f t="shared" si="162"/>
        <v>0</v>
      </c>
      <c r="AF140" s="4427">
        <f t="shared" si="163"/>
        <v>0</v>
      </c>
      <c r="AG140" s="4427">
        <f t="shared" si="164"/>
        <v>0</v>
      </c>
      <c r="AH140" s="4427">
        <f t="shared" si="165"/>
        <v>0</v>
      </c>
      <c r="AI140" s="4427">
        <f t="shared" si="166"/>
        <v>0</v>
      </c>
      <c r="AJ140" s="4427">
        <f t="shared" si="167"/>
        <v>0</v>
      </c>
      <c r="AK140" s="4427">
        <f t="shared" si="168"/>
        <v>0</v>
      </c>
      <c r="AL140" s="4427">
        <f t="shared" si="169"/>
        <v>0</v>
      </c>
      <c r="AM140" s="4427">
        <f t="shared" si="170"/>
        <v>0</v>
      </c>
      <c r="AN140" s="4427">
        <f t="shared" si="171"/>
        <v>0</v>
      </c>
      <c r="AO140" s="4427">
        <f t="shared" si="172"/>
        <v>0</v>
      </c>
      <c r="AP140" s="4427">
        <f t="shared" si="173"/>
        <v>0</v>
      </c>
      <c r="AQ140" s="4427">
        <f t="shared" si="174"/>
        <v>0</v>
      </c>
      <c r="AR140" s="4427">
        <f t="shared" si="175"/>
        <v>0</v>
      </c>
      <c r="AS140" s="4427">
        <f t="shared" si="176"/>
        <v>0</v>
      </c>
      <c r="AT140" s="4427">
        <f t="shared" si="177"/>
        <v>0</v>
      </c>
      <c r="AU140" s="4427">
        <f t="shared" si="178"/>
        <v>0</v>
      </c>
      <c r="AV140" s="4427">
        <f t="shared" si="179"/>
        <v>0</v>
      </c>
      <c r="AW140" s="4427">
        <f t="shared" si="180"/>
        <v>0</v>
      </c>
      <c r="AX140" s="4427">
        <f t="shared" si="181"/>
        <v>0</v>
      </c>
      <c r="AY140" s="4427">
        <f t="shared" si="182"/>
        <v>0</v>
      </c>
      <c r="AZ140" s="4427">
        <f t="shared" si="183"/>
        <v>0</v>
      </c>
      <c r="BA140" s="4427">
        <f t="shared" si="184"/>
        <v>0</v>
      </c>
    </row>
    <row r="141" spans="1:53" ht="12.75" customHeight="1" thickBot="1">
      <c r="A141" s="5284" t="s">
        <v>1453</v>
      </c>
      <c r="B141" s="5285"/>
      <c r="C141" s="3120"/>
      <c r="D141" s="3121"/>
      <c r="E141" s="3121"/>
      <c r="F141" s="3121"/>
      <c r="G141" s="3121"/>
      <c r="H141" s="3120"/>
      <c r="I141" s="3121"/>
      <c r="J141" s="3121"/>
      <c r="K141" s="3121"/>
      <c r="L141" s="3121"/>
      <c r="M141" s="3120"/>
      <c r="N141" s="3121"/>
      <c r="O141" s="3121"/>
      <c r="P141" s="3121"/>
      <c r="Q141" s="3121"/>
      <c r="R141" s="3120"/>
      <c r="S141" s="3121"/>
      <c r="T141" s="3121"/>
      <c r="U141" s="3121"/>
      <c r="V141" s="3121"/>
      <c r="W141" s="3120"/>
      <c r="X141" s="3121"/>
      <c r="Y141" s="3121"/>
      <c r="Z141" s="3121"/>
      <c r="AA141" s="3121"/>
      <c r="AB141" s="4422"/>
      <c r="AC141" s="4427">
        <f t="shared" si="185"/>
        <v>0</v>
      </c>
      <c r="AD141" s="4427">
        <f t="shared" si="161"/>
        <v>0</v>
      </c>
      <c r="AE141" s="4427">
        <f t="shared" si="162"/>
        <v>0</v>
      </c>
      <c r="AF141" s="4427">
        <f t="shared" si="163"/>
        <v>0</v>
      </c>
      <c r="AG141" s="4427">
        <f t="shared" si="164"/>
        <v>0</v>
      </c>
      <c r="AH141" s="4427">
        <f t="shared" si="165"/>
        <v>0</v>
      </c>
      <c r="AI141" s="4427">
        <f t="shared" si="166"/>
        <v>0</v>
      </c>
      <c r="AJ141" s="4427">
        <f t="shared" si="167"/>
        <v>0</v>
      </c>
      <c r="AK141" s="4427">
        <f t="shared" si="168"/>
        <v>0</v>
      </c>
      <c r="AL141" s="4427">
        <f t="shared" si="169"/>
        <v>0</v>
      </c>
      <c r="AM141" s="4427">
        <f t="shared" si="170"/>
        <v>0</v>
      </c>
      <c r="AN141" s="4427">
        <f t="shared" si="171"/>
        <v>0</v>
      </c>
      <c r="AO141" s="4427">
        <f t="shared" si="172"/>
        <v>0</v>
      </c>
      <c r="AP141" s="4427">
        <f t="shared" si="173"/>
        <v>0</v>
      </c>
      <c r="AQ141" s="4427">
        <f t="shared" si="174"/>
        <v>0</v>
      </c>
      <c r="AR141" s="4427">
        <f t="shared" si="175"/>
        <v>0</v>
      </c>
      <c r="AS141" s="4427">
        <f t="shared" si="176"/>
        <v>0</v>
      </c>
      <c r="AT141" s="4427">
        <f t="shared" si="177"/>
        <v>0</v>
      </c>
      <c r="AU141" s="4427">
        <f t="shared" si="178"/>
        <v>0</v>
      </c>
      <c r="AV141" s="4427">
        <f t="shared" si="179"/>
        <v>0</v>
      </c>
      <c r="AW141" s="4427">
        <f t="shared" si="180"/>
        <v>0</v>
      </c>
      <c r="AX141" s="4427">
        <f t="shared" si="181"/>
        <v>0</v>
      </c>
      <c r="AY141" s="4427">
        <f t="shared" si="182"/>
        <v>0</v>
      </c>
      <c r="AZ141" s="4427">
        <f t="shared" si="183"/>
        <v>0</v>
      </c>
      <c r="BA141" s="4427">
        <f t="shared" si="184"/>
        <v>0</v>
      </c>
    </row>
    <row r="142" spans="1:53" ht="12.75" customHeight="1" thickBot="1">
      <c r="A142" s="5284" t="s">
        <v>1454</v>
      </c>
      <c r="B142" s="5285"/>
      <c r="C142" s="3120"/>
      <c r="D142" s="3121"/>
      <c r="E142" s="3121"/>
      <c r="F142" s="3121"/>
      <c r="G142" s="3121"/>
      <c r="H142" s="3120"/>
      <c r="I142" s="3121"/>
      <c r="J142" s="3121"/>
      <c r="K142" s="3121"/>
      <c r="L142" s="3121"/>
      <c r="M142" s="3120"/>
      <c r="N142" s="3121"/>
      <c r="O142" s="3121"/>
      <c r="P142" s="3121"/>
      <c r="Q142" s="3121"/>
      <c r="R142" s="3120"/>
      <c r="S142" s="3121"/>
      <c r="T142" s="3121"/>
      <c r="U142" s="3121"/>
      <c r="V142" s="3121"/>
      <c r="W142" s="3120"/>
      <c r="X142" s="3121"/>
      <c r="Y142" s="3121"/>
      <c r="Z142" s="3121"/>
      <c r="AA142" s="3121"/>
      <c r="AB142" s="4422"/>
      <c r="AC142" s="4427">
        <f t="shared" si="185"/>
        <v>0</v>
      </c>
      <c r="AD142" s="4427">
        <f t="shared" si="161"/>
        <v>0</v>
      </c>
      <c r="AE142" s="4427">
        <f t="shared" si="162"/>
        <v>0</v>
      </c>
      <c r="AF142" s="4427">
        <f t="shared" si="163"/>
        <v>0</v>
      </c>
      <c r="AG142" s="4427">
        <f t="shared" si="164"/>
        <v>0</v>
      </c>
      <c r="AH142" s="4427">
        <f t="shared" si="165"/>
        <v>0</v>
      </c>
      <c r="AI142" s="4427">
        <f t="shared" si="166"/>
        <v>0</v>
      </c>
      <c r="AJ142" s="4427">
        <f t="shared" si="167"/>
        <v>0</v>
      </c>
      <c r="AK142" s="4427">
        <f t="shared" si="168"/>
        <v>0</v>
      </c>
      <c r="AL142" s="4427">
        <f t="shared" si="169"/>
        <v>0</v>
      </c>
      <c r="AM142" s="4427">
        <f t="shared" si="170"/>
        <v>0</v>
      </c>
      <c r="AN142" s="4427">
        <f t="shared" si="171"/>
        <v>0</v>
      </c>
      <c r="AO142" s="4427">
        <f t="shared" si="172"/>
        <v>0</v>
      </c>
      <c r="AP142" s="4427">
        <f t="shared" si="173"/>
        <v>0</v>
      </c>
      <c r="AQ142" s="4427">
        <f t="shared" si="174"/>
        <v>0</v>
      </c>
      <c r="AR142" s="4427">
        <f t="shared" si="175"/>
        <v>0</v>
      </c>
      <c r="AS142" s="4427">
        <f t="shared" si="176"/>
        <v>0</v>
      </c>
      <c r="AT142" s="4427">
        <f t="shared" si="177"/>
        <v>0</v>
      </c>
      <c r="AU142" s="4427">
        <f t="shared" si="178"/>
        <v>0</v>
      </c>
      <c r="AV142" s="4427">
        <f t="shared" si="179"/>
        <v>0</v>
      </c>
      <c r="AW142" s="4427">
        <f t="shared" si="180"/>
        <v>0</v>
      </c>
      <c r="AX142" s="4427">
        <f t="shared" si="181"/>
        <v>0</v>
      </c>
      <c r="AY142" s="4427">
        <f t="shared" si="182"/>
        <v>0</v>
      </c>
      <c r="AZ142" s="4427">
        <f t="shared" si="183"/>
        <v>0</v>
      </c>
      <c r="BA142" s="4427">
        <f t="shared" si="184"/>
        <v>0</v>
      </c>
    </row>
    <row r="143" spans="1:53" ht="12.75" customHeight="1" thickBot="1">
      <c r="A143" s="5284" t="s">
        <v>1455</v>
      </c>
      <c r="B143" s="5285"/>
      <c r="C143" s="3120"/>
      <c r="D143" s="3121"/>
      <c r="E143" s="3121"/>
      <c r="F143" s="3121"/>
      <c r="G143" s="3121"/>
      <c r="H143" s="3120"/>
      <c r="I143" s="3121"/>
      <c r="J143" s="3121"/>
      <c r="K143" s="3121"/>
      <c r="L143" s="3121"/>
      <c r="M143" s="3120"/>
      <c r="N143" s="3121"/>
      <c r="O143" s="3121"/>
      <c r="P143" s="3121"/>
      <c r="Q143" s="3121"/>
      <c r="R143" s="3120"/>
      <c r="S143" s="3121"/>
      <c r="T143" s="3121"/>
      <c r="U143" s="3121"/>
      <c r="V143" s="3121"/>
      <c r="W143" s="3120"/>
      <c r="X143" s="3121"/>
      <c r="Y143" s="3121"/>
      <c r="Z143" s="3121"/>
      <c r="AA143" s="3121"/>
      <c r="AB143" s="4422"/>
      <c r="AC143" s="4427">
        <f t="shared" si="185"/>
        <v>0</v>
      </c>
      <c r="AD143" s="4427">
        <f t="shared" si="161"/>
        <v>0</v>
      </c>
      <c r="AE143" s="4427">
        <f t="shared" si="162"/>
        <v>0</v>
      </c>
      <c r="AF143" s="4427">
        <f t="shared" si="163"/>
        <v>0</v>
      </c>
      <c r="AG143" s="4427">
        <f t="shared" si="164"/>
        <v>0</v>
      </c>
      <c r="AH143" s="4427">
        <f t="shared" si="165"/>
        <v>0</v>
      </c>
      <c r="AI143" s="4427">
        <f t="shared" si="166"/>
        <v>0</v>
      </c>
      <c r="AJ143" s="4427">
        <f t="shared" si="167"/>
        <v>0</v>
      </c>
      <c r="AK143" s="4427">
        <f t="shared" si="168"/>
        <v>0</v>
      </c>
      <c r="AL143" s="4427">
        <f t="shared" si="169"/>
        <v>0</v>
      </c>
      <c r="AM143" s="4427">
        <f t="shared" si="170"/>
        <v>0</v>
      </c>
      <c r="AN143" s="4427">
        <f t="shared" si="171"/>
        <v>0</v>
      </c>
      <c r="AO143" s="4427">
        <f t="shared" si="172"/>
        <v>0</v>
      </c>
      <c r="AP143" s="4427">
        <f t="shared" si="173"/>
        <v>0</v>
      </c>
      <c r="AQ143" s="4427">
        <f t="shared" si="174"/>
        <v>0</v>
      </c>
      <c r="AR143" s="4427">
        <f t="shared" si="175"/>
        <v>0</v>
      </c>
      <c r="AS143" s="4427">
        <f t="shared" si="176"/>
        <v>0</v>
      </c>
      <c r="AT143" s="4427">
        <f t="shared" si="177"/>
        <v>0</v>
      </c>
      <c r="AU143" s="4427">
        <f t="shared" si="178"/>
        <v>0</v>
      </c>
      <c r="AV143" s="4427">
        <f t="shared" si="179"/>
        <v>0</v>
      </c>
      <c r="AW143" s="4427">
        <f t="shared" si="180"/>
        <v>0</v>
      </c>
      <c r="AX143" s="4427">
        <f t="shared" si="181"/>
        <v>0</v>
      </c>
      <c r="AY143" s="4427">
        <f t="shared" si="182"/>
        <v>0</v>
      </c>
      <c r="AZ143" s="4427">
        <f t="shared" si="183"/>
        <v>0</v>
      </c>
      <c r="BA143" s="4427">
        <f t="shared" si="184"/>
        <v>0</v>
      </c>
    </row>
    <row r="144" spans="1:53" ht="13.5" thickBot="1">
      <c r="A144" s="5291" t="s">
        <v>1456</v>
      </c>
      <c r="B144" s="5292"/>
      <c r="C144" s="3120"/>
      <c r="D144" s="3121"/>
      <c r="E144" s="3121"/>
      <c r="F144" s="3121"/>
      <c r="G144" s="3121"/>
      <c r="H144" s="3120"/>
      <c r="I144" s="3121"/>
      <c r="J144" s="3121"/>
      <c r="K144" s="3121"/>
      <c r="L144" s="3121"/>
      <c r="M144" s="3120"/>
      <c r="N144" s="3121"/>
      <c r="O144" s="3121"/>
      <c r="P144" s="3121"/>
      <c r="Q144" s="3121"/>
      <c r="R144" s="3120"/>
      <c r="S144" s="3121"/>
      <c r="T144" s="3121"/>
      <c r="U144" s="3121"/>
      <c r="V144" s="3121"/>
      <c r="W144" s="3120"/>
      <c r="X144" s="3121"/>
      <c r="Y144" s="3121"/>
      <c r="Z144" s="3121"/>
      <c r="AA144" s="3121"/>
      <c r="AB144" s="4422"/>
      <c r="AC144" s="4427">
        <f t="shared" si="185"/>
        <v>0</v>
      </c>
      <c r="AD144" s="4427">
        <f t="shared" si="161"/>
        <v>0</v>
      </c>
      <c r="AE144" s="4427">
        <f t="shared" si="162"/>
        <v>0</v>
      </c>
      <c r="AF144" s="4427">
        <f t="shared" si="163"/>
        <v>0</v>
      </c>
      <c r="AG144" s="4427">
        <f t="shared" si="164"/>
        <v>0</v>
      </c>
      <c r="AH144" s="4427">
        <f t="shared" si="165"/>
        <v>0</v>
      </c>
      <c r="AI144" s="4427">
        <f t="shared" si="166"/>
        <v>0</v>
      </c>
      <c r="AJ144" s="4427">
        <f t="shared" si="167"/>
        <v>0</v>
      </c>
      <c r="AK144" s="4427">
        <f t="shared" si="168"/>
        <v>0</v>
      </c>
      <c r="AL144" s="4427">
        <f t="shared" si="169"/>
        <v>0</v>
      </c>
      <c r="AM144" s="4427">
        <f t="shared" si="170"/>
        <v>0</v>
      </c>
      <c r="AN144" s="4427">
        <f t="shared" si="171"/>
        <v>0</v>
      </c>
      <c r="AO144" s="4427">
        <f t="shared" si="172"/>
        <v>0</v>
      </c>
      <c r="AP144" s="4427">
        <f t="shared" si="173"/>
        <v>0</v>
      </c>
      <c r="AQ144" s="4427">
        <f t="shared" si="174"/>
        <v>0</v>
      </c>
      <c r="AR144" s="4427">
        <f t="shared" si="175"/>
        <v>0</v>
      </c>
      <c r="AS144" s="4427">
        <f t="shared" si="176"/>
        <v>0</v>
      </c>
      <c r="AT144" s="4427">
        <f t="shared" si="177"/>
        <v>0</v>
      </c>
      <c r="AU144" s="4427">
        <f t="shared" si="178"/>
        <v>0</v>
      </c>
      <c r="AV144" s="4427">
        <f t="shared" si="179"/>
        <v>0</v>
      </c>
      <c r="AW144" s="4427">
        <f t="shared" si="180"/>
        <v>0</v>
      </c>
      <c r="AX144" s="4427">
        <f t="shared" si="181"/>
        <v>0</v>
      </c>
      <c r="AY144" s="4427">
        <f t="shared" si="182"/>
        <v>0</v>
      </c>
      <c r="AZ144" s="4427">
        <f t="shared" si="183"/>
        <v>0</v>
      </c>
      <c r="BA144" s="4427">
        <f t="shared" si="184"/>
        <v>0</v>
      </c>
    </row>
    <row r="145" spans="1:61" ht="12.75" customHeight="1" thickBot="1">
      <c r="A145" s="5307" t="s">
        <v>1457</v>
      </c>
      <c r="B145" s="5308"/>
      <c r="C145" s="3120"/>
      <c r="D145" s="3121"/>
      <c r="E145" s="3121"/>
      <c r="F145" s="3121"/>
      <c r="G145" s="3121"/>
      <c r="H145" s="3120"/>
      <c r="I145" s="3121"/>
      <c r="J145" s="3121"/>
      <c r="K145" s="3121"/>
      <c r="L145" s="3121"/>
      <c r="M145" s="3120"/>
      <c r="N145" s="3121"/>
      <c r="O145" s="3121"/>
      <c r="P145" s="3121"/>
      <c r="Q145" s="3121"/>
      <c r="R145" s="3120"/>
      <c r="S145" s="3121"/>
      <c r="T145" s="3121"/>
      <c r="U145" s="3121"/>
      <c r="V145" s="3121"/>
      <c r="W145" s="3120"/>
      <c r="X145" s="3121"/>
      <c r="Y145" s="3121"/>
      <c r="Z145" s="3121"/>
      <c r="AA145" s="3121"/>
      <c r="AB145" s="4422"/>
      <c r="AC145" s="4427">
        <f t="shared" si="185"/>
        <v>0</v>
      </c>
      <c r="AD145" s="4427">
        <f t="shared" si="161"/>
        <v>0</v>
      </c>
      <c r="AE145" s="4427">
        <f t="shared" si="162"/>
        <v>0</v>
      </c>
      <c r="AF145" s="4427">
        <f t="shared" si="163"/>
        <v>0</v>
      </c>
      <c r="AG145" s="4427">
        <f t="shared" si="164"/>
        <v>0</v>
      </c>
      <c r="AH145" s="4427">
        <f t="shared" si="165"/>
        <v>0</v>
      </c>
      <c r="AI145" s="4427">
        <f t="shared" si="166"/>
        <v>0</v>
      </c>
      <c r="AJ145" s="4427">
        <f t="shared" si="167"/>
        <v>0</v>
      </c>
      <c r="AK145" s="4427">
        <f t="shared" si="168"/>
        <v>0</v>
      </c>
      <c r="AL145" s="4427">
        <f t="shared" si="169"/>
        <v>0</v>
      </c>
      <c r="AM145" s="4427">
        <f t="shared" si="170"/>
        <v>0</v>
      </c>
      <c r="AN145" s="4427">
        <f t="shared" si="171"/>
        <v>0</v>
      </c>
      <c r="AO145" s="4427">
        <f t="shared" si="172"/>
        <v>0</v>
      </c>
      <c r="AP145" s="4427">
        <f t="shared" si="173"/>
        <v>0</v>
      </c>
      <c r="AQ145" s="4427">
        <f t="shared" si="174"/>
        <v>0</v>
      </c>
      <c r="AR145" s="4427">
        <f t="shared" si="175"/>
        <v>0</v>
      </c>
      <c r="AS145" s="4427">
        <f t="shared" si="176"/>
        <v>0</v>
      </c>
      <c r="AT145" s="4427">
        <f t="shared" si="177"/>
        <v>0</v>
      </c>
      <c r="AU145" s="4427">
        <f t="shared" si="178"/>
        <v>0</v>
      </c>
      <c r="AV145" s="4427">
        <f t="shared" si="179"/>
        <v>0</v>
      </c>
      <c r="AW145" s="4427">
        <f t="shared" si="180"/>
        <v>0</v>
      </c>
      <c r="AX145" s="4427">
        <f t="shared" si="181"/>
        <v>0</v>
      </c>
      <c r="AY145" s="4427">
        <f t="shared" si="182"/>
        <v>0</v>
      </c>
      <c r="AZ145" s="4427">
        <f t="shared" si="183"/>
        <v>0</v>
      </c>
      <c r="BA145" s="4427">
        <f t="shared" si="184"/>
        <v>0</v>
      </c>
    </row>
    <row r="146" spans="1:61" ht="12.75" customHeight="1" thickBot="1">
      <c r="A146" s="5307" t="s">
        <v>1458</v>
      </c>
      <c r="B146" s="5308"/>
      <c r="C146" s="3120"/>
      <c r="D146" s="3121"/>
      <c r="E146" s="3121"/>
      <c r="F146" s="3121"/>
      <c r="G146" s="3121"/>
      <c r="H146" s="3120"/>
      <c r="I146" s="3121"/>
      <c r="J146" s="3121"/>
      <c r="K146" s="3121"/>
      <c r="L146" s="3121"/>
      <c r="M146" s="3120"/>
      <c r="N146" s="3121"/>
      <c r="O146" s="3121"/>
      <c r="P146" s="3121"/>
      <c r="Q146" s="3121"/>
      <c r="R146" s="3120"/>
      <c r="S146" s="3121"/>
      <c r="T146" s="3121"/>
      <c r="U146" s="3121"/>
      <c r="V146" s="3121"/>
      <c r="W146" s="3120"/>
      <c r="X146" s="3121"/>
      <c r="Y146" s="3121"/>
      <c r="Z146" s="3121"/>
      <c r="AA146" s="3121"/>
      <c r="AB146" s="4422"/>
      <c r="AC146" s="4427">
        <f t="shared" si="185"/>
        <v>0</v>
      </c>
      <c r="AD146" s="4427">
        <f t="shared" si="161"/>
        <v>0</v>
      </c>
      <c r="AE146" s="4427">
        <f t="shared" si="162"/>
        <v>0</v>
      </c>
      <c r="AF146" s="4427">
        <f t="shared" si="163"/>
        <v>0</v>
      </c>
      <c r="AG146" s="4427">
        <f t="shared" si="164"/>
        <v>0</v>
      </c>
      <c r="AH146" s="4427">
        <f t="shared" si="165"/>
        <v>0</v>
      </c>
      <c r="AI146" s="4427">
        <f t="shared" si="166"/>
        <v>0</v>
      </c>
      <c r="AJ146" s="4427">
        <f t="shared" si="167"/>
        <v>0</v>
      </c>
      <c r="AK146" s="4427">
        <f t="shared" si="168"/>
        <v>0</v>
      </c>
      <c r="AL146" s="4427">
        <f t="shared" si="169"/>
        <v>0</v>
      </c>
      <c r="AM146" s="4427">
        <f t="shared" si="170"/>
        <v>0</v>
      </c>
      <c r="AN146" s="4427">
        <f t="shared" si="171"/>
        <v>0</v>
      </c>
      <c r="AO146" s="4427">
        <f t="shared" si="172"/>
        <v>0</v>
      </c>
      <c r="AP146" s="4427">
        <f t="shared" si="173"/>
        <v>0</v>
      </c>
      <c r="AQ146" s="4427">
        <f t="shared" si="174"/>
        <v>0</v>
      </c>
      <c r="AR146" s="4427">
        <f t="shared" si="175"/>
        <v>0</v>
      </c>
      <c r="AS146" s="4427">
        <f t="shared" si="176"/>
        <v>0</v>
      </c>
      <c r="AT146" s="4427">
        <f t="shared" si="177"/>
        <v>0</v>
      </c>
      <c r="AU146" s="4427">
        <f t="shared" si="178"/>
        <v>0</v>
      </c>
      <c r="AV146" s="4427">
        <f t="shared" si="179"/>
        <v>0</v>
      </c>
      <c r="AW146" s="4427">
        <f t="shared" si="180"/>
        <v>0</v>
      </c>
      <c r="AX146" s="4427">
        <f t="shared" si="181"/>
        <v>0</v>
      </c>
      <c r="AY146" s="4427">
        <f t="shared" si="182"/>
        <v>0</v>
      </c>
      <c r="AZ146" s="4427">
        <f t="shared" si="183"/>
        <v>0</v>
      </c>
      <c r="BA146" s="4427">
        <f t="shared" si="184"/>
        <v>0</v>
      </c>
    </row>
    <row r="147" spans="1:61" ht="13.5" thickBot="1">
      <c r="A147" s="5307" t="s">
        <v>1459</v>
      </c>
      <c r="B147" s="5308"/>
      <c r="C147" s="3120"/>
      <c r="D147" s="3121"/>
      <c r="E147" s="3121"/>
      <c r="F147" s="3121"/>
      <c r="G147" s="3121"/>
      <c r="H147" s="3120"/>
      <c r="I147" s="3121"/>
      <c r="J147" s="3121"/>
      <c r="K147" s="3121"/>
      <c r="L147" s="3121"/>
      <c r="M147" s="3120"/>
      <c r="N147" s="3121"/>
      <c r="O147" s="3121"/>
      <c r="P147" s="3121"/>
      <c r="Q147" s="3121"/>
      <c r="R147" s="3120"/>
      <c r="S147" s="3121"/>
      <c r="T147" s="3121"/>
      <c r="U147" s="3121"/>
      <c r="V147" s="3121"/>
      <c r="W147" s="3120"/>
      <c r="X147" s="3121"/>
      <c r="Y147" s="3121"/>
      <c r="Z147" s="3121"/>
      <c r="AA147" s="3121"/>
      <c r="AB147" s="4422"/>
      <c r="AC147" s="4427">
        <f t="shared" si="185"/>
        <v>0</v>
      </c>
      <c r="AD147" s="4427">
        <f t="shared" si="161"/>
        <v>0</v>
      </c>
      <c r="AE147" s="4427">
        <f t="shared" si="162"/>
        <v>0</v>
      </c>
      <c r="AF147" s="4427">
        <f t="shared" si="163"/>
        <v>0</v>
      </c>
      <c r="AG147" s="4427">
        <f t="shared" si="164"/>
        <v>0</v>
      </c>
      <c r="AH147" s="4427">
        <f t="shared" si="165"/>
        <v>0</v>
      </c>
      <c r="AI147" s="4427">
        <f t="shared" si="166"/>
        <v>0</v>
      </c>
      <c r="AJ147" s="4427">
        <f t="shared" si="167"/>
        <v>0</v>
      </c>
      <c r="AK147" s="4427">
        <f t="shared" si="168"/>
        <v>0</v>
      </c>
      <c r="AL147" s="4427">
        <f t="shared" si="169"/>
        <v>0</v>
      </c>
      <c r="AM147" s="4427">
        <f t="shared" si="170"/>
        <v>0</v>
      </c>
      <c r="AN147" s="4427">
        <f t="shared" si="171"/>
        <v>0</v>
      </c>
      <c r="AO147" s="4427">
        <f t="shared" si="172"/>
        <v>0</v>
      </c>
      <c r="AP147" s="4427">
        <f t="shared" si="173"/>
        <v>0</v>
      </c>
      <c r="AQ147" s="4427">
        <f t="shared" si="174"/>
        <v>0</v>
      </c>
      <c r="AR147" s="4427">
        <f t="shared" si="175"/>
        <v>0</v>
      </c>
      <c r="AS147" s="4427">
        <f t="shared" si="176"/>
        <v>0</v>
      </c>
      <c r="AT147" s="4427">
        <f t="shared" si="177"/>
        <v>0</v>
      </c>
      <c r="AU147" s="4427">
        <f t="shared" si="178"/>
        <v>0</v>
      </c>
      <c r="AV147" s="4427">
        <f t="shared" si="179"/>
        <v>0</v>
      </c>
      <c r="AW147" s="4427">
        <f t="shared" si="180"/>
        <v>0</v>
      </c>
      <c r="AX147" s="4427">
        <f t="shared" si="181"/>
        <v>0</v>
      </c>
      <c r="AY147" s="4427">
        <f t="shared" si="182"/>
        <v>0</v>
      </c>
      <c r="AZ147" s="4427">
        <f t="shared" si="183"/>
        <v>0</v>
      </c>
      <c r="BA147" s="4427">
        <f t="shared" si="184"/>
        <v>0</v>
      </c>
    </row>
    <row r="148" spans="1:61" ht="13.5" thickBot="1">
      <c r="A148" s="5309" t="s">
        <v>1460</v>
      </c>
      <c r="B148" s="5310"/>
      <c r="C148" s="3124"/>
      <c r="D148" s="3125"/>
      <c r="E148" s="3125"/>
      <c r="F148" s="3125"/>
      <c r="G148" s="3125"/>
      <c r="H148" s="3124"/>
      <c r="I148" s="3125"/>
      <c r="J148" s="3125"/>
      <c r="K148" s="3125"/>
      <c r="L148" s="3125"/>
      <c r="M148" s="3124"/>
      <c r="N148" s="3125"/>
      <c r="O148" s="3125"/>
      <c r="P148" s="3125"/>
      <c r="Q148" s="3125"/>
      <c r="R148" s="3124"/>
      <c r="S148" s="3125"/>
      <c r="T148" s="3125"/>
      <c r="U148" s="3125"/>
      <c r="V148" s="3125"/>
      <c r="W148" s="3124"/>
      <c r="X148" s="3125"/>
      <c r="Y148" s="3125"/>
      <c r="Z148" s="3125"/>
      <c r="AA148" s="3125"/>
      <c r="AB148" s="4422"/>
      <c r="AC148" s="4427">
        <f t="shared" si="185"/>
        <v>0</v>
      </c>
      <c r="AD148" s="4427">
        <f t="shared" si="161"/>
        <v>0</v>
      </c>
      <c r="AE148" s="4427">
        <f t="shared" si="162"/>
        <v>0</v>
      </c>
      <c r="AF148" s="4427">
        <f t="shared" si="163"/>
        <v>0</v>
      </c>
      <c r="AG148" s="4427">
        <f t="shared" si="164"/>
        <v>0</v>
      </c>
      <c r="AH148" s="4427">
        <f t="shared" si="165"/>
        <v>0</v>
      </c>
      <c r="AI148" s="4427">
        <f t="shared" si="166"/>
        <v>0</v>
      </c>
      <c r="AJ148" s="4427">
        <f t="shared" si="167"/>
        <v>0</v>
      </c>
      <c r="AK148" s="4427">
        <f t="shared" si="168"/>
        <v>0</v>
      </c>
      <c r="AL148" s="4427">
        <f t="shared" si="169"/>
        <v>0</v>
      </c>
      <c r="AM148" s="4427">
        <f t="shared" si="170"/>
        <v>0</v>
      </c>
      <c r="AN148" s="4427">
        <f t="shared" si="171"/>
        <v>0</v>
      </c>
      <c r="AO148" s="4427">
        <f t="shared" si="172"/>
        <v>0</v>
      </c>
      <c r="AP148" s="4427">
        <f t="shared" si="173"/>
        <v>0</v>
      </c>
      <c r="AQ148" s="4427">
        <f t="shared" si="174"/>
        <v>0</v>
      </c>
      <c r="AR148" s="4427">
        <f t="shared" si="175"/>
        <v>0</v>
      </c>
      <c r="AS148" s="4427">
        <f t="shared" si="176"/>
        <v>0</v>
      </c>
      <c r="AT148" s="4427">
        <f t="shared" si="177"/>
        <v>0</v>
      </c>
      <c r="AU148" s="4427">
        <f t="shared" si="178"/>
        <v>0</v>
      </c>
      <c r="AV148" s="4427">
        <f t="shared" si="179"/>
        <v>0</v>
      </c>
      <c r="AW148" s="4427">
        <f t="shared" si="180"/>
        <v>0</v>
      </c>
      <c r="AX148" s="4427">
        <f t="shared" si="181"/>
        <v>0</v>
      </c>
      <c r="AY148" s="4427">
        <f t="shared" si="182"/>
        <v>0</v>
      </c>
      <c r="AZ148" s="4427">
        <f t="shared" si="183"/>
        <v>0</v>
      </c>
      <c r="BA148" s="4427">
        <f t="shared" si="184"/>
        <v>0</v>
      </c>
    </row>
    <row r="149" spans="1:61" s="44" customFormat="1" ht="15">
      <c r="A149" s="690"/>
      <c r="B149" s="690"/>
      <c r="C149" s="690"/>
      <c r="D149" s="825"/>
      <c r="E149" s="686"/>
      <c r="F149" s="825"/>
      <c r="G149" s="686"/>
      <c r="H149" s="686"/>
      <c r="I149" s="825"/>
      <c r="J149" s="686"/>
      <c r="K149" s="825"/>
      <c r="L149" s="686"/>
      <c r="M149" s="825"/>
      <c r="N149" s="686"/>
      <c r="O149" s="825"/>
      <c r="P149" s="686"/>
      <c r="Q149" s="825"/>
      <c r="R149" s="825"/>
      <c r="S149" s="686"/>
      <c r="T149" s="825"/>
      <c r="U149" s="686"/>
      <c r="V149" s="686"/>
      <c r="W149" s="686"/>
      <c r="X149" s="703"/>
      <c r="Y149" s="686"/>
      <c r="Z149" s="703"/>
      <c r="AA149" s="686"/>
      <c r="AB149" s="686"/>
      <c r="AC149" s="690"/>
      <c r="AD149" s="825"/>
      <c r="AE149" s="686"/>
      <c r="AF149" s="825"/>
      <c r="AG149" s="686"/>
      <c r="AH149" s="686"/>
      <c r="AI149" s="825"/>
      <c r="AJ149" s="686"/>
      <c r="AK149" s="825"/>
      <c r="AL149" s="686"/>
      <c r="AM149" s="825"/>
      <c r="AN149" s="686"/>
      <c r="AO149" s="825"/>
      <c r="AP149" s="686"/>
      <c r="AQ149" s="825"/>
      <c r="AR149" s="825"/>
      <c r="AS149" s="686"/>
      <c r="AT149" s="825"/>
      <c r="AU149" s="686"/>
      <c r="AV149" s="686"/>
      <c r="AW149" s="686"/>
      <c r="AX149" s="703"/>
      <c r="AY149" s="686"/>
      <c r="AZ149" s="703"/>
      <c r="BA149" s="686"/>
    </row>
    <row r="150" spans="1:61" s="44" customFormat="1" ht="15">
      <c r="A150" s="690"/>
      <c r="B150" s="690"/>
      <c r="C150" s="690"/>
      <c r="D150" s="825"/>
      <c r="E150" s="686"/>
      <c r="F150" s="825"/>
      <c r="G150" s="686"/>
      <c r="H150" s="686"/>
      <c r="I150" s="825"/>
      <c r="J150" s="686"/>
      <c r="K150" s="825"/>
      <c r="L150" s="686"/>
      <c r="M150" s="825"/>
      <c r="N150" s="686"/>
      <c r="O150" s="825"/>
      <c r="P150" s="686"/>
      <c r="Q150" s="825"/>
      <c r="R150" s="825"/>
      <c r="S150" s="686"/>
      <c r="T150" s="825"/>
      <c r="U150" s="686"/>
      <c r="AB150" s="686"/>
      <c r="AC150" s="690"/>
      <c r="AD150" s="825"/>
      <c r="AE150" s="686"/>
      <c r="AF150" s="825"/>
      <c r="AG150" s="686"/>
      <c r="AH150" s="686"/>
      <c r="AI150" s="825"/>
      <c r="AJ150" s="686"/>
      <c r="AK150" s="825"/>
      <c r="AL150" s="686"/>
      <c r="AM150" s="825"/>
      <c r="AN150" s="686"/>
      <c r="AO150" s="825"/>
      <c r="AP150" s="686"/>
      <c r="AQ150" s="825"/>
      <c r="AR150" s="825"/>
      <c r="AS150" s="686"/>
      <c r="AT150" s="825"/>
      <c r="AU150" s="686"/>
    </row>
    <row r="151" spans="1:61" s="44" customFormat="1" ht="15">
      <c r="A151" s="3104"/>
      <c r="B151" s="690"/>
      <c r="C151" s="1403" t="str">
        <f>'Приложение '!B82</f>
        <v>Дата: 29.06.2026</v>
      </c>
      <c r="D151" s="825"/>
      <c r="E151" s="686"/>
      <c r="F151" s="825"/>
      <c r="G151" s="686"/>
      <c r="N151" s="686"/>
      <c r="O151" s="825"/>
      <c r="P151" s="686"/>
      <c r="Q151" s="825"/>
      <c r="S151" s="686"/>
      <c r="T151" s="825"/>
      <c r="U151" s="686"/>
      <c r="V151" s="686"/>
      <c r="W151" s="3106"/>
      <c r="X151" s="2390"/>
      <c r="Y151" s="686"/>
      <c r="Z151" s="686"/>
      <c r="AA151" s="825"/>
      <c r="AB151" s="686"/>
      <c r="AC151" s="1403"/>
      <c r="AD151" s="825"/>
      <c r="AE151" s="686"/>
      <c r="AF151" s="825"/>
      <c r="AG151" s="686"/>
      <c r="AN151" s="686"/>
      <c r="AO151" s="825"/>
      <c r="AP151" s="686"/>
      <c r="AQ151" s="825"/>
      <c r="AS151" s="686"/>
      <c r="AT151" s="825"/>
      <c r="AU151" s="686"/>
      <c r="AV151" s="686"/>
      <c r="AW151" s="3106"/>
      <c r="AX151" s="2390"/>
      <c r="AY151" s="686"/>
      <c r="AZ151" s="686"/>
      <c r="BA151" s="825"/>
    </row>
    <row r="152" spans="1:61" s="659" customFormat="1" ht="15">
      <c r="B152" s="3104"/>
      <c r="C152" s="3104"/>
      <c r="D152" s="822"/>
      <c r="E152" s="45"/>
      <c r="F152" s="822"/>
      <c r="G152" s="45"/>
      <c r="N152" s="678"/>
      <c r="O152" s="686"/>
      <c r="P152" s="45"/>
      <c r="Q152" s="822"/>
      <c r="R152" s="822"/>
      <c r="S152" s="45"/>
      <c r="T152" s="822"/>
      <c r="U152" s="45"/>
      <c r="V152" s="45"/>
      <c r="W152" s="3106"/>
      <c r="X152" s="3109"/>
      <c r="Y152" s="32"/>
      <c r="Z152" s="32"/>
      <c r="AA152" s="32"/>
      <c r="AB152" s="41"/>
      <c r="AC152" s="3104"/>
      <c r="AD152" s="822"/>
      <c r="AE152" s="45"/>
      <c r="AF152" s="822"/>
      <c r="AG152" s="45"/>
      <c r="AN152" s="678"/>
      <c r="AO152" s="686"/>
      <c r="AP152" s="45"/>
      <c r="AQ152" s="822"/>
      <c r="AR152" s="822"/>
      <c r="AS152" s="45"/>
      <c r="AT152" s="822"/>
      <c r="AU152" s="45"/>
      <c r="AV152" s="45"/>
      <c r="AW152" s="3106"/>
      <c r="AX152" s="3109"/>
      <c r="AY152" s="32"/>
      <c r="AZ152" s="32"/>
      <c r="BA152" s="32"/>
      <c r="BB152" s="44"/>
      <c r="BC152" s="44"/>
      <c r="BD152" s="44"/>
      <c r="BE152" s="44"/>
      <c r="BF152" s="44"/>
      <c r="BG152" s="44"/>
      <c r="BH152" s="44"/>
      <c r="BI152" s="44"/>
    </row>
    <row r="153" spans="1:61" s="44" customFormat="1" ht="15">
      <c r="D153" s="822"/>
      <c r="E153" s="45"/>
      <c r="F153" s="822"/>
      <c r="G153" s="45"/>
      <c r="N153" s="678"/>
      <c r="O153" s="686"/>
      <c r="P153" s="45"/>
      <c r="Q153" s="822"/>
      <c r="R153" s="822"/>
      <c r="S153" s="45"/>
      <c r="T153" s="822"/>
      <c r="U153" s="45"/>
      <c r="V153" s="45"/>
      <c r="Y153" s="681"/>
      <c r="Z153" s="682"/>
      <c r="AA153" s="32"/>
      <c r="AB153" s="678"/>
      <c r="AD153" s="822"/>
      <c r="AE153" s="45"/>
      <c r="AF153" s="822"/>
      <c r="AG153" s="45"/>
      <c r="AN153" s="678"/>
      <c r="AO153" s="686"/>
      <c r="AP153" s="45"/>
      <c r="AQ153" s="822"/>
      <c r="AR153" s="822"/>
      <c r="AS153" s="45"/>
      <c r="AT153" s="822"/>
      <c r="AU153" s="45"/>
      <c r="AV153" s="45"/>
      <c r="AY153" s="681"/>
      <c r="AZ153" s="682"/>
      <c r="BA153" s="32"/>
    </row>
    <row r="154" spans="1:61" s="44" customFormat="1" ht="15">
      <c r="B154" s="3110"/>
      <c r="C154" s="3110" t="s">
        <v>187</v>
      </c>
      <c r="D154" s="822"/>
      <c r="E154" s="45"/>
      <c r="F154" s="822"/>
      <c r="G154" s="45"/>
      <c r="N154" s="678"/>
      <c r="O154" s="686"/>
      <c r="P154" s="45"/>
      <c r="Q154" s="822"/>
      <c r="R154" s="822"/>
      <c r="S154" s="45"/>
      <c r="T154" s="822"/>
      <c r="U154" s="45"/>
      <c r="V154" s="45"/>
      <c r="W154" s="3106"/>
      <c r="X154" s="2390"/>
      <c r="Y154" s="32"/>
      <c r="Z154" s="32"/>
      <c r="AA154" s="32"/>
      <c r="AB154" s="678"/>
      <c r="AC154" s="3110"/>
      <c r="AD154" s="822"/>
      <c r="AE154" s="45"/>
      <c r="AF154" s="822"/>
      <c r="AG154" s="45"/>
      <c r="AN154" s="678"/>
      <c r="AO154" s="686"/>
      <c r="AP154" s="45"/>
      <c r="AQ154" s="822"/>
      <c r="AR154" s="822"/>
      <c r="AS154" s="45"/>
      <c r="AT154" s="822"/>
      <c r="AU154" s="45"/>
      <c r="AV154" s="45"/>
      <c r="AW154" s="3106"/>
      <c r="AX154" s="2390"/>
      <c r="AY154" s="32"/>
      <c r="AZ154" s="32"/>
      <c r="BA154" s="32"/>
    </row>
    <row r="155" spans="1:61" s="44" customFormat="1" ht="15">
      <c r="B155" s="380"/>
      <c r="C155" s="44" t="s">
        <v>1057</v>
      </c>
      <c r="D155" s="822"/>
      <c r="E155" s="45"/>
      <c r="F155" s="822"/>
      <c r="G155" s="45"/>
      <c r="N155" s="678"/>
      <c r="O155" s="686"/>
      <c r="P155" s="45"/>
      <c r="Q155" s="822"/>
      <c r="R155" s="822"/>
      <c r="S155" s="45"/>
      <c r="T155" s="822"/>
      <c r="U155" s="45"/>
      <c r="V155" s="45"/>
      <c r="X155" s="3109"/>
      <c r="Y155" s="681"/>
      <c r="Z155" s="682"/>
      <c r="AA155" s="32"/>
      <c r="AB155" s="45"/>
      <c r="AD155" s="822"/>
      <c r="AE155" s="45"/>
      <c r="AF155" s="822"/>
      <c r="AG155" s="45"/>
      <c r="AN155" s="678"/>
      <c r="AO155" s="686"/>
      <c r="AP155" s="45"/>
      <c r="AQ155" s="822"/>
      <c r="AR155" s="822"/>
      <c r="AS155" s="45"/>
      <c r="AT155" s="822"/>
      <c r="AU155" s="45"/>
      <c r="AV155" s="45"/>
      <c r="AX155" s="3109"/>
      <c r="AY155" s="681"/>
      <c r="AZ155" s="682"/>
      <c r="BA155" s="32"/>
    </row>
    <row r="156" spans="1:61" ht="15">
      <c r="N156" s="678"/>
      <c r="O156" s="686"/>
      <c r="AN156" s="678"/>
      <c r="AO156" s="686"/>
    </row>
  </sheetData>
  <sheetProtection algorithmName="SHA-512" hashValue="M76tjsUrTuTpo113TVAns48qc0YlXv//HV1Ja87KSiLaKo/IyFM5y8tAgxCY2tZwiQ/UlCgCeI/alsZaW1PB4g==" saltValue="cAgn5ijJMVqAV04+V1U6Jg==" spinCount="100000" sheet="1" formatCells="0" formatColumns="0" formatRows="0"/>
  <mergeCells count="546">
    <mergeCell ref="AC132:AG132"/>
    <mergeCell ref="AH132:AL132"/>
    <mergeCell ref="AM132:AQ132"/>
    <mergeCell ref="AR132:AV132"/>
    <mergeCell ref="AW132:BA132"/>
    <mergeCell ref="AC8:BA8"/>
    <mergeCell ref="AC55:BA55"/>
    <mergeCell ref="AC102:BA102"/>
    <mergeCell ref="AC130:AG130"/>
    <mergeCell ref="AH130:AL130"/>
    <mergeCell ref="AM130:AQ130"/>
    <mergeCell ref="AR130:AV130"/>
    <mergeCell ref="AW130:BA130"/>
    <mergeCell ref="AC131:AG131"/>
    <mergeCell ref="AH131:AL131"/>
    <mergeCell ref="AM131:AQ131"/>
    <mergeCell ref="AR131:AV131"/>
    <mergeCell ref="AW131:BA131"/>
    <mergeCell ref="AC128:AG128"/>
    <mergeCell ref="AH128:AL128"/>
    <mergeCell ref="AM128:AQ128"/>
    <mergeCell ref="AR128:AV128"/>
    <mergeCell ref="AW128:BA128"/>
    <mergeCell ref="AC129:AG129"/>
    <mergeCell ref="AH129:AL129"/>
    <mergeCell ref="AM129:AQ129"/>
    <mergeCell ref="AR129:AV129"/>
    <mergeCell ref="AW129:BA129"/>
    <mergeCell ref="AC126:AG126"/>
    <mergeCell ref="AH126:AL126"/>
    <mergeCell ref="AM126:AQ126"/>
    <mergeCell ref="AR126:AV126"/>
    <mergeCell ref="AW126:BA126"/>
    <mergeCell ref="AC127:AG127"/>
    <mergeCell ref="AH127:AL127"/>
    <mergeCell ref="AM127:AQ127"/>
    <mergeCell ref="AR127:AV127"/>
    <mergeCell ref="AW127:BA127"/>
    <mergeCell ref="AC108:AG108"/>
    <mergeCell ref="AH108:AL108"/>
    <mergeCell ref="AM108:AQ108"/>
    <mergeCell ref="AR108:AV108"/>
    <mergeCell ref="AW108:BA108"/>
    <mergeCell ref="AC109:AG109"/>
    <mergeCell ref="AH109:AL109"/>
    <mergeCell ref="AM109:AQ109"/>
    <mergeCell ref="AR109:AV109"/>
    <mergeCell ref="AW109:BA109"/>
    <mergeCell ref="AC106:AG106"/>
    <mergeCell ref="AH106:AL106"/>
    <mergeCell ref="AM106:AQ106"/>
    <mergeCell ref="AR106:AV106"/>
    <mergeCell ref="AW106:BA106"/>
    <mergeCell ref="AC107:AG107"/>
    <mergeCell ref="AH107:AL107"/>
    <mergeCell ref="AM107:AQ107"/>
    <mergeCell ref="AR107:AV107"/>
    <mergeCell ref="AW107:BA107"/>
    <mergeCell ref="AC104:AG104"/>
    <mergeCell ref="AH104:AL104"/>
    <mergeCell ref="AM104:AQ104"/>
    <mergeCell ref="AR104:AV104"/>
    <mergeCell ref="AW104:BA104"/>
    <mergeCell ref="AC105:AG105"/>
    <mergeCell ref="AH105:AL105"/>
    <mergeCell ref="AM105:AQ105"/>
    <mergeCell ref="AR105:AV105"/>
    <mergeCell ref="AW105:BA105"/>
    <mergeCell ref="AC85:AG85"/>
    <mergeCell ref="AH85:AL85"/>
    <mergeCell ref="AM85:AQ85"/>
    <mergeCell ref="AR85:AV85"/>
    <mergeCell ref="AW85:BA85"/>
    <mergeCell ref="AC103:AG103"/>
    <mergeCell ref="AH103:AL103"/>
    <mergeCell ref="AM103:AQ103"/>
    <mergeCell ref="AR103:AV103"/>
    <mergeCell ref="AW103:BA103"/>
    <mergeCell ref="AC83:AG83"/>
    <mergeCell ref="AH83:AL83"/>
    <mergeCell ref="AM83:AQ83"/>
    <mergeCell ref="AR83:AV83"/>
    <mergeCell ref="AW83:BA83"/>
    <mergeCell ref="AC84:AG84"/>
    <mergeCell ref="AH84:AL84"/>
    <mergeCell ref="AM84:AQ84"/>
    <mergeCell ref="AR84:AV84"/>
    <mergeCell ref="AW84:BA84"/>
    <mergeCell ref="AC81:AG81"/>
    <mergeCell ref="AH81:AL81"/>
    <mergeCell ref="AM81:AQ81"/>
    <mergeCell ref="AR81:AV81"/>
    <mergeCell ref="AW81:BA81"/>
    <mergeCell ref="AC82:AG82"/>
    <mergeCell ref="AH82:AL82"/>
    <mergeCell ref="AM82:AQ82"/>
    <mergeCell ref="AR82:AV82"/>
    <mergeCell ref="AW82:BA82"/>
    <mergeCell ref="AC79:AG79"/>
    <mergeCell ref="AH79:AL79"/>
    <mergeCell ref="AM79:AQ79"/>
    <mergeCell ref="AR79:AV79"/>
    <mergeCell ref="AW79:BA79"/>
    <mergeCell ref="AC80:AG80"/>
    <mergeCell ref="AH80:AL80"/>
    <mergeCell ref="AM80:AQ80"/>
    <mergeCell ref="AR80:AV80"/>
    <mergeCell ref="AW80:BA80"/>
    <mergeCell ref="AC61:AG61"/>
    <mergeCell ref="AH61:AL61"/>
    <mergeCell ref="AM61:AQ61"/>
    <mergeCell ref="AR61:AV61"/>
    <mergeCell ref="AW61:BA61"/>
    <mergeCell ref="AC62:AG62"/>
    <mergeCell ref="AH62:AL62"/>
    <mergeCell ref="AM62:AQ62"/>
    <mergeCell ref="AR62:AV62"/>
    <mergeCell ref="AW62:BA62"/>
    <mergeCell ref="AC59:AG59"/>
    <mergeCell ref="AH59:AL59"/>
    <mergeCell ref="AM59:AQ59"/>
    <mergeCell ref="AR59:AV59"/>
    <mergeCell ref="AW59:BA59"/>
    <mergeCell ref="AC60:AG60"/>
    <mergeCell ref="AH60:AL60"/>
    <mergeCell ref="AM60:AQ60"/>
    <mergeCell ref="AR60:AV60"/>
    <mergeCell ref="AW60:BA60"/>
    <mergeCell ref="AC57:AG57"/>
    <mergeCell ref="AH57:AL57"/>
    <mergeCell ref="AM57:AQ57"/>
    <mergeCell ref="AR57:AV57"/>
    <mergeCell ref="AW57:BA57"/>
    <mergeCell ref="AC58:AG58"/>
    <mergeCell ref="AH58:AL58"/>
    <mergeCell ref="AM58:AQ58"/>
    <mergeCell ref="AR58:AV58"/>
    <mergeCell ref="AW58:BA58"/>
    <mergeCell ref="AC38:AG38"/>
    <mergeCell ref="AH38:AL38"/>
    <mergeCell ref="AM38:AQ38"/>
    <mergeCell ref="AR38:AV38"/>
    <mergeCell ref="AW38:BA38"/>
    <mergeCell ref="AC56:AG56"/>
    <mergeCell ref="AH56:AL56"/>
    <mergeCell ref="AM56:AQ56"/>
    <mergeCell ref="AR56:AV56"/>
    <mergeCell ref="AW56:BA56"/>
    <mergeCell ref="AC36:AG36"/>
    <mergeCell ref="AH36:AL36"/>
    <mergeCell ref="AM36:AQ36"/>
    <mergeCell ref="AR36:AV36"/>
    <mergeCell ref="AW36:BA36"/>
    <mergeCell ref="AC37:AG37"/>
    <mergeCell ref="AH37:AL37"/>
    <mergeCell ref="AM37:AQ37"/>
    <mergeCell ref="AR37:AV37"/>
    <mergeCell ref="AW37:BA37"/>
    <mergeCell ref="AC34:AG34"/>
    <mergeCell ref="AH34:AL34"/>
    <mergeCell ref="AM34:AQ34"/>
    <mergeCell ref="AR34:AV34"/>
    <mergeCell ref="AW34:BA34"/>
    <mergeCell ref="AC35:AG35"/>
    <mergeCell ref="AH35:AL35"/>
    <mergeCell ref="AM35:AQ35"/>
    <mergeCell ref="AR35:AV35"/>
    <mergeCell ref="AW35:BA35"/>
    <mergeCell ref="AC32:AG32"/>
    <mergeCell ref="AH32:AL32"/>
    <mergeCell ref="AM32:AQ32"/>
    <mergeCell ref="AR32:AV32"/>
    <mergeCell ref="AW32:BA32"/>
    <mergeCell ref="AC33:AG33"/>
    <mergeCell ref="AH33:AL33"/>
    <mergeCell ref="AM33:AQ33"/>
    <mergeCell ref="AR33:AV33"/>
    <mergeCell ref="AW33:BA33"/>
    <mergeCell ref="AC14:AG14"/>
    <mergeCell ref="AH14:AL14"/>
    <mergeCell ref="AM14:AQ14"/>
    <mergeCell ref="AR14:AV14"/>
    <mergeCell ref="AW14:BA14"/>
    <mergeCell ref="AC15:AG15"/>
    <mergeCell ref="AH15:AL15"/>
    <mergeCell ref="AM15:AQ15"/>
    <mergeCell ref="AR15:AV15"/>
    <mergeCell ref="AW15:BA15"/>
    <mergeCell ref="AC12:AG12"/>
    <mergeCell ref="AH12:AL12"/>
    <mergeCell ref="AM12:AQ12"/>
    <mergeCell ref="AR12:AV12"/>
    <mergeCell ref="AW12:BA12"/>
    <mergeCell ref="AC13:AG13"/>
    <mergeCell ref="AH13:AL13"/>
    <mergeCell ref="AM13:AQ13"/>
    <mergeCell ref="AR13:AV13"/>
    <mergeCell ref="AW13:BA13"/>
    <mergeCell ref="A9:B9"/>
    <mergeCell ref="AC10:AG10"/>
    <mergeCell ref="AH10:AL10"/>
    <mergeCell ref="AM10:AQ10"/>
    <mergeCell ref="AR10:AV10"/>
    <mergeCell ref="AW10:BA10"/>
    <mergeCell ref="AC11:AG11"/>
    <mergeCell ref="AH11:AL11"/>
    <mergeCell ref="AM11:AQ11"/>
    <mergeCell ref="AR11:AV11"/>
    <mergeCell ref="AW11:BA11"/>
    <mergeCell ref="A10:A11"/>
    <mergeCell ref="M10:Q10"/>
    <mergeCell ref="M11:Q11"/>
    <mergeCell ref="R10:V10"/>
    <mergeCell ref="R11:V11"/>
    <mergeCell ref="H10:L10"/>
    <mergeCell ref="H11:L11"/>
    <mergeCell ref="W10:AA10"/>
    <mergeCell ref="W11:AA11"/>
    <mergeCell ref="A121:B121"/>
    <mergeCell ref="A95:B95"/>
    <mergeCell ref="A96:B96"/>
    <mergeCell ref="A134:B134"/>
    <mergeCell ref="A1:C1"/>
    <mergeCell ref="D1:E1"/>
    <mergeCell ref="AR1:AX1"/>
    <mergeCell ref="AR2:AX2"/>
    <mergeCell ref="AC9:AG9"/>
    <mergeCell ref="AH9:AL9"/>
    <mergeCell ref="AM9:AQ9"/>
    <mergeCell ref="AR9:AV9"/>
    <mergeCell ref="AW9:BA9"/>
    <mergeCell ref="R1:X1"/>
    <mergeCell ref="A2:Q2"/>
    <mergeCell ref="R2:X2"/>
    <mergeCell ref="A4:Q4"/>
    <mergeCell ref="A5:Q5"/>
    <mergeCell ref="R9:V9"/>
    <mergeCell ref="W9:AA9"/>
    <mergeCell ref="C9:G9"/>
    <mergeCell ref="H9:L9"/>
    <mergeCell ref="M9:Q9"/>
    <mergeCell ref="C3:L3"/>
    <mergeCell ref="C85:G85"/>
    <mergeCell ref="H85:L85"/>
    <mergeCell ref="M85:Q85"/>
    <mergeCell ref="A99:B99"/>
    <mergeCell ref="A104:A105"/>
    <mergeCell ref="A106:A107"/>
    <mergeCell ref="A111:B111"/>
    <mergeCell ref="A110:B110"/>
    <mergeCell ref="C79:G79"/>
    <mergeCell ref="H79:L79"/>
    <mergeCell ref="C103:G103"/>
    <mergeCell ref="H103:L103"/>
    <mergeCell ref="H81:L81"/>
    <mergeCell ref="C82:G82"/>
    <mergeCell ref="H82:L82"/>
    <mergeCell ref="C84:G84"/>
    <mergeCell ref="H84:L84"/>
    <mergeCell ref="C83:G83"/>
    <mergeCell ref="A88:B88"/>
    <mergeCell ref="A89:B89"/>
    <mergeCell ref="A91:B91"/>
    <mergeCell ref="A92:B92"/>
    <mergeCell ref="A93:B93"/>
    <mergeCell ref="A94:B94"/>
    <mergeCell ref="A98:B98"/>
    <mergeCell ref="A80:A81"/>
    <mergeCell ref="A82:A83"/>
    <mergeCell ref="A23:B23"/>
    <mergeCell ref="A24:B24"/>
    <mergeCell ref="A25:B25"/>
    <mergeCell ref="A26:B26"/>
    <mergeCell ref="A28:B28"/>
    <mergeCell ref="A29:B29"/>
    <mergeCell ref="A30:B30"/>
    <mergeCell ref="A31:B31"/>
    <mergeCell ref="A35:A36"/>
    <mergeCell ref="A40:B40"/>
    <mergeCell ref="A41:B41"/>
    <mergeCell ref="A42:B42"/>
    <mergeCell ref="A44:B44"/>
    <mergeCell ref="A97:B97"/>
    <mergeCell ref="A87:B87"/>
    <mergeCell ref="A78:B78"/>
    <mergeCell ref="A79:B79"/>
    <mergeCell ref="A86:B86"/>
    <mergeCell ref="A45:B45"/>
    <mergeCell ref="A46:B46"/>
    <mergeCell ref="A72:B72"/>
    <mergeCell ref="A19:B19"/>
    <mergeCell ref="A21:B21"/>
    <mergeCell ref="A22:B22"/>
    <mergeCell ref="H15:L15"/>
    <mergeCell ref="A20:B20"/>
    <mergeCell ref="A16:B16"/>
    <mergeCell ref="M35:Q35"/>
    <mergeCell ref="W84:AA84"/>
    <mergeCell ref="M83:Q83"/>
    <mergeCell ref="R83:V83"/>
    <mergeCell ref="W83:AA83"/>
    <mergeCell ref="M81:Q81"/>
    <mergeCell ref="R33:V33"/>
    <mergeCell ref="C34:G34"/>
    <mergeCell ref="H34:L34"/>
    <mergeCell ref="M34:Q34"/>
    <mergeCell ref="R34:V34"/>
    <mergeCell ref="W15:AA15"/>
    <mergeCell ref="W36:AA36"/>
    <mergeCell ref="W37:AA37"/>
    <mergeCell ref="R58:V58"/>
    <mergeCell ref="W58:AA58"/>
    <mergeCell ref="W35:AA35"/>
    <mergeCell ref="M57:Q57"/>
    <mergeCell ref="A127:A128"/>
    <mergeCell ref="A129:A130"/>
    <mergeCell ref="R103:V103"/>
    <mergeCell ref="R106:V106"/>
    <mergeCell ref="A113:B113"/>
    <mergeCell ref="A125:B125"/>
    <mergeCell ref="A115:B115"/>
    <mergeCell ref="A112:B112"/>
    <mergeCell ref="A103:B103"/>
    <mergeCell ref="M127:Q127"/>
    <mergeCell ref="R127:V127"/>
    <mergeCell ref="C126:G126"/>
    <mergeCell ref="H126:L126"/>
    <mergeCell ref="A126:B126"/>
    <mergeCell ref="R126:V126"/>
    <mergeCell ref="A114:B114"/>
    <mergeCell ref="A122:B122"/>
    <mergeCell ref="A123:B123"/>
    <mergeCell ref="A124:B124"/>
    <mergeCell ref="A116:B116"/>
    <mergeCell ref="A117:B117"/>
    <mergeCell ref="A118:B118"/>
    <mergeCell ref="A119:B119"/>
    <mergeCell ref="A120:B120"/>
    <mergeCell ref="A146:B146"/>
    <mergeCell ref="W132:AA132"/>
    <mergeCell ref="C131:G131"/>
    <mergeCell ref="H131:L131"/>
    <mergeCell ref="M131:Q131"/>
    <mergeCell ref="R131:V131"/>
    <mergeCell ref="W131:AA131"/>
    <mergeCell ref="C130:G130"/>
    <mergeCell ref="H130:L130"/>
    <mergeCell ref="M130:Q130"/>
    <mergeCell ref="R130:V130"/>
    <mergeCell ref="W130:AA130"/>
    <mergeCell ref="A140:B140"/>
    <mergeCell ref="A133:B133"/>
    <mergeCell ref="C132:G132"/>
    <mergeCell ref="H132:L132"/>
    <mergeCell ref="M132:Q132"/>
    <mergeCell ref="R132:V132"/>
    <mergeCell ref="A137:B137"/>
    <mergeCell ref="A147:B147"/>
    <mergeCell ref="A148:B148"/>
    <mergeCell ref="C10:G10"/>
    <mergeCell ref="C11:G11"/>
    <mergeCell ref="C12:G12"/>
    <mergeCell ref="C13:G13"/>
    <mergeCell ref="C14:G14"/>
    <mergeCell ref="C15:G15"/>
    <mergeCell ref="C36:G36"/>
    <mergeCell ref="C38:G38"/>
    <mergeCell ref="C58:G58"/>
    <mergeCell ref="C60:G60"/>
    <mergeCell ref="C62:G62"/>
    <mergeCell ref="C81:G81"/>
    <mergeCell ref="A141:B141"/>
    <mergeCell ref="A142:B142"/>
    <mergeCell ref="A143:B143"/>
    <mergeCell ref="A144:B144"/>
    <mergeCell ref="A145:B145"/>
    <mergeCell ref="A135:B135"/>
    <mergeCell ref="A136:B136"/>
    <mergeCell ref="A138:B138"/>
    <mergeCell ref="A139:B139"/>
    <mergeCell ref="C33:G33"/>
    <mergeCell ref="W12:AA12"/>
    <mergeCell ref="W13:AA13"/>
    <mergeCell ref="W14:AA14"/>
    <mergeCell ref="R32:V32"/>
    <mergeCell ref="W32:AA32"/>
    <mergeCell ref="W33:AA33"/>
    <mergeCell ref="W34:AA34"/>
    <mergeCell ref="M33:Q33"/>
    <mergeCell ref="R35:V35"/>
    <mergeCell ref="R12:V12"/>
    <mergeCell ref="R13:V13"/>
    <mergeCell ref="R14:V14"/>
    <mergeCell ref="M12:Q12"/>
    <mergeCell ref="M13:Q13"/>
    <mergeCell ref="M14:Q14"/>
    <mergeCell ref="M15:Q15"/>
    <mergeCell ref="M32:Q32"/>
    <mergeCell ref="R15:V15"/>
    <mergeCell ref="C59:G59"/>
    <mergeCell ref="H59:L59"/>
    <mergeCell ref="M59:Q59"/>
    <mergeCell ref="R59:V59"/>
    <mergeCell ref="W59:AA59"/>
    <mergeCell ref="H60:L60"/>
    <mergeCell ref="M36:Q36"/>
    <mergeCell ref="C56:G56"/>
    <mergeCell ref="R36:V36"/>
    <mergeCell ref="R37:V37"/>
    <mergeCell ref="M38:Q38"/>
    <mergeCell ref="R38:V38"/>
    <mergeCell ref="H56:L56"/>
    <mergeCell ref="C37:G37"/>
    <mergeCell ref="H37:L37"/>
    <mergeCell ref="M37:Q37"/>
    <mergeCell ref="R57:V57"/>
    <mergeCell ref="W38:AA38"/>
    <mergeCell ref="M56:Q56"/>
    <mergeCell ref="R56:V56"/>
    <mergeCell ref="W56:AA56"/>
    <mergeCell ref="W57:AA57"/>
    <mergeCell ref="M58:Q58"/>
    <mergeCell ref="H83:L83"/>
    <mergeCell ref="M60:Q60"/>
    <mergeCell ref="R60:V60"/>
    <mergeCell ref="W60:AA60"/>
    <mergeCell ref="C61:G61"/>
    <mergeCell ref="H61:L61"/>
    <mergeCell ref="M61:Q61"/>
    <mergeCell ref="R61:V61"/>
    <mergeCell ref="W61:AA61"/>
    <mergeCell ref="H62:L62"/>
    <mergeCell ref="M62:Q62"/>
    <mergeCell ref="R62:V62"/>
    <mergeCell ref="W62:AA62"/>
    <mergeCell ref="C80:G80"/>
    <mergeCell ref="H80:L80"/>
    <mergeCell ref="M80:Q80"/>
    <mergeCell ref="R80:V80"/>
    <mergeCell ref="W80:AA80"/>
    <mergeCell ref="M79:Q79"/>
    <mergeCell ref="R79:V79"/>
    <mergeCell ref="W79:AA79"/>
    <mergeCell ref="R85:V85"/>
    <mergeCell ref="W85:AA85"/>
    <mergeCell ref="R81:V81"/>
    <mergeCell ref="W81:AA81"/>
    <mergeCell ref="M82:Q82"/>
    <mergeCell ref="R82:V82"/>
    <mergeCell ref="W82:AA82"/>
    <mergeCell ref="M84:Q84"/>
    <mergeCell ref="R84:V84"/>
    <mergeCell ref="W105:AA105"/>
    <mergeCell ref="R104:V104"/>
    <mergeCell ref="C104:G104"/>
    <mergeCell ref="H104:L104"/>
    <mergeCell ref="M104:Q104"/>
    <mergeCell ref="C106:G106"/>
    <mergeCell ref="H106:L106"/>
    <mergeCell ref="M106:Q106"/>
    <mergeCell ref="W103:AA103"/>
    <mergeCell ref="M103:Q103"/>
    <mergeCell ref="W126:AA126"/>
    <mergeCell ref="C129:G129"/>
    <mergeCell ref="H129:L129"/>
    <mergeCell ref="M129:Q129"/>
    <mergeCell ref="R129:V129"/>
    <mergeCell ref="W129:AA129"/>
    <mergeCell ref="H127:L127"/>
    <mergeCell ref="W127:AA127"/>
    <mergeCell ref="C128:G128"/>
    <mergeCell ref="H128:L128"/>
    <mergeCell ref="M128:Q128"/>
    <mergeCell ref="R128:V128"/>
    <mergeCell ref="W128:AA128"/>
    <mergeCell ref="C127:G127"/>
    <mergeCell ref="M126:Q126"/>
    <mergeCell ref="A100:B100"/>
    <mergeCell ref="A101:B101"/>
    <mergeCell ref="A77:B77"/>
    <mergeCell ref="A90:B90"/>
    <mergeCell ref="W108:AA108"/>
    <mergeCell ref="C109:G109"/>
    <mergeCell ref="H109:L109"/>
    <mergeCell ref="M109:Q109"/>
    <mergeCell ref="R109:V109"/>
    <mergeCell ref="W109:AA109"/>
    <mergeCell ref="R108:V108"/>
    <mergeCell ref="C108:G108"/>
    <mergeCell ref="H108:L108"/>
    <mergeCell ref="M108:Q108"/>
    <mergeCell ref="W106:AA106"/>
    <mergeCell ref="H107:L107"/>
    <mergeCell ref="M107:Q107"/>
    <mergeCell ref="R107:V107"/>
    <mergeCell ref="W107:AA107"/>
    <mergeCell ref="W104:AA104"/>
    <mergeCell ref="C105:G105"/>
    <mergeCell ref="H105:L105"/>
    <mergeCell ref="M105:Q105"/>
    <mergeCell ref="R105:V105"/>
    <mergeCell ref="A73:B73"/>
    <mergeCell ref="A74:B74"/>
    <mergeCell ref="A75:B75"/>
    <mergeCell ref="A76:B76"/>
    <mergeCell ref="A64:B64"/>
    <mergeCell ref="A65:B65"/>
    <mergeCell ref="A66:B66"/>
    <mergeCell ref="A68:B68"/>
    <mergeCell ref="A69:B69"/>
    <mergeCell ref="A70:B70"/>
    <mergeCell ref="A71:B71"/>
    <mergeCell ref="H35:L35"/>
    <mergeCell ref="A43:B43"/>
    <mergeCell ref="A33:A34"/>
    <mergeCell ref="A50:B50"/>
    <mergeCell ref="A51:B51"/>
    <mergeCell ref="A52:B52"/>
    <mergeCell ref="A53:B53"/>
    <mergeCell ref="H36:L36"/>
    <mergeCell ref="A54:B54"/>
    <mergeCell ref="H33:L33"/>
    <mergeCell ref="A12:A13"/>
    <mergeCell ref="A17:B17"/>
    <mergeCell ref="A18:B18"/>
    <mergeCell ref="A47:B47"/>
    <mergeCell ref="A48:B48"/>
    <mergeCell ref="A49:B49"/>
    <mergeCell ref="A67:B67"/>
    <mergeCell ref="H58:L58"/>
    <mergeCell ref="H13:L13"/>
    <mergeCell ref="H14:L14"/>
    <mergeCell ref="A27:B27"/>
    <mergeCell ref="H12:L12"/>
    <mergeCell ref="A57:A58"/>
    <mergeCell ref="A59:A60"/>
    <mergeCell ref="A39:B39"/>
    <mergeCell ref="A56:B56"/>
    <mergeCell ref="A63:B63"/>
    <mergeCell ref="C57:G57"/>
    <mergeCell ref="H57:L57"/>
    <mergeCell ref="H32:L32"/>
    <mergeCell ref="C32:G32"/>
    <mergeCell ref="A32:B32"/>
    <mergeCell ref="H38:L38"/>
    <mergeCell ref="C35:G35"/>
  </mergeCells>
  <printOptions horizontalCentered="1"/>
  <pageMargins left="0" right="0" top="0.74803149606299213" bottom="0.35433070866141736" header="0.31496062992125984" footer="0.11811023622047245"/>
  <pageSetup paperSize="9" scale="59" pageOrder="overThenDown" orientation="landscape" r:id="rId1"/>
  <headerFooter alignWithMargins="0">
    <oddFooter>&amp;C&amp;A&amp;RСтр. &amp;P от &amp;N</oddFooter>
  </headerFooter>
  <rowBreaks count="2" manualBreakCount="2">
    <brk id="54" max="31" man="1"/>
    <brk id="101" max="31" man="1"/>
  </rowBreaks>
  <colBreaks count="1" manualBreakCount="1">
    <brk id="17" max="15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5" tint="0.79998168889431442"/>
    <pageSetUpPr fitToPage="1"/>
  </sheetPr>
  <dimension ref="A1:R110"/>
  <sheetViews>
    <sheetView showGridLines="0" zoomScale="85" zoomScaleNormal="85" zoomScaleSheetLayoutView="130" workbookViewId="0">
      <pane xSplit="1" ySplit="7" topLeftCell="D8" activePane="bottomRight" state="frozen"/>
      <selection pane="topRight" activeCell="B1" sqref="B1"/>
      <selection pane="bottomLeft" activeCell="A8" sqref="A8"/>
      <selection pane="bottomRight" activeCell="E19" sqref="E19:I19"/>
    </sheetView>
  </sheetViews>
  <sheetFormatPr defaultRowHeight="12.75"/>
  <cols>
    <col min="1" max="1" width="46" style="1" customWidth="1"/>
    <col min="2" max="2" width="16.5703125" style="1" customWidth="1"/>
    <col min="3" max="9" width="10.5703125" style="1" customWidth="1"/>
    <col min="10" max="10" width="2.5703125" style="1" customWidth="1"/>
    <col min="11" max="11" width="17.85546875" style="1" customWidth="1"/>
    <col min="12" max="256" width="9.140625" style="1"/>
    <col min="257" max="257" width="44.5703125" style="1" customWidth="1"/>
    <col min="258" max="258" width="16.5703125" style="1" customWidth="1"/>
    <col min="259" max="265" width="10.5703125" style="1" customWidth="1"/>
    <col min="266" max="266" width="9.140625" style="1"/>
    <col min="267" max="267" width="16.42578125" style="1" customWidth="1"/>
    <col min="268" max="512" width="9.140625" style="1"/>
    <col min="513" max="513" width="44.5703125" style="1" customWidth="1"/>
    <col min="514" max="514" width="16.5703125" style="1" customWidth="1"/>
    <col min="515" max="521" width="10.5703125" style="1" customWidth="1"/>
    <col min="522" max="522" width="9.140625" style="1"/>
    <col min="523" max="523" width="16.42578125" style="1" customWidth="1"/>
    <col min="524" max="768" width="9.140625" style="1"/>
    <col min="769" max="769" width="44.5703125" style="1" customWidth="1"/>
    <col min="770" max="770" width="16.5703125" style="1" customWidth="1"/>
    <col min="771" max="777" width="10.5703125" style="1" customWidth="1"/>
    <col min="778" max="778" width="9.140625" style="1"/>
    <col min="779" max="779" width="16.42578125" style="1" customWidth="1"/>
    <col min="780" max="1024" width="9.140625" style="1"/>
    <col min="1025" max="1025" width="44.5703125" style="1" customWidth="1"/>
    <col min="1026" max="1026" width="16.5703125" style="1" customWidth="1"/>
    <col min="1027" max="1033" width="10.5703125" style="1" customWidth="1"/>
    <col min="1034" max="1034" width="9.140625" style="1"/>
    <col min="1035" max="1035" width="16.42578125" style="1" customWidth="1"/>
    <col min="1036" max="1280" width="9.140625" style="1"/>
    <col min="1281" max="1281" width="44.5703125" style="1" customWidth="1"/>
    <col min="1282" max="1282" width="16.5703125" style="1" customWidth="1"/>
    <col min="1283" max="1289" width="10.5703125" style="1" customWidth="1"/>
    <col min="1290" max="1290" width="9.140625" style="1"/>
    <col min="1291" max="1291" width="16.42578125" style="1" customWidth="1"/>
    <col min="1292" max="1536" width="9.140625" style="1"/>
    <col min="1537" max="1537" width="44.5703125" style="1" customWidth="1"/>
    <col min="1538" max="1538" width="16.5703125" style="1" customWidth="1"/>
    <col min="1539" max="1545" width="10.5703125" style="1" customWidth="1"/>
    <col min="1546" max="1546" width="9.140625" style="1"/>
    <col min="1547" max="1547" width="16.42578125" style="1" customWidth="1"/>
    <col min="1548" max="1792" width="9.140625" style="1"/>
    <col min="1793" max="1793" width="44.5703125" style="1" customWidth="1"/>
    <col min="1794" max="1794" width="16.5703125" style="1" customWidth="1"/>
    <col min="1795" max="1801" width="10.5703125" style="1" customWidth="1"/>
    <col min="1802" max="1802" width="9.140625" style="1"/>
    <col min="1803" max="1803" width="16.42578125" style="1" customWidth="1"/>
    <col min="1804" max="2048" width="9.140625" style="1"/>
    <col min="2049" max="2049" width="44.5703125" style="1" customWidth="1"/>
    <col min="2050" max="2050" width="16.5703125" style="1" customWidth="1"/>
    <col min="2051" max="2057" width="10.5703125" style="1" customWidth="1"/>
    <col min="2058" max="2058" width="9.140625" style="1"/>
    <col min="2059" max="2059" width="16.42578125" style="1" customWidth="1"/>
    <col min="2060" max="2304" width="9.140625" style="1"/>
    <col min="2305" max="2305" width="44.5703125" style="1" customWidth="1"/>
    <col min="2306" max="2306" width="16.5703125" style="1" customWidth="1"/>
    <col min="2307" max="2313" width="10.5703125" style="1" customWidth="1"/>
    <col min="2314" max="2314" width="9.140625" style="1"/>
    <col min="2315" max="2315" width="16.42578125" style="1" customWidth="1"/>
    <col min="2316" max="2560" width="9.140625" style="1"/>
    <col min="2561" max="2561" width="44.5703125" style="1" customWidth="1"/>
    <col min="2562" max="2562" width="16.5703125" style="1" customWidth="1"/>
    <col min="2563" max="2569" width="10.5703125" style="1" customWidth="1"/>
    <col min="2570" max="2570" width="9.140625" style="1"/>
    <col min="2571" max="2571" width="16.42578125" style="1" customWidth="1"/>
    <col min="2572" max="2816" width="9.140625" style="1"/>
    <col min="2817" max="2817" width="44.5703125" style="1" customWidth="1"/>
    <col min="2818" max="2818" width="16.5703125" style="1" customWidth="1"/>
    <col min="2819" max="2825" width="10.5703125" style="1" customWidth="1"/>
    <col min="2826" max="2826" width="9.140625" style="1"/>
    <col min="2827" max="2827" width="16.42578125" style="1" customWidth="1"/>
    <col min="2828" max="3072" width="9.140625" style="1"/>
    <col min="3073" max="3073" width="44.5703125" style="1" customWidth="1"/>
    <col min="3074" max="3074" width="16.5703125" style="1" customWidth="1"/>
    <col min="3075" max="3081" width="10.5703125" style="1" customWidth="1"/>
    <col min="3082" max="3082" width="9.140625" style="1"/>
    <col min="3083" max="3083" width="16.42578125" style="1" customWidth="1"/>
    <col min="3084" max="3328" width="9.140625" style="1"/>
    <col min="3329" max="3329" width="44.5703125" style="1" customWidth="1"/>
    <col min="3330" max="3330" width="16.5703125" style="1" customWidth="1"/>
    <col min="3331" max="3337" width="10.5703125" style="1" customWidth="1"/>
    <col min="3338" max="3338" width="9.140625" style="1"/>
    <col min="3339" max="3339" width="16.42578125" style="1" customWidth="1"/>
    <col min="3340" max="3584" width="9.140625" style="1"/>
    <col min="3585" max="3585" width="44.5703125" style="1" customWidth="1"/>
    <col min="3586" max="3586" width="16.5703125" style="1" customWidth="1"/>
    <col min="3587" max="3593" width="10.5703125" style="1" customWidth="1"/>
    <col min="3594" max="3594" width="9.140625" style="1"/>
    <col min="3595" max="3595" width="16.42578125" style="1" customWidth="1"/>
    <col min="3596" max="3840" width="9.140625" style="1"/>
    <col min="3841" max="3841" width="44.5703125" style="1" customWidth="1"/>
    <col min="3842" max="3842" width="16.5703125" style="1" customWidth="1"/>
    <col min="3843" max="3849" width="10.5703125" style="1" customWidth="1"/>
    <col min="3850" max="3850" width="9.140625" style="1"/>
    <col min="3851" max="3851" width="16.42578125" style="1" customWidth="1"/>
    <col min="3852" max="4096" width="9.140625" style="1"/>
    <col min="4097" max="4097" width="44.5703125" style="1" customWidth="1"/>
    <col min="4098" max="4098" width="16.5703125" style="1" customWidth="1"/>
    <col min="4099" max="4105" width="10.5703125" style="1" customWidth="1"/>
    <col min="4106" max="4106" width="9.140625" style="1"/>
    <col min="4107" max="4107" width="16.42578125" style="1" customWidth="1"/>
    <col min="4108" max="4352" width="9.140625" style="1"/>
    <col min="4353" max="4353" width="44.5703125" style="1" customWidth="1"/>
    <col min="4354" max="4354" width="16.5703125" style="1" customWidth="1"/>
    <col min="4355" max="4361" width="10.5703125" style="1" customWidth="1"/>
    <col min="4362" max="4362" width="9.140625" style="1"/>
    <col min="4363" max="4363" width="16.42578125" style="1" customWidth="1"/>
    <col min="4364" max="4608" width="9.140625" style="1"/>
    <col min="4609" max="4609" width="44.5703125" style="1" customWidth="1"/>
    <col min="4610" max="4610" width="16.5703125" style="1" customWidth="1"/>
    <col min="4611" max="4617" width="10.5703125" style="1" customWidth="1"/>
    <col min="4618" max="4618" width="9.140625" style="1"/>
    <col min="4619" max="4619" width="16.42578125" style="1" customWidth="1"/>
    <col min="4620" max="4864" width="9.140625" style="1"/>
    <col min="4865" max="4865" width="44.5703125" style="1" customWidth="1"/>
    <col min="4866" max="4866" width="16.5703125" style="1" customWidth="1"/>
    <col min="4867" max="4873" width="10.5703125" style="1" customWidth="1"/>
    <col min="4874" max="4874" width="9.140625" style="1"/>
    <col min="4875" max="4875" width="16.42578125" style="1" customWidth="1"/>
    <col min="4876" max="5120" width="9.140625" style="1"/>
    <col min="5121" max="5121" width="44.5703125" style="1" customWidth="1"/>
    <col min="5122" max="5122" width="16.5703125" style="1" customWidth="1"/>
    <col min="5123" max="5129" width="10.5703125" style="1" customWidth="1"/>
    <col min="5130" max="5130" width="9.140625" style="1"/>
    <col min="5131" max="5131" width="16.42578125" style="1" customWidth="1"/>
    <col min="5132" max="5376" width="9.140625" style="1"/>
    <col min="5377" max="5377" width="44.5703125" style="1" customWidth="1"/>
    <col min="5378" max="5378" width="16.5703125" style="1" customWidth="1"/>
    <col min="5379" max="5385" width="10.5703125" style="1" customWidth="1"/>
    <col min="5386" max="5386" width="9.140625" style="1"/>
    <col min="5387" max="5387" width="16.42578125" style="1" customWidth="1"/>
    <col min="5388" max="5632" width="9.140625" style="1"/>
    <col min="5633" max="5633" width="44.5703125" style="1" customWidth="1"/>
    <col min="5634" max="5634" width="16.5703125" style="1" customWidth="1"/>
    <col min="5635" max="5641" width="10.5703125" style="1" customWidth="1"/>
    <col min="5642" max="5642" width="9.140625" style="1"/>
    <col min="5643" max="5643" width="16.42578125" style="1" customWidth="1"/>
    <col min="5644" max="5888" width="9.140625" style="1"/>
    <col min="5889" max="5889" width="44.5703125" style="1" customWidth="1"/>
    <col min="5890" max="5890" width="16.5703125" style="1" customWidth="1"/>
    <col min="5891" max="5897" width="10.5703125" style="1" customWidth="1"/>
    <col min="5898" max="5898" width="9.140625" style="1"/>
    <col min="5899" max="5899" width="16.42578125" style="1" customWidth="1"/>
    <col min="5900" max="6144" width="9.140625" style="1"/>
    <col min="6145" max="6145" width="44.5703125" style="1" customWidth="1"/>
    <col min="6146" max="6146" width="16.5703125" style="1" customWidth="1"/>
    <col min="6147" max="6153" width="10.5703125" style="1" customWidth="1"/>
    <col min="6154" max="6154" width="9.140625" style="1"/>
    <col min="6155" max="6155" width="16.42578125" style="1" customWidth="1"/>
    <col min="6156" max="6400" width="9.140625" style="1"/>
    <col min="6401" max="6401" width="44.5703125" style="1" customWidth="1"/>
    <col min="6402" max="6402" width="16.5703125" style="1" customWidth="1"/>
    <col min="6403" max="6409" width="10.5703125" style="1" customWidth="1"/>
    <col min="6410" max="6410" width="9.140625" style="1"/>
    <col min="6411" max="6411" width="16.42578125" style="1" customWidth="1"/>
    <col min="6412" max="6656" width="9.140625" style="1"/>
    <col min="6657" max="6657" width="44.5703125" style="1" customWidth="1"/>
    <col min="6658" max="6658" width="16.5703125" style="1" customWidth="1"/>
    <col min="6659" max="6665" width="10.5703125" style="1" customWidth="1"/>
    <col min="6666" max="6666" width="9.140625" style="1"/>
    <col min="6667" max="6667" width="16.42578125" style="1" customWidth="1"/>
    <col min="6668" max="6912" width="9.140625" style="1"/>
    <col min="6913" max="6913" width="44.5703125" style="1" customWidth="1"/>
    <col min="6914" max="6914" width="16.5703125" style="1" customWidth="1"/>
    <col min="6915" max="6921" width="10.5703125" style="1" customWidth="1"/>
    <col min="6922" max="6922" width="9.140625" style="1"/>
    <col min="6923" max="6923" width="16.42578125" style="1" customWidth="1"/>
    <col min="6924" max="7168" width="9.140625" style="1"/>
    <col min="7169" max="7169" width="44.5703125" style="1" customWidth="1"/>
    <col min="7170" max="7170" width="16.5703125" style="1" customWidth="1"/>
    <col min="7171" max="7177" width="10.5703125" style="1" customWidth="1"/>
    <col min="7178" max="7178" width="9.140625" style="1"/>
    <col min="7179" max="7179" width="16.42578125" style="1" customWidth="1"/>
    <col min="7180" max="7424" width="9.140625" style="1"/>
    <col min="7425" max="7425" width="44.5703125" style="1" customWidth="1"/>
    <col min="7426" max="7426" width="16.5703125" style="1" customWidth="1"/>
    <col min="7427" max="7433" width="10.5703125" style="1" customWidth="1"/>
    <col min="7434" max="7434" width="9.140625" style="1"/>
    <col min="7435" max="7435" width="16.42578125" style="1" customWidth="1"/>
    <col min="7436" max="7680" width="9.140625" style="1"/>
    <col min="7681" max="7681" width="44.5703125" style="1" customWidth="1"/>
    <col min="7682" max="7682" width="16.5703125" style="1" customWidth="1"/>
    <col min="7683" max="7689" width="10.5703125" style="1" customWidth="1"/>
    <col min="7690" max="7690" width="9.140625" style="1"/>
    <col min="7691" max="7691" width="16.42578125" style="1" customWidth="1"/>
    <col min="7692" max="7936" width="9.140625" style="1"/>
    <col min="7937" max="7937" width="44.5703125" style="1" customWidth="1"/>
    <col min="7938" max="7938" width="16.5703125" style="1" customWidth="1"/>
    <col min="7939" max="7945" width="10.5703125" style="1" customWidth="1"/>
    <col min="7946" max="7946" width="9.140625" style="1"/>
    <col min="7947" max="7947" width="16.42578125" style="1" customWidth="1"/>
    <col min="7948" max="8192" width="9.140625" style="1"/>
    <col min="8193" max="8193" width="44.5703125" style="1" customWidth="1"/>
    <col min="8194" max="8194" width="16.5703125" style="1" customWidth="1"/>
    <col min="8195" max="8201" width="10.5703125" style="1" customWidth="1"/>
    <col min="8202" max="8202" width="9.140625" style="1"/>
    <col min="8203" max="8203" width="16.42578125" style="1" customWidth="1"/>
    <col min="8204" max="8448" width="9.140625" style="1"/>
    <col min="8449" max="8449" width="44.5703125" style="1" customWidth="1"/>
    <col min="8450" max="8450" width="16.5703125" style="1" customWidth="1"/>
    <col min="8451" max="8457" width="10.5703125" style="1" customWidth="1"/>
    <col min="8458" max="8458" width="9.140625" style="1"/>
    <col min="8459" max="8459" width="16.42578125" style="1" customWidth="1"/>
    <col min="8460" max="8704" width="9.140625" style="1"/>
    <col min="8705" max="8705" width="44.5703125" style="1" customWidth="1"/>
    <col min="8706" max="8706" width="16.5703125" style="1" customWidth="1"/>
    <col min="8707" max="8713" width="10.5703125" style="1" customWidth="1"/>
    <col min="8714" max="8714" width="9.140625" style="1"/>
    <col min="8715" max="8715" width="16.42578125" style="1" customWidth="1"/>
    <col min="8716" max="8960" width="9.140625" style="1"/>
    <col min="8961" max="8961" width="44.5703125" style="1" customWidth="1"/>
    <col min="8962" max="8962" width="16.5703125" style="1" customWidth="1"/>
    <col min="8963" max="8969" width="10.5703125" style="1" customWidth="1"/>
    <col min="8970" max="8970" width="9.140625" style="1"/>
    <col min="8971" max="8971" width="16.42578125" style="1" customWidth="1"/>
    <col min="8972" max="9216" width="9.140625" style="1"/>
    <col min="9217" max="9217" width="44.5703125" style="1" customWidth="1"/>
    <col min="9218" max="9218" width="16.5703125" style="1" customWidth="1"/>
    <col min="9219" max="9225" width="10.5703125" style="1" customWidth="1"/>
    <col min="9226" max="9226" width="9.140625" style="1"/>
    <col min="9227" max="9227" width="16.42578125" style="1" customWidth="1"/>
    <col min="9228" max="9472" width="9.140625" style="1"/>
    <col min="9473" max="9473" width="44.5703125" style="1" customWidth="1"/>
    <col min="9474" max="9474" width="16.5703125" style="1" customWidth="1"/>
    <col min="9475" max="9481" width="10.5703125" style="1" customWidth="1"/>
    <col min="9482" max="9482" width="9.140625" style="1"/>
    <col min="9483" max="9483" width="16.42578125" style="1" customWidth="1"/>
    <col min="9484" max="9728" width="9.140625" style="1"/>
    <col min="9729" max="9729" width="44.5703125" style="1" customWidth="1"/>
    <col min="9730" max="9730" width="16.5703125" style="1" customWidth="1"/>
    <col min="9731" max="9737" width="10.5703125" style="1" customWidth="1"/>
    <col min="9738" max="9738" width="9.140625" style="1"/>
    <col min="9739" max="9739" width="16.42578125" style="1" customWidth="1"/>
    <col min="9740" max="9984" width="9.140625" style="1"/>
    <col min="9985" max="9985" width="44.5703125" style="1" customWidth="1"/>
    <col min="9986" max="9986" width="16.5703125" style="1" customWidth="1"/>
    <col min="9987" max="9993" width="10.5703125" style="1" customWidth="1"/>
    <col min="9994" max="9994" width="9.140625" style="1"/>
    <col min="9995" max="9995" width="16.42578125" style="1" customWidth="1"/>
    <col min="9996" max="10240" width="9.140625" style="1"/>
    <col min="10241" max="10241" width="44.5703125" style="1" customWidth="1"/>
    <col min="10242" max="10242" width="16.5703125" style="1" customWidth="1"/>
    <col min="10243" max="10249" width="10.5703125" style="1" customWidth="1"/>
    <col min="10250" max="10250" width="9.140625" style="1"/>
    <col min="10251" max="10251" width="16.42578125" style="1" customWidth="1"/>
    <col min="10252" max="10496" width="9.140625" style="1"/>
    <col min="10497" max="10497" width="44.5703125" style="1" customWidth="1"/>
    <col min="10498" max="10498" width="16.5703125" style="1" customWidth="1"/>
    <col min="10499" max="10505" width="10.5703125" style="1" customWidth="1"/>
    <col min="10506" max="10506" width="9.140625" style="1"/>
    <col min="10507" max="10507" width="16.42578125" style="1" customWidth="1"/>
    <col min="10508" max="10752" width="9.140625" style="1"/>
    <col min="10753" max="10753" width="44.5703125" style="1" customWidth="1"/>
    <col min="10754" max="10754" width="16.5703125" style="1" customWidth="1"/>
    <col min="10755" max="10761" width="10.5703125" style="1" customWidth="1"/>
    <col min="10762" max="10762" width="9.140625" style="1"/>
    <col min="10763" max="10763" width="16.42578125" style="1" customWidth="1"/>
    <col min="10764" max="11008" width="9.140625" style="1"/>
    <col min="11009" max="11009" width="44.5703125" style="1" customWidth="1"/>
    <col min="11010" max="11010" width="16.5703125" style="1" customWidth="1"/>
    <col min="11011" max="11017" width="10.5703125" style="1" customWidth="1"/>
    <col min="11018" max="11018" width="9.140625" style="1"/>
    <col min="11019" max="11019" width="16.42578125" style="1" customWidth="1"/>
    <col min="11020" max="11264" width="9.140625" style="1"/>
    <col min="11265" max="11265" width="44.5703125" style="1" customWidth="1"/>
    <col min="11266" max="11266" width="16.5703125" style="1" customWidth="1"/>
    <col min="11267" max="11273" width="10.5703125" style="1" customWidth="1"/>
    <col min="11274" max="11274" width="9.140625" style="1"/>
    <col min="11275" max="11275" width="16.42578125" style="1" customWidth="1"/>
    <col min="11276" max="11520" width="9.140625" style="1"/>
    <col min="11521" max="11521" width="44.5703125" style="1" customWidth="1"/>
    <col min="11522" max="11522" width="16.5703125" style="1" customWidth="1"/>
    <col min="11523" max="11529" width="10.5703125" style="1" customWidth="1"/>
    <col min="11530" max="11530" width="9.140625" style="1"/>
    <col min="11531" max="11531" width="16.42578125" style="1" customWidth="1"/>
    <col min="11532" max="11776" width="9.140625" style="1"/>
    <col min="11777" max="11777" width="44.5703125" style="1" customWidth="1"/>
    <col min="11778" max="11778" width="16.5703125" style="1" customWidth="1"/>
    <col min="11779" max="11785" width="10.5703125" style="1" customWidth="1"/>
    <col min="11786" max="11786" width="9.140625" style="1"/>
    <col min="11787" max="11787" width="16.42578125" style="1" customWidth="1"/>
    <col min="11788" max="12032" width="9.140625" style="1"/>
    <col min="12033" max="12033" width="44.5703125" style="1" customWidth="1"/>
    <col min="12034" max="12034" width="16.5703125" style="1" customWidth="1"/>
    <col min="12035" max="12041" width="10.5703125" style="1" customWidth="1"/>
    <col min="12042" max="12042" width="9.140625" style="1"/>
    <col min="12043" max="12043" width="16.42578125" style="1" customWidth="1"/>
    <col min="12044" max="12288" width="9.140625" style="1"/>
    <col min="12289" max="12289" width="44.5703125" style="1" customWidth="1"/>
    <col min="12290" max="12290" width="16.5703125" style="1" customWidth="1"/>
    <col min="12291" max="12297" width="10.5703125" style="1" customWidth="1"/>
    <col min="12298" max="12298" width="9.140625" style="1"/>
    <col min="12299" max="12299" width="16.42578125" style="1" customWidth="1"/>
    <col min="12300" max="12544" width="9.140625" style="1"/>
    <col min="12545" max="12545" width="44.5703125" style="1" customWidth="1"/>
    <col min="12546" max="12546" width="16.5703125" style="1" customWidth="1"/>
    <col min="12547" max="12553" width="10.5703125" style="1" customWidth="1"/>
    <col min="12554" max="12554" width="9.140625" style="1"/>
    <col min="12555" max="12555" width="16.42578125" style="1" customWidth="1"/>
    <col min="12556" max="12800" width="9.140625" style="1"/>
    <col min="12801" max="12801" width="44.5703125" style="1" customWidth="1"/>
    <col min="12802" max="12802" width="16.5703125" style="1" customWidth="1"/>
    <col min="12803" max="12809" width="10.5703125" style="1" customWidth="1"/>
    <col min="12810" max="12810" width="9.140625" style="1"/>
    <col min="12811" max="12811" width="16.42578125" style="1" customWidth="1"/>
    <col min="12812" max="13056" width="9.140625" style="1"/>
    <col min="13057" max="13057" width="44.5703125" style="1" customWidth="1"/>
    <col min="13058" max="13058" width="16.5703125" style="1" customWidth="1"/>
    <col min="13059" max="13065" width="10.5703125" style="1" customWidth="1"/>
    <col min="13066" max="13066" width="9.140625" style="1"/>
    <col min="13067" max="13067" width="16.42578125" style="1" customWidth="1"/>
    <col min="13068" max="13312" width="9.140625" style="1"/>
    <col min="13313" max="13313" width="44.5703125" style="1" customWidth="1"/>
    <col min="13314" max="13314" width="16.5703125" style="1" customWidth="1"/>
    <col min="13315" max="13321" width="10.5703125" style="1" customWidth="1"/>
    <col min="13322" max="13322" width="9.140625" style="1"/>
    <col min="13323" max="13323" width="16.42578125" style="1" customWidth="1"/>
    <col min="13324" max="13568" width="9.140625" style="1"/>
    <col min="13569" max="13569" width="44.5703125" style="1" customWidth="1"/>
    <col min="13570" max="13570" width="16.5703125" style="1" customWidth="1"/>
    <col min="13571" max="13577" width="10.5703125" style="1" customWidth="1"/>
    <col min="13578" max="13578" width="9.140625" style="1"/>
    <col min="13579" max="13579" width="16.42578125" style="1" customWidth="1"/>
    <col min="13580" max="13824" width="9.140625" style="1"/>
    <col min="13825" max="13825" width="44.5703125" style="1" customWidth="1"/>
    <col min="13826" max="13826" width="16.5703125" style="1" customWidth="1"/>
    <col min="13827" max="13833" width="10.5703125" style="1" customWidth="1"/>
    <col min="13834" max="13834" width="9.140625" style="1"/>
    <col min="13835" max="13835" width="16.42578125" style="1" customWidth="1"/>
    <col min="13836" max="14080" width="9.140625" style="1"/>
    <col min="14081" max="14081" width="44.5703125" style="1" customWidth="1"/>
    <col min="14082" max="14082" width="16.5703125" style="1" customWidth="1"/>
    <col min="14083" max="14089" width="10.5703125" style="1" customWidth="1"/>
    <col min="14090" max="14090" width="9.140625" style="1"/>
    <col min="14091" max="14091" width="16.42578125" style="1" customWidth="1"/>
    <col min="14092" max="14336" width="9.140625" style="1"/>
    <col min="14337" max="14337" width="44.5703125" style="1" customWidth="1"/>
    <col min="14338" max="14338" width="16.5703125" style="1" customWidth="1"/>
    <col min="14339" max="14345" width="10.5703125" style="1" customWidth="1"/>
    <col min="14346" max="14346" width="9.140625" style="1"/>
    <col min="14347" max="14347" width="16.42578125" style="1" customWidth="1"/>
    <col min="14348" max="14592" width="9.140625" style="1"/>
    <col min="14593" max="14593" width="44.5703125" style="1" customWidth="1"/>
    <col min="14594" max="14594" width="16.5703125" style="1" customWidth="1"/>
    <col min="14595" max="14601" width="10.5703125" style="1" customWidth="1"/>
    <col min="14602" max="14602" width="9.140625" style="1"/>
    <col min="14603" max="14603" width="16.42578125" style="1" customWidth="1"/>
    <col min="14604" max="14848" width="9.140625" style="1"/>
    <col min="14849" max="14849" width="44.5703125" style="1" customWidth="1"/>
    <col min="14850" max="14850" width="16.5703125" style="1" customWidth="1"/>
    <col min="14851" max="14857" width="10.5703125" style="1" customWidth="1"/>
    <col min="14858" max="14858" width="9.140625" style="1"/>
    <col min="14859" max="14859" width="16.42578125" style="1" customWidth="1"/>
    <col min="14860" max="15104" width="9.140625" style="1"/>
    <col min="15105" max="15105" width="44.5703125" style="1" customWidth="1"/>
    <col min="15106" max="15106" width="16.5703125" style="1" customWidth="1"/>
    <col min="15107" max="15113" width="10.5703125" style="1" customWidth="1"/>
    <col min="15114" max="15114" width="9.140625" style="1"/>
    <col min="15115" max="15115" width="16.42578125" style="1" customWidth="1"/>
    <col min="15116" max="15360" width="9.140625" style="1"/>
    <col min="15361" max="15361" width="44.5703125" style="1" customWidth="1"/>
    <col min="15362" max="15362" width="16.5703125" style="1" customWidth="1"/>
    <col min="15363" max="15369" width="10.5703125" style="1" customWidth="1"/>
    <col min="15370" max="15370" width="9.140625" style="1"/>
    <col min="15371" max="15371" width="16.42578125" style="1" customWidth="1"/>
    <col min="15372" max="15616" width="9.140625" style="1"/>
    <col min="15617" max="15617" width="44.5703125" style="1" customWidth="1"/>
    <col min="15618" max="15618" width="16.5703125" style="1" customWidth="1"/>
    <col min="15619" max="15625" width="10.5703125" style="1" customWidth="1"/>
    <col min="15626" max="15626" width="9.140625" style="1"/>
    <col min="15627" max="15627" width="16.42578125" style="1" customWidth="1"/>
    <col min="15628" max="15872" width="9.140625" style="1"/>
    <col min="15873" max="15873" width="44.5703125" style="1" customWidth="1"/>
    <col min="15874" max="15874" width="16.5703125" style="1" customWidth="1"/>
    <col min="15875" max="15881" width="10.5703125" style="1" customWidth="1"/>
    <col min="15882" max="15882" width="9.140625" style="1"/>
    <col min="15883" max="15883" width="16.42578125" style="1" customWidth="1"/>
    <col min="15884" max="16128" width="9.140625" style="1"/>
    <col min="16129" max="16129" width="44.5703125" style="1" customWidth="1"/>
    <col min="16130" max="16130" width="16.5703125" style="1" customWidth="1"/>
    <col min="16131" max="16137" width="10.5703125" style="1" customWidth="1"/>
    <col min="16138" max="16138" width="9.140625" style="1"/>
    <col min="16139" max="16139" width="16.42578125" style="1" customWidth="1"/>
    <col min="16140" max="16384" width="9.140625" style="1"/>
  </cols>
  <sheetData>
    <row r="1" spans="1:18" ht="16.5" thickBot="1">
      <c r="A1" s="4482" t="str">
        <f>+'1. Обща информация'!B40</f>
        <v>Фиксиран курс на лева към 1 евро</v>
      </c>
      <c r="B1" s="4442">
        <f>+'1. Обща информация'!$C$40</f>
        <v>1.95583</v>
      </c>
      <c r="C1" s="4481"/>
      <c r="D1" s="4468"/>
      <c r="E1" s="4468"/>
      <c r="F1" s="1295"/>
      <c r="G1" s="1295"/>
      <c r="H1" s="1619"/>
      <c r="I1" s="3129" t="s">
        <v>278</v>
      </c>
      <c r="J1" s="1619"/>
      <c r="K1" s="1296"/>
      <c r="L1" s="1296"/>
      <c r="M1" s="1296"/>
    </row>
    <row r="2" spans="1:18" s="646" customFormat="1" ht="36.75" customHeight="1">
      <c r="A2" s="4803" t="s">
        <v>607</v>
      </c>
      <c r="B2" s="4803"/>
      <c r="C2" s="4803"/>
      <c r="D2" s="4803"/>
      <c r="E2" s="4803"/>
      <c r="F2" s="4803"/>
      <c r="G2" s="4803"/>
      <c r="H2" s="4803"/>
      <c r="I2" s="4803"/>
      <c r="J2" s="3130"/>
      <c r="K2" s="1297"/>
      <c r="L2" s="1296"/>
      <c r="M2" s="1296"/>
    </row>
    <row r="3" spans="1:18" s="646" customFormat="1" ht="18.75">
      <c r="A3" s="5148" t="str">
        <f>'1. Обща информация'!A4:D4</f>
        <v>на ВОДОСНАБДЯВАНЕ И КАНАЛИЗАЦИЯ ЕООД, гр. ХАСКОВО</v>
      </c>
      <c r="B3" s="5148"/>
      <c r="C3" s="5148"/>
      <c r="D3" s="5148"/>
      <c r="E3" s="5148"/>
      <c r="F3" s="5148"/>
      <c r="G3" s="5148"/>
      <c r="H3" s="5148"/>
      <c r="I3" s="5148"/>
      <c r="J3" s="3131"/>
      <c r="K3" s="1298"/>
      <c r="L3" s="1296"/>
      <c r="M3" s="1296"/>
    </row>
    <row r="4" spans="1:18" s="646" customFormat="1" ht="18.75">
      <c r="A4" s="5148" t="str">
        <f>'1. Обща информация'!A5:D5</f>
        <v>ЕИК по БУЛСТАТ: 126004284</v>
      </c>
      <c r="B4" s="5148"/>
      <c r="C4" s="5148"/>
      <c r="D4" s="5148"/>
      <c r="E4" s="5148"/>
      <c r="F4" s="5148"/>
      <c r="G4" s="5148"/>
      <c r="H4" s="5148"/>
      <c r="I4" s="5148"/>
      <c r="J4" s="3131"/>
      <c r="K4" s="1298"/>
      <c r="L4" s="1296"/>
      <c r="M4" s="1296"/>
    </row>
    <row r="5" spans="1:18" ht="12" customHeight="1" thickBot="1">
      <c r="A5" s="3132"/>
      <c r="B5" s="3133"/>
      <c r="C5" s="3133"/>
      <c r="D5" s="3133"/>
      <c r="E5" s="3133"/>
      <c r="F5" s="3133"/>
      <c r="G5" s="3133"/>
      <c r="H5" s="3133"/>
      <c r="I5" s="3133"/>
      <c r="J5" s="3134"/>
      <c r="K5" s="1297"/>
      <c r="L5" s="1296"/>
      <c r="M5" s="1296"/>
    </row>
    <row r="6" spans="1:18" s="326" customFormat="1" ht="13.5" thickBot="1">
      <c r="A6" s="5330" t="s">
        <v>279</v>
      </c>
      <c r="B6" s="5330" t="s">
        <v>280</v>
      </c>
      <c r="C6" s="3135" t="s">
        <v>192</v>
      </c>
      <c r="D6" s="5332" t="s">
        <v>193</v>
      </c>
      <c r="E6" s="5333"/>
      <c r="F6" s="5333"/>
      <c r="G6" s="5333"/>
      <c r="H6" s="5333"/>
      <c r="I6" s="5334"/>
      <c r="J6" s="4422"/>
      <c r="K6" s="5328" t="s">
        <v>280</v>
      </c>
      <c r="L6" s="4475" t="s">
        <v>192</v>
      </c>
      <c r="M6" s="5328" t="s">
        <v>193</v>
      </c>
      <c r="N6" s="5328"/>
      <c r="O6" s="5328"/>
      <c r="P6" s="5328"/>
      <c r="Q6" s="5328"/>
      <c r="R6" s="5328"/>
    </row>
    <row r="7" spans="1:18" s="326" customFormat="1" ht="13.5" thickBot="1">
      <c r="A7" s="5331"/>
      <c r="B7" s="5331"/>
      <c r="C7" s="2819" t="str">
        <f>'9.Инвестиционна програма'!G9</f>
        <v>2025 г.</v>
      </c>
      <c r="D7" s="2815" t="str">
        <f>'Приложение '!$C13</f>
        <v>2026 г.</v>
      </c>
      <c r="E7" s="2816" t="str">
        <f>'Приложение '!$C14</f>
        <v>2027 г.</v>
      </c>
      <c r="F7" s="2817" t="str">
        <f>'Приложение '!$C15</f>
        <v>2028 г.</v>
      </c>
      <c r="G7" s="2820" t="str">
        <f>'Приложение '!$C16</f>
        <v>2029 г.</v>
      </c>
      <c r="H7" s="2817" t="str">
        <f>'Приложение '!$C17</f>
        <v>2030 г.</v>
      </c>
      <c r="I7" s="2821" t="str">
        <f>'Приложение '!$C18</f>
        <v>2031 г.</v>
      </c>
      <c r="J7" s="4422"/>
      <c r="K7" s="5329"/>
      <c r="L7" s="4476" t="str">
        <f>+C7</f>
        <v>2025 г.</v>
      </c>
      <c r="M7" s="4476" t="str">
        <f t="shared" ref="M7:R7" si="0">+D7</f>
        <v>2026 г.</v>
      </c>
      <c r="N7" s="4476" t="str">
        <f t="shared" si="0"/>
        <v>2027 г.</v>
      </c>
      <c r="O7" s="4476" t="str">
        <f t="shared" si="0"/>
        <v>2028 г.</v>
      </c>
      <c r="P7" s="4476" t="str">
        <f t="shared" si="0"/>
        <v>2029 г.</v>
      </c>
      <c r="Q7" s="4476" t="str">
        <f t="shared" si="0"/>
        <v>2030 г.</v>
      </c>
      <c r="R7" s="4476" t="str">
        <f t="shared" si="0"/>
        <v>2031 г.</v>
      </c>
    </row>
    <row r="8" spans="1:18" ht="15" customHeight="1" thickBot="1">
      <c r="A8" s="3136" t="s">
        <v>281</v>
      </c>
      <c r="B8" s="3137" t="s">
        <v>282</v>
      </c>
      <c r="C8" s="4643">
        <v>3.407</v>
      </c>
      <c r="D8" s="4620">
        <v>3.5819999999999999</v>
      </c>
      <c r="E8" s="1406">
        <f>'20.Цени '!D10</f>
        <v>4.524</v>
      </c>
      <c r="F8" s="395">
        <f>'20.Цени '!E10</f>
        <v>4.8719999999999999</v>
      </c>
      <c r="G8" s="395">
        <f>'20.Цени '!F10</f>
        <v>5.3440000000000003</v>
      </c>
      <c r="H8" s="395">
        <f>'20.Цени '!G10</f>
        <v>5.73</v>
      </c>
      <c r="I8" s="396">
        <f>'20.Цени '!H10</f>
        <v>5.7489999999999997</v>
      </c>
      <c r="J8" s="4422"/>
      <c r="K8" s="4477" t="s">
        <v>1893</v>
      </c>
      <c r="L8" s="4509">
        <f>IFERROR(C8/$B$1,0)</f>
        <v>1.7419714392355163</v>
      </c>
      <c r="M8" s="4509">
        <f t="shared" ref="M8:M11" si="1">IFERROR(D8/$B$1,0)</f>
        <v>1.8314475184448546</v>
      </c>
      <c r="N8" s="4509">
        <f t="shared" ref="N8:N11" si="2">IFERROR(E8/$B$1,0)</f>
        <v>2.3130844705316926</v>
      </c>
      <c r="O8" s="4509">
        <f t="shared" ref="O8:O11" si="3">IFERROR(F8/$B$1,0)</f>
        <v>2.4910140451879763</v>
      </c>
      <c r="P8" s="4509">
        <f t="shared" ref="P8:P11" si="4">IFERROR(G8/$B$1,0)</f>
        <v>2.7323438131125917</v>
      </c>
      <c r="Q8" s="4509">
        <f t="shared" ref="Q8:Q11" si="5">IFERROR(H8/$B$1,0)</f>
        <v>2.929702479254332</v>
      </c>
      <c r="R8" s="4509">
        <f t="shared" ref="R8:R11" si="6">IFERROR(I8/$B$1,0)</f>
        <v>2.9394170249970601</v>
      </c>
    </row>
    <row r="9" spans="1:18" ht="15" customHeight="1" thickBot="1">
      <c r="A9" s="3138" t="s">
        <v>283</v>
      </c>
      <c r="B9" s="3139" t="s">
        <v>282</v>
      </c>
      <c r="C9" s="4643">
        <v>0.21099999999999999</v>
      </c>
      <c r="D9" s="4620">
        <v>0.23400000000000001</v>
      </c>
      <c r="E9" s="1407">
        <f>'20.Цени '!D12</f>
        <v>0.36099999999999999</v>
      </c>
      <c r="F9" s="397">
        <f>'20.Цени '!E12</f>
        <v>0.41799999999999998</v>
      </c>
      <c r="G9" s="397">
        <f>'20.Цени '!F12</f>
        <v>0.434</v>
      </c>
      <c r="H9" s="397">
        <f>'20.Цени '!G12</f>
        <v>0.48899999999999999</v>
      </c>
      <c r="I9" s="398">
        <f>'20.Цени '!H12</f>
        <v>0.51700000000000002</v>
      </c>
      <c r="J9" s="4422"/>
      <c r="K9" s="4477" t="s">
        <v>1893</v>
      </c>
      <c r="L9" s="4509">
        <f t="shared" ref="L9:L11" si="7">IFERROR(C9/$B$1,0)</f>
        <v>0.1078825869324021</v>
      </c>
      <c r="M9" s="4509">
        <f t="shared" si="1"/>
        <v>0.11964230019991513</v>
      </c>
      <c r="N9" s="4509">
        <f t="shared" si="2"/>
        <v>0.18457636911183486</v>
      </c>
      <c r="O9" s="4509">
        <f t="shared" si="3"/>
        <v>0.21372000634001934</v>
      </c>
      <c r="P9" s="4509">
        <f t="shared" si="4"/>
        <v>0.22190067643915884</v>
      </c>
      <c r="Q9" s="4509">
        <f t="shared" si="5"/>
        <v>0.25002172990495086</v>
      </c>
      <c r="R9" s="4509">
        <f t="shared" si="6"/>
        <v>0.26433790257844497</v>
      </c>
    </row>
    <row r="10" spans="1:18" ht="15" customHeight="1" thickBot="1">
      <c r="A10" s="3138" t="s">
        <v>284</v>
      </c>
      <c r="B10" s="3139" t="s">
        <v>282</v>
      </c>
      <c r="C10" s="4643">
        <v>0.56000000000000005</v>
      </c>
      <c r="D10" s="4620">
        <v>0.59799999999999998</v>
      </c>
      <c r="E10" s="1407">
        <f>'20.Цени '!D14</f>
        <v>0.72499999999999998</v>
      </c>
      <c r="F10" s="397">
        <f>'20.Цени '!E14</f>
        <v>0.81</v>
      </c>
      <c r="G10" s="397">
        <f>'20.Цени '!F14</f>
        <v>0.88900000000000001</v>
      </c>
      <c r="H10" s="397">
        <f>'20.Цени '!G14</f>
        <v>0.98499999999999999</v>
      </c>
      <c r="I10" s="398">
        <f>'20.Цени '!H14</f>
        <v>1.042</v>
      </c>
      <c r="J10" s="4422"/>
      <c r="K10" s="4477" t="s">
        <v>1893</v>
      </c>
      <c r="L10" s="4509">
        <f t="shared" si="7"/>
        <v>0.28632345346988236</v>
      </c>
      <c r="M10" s="4509">
        <f t="shared" si="1"/>
        <v>0.30575254495533866</v>
      </c>
      <c r="N10" s="4509">
        <f t="shared" si="2"/>
        <v>0.37068661386725837</v>
      </c>
      <c r="O10" s="4509">
        <f t="shared" si="3"/>
        <v>0.41414642376893701</v>
      </c>
      <c r="P10" s="4509">
        <f t="shared" si="4"/>
        <v>0.45453848238343825</v>
      </c>
      <c r="Q10" s="4509">
        <f t="shared" si="5"/>
        <v>0.50362250297827527</v>
      </c>
      <c r="R10" s="4509">
        <f t="shared" si="6"/>
        <v>0.53276614020645974</v>
      </c>
    </row>
    <row r="11" spans="1:18" ht="15" customHeight="1" thickBot="1">
      <c r="A11" s="3140" t="s">
        <v>194</v>
      </c>
      <c r="B11" s="3141" t="s">
        <v>285</v>
      </c>
      <c r="C11" s="4510">
        <f t="shared" ref="C11:I11" si="8">SUM(C8:C10)*1.2</f>
        <v>5.0135999999999994</v>
      </c>
      <c r="D11" s="4511">
        <f t="shared" si="8"/>
        <v>5.2967999999999993</v>
      </c>
      <c r="E11" s="4512">
        <f t="shared" si="8"/>
        <v>6.7319999999999993</v>
      </c>
      <c r="F11" s="4513">
        <f t="shared" si="8"/>
        <v>7.3199999999999994</v>
      </c>
      <c r="G11" s="4513">
        <f t="shared" si="8"/>
        <v>8.0004000000000008</v>
      </c>
      <c r="H11" s="4513">
        <f t="shared" si="8"/>
        <v>8.6448</v>
      </c>
      <c r="I11" s="4514">
        <f t="shared" si="8"/>
        <v>8.7695999999999987</v>
      </c>
      <c r="J11" s="4422"/>
      <c r="K11" s="4478" t="s">
        <v>1894</v>
      </c>
      <c r="L11" s="4515">
        <f t="shared" si="7"/>
        <v>2.563412975565361</v>
      </c>
      <c r="M11" s="4515">
        <f t="shared" si="1"/>
        <v>2.7082108363201298</v>
      </c>
      <c r="N11" s="4515">
        <f t="shared" si="2"/>
        <v>3.4420169442129427</v>
      </c>
      <c r="O11" s="4515">
        <f t="shared" si="3"/>
        <v>3.7426565703563193</v>
      </c>
      <c r="P11" s="4515">
        <f t="shared" si="4"/>
        <v>4.090539566322227</v>
      </c>
      <c r="Q11" s="4515">
        <f t="shared" si="5"/>
        <v>4.4200160545650693</v>
      </c>
      <c r="R11" s="4515">
        <f t="shared" si="6"/>
        <v>4.4838252813383574</v>
      </c>
    </row>
    <row r="12" spans="1:18" ht="15" customHeight="1" thickBot="1">
      <c r="A12" s="3138" t="s">
        <v>286</v>
      </c>
      <c r="B12" s="3139" t="s">
        <v>287</v>
      </c>
      <c r="C12" s="372">
        <v>2.8</v>
      </c>
      <c r="D12" s="4309">
        <v>2.8</v>
      </c>
      <c r="E12" s="1408">
        <v>2.8</v>
      </c>
      <c r="F12" s="267">
        <v>2.8</v>
      </c>
      <c r="G12" s="265">
        <v>2.8</v>
      </c>
      <c r="H12" s="267">
        <v>2.8</v>
      </c>
      <c r="I12" s="266">
        <v>2.8</v>
      </c>
      <c r="J12" s="4422"/>
      <c r="K12" s="4479"/>
      <c r="L12" s="1296"/>
      <c r="M12" s="1295"/>
    </row>
    <row r="13" spans="1:18" ht="15" customHeight="1" thickBot="1">
      <c r="A13" s="3138" t="s">
        <v>339</v>
      </c>
      <c r="B13" s="3139" t="s">
        <v>288</v>
      </c>
      <c r="C13" s="373">
        <f t="shared" ref="C13:I13" si="9">C11*C12</f>
        <v>14.038079999999997</v>
      </c>
      <c r="D13" s="4310">
        <f t="shared" si="9"/>
        <v>14.831039999999996</v>
      </c>
      <c r="E13" s="1409">
        <f t="shared" si="9"/>
        <v>18.849599999999995</v>
      </c>
      <c r="F13" s="269">
        <f t="shared" si="9"/>
        <v>20.495999999999999</v>
      </c>
      <c r="G13" s="268">
        <f t="shared" si="9"/>
        <v>22.401120000000002</v>
      </c>
      <c r="H13" s="268">
        <f t="shared" si="9"/>
        <v>24.205439999999999</v>
      </c>
      <c r="I13" s="270">
        <f t="shared" si="9"/>
        <v>24.554879999999994</v>
      </c>
      <c r="J13" s="4422"/>
      <c r="K13" s="4477" t="s">
        <v>1874</v>
      </c>
      <c r="L13" s="4483">
        <f t="shared" ref="L13:L14" si="10">IFERROR(C13/$B$1,0)</f>
        <v>7.1775563315830091</v>
      </c>
      <c r="M13" s="4483">
        <f t="shared" ref="M13:M14" si="11">IFERROR(D13/$B$1,0)</f>
        <v>7.5829903416963624</v>
      </c>
      <c r="N13" s="4483">
        <f t="shared" ref="N13:N14" si="12">IFERROR(E13/$B$1,0)</f>
        <v>9.6376474437962383</v>
      </c>
      <c r="O13" s="4483">
        <f t="shared" ref="O13:O14" si="13">IFERROR(F13/$B$1,0)</f>
        <v>10.479438396997693</v>
      </c>
      <c r="P13" s="4483">
        <f t="shared" ref="P13:P14" si="14">IFERROR(G13/$B$1,0)</f>
        <v>11.453510785702235</v>
      </c>
      <c r="Q13" s="4483">
        <f t="shared" ref="Q13:Q14" si="15">IFERROR(H13/$B$1,0)</f>
        <v>12.376044952782195</v>
      </c>
      <c r="R13" s="4483">
        <f t="shared" ref="R13:R14" si="16">IFERROR(I13/$B$1,0)</f>
        <v>12.554710787747398</v>
      </c>
    </row>
    <row r="14" spans="1:18" ht="15" customHeight="1" thickBot="1">
      <c r="A14" s="3142" t="s">
        <v>289</v>
      </c>
      <c r="B14" s="3139" t="s">
        <v>290</v>
      </c>
      <c r="C14" s="4600">
        <v>841</v>
      </c>
      <c r="D14" s="4311">
        <f>C14*(1+D15)</f>
        <v>859.50200000000007</v>
      </c>
      <c r="E14" s="3655">
        <f>D14*(1+E15)</f>
        <v>886.14656200000002</v>
      </c>
      <c r="F14" s="1422">
        <f t="shared" ref="F14:I14" si="17">E14*(1+F15)</f>
        <v>913.6171054219999</v>
      </c>
      <c r="G14" s="3254">
        <f t="shared" si="17"/>
        <v>941.93923569008177</v>
      </c>
      <c r="H14" s="1422">
        <f t="shared" si="17"/>
        <v>971.13935199647426</v>
      </c>
      <c r="I14" s="1423">
        <f t="shared" si="17"/>
        <v>1001.2446719083649</v>
      </c>
      <c r="J14" s="4422"/>
      <c r="K14" s="4477" t="s">
        <v>1895</v>
      </c>
      <c r="L14" s="4427">
        <f t="shared" si="10"/>
        <v>429.99647208601976</v>
      </c>
      <c r="M14" s="4427">
        <f t="shared" si="11"/>
        <v>439.45639447191223</v>
      </c>
      <c r="N14" s="4427">
        <f t="shared" si="12"/>
        <v>453.07954270054148</v>
      </c>
      <c r="O14" s="4427">
        <f t="shared" si="13"/>
        <v>467.12500852425819</v>
      </c>
      <c r="P14" s="4427">
        <f t="shared" si="14"/>
        <v>481.60588378851014</v>
      </c>
      <c r="Q14" s="4427">
        <f t="shared" si="15"/>
        <v>496.53566618595391</v>
      </c>
      <c r="R14" s="4427">
        <f t="shared" si="16"/>
        <v>511.92827183771851</v>
      </c>
    </row>
    <row r="15" spans="1:18" ht="13.5" thickBot="1">
      <c r="A15" s="3143" t="s">
        <v>1869</v>
      </c>
      <c r="B15" s="3144" t="s">
        <v>170</v>
      </c>
      <c r="C15" s="3145"/>
      <c r="D15" s="4307">
        <v>2.1999999999999999E-2</v>
      </c>
      <c r="E15" s="4313">
        <v>3.1E-2</v>
      </c>
      <c r="F15" s="4308">
        <f>E15</f>
        <v>3.1E-2</v>
      </c>
      <c r="G15" s="4308">
        <f>E15</f>
        <v>3.1E-2</v>
      </c>
      <c r="H15" s="4308">
        <f>E15</f>
        <v>3.1E-2</v>
      </c>
      <c r="I15" s="4314">
        <f>E15</f>
        <v>3.1E-2</v>
      </c>
      <c r="J15" s="4422"/>
      <c r="K15" s="4479"/>
      <c r="L15" s="1296"/>
      <c r="M15" s="1295"/>
    </row>
    <row r="16" spans="1:18" ht="15" customHeight="1" thickBot="1">
      <c r="A16" s="3143" t="s">
        <v>740</v>
      </c>
      <c r="B16" s="3146" t="s">
        <v>288</v>
      </c>
      <c r="C16" s="374">
        <f>C14*2.5%</f>
        <v>21.025000000000002</v>
      </c>
      <c r="D16" s="4312">
        <f>D14*2.5%</f>
        <v>21.487550000000002</v>
      </c>
      <c r="E16" s="1410">
        <f t="shared" ref="E16:I16" si="18">E14*2.5%</f>
        <v>22.153664050000003</v>
      </c>
      <c r="F16" s="272">
        <f t="shared" si="18"/>
        <v>22.84042763555</v>
      </c>
      <c r="G16" s="271">
        <f t="shared" si="18"/>
        <v>23.548480892252044</v>
      </c>
      <c r="H16" s="271">
        <f t="shared" si="18"/>
        <v>24.278483799911857</v>
      </c>
      <c r="I16" s="273">
        <f t="shared" si="18"/>
        <v>25.031116797709124</v>
      </c>
      <c r="J16" s="4422"/>
      <c r="K16" s="4477" t="s">
        <v>1874</v>
      </c>
      <c r="L16" s="4483">
        <f t="shared" ref="L16:L17" si="19">IFERROR(C16/$B$1,0)</f>
        <v>10.749911802150494</v>
      </c>
      <c r="M16" s="4483">
        <f t="shared" ref="M16:M17" si="20">IFERROR(D16/$B$1,0)</f>
        <v>10.986409861797807</v>
      </c>
      <c r="N16" s="4483">
        <f t="shared" ref="N16:N17" si="21">IFERROR(E16/$B$1,0)</f>
        <v>11.326988567513538</v>
      </c>
      <c r="O16" s="4483">
        <f t="shared" ref="O16:O17" si="22">IFERROR(F16/$B$1,0)</f>
        <v>11.678125213106457</v>
      </c>
      <c r="P16" s="4483">
        <f t="shared" ref="P16:P17" si="23">IFERROR(G16/$B$1,0)</f>
        <v>12.040147094712754</v>
      </c>
      <c r="Q16" s="4483">
        <f t="shared" ref="Q16:Q17" si="24">IFERROR(H16/$B$1,0)</f>
        <v>12.413391654648848</v>
      </c>
      <c r="R16" s="4483">
        <f t="shared" ref="R16:R17" si="25">IFERROR(I16/$B$1,0)</f>
        <v>12.798206795942964</v>
      </c>
    </row>
    <row r="17" spans="1:18" ht="20.25" customHeight="1" thickBot="1">
      <c r="A17" s="3147" t="s">
        <v>291</v>
      </c>
      <c r="B17" s="3148" t="s">
        <v>292</v>
      </c>
      <c r="C17" s="4516">
        <f>C16/C12</f>
        <v>7.508928571428573</v>
      </c>
      <c r="D17" s="4517">
        <f t="shared" ref="D17:I17" si="26">D16/D12</f>
        <v>7.674125000000001</v>
      </c>
      <c r="E17" s="4518">
        <f t="shared" si="26"/>
        <v>7.9120228750000017</v>
      </c>
      <c r="F17" s="4519">
        <f t="shared" si="26"/>
        <v>8.1572955841250003</v>
      </c>
      <c r="G17" s="4520">
        <f t="shared" si="26"/>
        <v>8.410171747232873</v>
      </c>
      <c r="H17" s="4520">
        <f t="shared" si="26"/>
        <v>8.6708870713970931</v>
      </c>
      <c r="I17" s="4521">
        <f t="shared" si="26"/>
        <v>8.9396845706104013</v>
      </c>
      <c r="J17" s="4422"/>
      <c r="K17" s="4475" t="s">
        <v>1896</v>
      </c>
      <c r="L17" s="4522">
        <f t="shared" si="19"/>
        <v>3.8392542150537485</v>
      </c>
      <c r="M17" s="4522">
        <f t="shared" si="20"/>
        <v>3.9237178077849308</v>
      </c>
      <c r="N17" s="4522">
        <f t="shared" si="21"/>
        <v>4.0453530598262644</v>
      </c>
      <c r="O17" s="4522">
        <f t="shared" si="22"/>
        <v>4.1707590046808773</v>
      </c>
      <c r="P17" s="4522">
        <f t="shared" si="23"/>
        <v>4.3000525338259834</v>
      </c>
      <c r="Q17" s="4522">
        <f t="shared" si="24"/>
        <v>4.4333541623745898</v>
      </c>
      <c r="R17" s="4522">
        <f t="shared" si="25"/>
        <v>4.570788141408201</v>
      </c>
    </row>
    <row r="18" spans="1:18" ht="13.5" thickBot="1">
      <c r="A18" s="1295"/>
      <c r="B18" s="3149"/>
      <c r="C18" s="3149"/>
      <c r="D18" s="3149"/>
      <c r="E18" s="3149"/>
      <c r="F18" s="3149"/>
      <c r="G18" s="3149"/>
      <c r="H18" s="3149"/>
      <c r="I18" s="3149"/>
      <c r="J18" s="4422"/>
      <c r="K18" s="1297"/>
      <c r="L18" s="1296"/>
      <c r="M18" s="1295"/>
    </row>
    <row r="19" spans="1:18" ht="27" customHeight="1" thickBot="1">
      <c r="A19" s="3147" t="s">
        <v>291</v>
      </c>
      <c r="B19" s="3150" t="s">
        <v>170</v>
      </c>
      <c r="C19" s="375">
        <f t="shared" ref="C19:I19" si="27">IFERROR(C13/C14,0)</f>
        <v>1.6692128418549342E-2</v>
      </c>
      <c r="D19" s="376">
        <f t="shared" si="27"/>
        <v>1.7255387422018792E-2</v>
      </c>
      <c r="E19" s="377">
        <f t="shared" si="27"/>
        <v>2.1271424850373675E-2</v>
      </c>
      <c r="F19" s="378">
        <f t="shared" si="27"/>
        <v>2.2433905712101233E-2</v>
      </c>
      <c r="G19" s="377">
        <f t="shared" si="27"/>
        <v>2.3781916233257379E-2</v>
      </c>
      <c r="H19" s="377">
        <f t="shared" si="27"/>
        <v>2.4924785459716266E-2</v>
      </c>
      <c r="I19" s="379">
        <f t="shared" si="27"/>
        <v>2.4524355223981942E-2</v>
      </c>
      <c r="J19" s="4422"/>
      <c r="K19" s="1297"/>
      <c r="L19" s="1296"/>
      <c r="M19" s="1295"/>
    </row>
    <row r="20" spans="1:18">
      <c r="A20" s="1295"/>
      <c r="B20" s="1295"/>
      <c r="C20" s="1295"/>
      <c r="D20" s="1295"/>
      <c r="E20" s="1295"/>
      <c r="F20" s="1295"/>
      <c r="G20" s="1295"/>
      <c r="H20" s="1295"/>
      <c r="I20" s="1295"/>
      <c r="K20" s="1297"/>
      <c r="L20" s="1296"/>
      <c r="M20" s="1295"/>
    </row>
    <row r="21" spans="1:18">
      <c r="A21" s="1295"/>
      <c r="K21" s="1297"/>
      <c r="L21" s="1296"/>
      <c r="M21" s="1295"/>
    </row>
    <row r="22" spans="1:18">
      <c r="A22" s="3151" t="str">
        <f>'Приложение '!B82</f>
        <v>Дата: 29.06.2026</v>
      </c>
      <c r="K22" s="1297"/>
      <c r="L22" s="1296"/>
      <c r="M22" s="1295"/>
    </row>
    <row r="23" spans="1:18">
      <c r="A23" s="3151"/>
      <c r="K23" s="1297"/>
      <c r="L23" s="1296"/>
      <c r="M23" s="1295"/>
    </row>
    <row r="24" spans="1:18">
      <c r="A24" s="649"/>
      <c r="K24" s="1299"/>
      <c r="L24" s="1296"/>
      <c r="M24" s="1295"/>
    </row>
    <row r="25" spans="1:18">
      <c r="A25" s="1334" t="s">
        <v>187</v>
      </c>
      <c r="B25" s="1334"/>
      <c r="C25" s="1334"/>
      <c r="D25" s="1334"/>
      <c r="E25" s="3152"/>
      <c r="F25" s="3152"/>
      <c r="G25" s="3152"/>
      <c r="H25" s="3152"/>
      <c r="K25" s="1297"/>
      <c r="L25" s="1296"/>
      <c r="M25" s="1295"/>
    </row>
    <row r="26" spans="1:18">
      <c r="A26" s="1746" t="s">
        <v>188</v>
      </c>
      <c r="L26" s="1295"/>
      <c r="M26" s="1295"/>
    </row>
    <row r="27" spans="1:18">
      <c r="A27" s="1746" t="s">
        <v>1462</v>
      </c>
      <c r="L27" s="1295"/>
      <c r="M27" s="1295"/>
    </row>
    <row r="28" spans="1:18">
      <c r="L28" s="1295"/>
      <c r="M28" s="1295"/>
    </row>
    <row r="29" spans="1:18">
      <c r="L29" s="1295"/>
      <c r="M29" s="1295"/>
    </row>
    <row r="35" ht="11.25" customHeight="1"/>
    <row r="56" spans="8:8">
      <c r="H56" s="1" t="s">
        <v>202</v>
      </c>
    </row>
    <row r="95" spans="11:11">
      <c r="K95" s="1300"/>
    </row>
    <row r="96" spans="11:11">
      <c r="K96" s="1300"/>
    </row>
    <row r="97" spans="11:11">
      <c r="K97" s="1300"/>
    </row>
    <row r="98" spans="11:11">
      <c r="K98" s="1300"/>
    </row>
    <row r="99" spans="11:11">
      <c r="K99" s="1300"/>
    </row>
    <row r="100" spans="11:11">
      <c r="K100" s="1300"/>
    </row>
    <row r="101" spans="11:11">
      <c r="K101" s="1300"/>
    </row>
    <row r="102" spans="11:11">
      <c r="K102" s="1300"/>
    </row>
    <row r="103" spans="11:11">
      <c r="K103" s="1300"/>
    </row>
    <row r="104" spans="11:11">
      <c r="K104" s="1300"/>
    </row>
    <row r="105" spans="11:11">
      <c r="K105" s="1300"/>
    </row>
    <row r="106" spans="11:11">
      <c r="K106" s="1300"/>
    </row>
    <row r="107" spans="11:11">
      <c r="K107" s="1300"/>
    </row>
    <row r="108" spans="11:11">
      <c r="K108" s="1300"/>
    </row>
    <row r="109" spans="11:11">
      <c r="K109" s="1300"/>
    </row>
    <row r="110" spans="11:11">
      <c r="K110" s="1300"/>
    </row>
  </sheetData>
  <sheetProtection algorithmName="SHA-512" hashValue="mYm1DPyJwjR3ujoTUxbwF4lhts6IycK/hI+DNqopz/jsLwi9T4FoHCLPZmcfKxr4doGo87u6RNZAj44rOJtxVQ==" saltValue="8aOkJnuaVSJp+VhFcxozbQ==" spinCount="100000" sheet="1" formatCells="0" formatColumns="0" formatRows="0"/>
  <mergeCells count="8">
    <mergeCell ref="K6:K7"/>
    <mergeCell ref="M6:R6"/>
    <mergeCell ref="A2:I2"/>
    <mergeCell ref="A3:I3"/>
    <mergeCell ref="A4:I4"/>
    <mergeCell ref="A6:A7"/>
    <mergeCell ref="B6:B7"/>
    <mergeCell ref="D6:I6"/>
  </mergeCells>
  <conditionalFormatting sqref="C19:I19">
    <cfRule type="cellIs" dxfId="8" priority="2" operator="greaterThan">
      <formula>0.025</formula>
    </cfRule>
  </conditionalFormatting>
  <printOptions horizontalCentered="1"/>
  <pageMargins left="0" right="0.19685039370078741" top="0.82677165354330717" bottom="0.55118110236220474" header="0.31496062992125984" footer="0.31496062992125984"/>
  <pageSetup paperSize="9" orientation="landscape" r:id="rId1"/>
  <headerFooter alignWithMargins="0">
    <oddFooter>&amp;C&amp;A</oddFooter>
  </headerFooter>
  <ignoredErrors>
    <ignoredError sqref="F14:I14" unlockedFormula="1"/>
  </ignoredError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theme="8" tint="0.79998168889431442"/>
    <pageSetUpPr fitToPage="1"/>
  </sheetPr>
  <dimension ref="A1:N51"/>
  <sheetViews>
    <sheetView showGridLines="0" zoomScaleNormal="100" zoomScaleSheetLayoutView="100" workbookViewId="0">
      <pane xSplit="1" ySplit="7" topLeftCell="B34" activePane="bottomRight" state="frozen"/>
      <selection pane="topRight" activeCell="B1" sqref="B1"/>
      <selection pane="bottomLeft" activeCell="A8" sqref="A8"/>
      <selection pane="bottomRight" activeCell="F42" sqref="F42"/>
    </sheetView>
  </sheetViews>
  <sheetFormatPr defaultColWidth="9.140625" defaultRowHeight="12.75"/>
  <cols>
    <col min="1" max="1" width="49.140625" style="22" customWidth="1"/>
    <col min="2" max="5" width="9.5703125" style="22" customWidth="1"/>
    <col min="6" max="7" width="9.140625" style="17"/>
    <col min="8" max="8" width="3.42578125" style="17" customWidth="1"/>
    <col min="9" max="16384" width="9.140625" style="17"/>
  </cols>
  <sheetData>
    <row r="1" spans="1:14" ht="16.5" thickBot="1">
      <c r="A1" s="4480" t="str">
        <f>+'1. Обща информация'!B40</f>
        <v>Фиксиран курс на лева към 1 евро</v>
      </c>
      <c r="B1" s="5237">
        <f>+'1. Обща информация'!$C$40</f>
        <v>1.95583</v>
      </c>
      <c r="C1" s="5238"/>
      <c r="G1" s="3129" t="s">
        <v>346</v>
      </c>
    </row>
    <row r="2" spans="1:14" ht="25.5" customHeight="1">
      <c r="A2" s="4829" t="s">
        <v>1488</v>
      </c>
      <c r="B2" s="4829"/>
      <c r="C2" s="4829"/>
      <c r="D2" s="4829"/>
      <c r="E2" s="4829"/>
      <c r="F2" s="4829"/>
      <c r="G2" s="4829"/>
    </row>
    <row r="3" spans="1:14" ht="20.25" customHeight="1">
      <c r="A3" s="4829" t="s">
        <v>1487</v>
      </c>
      <c r="B3" s="4829"/>
      <c r="C3" s="4829"/>
      <c r="D3" s="4829"/>
      <c r="E3" s="4829"/>
      <c r="F3" s="4829"/>
      <c r="G3" s="4829"/>
    </row>
    <row r="4" spans="1:14" ht="15.75">
      <c r="A4" s="5338" t="str">
        <f>'1. Обща информация'!A4:D4</f>
        <v>на ВОДОСНАБДЯВАНЕ И КАНАЛИЗАЦИЯ ЕООД, гр. ХАСКОВО</v>
      </c>
      <c r="B4" s="5338"/>
      <c r="C4" s="5338"/>
      <c r="D4" s="5338"/>
      <c r="E4" s="5338"/>
      <c r="F4" s="5338"/>
      <c r="G4" s="5338"/>
    </row>
    <row r="5" spans="1:14" ht="15.75">
      <c r="A5" s="5338" t="str">
        <f>'1. Обща информация'!A5:D5</f>
        <v>ЕИК по БУЛСТАТ: 126004284</v>
      </c>
      <c r="B5" s="5338"/>
      <c r="C5" s="5338"/>
      <c r="D5" s="5338"/>
      <c r="E5" s="5338"/>
      <c r="F5" s="5338"/>
      <c r="G5" s="5338"/>
    </row>
    <row r="6" spans="1:14" ht="13.5" thickBot="1">
      <c r="A6" s="3153"/>
      <c r="B6" s="3153"/>
      <c r="C6" s="3153"/>
      <c r="D6" s="3153"/>
      <c r="E6" s="3153"/>
      <c r="G6" s="3154" t="s">
        <v>190</v>
      </c>
      <c r="N6" s="650" t="s">
        <v>1892</v>
      </c>
    </row>
    <row r="7" spans="1:14" ht="13.5" thickBot="1">
      <c r="A7" s="3155" t="s">
        <v>488</v>
      </c>
      <c r="B7" s="250" t="str">
        <f>'Приложение '!$C12</f>
        <v>2024 г.</v>
      </c>
      <c r="C7" s="251" t="str">
        <f>'Приложение '!$C14</f>
        <v>2027 г.</v>
      </c>
      <c r="D7" s="252" t="str">
        <f>'Приложение '!$C15</f>
        <v>2028 г.</v>
      </c>
      <c r="E7" s="252" t="str">
        <f>'Приложение '!$C16</f>
        <v>2029 г.</v>
      </c>
      <c r="F7" s="252" t="str">
        <f>'Приложение '!$C17</f>
        <v>2030 г.</v>
      </c>
      <c r="G7" s="253" t="str">
        <f>'Приложение '!$C18</f>
        <v>2031 г.</v>
      </c>
      <c r="H7" s="4422"/>
      <c r="I7" s="4484" t="str">
        <f>'Приложение '!$C12</f>
        <v>2024 г.</v>
      </c>
      <c r="J7" s="4484" t="str">
        <f>'Приложение '!$C14</f>
        <v>2027 г.</v>
      </c>
      <c r="K7" s="4484" t="str">
        <f>'Приложение '!$C15</f>
        <v>2028 г.</v>
      </c>
      <c r="L7" s="4484" t="str">
        <f>'Приложение '!$C16</f>
        <v>2029 г.</v>
      </c>
      <c r="M7" s="4484" t="str">
        <f>'Приложение '!$C17</f>
        <v>2030 г.</v>
      </c>
      <c r="N7" s="4484" t="str">
        <f>'Приложение '!$C18</f>
        <v>2031 г.</v>
      </c>
    </row>
    <row r="8" spans="1:14" ht="13.5" thickBot="1">
      <c r="A8" s="3156" t="s">
        <v>489</v>
      </c>
      <c r="B8" s="3157">
        <f t="shared" ref="B8:G8" si="0">B9+B16</f>
        <v>36450.790666352725</v>
      </c>
      <c r="C8" s="3158">
        <f t="shared" si="0"/>
        <v>49021.706734642743</v>
      </c>
      <c r="D8" s="3159">
        <f t="shared" si="0"/>
        <v>58749.123426500992</v>
      </c>
      <c r="E8" s="3159">
        <f t="shared" si="0"/>
        <v>62022.922604701082</v>
      </c>
      <c r="F8" s="3159">
        <f t="shared" si="0"/>
        <v>54670.579371635322</v>
      </c>
      <c r="G8" s="3160">
        <f t="shared" si="0"/>
        <v>57820.850995407076</v>
      </c>
      <c r="H8" s="4422"/>
      <c r="I8" s="4427">
        <f>IFERROR(B8/$B$1,0)</f>
        <v>18636.993330889047</v>
      </c>
      <c r="J8" s="4427">
        <f t="shared" ref="J8:N8" si="1">IFERROR(C8/$B$1,0)</f>
        <v>25064.40065580482</v>
      </c>
      <c r="K8" s="4427">
        <f t="shared" si="1"/>
        <v>30037.949835364521</v>
      </c>
      <c r="L8" s="4427">
        <f t="shared" si="1"/>
        <v>31711.81677584508</v>
      </c>
      <c r="M8" s="4427">
        <f t="shared" si="1"/>
        <v>27952.6233730106</v>
      </c>
      <c r="N8" s="4427">
        <f t="shared" si="1"/>
        <v>29563.331677807928</v>
      </c>
    </row>
    <row r="9" spans="1:14" ht="13.5" thickBot="1">
      <c r="A9" s="3161" t="s">
        <v>490</v>
      </c>
      <c r="B9" s="3162">
        <f t="shared" ref="B9:G9" si="2">SUM(B10:B15)</f>
        <v>36450.790666352725</v>
      </c>
      <c r="C9" s="3163">
        <f t="shared" si="2"/>
        <v>49021.706734642743</v>
      </c>
      <c r="D9" s="3164">
        <f t="shared" si="2"/>
        <v>58749.123426500992</v>
      </c>
      <c r="E9" s="3164">
        <f t="shared" si="2"/>
        <v>62022.922604701082</v>
      </c>
      <c r="F9" s="3164">
        <f t="shared" si="2"/>
        <v>54670.579371635322</v>
      </c>
      <c r="G9" s="3165">
        <f t="shared" si="2"/>
        <v>57820.850995407076</v>
      </c>
      <c r="H9" s="4422"/>
      <c r="I9" s="4427">
        <f t="shared" ref="I9:I43" si="3">IFERROR(B9/$B$1,0)</f>
        <v>18636.993330889047</v>
      </c>
      <c r="J9" s="4427">
        <f t="shared" ref="J9:J43" si="4">IFERROR(C9/$B$1,0)</f>
        <v>25064.40065580482</v>
      </c>
      <c r="K9" s="4427">
        <f t="shared" ref="K9:K43" si="5">IFERROR(D9/$B$1,0)</f>
        <v>30037.949835364521</v>
      </c>
      <c r="L9" s="4427">
        <f t="shared" ref="L9:L43" si="6">IFERROR(E9/$B$1,0)</f>
        <v>31711.81677584508</v>
      </c>
      <c r="M9" s="4427">
        <f t="shared" ref="M9:M43" si="7">IFERROR(F9/$B$1,0)</f>
        <v>27952.6233730106</v>
      </c>
      <c r="N9" s="4427">
        <f t="shared" ref="N9:N43" si="8">IFERROR(G9/$B$1,0)</f>
        <v>29563.331677807928</v>
      </c>
    </row>
    <row r="10" spans="1:14" ht="13.5" thickBot="1">
      <c r="A10" s="3166" t="s">
        <v>1022</v>
      </c>
      <c r="B10" s="4600">
        <v>31514.790666352721</v>
      </c>
      <c r="C10" s="3167">
        <f>+'16. Необходими приходи'!D11+'16. Необходими приходи'!D17+'16. Необходими приходи'!D25+'16. Необходими приходи'!D36+'16. Необходими приходи'!D42</f>
        <v>39919.402960642743</v>
      </c>
      <c r="D10" s="3168">
        <f>+'16. Необходими приходи'!E11+'16. Необходими приходи'!E17+'16. Необходими приходи'!E25+'16. Необходими приходи'!E36+'16. Необходими приходи'!E42</f>
        <v>43543.515878500992</v>
      </c>
      <c r="E10" s="3168">
        <f>+'16. Необходими приходи'!F11+'16. Необходими приходи'!F17+'16. Необходими приходи'!F25+'16. Необходими приходи'!F36+'16. Необходими приходи'!F42</f>
        <v>47089.315056701082</v>
      </c>
      <c r="F10" s="3168">
        <f>+'16. Необходими приходи'!G11+'16. Необходими приходи'!G17+'16. Необходими приходи'!G25+'16. Необходими приходи'!G36+'16. Необходими приходи'!G42</f>
        <v>51540.379371635325</v>
      </c>
      <c r="G10" s="3169">
        <f>+'16. Необходими приходи'!H11+'16. Необходими приходи'!H17+'16. Необходими приходи'!H25+'16. Необходими приходи'!H36+'16. Необходими приходи'!H42</f>
        <v>54679.850995407076</v>
      </c>
      <c r="H10" s="4422"/>
      <c r="I10" s="4427">
        <f t="shared" si="3"/>
        <v>16113.25660530451</v>
      </c>
      <c r="J10" s="4427">
        <f t="shared" si="4"/>
        <v>20410.466635976922</v>
      </c>
      <c r="K10" s="4427">
        <f t="shared" si="5"/>
        <v>22263.446147416184</v>
      </c>
      <c r="L10" s="4427">
        <f t="shared" si="6"/>
        <v>24076.384479582113</v>
      </c>
      <c r="M10" s="4427">
        <f t="shared" si="7"/>
        <v>26352.177526490199</v>
      </c>
      <c r="N10" s="4427">
        <f t="shared" si="8"/>
        <v>27957.363878970606</v>
      </c>
    </row>
    <row r="11" spans="1:14" ht="13.5" thickBot="1">
      <c r="A11" s="3166" t="s">
        <v>1023</v>
      </c>
      <c r="B11" s="4600">
        <v>257</v>
      </c>
      <c r="C11" s="262">
        <v>300</v>
      </c>
      <c r="D11" s="402">
        <v>330</v>
      </c>
      <c r="E11" s="402">
        <v>350</v>
      </c>
      <c r="F11" s="402">
        <v>380</v>
      </c>
      <c r="G11" s="263">
        <v>400</v>
      </c>
      <c r="H11" s="4422"/>
      <c r="I11" s="4427">
        <f t="shared" si="3"/>
        <v>131.40201346742816</v>
      </c>
      <c r="J11" s="4427">
        <f t="shared" si="4"/>
        <v>153.38756435886555</v>
      </c>
      <c r="K11" s="4427">
        <f t="shared" si="5"/>
        <v>168.7263207947521</v>
      </c>
      <c r="L11" s="4427">
        <f t="shared" si="6"/>
        <v>178.95215841867648</v>
      </c>
      <c r="M11" s="4427">
        <f t="shared" si="7"/>
        <v>194.29091485456303</v>
      </c>
      <c r="N11" s="4427">
        <f t="shared" si="8"/>
        <v>204.5167524784874</v>
      </c>
    </row>
    <row r="12" spans="1:14" ht="13.5" thickBot="1">
      <c r="A12" s="3170" t="s">
        <v>491</v>
      </c>
      <c r="B12" s="4600">
        <v>742</v>
      </c>
      <c r="C12" s="262">
        <v>700</v>
      </c>
      <c r="D12" s="402">
        <v>700</v>
      </c>
      <c r="E12" s="402">
        <v>700</v>
      </c>
      <c r="F12" s="402">
        <v>700</v>
      </c>
      <c r="G12" s="263">
        <v>700</v>
      </c>
      <c r="H12" s="4422"/>
      <c r="I12" s="4427">
        <f t="shared" si="3"/>
        <v>379.37857584759411</v>
      </c>
      <c r="J12" s="4427">
        <f t="shared" si="4"/>
        <v>357.90431683735295</v>
      </c>
      <c r="K12" s="4427">
        <f t="shared" si="5"/>
        <v>357.90431683735295</v>
      </c>
      <c r="L12" s="4427">
        <f t="shared" si="6"/>
        <v>357.90431683735295</v>
      </c>
      <c r="M12" s="4427">
        <f t="shared" si="7"/>
        <v>357.90431683735295</v>
      </c>
      <c r="N12" s="4427">
        <f t="shared" si="8"/>
        <v>357.90431683735295</v>
      </c>
    </row>
    <row r="13" spans="1:14" ht="13.5" thickBot="1">
      <c r="A13" s="3171" t="s">
        <v>492</v>
      </c>
      <c r="B13" s="4621">
        <v>2271</v>
      </c>
      <c r="C13" s="3172">
        <f>'9.Инвестиционна програма'!I126</f>
        <v>7852.303774</v>
      </c>
      <c r="D13" s="3173">
        <f>'9.Инвестиционна програма'!J126</f>
        <v>13925.607548</v>
      </c>
      <c r="E13" s="3173">
        <f>'9.Инвестиционна програма'!K126</f>
        <v>13633.607548</v>
      </c>
      <c r="F13" s="3173">
        <f>'9.Инвестиционна програма'!L126</f>
        <v>1800.2</v>
      </c>
      <c r="G13" s="3174">
        <f>'9.Инвестиционна програма'!M126</f>
        <v>1791</v>
      </c>
      <c r="H13" s="4422"/>
      <c r="I13" s="4427">
        <f t="shared" si="3"/>
        <v>1161.1438621966122</v>
      </c>
      <c r="J13" s="4427">
        <f t="shared" si="4"/>
        <v>4014.8191683326263</v>
      </c>
      <c r="K13" s="4427">
        <f t="shared" si="5"/>
        <v>7120.0500800171794</v>
      </c>
      <c r="L13" s="4427">
        <f t="shared" si="6"/>
        <v>6970.7528507078841</v>
      </c>
      <c r="M13" s="4427">
        <f t="shared" si="7"/>
        <v>920.42764452943254</v>
      </c>
      <c r="N13" s="4427">
        <f t="shared" si="8"/>
        <v>915.72375922242736</v>
      </c>
    </row>
    <row r="14" spans="1:14" ht="13.5" thickBot="1">
      <c r="A14" s="3175" t="s">
        <v>493</v>
      </c>
      <c r="B14" s="4600">
        <v>1390</v>
      </c>
      <c r="C14" s="262">
        <v>0</v>
      </c>
      <c r="D14" s="402">
        <v>0</v>
      </c>
      <c r="E14" s="402">
        <v>0</v>
      </c>
      <c r="F14" s="402">
        <v>0</v>
      </c>
      <c r="G14" s="263">
        <v>0</v>
      </c>
      <c r="H14" s="4422"/>
      <c r="I14" s="4427">
        <f t="shared" si="3"/>
        <v>710.69571486274367</v>
      </c>
      <c r="J14" s="4427">
        <f t="shared" si="4"/>
        <v>0</v>
      </c>
      <c r="K14" s="4427">
        <f t="shared" si="5"/>
        <v>0</v>
      </c>
      <c r="L14" s="4427">
        <f t="shared" si="6"/>
        <v>0</v>
      </c>
      <c r="M14" s="4427">
        <f t="shared" si="7"/>
        <v>0</v>
      </c>
      <c r="N14" s="4427">
        <f t="shared" si="8"/>
        <v>0</v>
      </c>
    </row>
    <row r="15" spans="1:14" ht="13.5" thickBot="1">
      <c r="A15" s="3175" t="s">
        <v>1019</v>
      </c>
      <c r="B15" s="4600">
        <v>276</v>
      </c>
      <c r="C15" s="262">
        <v>250</v>
      </c>
      <c r="D15" s="402">
        <v>250</v>
      </c>
      <c r="E15" s="402">
        <v>250</v>
      </c>
      <c r="F15" s="402">
        <v>250</v>
      </c>
      <c r="G15" s="263">
        <v>250</v>
      </c>
      <c r="H15" s="4422"/>
      <c r="I15" s="4427">
        <f t="shared" si="3"/>
        <v>141.11655921015631</v>
      </c>
      <c r="J15" s="4427">
        <f t="shared" si="4"/>
        <v>127.82297029905462</v>
      </c>
      <c r="K15" s="4427">
        <f t="shared" si="5"/>
        <v>127.82297029905462</v>
      </c>
      <c r="L15" s="4427">
        <f t="shared" si="6"/>
        <v>127.82297029905462</v>
      </c>
      <c r="M15" s="4427">
        <f t="shared" si="7"/>
        <v>127.82297029905462</v>
      </c>
      <c r="N15" s="4427">
        <f t="shared" si="8"/>
        <v>127.82297029905462</v>
      </c>
    </row>
    <row r="16" spans="1:14" ht="13.5" thickBot="1">
      <c r="A16" s="3176" t="s">
        <v>494</v>
      </c>
      <c r="B16" s="3162">
        <f>SUM(B17:B20)</f>
        <v>0</v>
      </c>
      <c r="C16" s="3163">
        <f t="shared" ref="C16:G16" si="9">SUM(C17:C20)</f>
        <v>0</v>
      </c>
      <c r="D16" s="3164">
        <f t="shared" si="9"/>
        <v>0</v>
      </c>
      <c r="E16" s="3164">
        <f t="shared" si="9"/>
        <v>0</v>
      </c>
      <c r="F16" s="3164">
        <f t="shared" si="9"/>
        <v>0</v>
      </c>
      <c r="G16" s="3165">
        <f t="shared" si="9"/>
        <v>0</v>
      </c>
      <c r="H16" s="4422"/>
      <c r="I16" s="4427">
        <f t="shared" si="3"/>
        <v>0</v>
      </c>
      <c r="J16" s="4427">
        <f t="shared" si="4"/>
        <v>0</v>
      </c>
      <c r="K16" s="4427">
        <f t="shared" si="5"/>
        <v>0</v>
      </c>
      <c r="L16" s="4427">
        <f t="shared" si="6"/>
        <v>0</v>
      </c>
      <c r="M16" s="4427">
        <f t="shared" si="7"/>
        <v>0</v>
      </c>
      <c r="N16" s="4427">
        <f t="shared" si="8"/>
        <v>0</v>
      </c>
    </row>
    <row r="17" spans="1:14" ht="13.5" thickBot="1">
      <c r="A17" s="3170" t="s">
        <v>495</v>
      </c>
      <c r="B17" s="400"/>
      <c r="C17" s="262"/>
      <c r="D17" s="402"/>
      <c r="E17" s="402"/>
      <c r="F17" s="402"/>
      <c r="G17" s="263"/>
      <c r="H17" s="4422"/>
      <c r="I17" s="4427">
        <f t="shared" si="3"/>
        <v>0</v>
      </c>
      <c r="J17" s="4427">
        <f t="shared" si="4"/>
        <v>0</v>
      </c>
      <c r="K17" s="4427">
        <f t="shared" si="5"/>
        <v>0</v>
      </c>
      <c r="L17" s="4427">
        <f t="shared" si="6"/>
        <v>0</v>
      </c>
      <c r="M17" s="4427">
        <f t="shared" si="7"/>
        <v>0</v>
      </c>
      <c r="N17" s="4427">
        <f t="shared" si="8"/>
        <v>0</v>
      </c>
    </row>
    <row r="18" spans="1:14" ht="13.5" thickBot="1">
      <c r="A18" s="3175" t="s">
        <v>496</v>
      </c>
      <c r="B18" s="400"/>
      <c r="C18" s="262"/>
      <c r="D18" s="402"/>
      <c r="E18" s="402"/>
      <c r="F18" s="402"/>
      <c r="G18" s="263"/>
      <c r="H18" s="4422"/>
      <c r="I18" s="4427">
        <f t="shared" si="3"/>
        <v>0</v>
      </c>
      <c r="J18" s="4427">
        <f t="shared" si="4"/>
        <v>0</v>
      </c>
      <c r="K18" s="4427">
        <f t="shared" si="5"/>
        <v>0</v>
      </c>
      <c r="L18" s="4427">
        <f t="shared" si="6"/>
        <v>0</v>
      </c>
      <c r="M18" s="4427">
        <f t="shared" si="7"/>
        <v>0</v>
      </c>
      <c r="N18" s="4427">
        <f t="shared" si="8"/>
        <v>0</v>
      </c>
    </row>
    <row r="19" spans="1:14" ht="13.5" thickBot="1">
      <c r="A19" s="3175" t="s">
        <v>497</v>
      </c>
      <c r="B19" s="400"/>
      <c r="C19" s="262"/>
      <c r="D19" s="402"/>
      <c r="E19" s="402"/>
      <c r="F19" s="402"/>
      <c r="G19" s="263"/>
      <c r="H19" s="4422"/>
      <c r="I19" s="4427">
        <f t="shared" si="3"/>
        <v>0</v>
      </c>
      <c r="J19" s="4427">
        <f t="shared" si="4"/>
        <v>0</v>
      </c>
      <c r="K19" s="4427">
        <f t="shared" si="5"/>
        <v>0</v>
      </c>
      <c r="L19" s="4427">
        <f t="shared" si="6"/>
        <v>0</v>
      </c>
      <c r="M19" s="4427">
        <f t="shared" si="7"/>
        <v>0</v>
      </c>
      <c r="N19" s="4427">
        <f t="shared" si="8"/>
        <v>0</v>
      </c>
    </row>
    <row r="20" spans="1:14" ht="13.5" thickBot="1">
      <c r="A20" s="3170" t="s">
        <v>498</v>
      </c>
      <c r="B20" s="400"/>
      <c r="C20" s="262"/>
      <c r="D20" s="402"/>
      <c r="E20" s="402"/>
      <c r="F20" s="402"/>
      <c r="G20" s="263"/>
      <c r="H20" s="4422"/>
      <c r="I20" s="4427">
        <f t="shared" si="3"/>
        <v>0</v>
      </c>
      <c r="J20" s="4427">
        <f t="shared" si="4"/>
        <v>0</v>
      </c>
      <c r="K20" s="4427">
        <f t="shared" si="5"/>
        <v>0</v>
      </c>
      <c r="L20" s="4427">
        <f t="shared" si="6"/>
        <v>0</v>
      </c>
      <c r="M20" s="4427">
        <f t="shared" si="7"/>
        <v>0</v>
      </c>
      <c r="N20" s="4427">
        <f t="shared" si="8"/>
        <v>0</v>
      </c>
    </row>
    <row r="21" spans="1:14" ht="13.5" thickBot="1">
      <c r="A21" s="3177" t="s">
        <v>499</v>
      </c>
      <c r="B21" s="3178">
        <f t="shared" ref="B21:G21" si="10">B22+B34</f>
        <v>36383.66496310314</v>
      </c>
      <c r="C21" s="3179">
        <f t="shared" si="10"/>
        <v>50751.229721451709</v>
      </c>
      <c r="D21" s="3180">
        <f t="shared" si="10"/>
        <v>59202.069787291592</v>
      </c>
      <c r="E21" s="3180">
        <f t="shared" si="10"/>
        <v>61167.9279171007</v>
      </c>
      <c r="F21" s="3180">
        <f t="shared" si="10"/>
        <v>53528.011238797371</v>
      </c>
      <c r="G21" s="3181">
        <f t="shared" si="10"/>
        <v>56297.208060305173</v>
      </c>
      <c r="H21" s="4422"/>
      <c r="I21" s="4427">
        <f t="shared" si="3"/>
        <v>18602.672503797949</v>
      </c>
      <c r="J21" s="4427">
        <f t="shared" si="4"/>
        <v>25948.691717302481</v>
      </c>
      <c r="K21" s="4427">
        <f t="shared" si="5"/>
        <v>30269.537632254131</v>
      </c>
      <c r="L21" s="4427">
        <f t="shared" si="6"/>
        <v>31274.664933609107</v>
      </c>
      <c r="M21" s="4427">
        <f t="shared" si="7"/>
        <v>27368.437562977033</v>
      </c>
      <c r="N21" s="4427">
        <f t="shared" si="8"/>
        <v>28784.305415248346</v>
      </c>
    </row>
    <row r="22" spans="1:14" ht="13.5" thickBot="1">
      <c r="A22" s="3161" t="s">
        <v>500</v>
      </c>
      <c r="B22" s="3162">
        <f t="shared" ref="B22:G22" si="11">SUM(B23:B33)</f>
        <v>35954.66496310314</v>
      </c>
      <c r="C22" s="3163">
        <f t="shared" si="11"/>
        <v>49500.229721451709</v>
      </c>
      <c r="D22" s="3164">
        <f t="shared" si="11"/>
        <v>57955.069787291592</v>
      </c>
      <c r="E22" s="3164">
        <f t="shared" si="11"/>
        <v>59922.9279171007</v>
      </c>
      <c r="F22" s="3164">
        <f t="shared" si="11"/>
        <v>52307.011238797371</v>
      </c>
      <c r="G22" s="3165">
        <f t="shared" si="11"/>
        <v>55141.208060305173</v>
      </c>
      <c r="H22" s="4422"/>
      <c r="I22" s="4427">
        <f t="shared" si="3"/>
        <v>18383.328286764769</v>
      </c>
      <c r="J22" s="4427">
        <f t="shared" si="4"/>
        <v>25309.065573926011</v>
      </c>
      <c r="K22" s="4427">
        <f t="shared" si="5"/>
        <v>29631.956656402446</v>
      </c>
      <c r="L22" s="4427">
        <f t="shared" si="6"/>
        <v>30638.106541519817</v>
      </c>
      <c r="M22" s="4427">
        <f t="shared" si="7"/>
        <v>26744.150176036452</v>
      </c>
      <c r="N22" s="4427">
        <f t="shared" si="8"/>
        <v>28193.252000585519</v>
      </c>
    </row>
    <row r="23" spans="1:14" ht="13.5" thickBot="1">
      <c r="A23" s="3170" t="s">
        <v>501</v>
      </c>
      <c r="B23" s="3182">
        <f>'12. Разходи'!C11+'12. Разходи'!K11+'12. Разходи'!S11+'12. Разходи'!AA11+'12. Разходи'!AI11</f>
        <v>10163.423591407916</v>
      </c>
      <c r="C23" s="3167">
        <f>'12. Разходи'!D11+'12. Разходи'!L11+'12. Разходи'!T11+'12. Разходи'!AB11+'12. Разходи'!AJ11</f>
        <v>11921.5256838064</v>
      </c>
      <c r="D23" s="3168">
        <f>'12. Разходи'!E11+'12. Разходи'!M11+'12. Разходи'!U11+'12. Разходи'!AC11+'12. Разходи'!AK11</f>
        <v>11980.062231681402</v>
      </c>
      <c r="E23" s="3168">
        <f>'12. Разходи'!F11+'12. Разходи'!N11+'12. Разходи'!V11+'12. Разходи'!AD11+'12. Разходи'!AL11</f>
        <v>12009.725736505401</v>
      </c>
      <c r="F23" s="3168">
        <f>'12. Разходи'!G11+'12. Разходи'!O11+'12. Разходи'!W11+'12. Разходи'!AE11+'12. Разходи'!AM11</f>
        <v>12381.225834843823</v>
      </c>
      <c r="G23" s="3169">
        <f>'12. Разходи'!H11+'12. Разходи'!P11+'12. Разходи'!X11+'12. Разходи'!AF11+'12. Разходи'!AN11</f>
        <v>12292.424944052327</v>
      </c>
      <c r="H23" s="4422"/>
      <c r="I23" s="4427">
        <f t="shared" si="3"/>
        <v>5196.4759674449806</v>
      </c>
      <c r="J23" s="4427">
        <f t="shared" si="4"/>
        <v>6095.3792936024092</v>
      </c>
      <c r="K23" s="4427">
        <f t="shared" si="5"/>
        <v>6125.3085552841521</v>
      </c>
      <c r="L23" s="4427">
        <f t="shared" si="6"/>
        <v>6140.4752644684868</v>
      </c>
      <c r="M23" s="4427">
        <f t="shared" si="7"/>
        <v>6330.4202486125187</v>
      </c>
      <c r="N23" s="4427">
        <f t="shared" si="8"/>
        <v>6285.0170741078355</v>
      </c>
    </row>
    <row r="24" spans="1:14" ht="13.5" thickBot="1">
      <c r="A24" s="3170" t="s">
        <v>502</v>
      </c>
      <c r="B24" s="3182">
        <f>'12. Разходи'!C29+'12. Разходи'!K29+'12. Разходи'!S29+'12. Разходи'!AA29+'12. Разходи'!AI29</f>
        <v>2508.4691200000002</v>
      </c>
      <c r="C24" s="3167">
        <f>'12. Разходи'!D29+'12. Разходи'!L29+'12. Разходи'!T29+'12. Разходи'!AB29+'12. Разходи'!AJ29</f>
        <v>3063.1718560000004</v>
      </c>
      <c r="D24" s="3168">
        <f>'12. Разходи'!E29+'12. Разходи'!M29+'12. Разходи'!U29+'12. Разходи'!AC29+'12. Разходи'!AK29</f>
        <v>3188.9384488000005</v>
      </c>
      <c r="E24" s="3168">
        <f>'12. Разходи'!F29+'12. Разходи'!N29+'12. Разходи'!V29+'12. Разходи'!AD29+'12. Разходи'!AL29</f>
        <v>3289.0166022640001</v>
      </c>
      <c r="F24" s="3168">
        <f>'12. Разходи'!G29+'12. Разходи'!O29+'12. Разходи'!W29+'12. Разходи'!AE29+'12. Разходи'!AM29</f>
        <v>3239.0207033587203</v>
      </c>
      <c r="G24" s="3169">
        <f>'12. Разходи'!H29+'12. Разходи'!P29+'12. Разходи'!X29+'12. Разходи'!AF29+'12. Разходи'!AN29</f>
        <v>3177.0548057481715</v>
      </c>
      <c r="H24" s="4422"/>
      <c r="I24" s="4427">
        <f t="shared" si="3"/>
        <v>1282.5598952874229</v>
      </c>
      <c r="J24" s="4427">
        <f t="shared" si="4"/>
        <v>1566.1749006815523</v>
      </c>
      <c r="K24" s="4427">
        <f t="shared" si="5"/>
        <v>1630.4783385059031</v>
      </c>
      <c r="L24" s="4427">
        <f t="shared" si="6"/>
        <v>1681.6474858571553</v>
      </c>
      <c r="M24" s="4427">
        <f t="shared" si="7"/>
        <v>1656.084988653779</v>
      </c>
      <c r="N24" s="4427">
        <f t="shared" si="8"/>
        <v>1624.402328294469</v>
      </c>
    </row>
    <row r="25" spans="1:14" ht="13.5" thickBot="1">
      <c r="A25" s="3170" t="s">
        <v>448</v>
      </c>
      <c r="B25" s="3182">
        <f>'12. Разходи'!C59+'12. Разходи'!K59+'12. Разходи'!S59+'12. Разходи'!AA59+'12. Разходи'!AI59</f>
        <v>9861</v>
      </c>
      <c r="C25" s="3167">
        <f>'12. Разходи'!D59+'12. Разходи'!L59+'12. Разходи'!T59+'12. Разходи'!AB59+'12. Разходи'!AJ59</f>
        <v>14943</v>
      </c>
      <c r="D25" s="3168">
        <f>'12. Разходи'!E59+'12. Разходи'!M59+'12. Разходи'!U59+'12. Разходи'!AC59+'12. Разходи'!AK59</f>
        <v>16736.160000000003</v>
      </c>
      <c r="E25" s="3168">
        <f>'12. Разходи'!F59+'12. Разходи'!N59+'12. Разходи'!V59+'12. Разходи'!AD59+'12. Разходи'!AL59</f>
        <v>18744.499200000006</v>
      </c>
      <c r="F25" s="3168">
        <f>'12. Разходи'!G59+'12. Разходи'!O59+'12. Разходи'!W59+'12. Разходи'!AE59+'12. Разходи'!AM59</f>
        <v>21537.922560000003</v>
      </c>
      <c r="G25" s="3169">
        <f>'12. Разходи'!H59+'12. Разходи'!P59+'12. Разходи'!X59+'12. Разходи'!AF59+'12. Разходи'!AN59</f>
        <v>24122.473267199999</v>
      </c>
      <c r="H25" s="4422"/>
      <c r="I25" s="4427">
        <f t="shared" si="3"/>
        <v>5041.8492404759108</v>
      </c>
      <c r="J25" s="4427">
        <f t="shared" si="4"/>
        <v>7640.2345807150932</v>
      </c>
      <c r="K25" s="4427">
        <f t="shared" si="5"/>
        <v>8557.0627304009067</v>
      </c>
      <c r="L25" s="4427">
        <f t="shared" si="6"/>
        <v>9583.9102580490162</v>
      </c>
      <c r="M25" s="4427">
        <f t="shared" si="7"/>
        <v>11012.164942760875</v>
      </c>
      <c r="N25" s="4427">
        <f t="shared" si="8"/>
        <v>12333.624735892179</v>
      </c>
    </row>
    <row r="26" spans="1:14" ht="13.5" thickBot="1">
      <c r="A26" s="3170" t="s">
        <v>503</v>
      </c>
      <c r="B26" s="3182">
        <f>'12. Разходи'!C63+'12. Разходи'!K63+'12. Разходи'!S63+'12. Разходи'!AA63+'12. Разходи'!AI63</f>
        <v>3150</v>
      </c>
      <c r="C26" s="3167">
        <f>'12. Разходи'!D63+'12. Разходи'!L63+'12. Разходи'!T63+'12. Разходи'!AB63+'12. Разходи'!AJ63</f>
        <v>4391.5473684210529</v>
      </c>
      <c r="D26" s="3168">
        <f>'12. Разходи'!E63+'12. Разходи'!M63+'12. Разходи'!U63+'12. Разходи'!AC63+'12. Разходи'!AK63</f>
        <v>4739.9999999999991</v>
      </c>
      <c r="E26" s="3168">
        <f>'12. Разходи'!F63+'12. Разходи'!N63+'12. Разходи'!V63+'12. Разходи'!AD63+'12. Разходи'!AL63</f>
        <v>5188.76</v>
      </c>
      <c r="F26" s="3168">
        <f>'12. Разходи'!G63+'12. Разходи'!O63+'12. Разходи'!W63+'12. Разходи'!AE63+'12. Разходи'!AM63</f>
        <v>5720.2252799999997</v>
      </c>
      <c r="G26" s="3169">
        <f>'12. Разходи'!H63+'12. Разходи'!P63+'12. Разходи'!X63+'12. Разходи'!AF63+'12. Разходи'!AN63</f>
        <v>6221.8523136000013</v>
      </c>
      <c r="H26" s="4422"/>
      <c r="I26" s="4427">
        <f t="shared" si="3"/>
        <v>1610.5694257680882</v>
      </c>
      <c r="J26" s="4427">
        <f t="shared" si="4"/>
        <v>2245.3625153623029</v>
      </c>
      <c r="K26" s="4427">
        <f t="shared" si="5"/>
        <v>2423.5235168700751</v>
      </c>
      <c r="L26" s="4427">
        <f t="shared" si="6"/>
        <v>2652.970861475691</v>
      </c>
      <c r="M26" s="4427">
        <f t="shared" si="7"/>
        <v>2924.7047442773655</v>
      </c>
      <c r="N26" s="4427">
        <f t="shared" si="8"/>
        <v>3181.182573945589</v>
      </c>
    </row>
    <row r="27" spans="1:14" ht="13.5" thickBot="1">
      <c r="A27" s="3170" t="s">
        <v>504</v>
      </c>
      <c r="B27" s="3182">
        <f>'12. Разходи'!C55+'12. Разходи'!K55+'12. Разходи'!S55+'12. Разходи'!AA55+'12. Разходи'!AI55</f>
        <v>2600.9999999999995</v>
      </c>
      <c r="C27" s="3167">
        <f>'12. Разходи'!D55+'12. Разходи'!L55+'12. Разходи'!T55+'12. Разходи'!AB55+'12. Разходи'!AJ55</f>
        <v>2570.0926223599995</v>
      </c>
      <c r="D27" s="3168">
        <f>'12. Разходи'!E55+'12. Разходи'!M55+'12. Разходи'!U55+'12. Разходи'!AC55+'12. Разходи'!AK55</f>
        <v>2798.0754894399997</v>
      </c>
      <c r="E27" s="3168">
        <f>'12. Разходи'!F55+'12. Разходи'!N55+'12. Разходи'!V55+'12. Разходи'!AD55+'12. Разходи'!AL55</f>
        <v>2740.2259788799997</v>
      </c>
      <c r="F27" s="3168">
        <f>'12. Разходи'!G55+'12. Разходи'!O55+'12. Разходи'!W55+'12. Разходи'!AE55+'12. Разходи'!AM55</f>
        <v>3475.2212235999996</v>
      </c>
      <c r="G27" s="3169">
        <f>'12. Разходи'!H55+'12. Разходи'!P55+'12. Разходи'!X55+'12. Разходи'!AF55+'12. Разходи'!AN55</f>
        <v>3643.8612236000004</v>
      </c>
      <c r="H27" s="4422"/>
      <c r="I27" s="4427">
        <f t="shared" si="3"/>
        <v>1329.8701829913641</v>
      </c>
      <c r="J27" s="4427">
        <f t="shared" si="4"/>
        <v>1314.0674917349666</v>
      </c>
      <c r="K27" s="4427">
        <f t="shared" si="5"/>
        <v>1430.6332807248073</v>
      </c>
      <c r="L27" s="4427">
        <f t="shared" si="6"/>
        <v>1401.0552956443044</v>
      </c>
      <c r="M27" s="4427">
        <f t="shared" si="7"/>
        <v>1776.852396987468</v>
      </c>
      <c r="N27" s="4427">
        <f t="shared" si="8"/>
        <v>1863.0766598323987</v>
      </c>
    </row>
    <row r="28" spans="1:14" ht="13.5" thickBot="1">
      <c r="A28" s="3170" t="s">
        <v>505</v>
      </c>
      <c r="B28" s="4600">
        <v>236</v>
      </c>
      <c r="C28" s="262">
        <v>240</v>
      </c>
      <c r="D28" s="402">
        <v>235</v>
      </c>
      <c r="E28" s="402">
        <v>230</v>
      </c>
      <c r="F28" s="402">
        <v>225</v>
      </c>
      <c r="G28" s="263">
        <v>220</v>
      </c>
      <c r="H28" s="4422"/>
      <c r="I28" s="4427">
        <f t="shared" si="3"/>
        <v>120.66488396230757</v>
      </c>
      <c r="J28" s="4427">
        <f t="shared" si="4"/>
        <v>122.71005148709244</v>
      </c>
      <c r="K28" s="4427">
        <f t="shared" si="5"/>
        <v>120.15359208111134</v>
      </c>
      <c r="L28" s="4427">
        <f t="shared" si="6"/>
        <v>117.59713267513025</v>
      </c>
      <c r="M28" s="4427">
        <f t="shared" si="7"/>
        <v>115.04067326914917</v>
      </c>
      <c r="N28" s="4427">
        <f t="shared" si="8"/>
        <v>112.48421386316807</v>
      </c>
    </row>
    <row r="29" spans="1:14" ht="13.5" thickBot="1">
      <c r="A29" s="3171" t="s">
        <v>506</v>
      </c>
      <c r="B29" s="4621">
        <v>2271</v>
      </c>
      <c r="C29" s="3172">
        <f>'9.Инвестиционна програма'!I126</f>
        <v>7852.303774</v>
      </c>
      <c r="D29" s="3173">
        <f>'9.Инвестиционна програма'!J126</f>
        <v>13925.607548</v>
      </c>
      <c r="E29" s="3173">
        <f>'9.Инвестиционна програма'!K126</f>
        <v>13633.607548</v>
      </c>
      <c r="F29" s="3173">
        <f>'9.Инвестиционна програма'!L126</f>
        <v>1800.2</v>
      </c>
      <c r="G29" s="3174">
        <f>'9.Инвестиционна програма'!M126</f>
        <v>1791</v>
      </c>
      <c r="H29" s="4422"/>
      <c r="I29" s="4427">
        <f t="shared" si="3"/>
        <v>1161.1438621966122</v>
      </c>
      <c r="J29" s="4427">
        <f t="shared" si="4"/>
        <v>4014.8191683326263</v>
      </c>
      <c r="K29" s="4427">
        <f t="shared" si="5"/>
        <v>7120.0500800171794</v>
      </c>
      <c r="L29" s="4427">
        <f t="shared" si="6"/>
        <v>6970.7528507078841</v>
      </c>
      <c r="M29" s="4427">
        <f t="shared" si="7"/>
        <v>920.42764452943254</v>
      </c>
      <c r="N29" s="4427">
        <f t="shared" si="8"/>
        <v>915.72375922242736</v>
      </c>
    </row>
    <row r="30" spans="1:14" ht="13.5" thickBot="1">
      <c r="A30" s="3170" t="s">
        <v>450</v>
      </c>
      <c r="B30" s="3182">
        <f>'12. Разходи'!C70+'12. Разходи'!K70+'12. Разходи'!S70+'12. Разходи'!AA70+'12. Разходи'!AI70</f>
        <v>737.77225169522319</v>
      </c>
      <c r="C30" s="3167">
        <f>'12. Разходи'!D70+'12. Разходи'!L70+'12. Разходи'!T70+'12. Разходи'!AB70+'12. Разходи'!AJ70</f>
        <v>748.42841686425766</v>
      </c>
      <c r="D30" s="3168">
        <f>'12. Разходи'!E70+'12. Разходи'!M70+'12. Разходи'!U70+'12. Разходи'!AC70+'12. Разходи'!AK70</f>
        <v>753.24126937018536</v>
      </c>
      <c r="E30" s="3168">
        <f>'12. Разходи'!F70+'12. Разходи'!N70+'12. Разходи'!V70+'12. Разходи'!AD70+'12. Разходи'!AL70</f>
        <v>758.19850745129088</v>
      </c>
      <c r="F30" s="3168">
        <f>'12. Разходи'!G70+'12. Разходи'!O70+'12. Разходи'!W70+'12. Разходи'!AE70+'12. Разходи'!AM70</f>
        <v>763.30446267482955</v>
      </c>
      <c r="G30" s="3169">
        <f>'12. Разходи'!H70+'12. Разходи'!P70+'12. Разходи'!X70+'12. Разходи'!AF70+'12. Разходи'!AN70</f>
        <v>768.56359655507458</v>
      </c>
      <c r="H30" s="4422"/>
      <c r="I30" s="4427">
        <f t="shared" si="3"/>
        <v>377.21696246362069</v>
      </c>
      <c r="J30" s="4427">
        <f t="shared" si="4"/>
        <v>382.6653731992339</v>
      </c>
      <c r="K30" s="4427">
        <f t="shared" si="5"/>
        <v>385.12614561090965</v>
      </c>
      <c r="L30" s="4427">
        <f t="shared" si="6"/>
        <v>387.66074119493561</v>
      </c>
      <c r="M30" s="4427">
        <f t="shared" si="7"/>
        <v>390.27137464648234</v>
      </c>
      <c r="N30" s="4427">
        <f t="shared" si="8"/>
        <v>392.96032710157561</v>
      </c>
    </row>
    <row r="31" spans="1:14" ht="13.5" thickBot="1">
      <c r="A31" s="3175" t="s">
        <v>507</v>
      </c>
      <c r="B31" s="3182">
        <f>('12. Разходи'!C76+'12. Разходи'!K76+'12. Разходи'!S76)+'12. Разходи'!AA76+'12. Разходи'!AI76</f>
        <v>90</v>
      </c>
      <c r="C31" s="3167">
        <f>('12. Разходи'!D76+'12. Разходи'!L76+'12. Разходи'!T76)+'12. Разходи'!AB76+'12. Разходи'!AJ76</f>
        <v>94.16</v>
      </c>
      <c r="D31" s="3168">
        <f>('12. Разходи'!E76+'12. Разходи'!M76+'12. Разходи'!U76)+'12. Разходи'!AC76+'12. Разходи'!AK76</f>
        <v>96.984800000000007</v>
      </c>
      <c r="E31" s="3168">
        <f>('12. Разходи'!F76+'12. Разходи'!N76+'12. Разходи'!V76)+'12. Разходи'!AD76+'12. Разходи'!AL76</f>
        <v>99.894344000000004</v>
      </c>
      <c r="F31" s="3168">
        <f>('12. Разходи'!G76+'12. Разходи'!O76+'12. Разходи'!W76)+'12. Разходи'!AE76+'12. Разходи'!AM76</f>
        <v>102.89117432</v>
      </c>
      <c r="G31" s="3169">
        <f>('12. Разходи'!H76+'12. Разходи'!P76+'12. Разходи'!X76)+'12. Разходи'!AF76+'12. Разходи'!AN76</f>
        <v>105.97790954960001</v>
      </c>
      <c r="H31" s="4422"/>
      <c r="I31" s="4427">
        <f t="shared" si="3"/>
        <v>46.016269307659663</v>
      </c>
      <c r="J31" s="4427">
        <f t="shared" si="4"/>
        <v>48.143243533435928</v>
      </c>
      <c r="K31" s="4427">
        <f t="shared" si="5"/>
        <v>49.587540839439015</v>
      </c>
      <c r="L31" s="4427">
        <f t="shared" si="6"/>
        <v>51.075167064622185</v>
      </c>
      <c r="M31" s="4427">
        <f t="shared" si="7"/>
        <v>52.607422076560852</v>
      </c>
      <c r="N31" s="4427">
        <f t="shared" si="8"/>
        <v>54.185644738857683</v>
      </c>
    </row>
    <row r="32" spans="1:14" ht="13.5" thickBot="1">
      <c r="A32" s="3175" t="s">
        <v>225</v>
      </c>
      <c r="B32" s="4622">
        <f>'12. Разходи'!AQ88</f>
        <v>138</v>
      </c>
      <c r="C32" s="3167">
        <f>'12. Разходи'!AR88</f>
        <v>176</v>
      </c>
      <c r="D32" s="3168">
        <f>'12. Разходи'!AS88</f>
        <v>201</v>
      </c>
      <c r="E32" s="3168">
        <f>'12. Разходи'!AT88</f>
        <v>229</v>
      </c>
      <c r="F32" s="3168">
        <f>'12. Разходи'!AU88</f>
        <v>262</v>
      </c>
      <c r="G32" s="3169">
        <f>'12. Разходи'!AV88</f>
        <v>298</v>
      </c>
      <c r="H32" s="4422"/>
      <c r="I32" s="4427">
        <f t="shared" si="3"/>
        <v>70.558279605078155</v>
      </c>
      <c r="J32" s="4427">
        <f t="shared" si="4"/>
        <v>89.987371090534452</v>
      </c>
      <c r="K32" s="4427">
        <f t="shared" si="5"/>
        <v>102.76966812043992</v>
      </c>
      <c r="L32" s="4427">
        <f t="shared" si="6"/>
        <v>117.08584079393404</v>
      </c>
      <c r="M32" s="4427">
        <f t="shared" si="7"/>
        <v>133.95847287340925</v>
      </c>
      <c r="N32" s="4427">
        <f t="shared" si="8"/>
        <v>152.36498059647312</v>
      </c>
    </row>
    <row r="33" spans="1:14" ht="13.5" thickBot="1">
      <c r="A33" s="3183" t="s">
        <v>1017</v>
      </c>
      <c r="B33" s="4600">
        <v>4198</v>
      </c>
      <c r="C33" s="262">
        <v>3500</v>
      </c>
      <c r="D33" s="402">
        <v>3300</v>
      </c>
      <c r="E33" s="402">
        <v>3000</v>
      </c>
      <c r="F33" s="402">
        <v>2800</v>
      </c>
      <c r="G33" s="263">
        <v>2500</v>
      </c>
      <c r="H33" s="4422"/>
      <c r="I33" s="4427">
        <f t="shared" si="3"/>
        <v>2146.4033172617251</v>
      </c>
      <c r="J33" s="4427">
        <f t="shared" si="4"/>
        <v>1789.5215841867648</v>
      </c>
      <c r="K33" s="4427">
        <f t="shared" si="5"/>
        <v>1687.2632079475211</v>
      </c>
      <c r="L33" s="4427">
        <f t="shared" si="6"/>
        <v>1533.8756435886555</v>
      </c>
      <c r="M33" s="4427">
        <f t="shared" si="7"/>
        <v>1431.6172673494118</v>
      </c>
      <c r="N33" s="4427">
        <f t="shared" si="8"/>
        <v>1278.2297029905462</v>
      </c>
    </row>
    <row r="34" spans="1:14" ht="13.5" thickBot="1">
      <c r="A34" s="3184" t="s">
        <v>508</v>
      </c>
      <c r="B34" s="3162">
        <f>SUM(B35:B38)</f>
        <v>429</v>
      </c>
      <c r="C34" s="3185">
        <f t="shared" ref="C34:G34" si="12">SUM(C35:C38)</f>
        <v>1251</v>
      </c>
      <c r="D34" s="3164">
        <f t="shared" si="12"/>
        <v>1247</v>
      </c>
      <c r="E34" s="3164">
        <f>SUM(E35:E38)</f>
        <v>1245</v>
      </c>
      <c r="F34" s="3164">
        <f>SUM(F35:F38)</f>
        <v>1221</v>
      </c>
      <c r="G34" s="3186">
        <f t="shared" si="12"/>
        <v>1156</v>
      </c>
      <c r="H34" s="4422"/>
      <c r="I34" s="4427">
        <f t="shared" si="3"/>
        <v>219.34421703317773</v>
      </c>
      <c r="J34" s="4427">
        <f t="shared" si="4"/>
        <v>639.62614337646937</v>
      </c>
      <c r="K34" s="4427">
        <f t="shared" si="5"/>
        <v>637.58097585168446</v>
      </c>
      <c r="L34" s="4427">
        <f t="shared" si="6"/>
        <v>636.55839208929206</v>
      </c>
      <c r="M34" s="4427">
        <f t="shared" si="7"/>
        <v>624.28738694058279</v>
      </c>
      <c r="N34" s="4427">
        <f t="shared" si="8"/>
        <v>591.05341466282857</v>
      </c>
    </row>
    <row r="35" spans="1:14" ht="13.5" thickBot="1">
      <c r="A35" s="3170" t="s">
        <v>509</v>
      </c>
      <c r="B35" s="3187">
        <f>+'10. Финансиране на ИП'!AR40+'10. Финансиране на ИП'!AR51</f>
        <v>11</v>
      </c>
      <c r="C35" s="3188">
        <f>+'10. Финансиране на ИП'!AT40+'10. Финансиране на ИП'!AT51+'10. Финансиране на ИП'!AT62+'10. Финансиране на ИП'!AT73</f>
        <v>831</v>
      </c>
      <c r="D35" s="3173">
        <f>+'10. Финансиране на ИП'!AU40+'10. Финансиране на ИП'!AU51+'10. Финансиране на ИП'!AU62+'10. Финансиране на ИП'!AU73</f>
        <v>827</v>
      </c>
      <c r="E35" s="3173">
        <f>+'10. Финансиране на ИП'!AV40+'10. Финансиране на ИП'!AV51+'10. Финансиране на ИП'!AV62+'10. Финансиране на ИП'!AV73</f>
        <v>825</v>
      </c>
      <c r="F35" s="3173">
        <f>+'10. Финансиране на ИП'!AW40+'10. Финансиране на ИП'!AW51+'10. Финансиране на ИП'!AW62+'10. Финансиране на ИП'!AW73</f>
        <v>801</v>
      </c>
      <c r="G35" s="3189">
        <f>+'10. Финансиране на ИП'!AX40+'10. Финансиране на ИП'!AX51+'10. Финансиране на ИП'!AX62+'10. Финансиране на ИП'!AX73</f>
        <v>736</v>
      </c>
      <c r="H35" s="4422"/>
      <c r="I35" s="4427">
        <f t="shared" si="3"/>
        <v>5.6242106931584033</v>
      </c>
      <c r="J35" s="4427">
        <f t="shared" si="4"/>
        <v>424.88355327405759</v>
      </c>
      <c r="K35" s="4427">
        <f t="shared" si="5"/>
        <v>422.83838574927267</v>
      </c>
      <c r="L35" s="4427">
        <f t="shared" si="6"/>
        <v>421.81580198688027</v>
      </c>
      <c r="M35" s="4427">
        <f t="shared" si="7"/>
        <v>409.54479683817101</v>
      </c>
      <c r="N35" s="4427">
        <f t="shared" si="8"/>
        <v>376.31082456041679</v>
      </c>
    </row>
    <row r="36" spans="1:14" ht="13.5" thickBot="1">
      <c r="A36" s="3170" t="s">
        <v>510</v>
      </c>
      <c r="B36" s="400"/>
      <c r="C36" s="262"/>
      <c r="D36" s="402"/>
      <c r="E36" s="402"/>
      <c r="F36" s="402"/>
      <c r="G36" s="263"/>
      <c r="H36" s="4422"/>
      <c r="I36" s="4427">
        <f t="shared" si="3"/>
        <v>0</v>
      </c>
      <c r="J36" s="4427">
        <f t="shared" si="4"/>
        <v>0</v>
      </c>
      <c r="K36" s="4427">
        <f t="shared" si="5"/>
        <v>0</v>
      </c>
      <c r="L36" s="4427">
        <f t="shared" si="6"/>
        <v>0</v>
      </c>
      <c r="M36" s="4427">
        <f t="shared" si="7"/>
        <v>0</v>
      </c>
      <c r="N36" s="4427">
        <f t="shared" si="8"/>
        <v>0</v>
      </c>
    </row>
    <row r="37" spans="1:14" ht="13.5" thickBot="1">
      <c r="A37" s="3170" t="s">
        <v>511</v>
      </c>
      <c r="B37" s="400"/>
      <c r="C37" s="262"/>
      <c r="D37" s="402"/>
      <c r="E37" s="402"/>
      <c r="F37" s="402"/>
      <c r="G37" s="263"/>
      <c r="H37" s="4422"/>
      <c r="I37" s="4427">
        <f t="shared" si="3"/>
        <v>0</v>
      </c>
      <c r="J37" s="4427">
        <f t="shared" si="4"/>
        <v>0</v>
      </c>
      <c r="K37" s="4427">
        <f t="shared" si="5"/>
        <v>0</v>
      </c>
      <c r="L37" s="4427">
        <f t="shared" si="6"/>
        <v>0</v>
      </c>
      <c r="M37" s="4427">
        <f t="shared" si="7"/>
        <v>0</v>
      </c>
      <c r="N37" s="4427">
        <f t="shared" si="8"/>
        <v>0</v>
      </c>
    </row>
    <row r="38" spans="1:14" ht="13.5" thickBot="1">
      <c r="A38" s="3190" t="s">
        <v>512</v>
      </c>
      <c r="B38" s="4600">
        <v>418</v>
      </c>
      <c r="C38" s="262">
        <v>420</v>
      </c>
      <c r="D38" s="402">
        <v>420</v>
      </c>
      <c r="E38" s="402">
        <v>420</v>
      </c>
      <c r="F38" s="402">
        <v>420</v>
      </c>
      <c r="G38" s="263">
        <v>420</v>
      </c>
      <c r="H38" s="4422"/>
      <c r="I38" s="4427">
        <f t="shared" si="3"/>
        <v>213.72000634001932</v>
      </c>
      <c r="J38" s="4427">
        <f t="shared" si="4"/>
        <v>214.74259010241178</v>
      </c>
      <c r="K38" s="4427">
        <f t="shared" si="5"/>
        <v>214.74259010241178</v>
      </c>
      <c r="L38" s="4427">
        <f t="shared" si="6"/>
        <v>214.74259010241178</v>
      </c>
      <c r="M38" s="4427">
        <f t="shared" si="7"/>
        <v>214.74259010241178</v>
      </c>
      <c r="N38" s="4427">
        <f t="shared" si="8"/>
        <v>214.74259010241178</v>
      </c>
    </row>
    <row r="39" spans="1:14" ht="13.5" thickBot="1">
      <c r="A39" s="3191" t="s">
        <v>513</v>
      </c>
      <c r="B39" s="3192">
        <f t="shared" ref="B39:G39" si="13">B9-B22</f>
        <v>496.12570324958506</v>
      </c>
      <c r="C39" s="3193">
        <f t="shared" si="13"/>
        <v>-478.52298680896638</v>
      </c>
      <c r="D39" s="3194">
        <f t="shared" si="13"/>
        <v>794.05363920939999</v>
      </c>
      <c r="E39" s="3194">
        <f t="shared" si="13"/>
        <v>2099.9946876003814</v>
      </c>
      <c r="F39" s="3194">
        <f t="shared" si="13"/>
        <v>2363.5681328379505</v>
      </c>
      <c r="G39" s="3195">
        <f t="shared" si="13"/>
        <v>2679.6429351019033</v>
      </c>
      <c r="H39" s="4422"/>
      <c r="I39" s="4427">
        <f t="shared" si="3"/>
        <v>253.66504412427719</v>
      </c>
      <c r="J39" s="4427">
        <f t="shared" si="4"/>
        <v>-244.66491812118966</v>
      </c>
      <c r="K39" s="4427">
        <f t="shared" si="5"/>
        <v>405.99317896207748</v>
      </c>
      <c r="L39" s="4427">
        <f t="shared" si="6"/>
        <v>1073.7102343252643</v>
      </c>
      <c r="M39" s="4427">
        <f t="shared" si="7"/>
        <v>1208.4731969741495</v>
      </c>
      <c r="N39" s="4427">
        <f t="shared" si="8"/>
        <v>1370.0796772224085</v>
      </c>
    </row>
    <row r="40" spans="1:14" ht="13.5" thickBot="1">
      <c r="A40" s="3191" t="s">
        <v>514</v>
      </c>
      <c r="B40" s="3192">
        <f t="shared" ref="B40:G40" si="14">B8-B21</f>
        <v>67.125703249585058</v>
      </c>
      <c r="C40" s="3193">
        <f t="shared" si="14"/>
        <v>-1729.5229868089664</v>
      </c>
      <c r="D40" s="3194">
        <f t="shared" si="14"/>
        <v>-452.94636079060001</v>
      </c>
      <c r="E40" s="3194">
        <f t="shared" si="14"/>
        <v>854.99468760038144</v>
      </c>
      <c r="F40" s="3194">
        <f t="shared" si="14"/>
        <v>1142.5681328379505</v>
      </c>
      <c r="G40" s="3195">
        <f t="shared" si="14"/>
        <v>1523.6429351019033</v>
      </c>
      <c r="H40" s="4422"/>
      <c r="I40" s="4427">
        <f t="shared" si="3"/>
        <v>34.32082709109946</v>
      </c>
      <c r="J40" s="4427">
        <f t="shared" si="4"/>
        <v>-884.29106149765903</v>
      </c>
      <c r="K40" s="4427">
        <f t="shared" si="5"/>
        <v>-231.58779688960698</v>
      </c>
      <c r="L40" s="4427">
        <f t="shared" si="6"/>
        <v>437.1518422359722</v>
      </c>
      <c r="M40" s="4427">
        <f t="shared" si="7"/>
        <v>584.18581003356655</v>
      </c>
      <c r="N40" s="4427">
        <f t="shared" si="8"/>
        <v>779.02626255958</v>
      </c>
    </row>
    <row r="41" spans="1:14" ht="13.5" thickBot="1">
      <c r="A41" s="3196" t="s">
        <v>515</v>
      </c>
      <c r="B41" s="400"/>
      <c r="C41" s="3167">
        <f t="shared" ref="C41:G41" si="15">10%*(C40-C28)</f>
        <v>-196.95229868089666</v>
      </c>
      <c r="D41" s="3168">
        <f t="shared" si="15"/>
        <v>-68.794636079059998</v>
      </c>
      <c r="E41" s="3168">
        <f t="shared" si="15"/>
        <v>62.499468760038148</v>
      </c>
      <c r="F41" s="3168">
        <f t="shared" si="15"/>
        <v>91.756813283795054</v>
      </c>
      <c r="G41" s="3169">
        <f t="shared" si="15"/>
        <v>130.36429351019032</v>
      </c>
      <c r="H41" s="4422"/>
      <c r="I41" s="4427">
        <f t="shared" si="3"/>
        <v>0</v>
      </c>
      <c r="J41" s="4427">
        <f t="shared" si="4"/>
        <v>-100.70011129847515</v>
      </c>
      <c r="K41" s="4427">
        <f t="shared" si="5"/>
        <v>-35.174138897071835</v>
      </c>
      <c r="L41" s="4427">
        <f t="shared" si="6"/>
        <v>31.955470956084195</v>
      </c>
      <c r="M41" s="4427">
        <f t="shared" si="7"/>
        <v>46.914513676441743</v>
      </c>
      <c r="N41" s="4427">
        <f t="shared" si="8"/>
        <v>66.654204869641191</v>
      </c>
    </row>
    <row r="42" spans="1:14" ht="13.5" thickBot="1">
      <c r="A42" s="3197" t="s">
        <v>516</v>
      </c>
      <c r="B42" s="4600">
        <v>244</v>
      </c>
      <c r="C42" s="262">
        <v>0</v>
      </c>
      <c r="D42" s="402">
        <v>0</v>
      </c>
      <c r="E42" s="402">
        <v>0</v>
      </c>
      <c r="F42" s="402">
        <v>0</v>
      </c>
      <c r="G42" s="263">
        <v>0</v>
      </c>
      <c r="H42" s="4422"/>
      <c r="I42" s="4427">
        <f t="shared" si="3"/>
        <v>124.75521901187732</v>
      </c>
      <c r="J42" s="4427">
        <f t="shared" si="4"/>
        <v>0</v>
      </c>
      <c r="K42" s="4427">
        <f t="shared" si="5"/>
        <v>0</v>
      </c>
      <c r="L42" s="4427">
        <f t="shared" si="6"/>
        <v>0</v>
      </c>
      <c r="M42" s="4427">
        <f t="shared" si="7"/>
        <v>0</v>
      </c>
      <c r="N42" s="4427">
        <f t="shared" si="8"/>
        <v>0</v>
      </c>
    </row>
    <row r="43" spans="1:14" ht="13.5" thickBot="1">
      <c r="A43" s="3198" t="s">
        <v>517</v>
      </c>
      <c r="B43" s="3199">
        <f>B40-B41-B42</f>
        <v>-176.87429675041494</v>
      </c>
      <c r="C43" s="3200">
        <f t="shared" ref="C43:G43" si="16">C40-C41-C42</f>
        <v>-1532.5706881280698</v>
      </c>
      <c r="D43" s="3201">
        <f t="shared" si="16"/>
        <v>-384.15172471154</v>
      </c>
      <c r="E43" s="3201">
        <f t="shared" si="16"/>
        <v>792.49521884034334</v>
      </c>
      <c r="F43" s="3201">
        <f t="shared" si="16"/>
        <v>1050.8113195541555</v>
      </c>
      <c r="G43" s="3202">
        <f t="shared" si="16"/>
        <v>1393.278641591713</v>
      </c>
      <c r="H43" s="4422"/>
      <c r="I43" s="4427">
        <f t="shared" si="3"/>
        <v>-90.434391920777855</v>
      </c>
      <c r="J43" s="4427">
        <f t="shared" si="4"/>
        <v>-783.59095019918391</v>
      </c>
      <c r="K43" s="4427">
        <f t="shared" si="5"/>
        <v>-196.41365799253515</v>
      </c>
      <c r="L43" s="4427">
        <f t="shared" si="6"/>
        <v>405.19637127988801</v>
      </c>
      <c r="M43" s="4427">
        <f t="shared" si="7"/>
        <v>537.27129635712481</v>
      </c>
      <c r="N43" s="4427">
        <f t="shared" si="8"/>
        <v>712.37205768993886</v>
      </c>
    </row>
    <row r="46" spans="1:14" s="24" customFormat="1">
      <c r="A46" s="1608" t="str">
        <f>'Приложение '!B82</f>
        <v>Дата: 29.06.2026</v>
      </c>
      <c r="B46" s="3203"/>
      <c r="C46" s="36"/>
      <c r="D46" s="3204"/>
    </row>
    <row r="47" spans="1:14" s="24" customFormat="1">
      <c r="C47" s="1608"/>
      <c r="D47" s="3204"/>
      <c r="E47" s="3205"/>
      <c r="F47" s="35"/>
    </row>
    <row r="48" spans="1:14" s="24" customFormat="1">
      <c r="A48" s="1617"/>
      <c r="B48" s="1617"/>
      <c r="C48" s="32"/>
      <c r="D48" s="3204"/>
      <c r="E48" s="3206"/>
      <c r="F48" s="35"/>
    </row>
    <row r="49" spans="1:7" s="24" customFormat="1">
      <c r="A49" s="5336" t="s">
        <v>187</v>
      </c>
      <c r="B49" s="5336"/>
      <c r="C49" s="5336"/>
      <c r="D49" s="3207"/>
      <c r="E49" s="3208"/>
      <c r="F49" s="3207"/>
      <c r="G49" s="3207"/>
    </row>
    <row r="50" spans="1:7" s="24" customFormat="1">
      <c r="A50" s="5337" t="s">
        <v>188</v>
      </c>
      <c r="B50" s="5337"/>
      <c r="C50" s="5337"/>
      <c r="D50" s="3207"/>
      <c r="E50" s="3207"/>
      <c r="F50" s="3207"/>
      <c r="G50" s="3207"/>
    </row>
    <row r="51" spans="1:7">
      <c r="A51" s="5335" t="s">
        <v>1481</v>
      </c>
      <c r="B51" s="5335"/>
      <c r="F51" s="22"/>
      <c r="G51" s="22"/>
    </row>
  </sheetData>
  <sheetProtection algorithmName="SHA-512" hashValue="/aaPGgS+vefjP3PNHiwzkKa977aZejb4vIHIuWYiyQyV57ovsuB31a7yaVP4RtyVC0HV3olvciDVP6UBHtieLQ==" saltValue="xS89uoeFjju1sShiSwkVOg==" spinCount="100000" sheet="1" formatCells="0" formatColumns="0" formatRows="0"/>
  <mergeCells count="8">
    <mergeCell ref="B1:C1"/>
    <mergeCell ref="A51:B51"/>
    <mergeCell ref="A49:C49"/>
    <mergeCell ref="A50:C50"/>
    <mergeCell ref="A2:G2"/>
    <mergeCell ref="A4:G4"/>
    <mergeCell ref="A5:G5"/>
    <mergeCell ref="A3:G3"/>
  </mergeCells>
  <printOptions horizontalCentered="1"/>
  <pageMargins left="0.70866141732283472" right="7.874015748031496E-2" top="0.74803149606299213" bottom="0.55118110236220474" header="0.31496062992125984" footer="0.31496062992125984"/>
  <pageSetup paperSize="9" scale="91" orientation="portrait" r:id="rId1"/>
  <headerFooter alignWithMargins="0">
    <oddFooter>&amp;C&amp;A</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8" tint="0.79998168889431442"/>
    <pageSetUpPr fitToPage="1"/>
  </sheetPr>
  <dimension ref="A1:N55"/>
  <sheetViews>
    <sheetView showGridLines="0" zoomScaleNormal="100" zoomScaleSheetLayoutView="100" workbookViewId="0">
      <pane xSplit="1" ySplit="7" topLeftCell="B40" activePane="bottomRight" state="frozen"/>
      <selection pane="topRight" activeCell="B1" sqref="B1"/>
      <selection pane="bottomLeft" activeCell="A8" sqref="A8"/>
      <selection pane="bottomRight" activeCell="G46" sqref="G46"/>
    </sheetView>
  </sheetViews>
  <sheetFormatPr defaultColWidth="9.140625" defaultRowHeight="12.75"/>
  <cols>
    <col min="1" max="1" width="51" style="22" bestFit="1" customWidth="1"/>
    <col min="2" max="2" width="9.42578125" style="22" bestFit="1" customWidth="1"/>
    <col min="3" max="4" width="8.140625" style="22" bestFit="1" customWidth="1"/>
    <col min="5" max="5" width="11.140625" style="22" customWidth="1"/>
    <col min="6" max="6" width="10.42578125" style="17" customWidth="1"/>
    <col min="7" max="7" width="12.140625" style="17" customWidth="1"/>
    <col min="8" max="8" width="2.5703125" style="17" customWidth="1"/>
    <col min="9" max="16384" width="9.140625" style="17"/>
  </cols>
  <sheetData>
    <row r="1" spans="1:14" ht="18.75" customHeight="1" thickBot="1">
      <c r="A1" s="4480" t="str">
        <f>+'1. Обща информация'!B40</f>
        <v>Фиксиран курс на лева към 1 евро</v>
      </c>
      <c r="B1" s="5237">
        <f>+'1. Обща информация'!$C$40</f>
        <v>1.95583</v>
      </c>
      <c r="C1" s="5238"/>
      <c r="F1" s="3213"/>
      <c r="G1" s="3129" t="str">
        <f>'14. ОПР'!G1</f>
        <v>Приложение № 5</v>
      </c>
    </row>
    <row r="2" spans="1:14" ht="21" customHeight="1">
      <c r="A2" s="4829" t="s">
        <v>1486</v>
      </c>
      <c r="B2" s="4829"/>
      <c r="C2" s="4829"/>
      <c r="D2" s="4829"/>
      <c r="E2" s="4829"/>
      <c r="F2" s="4829"/>
      <c r="G2" s="4829"/>
    </row>
    <row r="3" spans="1:14" ht="18.75">
      <c r="A3" s="4829" t="s">
        <v>1485</v>
      </c>
      <c r="B3" s="4829"/>
      <c r="C3" s="4829"/>
      <c r="D3" s="4829"/>
      <c r="E3" s="4829"/>
      <c r="F3" s="4829"/>
      <c r="G3" s="4829"/>
    </row>
    <row r="4" spans="1:14" ht="18.75" customHeight="1">
      <c r="A4" s="5338" t="str">
        <f>'1. Обща информация'!A4:D4</f>
        <v>на ВОДОСНАБДЯВАНЕ И КАНАЛИЗАЦИЯ ЕООД, гр. ХАСКОВО</v>
      </c>
      <c r="B4" s="5338"/>
      <c r="C4" s="5338"/>
      <c r="D4" s="5338"/>
      <c r="E4" s="5338"/>
      <c r="F4" s="5338"/>
      <c r="G4" s="5338"/>
    </row>
    <row r="5" spans="1:14" ht="18.75" customHeight="1">
      <c r="A5" s="5338" t="str">
        <f>'1. Обща информация'!A5:D5</f>
        <v>ЕИК по БУЛСТАТ: 126004284</v>
      </c>
      <c r="B5" s="5338"/>
      <c r="C5" s="5338"/>
      <c r="D5" s="5338"/>
      <c r="E5" s="5338"/>
      <c r="F5" s="5338"/>
      <c r="G5" s="5338"/>
    </row>
    <row r="6" spans="1:14" ht="18.75" customHeight="1" thickBot="1">
      <c r="A6" s="3153"/>
      <c r="B6" s="3153"/>
      <c r="C6" s="3153"/>
      <c r="D6" s="3153"/>
      <c r="E6" s="3153"/>
      <c r="G6" s="650" t="s">
        <v>190</v>
      </c>
      <c r="N6" s="650" t="s">
        <v>1892</v>
      </c>
    </row>
    <row r="7" spans="1:14" ht="13.5" thickBot="1">
      <c r="A7" s="3155" t="s">
        <v>488</v>
      </c>
      <c r="B7" s="250" t="str">
        <f>'Приложение '!$C12</f>
        <v>2024 г.</v>
      </c>
      <c r="C7" s="251" t="str">
        <f>'Приложение '!$C14</f>
        <v>2027 г.</v>
      </c>
      <c r="D7" s="252" t="str">
        <f>'Приложение '!$C15</f>
        <v>2028 г.</v>
      </c>
      <c r="E7" s="252" t="str">
        <f>'Приложение '!$C16</f>
        <v>2029 г.</v>
      </c>
      <c r="F7" s="252" t="str">
        <f>'Приложение '!$C17</f>
        <v>2030 г.</v>
      </c>
      <c r="G7" s="253" t="str">
        <f>'Приложение '!$C18</f>
        <v>2031 г.</v>
      </c>
      <c r="H7" s="4422"/>
      <c r="I7" s="4484" t="str">
        <f>'Приложение '!$C12</f>
        <v>2024 г.</v>
      </c>
      <c r="J7" s="4484" t="str">
        <f>'Приложение '!$C14</f>
        <v>2027 г.</v>
      </c>
      <c r="K7" s="4484" t="str">
        <f>'Приложение '!$C15</f>
        <v>2028 г.</v>
      </c>
      <c r="L7" s="4484" t="str">
        <f>'Приложение '!$C16</f>
        <v>2029 г.</v>
      </c>
      <c r="M7" s="4484" t="str">
        <f>'Приложение '!$C17</f>
        <v>2030 г.</v>
      </c>
      <c r="N7" s="4484" t="str">
        <f>'Приложение '!$C18</f>
        <v>2031 г.</v>
      </c>
    </row>
    <row r="8" spans="1:14" ht="13.5" thickBot="1">
      <c r="A8" s="3156" t="s">
        <v>518</v>
      </c>
      <c r="B8" s="3214">
        <f t="shared" ref="B8:G8" si="0">B9+B14</f>
        <v>34338.790666352725</v>
      </c>
      <c r="C8" s="3158">
        <f t="shared" si="0"/>
        <v>57723.587326771289</v>
      </c>
      <c r="D8" s="3159">
        <f t="shared" si="0"/>
        <v>67550.826602201181</v>
      </c>
      <c r="E8" s="3159">
        <f t="shared" si="0"/>
        <v>71517.785616041307</v>
      </c>
      <c r="F8" s="3159">
        <f t="shared" si="0"/>
        <v>65392.455245962388</v>
      </c>
      <c r="G8" s="3160">
        <f t="shared" si="0"/>
        <v>69179.821194488497</v>
      </c>
      <c r="H8" s="4422"/>
      <c r="I8" s="4427">
        <f>IFERROR(B8/$B$1,0)</f>
        <v>17557.144877802635</v>
      </c>
      <c r="J8" s="4427">
        <f t="shared" ref="J8:N8" si="1">IFERROR(C8/$B$1,0)</f>
        <v>29513.601553699089</v>
      </c>
      <c r="K8" s="4427">
        <f t="shared" si="1"/>
        <v>34538.189209799006</v>
      </c>
      <c r="L8" s="4427">
        <f t="shared" si="1"/>
        <v>36566.463146613612</v>
      </c>
      <c r="M8" s="4427">
        <f t="shared" si="1"/>
        <v>33434.631458747637</v>
      </c>
      <c r="N8" s="4427">
        <f t="shared" si="1"/>
        <v>35371.080919348053</v>
      </c>
    </row>
    <row r="9" spans="1:14" ht="13.5" thickBot="1">
      <c r="A9" s="3161" t="s">
        <v>519</v>
      </c>
      <c r="B9" s="3162">
        <f t="shared" ref="B9:G9" si="2">SUM(B10:B13)</f>
        <v>32614.790666352721</v>
      </c>
      <c r="C9" s="3163">
        <f t="shared" si="2"/>
        <v>41159.402960642743</v>
      </c>
      <c r="D9" s="3164">
        <f t="shared" si="2"/>
        <v>44813.515878500992</v>
      </c>
      <c r="E9" s="3164">
        <f t="shared" si="2"/>
        <v>48379.315056701082</v>
      </c>
      <c r="F9" s="3164">
        <f t="shared" si="2"/>
        <v>52860.379371635325</v>
      </c>
      <c r="G9" s="3165">
        <f t="shared" si="2"/>
        <v>56019.850995407076</v>
      </c>
      <c r="H9" s="4422"/>
      <c r="I9" s="4427">
        <f t="shared" ref="I9:I46" si="3">IFERROR(B9/$B$1,0)</f>
        <v>16675.67767462035</v>
      </c>
      <c r="J9" s="4427">
        <f t="shared" ref="J9:J46" si="4">IFERROR(C9/$B$1,0)</f>
        <v>21044.468568660232</v>
      </c>
      <c r="K9" s="4427">
        <f t="shared" ref="K9:K46" si="5">IFERROR(D9/$B$1,0)</f>
        <v>22912.786836535379</v>
      </c>
      <c r="L9" s="4427">
        <f t="shared" ref="L9:L46" si="6">IFERROR(E9/$B$1,0)</f>
        <v>24735.951006325235</v>
      </c>
      <c r="M9" s="4427">
        <f t="shared" ref="M9:M46" si="7">IFERROR(F9/$B$1,0)</f>
        <v>27027.082809669206</v>
      </c>
      <c r="N9" s="4427">
        <f t="shared" ref="N9:N46" si="8">IFERROR(G9/$B$1,0)</f>
        <v>28642.494999773538</v>
      </c>
    </row>
    <row r="10" spans="1:14" ht="13.5" thickBot="1">
      <c r="A10" s="3166" t="s">
        <v>1020</v>
      </c>
      <c r="B10" s="3187">
        <f>+'14. ОПР'!B10</f>
        <v>31514.790666352721</v>
      </c>
      <c r="C10" s="3167">
        <f>+'14. ОПР'!C10</f>
        <v>39919.402960642743</v>
      </c>
      <c r="D10" s="3168">
        <f>+'14. ОПР'!D10</f>
        <v>43543.515878500992</v>
      </c>
      <c r="E10" s="3168">
        <f>+'14. ОПР'!E10</f>
        <v>47089.315056701082</v>
      </c>
      <c r="F10" s="3168">
        <f>+'14. ОПР'!F10</f>
        <v>51540.379371635325</v>
      </c>
      <c r="G10" s="3169">
        <f>+'14. ОПР'!G10</f>
        <v>54679.850995407076</v>
      </c>
      <c r="H10" s="4422"/>
      <c r="I10" s="4427">
        <f t="shared" si="3"/>
        <v>16113.25660530451</v>
      </c>
      <c r="J10" s="4427">
        <f t="shared" si="4"/>
        <v>20410.466635976922</v>
      </c>
      <c r="K10" s="4427">
        <f t="shared" si="5"/>
        <v>22263.446147416184</v>
      </c>
      <c r="L10" s="4427">
        <f t="shared" si="6"/>
        <v>24076.384479582113</v>
      </c>
      <c r="M10" s="4427">
        <f t="shared" si="7"/>
        <v>26352.177526490199</v>
      </c>
      <c r="N10" s="4427">
        <f t="shared" si="8"/>
        <v>27957.363878970606</v>
      </c>
    </row>
    <row r="11" spans="1:14" ht="13.5" thickBot="1">
      <c r="A11" s="3166" t="s">
        <v>1021</v>
      </c>
      <c r="B11" s="4600">
        <v>257</v>
      </c>
      <c r="C11" s="393">
        <v>300</v>
      </c>
      <c r="D11" s="402">
        <v>330</v>
      </c>
      <c r="E11" s="402">
        <v>350</v>
      </c>
      <c r="F11" s="402">
        <v>380</v>
      </c>
      <c r="G11" s="403">
        <v>400</v>
      </c>
      <c r="H11" s="4422"/>
      <c r="I11" s="4427">
        <f t="shared" si="3"/>
        <v>131.40201346742816</v>
      </c>
      <c r="J11" s="4427">
        <f t="shared" si="4"/>
        <v>153.38756435886555</v>
      </c>
      <c r="K11" s="4427">
        <f t="shared" si="5"/>
        <v>168.7263207947521</v>
      </c>
      <c r="L11" s="4427">
        <f t="shared" si="6"/>
        <v>178.95215841867648</v>
      </c>
      <c r="M11" s="4427">
        <f t="shared" si="7"/>
        <v>194.29091485456303</v>
      </c>
      <c r="N11" s="4427">
        <f t="shared" si="8"/>
        <v>204.5167524784874</v>
      </c>
    </row>
    <row r="12" spans="1:14" ht="14.25" customHeight="1" thickBot="1">
      <c r="A12" s="3175" t="s">
        <v>520</v>
      </c>
      <c r="B12" s="4600">
        <v>34</v>
      </c>
      <c r="C12" s="393">
        <v>40</v>
      </c>
      <c r="D12" s="402">
        <v>40</v>
      </c>
      <c r="E12" s="402">
        <v>40</v>
      </c>
      <c r="F12" s="402">
        <v>40</v>
      </c>
      <c r="G12" s="403">
        <v>40</v>
      </c>
      <c r="H12" s="4422"/>
      <c r="I12" s="4427">
        <f t="shared" si="3"/>
        <v>17.383923960671428</v>
      </c>
      <c r="J12" s="4427">
        <f t="shared" si="4"/>
        <v>20.45167524784874</v>
      </c>
      <c r="K12" s="4427">
        <f t="shared" si="5"/>
        <v>20.45167524784874</v>
      </c>
      <c r="L12" s="4427">
        <f t="shared" si="6"/>
        <v>20.45167524784874</v>
      </c>
      <c r="M12" s="4427">
        <f t="shared" si="7"/>
        <v>20.45167524784874</v>
      </c>
      <c r="N12" s="4427">
        <f t="shared" si="8"/>
        <v>20.45167524784874</v>
      </c>
    </row>
    <row r="13" spans="1:14" ht="14.25" customHeight="1" thickBot="1">
      <c r="A13" s="3175" t="s">
        <v>1018</v>
      </c>
      <c r="B13" s="4600">
        <v>809</v>
      </c>
      <c r="C13" s="393">
        <v>900</v>
      </c>
      <c r="D13" s="402">
        <v>900</v>
      </c>
      <c r="E13" s="402">
        <v>900</v>
      </c>
      <c r="F13" s="402">
        <v>900</v>
      </c>
      <c r="G13" s="403">
        <v>900</v>
      </c>
      <c r="H13" s="4422"/>
      <c r="I13" s="4427">
        <f t="shared" si="3"/>
        <v>413.63513188774078</v>
      </c>
      <c r="J13" s="4427">
        <f t="shared" si="4"/>
        <v>460.16269307659667</v>
      </c>
      <c r="K13" s="4427">
        <f t="shared" si="5"/>
        <v>460.16269307659667</v>
      </c>
      <c r="L13" s="4427">
        <f t="shared" si="6"/>
        <v>460.16269307659667</v>
      </c>
      <c r="M13" s="4427">
        <f t="shared" si="7"/>
        <v>460.16269307659667</v>
      </c>
      <c r="N13" s="4427">
        <f t="shared" si="8"/>
        <v>460.16269307659667</v>
      </c>
    </row>
    <row r="14" spans="1:14" ht="13.5" thickBot="1">
      <c r="A14" s="3176" t="s">
        <v>521</v>
      </c>
      <c r="B14" s="3162">
        <f>SUM(B15:B18)</f>
        <v>1724</v>
      </c>
      <c r="C14" s="3215">
        <f t="shared" ref="C14:G14" si="9">SUM(C15:C18)</f>
        <v>16564.184366128549</v>
      </c>
      <c r="D14" s="3164">
        <f t="shared" si="9"/>
        <v>22737.310723700197</v>
      </c>
      <c r="E14" s="3164">
        <f t="shared" si="9"/>
        <v>23138.470559340218</v>
      </c>
      <c r="F14" s="3164">
        <f t="shared" si="9"/>
        <v>12532.075874327065</v>
      </c>
      <c r="G14" s="3165">
        <f t="shared" si="9"/>
        <v>13159.970199081416</v>
      </c>
      <c r="H14" s="4422"/>
      <c r="I14" s="4427">
        <f t="shared" si="3"/>
        <v>881.46720318228074</v>
      </c>
      <c r="J14" s="4427">
        <f t="shared" si="4"/>
        <v>8469.1329850388574</v>
      </c>
      <c r="K14" s="4427">
        <f t="shared" si="5"/>
        <v>11625.402373263625</v>
      </c>
      <c r="L14" s="4427">
        <f t="shared" si="6"/>
        <v>11830.512140288378</v>
      </c>
      <c r="M14" s="4427">
        <f t="shared" si="7"/>
        <v>6407.5486490784297</v>
      </c>
      <c r="N14" s="4427">
        <f t="shared" si="8"/>
        <v>6728.5859195745106</v>
      </c>
    </row>
    <row r="15" spans="1:14" ht="13.5" thickBot="1">
      <c r="A15" s="3170" t="s">
        <v>522</v>
      </c>
      <c r="B15" s="400"/>
      <c r="C15" s="393"/>
      <c r="D15" s="402"/>
      <c r="E15" s="402"/>
      <c r="F15" s="402"/>
      <c r="G15" s="403"/>
      <c r="H15" s="4422"/>
      <c r="I15" s="4427">
        <f t="shared" si="3"/>
        <v>0</v>
      </c>
      <c r="J15" s="4427">
        <f t="shared" si="4"/>
        <v>0</v>
      </c>
      <c r="K15" s="4427">
        <f t="shared" si="5"/>
        <v>0</v>
      </c>
      <c r="L15" s="4427">
        <f t="shared" si="6"/>
        <v>0</v>
      </c>
      <c r="M15" s="4427">
        <f t="shared" si="7"/>
        <v>0</v>
      </c>
      <c r="N15" s="4427">
        <f t="shared" si="8"/>
        <v>0</v>
      </c>
    </row>
    <row r="16" spans="1:14" ht="13.5" thickBot="1">
      <c r="A16" s="3170" t="s">
        <v>523</v>
      </c>
      <c r="B16" s="3187">
        <f>'10. Финансиране на ИП'!D16+'10. Финансиране на ИП'!D19+'10. Финансиране на ИП'!L16+'10. Финансиране на ИП'!L19+'10. Финансиране на ИП'!T16+'10. Финансиране на ИП'!T19</f>
        <v>0</v>
      </c>
      <c r="C16" s="3216">
        <f>'10. Финансиране на ИП'!F16+'10. Финансиране на ИП'!F19+'10. Финансиране на ИП'!N16+'10. Финансиране на ИП'!N19+'10. Финансиране на ИП'!V16+'10. Финансиране на ИП'!V19</f>
        <v>6892.303774</v>
      </c>
      <c r="D16" s="3173">
        <f>'10. Финансиране на ИП'!G16+'10. Финансиране на ИП'!G19+'10. Финансиране на ИП'!O16+'10. Финансиране на ИП'!O19+'10. Финансиране на ИП'!W16+'10. Финансиране на ИП'!W19</f>
        <v>12340.607548</v>
      </c>
      <c r="E16" s="3173">
        <f>'10. Финансиране на ИП'!H16+'10. Финансиране на ИП'!H19+'10. Финансиране на ИП'!P16+'10. Финансиране на ИП'!P19+'10. Финансиране на ИП'!X16+'10. Финансиране на ИП'!X19</f>
        <v>12032.607548</v>
      </c>
      <c r="F16" s="3173">
        <f>'10. Финансиране на ИП'!I16+'10. Финансиране на ИП'!I19+'10. Финансиране на ИП'!Q16+'10. Финансиране на ИП'!Q19+'10. Финансиране на ИП'!Y16+'10. Финансиране на ИП'!Y19</f>
        <v>536</v>
      </c>
      <c r="G16" s="3174">
        <f>'10. Финансиране на ИП'!J16+'10. Финансиране на ИП'!J19+'10. Финансиране на ИП'!R16+'10. Финансиране на ИП'!R19+'10. Финансиране на ИП'!Z16+'10. Финансиране на ИП'!Z19</f>
        <v>536</v>
      </c>
      <c r="H16" s="4422"/>
      <c r="I16" s="4427">
        <f t="shared" si="3"/>
        <v>0</v>
      </c>
      <c r="J16" s="4427">
        <f t="shared" si="4"/>
        <v>3523.9789623842562</v>
      </c>
      <c r="K16" s="4427">
        <f t="shared" si="5"/>
        <v>6309.6524483211733</v>
      </c>
      <c r="L16" s="4427">
        <f t="shared" si="6"/>
        <v>6152.1745489127379</v>
      </c>
      <c r="M16" s="4427">
        <f t="shared" si="7"/>
        <v>274.05244832117313</v>
      </c>
      <c r="N16" s="4427">
        <f t="shared" si="8"/>
        <v>274.05244832117313</v>
      </c>
    </row>
    <row r="17" spans="1:14" ht="13.5" thickBot="1">
      <c r="A17" s="3170" t="s">
        <v>524</v>
      </c>
      <c r="B17" s="4600">
        <v>1724</v>
      </c>
      <c r="C17" s="393">
        <v>1500</v>
      </c>
      <c r="D17" s="402">
        <v>1500</v>
      </c>
      <c r="E17" s="402">
        <v>1500</v>
      </c>
      <c r="F17" s="402">
        <v>1500</v>
      </c>
      <c r="G17" s="403">
        <v>1500</v>
      </c>
      <c r="H17" s="4422"/>
      <c r="I17" s="4427">
        <f t="shared" si="3"/>
        <v>881.46720318228074</v>
      </c>
      <c r="J17" s="4427">
        <f t="shared" si="4"/>
        <v>766.93782179432776</v>
      </c>
      <c r="K17" s="4427">
        <f t="shared" si="5"/>
        <v>766.93782179432776</v>
      </c>
      <c r="L17" s="4427">
        <f t="shared" si="6"/>
        <v>766.93782179432776</v>
      </c>
      <c r="M17" s="4427">
        <f t="shared" si="7"/>
        <v>766.93782179432776</v>
      </c>
      <c r="N17" s="4427">
        <f t="shared" si="8"/>
        <v>766.93782179432776</v>
      </c>
    </row>
    <row r="18" spans="1:14" ht="13.5" thickBot="1">
      <c r="A18" s="3217" t="s">
        <v>1061</v>
      </c>
      <c r="B18" s="400"/>
      <c r="C18" s="3209">
        <f>SUM(C9-C11)*20%</f>
        <v>8171.8805921285493</v>
      </c>
      <c r="D18" s="3210">
        <f>SUM(D9-D11)*20%</f>
        <v>8896.7031757001987</v>
      </c>
      <c r="E18" s="3210">
        <f>SUM(E9-E11)*20%</f>
        <v>9605.863011340216</v>
      </c>
      <c r="F18" s="3210">
        <f>SUM(F9-F11)*20%</f>
        <v>10496.075874327065</v>
      </c>
      <c r="G18" s="3211">
        <f>SUM(G9-G11)*20%</f>
        <v>11123.970199081416</v>
      </c>
      <c r="H18" s="4422"/>
      <c r="I18" s="4427">
        <f t="shared" si="3"/>
        <v>0</v>
      </c>
      <c r="J18" s="4427">
        <f t="shared" si="4"/>
        <v>4178.2162008602736</v>
      </c>
      <c r="K18" s="4427">
        <f t="shared" si="5"/>
        <v>4548.812103148126</v>
      </c>
      <c r="L18" s="4427">
        <f t="shared" si="6"/>
        <v>4911.3997695813114</v>
      </c>
      <c r="M18" s="4427">
        <f t="shared" si="7"/>
        <v>5366.5583789629291</v>
      </c>
      <c r="N18" s="4427">
        <f t="shared" si="8"/>
        <v>5687.59564945901</v>
      </c>
    </row>
    <row r="19" spans="1:14" ht="13.5" thickBot="1">
      <c r="A19" s="3177" t="s">
        <v>525</v>
      </c>
      <c r="B19" s="3178">
        <f t="shared" ref="B19:G19" si="10">B20+B31+B34</f>
        <v>-34384.66496310314</v>
      </c>
      <c r="C19" s="3179">
        <f t="shared" si="10"/>
        <v>-55786.017691220259</v>
      </c>
      <c r="D19" s="3180">
        <f t="shared" si="10"/>
        <v>-64238.745174870892</v>
      </c>
      <c r="E19" s="3180">
        <f t="shared" si="10"/>
        <v>-67404.770313481858</v>
      </c>
      <c r="F19" s="3180">
        <f t="shared" si="10"/>
        <v>-61441.365358284478</v>
      </c>
      <c r="G19" s="3181">
        <f t="shared" si="10"/>
        <v>-64780.073849070381</v>
      </c>
      <c r="H19" s="4422"/>
      <c r="I19" s="4427">
        <f t="shared" si="3"/>
        <v>-17580.600033286708</v>
      </c>
      <c r="J19" s="4427">
        <f t="shared" si="4"/>
        <v>-28522.937929789532</v>
      </c>
      <c r="K19" s="4427">
        <f t="shared" si="5"/>
        <v>-32844.74886614424</v>
      </c>
      <c r="L19" s="4427">
        <f t="shared" si="6"/>
        <v>-34463.511815179161</v>
      </c>
      <c r="M19" s="4427">
        <f t="shared" si="7"/>
        <v>-31414.471277301443</v>
      </c>
      <c r="N19" s="4427">
        <f t="shared" si="8"/>
        <v>-33121.525822321157</v>
      </c>
    </row>
    <row r="20" spans="1:14" ht="13.5" thickBot="1">
      <c r="A20" s="3161" t="s">
        <v>526</v>
      </c>
      <c r="B20" s="3218">
        <f t="shared" ref="B20:G20" si="11">SUM(B21:B30)</f>
        <v>-28038.66496310314</v>
      </c>
      <c r="C20" s="3163">
        <f t="shared" si="11"/>
        <v>-35837.833325091713</v>
      </c>
      <c r="D20" s="3164">
        <f t="shared" si="11"/>
        <v>-38196.38674985159</v>
      </c>
      <c r="E20" s="3164">
        <f t="shared" si="11"/>
        <v>-40819.0943902207</v>
      </c>
      <c r="F20" s="3164">
        <f t="shared" si="11"/>
        <v>-44506.590015197376</v>
      </c>
      <c r="G20" s="3165">
        <f t="shared" si="11"/>
        <v>-47486.346836705168</v>
      </c>
      <c r="H20" s="4422"/>
      <c r="I20" s="4427">
        <f t="shared" si="3"/>
        <v>-14335.941755215505</v>
      </c>
      <c r="J20" s="4427">
        <f t="shared" si="4"/>
        <v>-18323.593218782673</v>
      </c>
      <c r="K20" s="4427">
        <f t="shared" si="5"/>
        <v>-19529.502436229934</v>
      </c>
      <c r="L20" s="4427">
        <f t="shared" si="6"/>
        <v>-20870.471559501952</v>
      </c>
      <c r="M20" s="4427">
        <f t="shared" si="7"/>
        <v>-22755.8581344991</v>
      </c>
      <c r="N20" s="4427">
        <f t="shared" si="8"/>
        <v>-24279.383605275085</v>
      </c>
    </row>
    <row r="21" spans="1:14" ht="13.5" thickBot="1">
      <c r="A21" s="3170" t="s">
        <v>501</v>
      </c>
      <c r="B21" s="3182">
        <f>-'14. ОПР'!B23</f>
        <v>-10163.423591407916</v>
      </c>
      <c r="C21" s="3167">
        <f>-'14. ОПР'!C23</f>
        <v>-11921.5256838064</v>
      </c>
      <c r="D21" s="3168">
        <f>-'14. ОПР'!D23</f>
        <v>-11980.062231681402</v>
      </c>
      <c r="E21" s="3168">
        <f>-'14. ОПР'!E23</f>
        <v>-12009.725736505401</v>
      </c>
      <c r="F21" s="3168">
        <f>-'14. ОПР'!F23</f>
        <v>-12381.225834843823</v>
      </c>
      <c r="G21" s="3169">
        <f>-'14. ОПР'!G23</f>
        <v>-12292.424944052327</v>
      </c>
      <c r="H21" s="4422"/>
      <c r="I21" s="4427">
        <f t="shared" si="3"/>
        <v>-5196.4759674449806</v>
      </c>
      <c r="J21" s="4427">
        <f t="shared" si="4"/>
        <v>-6095.3792936024092</v>
      </c>
      <c r="K21" s="4427">
        <f t="shared" si="5"/>
        <v>-6125.3085552841521</v>
      </c>
      <c r="L21" s="4427">
        <f t="shared" si="6"/>
        <v>-6140.4752644684868</v>
      </c>
      <c r="M21" s="4427">
        <f t="shared" si="7"/>
        <v>-6330.4202486125187</v>
      </c>
      <c r="N21" s="4427">
        <f t="shared" si="8"/>
        <v>-6285.0170741078355</v>
      </c>
    </row>
    <row r="22" spans="1:14" ht="13.5" thickBot="1">
      <c r="A22" s="3170" t="s">
        <v>502</v>
      </c>
      <c r="B22" s="3182">
        <f>-'14. ОПР'!B24</f>
        <v>-2508.4691200000002</v>
      </c>
      <c r="C22" s="3167">
        <f>-'14. ОПР'!C24</f>
        <v>-3063.1718560000004</v>
      </c>
      <c r="D22" s="3168">
        <f>-'14. ОПР'!D24</f>
        <v>-3188.9384488000005</v>
      </c>
      <c r="E22" s="3168">
        <f>-'14. ОПР'!E24</f>
        <v>-3289.0166022640001</v>
      </c>
      <c r="F22" s="3168">
        <f>-'14. ОПР'!F24</f>
        <v>-3239.0207033587203</v>
      </c>
      <c r="G22" s="3169">
        <f>-'14. ОПР'!G24</f>
        <v>-3177.0548057481715</v>
      </c>
      <c r="H22" s="4422"/>
      <c r="I22" s="4427">
        <f t="shared" si="3"/>
        <v>-1282.5598952874229</v>
      </c>
      <c r="J22" s="4427">
        <f t="shared" si="4"/>
        <v>-1566.1749006815523</v>
      </c>
      <c r="K22" s="4427">
        <f t="shared" si="5"/>
        <v>-1630.4783385059031</v>
      </c>
      <c r="L22" s="4427">
        <f t="shared" si="6"/>
        <v>-1681.6474858571553</v>
      </c>
      <c r="M22" s="4427">
        <f t="shared" si="7"/>
        <v>-1656.084988653779</v>
      </c>
      <c r="N22" s="4427">
        <f t="shared" si="8"/>
        <v>-1624.402328294469</v>
      </c>
    </row>
    <row r="23" spans="1:14" ht="13.5" thickBot="1">
      <c r="A23" s="3170" t="s">
        <v>527</v>
      </c>
      <c r="B23" s="3182">
        <f>-'14. ОПР'!B25</f>
        <v>-9861</v>
      </c>
      <c r="C23" s="3167">
        <f>-'14. ОПР'!C25</f>
        <v>-14943</v>
      </c>
      <c r="D23" s="3168">
        <f>-'14. ОПР'!D25</f>
        <v>-16736.160000000003</v>
      </c>
      <c r="E23" s="3168">
        <f>-'14. ОПР'!E25</f>
        <v>-18744.499200000006</v>
      </c>
      <c r="F23" s="3168">
        <f>-'14. ОПР'!F25</f>
        <v>-21537.922560000003</v>
      </c>
      <c r="G23" s="3169">
        <f>-'14. ОПР'!G25</f>
        <v>-24122.473267199999</v>
      </c>
      <c r="H23" s="4422"/>
      <c r="I23" s="4427">
        <f t="shared" si="3"/>
        <v>-5041.8492404759108</v>
      </c>
      <c r="J23" s="4427">
        <f t="shared" si="4"/>
        <v>-7640.2345807150932</v>
      </c>
      <c r="K23" s="4427">
        <f t="shared" si="5"/>
        <v>-8557.0627304009067</v>
      </c>
      <c r="L23" s="4427">
        <f t="shared" si="6"/>
        <v>-9583.9102580490162</v>
      </c>
      <c r="M23" s="4427">
        <f t="shared" si="7"/>
        <v>-11012.164942760875</v>
      </c>
      <c r="N23" s="4427">
        <f t="shared" si="8"/>
        <v>-12333.624735892179</v>
      </c>
    </row>
    <row r="24" spans="1:14" ht="13.5" thickBot="1">
      <c r="A24" s="3170" t="s">
        <v>528</v>
      </c>
      <c r="B24" s="3182">
        <f>-'14. ОПР'!B26</f>
        <v>-3150</v>
      </c>
      <c r="C24" s="3167">
        <f>-'14. ОПР'!C26</f>
        <v>-4391.5473684210529</v>
      </c>
      <c r="D24" s="3168">
        <f>-'14. ОПР'!D26</f>
        <v>-4739.9999999999991</v>
      </c>
      <c r="E24" s="3168">
        <f>-'14. ОПР'!E26</f>
        <v>-5188.76</v>
      </c>
      <c r="F24" s="3168">
        <f>-'14. ОПР'!F26</f>
        <v>-5720.2252799999997</v>
      </c>
      <c r="G24" s="3169">
        <f>-'14. ОПР'!G26</f>
        <v>-6221.8523136000013</v>
      </c>
      <c r="H24" s="4422"/>
      <c r="I24" s="4427">
        <f t="shared" si="3"/>
        <v>-1610.5694257680882</v>
      </c>
      <c r="J24" s="4427">
        <f t="shared" si="4"/>
        <v>-2245.3625153623029</v>
      </c>
      <c r="K24" s="4427">
        <f t="shared" si="5"/>
        <v>-2423.5235168700751</v>
      </c>
      <c r="L24" s="4427">
        <f t="shared" si="6"/>
        <v>-2652.970861475691</v>
      </c>
      <c r="M24" s="4427">
        <f t="shared" si="7"/>
        <v>-2924.7047442773655</v>
      </c>
      <c r="N24" s="4427">
        <f t="shared" si="8"/>
        <v>-3181.182573945589</v>
      </c>
    </row>
    <row r="25" spans="1:14" ht="13.5" thickBot="1">
      <c r="A25" s="3170" t="s">
        <v>529</v>
      </c>
      <c r="B25" s="3182">
        <f>-('12. Разходи'!C73+'12. Разходи'!K73+'12. Разходи'!S73+'12. Разходи'!AA73+'12. Разходи'!AI73)</f>
        <v>-554.75099999999998</v>
      </c>
      <c r="C25" s="3167">
        <f>-('12. Разходи'!D73+'12. Разходи'!L73+'12. Разходи'!T73+'12. Разходи'!AB73+'12. Разходи'!AJ73)</f>
        <v>-555</v>
      </c>
      <c r="D25" s="3168">
        <f>-('12. Разходи'!E73+'12. Разходи'!M73+'12. Разходи'!U73+'12. Разходи'!AC73+'12. Разходи'!AK73)</f>
        <v>-555</v>
      </c>
      <c r="E25" s="3168">
        <f>-('12. Разходи'!F73+'12. Разходи'!N73+'12. Разходи'!V73+'12. Разходи'!AD73+'12. Разходи'!AL73)</f>
        <v>-555</v>
      </c>
      <c r="F25" s="3168">
        <f>-('12. Разходи'!G73+'12. Разходи'!O73+'12. Разходи'!W73+'12. Разходи'!AE73+'12. Разходи'!AM73)</f>
        <v>-555</v>
      </c>
      <c r="G25" s="3169">
        <f>-('12. Разходи'!H73+'12. Разходи'!P73+'12. Разходи'!X73+'12. Разходи'!AF73+'12. Разходи'!AN73)</f>
        <v>-555</v>
      </c>
      <c r="H25" s="4422"/>
      <c r="I25" s="4427">
        <f t="shared" si="3"/>
        <v>-283.63968238548341</v>
      </c>
      <c r="J25" s="4427">
        <f t="shared" si="4"/>
        <v>-283.76699406390128</v>
      </c>
      <c r="K25" s="4427">
        <f t="shared" si="5"/>
        <v>-283.76699406390128</v>
      </c>
      <c r="L25" s="4427">
        <f t="shared" si="6"/>
        <v>-283.76699406390128</v>
      </c>
      <c r="M25" s="4427">
        <f t="shared" si="7"/>
        <v>-283.76699406390128</v>
      </c>
      <c r="N25" s="4427">
        <f t="shared" si="8"/>
        <v>-283.76699406390128</v>
      </c>
    </row>
    <row r="26" spans="1:14" ht="13.5" thickBot="1">
      <c r="A26" s="3170" t="s">
        <v>530</v>
      </c>
      <c r="B26" s="3182">
        <f>-('12. Разходи'!C74+'12. Разходи'!K74+'12. Разходи'!S74+'12. Разходи'!AA74+'12. Разходи'!AI74)</f>
        <v>-48.021251695223143</v>
      </c>
      <c r="C26" s="3167">
        <f>-('12. Разходи'!D74+'12. Разходи'!L74+'12. Разходи'!T74+'12. Разходи'!AB74+'12. Разходи'!AJ74)</f>
        <v>-48.978416864257603</v>
      </c>
      <c r="D26" s="3168">
        <f>-('12. Разходи'!E74+'12. Разходи'!M74+'12. Разходи'!U74+'12. Разходи'!AC74+'12. Разходи'!AK74)</f>
        <v>-49.457769370185332</v>
      </c>
      <c r="E26" s="3168">
        <f>-('12. Разходи'!F74+'12. Разходи'!N74+'12. Разходи'!V74+'12. Разходи'!AD74+'12. Разходи'!AL74)</f>
        <v>-49.951502451290892</v>
      </c>
      <c r="F26" s="3168">
        <f>-('12. Разходи'!G74+'12. Разходи'!O74+'12. Разходи'!W74+'12. Разходи'!AE74+'12. Разходи'!AM74)</f>
        <v>-50.460047524829619</v>
      </c>
      <c r="G26" s="3169">
        <f>-('12. Разходи'!H74+'12. Разходи'!P74+'12. Разходи'!X74+'12. Разходи'!AF74+'12. Разходи'!AN74)</f>
        <v>-50.983848950574504</v>
      </c>
      <c r="H26" s="4422"/>
      <c r="I26" s="4427">
        <f t="shared" si="3"/>
        <v>-24.552876116647738</v>
      </c>
      <c r="J26" s="4427">
        <f t="shared" si="4"/>
        <v>-25.042266896538862</v>
      </c>
      <c r="K26" s="4427">
        <f t="shared" si="5"/>
        <v>-25.287355941050773</v>
      </c>
      <c r="L26" s="4427">
        <f t="shared" si="6"/>
        <v>-25.539797656898038</v>
      </c>
      <c r="M26" s="4427">
        <f t="shared" si="7"/>
        <v>-25.799812624220724</v>
      </c>
      <c r="N26" s="4427">
        <f t="shared" si="8"/>
        <v>-26.06762804056309</v>
      </c>
    </row>
    <row r="27" spans="1:14" ht="13.5" thickBot="1">
      <c r="A27" s="3175" t="s">
        <v>531</v>
      </c>
      <c r="B27" s="3182">
        <f>-('12. Разходи'!C72+'12. Разходи'!K72+'12. Разходи'!S72+'12. Разходи'!AA72+'12. Разходи'!AI72)</f>
        <v>-41</v>
      </c>
      <c r="C27" s="3167">
        <f>-('12. Разходи'!D72+'12. Разходи'!L72+'12. Разходи'!T72+'12. Разходи'!AB72+'12. Разходи'!AJ72)</f>
        <v>-43.870000000000005</v>
      </c>
      <c r="D27" s="3168">
        <f>-('12. Разходи'!E72+'12. Разходи'!M72+'12. Разходи'!U72+'12. Разходи'!AC72+'12. Разходи'!AK72)</f>
        <v>-45.186100000000003</v>
      </c>
      <c r="E27" s="3168">
        <f>-('12. Разходи'!F72+'12. Разходи'!N72+'12. Разходи'!V72+'12. Разходи'!AD72+'12. Разходи'!AL72)</f>
        <v>-46.541682999999999</v>
      </c>
      <c r="F27" s="3168">
        <f>-('12. Разходи'!G72+'12. Разходи'!O72+'12. Разходи'!W72+'12. Разходи'!AE72+'12. Разходи'!AM72)</f>
        <v>-47.937933489999999</v>
      </c>
      <c r="G27" s="3169">
        <f>-('12. Разходи'!H72+'12. Разходи'!P72+'12. Разходи'!X72+'12. Разходи'!AF72+'12. Разходи'!AN72)</f>
        <v>-49.3760714947</v>
      </c>
      <c r="H27" s="4422"/>
      <c r="I27" s="4427">
        <f t="shared" si="3"/>
        <v>-20.962967129044959</v>
      </c>
      <c r="J27" s="4427">
        <f t="shared" si="4"/>
        <v>-22.430374828078108</v>
      </c>
      <c r="K27" s="4427">
        <f t="shared" si="5"/>
        <v>-23.103286072920451</v>
      </c>
      <c r="L27" s="4427">
        <f t="shared" si="6"/>
        <v>-23.79638465510806</v>
      </c>
      <c r="M27" s="4427">
        <f t="shared" si="7"/>
        <v>-24.510276194761303</v>
      </c>
      <c r="N27" s="4427">
        <f t="shared" si="8"/>
        <v>-25.245584480604144</v>
      </c>
    </row>
    <row r="28" spans="1:14" ht="13.5" thickBot="1">
      <c r="A28" s="3175" t="s">
        <v>532</v>
      </c>
      <c r="B28" s="3182">
        <f>-'14. ОПР'!B30-'14. ОПР'!B31-SUM(B25:B27)</f>
        <v>-184.00000000000011</v>
      </c>
      <c r="C28" s="3167">
        <f>-'14. ОПР'!C30-'14. ОПР'!C31-SUM(C25:C27)</f>
        <v>-194.74</v>
      </c>
      <c r="D28" s="3168">
        <f>-'14. ОПР'!D30-'14. ОПР'!D31-SUM(D25:D27)</f>
        <v>-200.58219999999994</v>
      </c>
      <c r="E28" s="3168">
        <f>-'14. ОПР'!E30-'14. ОПР'!E31-SUM(E25:E27)</f>
        <v>-206.59966599999996</v>
      </c>
      <c r="F28" s="3168">
        <f>-'14. ОПР'!F30-'14. ОПР'!F31-SUM(F25:F27)</f>
        <v>-212.79765597999994</v>
      </c>
      <c r="G28" s="3169">
        <f>-'14. ОПР'!G30-'14. ОПР'!G31-SUM(G25:G27)</f>
        <v>-219.18158565940007</v>
      </c>
      <c r="H28" s="4422"/>
      <c r="I28" s="4427">
        <f t="shared" si="3"/>
        <v>-94.077706140104254</v>
      </c>
      <c r="J28" s="4427">
        <f t="shared" si="4"/>
        <v>-99.568980944151591</v>
      </c>
      <c r="K28" s="4427">
        <f t="shared" si="5"/>
        <v>-102.55605037247611</v>
      </c>
      <c r="L28" s="4427">
        <f t="shared" si="6"/>
        <v>-105.63273188365039</v>
      </c>
      <c r="M28" s="4427">
        <f t="shared" si="7"/>
        <v>-108.80171384015991</v>
      </c>
      <c r="N28" s="4427">
        <f t="shared" si="8"/>
        <v>-112.06576525536477</v>
      </c>
    </row>
    <row r="29" spans="1:14" ht="13.5" thickBot="1">
      <c r="A29" s="3175" t="s">
        <v>225</v>
      </c>
      <c r="B29" s="3182">
        <f>-'14. ОПР'!B32</f>
        <v>-138</v>
      </c>
      <c r="C29" s="3219">
        <f>-'14. ОПР'!C32</f>
        <v>-176</v>
      </c>
      <c r="D29" s="3220">
        <f>-'14. ОПР'!D32</f>
        <v>-201</v>
      </c>
      <c r="E29" s="3220">
        <f>-'14. ОПР'!E32</f>
        <v>-229</v>
      </c>
      <c r="F29" s="3220">
        <f>-'14. ОПР'!F32</f>
        <v>-262</v>
      </c>
      <c r="G29" s="3221">
        <f>-'14. ОПР'!G32</f>
        <v>-298</v>
      </c>
      <c r="H29" s="4422"/>
      <c r="I29" s="4427">
        <f t="shared" si="3"/>
        <v>-70.558279605078155</v>
      </c>
      <c r="J29" s="4427">
        <f t="shared" si="4"/>
        <v>-89.987371090534452</v>
      </c>
      <c r="K29" s="4427">
        <f t="shared" si="5"/>
        <v>-102.76966812043992</v>
      </c>
      <c r="L29" s="4427">
        <f t="shared" si="6"/>
        <v>-117.08584079393404</v>
      </c>
      <c r="M29" s="4427">
        <f t="shared" si="7"/>
        <v>-133.95847287340925</v>
      </c>
      <c r="N29" s="4427">
        <f t="shared" si="8"/>
        <v>-152.36498059647312</v>
      </c>
    </row>
    <row r="30" spans="1:14" ht="13.5" thickBot="1">
      <c r="A30" s="3183" t="s">
        <v>1017</v>
      </c>
      <c r="B30" s="4600">
        <v>-1390</v>
      </c>
      <c r="C30" s="262">
        <v>-500</v>
      </c>
      <c r="D30" s="402">
        <v>-500</v>
      </c>
      <c r="E30" s="402">
        <v>-500</v>
      </c>
      <c r="F30" s="402">
        <v>-500</v>
      </c>
      <c r="G30" s="263">
        <v>-500</v>
      </c>
      <c r="H30" s="4422"/>
      <c r="I30" s="4427">
        <f t="shared" si="3"/>
        <v>-710.69571486274367</v>
      </c>
      <c r="J30" s="4427">
        <f t="shared" si="4"/>
        <v>-255.64594059810923</v>
      </c>
      <c r="K30" s="4427">
        <f t="shared" si="5"/>
        <v>-255.64594059810923</v>
      </c>
      <c r="L30" s="4427">
        <f t="shared" si="6"/>
        <v>-255.64594059810923</v>
      </c>
      <c r="M30" s="4427">
        <f t="shared" si="7"/>
        <v>-255.64594059810923</v>
      </c>
      <c r="N30" s="4427">
        <f t="shared" si="8"/>
        <v>-255.64594059810923</v>
      </c>
    </row>
    <row r="31" spans="1:14" ht="13.5" thickBot="1">
      <c r="A31" s="3184" t="s">
        <v>533</v>
      </c>
      <c r="B31" s="3222">
        <f>SUM(B32:B33)</f>
        <v>-1667</v>
      </c>
      <c r="C31" s="3163">
        <f t="shared" ref="C31:G31" si="12">SUM(C32:C33)</f>
        <v>-8914.303774</v>
      </c>
      <c r="D31" s="3164">
        <f t="shared" si="12"/>
        <v>-14484.607548</v>
      </c>
      <c r="E31" s="3164">
        <f t="shared" si="12"/>
        <v>-14192.607548</v>
      </c>
      <c r="F31" s="3164">
        <f t="shared" si="12"/>
        <v>-2359.1999999999998</v>
      </c>
      <c r="G31" s="3165">
        <f t="shared" si="12"/>
        <v>-2350</v>
      </c>
      <c r="H31" s="4422"/>
      <c r="I31" s="4427">
        <f t="shared" si="3"/>
        <v>-852.32356595409624</v>
      </c>
      <c r="J31" s="4427">
        <f t="shared" si="4"/>
        <v>-4557.8111461630106</v>
      </c>
      <c r="K31" s="4427">
        <f t="shared" si="5"/>
        <v>-7405.8622416058661</v>
      </c>
      <c r="L31" s="4427">
        <f t="shared" si="6"/>
        <v>-7256.5650122965699</v>
      </c>
      <c r="M31" s="4427">
        <f t="shared" si="7"/>
        <v>-1206.2398061181186</v>
      </c>
      <c r="N31" s="4427">
        <f t="shared" si="8"/>
        <v>-1201.5359208111136</v>
      </c>
    </row>
    <row r="32" spans="1:14" ht="13.5" thickBot="1">
      <c r="A32" s="3170" t="s">
        <v>329</v>
      </c>
      <c r="B32" s="4600">
        <v>-1667</v>
      </c>
      <c r="C32" s="3167">
        <f>-'9.Инвестиционна програма'!I124</f>
        <v>-8914.303774</v>
      </c>
      <c r="D32" s="3168">
        <f>-'9.Инвестиционна програма'!J124</f>
        <v>-14484.607548</v>
      </c>
      <c r="E32" s="3168">
        <f>-'9.Инвестиционна програма'!K124</f>
        <v>-14192.607548</v>
      </c>
      <c r="F32" s="3168">
        <f>-'9.Инвестиционна програма'!L124</f>
        <v>-2359.1999999999998</v>
      </c>
      <c r="G32" s="3169">
        <f>-'9.Инвестиционна програма'!M124</f>
        <v>-2350</v>
      </c>
      <c r="H32" s="4422"/>
      <c r="I32" s="4427">
        <f t="shared" si="3"/>
        <v>-852.32356595409624</v>
      </c>
      <c r="J32" s="4427">
        <f t="shared" si="4"/>
        <v>-4557.8111461630106</v>
      </c>
      <c r="K32" s="4427">
        <f t="shared" si="5"/>
        <v>-7405.8622416058661</v>
      </c>
      <c r="L32" s="4427">
        <f t="shared" si="6"/>
        <v>-7256.5650122965699</v>
      </c>
      <c r="M32" s="4427">
        <f t="shared" si="7"/>
        <v>-1206.2398061181186</v>
      </c>
      <c r="N32" s="4427">
        <f t="shared" si="8"/>
        <v>-1201.5359208111136</v>
      </c>
    </row>
    <row r="33" spans="1:14" ht="13.5" thickBot="1">
      <c r="A33" s="3190" t="s">
        <v>534</v>
      </c>
      <c r="B33" s="400">
        <v>0</v>
      </c>
      <c r="C33" s="262">
        <v>0</v>
      </c>
      <c r="D33" s="402">
        <v>0</v>
      </c>
      <c r="E33" s="402">
        <v>0</v>
      </c>
      <c r="F33" s="402">
        <v>0</v>
      </c>
      <c r="G33" s="263">
        <v>0</v>
      </c>
      <c r="H33" s="4422"/>
      <c r="I33" s="4427">
        <f t="shared" si="3"/>
        <v>0</v>
      </c>
      <c r="J33" s="4427">
        <f t="shared" si="4"/>
        <v>0</v>
      </c>
      <c r="K33" s="4427">
        <f t="shared" si="5"/>
        <v>0</v>
      </c>
      <c r="L33" s="4427">
        <f t="shared" si="6"/>
        <v>0</v>
      </c>
      <c r="M33" s="4427">
        <f t="shared" si="7"/>
        <v>0</v>
      </c>
      <c r="N33" s="4427">
        <f t="shared" si="8"/>
        <v>0</v>
      </c>
    </row>
    <row r="34" spans="1:14" ht="13.5" thickBot="1">
      <c r="A34" s="3184" t="s">
        <v>535</v>
      </c>
      <c r="B34" s="3162">
        <f t="shared" ref="B34:G34" si="13">SUM(B35:B41)</f>
        <v>-4679</v>
      </c>
      <c r="C34" s="3163">
        <f t="shared" si="13"/>
        <v>-11033.880592128549</v>
      </c>
      <c r="D34" s="3164">
        <f t="shared" si="13"/>
        <v>-11557.750877019302</v>
      </c>
      <c r="E34" s="3164">
        <f t="shared" si="13"/>
        <v>-12393.068375261155</v>
      </c>
      <c r="F34" s="3164">
        <f t="shared" si="13"/>
        <v>-14575.575343087105</v>
      </c>
      <c r="G34" s="3165">
        <f t="shared" si="13"/>
        <v>-14943.727012365211</v>
      </c>
      <c r="H34" s="4422"/>
      <c r="I34" s="4427">
        <f t="shared" si="3"/>
        <v>-2392.3347121171064</v>
      </c>
      <c r="J34" s="4427">
        <f t="shared" si="4"/>
        <v>-5641.5335648438513</v>
      </c>
      <c r="K34" s="4427">
        <f t="shared" si="5"/>
        <v>-5909.3841883084433</v>
      </c>
      <c r="L34" s="4427">
        <f t="shared" si="6"/>
        <v>-6336.4752433806389</v>
      </c>
      <c r="M34" s="4427">
        <f t="shared" si="7"/>
        <v>-7452.3733366842234</v>
      </c>
      <c r="N34" s="4427">
        <f t="shared" si="8"/>
        <v>-7640.6062962349542</v>
      </c>
    </row>
    <row r="35" spans="1:14" ht="13.5" thickBot="1">
      <c r="A35" s="3170" t="s">
        <v>536</v>
      </c>
      <c r="B35" s="3223">
        <f>-'14. ОПР'!B35</f>
        <v>-11</v>
      </c>
      <c r="C35" s="3219">
        <f>-'14. ОПР'!C35</f>
        <v>-831</v>
      </c>
      <c r="D35" s="3220">
        <f>-'14. ОПР'!D35</f>
        <v>-827</v>
      </c>
      <c r="E35" s="3220">
        <f>-'14. ОПР'!E35</f>
        <v>-825</v>
      </c>
      <c r="F35" s="3220">
        <f>-'14. ОПР'!F35</f>
        <v>-801</v>
      </c>
      <c r="G35" s="3221">
        <f>-'14. ОПР'!G35</f>
        <v>-736</v>
      </c>
      <c r="H35" s="4422"/>
      <c r="I35" s="4427">
        <f t="shared" si="3"/>
        <v>-5.6242106931584033</v>
      </c>
      <c r="J35" s="4427">
        <f t="shared" si="4"/>
        <v>-424.88355327405759</v>
      </c>
      <c r="K35" s="4427">
        <f t="shared" si="5"/>
        <v>-422.83838574927267</v>
      </c>
      <c r="L35" s="4427">
        <f t="shared" si="6"/>
        <v>-421.81580198688027</v>
      </c>
      <c r="M35" s="4427">
        <f t="shared" si="7"/>
        <v>-409.54479683817101</v>
      </c>
      <c r="N35" s="4427">
        <f t="shared" si="8"/>
        <v>-376.31082456041679</v>
      </c>
    </row>
    <row r="36" spans="1:14" ht="13.5" thickBot="1">
      <c r="A36" s="3170" t="s">
        <v>537</v>
      </c>
      <c r="B36" s="4600">
        <v>-331</v>
      </c>
      <c r="C36" s="262">
        <v>-331</v>
      </c>
      <c r="D36" s="402">
        <v>-331</v>
      </c>
      <c r="E36" s="402">
        <v>-331</v>
      </c>
      <c r="F36" s="402">
        <v>-1516</v>
      </c>
      <c r="G36" s="263">
        <v>-1292</v>
      </c>
      <c r="H36" s="4422"/>
      <c r="I36" s="4427">
        <f t="shared" si="3"/>
        <v>-169.23761267594833</v>
      </c>
      <c r="J36" s="4427">
        <f t="shared" si="4"/>
        <v>-169.23761267594833</v>
      </c>
      <c r="K36" s="4427">
        <f t="shared" si="5"/>
        <v>-169.23761267594833</v>
      </c>
      <c r="L36" s="4427">
        <f t="shared" si="6"/>
        <v>-169.23761267594833</v>
      </c>
      <c r="M36" s="4427">
        <f t="shared" si="7"/>
        <v>-775.11849189346719</v>
      </c>
      <c r="N36" s="4427">
        <f t="shared" si="8"/>
        <v>-660.58911050551433</v>
      </c>
    </row>
    <row r="37" spans="1:14" ht="13.5" thickBot="1">
      <c r="A37" s="3190" t="s">
        <v>538</v>
      </c>
      <c r="B37" s="4600">
        <v>-910</v>
      </c>
      <c r="C37" s="262">
        <v>-900</v>
      </c>
      <c r="D37" s="402">
        <v>-900</v>
      </c>
      <c r="E37" s="402">
        <v>-900</v>
      </c>
      <c r="F37" s="402">
        <v>-900</v>
      </c>
      <c r="G37" s="263">
        <v>-900</v>
      </c>
      <c r="H37" s="4422"/>
      <c r="I37" s="4427">
        <f t="shared" si="3"/>
        <v>-465.27561188855884</v>
      </c>
      <c r="J37" s="4427">
        <f t="shared" si="4"/>
        <v>-460.16269307659667</v>
      </c>
      <c r="K37" s="4427">
        <f t="shared" si="5"/>
        <v>-460.16269307659667</v>
      </c>
      <c r="L37" s="4427">
        <f t="shared" si="6"/>
        <v>-460.16269307659667</v>
      </c>
      <c r="M37" s="4427">
        <f t="shared" si="7"/>
        <v>-460.16269307659667</v>
      </c>
      <c r="N37" s="4427">
        <f t="shared" si="8"/>
        <v>-460.16269307659667</v>
      </c>
    </row>
    <row r="38" spans="1:14" ht="13.5" thickBot="1">
      <c r="A38" s="3190" t="s">
        <v>539</v>
      </c>
      <c r="B38" s="4600">
        <v>-24</v>
      </c>
      <c r="C38" s="393">
        <v>0</v>
      </c>
      <c r="D38" s="3167">
        <f>-'14. ОПР'!C41</f>
        <v>196.95229868089666</v>
      </c>
      <c r="E38" s="3168">
        <f>-'14. ОПР'!D41</f>
        <v>68.794636079059998</v>
      </c>
      <c r="F38" s="3168">
        <f>-'14. ОПР'!E41</f>
        <v>-62.499468760038148</v>
      </c>
      <c r="G38" s="3169">
        <f>-'14. ОПР'!F41</f>
        <v>-91.756813283795054</v>
      </c>
      <c r="H38" s="4422"/>
      <c r="I38" s="4427">
        <f t="shared" si="3"/>
        <v>-12.271005148709245</v>
      </c>
      <c r="J38" s="4427">
        <f t="shared" si="4"/>
        <v>0</v>
      </c>
      <c r="K38" s="4427">
        <f t="shared" si="5"/>
        <v>100.70011129847515</v>
      </c>
      <c r="L38" s="4427">
        <f t="shared" si="6"/>
        <v>35.174138897071835</v>
      </c>
      <c r="M38" s="4427">
        <f t="shared" si="7"/>
        <v>-31.955470956084195</v>
      </c>
      <c r="N38" s="4427">
        <f t="shared" si="8"/>
        <v>-46.914513676441743</v>
      </c>
    </row>
    <row r="39" spans="1:14" ht="13.5" thickBot="1">
      <c r="A39" s="3224" t="s">
        <v>1060</v>
      </c>
      <c r="B39" s="4623">
        <v>-1</v>
      </c>
      <c r="C39" s="3212">
        <f>SUM(C21+C22+C28+C29+C32)*20%</f>
        <v>-4853.9482627612806</v>
      </c>
      <c r="D39" s="3210">
        <f t="shared" ref="D39:G39" si="14">SUM(D21+D22+D28+D29+D32)*20%</f>
        <v>-6011.0380856962811</v>
      </c>
      <c r="E39" s="3210">
        <f t="shared" si="14"/>
        <v>-5985.3899105538803</v>
      </c>
      <c r="F39" s="3210">
        <f t="shared" si="14"/>
        <v>-3690.8488388365095</v>
      </c>
      <c r="G39" s="3211">
        <f t="shared" si="14"/>
        <v>-3667.3322670919802</v>
      </c>
      <c r="H39" s="4422"/>
      <c r="I39" s="4427">
        <f t="shared" si="3"/>
        <v>-0.51129188119621849</v>
      </c>
      <c r="J39" s="4427">
        <f t="shared" si="4"/>
        <v>-2481.7843384963317</v>
      </c>
      <c r="K39" s="4427">
        <f t="shared" si="5"/>
        <v>-3073.3949707777674</v>
      </c>
      <c r="L39" s="4427">
        <f t="shared" si="6"/>
        <v>-3060.2812670599596</v>
      </c>
      <c r="M39" s="4427">
        <f t="shared" si="7"/>
        <v>-1887.1010460195976</v>
      </c>
      <c r="N39" s="4427">
        <f t="shared" si="8"/>
        <v>-1875.0772138130515</v>
      </c>
    </row>
    <row r="40" spans="1:14" ht="13.5" thickBot="1">
      <c r="A40" s="3190" t="s">
        <v>540</v>
      </c>
      <c r="B40" s="4624">
        <v>-2597</v>
      </c>
      <c r="C40" s="3219">
        <f>-20%*(C10+C12+C13)-20%*(C21+C22+C28+C29+C32)</f>
        <v>-3317.9323293672687</v>
      </c>
      <c r="D40" s="3220">
        <f t="shared" ref="D40:G40" si="15">-20%*(D10+D12+D13)-20%*(D21+D22+D28+D29+D32)</f>
        <v>-2885.6650900039176</v>
      </c>
      <c r="E40" s="3220">
        <f t="shared" si="15"/>
        <v>-3620.4731007863356</v>
      </c>
      <c r="F40" s="3220">
        <f t="shared" si="15"/>
        <v>-6805.2270354905559</v>
      </c>
      <c r="G40" s="3221">
        <f t="shared" si="15"/>
        <v>-7456.6379319894349</v>
      </c>
      <c r="H40" s="4422"/>
      <c r="I40" s="4427">
        <f t="shared" si="3"/>
        <v>-1327.8250154665795</v>
      </c>
      <c r="J40" s="4427">
        <f t="shared" si="4"/>
        <v>-1696.4318623639419</v>
      </c>
      <c r="K40" s="4427">
        <f t="shared" si="5"/>
        <v>-1475.4171323703581</v>
      </c>
      <c r="L40" s="4427">
        <f t="shared" si="6"/>
        <v>-1851.118502521352</v>
      </c>
      <c r="M40" s="4427">
        <f t="shared" si="7"/>
        <v>-3479.4573329433315</v>
      </c>
      <c r="N40" s="4427">
        <f t="shared" si="8"/>
        <v>-3812.5184356459586</v>
      </c>
    </row>
    <row r="41" spans="1:14" ht="13.5" thickBot="1">
      <c r="A41" s="3190" t="s">
        <v>541</v>
      </c>
      <c r="B41" s="4600">
        <v>-805</v>
      </c>
      <c r="C41" s="262">
        <v>-800</v>
      </c>
      <c r="D41" s="402">
        <v>-800</v>
      </c>
      <c r="E41" s="402">
        <v>-800</v>
      </c>
      <c r="F41" s="402">
        <v>-800</v>
      </c>
      <c r="G41" s="263">
        <v>-800</v>
      </c>
      <c r="H41" s="4422"/>
      <c r="I41" s="4427">
        <f t="shared" si="3"/>
        <v>-411.58996436295587</v>
      </c>
      <c r="J41" s="4427">
        <f t="shared" si="4"/>
        <v>-409.03350495697481</v>
      </c>
      <c r="K41" s="4427">
        <f t="shared" si="5"/>
        <v>-409.03350495697481</v>
      </c>
      <c r="L41" s="4427">
        <f t="shared" si="6"/>
        <v>-409.03350495697481</v>
      </c>
      <c r="M41" s="4427">
        <f t="shared" si="7"/>
        <v>-409.03350495697481</v>
      </c>
      <c r="N41" s="4427">
        <f t="shared" si="8"/>
        <v>-409.03350495697481</v>
      </c>
    </row>
    <row r="42" spans="1:14" ht="13.5" thickBot="1">
      <c r="A42" s="3225" t="s">
        <v>542</v>
      </c>
      <c r="B42" s="3178">
        <f t="shared" ref="B42:G42" si="16">B9+B20</f>
        <v>4576.1257032495814</v>
      </c>
      <c r="C42" s="3179">
        <f t="shared" si="16"/>
        <v>5321.5696355510299</v>
      </c>
      <c r="D42" s="3180">
        <f t="shared" si="16"/>
        <v>6617.1291286494015</v>
      </c>
      <c r="E42" s="3180">
        <f t="shared" si="16"/>
        <v>7560.2206664803816</v>
      </c>
      <c r="F42" s="3180">
        <f t="shared" si="16"/>
        <v>8353.7893564379483</v>
      </c>
      <c r="G42" s="3181">
        <f t="shared" si="16"/>
        <v>8533.5041587019077</v>
      </c>
      <c r="H42" s="4422"/>
      <c r="I42" s="4427">
        <f t="shared" si="3"/>
        <v>2339.7359194048468</v>
      </c>
      <c r="J42" s="4427">
        <f t="shared" si="4"/>
        <v>2720.8753498775609</v>
      </c>
      <c r="K42" s="4427">
        <f t="shared" si="5"/>
        <v>3383.2844003054465</v>
      </c>
      <c r="L42" s="4427">
        <f t="shared" si="6"/>
        <v>3865.4794468232831</v>
      </c>
      <c r="M42" s="4427">
        <f t="shared" si="7"/>
        <v>4271.2246751701059</v>
      </c>
      <c r="N42" s="4427">
        <f t="shared" si="8"/>
        <v>4363.1113944984527</v>
      </c>
    </row>
    <row r="43" spans="1:14" ht="13.5" thickBot="1">
      <c r="A43" s="3225" t="s">
        <v>543</v>
      </c>
      <c r="B43" s="3178">
        <f>B42+B31</f>
        <v>2909.1257032495814</v>
      </c>
      <c r="C43" s="3179">
        <f>C42+C31</f>
        <v>-3592.73413844897</v>
      </c>
      <c r="D43" s="3180">
        <f t="shared" ref="D43:G43" si="17">D42+D31</f>
        <v>-7867.4784193505984</v>
      </c>
      <c r="E43" s="3180">
        <f t="shared" si="17"/>
        <v>-6632.3868815196183</v>
      </c>
      <c r="F43" s="3180">
        <f t="shared" si="17"/>
        <v>5994.5893564379485</v>
      </c>
      <c r="G43" s="3181">
        <f t="shared" si="17"/>
        <v>6183.5041587019077</v>
      </c>
      <c r="H43" s="4422"/>
      <c r="I43" s="4427">
        <f t="shared" si="3"/>
        <v>1487.4123534507505</v>
      </c>
      <c r="J43" s="4427">
        <f t="shared" si="4"/>
        <v>-1836.9357962854492</v>
      </c>
      <c r="K43" s="4427">
        <f t="shared" si="5"/>
        <v>-4022.5778413004191</v>
      </c>
      <c r="L43" s="4427">
        <f t="shared" si="6"/>
        <v>-3391.0855654732868</v>
      </c>
      <c r="M43" s="4427">
        <f t="shared" si="7"/>
        <v>3064.9848690519875</v>
      </c>
      <c r="N43" s="4427">
        <f t="shared" si="8"/>
        <v>3161.5754736873387</v>
      </c>
    </row>
    <row r="44" spans="1:14" ht="13.5" thickBot="1">
      <c r="A44" s="3225" t="s">
        <v>544</v>
      </c>
      <c r="B44" s="3178">
        <f t="shared" ref="B44:G44" si="18">B43+(B14+B34)</f>
        <v>-45.87429675041858</v>
      </c>
      <c r="C44" s="3179">
        <f t="shared" si="18"/>
        <v>1937.5696355510299</v>
      </c>
      <c r="D44" s="3180">
        <f t="shared" si="18"/>
        <v>3312.0814273302967</v>
      </c>
      <c r="E44" s="3180">
        <f t="shared" si="18"/>
        <v>4113.0153025594445</v>
      </c>
      <c r="F44" s="3180">
        <f t="shared" si="18"/>
        <v>3951.0898876779092</v>
      </c>
      <c r="G44" s="3181">
        <f t="shared" si="18"/>
        <v>4399.7473454181127</v>
      </c>
      <c r="H44" s="4422"/>
      <c r="I44" s="4427">
        <f t="shared" si="3"/>
        <v>-23.455155484075089</v>
      </c>
      <c r="J44" s="4427">
        <f t="shared" si="4"/>
        <v>990.6636239095576</v>
      </c>
      <c r="K44" s="4427">
        <f t="shared" si="5"/>
        <v>1693.4403436547639</v>
      </c>
      <c r="L44" s="4427">
        <f t="shared" si="6"/>
        <v>2102.9513314344522</v>
      </c>
      <c r="M44" s="4427">
        <f t="shared" si="7"/>
        <v>2020.1601814461937</v>
      </c>
      <c r="N44" s="4427">
        <f t="shared" si="8"/>
        <v>2249.5550970268955</v>
      </c>
    </row>
    <row r="45" spans="1:14" ht="13.5" thickBot="1">
      <c r="A45" s="3226" t="s">
        <v>545</v>
      </c>
      <c r="B45" s="4600">
        <v>1125</v>
      </c>
      <c r="C45" s="393">
        <v>500</v>
      </c>
      <c r="D45" s="3309">
        <f t="shared" ref="D45:F45" si="19">C46</f>
        <v>2437.5696355510299</v>
      </c>
      <c r="E45" s="3227">
        <f t="shared" si="19"/>
        <v>5749.6510628813267</v>
      </c>
      <c r="F45" s="3227">
        <f t="shared" si="19"/>
        <v>9862.6663654407712</v>
      </c>
      <c r="G45" s="3228">
        <f>F46</f>
        <v>13813.756253118681</v>
      </c>
      <c r="H45" s="4422"/>
      <c r="I45" s="4427">
        <f t="shared" si="3"/>
        <v>575.20336634574585</v>
      </c>
      <c r="J45" s="4427">
        <f t="shared" si="4"/>
        <v>255.64594059810923</v>
      </c>
      <c r="K45" s="4427">
        <f t="shared" si="5"/>
        <v>1246.3095645076669</v>
      </c>
      <c r="L45" s="4427">
        <f t="shared" si="6"/>
        <v>2939.7499081624305</v>
      </c>
      <c r="M45" s="4427">
        <f t="shared" si="7"/>
        <v>5042.7012395968832</v>
      </c>
      <c r="N45" s="4427">
        <f t="shared" si="8"/>
        <v>7062.8614210430769</v>
      </c>
    </row>
    <row r="46" spans="1:14" ht="13.5" thickBot="1">
      <c r="A46" s="3229" t="s">
        <v>546</v>
      </c>
      <c r="B46" s="3230">
        <f>SUM(B44:B45)</f>
        <v>1079.1257032495814</v>
      </c>
      <c r="C46" s="3231">
        <f>SUM(C44:C45)</f>
        <v>2437.5696355510299</v>
      </c>
      <c r="D46" s="3232">
        <f t="shared" ref="D46:G46" si="20">SUM(D44:D45)</f>
        <v>5749.6510628813267</v>
      </c>
      <c r="E46" s="3232">
        <f t="shared" si="20"/>
        <v>9862.6663654407712</v>
      </c>
      <c r="F46" s="3232">
        <f t="shared" si="20"/>
        <v>13813.756253118681</v>
      </c>
      <c r="G46" s="3233">
        <f t="shared" si="20"/>
        <v>18213.503598536794</v>
      </c>
      <c r="H46" s="4422"/>
      <c r="I46" s="4427">
        <f t="shared" si="3"/>
        <v>551.74821086167071</v>
      </c>
      <c r="J46" s="4427">
        <f t="shared" si="4"/>
        <v>1246.3095645076669</v>
      </c>
      <c r="K46" s="4427">
        <f t="shared" si="5"/>
        <v>2939.7499081624305</v>
      </c>
      <c r="L46" s="4427">
        <f t="shared" si="6"/>
        <v>5042.7012395968832</v>
      </c>
      <c r="M46" s="4427">
        <f t="shared" si="7"/>
        <v>7062.8614210430769</v>
      </c>
      <c r="N46" s="4427">
        <f t="shared" si="8"/>
        <v>9312.4165180699729</v>
      </c>
    </row>
    <row r="47" spans="1:14">
      <c r="A47" s="3234"/>
      <c r="B47" s="3234"/>
      <c r="C47" s="3234"/>
      <c r="D47" s="3234"/>
      <c r="E47" s="3234"/>
    </row>
    <row r="48" spans="1:14">
      <c r="C48" s="3235">
        <f>C18+C39+C40</f>
        <v>0</v>
      </c>
      <c r="D48" s="3235">
        <f>D18+D39+D40</f>
        <v>0</v>
      </c>
      <c r="E48" s="3235">
        <f>E18+E39+E40</f>
        <v>0</v>
      </c>
      <c r="F48" s="3235">
        <f>F18+F39+F40</f>
        <v>0</v>
      </c>
      <c r="G48" s="3235">
        <f>G18+G39+G40</f>
        <v>0</v>
      </c>
      <c r="J48" s="4485">
        <f t="shared" ref="J48" si="21">IFERROR(C48/$B$1,0)</f>
        <v>0</v>
      </c>
      <c r="K48" s="4485">
        <f t="shared" ref="K48" si="22">IFERROR(D48/$B$1,0)</f>
        <v>0</v>
      </c>
      <c r="L48" s="4485">
        <f t="shared" ref="L48" si="23">IFERROR(E48/$B$1,0)</f>
        <v>0</v>
      </c>
      <c r="M48" s="4485">
        <f t="shared" ref="M48" si="24">IFERROR(F48/$B$1,0)</f>
        <v>0</v>
      </c>
      <c r="N48" s="4485">
        <f>IFERROR(G48/$B$1,0)</f>
        <v>0</v>
      </c>
    </row>
    <row r="49" spans="1:7" s="24" customFormat="1">
      <c r="A49" s="3236" t="str">
        <f>'Приложение '!B82</f>
        <v>Дата: 29.06.2026</v>
      </c>
      <c r="B49" s="3203"/>
      <c r="C49" s="36"/>
      <c r="D49" s="33"/>
    </row>
    <row r="50" spans="1:7" s="24" customFormat="1">
      <c r="C50" s="32"/>
      <c r="D50" s="3237"/>
      <c r="E50" s="3238"/>
      <c r="F50" s="35"/>
    </row>
    <row r="51" spans="1:7" s="24" customFormat="1">
      <c r="A51" s="1617"/>
      <c r="B51" s="1617"/>
      <c r="C51" s="32"/>
      <c r="D51" s="3237"/>
      <c r="E51" s="3239"/>
      <c r="F51" s="35"/>
    </row>
    <row r="52" spans="1:7" s="24" customFormat="1">
      <c r="A52" s="5336" t="s">
        <v>187</v>
      </c>
      <c r="B52" s="5336"/>
      <c r="C52" s="5336"/>
      <c r="D52" s="3207"/>
      <c r="E52" s="3207"/>
      <c r="F52" s="3207"/>
      <c r="G52" s="3207"/>
    </row>
    <row r="53" spans="1:7" s="24" customFormat="1">
      <c r="A53" s="5339" t="s">
        <v>188</v>
      </c>
      <c r="B53" s="5339"/>
      <c r="C53" s="5339"/>
      <c r="D53" s="3207"/>
      <c r="E53" s="3207"/>
      <c r="F53" s="3207"/>
      <c r="G53" s="3207"/>
    </row>
    <row r="54" spans="1:7">
      <c r="A54" s="5340" t="s">
        <v>720</v>
      </c>
      <c r="B54" s="5340"/>
      <c r="C54" s="5340"/>
    </row>
    <row r="55" spans="1:7">
      <c r="A55" s="5335" t="s">
        <v>1482</v>
      </c>
      <c r="B55" s="5335"/>
    </row>
  </sheetData>
  <sheetProtection algorithmName="SHA-512" hashValue="N++N8S0KVO+jAyeGtWPduhkzcu0cPESWtC8PWZ1y6J3CAICU+KZkdzLpjJ9xQz7uOFuv0/8vpIX7XSr/bZN8Sw==" saltValue="1lFoIvOEumjDQm8ntL8QPQ==" spinCount="100000" sheet="1" formatCells="0" formatColumns="0" formatRows="0"/>
  <mergeCells count="9">
    <mergeCell ref="A55:B55"/>
    <mergeCell ref="A52:C52"/>
    <mergeCell ref="A53:C53"/>
    <mergeCell ref="A3:G3"/>
    <mergeCell ref="B1:C1"/>
    <mergeCell ref="A2:G2"/>
    <mergeCell ref="A4:G4"/>
    <mergeCell ref="A5:G5"/>
    <mergeCell ref="A54:C54"/>
  </mergeCells>
  <printOptions horizontalCentered="1"/>
  <pageMargins left="0.70866141732283472" right="7.874015748031496E-2" top="0.74803149606299213" bottom="0.55118110236220474" header="0.31496062992125984" footer="0.31496062992125984"/>
  <pageSetup paperSize="9" scale="88" orientation="portrait" verticalDpi="2" r:id="rId1"/>
  <headerFooter alignWithMargins="0">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70C0"/>
    <pageSetUpPr fitToPage="1"/>
  </sheetPr>
  <dimension ref="A1:O70"/>
  <sheetViews>
    <sheetView showGridLines="0" zoomScaleNormal="100" zoomScaleSheetLayoutView="100" workbookViewId="0">
      <pane xSplit="2" ySplit="8" topLeftCell="C54" activePane="bottomRight" state="frozen"/>
      <selection pane="topRight" activeCell="C1" sqref="C1"/>
      <selection pane="bottomLeft" activeCell="A9" sqref="A9"/>
      <selection pane="bottomRight" activeCell="B60" sqref="B60"/>
    </sheetView>
  </sheetViews>
  <sheetFormatPr defaultRowHeight="12.75"/>
  <cols>
    <col min="1" max="1" width="6.42578125" customWidth="1"/>
    <col min="2" max="2" width="54.85546875" bestFit="1" customWidth="1"/>
    <col min="3" max="3" width="10.42578125" style="178" customWidth="1"/>
    <col min="4" max="8" width="8.5703125" style="178" customWidth="1"/>
    <col min="9" max="9" width="3" customWidth="1"/>
    <col min="254" max="254" width="6.42578125" customWidth="1"/>
    <col min="255" max="255" width="60.5703125" customWidth="1"/>
    <col min="256" max="256" width="10.42578125" customWidth="1"/>
    <col min="257" max="257" width="13.85546875" customWidth="1"/>
    <col min="258" max="258" width="13.5703125" customWidth="1"/>
    <col min="259" max="259" width="14.140625" customWidth="1"/>
    <col min="260" max="260" width="8.42578125" customWidth="1"/>
    <col min="261" max="261" width="11" customWidth="1"/>
    <col min="510" max="510" width="6.42578125" customWidth="1"/>
    <col min="511" max="511" width="60.5703125" customWidth="1"/>
    <col min="512" max="512" width="10.42578125" customWidth="1"/>
    <col min="513" max="513" width="13.85546875" customWidth="1"/>
    <col min="514" max="514" width="13.5703125" customWidth="1"/>
    <col min="515" max="515" width="14.140625" customWidth="1"/>
    <col min="516" max="516" width="8.42578125" customWidth="1"/>
    <col min="517" max="517" width="11" customWidth="1"/>
    <col min="766" max="766" width="6.42578125" customWidth="1"/>
    <col min="767" max="767" width="60.5703125" customWidth="1"/>
    <col min="768" max="768" width="10.42578125" customWidth="1"/>
    <col min="769" max="769" width="13.85546875" customWidth="1"/>
    <col min="770" max="770" width="13.5703125" customWidth="1"/>
    <col min="771" max="771" width="14.140625" customWidth="1"/>
    <col min="772" max="772" width="8.42578125" customWidth="1"/>
    <col min="773" max="773" width="11" customWidth="1"/>
    <col min="1022" max="1022" width="6.42578125" customWidth="1"/>
    <col min="1023" max="1023" width="60.5703125" customWidth="1"/>
    <col min="1024" max="1024" width="10.42578125" customWidth="1"/>
    <col min="1025" max="1025" width="13.85546875" customWidth="1"/>
    <col min="1026" max="1026" width="13.5703125" customWidth="1"/>
    <col min="1027" max="1027" width="14.140625" customWidth="1"/>
    <col min="1028" max="1028" width="8.42578125" customWidth="1"/>
    <col min="1029" max="1029" width="11" customWidth="1"/>
    <col min="1278" max="1278" width="6.42578125" customWidth="1"/>
    <col min="1279" max="1279" width="60.5703125" customWidth="1"/>
    <col min="1280" max="1280" width="10.42578125" customWidth="1"/>
    <col min="1281" max="1281" width="13.85546875" customWidth="1"/>
    <col min="1282" max="1282" width="13.5703125" customWidth="1"/>
    <col min="1283" max="1283" width="14.140625" customWidth="1"/>
    <col min="1284" max="1284" width="8.42578125" customWidth="1"/>
    <col min="1285" max="1285" width="11" customWidth="1"/>
    <col min="1534" max="1534" width="6.42578125" customWidth="1"/>
    <col min="1535" max="1535" width="60.5703125" customWidth="1"/>
    <col min="1536" max="1536" width="10.42578125" customWidth="1"/>
    <col min="1537" max="1537" width="13.85546875" customWidth="1"/>
    <col min="1538" max="1538" width="13.5703125" customWidth="1"/>
    <col min="1539" max="1539" width="14.140625" customWidth="1"/>
    <col min="1540" max="1540" width="8.42578125" customWidth="1"/>
    <col min="1541" max="1541" width="11" customWidth="1"/>
    <col min="1790" max="1790" width="6.42578125" customWidth="1"/>
    <col min="1791" max="1791" width="60.5703125" customWidth="1"/>
    <col min="1792" max="1792" width="10.42578125" customWidth="1"/>
    <col min="1793" max="1793" width="13.85546875" customWidth="1"/>
    <col min="1794" max="1794" width="13.5703125" customWidth="1"/>
    <col min="1795" max="1795" width="14.140625" customWidth="1"/>
    <col min="1796" max="1796" width="8.42578125" customWidth="1"/>
    <col min="1797" max="1797" width="11" customWidth="1"/>
    <col min="2046" max="2046" width="6.42578125" customWidth="1"/>
    <col min="2047" max="2047" width="60.5703125" customWidth="1"/>
    <col min="2048" max="2048" width="10.42578125" customWidth="1"/>
    <col min="2049" max="2049" width="13.85546875" customWidth="1"/>
    <col min="2050" max="2050" width="13.5703125" customWidth="1"/>
    <col min="2051" max="2051" width="14.140625" customWidth="1"/>
    <col min="2052" max="2052" width="8.42578125" customWidth="1"/>
    <col min="2053" max="2053" width="11" customWidth="1"/>
    <col min="2302" max="2302" width="6.42578125" customWidth="1"/>
    <col min="2303" max="2303" width="60.5703125" customWidth="1"/>
    <col min="2304" max="2304" width="10.42578125" customWidth="1"/>
    <col min="2305" max="2305" width="13.85546875" customWidth="1"/>
    <col min="2306" max="2306" width="13.5703125" customWidth="1"/>
    <col min="2307" max="2307" width="14.140625" customWidth="1"/>
    <col min="2308" max="2308" width="8.42578125" customWidth="1"/>
    <col min="2309" max="2309" width="11" customWidth="1"/>
    <col min="2558" max="2558" width="6.42578125" customWidth="1"/>
    <col min="2559" max="2559" width="60.5703125" customWidth="1"/>
    <col min="2560" max="2560" width="10.42578125" customWidth="1"/>
    <col min="2561" max="2561" width="13.85546875" customWidth="1"/>
    <col min="2562" max="2562" width="13.5703125" customWidth="1"/>
    <col min="2563" max="2563" width="14.140625" customWidth="1"/>
    <col min="2564" max="2564" width="8.42578125" customWidth="1"/>
    <col min="2565" max="2565" width="11" customWidth="1"/>
    <col min="2814" max="2814" width="6.42578125" customWidth="1"/>
    <col min="2815" max="2815" width="60.5703125" customWidth="1"/>
    <col min="2816" max="2816" width="10.42578125" customWidth="1"/>
    <col min="2817" max="2817" width="13.85546875" customWidth="1"/>
    <col min="2818" max="2818" width="13.5703125" customWidth="1"/>
    <col min="2819" max="2819" width="14.140625" customWidth="1"/>
    <col min="2820" max="2820" width="8.42578125" customWidth="1"/>
    <col min="2821" max="2821" width="11" customWidth="1"/>
    <col min="3070" max="3070" width="6.42578125" customWidth="1"/>
    <col min="3071" max="3071" width="60.5703125" customWidth="1"/>
    <col min="3072" max="3072" width="10.42578125" customWidth="1"/>
    <col min="3073" max="3073" width="13.85546875" customWidth="1"/>
    <col min="3074" max="3074" width="13.5703125" customWidth="1"/>
    <col min="3075" max="3075" width="14.140625" customWidth="1"/>
    <col min="3076" max="3076" width="8.42578125" customWidth="1"/>
    <col min="3077" max="3077" width="11" customWidth="1"/>
    <col min="3326" max="3326" width="6.42578125" customWidth="1"/>
    <col min="3327" max="3327" width="60.5703125" customWidth="1"/>
    <col min="3328" max="3328" width="10.42578125" customWidth="1"/>
    <col min="3329" max="3329" width="13.85546875" customWidth="1"/>
    <col min="3330" max="3330" width="13.5703125" customWidth="1"/>
    <col min="3331" max="3331" width="14.140625" customWidth="1"/>
    <col min="3332" max="3332" width="8.42578125" customWidth="1"/>
    <col min="3333" max="3333" width="11" customWidth="1"/>
    <col min="3582" max="3582" width="6.42578125" customWidth="1"/>
    <col min="3583" max="3583" width="60.5703125" customWidth="1"/>
    <col min="3584" max="3584" width="10.42578125" customWidth="1"/>
    <col min="3585" max="3585" width="13.85546875" customWidth="1"/>
    <col min="3586" max="3586" width="13.5703125" customWidth="1"/>
    <col min="3587" max="3587" width="14.140625" customWidth="1"/>
    <col min="3588" max="3588" width="8.42578125" customWidth="1"/>
    <col min="3589" max="3589" width="11" customWidth="1"/>
    <col min="3838" max="3838" width="6.42578125" customWidth="1"/>
    <col min="3839" max="3839" width="60.5703125" customWidth="1"/>
    <col min="3840" max="3840" width="10.42578125" customWidth="1"/>
    <col min="3841" max="3841" width="13.85546875" customWidth="1"/>
    <col min="3842" max="3842" width="13.5703125" customWidth="1"/>
    <col min="3843" max="3843" width="14.140625" customWidth="1"/>
    <col min="3844" max="3844" width="8.42578125" customWidth="1"/>
    <col min="3845" max="3845" width="11" customWidth="1"/>
    <col min="4094" max="4094" width="6.42578125" customWidth="1"/>
    <col min="4095" max="4095" width="60.5703125" customWidth="1"/>
    <col min="4096" max="4096" width="10.42578125" customWidth="1"/>
    <col min="4097" max="4097" width="13.85546875" customWidth="1"/>
    <col min="4098" max="4098" width="13.5703125" customWidth="1"/>
    <col min="4099" max="4099" width="14.140625" customWidth="1"/>
    <col min="4100" max="4100" width="8.42578125" customWidth="1"/>
    <col min="4101" max="4101" width="11" customWidth="1"/>
    <col min="4350" max="4350" width="6.42578125" customWidth="1"/>
    <col min="4351" max="4351" width="60.5703125" customWidth="1"/>
    <col min="4352" max="4352" width="10.42578125" customWidth="1"/>
    <col min="4353" max="4353" width="13.85546875" customWidth="1"/>
    <col min="4354" max="4354" width="13.5703125" customWidth="1"/>
    <col min="4355" max="4355" width="14.140625" customWidth="1"/>
    <col min="4356" max="4356" width="8.42578125" customWidth="1"/>
    <col min="4357" max="4357" width="11" customWidth="1"/>
    <col min="4606" max="4606" width="6.42578125" customWidth="1"/>
    <col min="4607" max="4607" width="60.5703125" customWidth="1"/>
    <col min="4608" max="4608" width="10.42578125" customWidth="1"/>
    <col min="4609" max="4609" width="13.85546875" customWidth="1"/>
    <col min="4610" max="4610" width="13.5703125" customWidth="1"/>
    <col min="4611" max="4611" width="14.140625" customWidth="1"/>
    <col min="4612" max="4612" width="8.42578125" customWidth="1"/>
    <col min="4613" max="4613" width="11" customWidth="1"/>
    <col min="4862" max="4862" width="6.42578125" customWidth="1"/>
    <col min="4863" max="4863" width="60.5703125" customWidth="1"/>
    <col min="4864" max="4864" width="10.42578125" customWidth="1"/>
    <col min="4865" max="4865" width="13.85546875" customWidth="1"/>
    <col min="4866" max="4866" width="13.5703125" customWidth="1"/>
    <col min="4867" max="4867" width="14.140625" customWidth="1"/>
    <col min="4868" max="4868" width="8.42578125" customWidth="1"/>
    <col min="4869" max="4869" width="11" customWidth="1"/>
    <col min="5118" max="5118" width="6.42578125" customWidth="1"/>
    <col min="5119" max="5119" width="60.5703125" customWidth="1"/>
    <col min="5120" max="5120" width="10.42578125" customWidth="1"/>
    <col min="5121" max="5121" width="13.85546875" customWidth="1"/>
    <col min="5122" max="5122" width="13.5703125" customWidth="1"/>
    <col min="5123" max="5123" width="14.140625" customWidth="1"/>
    <col min="5124" max="5124" width="8.42578125" customWidth="1"/>
    <col min="5125" max="5125" width="11" customWidth="1"/>
    <col min="5374" max="5374" width="6.42578125" customWidth="1"/>
    <col min="5375" max="5375" width="60.5703125" customWidth="1"/>
    <col min="5376" max="5376" width="10.42578125" customWidth="1"/>
    <col min="5377" max="5377" width="13.85546875" customWidth="1"/>
    <col min="5378" max="5378" width="13.5703125" customWidth="1"/>
    <col min="5379" max="5379" width="14.140625" customWidth="1"/>
    <col min="5380" max="5380" width="8.42578125" customWidth="1"/>
    <col min="5381" max="5381" width="11" customWidth="1"/>
    <col min="5630" max="5630" width="6.42578125" customWidth="1"/>
    <col min="5631" max="5631" width="60.5703125" customWidth="1"/>
    <col min="5632" max="5632" width="10.42578125" customWidth="1"/>
    <col min="5633" max="5633" width="13.85546875" customWidth="1"/>
    <col min="5634" max="5634" width="13.5703125" customWidth="1"/>
    <col min="5635" max="5635" width="14.140625" customWidth="1"/>
    <col min="5636" max="5636" width="8.42578125" customWidth="1"/>
    <col min="5637" max="5637" width="11" customWidth="1"/>
    <col min="5886" max="5886" width="6.42578125" customWidth="1"/>
    <col min="5887" max="5887" width="60.5703125" customWidth="1"/>
    <col min="5888" max="5888" width="10.42578125" customWidth="1"/>
    <col min="5889" max="5889" width="13.85546875" customWidth="1"/>
    <col min="5890" max="5890" width="13.5703125" customWidth="1"/>
    <col min="5891" max="5891" width="14.140625" customWidth="1"/>
    <col min="5892" max="5892" width="8.42578125" customWidth="1"/>
    <col min="5893" max="5893" width="11" customWidth="1"/>
    <col min="6142" max="6142" width="6.42578125" customWidth="1"/>
    <col min="6143" max="6143" width="60.5703125" customWidth="1"/>
    <col min="6144" max="6144" width="10.42578125" customWidth="1"/>
    <col min="6145" max="6145" width="13.85546875" customWidth="1"/>
    <col min="6146" max="6146" width="13.5703125" customWidth="1"/>
    <col min="6147" max="6147" width="14.140625" customWidth="1"/>
    <col min="6148" max="6148" width="8.42578125" customWidth="1"/>
    <col min="6149" max="6149" width="11" customWidth="1"/>
    <col min="6398" max="6398" width="6.42578125" customWidth="1"/>
    <col min="6399" max="6399" width="60.5703125" customWidth="1"/>
    <col min="6400" max="6400" width="10.42578125" customWidth="1"/>
    <col min="6401" max="6401" width="13.85546875" customWidth="1"/>
    <col min="6402" max="6402" width="13.5703125" customWidth="1"/>
    <col min="6403" max="6403" width="14.140625" customWidth="1"/>
    <col min="6404" max="6404" width="8.42578125" customWidth="1"/>
    <col min="6405" max="6405" width="11" customWidth="1"/>
    <col min="6654" max="6654" width="6.42578125" customWidth="1"/>
    <col min="6655" max="6655" width="60.5703125" customWidth="1"/>
    <col min="6656" max="6656" width="10.42578125" customWidth="1"/>
    <col min="6657" max="6657" width="13.85546875" customWidth="1"/>
    <col min="6658" max="6658" width="13.5703125" customWidth="1"/>
    <col min="6659" max="6659" width="14.140625" customWidth="1"/>
    <col min="6660" max="6660" width="8.42578125" customWidth="1"/>
    <col min="6661" max="6661" width="11" customWidth="1"/>
    <col min="6910" max="6910" width="6.42578125" customWidth="1"/>
    <col min="6911" max="6911" width="60.5703125" customWidth="1"/>
    <col min="6912" max="6912" width="10.42578125" customWidth="1"/>
    <col min="6913" max="6913" width="13.85546875" customWidth="1"/>
    <col min="6914" max="6914" width="13.5703125" customWidth="1"/>
    <col min="6915" max="6915" width="14.140625" customWidth="1"/>
    <col min="6916" max="6916" width="8.42578125" customWidth="1"/>
    <col min="6917" max="6917" width="11" customWidth="1"/>
    <col min="7166" max="7166" width="6.42578125" customWidth="1"/>
    <col min="7167" max="7167" width="60.5703125" customWidth="1"/>
    <col min="7168" max="7168" width="10.42578125" customWidth="1"/>
    <col min="7169" max="7169" width="13.85546875" customWidth="1"/>
    <col min="7170" max="7170" width="13.5703125" customWidth="1"/>
    <col min="7171" max="7171" width="14.140625" customWidth="1"/>
    <col min="7172" max="7172" width="8.42578125" customWidth="1"/>
    <col min="7173" max="7173" width="11" customWidth="1"/>
    <col min="7422" max="7422" width="6.42578125" customWidth="1"/>
    <col min="7423" max="7423" width="60.5703125" customWidth="1"/>
    <col min="7424" max="7424" width="10.42578125" customWidth="1"/>
    <col min="7425" max="7425" width="13.85546875" customWidth="1"/>
    <col min="7426" max="7426" width="13.5703125" customWidth="1"/>
    <col min="7427" max="7427" width="14.140625" customWidth="1"/>
    <col min="7428" max="7428" width="8.42578125" customWidth="1"/>
    <col min="7429" max="7429" width="11" customWidth="1"/>
    <col min="7678" max="7678" width="6.42578125" customWidth="1"/>
    <col min="7679" max="7679" width="60.5703125" customWidth="1"/>
    <col min="7680" max="7680" width="10.42578125" customWidth="1"/>
    <col min="7681" max="7681" width="13.85546875" customWidth="1"/>
    <col min="7682" max="7682" width="13.5703125" customWidth="1"/>
    <col min="7683" max="7683" width="14.140625" customWidth="1"/>
    <col min="7684" max="7684" width="8.42578125" customWidth="1"/>
    <col min="7685" max="7685" width="11" customWidth="1"/>
    <col min="7934" max="7934" width="6.42578125" customWidth="1"/>
    <col min="7935" max="7935" width="60.5703125" customWidth="1"/>
    <col min="7936" max="7936" width="10.42578125" customWidth="1"/>
    <col min="7937" max="7937" width="13.85546875" customWidth="1"/>
    <col min="7938" max="7938" width="13.5703125" customWidth="1"/>
    <col min="7939" max="7939" width="14.140625" customWidth="1"/>
    <col min="7940" max="7940" width="8.42578125" customWidth="1"/>
    <col min="7941" max="7941" width="11" customWidth="1"/>
    <col min="8190" max="8190" width="6.42578125" customWidth="1"/>
    <col min="8191" max="8191" width="60.5703125" customWidth="1"/>
    <col min="8192" max="8192" width="10.42578125" customWidth="1"/>
    <col min="8193" max="8193" width="13.85546875" customWidth="1"/>
    <col min="8194" max="8194" width="13.5703125" customWidth="1"/>
    <col min="8195" max="8195" width="14.140625" customWidth="1"/>
    <col min="8196" max="8196" width="8.42578125" customWidth="1"/>
    <col min="8197" max="8197" width="11" customWidth="1"/>
    <col min="8446" max="8446" width="6.42578125" customWidth="1"/>
    <col min="8447" max="8447" width="60.5703125" customWidth="1"/>
    <col min="8448" max="8448" width="10.42578125" customWidth="1"/>
    <col min="8449" max="8449" width="13.85546875" customWidth="1"/>
    <col min="8450" max="8450" width="13.5703125" customWidth="1"/>
    <col min="8451" max="8451" width="14.140625" customWidth="1"/>
    <col min="8452" max="8452" width="8.42578125" customWidth="1"/>
    <col min="8453" max="8453" width="11" customWidth="1"/>
    <col min="8702" max="8702" width="6.42578125" customWidth="1"/>
    <col min="8703" max="8703" width="60.5703125" customWidth="1"/>
    <col min="8704" max="8704" width="10.42578125" customWidth="1"/>
    <col min="8705" max="8705" width="13.85546875" customWidth="1"/>
    <col min="8706" max="8706" width="13.5703125" customWidth="1"/>
    <col min="8707" max="8707" width="14.140625" customWidth="1"/>
    <col min="8708" max="8708" width="8.42578125" customWidth="1"/>
    <col min="8709" max="8709" width="11" customWidth="1"/>
    <col min="8958" max="8958" width="6.42578125" customWidth="1"/>
    <col min="8959" max="8959" width="60.5703125" customWidth="1"/>
    <col min="8960" max="8960" width="10.42578125" customWidth="1"/>
    <col min="8961" max="8961" width="13.85546875" customWidth="1"/>
    <col min="8962" max="8962" width="13.5703125" customWidth="1"/>
    <col min="8963" max="8963" width="14.140625" customWidth="1"/>
    <col min="8964" max="8964" width="8.42578125" customWidth="1"/>
    <col min="8965" max="8965" width="11" customWidth="1"/>
    <col min="9214" max="9214" width="6.42578125" customWidth="1"/>
    <col min="9215" max="9215" width="60.5703125" customWidth="1"/>
    <col min="9216" max="9216" width="10.42578125" customWidth="1"/>
    <col min="9217" max="9217" width="13.85546875" customWidth="1"/>
    <col min="9218" max="9218" width="13.5703125" customWidth="1"/>
    <col min="9219" max="9219" width="14.140625" customWidth="1"/>
    <col min="9220" max="9220" width="8.42578125" customWidth="1"/>
    <col min="9221" max="9221" width="11" customWidth="1"/>
    <col min="9470" max="9470" width="6.42578125" customWidth="1"/>
    <col min="9471" max="9471" width="60.5703125" customWidth="1"/>
    <col min="9472" max="9472" width="10.42578125" customWidth="1"/>
    <col min="9473" max="9473" width="13.85546875" customWidth="1"/>
    <col min="9474" max="9474" width="13.5703125" customWidth="1"/>
    <col min="9475" max="9475" width="14.140625" customWidth="1"/>
    <col min="9476" max="9476" width="8.42578125" customWidth="1"/>
    <col min="9477" max="9477" width="11" customWidth="1"/>
    <col min="9726" max="9726" width="6.42578125" customWidth="1"/>
    <col min="9727" max="9727" width="60.5703125" customWidth="1"/>
    <col min="9728" max="9728" width="10.42578125" customWidth="1"/>
    <col min="9729" max="9729" width="13.85546875" customWidth="1"/>
    <col min="9730" max="9730" width="13.5703125" customWidth="1"/>
    <col min="9731" max="9731" width="14.140625" customWidth="1"/>
    <col min="9732" max="9732" width="8.42578125" customWidth="1"/>
    <col min="9733" max="9733" width="11" customWidth="1"/>
    <col min="9982" max="9982" width="6.42578125" customWidth="1"/>
    <col min="9983" max="9983" width="60.5703125" customWidth="1"/>
    <col min="9984" max="9984" width="10.42578125" customWidth="1"/>
    <col min="9985" max="9985" width="13.85546875" customWidth="1"/>
    <col min="9986" max="9986" width="13.5703125" customWidth="1"/>
    <col min="9987" max="9987" width="14.140625" customWidth="1"/>
    <col min="9988" max="9988" width="8.42578125" customWidth="1"/>
    <col min="9989" max="9989" width="11" customWidth="1"/>
    <col min="10238" max="10238" width="6.42578125" customWidth="1"/>
    <col min="10239" max="10239" width="60.5703125" customWidth="1"/>
    <col min="10240" max="10240" width="10.42578125" customWidth="1"/>
    <col min="10241" max="10241" width="13.85546875" customWidth="1"/>
    <col min="10242" max="10242" width="13.5703125" customWidth="1"/>
    <col min="10243" max="10243" width="14.140625" customWidth="1"/>
    <col min="10244" max="10244" width="8.42578125" customWidth="1"/>
    <col min="10245" max="10245" width="11" customWidth="1"/>
    <col min="10494" max="10494" width="6.42578125" customWidth="1"/>
    <col min="10495" max="10495" width="60.5703125" customWidth="1"/>
    <col min="10496" max="10496" width="10.42578125" customWidth="1"/>
    <col min="10497" max="10497" width="13.85546875" customWidth="1"/>
    <col min="10498" max="10498" width="13.5703125" customWidth="1"/>
    <col min="10499" max="10499" width="14.140625" customWidth="1"/>
    <col min="10500" max="10500" width="8.42578125" customWidth="1"/>
    <col min="10501" max="10501" width="11" customWidth="1"/>
    <col min="10750" max="10750" width="6.42578125" customWidth="1"/>
    <col min="10751" max="10751" width="60.5703125" customWidth="1"/>
    <col min="10752" max="10752" width="10.42578125" customWidth="1"/>
    <col min="10753" max="10753" width="13.85546875" customWidth="1"/>
    <col min="10754" max="10754" width="13.5703125" customWidth="1"/>
    <col min="10755" max="10755" width="14.140625" customWidth="1"/>
    <col min="10756" max="10756" width="8.42578125" customWidth="1"/>
    <col min="10757" max="10757" width="11" customWidth="1"/>
    <col min="11006" max="11006" width="6.42578125" customWidth="1"/>
    <col min="11007" max="11007" width="60.5703125" customWidth="1"/>
    <col min="11008" max="11008" width="10.42578125" customWidth="1"/>
    <col min="11009" max="11009" width="13.85546875" customWidth="1"/>
    <col min="11010" max="11010" width="13.5703125" customWidth="1"/>
    <col min="11011" max="11011" width="14.140625" customWidth="1"/>
    <col min="11012" max="11012" width="8.42578125" customWidth="1"/>
    <col min="11013" max="11013" width="11" customWidth="1"/>
    <col min="11262" max="11262" width="6.42578125" customWidth="1"/>
    <col min="11263" max="11263" width="60.5703125" customWidth="1"/>
    <col min="11264" max="11264" width="10.42578125" customWidth="1"/>
    <col min="11265" max="11265" width="13.85546875" customWidth="1"/>
    <col min="11266" max="11266" width="13.5703125" customWidth="1"/>
    <col min="11267" max="11267" width="14.140625" customWidth="1"/>
    <col min="11268" max="11268" width="8.42578125" customWidth="1"/>
    <col min="11269" max="11269" width="11" customWidth="1"/>
    <col min="11518" max="11518" width="6.42578125" customWidth="1"/>
    <col min="11519" max="11519" width="60.5703125" customWidth="1"/>
    <col min="11520" max="11520" width="10.42578125" customWidth="1"/>
    <col min="11521" max="11521" width="13.85546875" customWidth="1"/>
    <col min="11522" max="11522" width="13.5703125" customWidth="1"/>
    <col min="11523" max="11523" width="14.140625" customWidth="1"/>
    <col min="11524" max="11524" width="8.42578125" customWidth="1"/>
    <col min="11525" max="11525" width="11" customWidth="1"/>
    <col min="11774" max="11774" width="6.42578125" customWidth="1"/>
    <col min="11775" max="11775" width="60.5703125" customWidth="1"/>
    <col min="11776" max="11776" width="10.42578125" customWidth="1"/>
    <col min="11777" max="11777" width="13.85546875" customWidth="1"/>
    <col min="11778" max="11778" width="13.5703125" customWidth="1"/>
    <col min="11779" max="11779" width="14.140625" customWidth="1"/>
    <col min="11780" max="11780" width="8.42578125" customWidth="1"/>
    <col min="11781" max="11781" width="11" customWidth="1"/>
    <col min="12030" max="12030" width="6.42578125" customWidth="1"/>
    <col min="12031" max="12031" width="60.5703125" customWidth="1"/>
    <col min="12032" max="12032" width="10.42578125" customWidth="1"/>
    <col min="12033" max="12033" width="13.85546875" customWidth="1"/>
    <col min="12034" max="12034" width="13.5703125" customWidth="1"/>
    <col min="12035" max="12035" width="14.140625" customWidth="1"/>
    <col min="12036" max="12036" width="8.42578125" customWidth="1"/>
    <col min="12037" max="12037" width="11" customWidth="1"/>
    <col min="12286" max="12286" width="6.42578125" customWidth="1"/>
    <col min="12287" max="12287" width="60.5703125" customWidth="1"/>
    <col min="12288" max="12288" width="10.42578125" customWidth="1"/>
    <col min="12289" max="12289" width="13.85546875" customWidth="1"/>
    <col min="12290" max="12290" width="13.5703125" customWidth="1"/>
    <col min="12291" max="12291" width="14.140625" customWidth="1"/>
    <col min="12292" max="12292" width="8.42578125" customWidth="1"/>
    <col min="12293" max="12293" width="11" customWidth="1"/>
    <col min="12542" max="12542" width="6.42578125" customWidth="1"/>
    <col min="12543" max="12543" width="60.5703125" customWidth="1"/>
    <col min="12544" max="12544" width="10.42578125" customWidth="1"/>
    <col min="12545" max="12545" width="13.85546875" customWidth="1"/>
    <col min="12546" max="12546" width="13.5703125" customWidth="1"/>
    <col min="12547" max="12547" width="14.140625" customWidth="1"/>
    <col min="12548" max="12548" width="8.42578125" customWidth="1"/>
    <col min="12549" max="12549" width="11" customWidth="1"/>
    <col min="12798" max="12798" width="6.42578125" customWidth="1"/>
    <col min="12799" max="12799" width="60.5703125" customWidth="1"/>
    <col min="12800" max="12800" width="10.42578125" customWidth="1"/>
    <col min="12801" max="12801" width="13.85546875" customWidth="1"/>
    <col min="12802" max="12802" width="13.5703125" customWidth="1"/>
    <col min="12803" max="12803" width="14.140625" customWidth="1"/>
    <col min="12804" max="12804" width="8.42578125" customWidth="1"/>
    <col min="12805" max="12805" width="11" customWidth="1"/>
    <col min="13054" max="13054" width="6.42578125" customWidth="1"/>
    <col min="13055" max="13055" width="60.5703125" customWidth="1"/>
    <col min="13056" max="13056" width="10.42578125" customWidth="1"/>
    <col min="13057" max="13057" width="13.85546875" customWidth="1"/>
    <col min="13058" max="13058" width="13.5703125" customWidth="1"/>
    <col min="13059" max="13059" width="14.140625" customWidth="1"/>
    <col min="13060" max="13060" width="8.42578125" customWidth="1"/>
    <col min="13061" max="13061" width="11" customWidth="1"/>
    <col min="13310" max="13310" width="6.42578125" customWidth="1"/>
    <col min="13311" max="13311" width="60.5703125" customWidth="1"/>
    <col min="13312" max="13312" width="10.42578125" customWidth="1"/>
    <col min="13313" max="13313" width="13.85546875" customWidth="1"/>
    <col min="13314" max="13314" width="13.5703125" customWidth="1"/>
    <col min="13315" max="13315" width="14.140625" customWidth="1"/>
    <col min="13316" max="13316" width="8.42578125" customWidth="1"/>
    <col min="13317" max="13317" width="11" customWidth="1"/>
    <col min="13566" max="13566" width="6.42578125" customWidth="1"/>
    <col min="13567" max="13567" width="60.5703125" customWidth="1"/>
    <col min="13568" max="13568" width="10.42578125" customWidth="1"/>
    <col min="13569" max="13569" width="13.85546875" customWidth="1"/>
    <col min="13570" max="13570" width="13.5703125" customWidth="1"/>
    <col min="13571" max="13571" width="14.140625" customWidth="1"/>
    <col min="13572" max="13572" width="8.42578125" customWidth="1"/>
    <col min="13573" max="13573" width="11" customWidth="1"/>
    <col min="13822" max="13822" width="6.42578125" customWidth="1"/>
    <col min="13823" max="13823" width="60.5703125" customWidth="1"/>
    <col min="13824" max="13824" width="10.42578125" customWidth="1"/>
    <col min="13825" max="13825" width="13.85546875" customWidth="1"/>
    <col min="13826" max="13826" width="13.5703125" customWidth="1"/>
    <col min="13827" max="13827" width="14.140625" customWidth="1"/>
    <col min="13828" max="13828" width="8.42578125" customWidth="1"/>
    <col min="13829" max="13829" width="11" customWidth="1"/>
    <col min="14078" max="14078" width="6.42578125" customWidth="1"/>
    <col min="14079" max="14079" width="60.5703125" customWidth="1"/>
    <col min="14080" max="14080" width="10.42578125" customWidth="1"/>
    <col min="14081" max="14081" width="13.85546875" customWidth="1"/>
    <col min="14082" max="14082" width="13.5703125" customWidth="1"/>
    <col min="14083" max="14083" width="14.140625" customWidth="1"/>
    <col min="14084" max="14084" width="8.42578125" customWidth="1"/>
    <col min="14085" max="14085" width="11" customWidth="1"/>
    <col min="14334" max="14334" width="6.42578125" customWidth="1"/>
    <col min="14335" max="14335" width="60.5703125" customWidth="1"/>
    <col min="14336" max="14336" width="10.42578125" customWidth="1"/>
    <col min="14337" max="14337" width="13.85546875" customWidth="1"/>
    <col min="14338" max="14338" width="13.5703125" customWidth="1"/>
    <col min="14339" max="14339" width="14.140625" customWidth="1"/>
    <col min="14340" max="14340" width="8.42578125" customWidth="1"/>
    <col min="14341" max="14341" width="11" customWidth="1"/>
    <col min="14590" max="14590" width="6.42578125" customWidth="1"/>
    <col min="14591" max="14591" width="60.5703125" customWidth="1"/>
    <col min="14592" max="14592" width="10.42578125" customWidth="1"/>
    <col min="14593" max="14593" width="13.85546875" customWidth="1"/>
    <col min="14594" max="14594" width="13.5703125" customWidth="1"/>
    <col min="14595" max="14595" width="14.140625" customWidth="1"/>
    <col min="14596" max="14596" width="8.42578125" customWidth="1"/>
    <col min="14597" max="14597" width="11" customWidth="1"/>
    <col min="14846" max="14846" width="6.42578125" customWidth="1"/>
    <col min="14847" max="14847" width="60.5703125" customWidth="1"/>
    <col min="14848" max="14848" width="10.42578125" customWidth="1"/>
    <col min="14849" max="14849" width="13.85546875" customWidth="1"/>
    <col min="14850" max="14850" width="13.5703125" customWidth="1"/>
    <col min="14851" max="14851" width="14.140625" customWidth="1"/>
    <col min="14852" max="14852" width="8.42578125" customWidth="1"/>
    <col min="14853" max="14853" width="11" customWidth="1"/>
    <col min="15102" max="15102" width="6.42578125" customWidth="1"/>
    <col min="15103" max="15103" width="60.5703125" customWidth="1"/>
    <col min="15104" max="15104" width="10.42578125" customWidth="1"/>
    <col min="15105" max="15105" width="13.85546875" customWidth="1"/>
    <col min="15106" max="15106" width="13.5703125" customWidth="1"/>
    <col min="15107" max="15107" width="14.140625" customWidth="1"/>
    <col min="15108" max="15108" width="8.42578125" customWidth="1"/>
    <col min="15109" max="15109" width="11" customWidth="1"/>
    <col min="15358" max="15358" width="6.42578125" customWidth="1"/>
    <col min="15359" max="15359" width="60.5703125" customWidth="1"/>
    <col min="15360" max="15360" width="10.42578125" customWidth="1"/>
    <col min="15361" max="15361" width="13.85546875" customWidth="1"/>
    <col min="15362" max="15362" width="13.5703125" customWidth="1"/>
    <col min="15363" max="15363" width="14.140625" customWidth="1"/>
    <col min="15364" max="15364" width="8.42578125" customWidth="1"/>
    <col min="15365" max="15365" width="11" customWidth="1"/>
    <col min="15614" max="15614" width="6.42578125" customWidth="1"/>
    <col min="15615" max="15615" width="60.5703125" customWidth="1"/>
    <col min="15616" max="15616" width="10.42578125" customWidth="1"/>
    <col min="15617" max="15617" width="13.85546875" customWidth="1"/>
    <col min="15618" max="15618" width="13.5703125" customWidth="1"/>
    <col min="15619" max="15619" width="14.140625" customWidth="1"/>
    <col min="15620" max="15620" width="8.42578125" customWidth="1"/>
    <col min="15621" max="15621" width="11" customWidth="1"/>
    <col min="15870" max="15870" width="6.42578125" customWidth="1"/>
    <col min="15871" max="15871" width="60.5703125" customWidth="1"/>
    <col min="15872" max="15872" width="10.42578125" customWidth="1"/>
    <col min="15873" max="15873" width="13.85546875" customWidth="1"/>
    <col min="15874" max="15874" width="13.5703125" customWidth="1"/>
    <col min="15875" max="15875" width="14.140625" customWidth="1"/>
    <col min="15876" max="15876" width="8.42578125" customWidth="1"/>
    <col min="15877" max="15877" width="11" customWidth="1"/>
    <col min="16126" max="16126" width="6.42578125" customWidth="1"/>
    <col min="16127" max="16127" width="60.5703125" customWidth="1"/>
    <col min="16128" max="16128" width="10.42578125" customWidth="1"/>
    <col min="16129" max="16129" width="13.85546875" customWidth="1"/>
    <col min="16130" max="16130" width="13.5703125" customWidth="1"/>
    <col min="16131" max="16131" width="14.140625" customWidth="1"/>
    <col min="16132" max="16132" width="8.42578125" customWidth="1"/>
    <col min="16133" max="16133" width="11" customWidth="1"/>
  </cols>
  <sheetData>
    <row r="1" spans="1:15" ht="16.5" thickBot="1">
      <c r="A1" s="4792" t="str">
        <f>+'1. Обща информация'!B40</f>
        <v>Фиксиран курс на лева към 1 евро</v>
      </c>
      <c r="B1" s="4792"/>
      <c r="C1" s="4793">
        <f>+'1. Обща информация'!$C$40</f>
        <v>1.95583</v>
      </c>
      <c r="D1" s="4793"/>
      <c r="H1" s="3129" t="s">
        <v>552</v>
      </c>
    </row>
    <row r="2" spans="1:15" s="4" customFormat="1" ht="18.75">
      <c r="A2" s="5341" t="s">
        <v>1489</v>
      </c>
      <c r="B2" s="5341"/>
      <c r="C2" s="5341"/>
      <c r="D2" s="5341"/>
      <c r="E2" s="5341"/>
      <c r="F2" s="5341"/>
      <c r="G2" s="5341"/>
      <c r="H2" s="5341"/>
    </row>
    <row r="3" spans="1:15" ht="18.75">
      <c r="A3" s="5341" t="s">
        <v>1011</v>
      </c>
      <c r="B3" s="5341"/>
      <c r="C3" s="5341"/>
      <c r="D3" s="5341"/>
      <c r="E3" s="5341"/>
      <c r="F3" s="5341"/>
      <c r="G3" s="5341"/>
      <c r="H3" s="5341"/>
    </row>
    <row r="4" spans="1:15" ht="16.5" customHeight="1">
      <c r="A4" s="5350" t="str">
        <f>'1. Обща информация'!A4:D4</f>
        <v>на ВОДОСНАБДЯВАНЕ И КАНАЛИЗАЦИЯ ЕООД, гр. ХАСКОВО</v>
      </c>
      <c r="B4" s="5350"/>
      <c r="C4" s="5350"/>
      <c r="D4" s="5350"/>
      <c r="E4" s="5350"/>
      <c r="F4" s="5350"/>
      <c r="G4" s="5350"/>
      <c r="H4" s="5350"/>
    </row>
    <row r="5" spans="1:15" ht="15.75" customHeight="1">
      <c r="A5" s="5350" t="str">
        <f>'1. Обща информация'!A5:D5</f>
        <v>ЕИК по БУЛСТАТ: 126004284</v>
      </c>
      <c r="B5" s="5350"/>
      <c r="C5" s="5350"/>
      <c r="D5" s="5350"/>
      <c r="E5" s="5350"/>
      <c r="F5" s="5350"/>
      <c r="G5" s="5350"/>
      <c r="H5" s="5350"/>
    </row>
    <row r="6" spans="1:15" ht="13.5" customHeight="1" thickBot="1">
      <c r="A6" s="3240"/>
      <c r="B6" s="3240"/>
      <c r="C6" s="3240"/>
      <c r="D6" s="3241"/>
      <c r="E6" s="3241"/>
      <c r="F6" s="3241"/>
      <c r="G6" s="3241"/>
      <c r="H6" s="3241"/>
    </row>
    <row r="7" spans="1:15" ht="13.5" customHeight="1" thickBot="1">
      <c r="A7" s="5344" t="s">
        <v>1</v>
      </c>
      <c r="B7" s="5346" t="s">
        <v>293</v>
      </c>
      <c r="C7" s="5348" t="s">
        <v>166</v>
      </c>
      <c r="D7" s="5342" t="s">
        <v>210</v>
      </c>
      <c r="E7" s="5342"/>
      <c r="F7" s="5342"/>
      <c r="G7" s="5342"/>
      <c r="H7" s="5343"/>
      <c r="I7" s="4422"/>
      <c r="J7" s="5369" t="s">
        <v>166</v>
      </c>
      <c r="K7" s="5370" t="s">
        <v>210</v>
      </c>
      <c r="L7" s="5370"/>
      <c r="M7" s="5370"/>
      <c r="N7" s="5370"/>
      <c r="O7" s="5370"/>
    </row>
    <row r="8" spans="1:15" ht="13.5" thickBot="1">
      <c r="A8" s="5345"/>
      <c r="B8" s="5347"/>
      <c r="C8" s="5349"/>
      <c r="D8" s="635" t="str">
        <f>'Приложение '!$C14</f>
        <v>2027 г.</v>
      </c>
      <c r="E8" s="254" t="str">
        <f>'Приложение '!$C15</f>
        <v>2028 г.</v>
      </c>
      <c r="F8" s="254" t="str">
        <f>'Приложение '!$C16</f>
        <v>2029 г.</v>
      </c>
      <c r="G8" s="254" t="str">
        <f>'Приложение '!$C17</f>
        <v>2030 г.</v>
      </c>
      <c r="H8" s="255" t="str">
        <f>'Приложение '!$C18</f>
        <v>2031 г.</v>
      </c>
      <c r="I8" s="4422"/>
      <c r="J8" s="5369"/>
      <c r="K8" s="4487" t="str">
        <f>'Приложение '!$C14</f>
        <v>2027 г.</v>
      </c>
      <c r="L8" s="4487" t="str">
        <f>'Приложение '!$C15</f>
        <v>2028 г.</v>
      </c>
      <c r="M8" s="4487" t="str">
        <f>'Приложение '!$C16</f>
        <v>2029 г.</v>
      </c>
      <c r="N8" s="4487" t="str">
        <f>'Приложение '!$C17</f>
        <v>2030 г.</v>
      </c>
      <c r="O8" s="4487" t="str">
        <f>'Приложение '!$C18</f>
        <v>2031 г.</v>
      </c>
    </row>
    <row r="9" spans="1:15" ht="15" customHeight="1" thickBot="1">
      <c r="A9" s="3242">
        <v>1</v>
      </c>
      <c r="B9" s="3243" t="s">
        <v>294</v>
      </c>
      <c r="C9" s="3244" t="s">
        <v>295</v>
      </c>
      <c r="D9" s="3245">
        <f>'19. HB'!D17</f>
        <v>1742.5484647694782</v>
      </c>
      <c r="E9" s="3246">
        <f>'19. HB'!E17</f>
        <v>2428.5584904057778</v>
      </c>
      <c r="F9" s="3246">
        <f>'19. HB'!F17</f>
        <v>3093.8488640545456</v>
      </c>
      <c r="G9" s="3246">
        <f>'19. HB'!G17</f>
        <v>3135.6663743007402</v>
      </c>
      <c r="H9" s="3247">
        <f>'19. HB'!H17</f>
        <v>3150.4433132735612</v>
      </c>
      <c r="I9" s="4422"/>
      <c r="J9" s="4486" t="s">
        <v>1897</v>
      </c>
      <c r="K9" s="4427">
        <f>IFERROR(D9/$C$1,0)</f>
        <v>890.95088262756894</v>
      </c>
      <c r="L9" s="4427">
        <f t="shared" ref="L9:O9" si="0">IFERROR(E9/$C$1,0)</f>
        <v>1241.7022391546186</v>
      </c>
      <c r="M9" s="4427">
        <f t="shared" si="0"/>
        <v>1581.8598058392322</v>
      </c>
      <c r="N9" s="4427">
        <f t="shared" si="0"/>
        <v>1603.2407593199514</v>
      </c>
      <c r="O9" s="4427">
        <f t="shared" si="0"/>
        <v>1610.7960882456866</v>
      </c>
    </row>
    <row r="10" spans="1:15" ht="15" customHeight="1" thickBot="1">
      <c r="A10" s="3248">
        <v>2</v>
      </c>
      <c r="B10" s="3249" t="s">
        <v>296</v>
      </c>
      <c r="C10" s="3250" t="s">
        <v>295</v>
      </c>
      <c r="D10" s="3251">
        <f>'12. Разходи'!D88</f>
        <v>32763.131343861791</v>
      </c>
      <c r="E10" s="3252">
        <f>'12. Разходи'!E88</f>
        <v>34951.82001848756</v>
      </c>
      <c r="F10" s="3252">
        <f>'12. Разходи'!F88</f>
        <v>37453.784029888542</v>
      </c>
      <c r="G10" s="3252">
        <f>'12. Разходи'!G88</f>
        <v>41202.112084410401</v>
      </c>
      <c r="H10" s="3253">
        <f>'12. Разходи'!H88</f>
        <v>43992.587256167397</v>
      </c>
      <c r="I10" s="4422"/>
      <c r="J10" s="4486" t="s">
        <v>1897</v>
      </c>
      <c r="K10" s="4427">
        <f t="shared" ref="K10:K11" si="1">IFERROR(D10/$C$1,0)</f>
        <v>16751.523058681883</v>
      </c>
      <c r="L10" s="4427">
        <f t="shared" ref="L10:L11" si="2">IFERROR(E10/$C$1,0)</f>
        <v>17870.581808484152</v>
      </c>
      <c r="M10" s="4427">
        <f t="shared" ref="M10:M11" si="3">IFERROR(F10/$C$1,0)</f>
        <v>19149.815694558598</v>
      </c>
      <c r="N10" s="4427">
        <f t="shared" ref="N10:N11" si="4">IFERROR(G10/$C$1,0)</f>
        <v>21066.305396895641</v>
      </c>
      <c r="O10" s="4427">
        <f t="shared" ref="O10:O11" si="5">IFERROR(H10/$C$1,0)</f>
        <v>22493.052696894618</v>
      </c>
    </row>
    <row r="11" spans="1:15" ht="15" customHeight="1" thickBot="1">
      <c r="A11" s="3248">
        <v>3</v>
      </c>
      <c r="B11" s="3249" t="s">
        <v>297</v>
      </c>
      <c r="C11" s="3250" t="s">
        <v>295</v>
      </c>
      <c r="D11" s="3254">
        <f t="shared" ref="D11:H11" si="6">D9+D10</f>
        <v>34505.67980863127</v>
      </c>
      <c r="E11" s="1422">
        <f t="shared" si="6"/>
        <v>37380.378508893336</v>
      </c>
      <c r="F11" s="1422">
        <f t="shared" si="6"/>
        <v>40547.63289394309</v>
      </c>
      <c r="G11" s="1422">
        <f t="shared" si="6"/>
        <v>44337.778458711138</v>
      </c>
      <c r="H11" s="1423">
        <f t="shared" si="6"/>
        <v>47143.030569440962</v>
      </c>
      <c r="I11" s="4422"/>
      <c r="J11" s="4486" t="s">
        <v>1897</v>
      </c>
      <c r="K11" s="4427">
        <f t="shared" si="1"/>
        <v>17642.473941309454</v>
      </c>
      <c r="L11" s="4427">
        <f t="shared" si="2"/>
        <v>19112.284047638772</v>
      </c>
      <c r="M11" s="4427">
        <f t="shared" si="3"/>
        <v>20731.675500397832</v>
      </c>
      <c r="N11" s="4427">
        <f t="shared" si="4"/>
        <v>22669.546156215591</v>
      </c>
      <c r="O11" s="4427">
        <f t="shared" si="5"/>
        <v>24103.848785140304</v>
      </c>
    </row>
    <row r="12" spans="1:15" ht="15" customHeight="1" thickBot="1">
      <c r="A12" s="124">
        <v>4</v>
      </c>
      <c r="B12" s="3249" t="s">
        <v>340</v>
      </c>
      <c r="C12" s="3255" t="s">
        <v>920</v>
      </c>
      <c r="D12" s="3254">
        <f>('4. Отчет и прогн. потребление'!E9-'4. Отчет и прогн. потребление'!E43)/1000</f>
        <v>7626.6446400000004</v>
      </c>
      <c r="E12" s="1422">
        <f>('4. Отчет и прогн. потребление'!F9-'4. Отчет и прогн. потребление'!F43)/1000</f>
        <v>7672.8261576000041</v>
      </c>
      <c r="F12" s="1422">
        <f>('4. Отчет и прогн. потребление'!G9-'4. Отчет и прогн. потребление'!G43)/1000</f>
        <v>7587.4083437360005</v>
      </c>
      <c r="G12" s="1422">
        <f>('4. Отчет и прогн. потребление'!H9-'4. Отчет и прогн. потребление'!H43)/1000</f>
        <v>7737.442645710923</v>
      </c>
      <c r="H12" s="1423">
        <f>('4. Отчет и прогн. потребление'!I9-'4. Отчет и прогн. потребление'!I43)/1000</f>
        <v>8199.585508851389</v>
      </c>
      <c r="I12" s="4422"/>
      <c r="J12" s="4488"/>
      <c r="K12" s="4489"/>
      <c r="L12" s="4489"/>
      <c r="M12" s="4489"/>
      <c r="N12" s="4489"/>
      <c r="O12" s="4489"/>
    </row>
    <row r="13" spans="1:15" ht="15" customHeight="1" thickBot="1">
      <c r="A13" s="5344" t="s">
        <v>1</v>
      </c>
      <c r="B13" s="5346" t="s">
        <v>293</v>
      </c>
      <c r="C13" s="5351" t="s">
        <v>166</v>
      </c>
      <c r="D13" s="5368" t="s">
        <v>174</v>
      </c>
      <c r="E13" s="5342"/>
      <c r="F13" s="5342"/>
      <c r="G13" s="5342"/>
      <c r="H13" s="5343"/>
      <c r="I13" s="4422"/>
      <c r="J13" s="5369" t="s">
        <v>166</v>
      </c>
      <c r="K13" s="5370" t="s">
        <v>174</v>
      </c>
      <c r="L13" s="5370"/>
      <c r="M13" s="5370"/>
      <c r="N13" s="5370"/>
      <c r="O13" s="5370"/>
    </row>
    <row r="14" spans="1:15" ht="15" customHeight="1" thickBot="1">
      <c r="A14" s="5345"/>
      <c r="B14" s="5347"/>
      <c r="C14" s="5352"/>
      <c r="D14" s="256" t="str">
        <f t="shared" ref="D14:H14" si="7">D8</f>
        <v>2027 г.</v>
      </c>
      <c r="E14" s="254" t="str">
        <f t="shared" si="7"/>
        <v>2028 г.</v>
      </c>
      <c r="F14" s="254" t="str">
        <f t="shared" si="7"/>
        <v>2029 г.</v>
      </c>
      <c r="G14" s="254" t="str">
        <f t="shared" si="7"/>
        <v>2030 г.</v>
      </c>
      <c r="H14" s="255" t="str">
        <f t="shared" si="7"/>
        <v>2031 г.</v>
      </c>
      <c r="I14" s="4422"/>
      <c r="J14" s="5369"/>
      <c r="K14" s="4487" t="str">
        <f t="shared" ref="K14:O14" si="8">K8</f>
        <v>2027 г.</v>
      </c>
      <c r="L14" s="4487" t="str">
        <f t="shared" si="8"/>
        <v>2028 г.</v>
      </c>
      <c r="M14" s="4487" t="str">
        <f t="shared" si="8"/>
        <v>2029 г.</v>
      </c>
      <c r="N14" s="4487" t="str">
        <f t="shared" si="8"/>
        <v>2030 г.</v>
      </c>
      <c r="O14" s="4487" t="str">
        <f t="shared" si="8"/>
        <v>2031 г.</v>
      </c>
    </row>
    <row r="15" spans="1:15" ht="15" customHeight="1" thickBot="1">
      <c r="A15" s="3242">
        <v>1</v>
      </c>
      <c r="B15" s="3243" t="s">
        <v>294</v>
      </c>
      <c r="C15" s="3244" t="s">
        <v>295</v>
      </c>
      <c r="D15" s="3246">
        <f>'19. HB'!D18</f>
        <v>205.84973361745818</v>
      </c>
      <c r="E15" s="3256">
        <f>'19. HB'!E18</f>
        <v>388.02715288311822</v>
      </c>
      <c r="F15" s="3256">
        <f>'19. HB'!F18</f>
        <v>552.6018346751938</v>
      </c>
      <c r="G15" s="3256">
        <f>'19. HB'!G18</f>
        <v>570.03423684197503</v>
      </c>
      <c r="H15" s="3257">
        <f>'19. HB'!H18</f>
        <v>585.91937601983022</v>
      </c>
      <c r="I15" s="4422"/>
      <c r="J15" s="4486" t="s">
        <v>1897</v>
      </c>
      <c r="K15" s="4427">
        <f t="shared" ref="K15:K17" si="9">IFERROR(D15/$C$1,0)</f>
        <v>105.24929754501065</v>
      </c>
      <c r="L15" s="4427">
        <f t="shared" ref="L15:L17" si="10">IFERROR(E15/$C$1,0)</f>
        <v>198.39513295282219</v>
      </c>
      <c r="M15" s="4427">
        <f t="shared" ref="M15:M17" si="11">IFERROR(F15/$C$1,0)</f>
        <v>282.54083160356157</v>
      </c>
      <c r="N15" s="4427">
        <f t="shared" ref="N15:N17" si="12">IFERROR(G15/$C$1,0)</f>
        <v>291.45387730118415</v>
      </c>
      <c r="O15" s="4427">
        <f t="shared" ref="O15:O17" si="13">IFERROR(H15/$C$1,0)</f>
        <v>299.57581999449349</v>
      </c>
    </row>
    <row r="16" spans="1:15" ht="15" customHeight="1" thickBot="1">
      <c r="A16" s="3248">
        <v>2</v>
      </c>
      <c r="B16" s="3249" t="s">
        <v>296</v>
      </c>
      <c r="C16" s="3250" t="s">
        <v>295</v>
      </c>
      <c r="D16" s="3252">
        <f>'12. Разходи'!L88</f>
        <v>1873.6067235476689</v>
      </c>
      <c r="E16" s="3252">
        <f>'12. Разходи'!M88</f>
        <v>1996.8769978283422</v>
      </c>
      <c r="F16" s="3252">
        <f>'12. Разходи'!N88</f>
        <v>1899.0247682739155</v>
      </c>
      <c r="G16" s="3252">
        <f>'12. Разходи'!O88</f>
        <v>2158.614984462823</v>
      </c>
      <c r="H16" s="3253">
        <f>'12. Разходи'!P88</f>
        <v>2274.283059308269</v>
      </c>
      <c r="I16" s="4422"/>
      <c r="J16" s="4486" t="s">
        <v>1897</v>
      </c>
      <c r="K16" s="4427">
        <f t="shared" si="9"/>
        <v>957.95990630457095</v>
      </c>
      <c r="L16" s="4427">
        <f t="shared" si="10"/>
        <v>1020.9869967371102</v>
      </c>
      <c r="M16" s="4427">
        <f t="shared" si="11"/>
        <v>970.95594620898316</v>
      </c>
      <c r="N16" s="4427">
        <f t="shared" si="12"/>
        <v>1103.6823161843427</v>
      </c>
      <c r="O16" s="4427">
        <f t="shared" si="13"/>
        <v>1162.8224637664159</v>
      </c>
    </row>
    <row r="17" spans="1:15" ht="15" customHeight="1" thickBot="1">
      <c r="A17" s="3248">
        <v>3</v>
      </c>
      <c r="B17" s="3249" t="s">
        <v>297</v>
      </c>
      <c r="C17" s="3250" t="s">
        <v>295</v>
      </c>
      <c r="D17" s="3254">
        <f t="shared" ref="D17:H17" si="14">D15+D16</f>
        <v>2079.4564571651272</v>
      </c>
      <c r="E17" s="1422">
        <f t="shared" si="14"/>
        <v>2384.9041507114603</v>
      </c>
      <c r="F17" s="1422">
        <f t="shared" si="14"/>
        <v>2451.6266029491094</v>
      </c>
      <c r="G17" s="1422">
        <f t="shared" si="14"/>
        <v>2728.6492213047982</v>
      </c>
      <c r="H17" s="1423">
        <f t="shared" si="14"/>
        <v>2860.2024353280995</v>
      </c>
      <c r="I17" s="4422"/>
      <c r="J17" s="4486" t="s">
        <v>1897</v>
      </c>
      <c r="K17" s="4427">
        <f t="shared" si="9"/>
        <v>1063.2092038495816</v>
      </c>
      <c r="L17" s="4427">
        <f t="shared" si="10"/>
        <v>1219.3821296899323</v>
      </c>
      <c r="M17" s="4427">
        <f t="shared" si="11"/>
        <v>1253.4967778125447</v>
      </c>
      <c r="N17" s="4427">
        <f t="shared" si="12"/>
        <v>1395.136193485527</v>
      </c>
      <c r="O17" s="4427">
        <f t="shared" si="13"/>
        <v>1462.3982837609094</v>
      </c>
    </row>
    <row r="18" spans="1:15" ht="15" customHeight="1">
      <c r="A18" s="103">
        <v>4</v>
      </c>
      <c r="B18" s="3249" t="s">
        <v>298</v>
      </c>
      <c r="C18" s="3258" t="s">
        <v>920</v>
      </c>
      <c r="D18" s="3259">
        <f>D19+D20</f>
        <v>5761.1480000000001</v>
      </c>
      <c r="E18" s="3260">
        <f>E19+E20</f>
        <v>5702.5444887824824</v>
      </c>
      <c r="F18" s="3260">
        <f>F19+F20</f>
        <v>5643.9404462371531</v>
      </c>
      <c r="G18" s="3260">
        <f>G19+G20</f>
        <v>5585.3364036918265</v>
      </c>
      <c r="H18" s="3261">
        <f>H19+H20</f>
        <v>5534.4333120866613</v>
      </c>
      <c r="I18" s="4422"/>
      <c r="J18" s="4490"/>
      <c r="K18" s="4491"/>
      <c r="L18" s="4491"/>
      <c r="M18" s="4491"/>
      <c r="N18" s="4491"/>
      <c r="O18" s="4491"/>
    </row>
    <row r="19" spans="1:15" ht="15" customHeight="1">
      <c r="A19" s="104" t="s">
        <v>101</v>
      </c>
      <c r="B19" s="3262" t="s">
        <v>299</v>
      </c>
      <c r="C19" s="3258" t="s">
        <v>920</v>
      </c>
      <c r="D19" s="3259">
        <f>'4. Отчет и прогн. потребление'!E50/1000</f>
        <v>4089.8493838810955</v>
      </c>
      <c r="E19" s="3260">
        <f>'4. Отчет и прогн. потребление'!F50/1000</f>
        <v>4031.2104887824821</v>
      </c>
      <c r="F19" s="3260">
        <f>'4. Отчет и прогн. потребление'!G50/1000</f>
        <v>3972.5714462371534</v>
      </c>
      <c r="G19" s="3260">
        <f>'4. Отчет и прогн. потребление'!H50/1000</f>
        <v>3913.9324036918265</v>
      </c>
      <c r="H19" s="3261">
        <f>'4. Отчет и прогн. потребление'!I50/1000</f>
        <v>3862.9943120866615</v>
      </c>
      <c r="I19" s="4422"/>
      <c r="J19" s="4492"/>
      <c r="K19" s="4493"/>
      <c r="L19" s="4493"/>
      <c r="M19" s="4493"/>
      <c r="N19" s="4493"/>
      <c r="O19" s="4493"/>
    </row>
    <row r="20" spans="1:15" ht="24.75" thickBot="1">
      <c r="A20" s="104" t="s">
        <v>102</v>
      </c>
      <c r="B20" s="3263" t="s">
        <v>300</v>
      </c>
      <c r="C20" s="3258" t="s">
        <v>920</v>
      </c>
      <c r="D20" s="3264">
        <f>'4. Отчет и прогн. потребление'!E51/1000</f>
        <v>1671.2986161189049</v>
      </c>
      <c r="E20" s="3265">
        <f>'4. Отчет и прогн. потребление'!F51/1000</f>
        <v>1671.3340000000001</v>
      </c>
      <c r="F20" s="3265">
        <f>'4. Отчет и прогн. потребление'!G51/1000</f>
        <v>1671.3689999999999</v>
      </c>
      <c r="G20" s="3265">
        <f>'4. Отчет и прогн. потребление'!H51/1000</f>
        <v>1671.404</v>
      </c>
      <c r="H20" s="3266">
        <f>'4. Отчет и прогн. потребление'!I51/1000</f>
        <v>1671.4390000000001</v>
      </c>
      <c r="I20" s="4422"/>
      <c r="J20" s="4494"/>
      <c r="K20" s="4495"/>
      <c r="L20" s="4495"/>
      <c r="M20" s="4495"/>
      <c r="N20" s="4495"/>
      <c r="O20" s="4495"/>
    </row>
    <row r="21" spans="1:15" ht="15" customHeight="1" thickBot="1">
      <c r="A21" s="5344" t="s">
        <v>1</v>
      </c>
      <c r="B21" s="5346" t="s">
        <v>293</v>
      </c>
      <c r="C21" s="5348" t="s">
        <v>166</v>
      </c>
      <c r="D21" s="5368" t="s">
        <v>184</v>
      </c>
      <c r="E21" s="5342"/>
      <c r="F21" s="5342"/>
      <c r="G21" s="5342"/>
      <c r="H21" s="5343"/>
      <c r="I21" s="4422"/>
      <c r="J21" s="5369" t="s">
        <v>166</v>
      </c>
      <c r="K21" s="5370" t="s">
        <v>184</v>
      </c>
      <c r="L21" s="5370"/>
      <c r="M21" s="5370"/>
      <c r="N21" s="5370"/>
      <c r="O21" s="5370"/>
    </row>
    <row r="22" spans="1:15" ht="15" customHeight="1" thickBot="1">
      <c r="A22" s="5345"/>
      <c r="B22" s="5347"/>
      <c r="C22" s="5349"/>
      <c r="D22" s="256" t="str">
        <f t="shared" ref="D22:H22" si="15">D14</f>
        <v>2027 г.</v>
      </c>
      <c r="E22" s="254" t="str">
        <f t="shared" si="15"/>
        <v>2028 г.</v>
      </c>
      <c r="F22" s="254" t="str">
        <f t="shared" si="15"/>
        <v>2029 г.</v>
      </c>
      <c r="G22" s="254" t="str">
        <f t="shared" si="15"/>
        <v>2030 г.</v>
      </c>
      <c r="H22" s="255" t="str">
        <f t="shared" si="15"/>
        <v>2031 г.</v>
      </c>
      <c r="I22" s="4422"/>
      <c r="J22" s="5369"/>
      <c r="K22" s="4487" t="str">
        <f t="shared" ref="K22:O22" si="16">K14</f>
        <v>2027 г.</v>
      </c>
      <c r="L22" s="4487" t="str">
        <f t="shared" si="16"/>
        <v>2028 г.</v>
      </c>
      <c r="M22" s="4487" t="str">
        <f t="shared" si="16"/>
        <v>2029 г.</v>
      </c>
      <c r="N22" s="4487" t="str">
        <f t="shared" si="16"/>
        <v>2030 г.</v>
      </c>
      <c r="O22" s="4487" t="str">
        <f t="shared" si="16"/>
        <v>2031 г.</v>
      </c>
    </row>
    <row r="23" spans="1:15" ht="15" customHeight="1" thickBot="1">
      <c r="A23" s="3242">
        <v>1</v>
      </c>
      <c r="B23" s="3243" t="s">
        <v>294</v>
      </c>
      <c r="C23" s="3244" t="s">
        <v>295</v>
      </c>
      <c r="D23" s="3256">
        <f>'19. HB'!D19</f>
        <v>239.07881480409662</v>
      </c>
      <c r="E23" s="3256">
        <f>'19. HB'!E19</f>
        <v>433.4679959205028</v>
      </c>
      <c r="F23" s="3256">
        <f>'19. HB'!F19</f>
        <v>612.54398887064997</v>
      </c>
      <c r="G23" s="3256">
        <f>'19. HB'!G19</f>
        <v>614.86752169523368</v>
      </c>
      <c r="H23" s="3257">
        <f>'19. HB'!H19</f>
        <v>611.28024580849979</v>
      </c>
      <c r="I23" s="4422"/>
      <c r="J23" s="4486" t="s">
        <v>1897</v>
      </c>
      <c r="K23" s="4427">
        <f t="shared" ref="K23:K25" si="17">IFERROR(D23/$C$1,0)</f>
        <v>122.23905697534889</v>
      </c>
      <c r="L23" s="4427">
        <f t="shared" ref="L23:L25" si="18">IFERROR(E23/$C$1,0)</f>
        <v>221.62866707254864</v>
      </c>
      <c r="M23" s="4427">
        <f t="shared" ref="M23:M25" si="19">IFERROR(F23/$C$1,0)</f>
        <v>313.18876838511017</v>
      </c>
      <c r="N23" s="4427">
        <f t="shared" ref="N23:N25" si="20">IFERROR(G23/$C$1,0)</f>
        <v>314.3767718540127</v>
      </c>
      <c r="O23" s="4427">
        <f t="shared" ref="O23:O25" si="21">IFERROR(H23/$C$1,0)</f>
        <v>312.5426268175147</v>
      </c>
    </row>
    <row r="24" spans="1:15" ht="15" customHeight="1" thickBot="1">
      <c r="A24" s="3248">
        <v>2</v>
      </c>
      <c r="B24" s="3249" t="s">
        <v>296</v>
      </c>
      <c r="C24" s="3250" t="s">
        <v>295</v>
      </c>
      <c r="D24" s="3252">
        <f>'12. Разходи'!T88</f>
        <v>3095.1878800422473</v>
      </c>
      <c r="E24" s="3252">
        <f>'12. Разходи'!U88</f>
        <v>3344.7652229756914</v>
      </c>
      <c r="F24" s="3252">
        <f>'12. Разходи'!V88</f>
        <v>3477.5115709382358</v>
      </c>
      <c r="G24" s="3252">
        <f>'12. Разходи'!W88</f>
        <v>3859.084169924155</v>
      </c>
      <c r="H24" s="3253">
        <f>'12. Разходи'!X88</f>
        <v>4065.3377448295141</v>
      </c>
      <c r="I24" s="4422"/>
      <c r="J24" s="4486" t="s">
        <v>1897</v>
      </c>
      <c r="K24" s="4427">
        <f t="shared" si="17"/>
        <v>1582.5444338425361</v>
      </c>
      <c r="L24" s="4427">
        <f t="shared" si="18"/>
        <v>1710.1513030149304</v>
      </c>
      <c r="M24" s="4427">
        <f t="shared" si="19"/>
        <v>1778.0234329866275</v>
      </c>
      <c r="N24" s="4427">
        <f t="shared" si="20"/>
        <v>1973.1184049350686</v>
      </c>
      <c r="O24" s="4427">
        <f t="shared" si="21"/>
        <v>2078.5741832518747</v>
      </c>
    </row>
    <row r="25" spans="1:15" ht="15" customHeight="1" thickBot="1">
      <c r="A25" s="3248">
        <v>3</v>
      </c>
      <c r="B25" s="3249" t="s">
        <v>297</v>
      </c>
      <c r="C25" s="3250" t="s">
        <v>295</v>
      </c>
      <c r="D25" s="1422">
        <f t="shared" ref="D25:H25" si="22">D23+D24</f>
        <v>3334.2666948463439</v>
      </c>
      <c r="E25" s="1422">
        <f t="shared" si="22"/>
        <v>3778.2332188961941</v>
      </c>
      <c r="F25" s="1422">
        <f t="shared" si="22"/>
        <v>4090.0555598088858</v>
      </c>
      <c r="G25" s="1422">
        <f t="shared" si="22"/>
        <v>4473.9516916193888</v>
      </c>
      <c r="H25" s="1423">
        <f t="shared" si="22"/>
        <v>4676.6179906380139</v>
      </c>
      <c r="I25" s="4422"/>
      <c r="J25" s="4486" t="s">
        <v>1897</v>
      </c>
      <c r="K25" s="4427">
        <f t="shared" si="17"/>
        <v>1704.783490817885</v>
      </c>
      <c r="L25" s="4427">
        <f t="shared" si="18"/>
        <v>1931.7799700874791</v>
      </c>
      <c r="M25" s="4427">
        <f t="shared" si="19"/>
        <v>2091.2122013717376</v>
      </c>
      <c r="N25" s="4427">
        <f t="shared" si="20"/>
        <v>2287.4951767890811</v>
      </c>
      <c r="O25" s="4427">
        <f t="shared" si="21"/>
        <v>2391.1168100693894</v>
      </c>
    </row>
    <row r="26" spans="1:15" ht="15" customHeight="1">
      <c r="A26" s="103">
        <v>4</v>
      </c>
      <c r="B26" s="3249" t="s">
        <v>298</v>
      </c>
      <c r="C26" s="3258" t="s">
        <v>920</v>
      </c>
      <c r="D26" s="3260">
        <f t="shared" ref="D26:H26" si="23">D27+D28</f>
        <v>4464.8603333333331</v>
      </c>
      <c r="E26" s="3260">
        <f t="shared" si="23"/>
        <v>4468.5776961832571</v>
      </c>
      <c r="F26" s="3260">
        <f t="shared" si="23"/>
        <v>4409.9143923665142</v>
      </c>
      <c r="G26" s="3260">
        <f t="shared" si="23"/>
        <v>4351.2510885497713</v>
      </c>
      <c r="H26" s="3261">
        <f t="shared" si="23"/>
        <v>4300.2965068105614</v>
      </c>
      <c r="I26" s="4422"/>
      <c r="J26" s="4492"/>
      <c r="K26" s="4493"/>
      <c r="L26" s="4493"/>
      <c r="M26" s="4493"/>
      <c r="N26" s="4493"/>
      <c r="O26" s="4493"/>
    </row>
    <row r="27" spans="1:15" ht="15" customHeight="1">
      <c r="A27" s="104" t="s">
        <v>101</v>
      </c>
      <c r="B27" s="3262" t="s">
        <v>299</v>
      </c>
      <c r="C27" s="3258" t="s">
        <v>920</v>
      </c>
      <c r="D27" s="3260">
        <f>'4. Отчет и прогн. потребление'!E55/1000</f>
        <v>4205.0703333333331</v>
      </c>
      <c r="E27" s="3260">
        <f>'4. Отчет и прогн. потребление'!F55/1000</f>
        <v>4146.371696183257</v>
      </c>
      <c r="F27" s="3260">
        <f>'4. Отчет и прогн. потребление'!G55/1000</f>
        <v>4087.6733923665138</v>
      </c>
      <c r="G27" s="3260">
        <f>'4. Отчет и прогн. потребление'!H55/1000</f>
        <v>4028.9750885497715</v>
      </c>
      <c r="H27" s="3261">
        <f>'4. Отчет и прогн. потребление'!I55/1000</f>
        <v>3977.9855068105612</v>
      </c>
      <c r="I27" s="4422"/>
      <c r="J27" s="4492"/>
      <c r="K27" s="4493"/>
      <c r="L27" s="4493"/>
      <c r="M27" s="4493"/>
      <c r="N27" s="4493"/>
      <c r="O27" s="4493"/>
    </row>
    <row r="28" spans="1:15" ht="24">
      <c r="A28" s="104" t="s">
        <v>102</v>
      </c>
      <c r="B28" s="3263" t="s">
        <v>300</v>
      </c>
      <c r="C28" s="3258" t="s">
        <v>920</v>
      </c>
      <c r="D28" s="1422">
        <f>'4. Отчет и прогн. потребление'!E56/1000</f>
        <v>259.79000000000002</v>
      </c>
      <c r="E28" s="1422">
        <f>'4. Отчет и прогн. потребление'!F56/1000</f>
        <v>322.20600000000002</v>
      </c>
      <c r="F28" s="1422">
        <f>'4. Отчет и прогн. потребление'!G56/1000</f>
        <v>322.24099999999999</v>
      </c>
      <c r="G28" s="1422">
        <f>'4. Отчет и прогн. потребление'!H56/1000</f>
        <v>322.27600000000001</v>
      </c>
      <c r="H28" s="1423">
        <f>'4. Отчет и прогн. потребление'!I56/1000</f>
        <v>322.31099999999998</v>
      </c>
      <c r="I28" s="4422"/>
      <c r="J28" s="4492"/>
      <c r="K28" s="4493"/>
      <c r="L28" s="4493"/>
      <c r="M28" s="4493"/>
      <c r="N28" s="4493"/>
      <c r="O28" s="4493"/>
    </row>
    <row r="29" spans="1:15" ht="15" customHeight="1">
      <c r="A29" s="104" t="s">
        <v>1275</v>
      </c>
      <c r="B29" s="3267" t="s">
        <v>997</v>
      </c>
      <c r="C29" s="3258" t="s">
        <v>920</v>
      </c>
      <c r="D29" s="3268">
        <f>'4. Отчет и прогн. потребление'!E58/1000</f>
        <v>160.79</v>
      </c>
      <c r="E29" s="3268">
        <f>'4. Отчет и прогн. потребление'!F58/1000</f>
        <v>164.89754152296223</v>
      </c>
      <c r="F29" s="3268">
        <f>'4. Отчет и прогн. потребление'!G58/1000</f>
        <v>164.91545370943081</v>
      </c>
      <c r="G29" s="3268">
        <f>'4. Отчет и прогн. потребление'!H58/1000</f>
        <v>164.93336589589941</v>
      </c>
      <c r="H29" s="3269">
        <f>'4. Отчет и прогн. потребление'!I58/1000</f>
        <v>164.95127808236802</v>
      </c>
      <c r="I29" s="4422"/>
      <c r="J29" s="4492"/>
      <c r="K29" s="4493"/>
      <c r="L29" s="4493"/>
      <c r="M29" s="4493"/>
      <c r="N29" s="4493"/>
      <c r="O29" s="4493"/>
    </row>
    <row r="30" spans="1:15" ht="15" customHeight="1">
      <c r="A30" s="104" t="s">
        <v>1276</v>
      </c>
      <c r="B30" s="3267" t="s">
        <v>998</v>
      </c>
      <c r="C30" s="3258" t="s">
        <v>920</v>
      </c>
      <c r="D30" s="3268">
        <f>'4. Отчет и прогн. потребление'!E59/1000</f>
        <v>60</v>
      </c>
      <c r="E30" s="3268">
        <f>'4. Отчет и прогн. потребление'!F59/1000</f>
        <v>82.796736596517448</v>
      </c>
      <c r="F30" s="3268">
        <f>'4. Отчет и прогн. потребление'!G59/1000</f>
        <v>82.805730487943691</v>
      </c>
      <c r="G30" s="3268">
        <f>'4. Отчет и прогн. потребление'!H59/1000</f>
        <v>82.814724379369906</v>
      </c>
      <c r="H30" s="3269">
        <f>'4. Отчет и прогн. потребление'!I59/1000</f>
        <v>82.823718270796135</v>
      </c>
      <c r="I30" s="4422"/>
      <c r="J30" s="4492"/>
      <c r="K30" s="4493"/>
      <c r="L30" s="4493"/>
      <c r="M30" s="4493"/>
      <c r="N30" s="4493"/>
      <c r="O30" s="4493"/>
    </row>
    <row r="31" spans="1:15" ht="15" customHeight="1" thickBot="1">
      <c r="A31" s="105" t="s">
        <v>1277</v>
      </c>
      <c r="B31" s="3270" t="s">
        <v>999</v>
      </c>
      <c r="C31" s="3255" t="s">
        <v>920</v>
      </c>
      <c r="D31" s="3271">
        <f>'4. Отчет и прогн. потребление'!E60/1000</f>
        <v>39</v>
      </c>
      <c r="E31" s="3271">
        <f>'4. Отчет и прогн. потребление'!F60/1000</f>
        <v>74.511721880520341</v>
      </c>
      <c r="F31" s="3271">
        <f>'4. Отчет и прогн. потребление'!G60/1000</f>
        <v>74.51981580262553</v>
      </c>
      <c r="G31" s="3271">
        <f>'4. Отчет и прогн. потребление'!H60/1000</f>
        <v>74.527909724730691</v>
      </c>
      <c r="H31" s="3272">
        <f>'4. Отчет и прогн. потребление'!I60/1000</f>
        <v>74.536003646835866</v>
      </c>
      <c r="I31" s="4422"/>
      <c r="J31" s="4492"/>
      <c r="K31" s="4493"/>
      <c r="L31" s="4493"/>
      <c r="M31" s="4493"/>
      <c r="N31" s="4493"/>
      <c r="O31" s="4493"/>
    </row>
    <row r="32" spans="1:15" s="11" customFormat="1" ht="15" customHeight="1" thickBot="1">
      <c r="A32" s="5344" t="s">
        <v>1</v>
      </c>
      <c r="B32" s="5346" t="s">
        <v>293</v>
      </c>
      <c r="C32" s="5348" t="s">
        <v>166</v>
      </c>
      <c r="D32" s="5368" t="s">
        <v>1236</v>
      </c>
      <c r="E32" s="5342"/>
      <c r="F32" s="5342"/>
      <c r="G32" s="5342"/>
      <c r="H32" s="5343"/>
      <c r="I32" s="4422"/>
      <c r="J32" s="5369" t="s">
        <v>166</v>
      </c>
      <c r="K32" s="5370" t="s">
        <v>1236</v>
      </c>
      <c r="L32" s="5370"/>
      <c r="M32" s="5370"/>
      <c r="N32" s="5370"/>
      <c r="O32" s="5370"/>
    </row>
    <row r="33" spans="1:15" s="11" customFormat="1" ht="15" customHeight="1" thickBot="1">
      <c r="A33" s="5345"/>
      <c r="B33" s="5347"/>
      <c r="C33" s="5349"/>
      <c r="D33" s="275" t="str">
        <f t="shared" ref="D33:H33" si="24">D22</f>
        <v>2027 г.</v>
      </c>
      <c r="E33" s="275" t="str">
        <f t="shared" si="24"/>
        <v>2028 г.</v>
      </c>
      <c r="F33" s="275" t="str">
        <f t="shared" si="24"/>
        <v>2029 г.</v>
      </c>
      <c r="G33" s="275" t="str">
        <f t="shared" si="24"/>
        <v>2030 г.</v>
      </c>
      <c r="H33" s="276" t="str">
        <f t="shared" si="24"/>
        <v>2031 г.</v>
      </c>
      <c r="I33" s="4422"/>
      <c r="J33" s="5369"/>
      <c r="K33" s="4487" t="str">
        <f t="shared" ref="K33:O33" si="25">K22</f>
        <v>2027 г.</v>
      </c>
      <c r="L33" s="4487" t="str">
        <f t="shared" si="25"/>
        <v>2028 г.</v>
      </c>
      <c r="M33" s="4487" t="str">
        <f t="shared" si="25"/>
        <v>2029 г.</v>
      </c>
      <c r="N33" s="4487" t="str">
        <f t="shared" si="25"/>
        <v>2030 г.</v>
      </c>
      <c r="O33" s="4487" t="str">
        <f t="shared" si="25"/>
        <v>2031 г.</v>
      </c>
    </row>
    <row r="34" spans="1:15" s="11" customFormat="1" ht="15" customHeight="1" thickBot="1">
      <c r="A34" s="3242">
        <v>1</v>
      </c>
      <c r="B34" s="3243" t="s">
        <v>294</v>
      </c>
      <c r="C34" s="3244" t="s">
        <v>295</v>
      </c>
      <c r="D34" s="3245">
        <f>'19. HB'!D20</f>
        <v>0</v>
      </c>
      <c r="E34" s="3245">
        <f>'19. HB'!E20</f>
        <v>0</v>
      </c>
      <c r="F34" s="3245">
        <f>'19. HB'!F20</f>
        <v>0</v>
      </c>
      <c r="G34" s="3245">
        <f>'19. HB'!G20</f>
        <v>0</v>
      </c>
      <c r="H34" s="3245">
        <f>'19. HB'!H20</f>
        <v>0</v>
      </c>
      <c r="I34" s="4422"/>
      <c r="J34" s="4486" t="s">
        <v>1897</v>
      </c>
      <c r="K34" s="4427">
        <f t="shared" ref="K34:K36" si="26">IFERROR(D34/$C$1,0)</f>
        <v>0</v>
      </c>
      <c r="L34" s="4427">
        <f t="shared" ref="L34:L36" si="27">IFERROR(E34/$C$1,0)</f>
        <v>0</v>
      </c>
      <c r="M34" s="4427">
        <f t="shared" ref="M34:M36" si="28">IFERROR(F34/$C$1,0)</f>
        <v>0</v>
      </c>
      <c r="N34" s="4427">
        <f t="shared" ref="N34:N36" si="29">IFERROR(G34/$C$1,0)</f>
        <v>0</v>
      </c>
      <c r="O34" s="4427">
        <f t="shared" ref="O34:O36" si="30">IFERROR(H34/$C$1,0)</f>
        <v>0</v>
      </c>
    </row>
    <row r="35" spans="1:15" s="11" customFormat="1" ht="15" customHeight="1" thickBot="1">
      <c r="A35" s="3248">
        <v>2</v>
      </c>
      <c r="B35" s="3249" t="s">
        <v>296</v>
      </c>
      <c r="C35" s="3250" t="s">
        <v>295</v>
      </c>
      <c r="D35" s="3273">
        <f>'12. Разходи'!AB88</f>
        <v>0</v>
      </c>
      <c r="E35" s="3274">
        <f>'12. Разходи'!AC88</f>
        <v>0</v>
      </c>
      <c r="F35" s="3274">
        <f>'12. Разходи'!AD88</f>
        <v>0</v>
      </c>
      <c r="G35" s="3274">
        <f>'12. Разходи'!AE88</f>
        <v>0</v>
      </c>
      <c r="H35" s="3275">
        <f>'12. Разходи'!AF88</f>
        <v>0</v>
      </c>
      <c r="I35" s="4422"/>
      <c r="J35" s="4486" t="s">
        <v>1897</v>
      </c>
      <c r="K35" s="4427">
        <f t="shared" si="26"/>
        <v>0</v>
      </c>
      <c r="L35" s="4427">
        <f t="shared" si="27"/>
        <v>0</v>
      </c>
      <c r="M35" s="4427">
        <f t="shared" si="28"/>
        <v>0</v>
      </c>
      <c r="N35" s="4427">
        <f t="shared" si="29"/>
        <v>0</v>
      </c>
      <c r="O35" s="4427">
        <f t="shared" si="30"/>
        <v>0</v>
      </c>
    </row>
    <row r="36" spans="1:15" s="11" customFormat="1" ht="15" customHeight="1" thickBot="1">
      <c r="A36" s="3248">
        <v>3</v>
      </c>
      <c r="B36" s="3249" t="s">
        <v>297</v>
      </c>
      <c r="C36" s="3250" t="s">
        <v>295</v>
      </c>
      <c r="D36" s="1971">
        <f t="shared" ref="D36:H36" si="31">D34+D35</f>
        <v>0</v>
      </c>
      <c r="E36" s="1971">
        <f t="shared" si="31"/>
        <v>0</v>
      </c>
      <c r="F36" s="1971">
        <f t="shared" si="31"/>
        <v>0</v>
      </c>
      <c r="G36" s="1971">
        <f t="shared" si="31"/>
        <v>0</v>
      </c>
      <c r="H36" s="3276">
        <f t="shared" si="31"/>
        <v>0</v>
      </c>
      <c r="I36" s="4422"/>
      <c r="J36" s="4486" t="s">
        <v>1897</v>
      </c>
      <c r="K36" s="4427">
        <f t="shared" si="26"/>
        <v>0</v>
      </c>
      <c r="L36" s="4427">
        <f t="shared" si="27"/>
        <v>0</v>
      </c>
      <c r="M36" s="4427">
        <f t="shared" si="28"/>
        <v>0</v>
      </c>
      <c r="N36" s="4427">
        <f t="shared" si="29"/>
        <v>0</v>
      </c>
      <c r="O36" s="4427">
        <f t="shared" si="30"/>
        <v>0</v>
      </c>
    </row>
    <row r="37" spans="1:15" s="11" customFormat="1" ht="15" customHeight="1" thickBot="1">
      <c r="A37" s="124">
        <v>4</v>
      </c>
      <c r="B37" s="3249" t="s">
        <v>340</v>
      </c>
      <c r="C37" s="3258" t="s">
        <v>920</v>
      </c>
      <c r="D37" s="1971">
        <f>('4. Отчет и прогн. потребление'!E62-'4. Отчет и прогн. потребление'!E88)/1000</f>
        <v>0</v>
      </c>
      <c r="E37" s="1971">
        <f>('4. Отчет и прогн. потребление'!F62-'4. Отчет и прогн. потребление'!F88)/1000</f>
        <v>0</v>
      </c>
      <c r="F37" s="1971">
        <f>('4. Отчет и прогн. потребление'!G62-'4. Отчет и прогн. потребление'!G88)/1000</f>
        <v>0</v>
      </c>
      <c r="G37" s="1971">
        <f>('4. Отчет и прогн. потребление'!H62-'4. Отчет и прогн. потребление'!H88)/1000</f>
        <v>0</v>
      </c>
      <c r="H37" s="3276">
        <f>('4. Отчет и прогн. потребление'!I62-'4. Отчет и прогн. потребление'!I88)/1000</f>
        <v>0</v>
      </c>
      <c r="I37" s="4422"/>
      <c r="J37" s="4492"/>
      <c r="K37" s="4493"/>
      <c r="L37" s="4493"/>
      <c r="M37" s="4493"/>
      <c r="N37" s="4493"/>
      <c r="O37" s="4493"/>
    </row>
    <row r="38" spans="1:15" s="11" customFormat="1" ht="15" customHeight="1" thickBot="1">
      <c r="A38" s="5344" t="s">
        <v>1</v>
      </c>
      <c r="B38" s="5346" t="s">
        <v>293</v>
      </c>
      <c r="C38" s="5348" t="s">
        <v>166</v>
      </c>
      <c r="D38" s="5368" t="s">
        <v>1237</v>
      </c>
      <c r="E38" s="5342"/>
      <c r="F38" s="5342"/>
      <c r="G38" s="5342"/>
      <c r="H38" s="5343"/>
      <c r="I38" s="4422"/>
      <c r="J38" s="5369" t="s">
        <v>166</v>
      </c>
      <c r="K38" s="5370" t="s">
        <v>1237</v>
      </c>
      <c r="L38" s="5370"/>
      <c r="M38" s="5370"/>
      <c r="N38" s="5370"/>
      <c r="O38" s="5370"/>
    </row>
    <row r="39" spans="1:15" s="11" customFormat="1" ht="15" customHeight="1" thickBot="1">
      <c r="A39" s="5345"/>
      <c r="B39" s="5347"/>
      <c r="C39" s="5349"/>
      <c r="D39" s="275" t="str">
        <f t="shared" ref="D39:H39" si="32">D33</f>
        <v>2027 г.</v>
      </c>
      <c r="E39" s="275" t="str">
        <f t="shared" si="32"/>
        <v>2028 г.</v>
      </c>
      <c r="F39" s="275" t="str">
        <f t="shared" si="32"/>
        <v>2029 г.</v>
      </c>
      <c r="G39" s="275" t="str">
        <f t="shared" si="32"/>
        <v>2030 г.</v>
      </c>
      <c r="H39" s="276" t="str">
        <f t="shared" si="32"/>
        <v>2031 г.</v>
      </c>
      <c r="I39" s="4422"/>
      <c r="J39" s="5369"/>
      <c r="K39" s="4487" t="str">
        <f t="shared" ref="K39:O39" si="33">K33</f>
        <v>2027 г.</v>
      </c>
      <c r="L39" s="4487" t="str">
        <f t="shared" si="33"/>
        <v>2028 г.</v>
      </c>
      <c r="M39" s="4487" t="str">
        <f t="shared" si="33"/>
        <v>2029 г.</v>
      </c>
      <c r="N39" s="4487" t="str">
        <f t="shared" si="33"/>
        <v>2030 г.</v>
      </c>
      <c r="O39" s="4487" t="str">
        <f t="shared" si="33"/>
        <v>2031 г.</v>
      </c>
    </row>
    <row r="40" spans="1:15" s="11" customFormat="1" ht="15" customHeight="1" thickBot="1">
      <c r="A40" s="3242">
        <v>1</v>
      </c>
      <c r="B40" s="3243" t="s">
        <v>294</v>
      </c>
      <c r="C40" s="3244" t="s">
        <v>295</v>
      </c>
      <c r="D40" s="3245">
        <f>'19. HB'!D21</f>
        <v>0</v>
      </c>
      <c r="E40" s="3245">
        <f>'19. HB'!E21</f>
        <v>0</v>
      </c>
      <c r="F40" s="3245">
        <f>'19. HB'!F21</f>
        <v>0</v>
      </c>
      <c r="G40" s="3245">
        <f>'19. HB'!G21</f>
        <v>0</v>
      </c>
      <c r="H40" s="3277">
        <f>'19. HB'!H21</f>
        <v>0</v>
      </c>
      <c r="I40" s="4422"/>
      <c r="J40" s="4486" t="s">
        <v>1897</v>
      </c>
      <c r="K40" s="4427">
        <f t="shared" ref="K40:K41" si="34">IFERROR(D40/$C$1,0)</f>
        <v>0</v>
      </c>
      <c r="L40" s="4427">
        <f t="shared" ref="L40:L42" si="35">IFERROR(E40/$C$1,0)</f>
        <v>0</v>
      </c>
      <c r="M40" s="4427">
        <f t="shared" ref="M40:M42" si="36">IFERROR(F40/$C$1,0)</f>
        <v>0</v>
      </c>
      <c r="N40" s="4427">
        <f t="shared" ref="N40:N42" si="37">IFERROR(G40/$C$1,0)</f>
        <v>0</v>
      </c>
      <c r="O40" s="4427">
        <f t="shared" ref="O40:O42" si="38">IFERROR(H40/$C$1,0)</f>
        <v>0</v>
      </c>
    </row>
    <row r="41" spans="1:15" s="11" customFormat="1" ht="15" customHeight="1" thickBot="1">
      <c r="A41" s="3248">
        <v>2</v>
      </c>
      <c r="B41" s="3249" t="s">
        <v>296</v>
      </c>
      <c r="C41" s="3250" t="s">
        <v>295</v>
      </c>
      <c r="D41" s="3273">
        <f>'12. Разходи'!AJ88</f>
        <v>0</v>
      </c>
      <c r="E41" s="3274">
        <f>'12. Разходи'!AK88</f>
        <v>0</v>
      </c>
      <c r="F41" s="3274">
        <f>'12. Разходи'!AL88</f>
        <v>0</v>
      </c>
      <c r="G41" s="3274">
        <f>'12. Разходи'!AM88</f>
        <v>0</v>
      </c>
      <c r="H41" s="3275">
        <f>'12. Разходи'!AN88</f>
        <v>0</v>
      </c>
      <c r="I41" s="4422"/>
      <c r="J41" s="4486" t="s">
        <v>1897</v>
      </c>
      <c r="K41" s="4427">
        <f t="shared" si="34"/>
        <v>0</v>
      </c>
      <c r="L41" s="4427">
        <f t="shared" si="35"/>
        <v>0</v>
      </c>
      <c r="M41" s="4427">
        <f t="shared" si="36"/>
        <v>0</v>
      </c>
      <c r="N41" s="4427">
        <f t="shared" si="37"/>
        <v>0</v>
      </c>
      <c r="O41" s="4427">
        <f t="shared" si="38"/>
        <v>0</v>
      </c>
    </row>
    <row r="42" spans="1:15" s="11" customFormat="1" ht="15" customHeight="1" thickBot="1">
      <c r="A42" s="3248">
        <v>3</v>
      </c>
      <c r="B42" s="3249" t="s">
        <v>297</v>
      </c>
      <c r="C42" s="3250" t="s">
        <v>295</v>
      </c>
      <c r="D42" s="1971">
        <f t="shared" ref="D42:H42" si="39">D40+D41</f>
        <v>0</v>
      </c>
      <c r="E42" s="1971">
        <f t="shared" si="39"/>
        <v>0</v>
      </c>
      <c r="F42" s="1971">
        <f t="shared" si="39"/>
        <v>0</v>
      </c>
      <c r="G42" s="1971">
        <f t="shared" si="39"/>
        <v>0</v>
      </c>
      <c r="H42" s="3276">
        <f t="shared" si="39"/>
        <v>0</v>
      </c>
      <c r="I42" s="4422"/>
      <c r="J42" s="4486" t="s">
        <v>1897</v>
      </c>
      <c r="K42" s="4427">
        <f>IFERROR(D42/$C$1,0)</f>
        <v>0</v>
      </c>
      <c r="L42" s="4427">
        <f t="shared" si="35"/>
        <v>0</v>
      </c>
      <c r="M42" s="4427">
        <f t="shared" si="36"/>
        <v>0</v>
      </c>
      <c r="N42" s="4427">
        <f t="shared" si="37"/>
        <v>0</v>
      </c>
      <c r="O42" s="4427">
        <f t="shared" si="38"/>
        <v>0</v>
      </c>
    </row>
    <row r="43" spans="1:15" s="11" customFormat="1" ht="15" customHeight="1" thickBot="1">
      <c r="A43" s="3541">
        <v>4</v>
      </c>
      <c r="B43" s="3278" t="s">
        <v>340</v>
      </c>
      <c r="C43" s="3255" t="s">
        <v>920</v>
      </c>
      <c r="D43" s="3279">
        <f>('4. Отчет и прогн. потребление'!E93-'4. Отчет и прогн. потребление'!E110)/1000</f>
        <v>0</v>
      </c>
      <c r="E43" s="3279">
        <f>('4. Отчет и прогн. потребление'!F93-'4. Отчет и прогн. потребление'!F110)/1000</f>
        <v>0</v>
      </c>
      <c r="F43" s="3279">
        <f>('4. Отчет и прогн. потребление'!G93-'4. Отчет и прогн. потребление'!G110)/1000</f>
        <v>0</v>
      </c>
      <c r="G43" s="3279">
        <f>('4. Отчет и прогн. потребление'!H93-'4. Отчет и прогн. потребление'!H110)/1000</f>
        <v>0</v>
      </c>
      <c r="H43" s="3280">
        <f>('4. Отчет и прогн. потребление'!I93-'4. Отчет и прогн. потребление'!I110)/1000</f>
        <v>0</v>
      </c>
      <c r="I43" s="4422"/>
      <c r="J43" s="4492"/>
      <c r="K43" s="4493"/>
      <c r="L43" s="4493"/>
      <c r="M43" s="4493"/>
      <c r="N43" s="4493"/>
      <c r="O43" s="4493"/>
    </row>
    <row r="44" spans="1:15" ht="15" customHeight="1">
      <c r="A44" s="5"/>
      <c r="B44" s="3281" t="s">
        <v>202</v>
      </c>
      <c r="C44" s="3282"/>
      <c r="D44" s="3283"/>
      <c r="E44" s="3284"/>
      <c r="F44" s="3285"/>
      <c r="G44" s="3286"/>
      <c r="H44" s="3286"/>
    </row>
    <row r="45" spans="1:15" ht="15" customHeight="1" thickBot="1">
      <c r="A45" s="5354" t="s">
        <v>301</v>
      </c>
      <c r="B45" s="5354"/>
      <c r="C45" s="5354"/>
      <c r="D45" s="3283"/>
      <c r="E45" s="3284"/>
      <c r="F45" s="3285"/>
      <c r="G45" s="3286"/>
      <c r="H45" s="3286"/>
    </row>
    <row r="46" spans="1:15" ht="15" customHeight="1">
      <c r="A46" s="5356" t="s">
        <v>1</v>
      </c>
      <c r="B46" s="5358" t="s">
        <v>293</v>
      </c>
      <c r="C46" s="5348" t="s">
        <v>166</v>
      </c>
      <c r="D46" s="5368" t="s">
        <v>184</v>
      </c>
      <c r="E46" s="5342"/>
      <c r="F46" s="5342"/>
      <c r="G46" s="5342"/>
      <c r="H46" s="5343"/>
    </row>
    <row r="47" spans="1:15" ht="13.5" thickBot="1">
      <c r="A47" s="5357"/>
      <c r="B47" s="5359"/>
      <c r="C47" s="5355"/>
      <c r="D47" s="275" t="str">
        <f>+D39</f>
        <v>2027 г.</v>
      </c>
      <c r="E47" s="275" t="str">
        <f t="shared" ref="E47:H47" si="40">+E39</f>
        <v>2028 г.</v>
      </c>
      <c r="F47" s="275" t="str">
        <f t="shared" si="40"/>
        <v>2029 г.</v>
      </c>
      <c r="G47" s="275" t="str">
        <f t="shared" si="40"/>
        <v>2030 г.</v>
      </c>
      <c r="H47" s="276" t="str">
        <f t="shared" si="40"/>
        <v>2031 г.</v>
      </c>
    </row>
    <row r="48" spans="1:15" ht="13.5" customHeight="1" thickBot="1">
      <c r="A48" s="274">
        <v>1</v>
      </c>
      <c r="B48" s="3287" t="s">
        <v>1503</v>
      </c>
      <c r="C48" s="3288"/>
      <c r="D48" s="3289"/>
      <c r="E48" s="3289"/>
      <c r="F48" s="3289"/>
      <c r="G48" s="3289"/>
      <c r="H48" s="3290"/>
    </row>
    <row r="49" spans="1:8">
      <c r="A49" s="106" t="s">
        <v>90</v>
      </c>
      <c r="B49" s="3291" t="s">
        <v>302</v>
      </c>
      <c r="C49" s="3537" t="s">
        <v>921</v>
      </c>
      <c r="D49" s="3534">
        <f>IFERROR($C66+((D55/($D$55+$D$56+$D$57))*$E66),0)</f>
        <v>1.2957082694320701</v>
      </c>
      <c r="E49" s="3411">
        <f>IFERROR($C66+((D55/($D$55+$D$56+$D$57))*$E66),0)</f>
        <v>1.2957082694320701</v>
      </c>
      <c r="F49" s="3411">
        <f>IFERROR($C66+((E55/($E$55+$E$56+$E$57))*$E66),0)</f>
        <v>1.242431431713876</v>
      </c>
      <c r="G49" s="3411">
        <f>IFERROR($C66+((F55/($F$55+$F$56+$F$57))*$E66),0)</f>
        <v>1.2424323032721285</v>
      </c>
      <c r="H49" s="3411">
        <f>IFERROR($C66+((G55/($G$55+$G$56+$G$57))*$E66),0)</f>
        <v>1.2424319360725862</v>
      </c>
    </row>
    <row r="50" spans="1:8">
      <c r="A50" s="6" t="s">
        <v>91</v>
      </c>
      <c r="B50" s="3292" t="s">
        <v>303</v>
      </c>
      <c r="C50" s="3538" t="s">
        <v>921</v>
      </c>
      <c r="D50" s="3535">
        <f>IFERROR($C67+((D56/($D$55+$D$56+$D$57))*$E67),0)</f>
        <v>1.7168480245380853</v>
      </c>
      <c r="E50" s="3412">
        <f>IFERROR($C67+((D56/($D$55+$D$56+$D$57))*$E67),0)</f>
        <v>1.7168480245380853</v>
      </c>
      <c r="F50" s="3412">
        <f>IFERROR($C67+((E56/($E$55+$E$56+$E$57))*$E67),0)</f>
        <v>1.7144265485808394</v>
      </c>
      <c r="G50" s="3412">
        <f>IFERROR($C67+((F56/($F$55+$F$56+$F$57))*$E67),0)</f>
        <v>1.7144271903914694</v>
      </c>
      <c r="H50" s="3412">
        <f>IFERROR($C67+((G56/($G$55+$G$56+$G$57))*$E67),0)</f>
        <v>1.7144268467503756</v>
      </c>
    </row>
    <row r="51" spans="1:8" ht="13.5" thickBot="1">
      <c r="A51" s="107" t="s">
        <v>93</v>
      </c>
      <c r="B51" s="3293" t="s">
        <v>304</v>
      </c>
      <c r="C51" s="3539" t="s">
        <v>921</v>
      </c>
      <c r="D51" s="3536">
        <f>IFERROR($C68+((D57/($D$55+$D$56+$D$57))*$E68),0)</f>
        <v>2.1582316998953237</v>
      </c>
      <c r="E51" s="3413">
        <f>IFERROR($C68+((D57/($D$55+$D$56+$D$57))*$E68),0)</f>
        <v>2.1582316998953237</v>
      </c>
      <c r="F51" s="3413">
        <f>IFERROR($C68+((E57/($E$55+$E$56+$E$57))*$E68),0)</f>
        <v>2.2145353825600744</v>
      </c>
      <c r="G51" s="3413">
        <f>IFERROR($C68+((F57/($F$55+$F$56+$F$57))*$E68),0)</f>
        <v>2.2145337087385348</v>
      </c>
      <c r="H51" s="3413">
        <f>IFERROR($C68+((G57/($G$55+$G$56+$G$57))*$E68),0)</f>
        <v>2.2145345054894441</v>
      </c>
    </row>
    <row r="52" spans="1:8" ht="16.5" thickBot="1">
      <c r="A52" s="3415"/>
      <c r="B52" s="3414" t="s">
        <v>1724</v>
      </c>
      <c r="C52" s="3414"/>
      <c r="D52" s="3414"/>
      <c r="E52" s="3410"/>
      <c r="F52" s="3410"/>
      <c r="G52" s="3410"/>
      <c r="H52" s="3410"/>
    </row>
    <row r="53" spans="1:8">
      <c r="A53" s="5356" t="s">
        <v>1</v>
      </c>
      <c r="B53" s="5361" t="s">
        <v>293</v>
      </c>
      <c r="C53" s="5363" t="s">
        <v>166</v>
      </c>
      <c r="D53" s="5365" t="s">
        <v>184</v>
      </c>
      <c r="E53" s="5366"/>
      <c r="F53" s="5366"/>
      <c r="G53" s="5366"/>
      <c r="H53" s="5367"/>
    </row>
    <row r="54" spans="1:8" ht="13.5" customHeight="1" thickBot="1">
      <c r="A54" s="5360"/>
      <c r="B54" s="5362"/>
      <c r="C54" s="5364"/>
      <c r="D54" s="4211" t="str">
        <f>+D47</f>
        <v>2027 г.</v>
      </c>
      <c r="E54" s="4212" t="str">
        <f t="shared" ref="E54:H54" si="41">+E47</f>
        <v>2028 г.</v>
      </c>
      <c r="F54" s="4212" t="str">
        <f t="shared" si="41"/>
        <v>2029 г.</v>
      </c>
      <c r="G54" s="4212" t="str">
        <f t="shared" si="41"/>
        <v>2030 г.</v>
      </c>
      <c r="H54" s="4213" t="str">
        <f t="shared" si="41"/>
        <v>2031 г.</v>
      </c>
    </row>
    <row r="55" spans="1:8">
      <c r="A55" s="106" t="s">
        <v>463</v>
      </c>
      <c r="B55" s="3291" t="s">
        <v>1722</v>
      </c>
      <c r="C55" s="3537" t="s">
        <v>1714</v>
      </c>
      <c r="D55" s="3532">
        <v>48237</v>
      </c>
      <c r="E55" s="3532">
        <v>49469</v>
      </c>
      <c r="F55" s="3532">
        <v>49475</v>
      </c>
      <c r="G55" s="3532">
        <v>49480</v>
      </c>
      <c r="H55" s="3532">
        <v>49485</v>
      </c>
    </row>
    <row r="56" spans="1:8">
      <c r="A56" s="6" t="s">
        <v>465</v>
      </c>
      <c r="B56" s="3292" t="s">
        <v>1721</v>
      </c>
      <c r="C56" s="3538" t="s">
        <v>1714</v>
      </c>
      <c r="D56" s="402">
        <v>36000</v>
      </c>
      <c r="E56" s="402">
        <v>49678</v>
      </c>
      <c r="F56" s="402">
        <v>49684</v>
      </c>
      <c r="G56" s="402">
        <v>49689</v>
      </c>
      <c r="H56" s="402">
        <v>49694</v>
      </c>
    </row>
    <row r="57" spans="1:8" ht="13.5" thickBot="1">
      <c r="A57" s="107" t="s">
        <v>466</v>
      </c>
      <c r="B57" s="3293" t="s">
        <v>1723</v>
      </c>
      <c r="C57" s="3539" t="s">
        <v>1714</v>
      </c>
      <c r="D57" s="3533">
        <v>39000</v>
      </c>
      <c r="E57" s="3533">
        <v>74512</v>
      </c>
      <c r="F57" s="3533">
        <v>74520</v>
      </c>
      <c r="G57" s="3533">
        <v>74528</v>
      </c>
      <c r="H57" s="3533">
        <v>74536</v>
      </c>
    </row>
    <row r="59" spans="1:8" s="4362" customFormat="1">
      <c r="B59" s="4362" t="str">
        <f>'Приложение '!B82</f>
        <v>Дата: 29.06.2026</v>
      </c>
      <c r="C59" s="4363"/>
      <c r="D59" s="4363"/>
      <c r="E59" s="4363"/>
      <c r="F59" s="4363"/>
      <c r="G59" s="4363"/>
      <c r="H59" s="4363"/>
    </row>
    <row r="62" spans="1:8" s="4362" customFormat="1">
      <c r="B62" s="4362" t="s">
        <v>187</v>
      </c>
      <c r="C62" s="4363"/>
      <c r="D62" s="4363"/>
      <c r="E62" s="4363"/>
      <c r="F62" s="4363"/>
      <c r="G62" s="4363"/>
      <c r="H62" s="4363"/>
    </row>
    <row r="63" spans="1:8">
      <c r="B63" s="3670" t="s">
        <v>188</v>
      </c>
      <c r="C63" s="3294"/>
      <c r="D63" s="3294"/>
      <c r="E63" s="3294"/>
      <c r="F63" s="3294"/>
      <c r="G63" s="3294"/>
    </row>
    <row r="64" spans="1:8">
      <c r="B64" s="3670" t="s">
        <v>983</v>
      </c>
      <c r="C64" s="3670"/>
    </row>
    <row r="65" spans="1:8" ht="24">
      <c r="A65" s="11"/>
      <c r="B65" s="3527" t="s">
        <v>1715</v>
      </c>
      <c r="C65" s="3530" t="s">
        <v>1719</v>
      </c>
      <c r="D65" s="3530" t="s">
        <v>1720</v>
      </c>
      <c r="E65" s="3531" t="s">
        <v>725</v>
      </c>
    </row>
    <row r="66" spans="1:8">
      <c r="A66" s="11"/>
      <c r="B66" s="3529" t="s">
        <v>1716</v>
      </c>
      <c r="C66" s="3528">
        <v>1.1000000000000001</v>
      </c>
      <c r="D66" s="3528">
        <v>1.6</v>
      </c>
      <c r="E66" s="3528">
        <f>D66-C66</f>
        <v>0.5</v>
      </c>
    </row>
    <row r="67" spans="1:8">
      <c r="A67" s="11"/>
      <c r="B67" s="3529" t="s">
        <v>1717</v>
      </c>
      <c r="C67" s="3528">
        <v>1.6</v>
      </c>
      <c r="D67" s="3528">
        <v>2</v>
      </c>
      <c r="E67" s="3528">
        <f t="shared" ref="E67:E68" si="42">D67-C67</f>
        <v>0.39999999999999991</v>
      </c>
    </row>
    <row r="68" spans="1:8">
      <c r="A68" s="11"/>
      <c r="B68" s="3529" t="s">
        <v>1718</v>
      </c>
      <c r="C68" s="3528">
        <v>2</v>
      </c>
      <c r="D68" s="3528">
        <v>2.5</v>
      </c>
      <c r="E68" s="3528">
        <f t="shared" si="42"/>
        <v>0.5</v>
      </c>
    </row>
    <row r="69" spans="1:8" ht="30" customHeight="1">
      <c r="B69" s="5353" t="s">
        <v>1726</v>
      </c>
      <c r="C69" s="5353"/>
      <c r="D69" s="5353"/>
      <c r="E69" s="5353"/>
      <c r="F69" s="5353"/>
      <c r="G69" s="5353"/>
      <c r="H69" s="5353"/>
    </row>
    <row r="70" spans="1:8" ht="29.25" customHeight="1">
      <c r="B70" s="5353" t="str">
        <f>+"ВиК операторът прилага обосновката за избраните стойности на коефициентите на замърсеност към текстовата част на бизнес плана, която включва и данни за базовата "&amp;'15. ОПП'!B7&amp;" относно товар БПК5 (кг/год.) за степени на замърсеност 1,2 и 3."</f>
        <v>ВиК операторът прилага обосновката за избраните стойности на коефициентите на замърсеност към текстовата част на бизнес плана, която включва и данни за базовата 2024 г. относно товар БПК5 (кг/год.) за степени на замърсеност 1,2 и 3.</v>
      </c>
      <c r="C70" s="5353"/>
      <c r="D70" s="5353"/>
      <c r="E70" s="5353"/>
      <c r="F70" s="5353"/>
      <c r="G70" s="5353"/>
      <c r="H70" s="5353"/>
    </row>
  </sheetData>
  <sheetProtection password="EF75" sheet="1" formatCells="0" formatColumns="0" formatRows="0"/>
  <mergeCells count="47">
    <mergeCell ref="J38:J39"/>
    <mergeCell ref="K38:O38"/>
    <mergeCell ref="J13:J14"/>
    <mergeCell ref="K13:O13"/>
    <mergeCell ref="J21:J22"/>
    <mergeCell ref="K21:O21"/>
    <mergeCell ref="J32:J33"/>
    <mergeCell ref="K32:O32"/>
    <mergeCell ref="C1:D1"/>
    <mergeCell ref="A1:B1"/>
    <mergeCell ref="J7:J8"/>
    <mergeCell ref="K7:O7"/>
    <mergeCell ref="B69:H69"/>
    <mergeCell ref="D38:H38"/>
    <mergeCell ref="D32:H32"/>
    <mergeCell ref="D21:H21"/>
    <mergeCell ref="D13:H13"/>
    <mergeCell ref="A13:A14"/>
    <mergeCell ref="B21:B22"/>
    <mergeCell ref="A32:A33"/>
    <mergeCell ref="B32:B33"/>
    <mergeCell ref="C32:C33"/>
    <mergeCell ref="C21:C22"/>
    <mergeCell ref="B13:B14"/>
    <mergeCell ref="B70:H70"/>
    <mergeCell ref="A45:C45"/>
    <mergeCell ref="C46:C47"/>
    <mergeCell ref="A46:A47"/>
    <mergeCell ref="B46:B47"/>
    <mergeCell ref="A53:A54"/>
    <mergeCell ref="B53:B54"/>
    <mergeCell ref="C53:C54"/>
    <mergeCell ref="D53:H53"/>
    <mergeCell ref="D46:H46"/>
    <mergeCell ref="C13:C14"/>
    <mergeCell ref="A21:A22"/>
    <mergeCell ref="A38:A39"/>
    <mergeCell ref="B38:B39"/>
    <mergeCell ref="C38:C39"/>
    <mergeCell ref="A2:H2"/>
    <mergeCell ref="D7:H7"/>
    <mergeCell ref="A7:A8"/>
    <mergeCell ref="B7:B8"/>
    <mergeCell ref="C7:C8"/>
    <mergeCell ref="A5:H5"/>
    <mergeCell ref="A4:H4"/>
    <mergeCell ref="A3:H3"/>
  </mergeCells>
  <printOptions horizontalCentered="1"/>
  <pageMargins left="0.59055118110236227" right="7.874015748031496E-2" top="0.59055118110236227" bottom="0.19685039370078741" header="0.31496062992125984" footer="0.11811023622047245"/>
  <pageSetup paperSize="9" scale="77" orientation="portrait" r:id="rId1"/>
  <headerFooter alignWithMargins="0">
    <oddFooter>&amp;C&amp;A</oddFooter>
  </headerFooter>
  <ignoredErrors>
    <ignoredError sqref="A29:A31" twoDigitTextYear="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70C0"/>
    <pageSetUpPr fitToPage="1"/>
  </sheetPr>
  <dimension ref="A1:M86"/>
  <sheetViews>
    <sheetView showGridLines="0" zoomScaleNormal="100" zoomScaleSheetLayoutView="100" workbookViewId="0">
      <pane xSplit="2" ySplit="9" topLeftCell="C10" activePane="bottomRight" state="frozen"/>
      <selection pane="topRight" activeCell="C1" sqref="C1"/>
      <selection pane="bottomLeft" activeCell="A10" sqref="A10"/>
      <selection pane="bottomRight" activeCell="B11" sqref="B11"/>
    </sheetView>
  </sheetViews>
  <sheetFormatPr defaultColWidth="9.140625" defaultRowHeight="12"/>
  <cols>
    <col min="1" max="1" width="6" style="20" customWidth="1"/>
    <col min="2" max="2" width="76.5703125" style="20" customWidth="1"/>
    <col min="3" max="7" width="9.5703125" style="626" bestFit="1" customWidth="1"/>
    <col min="8" max="8" width="2.5703125" style="20" customWidth="1"/>
    <col min="9" max="104" width="9.140625" style="20"/>
    <col min="105" max="105" width="4.42578125" style="20" customWidth="1"/>
    <col min="106" max="106" width="40.5703125" style="20" customWidth="1"/>
    <col min="107" max="114" width="8.5703125" style="20" customWidth="1"/>
    <col min="115" max="116" width="0" style="20" hidden="1" customWidth="1"/>
    <col min="117" max="360" width="9.140625" style="20"/>
    <col min="361" max="361" width="4.42578125" style="20" customWidth="1"/>
    <col min="362" max="362" width="40.5703125" style="20" customWidth="1"/>
    <col min="363" max="370" width="8.5703125" style="20" customWidth="1"/>
    <col min="371" max="372" width="0" style="20" hidden="1" customWidth="1"/>
    <col min="373" max="616" width="9.140625" style="20"/>
    <col min="617" max="617" width="4.42578125" style="20" customWidth="1"/>
    <col min="618" max="618" width="40.5703125" style="20" customWidth="1"/>
    <col min="619" max="626" width="8.5703125" style="20" customWidth="1"/>
    <col min="627" max="628" width="0" style="20" hidden="1" customWidth="1"/>
    <col min="629" max="16384" width="9.140625" style="20"/>
  </cols>
  <sheetData>
    <row r="1" spans="1:13" ht="16.5" thickBot="1">
      <c r="A1" s="4792" t="s">
        <v>1898</v>
      </c>
      <c r="B1" s="4792"/>
      <c r="C1" s="4793">
        <f>+'1. Обща информация'!$C$40</f>
        <v>1.95583</v>
      </c>
      <c r="D1" s="4793"/>
      <c r="G1" s="3866" t="str">
        <f>'16. Необходими приходи'!H1</f>
        <v>Приложение № 6</v>
      </c>
    </row>
    <row r="2" spans="1:13" ht="18.75">
      <c r="A2" s="5382" t="s">
        <v>1490</v>
      </c>
      <c r="B2" s="5382"/>
      <c r="C2" s="5382"/>
      <c r="D2" s="5382"/>
      <c r="E2" s="5382"/>
      <c r="F2" s="5382"/>
      <c r="G2" s="5382"/>
    </row>
    <row r="3" spans="1:13" ht="18.75">
      <c r="A3" s="5382" t="s">
        <v>305</v>
      </c>
      <c r="B3" s="5382"/>
      <c r="C3" s="5382"/>
      <c r="D3" s="5382"/>
      <c r="E3" s="5382"/>
      <c r="F3" s="5382"/>
      <c r="G3" s="5382"/>
    </row>
    <row r="4" spans="1:13" ht="14.25">
      <c r="A4" s="5383" t="str">
        <f>'1. Обща информация'!A4:D4</f>
        <v>на ВОДОСНАБДЯВАНЕ И КАНАЛИЗАЦИЯ ЕООД, гр. ХАСКОВО</v>
      </c>
      <c r="B4" s="5383"/>
      <c r="C4" s="5383"/>
      <c r="D4" s="5383"/>
      <c r="E4" s="5383"/>
      <c r="F4" s="5383"/>
      <c r="G4" s="5383"/>
    </row>
    <row r="5" spans="1:13" ht="14.25">
      <c r="A5" s="5383" t="str">
        <f>'1. Обща информация'!A5:D5</f>
        <v>ЕИК по БУЛСТАТ: 126004284</v>
      </c>
      <c r="B5" s="5383"/>
      <c r="C5" s="5383"/>
      <c r="D5" s="5383"/>
      <c r="E5" s="5383"/>
      <c r="F5" s="5383"/>
      <c r="G5" s="5383"/>
    </row>
    <row r="6" spans="1:13" ht="13.5" thickBot="1">
      <c r="D6" s="627"/>
      <c r="G6" s="650" t="s">
        <v>190</v>
      </c>
      <c r="M6" s="650" t="s">
        <v>1892</v>
      </c>
    </row>
    <row r="7" spans="1:13" s="21" customFormat="1" ht="13.5" thickBot="1">
      <c r="A7" s="5377" t="s">
        <v>1</v>
      </c>
      <c r="B7" s="5371" t="s">
        <v>87</v>
      </c>
      <c r="C7" s="5384" t="s">
        <v>224</v>
      </c>
      <c r="D7" s="5385"/>
      <c r="E7" s="5385"/>
      <c r="F7" s="5385"/>
      <c r="G7" s="5386"/>
      <c r="H7" s="4422"/>
      <c r="I7" s="5381" t="s">
        <v>224</v>
      </c>
      <c r="J7" s="5381"/>
      <c r="K7" s="5381"/>
      <c r="L7" s="5381"/>
      <c r="M7" s="5381"/>
    </row>
    <row r="8" spans="1:13" s="21" customFormat="1" ht="13.5" thickBot="1">
      <c r="A8" s="5387"/>
      <c r="B8" s="5372"/>
      <c r="C8" s="5374" t="s">
        <v>210</v>
      </c>
      <c r="D8" s="5375"/>
      <c r="E8" s="5375"/>
      <c r="F8" s="5375"/>
      <c r="G8" s="5376"/>
      <c r="H8" s="4422"/>
      <c r="I8" s="5381" t="s">
        <v>210</v>
      </c>
      <c r="J8" s="5381"/>
      <c r="K8" s="5381"/>
      <c r="L8" s="5381"/>
      <c r="M8" s="5381"/>
    </row>
    <row r="9" spans="1:13" ht="13.5" thickBot="1">
      <c r="A9" s="5378"/>
      <c r="B9" s="5373"/>
      <c r="C9" s="1215" t="str">
        <f>'Приложение '!$C14</f>
        <v>2027 г.</v>
      </c>
      <c r="D9" s="1216" t="str">
        <f>'Приложение '!$C15</f>
        <v>2028 г.</v>
      </c>
      <c r="E9" s="1216" t="str">
        <f>'Приложение '!$C16</f>
        <v>2029 г.</v>
      </c>
      <c r="F9" s="1216" t="str">
        <f>'Приложение '!$C17</f>
        <v>2030 г.</v>
      </c>
      <c r="G9" s="1217" t="str">
        <f>'Приложение '!$C18</f>
        <v>2031 г.</v>
      </c>
      <c r="H9" s="4422"/>
      <c r="I9" s="4496" t="str">
        <f>'Приложение '!$C14</f>
        <v>2027 г.</v>
      </c>
      <c r="J9" s="4496" t="str">
        <f>'Приложение '!$C15</f>
        <v>2028 г.</v>
      </c>
      <c r="K9" s="4496" t="str">
        <f>'Приложение '!$C16</f>
        <v>2029 г.</v>
      </c>
      <c r="L9" s="4496" t="str">
        <f>'Приложение '!$C17</f>
        <v>2030 г.</v>
      </c>
      <c r="M9" s="4496" t="str">
        <f>'Приложение '!$C18</f>
        <v>2031 г.</v>
      </c>
    </row>
    <row r="10" spans="1:13" s="135" customFormat="1" ht="13.5" thickBot="1">
      <c r="A10" s="137" t="s">
        <v>141</v>
      </c>
      <c r="B10" s="138" t="s">
        <v>547</v>
      </c>
      <c r="C10" s="3916">
        <f t="shared" ref="C10:G10" si="0">C11-C12</f>
        <v>19048.666666666672</v>
      </c>
      <c r="D10" s="3917">
        <f t="shared" si="0"/>
        <v>25029.812536666668</v>
      </c>
      <c r="E10" s="3917">
        <f t="shared" si="0"/>
        <v>34499.10427666668</v>
      </c>
      <c r="F10" s="3917">
        <f t="shared" si="0"/>
        <v>43967.729350000009</v>
      </c>
      <c r="G10" s="3918">
        <f t="shared" si="0"/>
        <v>45666.129350000003</v>
      </c>
      <c r="H10" s="4422"/>
      <c r="I10" s="4427">
        <f>IFERROR(C10/$C$1,0)</f>
        <v>9739.4286142797027</v>
      </c>
      <c r="J10" s="4427">
        <f t="shared" ref="J10:M10" si="1">IFERROR(D10/$C$1,0)</f>
        <v>12797.539937860995</v>
      </c>
      <c r="K10" s="4427">
        <f t="shared" si="1"/>
        <v>17639.111925201414</v>
      </c>
      <c r="L10" s="4427">
        <f t="shared" si="1"/>
        <v>22480.343051287695</v>
      </c>
      <c r="M10" s="4427">
        <f t="shared" si="1"/>
        <v>23348.721182311347</v>
      </c>
    </row>
    <row r="11" spans="1:13" ht="13.5" thickBot="1">
      <c r="A11" s="1213" t="s">
        <v>90</v>
      </c>
      <c r="B11" s="1214" t="s">
        <v>686</v>
      </c>
      <c r="C11" s="3919">
        <f>'11. Амортиз. план'!F10+'11. Амортиз. план'!F111</f>
        <v>19048.666666666672</v>
      </c>
      <c r="D11" s="3920">
        <f>'11. Амортиз. план'!G10+'11. Амортиз. план'!G111</f>
        <v>25029.812536666668</v>
      </c>
      <c r="E11" s="3920">
        <f>'11. Амортиз. план'!H10+'11. Амортиз. план'!H111</f>
        <v>34499.10427666668</v>
      </c>
      <c r="F11" s="3920">
        <f>'11. Амортиз. план'!I10+'11. Амортиз. план'!I111</f>
        <v>43967.729350000009</v>
      </c>
      <c r="G11" s="3921">
        <f>'11. Амортиз. план'!J10+'11. Амортиз. план'!J111</f>
        <v>45666.129350000003</v>
      </c>
      <c r="H11" s="4422"/>
      <c r="I11" s="4427">
        <f t="shared" ref="I11:I21" si="2">IFERROR(C11/$C$1,0)</f>
        <v>9739.4286142797027</v>
      </c>
      <c r="J11" s="4427">
        <f t="shared" ref="J11:J21" si="3">IFERROR(D11/$C$1,0)</f>
        <v>12797.539937860995</v>
      </c>
      <c r="K11" s="4427">
        <f t="shared" ref="K11:K21" si="4">IFERROR(E11/$C$1,0)</f>
        <v>17639.111925201414</v>
      </c>
      <c r="L11" s="4427">
        <f t="shared" ref="L11:L21" si="5">IFERROR(F11/$C$1,0)</f>
        <v>22480.343051287695</v>
      </c>
      <c r="M11" s="4427">
        <f t="shared" ref="M11:M21" si="6">IFERROR(G11/$C$1,0)</f>
        <v>23348.721182311347</v>
      </c>
    </row>
    <row r="12" spans="1:13" ht="13.5" thickBot="1">
      <c r="A12" s="1213" t="s">
        <v>91</v>
      </c>
      <c r="B12" s="1214" t="s">
        <v>649</v>
      </c>
      <c r="C12" s="3919">
        <f>'11. Амортиз. план'!G32</f>
        <v>0</v>
      </c>
      <c r="D12" s="3920">
        <f>'11. Амортиз. план'!H32</f>
        <v>0</v>
      </c>
      <c r="E12" s="3920">
        <f>'11. Амортиз. план'!I32</f>
        <v>0</v>
      </c>
      <c r="F12" s="3920">
        <f>'11. Амортиз. план'!J32</f>
        <v>0</v>
      </c>
      <c r="G12" s="3921">
        <f>'11. Амортиз. план'!K32</f>
        <v>0</v>
      </c>
      <c r="H12" s="4422"/>
      <c r="I12" s="4427">
        <f t="shared" si="2"/>
        <v>0</v>
      </c>
      <c r="J12" s="4427">
        <f t="shared" si="3"/>
        <v>0</v>
      </c>
      <c r="K12" s="4427">
        <f t="shared" si="4"/>
        <v>0</v>
      </c>
      <c r="L12" s="4427">
        <f t="shared" si="5"/>
        <v>0</v>
      </c>
      <c r="M12" s="4427">
        <f t="shared" si="6"/>
        <v>0</v>
      </c>
    </row>
    <row r="13" spans="1:13" s="135" customFormat="1" ht="13.5" thickBot="1">
      <c r="A13" s="136" t="s">
        <v>95</v>
      </c>
      <c r="B13" s="134" t="s">
        <v>548</v>
      </c>
      <c r="C13" s="3922">
        <f t="shared" ref="C13:G13" si="7">C14-C15</f>
        <v>8038.4112109374964</v>
      </c>
      <c r="D13" s="3923">
        <f t="shared" si="7"/>
        <v>9041.7485660072925</v>
      </c>
      <c r="E13" s="3923">
        <f t="shared" si="7"/>
        <v>10370.352756827848</v>
      </c>
      <c r="F13" s="3923">
        <f t="shared" si="7"/>
        <v>12056.942500895386</v>
      </c>
      <c r="G13" s="3924">
        <f t="shared" si="7"/>
        <v>13980.140268876557</v>
      </c>
      <c r="H13" s="4422"/>
      <c r="I13" s="4427">
        <f t="shared" si="2"/>
        <v>4109.9743898690049</v>
      </c>
      <c r="J13" s="4427">
        <f t="shared" si="3"/>
        <v>4622.9726336170797</v>
      </c>
      <c r="K13" s="4427">
        <f t="shared" si="4"/>
        <v>5302.2771697069011</v>
      </c>
      <c r="L13" s="4427">
        <f t="shared" si="5"/>
        <v>6164.616812757441</v>
      </c>
      <c r="M13" s="4427">
        <f t="shared" si="6"/>
        <v>7147.9322174609033</v>
      </c>
    </row>
    <row r="14" spans="1:13" ht="13.5" thickBot="1">
      <c r="A14" s="122" t="s">
        <v>96</v>
      </c>
      <c r="B14" s="123" t="s">
        <v>687</v>
      </c>
      <c r="C14" s="3919">
        <f>'11. Амортиз. план'!F60+'11. Амортиз. план'!F151</f>
        <v>8038.4112109374964</v>
      </c>
      <c r="D14" s="3920">
        <f>'11. Амортиз. план'!G60+'11. Амортиз. план'!G151</f>
        <v>9041.7485660072925</v>
      </c>
      <c r="E14" s="3920">
        <f>'11. Амортиз. план'!H60+'11. Амортиз. план'!H151</f>
        <v>10370.352756827848</v>
      </c>
      <c r="F14" s="3920">
        <f>'11. Амортиз. план'!I60+'11. Амортиз. план'!I151</f>
        <v>12056.942500895386</v>
      </c>
      <c r="G14" s="3921">
        <f>'11. Амортиз. план'!J60+'11. Амортиз. план'!J151</f>
        <v>13980.140268876557</v>
      </c>
      <c r="H14" s="4422"/>
      <c r="I14" s="4427">
        <f t="shared" si="2"/>
        <v>4109.9743898690049</v>
      </c>
      <c r="J14" s="4427">
        <f t="shared" si="3"/>
        <v>4622.9726336170797</v>
      </c>
      <c r="K14" s="4427">
        <f t="shared" si="4"/>
        <v>5302.2771697069011</v>
      </c>
      <c r="L14" s="4427">
        <f t="shared" si="5"/>
        <v>6164.616812757441</v>
      </c>
      <c r="M14" s="4427">
        <f t="shared" si="6"/>
        <v>7147.9322174609033</v>
      </c>
    </row>
    <row r="15" spans="1:13" ht="13.5" thickBot="1">
      <c r="A15" s="122" t="s">
        <v>97</v>
      </c>
      <c r="B15" s="123" t="s">
        <v>650</v>
      </c>
      <c r="C15" s="3925">
        <f>'11. Амортиз. план'!G82</f>
        <v>0</v>
      </c>
      <c r="D15" s="3926">
        <f>'11. Амортиз. план'!H82</f>
        <v>0</v>
      </c>
      <c r="E15" s="3926">
        <f>'11. Амортиз. план'!I82</f>
        <v>0</v>
      </c>
      <c r="F15" s="3926">
        <f>'11. Амортиз. план'!J82</f>
        <v>0</v>
      </c>
      <c r="G15" s="3927">
        <f>'11. Амортиз. план'!K82</f>
        <v>0</v>
      </c>
      <c r="H15" s="4422"/>
      <c r="I15" s="4427">
        <f t="shared" si="2"/>
        <v>0</v>
      </c>
      <c r="J15" s="4427">
        <f t="shared" si="3"/>
        <v>0</v>
      </c>
      <c r="K15" s="4427">
        <f t="shared" si="4"/>
        <v>0</v>
      </c>
      <c r="L15" s="4427">
        <f t="shared" si="5"/>
        <v>0</v>
      </c>
      <c r="M15" s="4427">
        <f t="shared" si="6"/>
        <v>0</v>
      </c>
    </row>
    <row r="16" spans="1:13" s="135" customFormat="1" ht="24.75" thickBot="1">
      <c r="A16" s="133" t="s">
        <v>99</v>
      </c>
      <c r="B16" s="134" t="s">
        <v>549</v>
      </c>
      <c r="C16" s="3928">
        <f t="shared" ref="C16:G16" si="8">(C17+C18)/2</f>
        <v>103</v>
      </c>
      <c r="D16" s="3929">
        <f t="shared" si="8"/>
        <v>45</v>
      </c>
      <c r="E16" s="3929">
        <f t="shared" si="8"/>
        <v>8</v>
      </c>
      <c r="F16" s="3929">
        <f t="shared" si="8"/>
        <v>0</v>
      </c>
      <c r="G16" s="3930">
        <f t="shared" si="8"/>
        <v>0</v>
      </c>
      <c r="H16" s="4422"/>
      <c r="I16" s="4427">
        <f t="shared" si="2"/>
        <v>52.663063763210502</v>
      </c>
      <c r="J16" s="4427">
        <f t="shared" si="3"/>
        <v>23.008134653829831</v>
      </c>
      <c r="K16" s="4427">
        <f t="shared" si="4"/>
        <v>4.0903350495697479</v>
      </c>
      <c r="L16" s="4427">
        <f t="shared" si="5"/>
        <v>0</v>
      </c>
      <c r="M16" s="4427">
        <f t="shared" si="6"/>
        <v>0</v>
      </c>
    </row>
    <row r="17" spans="1:13" ht="13.5" thickBot="1">
      <c r="A17" s="122" t="s">
        <v>171</v>
      </c>
      <c r="B17" s="123" t="s">
        <v>195</v>
      </c>
      <c r="C17" s="3867">
        <f>IF('10. Финансиране на ИП'!F37=0,0,'10. Финансиране на ИП'!F37)</f>
        <v>132</v>
      </c>
      <c r="D17" s="3868">
        <f>IF('10. Финансиране на ИП'!G37=0,0,'10. Финансиране на ИП'!G37)</f>
        <v>74</v>
      </c>
      <c r="E17" s="3868">
        <f>IF('10. Финансиране на ИП'!H37=0,0,'10. Финансиране на ИП'!H37)</f>
        <v>16</v>
      </c>
      <c r="F17" s="3868">
        <f>IF('10. Финансиране на ИП'!I37=0,0,'10. Финансиране на ИП'!I37)</f>
        <v>0</v>
      </c>
      <c r="G17" s="3869">
        <f>IF('10. Финансиране на ИП'!J37=0,0,'10. Финансиране на ИП'!J37)</f>
        <v>0</v>
      </c>
      <c r="H17" s="4422"/>
      <c r="I17" s="4427">
        <f t="shared" si="2"/>
        <v>67.490528317900839</v>
      </c>
      <c r="J17" s="4427">
        <f t="shared" si="3"/>
        <v>37.835599208520172</v>
      </c>
      <c r="K17" s="4427">
        <f t="shared" si="4"/>
        <v>8.1806700991394958</v>
      </c>
      <c r="L17" s="4427">
        <f t="shared" si="5"/>
        <v>0</v>
      </c>
      <c r="M17" s="4427">
        <f t="shared" si="6"/>
        <v>0</v>
      </c>
    </row>
    <row r="18" spans="1:13" ht="13.5" thickBot="1">
      <c r="A18" s="122" t="s">
        <v>172</v>
      </c>
      <c r="B18" s="123" t="s">
        <v>550</v>
      </c>
      <c r="C18" s="3867">
        <f>IF('10. Финансиране на ИП'!F43=0,0,'10. Финансиране на ИП'!F43)</f>
        <v>74</v>
      </c>
      <c r="D18" s="3868">
        <f>IF('10. Финансиране на ИП'!G43=0,0,'10. Финансиране на ИП'!G43)</f>
        <v>16</v>
      </c>
      <c r="E18" s="3868">
        <f>IF('10. Финансиране на ИП'!H43=0,0,'10. Финансиране на ИП'!H43)</f>
        <v>0</v>
      </c>
      <c r="F18" s="3868">
        <f>IF('10. Финансиране на ИП'!I43=0,0,'10. Финансиране на ИП'!I43)</f>
        <v>0</v>
      </c>
      <c r="G18" s="3869">
        <f>IF('10. Финансиране на ИП'!J43=0,0,'10. Финансиране на ИП'!J43)</f>
        <v>0</v>
      </c>
      <c r="H18" s="4422"/>
      <c r="I18" s="4427">
        <f t="shared" si="2"/>
        <v>37.835599208520172</v>
      </c>
      <c r="J18" s="4427">
        <f t="shared" si="3"/>
        <v>8.1806700991394958</v>
      </c>
      <c r="K18" s="4427">
        <f t="shared" si="4"/>
        <v>0</v>
      </c>
      <c r="L18" s="4427">
        <f t="shared" si="5"/>
        <v>0</v>
      </c>
      <c r="M18" s="4427">
        <f t="shared" si="6"/>
        <v>0</v>
      </c>
    </row>
    <row r="19" spans="1:13" s="135" customFormat="1" ht="13.5" thickBot="1">
      <c r="A19" s="136" t="s">
        <v>100</v>
      </c>
      <c r="B19" s="134" t="s">
        <v>329</v>
      </c>
      <c r="C19" s="3928">
        <f>'9.Инвестиционна програма'!I140</f>
        <v>5981.1458700000003</v>
      </c>
      <c r="D19" s="3929">
        <f>'9.Инвестиционна програма'!J140</f>
        <v>9469.2917400000006</v>
      </c>
      <c r="E19" s="3929">
        <f>'9.Инвестиционна програма'!K140</f>
        <v>9468.6250733333345</v>
      </c>
      <c r="F19" s="3929">
        <f>'9.Инвестиционна програма'!L140</f>
        <v>1698.4</v>
      </c>
      <c r="G19" s="3930">
        <f>'9.Инвестиционна програма'!M140</f>
        <v>1668.3333333333333</v>
      </c>
      <c r="H19" s="4422"/>
      <c r="I19" s="4427">
        <f t="shared" si="2"/>
        <v>3058.1113235812932</v>
      </c>
      <c r="J19" s="4427">
        <f t="shared" si="3"/>
        <v>4841.5719873404132</v>
      </c>
      <c r="K19" s="4427">
        <f t="shared" si="4"/>
        <v>4841.2311260862825</v>
      </c>
      <c r="L19" s="4427">
        <f t="shared" si="5"/>
        <v>868.37813102365749</v>
      </c>
      <c r="M19" s="4427">
        <f t="shared" si="6"/>
        <v>853.00528846235784</v>
      </c>
    </row>
    <row r="20" spans="1:13" s="135" customFormat="1" ht="13.5" thickBot="1">
      <c r="A20" s="139">
        <v>5</v>
      </c>
      <c r="B20" s="140" t="s">
        <v>306</v>
      </c>
      <c r="C20" s="3931">
        <f>'18. OK'!D25</f>
        <v>5125.6839433630685</v>
      </c>
      <c r="D20" s="3932">
        <f>'18. OK'!E25</f>
        <v>5465.3779442740288</v>
      </c>
      <c r="E20" s="3932">
        <f>'18. OK'!F25</f>
        <v>5845.7990606829044</v>
      </c>
      <c r="F20" s="3932">
        <f>'18. OK'!G25</f>
        <v>6375.2242711938461</v>
      </c>
      <c r="G20" s="3933">
        <f>'18. OK'!H25</f>
        <v>6818.5166610065917</v>
      </c>
      <c r="H20" s="4422"/>
      <c r="I20" s="4427">
        <f t="shared" si="2"/>
        <v>2620.7205858193547</v>
      </c>
      <c r="J20" s="4427">
        <f t="shared" si="3"/>
        <v>2794.4033705761894</v>
      </c>
      <c r="K20" s="4427">
        <f t="shared" si="4"/>
        <v>2988.9095988316494</v>
      </c>
      <c r="L20" s="4427">
        <f t="shared" si="5"/>
        <v>3259.6004106664927</v>
      </c>
      <c r="M20" s="4427">
        <f t="shared" si="6"/>
        <v>3486.2522105738185</v>
      </c>
    </row>
    <row r="21" spans="1:13" ht="13.5" thickBot="1">
      <c r="A21" s="126">
        <v>6</v>
      </c>
      <c r="B21" s="127" t="s">
        <v>305</v>
      </c>
      <c r="C21" s="628">
        <f t="shared" ref="C21:G21" si="9">C10-C13+C16+C19+C20</f>
        <v>22220.08526909224</v>
      </c>
      <c r="D21" s="629">
        <f t="shared" si="9"/>
        <v>30967.733654933407</v>
      </c>
      <c r="E21" s="629">
        <f t="shared" si="9"/>
        <v>39451.175653855069</v>
      </c>
      <c r="F21" s="629">
        <f t="shared" si="9"/>
        <v>39984.411120298471</v>
      </c>
      <c r="G21" s="630">
        <f t="shared" si="9"/>
        <v>40172.839075463373</v>
      </c>
      <c r="H21" s="4422"/>
      <c r="I21" s="4427">
        <f t="shared" si="2"/>
        <v>11360.949197574555</v>
      </c>
      <c r="J21" s="4427">
        <f t="shared" si="3"/>
        <v>15833.550796814348</v>
      </c>
      <c r="K21" s="4427">
        <f t="shared" si="4"/>
        <v>20171.065815462014</v>
      </c>
      <c r="L21" s="4427">
        <f t="shared" si="5"/>
        <v>20443.704780220403</v>
      </c>
      <c r="M21" s="4427">
        <f t="shared" si="6"/>
        <v>20540.046463886621</v>
      </c>
    </row>
    <row r="22" spans="1:13" ht="13.5" thickBot="1">
      <c r="A22" s="5377" t="s">
        <v>1</v>
      </c>
      <c r="B22" s="5379" t="s">
        <v>87</v>
      </c>
      <c r="C22" s="5374" t="s">
        <v>174</v>
      </c>
      <c r="D22" s="5375"/>
      <c r="E22" s="5375"/>
      <c r="F22" s="5375"/>
      <c r="G22" s="5376"/>
      <c r="H22" s="4422"/>
      <c r="I22" s="5381" t="s">
        <v>174</v>
      </c>
      <c r="J22" s="5381"/>
      <c r="K22" s="5381"/>
      <c r="L22" s="5381"/>
      <c r="M22" s="5381"/>
    </row>
    <row r="23" spans="1:13" ht="13.5" thickBot="1">
      <c r="A23" s="5378"/>
      <c r="B23" s="5380"/>
      <c r="C23" s="1215" t="str">
        <f t="shared" ref="C23:G23" si="10">C9</f>
        <v>2027 г.</v>
      </c>
      <c r="D23" s="1216" t="str">
        <f t="shared" si="10"/>
        <v>2028 г.</v>
      </c>
      <c r="E23" s="1216" t="str">
        <f t="shared" si="10"/>
        <v>2029 г.</v>
      </c>
      <c r="F23" s="1216" t="str">
        <f t="shared" si="10"/>
        <v>2030 г.</v>
      </c>
      <c r="G23" s="1217" t="str">
        <f t="shared" si="10"/>
        <v>2031 г.</v>
      </c>
      <c r="H23" s="4422"/>
      <c r="I23" s="4496" t="str">
        <f t="shared" ref="I23:M23" si="11">I9</f>
        <v>2027 г.</v>
      </c>
      <c r="J23" s="4496" t="str">
        <f t="shared" si="11"/>
        <v>2028 г.</v>
      </c>
      <c r="K23" s="4496" t="str">
        <f t="shared" si="11"/>
        <v>2029 г.</v>
      </c>
      <c r="L23" s="4496" t="str">
        <f t="shared" si="11"/>
        <v>2030 г.</v>
      </c>
      <c r="M23" s="4496" t="str">
        <f t="shared" si="11"/>
        <v>2031 г.</v>
      </c>
    </row>
    <row r="24" spans="1:13" ht="13.5" thickBot="1">
      <c r="A24" s="137" t="s">
        <v>141</v>
      </c>
      <c r="B24" s="138" t="s">
        <v>547</v>
      </c>
      <c r="C24" s="3916">
        <f t="shared" ref="C24:G24" si="12">C25-C26</f>
        <v>2795.6666666666665</v>
      </c>
      <c r="D24" s="3917">
        <f t="shared" si="12"/>
        <v>4248.9350266666661</v>
      </c>
      <c r="E24" s="3917">
        <f t="shared" si="12"/>
        <v>6670.4717466666661</v>
      </c>
      <c r="F24" s="3917">
        <f t="shared" si="12"/>
        <v>8910.3418000000001</v>
      </c>
      <c r="G24" s="3918">
        <f t="shared" si="12"/>
        <v>9249.7417999999998</v>
      </c>
      <c r="H24" s="4422"/>
      <c r="I24" s="4427">
        <f t="shared" ref="I24:I35" si="13">IFERROR(C24/$C$1,0)</f>
        <v>1429.4016691975614</v>
      </c>
      <c r="J24" s="4427">
        <f t="shared" ref="J24:J35" si="14">IFERROR(D24/$C$1,0)</f>
        <v>2172.4459828649046</v>
      </c>
      <c r="K24" s="4427">
        <f t="shared" ref="K24:K35" si="15">IFERROR(E24/$C$1,0)</f>
        <v>3410.5580478194252</v>
      </c>
      <c r="L24" s="4427">
        <f t="shared" ref="L24:L35" si="16">IFERROR(F24/$C$1,0)</f>
        <v>4555.7854210232999</v>
      </c>
      <c r="M24" s="4427">
        <f t="shared" ref="M24:M35" si="17">IFERROR(G24/$C$1,0)</f>
        <v>4729.3178855012957</v>
      </c>
    </row>
    <row r="25" spans="1:13" ht="13.5" thickBot="1">
      <c r="A25" s="1213" t="s">
        <v>90</v>
      </c>
      <c r="B25" s="1214" t="s">
        <v>686</v>
      </c>
      <c r="C25" s="3919">
        <f>'11. Амортиз. план'!M10+'11. Амортиз. план'!M111</f>
        <v>2795.6666666666665</v>
      </c>
      <c r="D25" s="3920">
        <f>'11. Амортиз. план'!N10+'11. Амортиз. план'!N111</f>
        <v>4248.9350266666661</v>
      </c>
      <c r="E25" s="3920">
        <f>'11. Амортиз. план'!O10+'11. Амортиз. план'!O111</f>
        <v>6670.4717466666661</v>
      </c>
      <c r="F25" s="3920">
        <f>'11. Амортиз. план'!P10+'11. Амортиз. план'!P111</f>
        <v>8910.3418000000001</v>
      </c>
      <c r="G25" s="3921">
        <f>'11. Амортиз. план'!Q10+'11. Амортиз. план'!Q111</f>
        <v>9249.7417999999998</v>
      </c>
      <c r="H25" s="4422"/>
      <c r="I25" s="4427">
        <f t="shared" si="13"/>
        <v>1429.4016691975614</v>
      </c>
      <c r="J25" s="4427">
        <f t="shared" si="14"/>
        <v>2172.4459828649046</v>
      </c>
      <c r="K25" s="4427">
        <f t="shared" si="15"/>
        <v>3410.5580478194252</v>
      </c>
      <c r="L25" s="4427">
        <f t="shared" si="16"/>
        <v>4555.7854210232999</v>
      </c>
      <c r="M25" s="4427">
        <f t="shared" si="17"/>
        <v>4729.3178855012957</v>
      </c>
    </row>
    <row r="26" spans="1:13" ht="13.5" thickBot="1">
      <c r="A26" s="1213" t="s">
        <v>91</v>
      </c>
      <c r="B26" s="1214" t="s">
        <v>649</v>
      </c>
      <c r="C26" s="3919">
        <f>'11. Амортиз. план'!N32</f>
        <v>0</v>
      </c>
      <c r="D26" s="3920">
        <f>'11. Амортиз. план'!O32</f>
        <v>0</v>
      </c>
      <c r="E26" s="3920">
        <f>'11. Амортиз. план'!P32</f>
        <v>0</v>
      </c>
      <c r="F26" s="3920">
        <f>'11. Амортиз. план'!Q32</f>
        <v>0</v>
      </c>
      <c r="G26" s="3921">
        <f>'11. Амортиз. план'!R32</f>
        <v>0</v>
      </c>
      <c r="H26" s="4422"/>
      <c r="I26" s="4427">
        <f t="shared" si="13"/>
        <v>0</v>
      </c>
      <c r="J26" s="4427">
        <f t="shared" si="14"/>
        <v>0</v>
      </c>
      <c r="K26" s="4427">
        <f t="shared" si="15"/>
        <v>0</v>
      </c>
      <c r="L26" s="4427">
        <f t="shared" si="16"/>
        <v>0</v>
      </c>
      <c r="M26" s="4427">
        <f t="shared" si="17"/>
        <v>0</v>
      </c>
    </row>
    <row r="27" spans="1:13" ht="13.5" thickBot="1">
      <c r="A27" s="136" t="s">
        <v>95</v>
      </c>
      <c r="B27" s="134" t="s">
        <v>548</v>
      </c>
      <c r="C27" s="3922">
        <f t="shared" ref="C27:G27" si="18">C28-C29</f>
        <v>1846.3833593749998</v>
      </c>
      <c r="D27" s="3923">
        <f t="shared" si="18"/>
        <v>1961.009818903759</v>
      </c>
      <c r="E27" s="3923">
        <f t="shared" si="18"/>
        <v>2117.9258472283154</v>
      </c>
      <c r="F27" s="3923">
        <f t="shared" si="18"/>
        <v>2255.0701384353406</v>
      </c>
      <c r="G27" s="3924">
        <f t="shared" si="18"/>
        <v>2418.3550844409733</v>
      </c>
      <c r="H27" s="4422"/>
      <c r="I27" s="4427">
        <f t="shared" si="13"/>
        <v>944.04082122423722</v>
      </c>
      <c r="J27" s="4427">
        <f t="shared" si="14"/>
        <v>1002.6483993515586</v>
      </c>
      <c r="K27" s="4427">
        <f t="shared" si="15"/>
        <v>1082.8782906634603</v>
      </c>
      <c r="L27" s="4427">
        <f t="shared" si="16"/>
        <v>1152.9990533100222</v>
      </c>
      <c r="M27" s="4427">
        <f t="shared" si="17"/>
        <v>1236.485320524265</v>
      </c>
    </row>
    <row r="28" spans="1:13" ht="13.5" thickBot="1">
      <c r="A28" s="122" t="s">
        <v>96</v>
      </c>
      <c r="B28" s="123" t="s">
        <v>687</v>
      </c>
      <c r="C28" s="3919">
        <f>'11. Амортиз. план'!M60+'11. Амортиз. план'!M151</f>
        <v>1846.3833593749998</v>
      </c>
      <c r="D28" s="3920">
        <f>'11. Амортиз. план'!N60+'11. Амортиз. план'!N151</f>
        <v>1961.009818903759</v>
      </c>
      <c r="E28" s="3920">
        <f>'11. Амортиз. план'!O60+'11. Амортиз. план'!O151</f>
        <v>2117.9258472283154</v>
      </c>
      <c r="F28" s="3920">
        <f>'11. Амортиз. план'!P60+'11. Амортиз. план'!P151</f>
        <v>2255.0701384353406</v>
      </c>
      <c r="G28" s="3921">
        <f>'11. Амортиз. план'!Q60+'11. Амортиз. план'!Q151</f>
        <v>2418.3550844409733</v>
      </c>
      <c r="H28" s="4422"/>
      <c r="I28" s="4427">
        <f t="shared" si="13"/>
        <v>944.04082122423722</v>
      </c>
      <c r="J28" s="4427">
        <f t="shared" si="14"/>
        <v>1002.6483993515586</v>
      </c>
      <c r="K28" s="4427">
        <f t="shared" si="15"/>
        <v>1082.8782906634603</v>
      </c>
      <c r="L28" s="4427">
        <f t="shared" si="16"/>
        <v>1152.9990533100222</v>
      </c>
      <c r="M28" s="4427">
        <f t="shared" si="17"/>
        <v>1236.485320524265</v>
      </c>
    </row>
    <row r="29" spans="1:13" ht="13.5" thickBot="1">
      <c r="A29" s="122" t="s">
        <v>97</v>
      </c>
      <c r="B29" s="123" t="s">
        <v>650</v>
      </c>
      <c r="C29" s="3925">
        <f>'11. Амортиз. план'!N82</f>
        <v>0</v>
      </c>
      <c r="D29" s="3926">
        <f>'11. Амортиз. план'!O82</f>
        <v>0</v>
      </c>
      <c r="E29" s="3926">
        <f>'11. Амортиз. план'!P82</f>
        <v>0</v>
      </c>
      <c r="F29" s="3926">
        <f>'11. Амортиз. план'!Q82</f>
        <v>0</v>
      </c>
      <c r="G29" s="3927">
        <f>'11. Амортиз. план'!R82</f>
        <v>0</v>
      </c>
      <c r="H29" s="4422"/>
      <c r="I29" s="4427">
        <f t="shared" si="13"/>
        <v>0</v>
      </c>
      <c r="J29" s="4427">
        <f t="shared" si="14"/>
        <v>0</v>
      </c>
      <c r="K29" s="4427">
        <f t="shared" si="15"/>
        <v>0</v>
      </c>
      <c r="L29" s="4427">
        <f t="shared" si="16"/>
        <v>0</v>
      </c>
      <c r="M29" s="4427">
        <f t="shared" si="17"/>
        <v>0</v>
      </c>
    </row>
    <row r="30" spans="1:13" ht="24.75" thickBot="1">
      <c r="A30" s="133" t="s">
        <v>99</v>
      </c>
      <c r="B30" s="134" t="s">
        <v>549</v>
      </c>
      <c r="C30" s="3928">
        <f t="shared" ref="C30:G30" si="19">(C31+C32)/2</f>
        <v>0</v>
      </c>
      <c r="D30" s="3929">
        <f t="shared" si="19"/>
        <v>0</v>
      </c>
      <c r="E30" s="3929">
        <f t="shared" si="19"/>
        <v>0</v>
      </c>
      <c r="F30" s="3929">
        <f t="shared" si="19"/>
        <v>0</v>
      </c>
      <c r="G30" s="3930">
        <f t="shared" si="19"/>
        <v>0</v>
      </c>
      <c r="H30" s="4422"/>
      <c r="I30" s="4427">
        <f t="shared" si="13"/>
        <v>0</v>
      </c>
      <c r="J30" s="4427">
        <f t="shared" si="14"/>
        <v>0</v>
      </c>
      <c r="K30" s="4427">
        <f t="shared" si="15"/>
        <v>0</v>
      </c>
      <c r="L30" s="4427">
        <f t="shared" si="16"/>
        <v>0</v>
      </c>
      <c r="M30" s="4427">
        <f t="shared" si="17"/>
        <v>0</v>
      </c>
    </row>
    <row r="31" spans="1:13" ht="13.5" thickBot="1">
      <c r="A31" s="122" t="s">
        <v>171</v>
      </c>
      <c r="B31" s="123" t="s">
        <v>195</v>
      </c>
      <c r="C31" s="3867">
        <f>IF('10. Финансиране на ИП'!N37=0,0,'10. Финансиране на ИП'!N37)</f>
        <v>0</v>
      </c>
      <c r="D31" s="3868">
        <f>IF('10. Финансиране на ИП'!O37=0,0,'10. Финансиране на ИП'!O37)</f>
        <v>0</v>
      </c>
      <c r="E31" s="3868">
        <f>IF('10. Финансиране на ИП'!P37=0,0,'10. Финансиране на ИП'!P37)</f>
        <v>0</v>
      </c>
      <c r="F31" s="3868">
        <f>IF('10. Финансиране на ИП'!Q37=0,0,'10. Финансиране на ИП'!Q37)</f>
        <v>0</v>
      </c>
      <c r="G31" s="3869">
        <f>IF('10. Финансиране на ИП'!R37=0,0,'10. Финансиране на ИП'!R37)</f>
        <v>0</v>
      </c>
      <c r="H31" s="4422"/>
      <c r="I31" s="4427">
        <f t="shared" si="13"/>
        <v>0</v>
      </c>
      <c r="J31" s="4427">
        <f t="shared" si="14"/>
        <v>0</v>
      </c>
      <c r="K31" s="4427">
        <f t="shared" si="15"/>
        <v>0</v>
      </c>
      <c r="L31" s="4427">
        <f t="shared" si="16"/>
        <v>0</v>
      </c>
      <c r="M31" s="4427">
        <f t="shared" si="17"/>
        <v>0</v>
      </c>
    </row>
    <row r="32" spans="1:13" ht="13.5" thickBot="1">
      <c r="A32" s="122" t="s">
        <v>172</v>
      </c>
      <c r="B32" s="123" t="s">
        <v>550</v>
      </c>
      <c r="C32" s="3867">
        <f>IF('10. Финансиране на ИП'!N43=0,0,'10. Финансиране на ИП'!N43)</f>
        <v>0</v>
      </c>
      <c r="D32" s="3868">
        <f>IF('10. Финансиране на ИП'!O43=0,0,'10. Финансиране на ИП'!O43)</f>
        <v>0</v>
      </c>
      <c r="E32" s="3868">
        <f>IF('10. Финансиране на ИП'!P43=0,0,'10. Финансиране на ИП'!P43)</f>
        <v>0</v>
      </c>
      <c r="F32" s="3868">
        <f>IF('10. Финансиране на ИП'!Q43=0,0,'10. Финансиране на ИП'!Q43)</f>
        <v>0</v>
      </c>
      <c r="G32" s="3869">
        <f>IF('10. Финансиране на ИП'!R43=0,0,'10. Финансиране на ИП'!R43)</f>
        <v>0</v>
      </c>
      <c r="H32" s="4422"/>
      <c r="I32" s="4427">
        <f t="shared" si="13"/>
        <v>0</v>
      </c>
      <c r="J32" s="4427">
        <f t="shared" si="14"/>
        <v>0</v>
      </c>
      <c r="K32" s="4427">
        <f t="shared" si="15"/>
        <v>0</v>
      </c>
      <c r="L32" s="4427">
        <f t="shared" si="16"/>
        <v>0</v>
      </c>
      <c r="M32" s="4427">
        <f t="shared" si="17"/>
        <v>0</v>
      </c>
    </row>
    <row r="33" spans="1:13" ht="13.5" thickBot="1">
      <c r="A33" s="136" t="s">
        <v>100</v>
      </c>
      <c r="B33" s="134" t="s">
        <v>329</v>
      </c>
      <c r="C33" s="3928">
        <f>'9.Инвестиционна програма'!I141</f>
        <v>1453.26836</v>
      </c>
      <c r="D33" s="3929">
        <f>'9.Инвестиционна програма'!J141</f>
        <v>2421.5367200000001</v>
      </c>
      <c r="E33" s="3929">
        <f>'9.Инвестиционна програма'!K141</f>
        <v>2239.8700533333335</v>
      </c>
      <c r="F33" s="3929">
        <f>'9.Инвестиционна програма'!L141</f>
        <v>339.4</v>
      </c>
      <c r="G33" s="3930">
        <f>'9.Инвестиционна програма'!M141</f>
        <v>353.33333333333331</v>
      </c>
      <c r="H33" s="4422"/>
      <c r="I33" s="4427">
        <f t="shared" si="13"/>
        <v>743.04431366734332</v>
      </c>
      <c r="J33" s="4427">
        <f t="shared" si="14"/>
        <v>1238.1120649545207</v>
      </c>
      <c r="K33" s="4427">
        <f t="shared" si="15"/>
        <v>1145.2273732038743</v>
      </c>
      <c r="L33" s="4427">
        <f t="shared" si="16"/>
        <v>173.53246447799654</v>
      </c>
      <c r="M33" s="4427">
        <f t="shared" si="17"/>
        <v>180.65646468933053</v>
      </c>
    </row>
    <row r="34" spans="1:13" ht="13.5" thickBot="1">
      <c r="A34" s="139">
        <v>5</v>
      </c>
      <c r="B34" s="140" t="s">
        <v>306</v>
      </c>
      <c r="C34" s="3931">
        <f>'18. OK'!D26</f>
        <v>222.33867353735511</v>
      </c>
      <c r="D34" s="3932">
        <f>'18. OK'!E26</f>
        <v>238.46152923349896</v>
      </c>
      <c r="E34" s="3932">
        <f>'18. OK'!F26</f>
        <v>254.07953047674926</v>
      </c>
      <c r="F34" s="3932">
        <f>'18. OK'!G26</f>
        <v>274.11288303405865</v>
      </c>
      <c r="G34" s="3933">
        <f>'18. OK'!H26</f>
        <v>286.62365212559365</v>
      </c>
      <c r="H34" s="4422"/>
      <c r="I34" s="4427">
        <f t="shared" si="13"/>
        <v>113.67995865558618</v>
      </c>
      <c r="J34" s="4427">
        <f t="shared" si="14"/>
        <v>121.92344387472274</v>
      </c>
      <c r="K34" s="4427">
        <f t="shared" si="15"/>
        <v>129.90880111090905</v>
      </c>
      <c r="L34" s="4427">
        <f t="shared" si="16"/>
        <v>140.15169162660285</v>
      </c>
      <c r="M34" s="4427">
        <f t="shared" si="17"/>
        <v>146.54834629062529</v>
      </c>
    </row>
    <row r="35" spans="1:13" ht="13.5" thickBot="1">
      <c r="A35" s="126">
        <v>6</v>
      </c>
      <c r="B35" s="127" t="s">
        <v>305</v>
      </c>
      <c r="C35" s="628">
        <f t="shared" ref="C35:G35" si="20">C24-C27+C30+C33+C34</f>
        <v>2624.8903408290216</v>
      </c>
      <c r="D35" s="629">
        <f t="shared" si="20"/>
        <v>4947.9234569964065</v>
      </c>
      <c r="E35" s="629">
        <f t="shared" si="20"/>
        <v>7046.4954832484327</v>
      </c>
      <c r="F35" s="629">
        <f t="shared" si="20"/>
        <v>7268.7845445987177</v>
      </c>
      <c r="G35" s="630">
        <f t="shared" si="20"/>
        <v>7471.3437010179532</v>
      </c>
      <c r="H35" s="4422"/>
      <c r="I35" s="4427">
        <f t="shared" si="13"/>
        <v>1342.0851202962535</v>
      </c>
      <c r="J35" s="4427">
        <f t="shared" si="14"/>
        <v>2529.8330923425892</v>
      </c>
      <c r="K35" s="4427">
        <f t="shared" si="15"/>
        <v>3602.8159314707477</v>
      </c>
      <c r="L35" s="4427">
        <f t="shared" si="16"/>
        <v>3716.4705238178767</v>
      </c>
      <c r="M35" s="4427">
        <f t="shared" si="17"/>
        <v>3820.0373759569866</v>
      </c>
    </row>
    <row r="36" spans="1:13" ht="13.5" thickBot="1">
      <c r="A36" s="5377" t="s">
        <v>1</v>
      </c>
      <c r="B36" s="5379" t="s">
        <v>87</v>
      </c>
      <c r="C36" s="5374" t="s">
        <v>184</v>
      </c>
      <c r="D36" s="5375"/>
      <c r="E36" s="5375"/>
      <c r="F36" s="5375"/>
      <c r="G36" s="5376"/>
      <c r="H36" s="4422"/>
      <c r="I36" s="5381" t="s">
        <v>184</v>
      </c>
      <c r="J36" s="5381"/>
      <c r="K36" s="5381"/>
      <c r="L36" s="5381"/>
      <c r="M36" s="5381"/>
    </row>
    <row r="37" spans="1:13" ht="13.5" thickBot="1">
      <c r="A37" s="5378"/>
      <c r="B37" s="5380"/>
      <c r="C37" s="1215" t="str">
        <f t="shared" ref="C37:G37" si="21">C23</f>
        <v>2027 г.</v>
      </c>
      <c r="D37" s="1216" t="str">
        <f t="shared" si="21"/>
        <v>2028 г.</v>
      </c>
      <c r="E37" s="1216" t="str">
        <f t="shared" si="21"/>
        <v>2029 г.</v>
      </c>
      <c r="F37" s="1216" t="str">
        <f t="shared" si="21"/>
        <v>2030 г.</v>
      </c>
      <c r="G37" s="1217" t="str">
        <f t="shared" si="21"/>
        <v>2031 г.</v>
      </c>
      <c r="H37" s="4422"/>
      <c r="I37" s="4496" t="str">
        <f t="shared" ref="I37:M37" si="22">I23</f>
        <v>2027 г.</v>
      </c>
      <c r="J37" s="4496" t="str">
        <f t="shared" si="22"/>
        <v>2028 г.</v>
      </c>
      <c r="K37" s="4496" t="str">
        <f t="shared" si="22"/>
        <v>2029 г.</v>
      </c>
      <c r="L37" s="4496" t="str">
        <f t="shared" si="22"/>
        <v>2030 г.</v>
      </c>
      <c r="M37" s="4496" t="str">
        <f t="shared" si="22"/>
        <v>2031 г.</v>
      </c>
    </row>
    <row r="38" spans="1:13" ht="13.5" thickBot="1">
      <c r="A38" s="137" t="s">
        <v>141</v>
      </c>
      <c r="B38" s="138" t="s">
        <v>547</v>
      </c>
      <c r="C38" s="3916">
        <f t="shared" ref="C38:G38" si="23">C39-C40</f>
        <v>2446.666666666667</v>
      </c>
      <c r="D38" s="3917">
        <f t="shared" si="23"/>
        <v>3926.5562106666666</v>
      </c>
      <c r="E38" s="3917">
        <f t="shared" si="23"/>
        <v>6520.3352986666669</v>
      </c>
      <c r="F38" s="3917">
        <f t="shared" si="23"/>
        <v>9004.4477200000001</v>
      </c>
      <c r="G38" s="3918">
        <f t="shared" si="23"/>
        <v>9325.8477199999998</v>
      </c>
      <c r="H38" s="4422"/>
      <c r="I38" s="4427">
        <f t="shared" ref="I38:I49" si="24">IFERROR(C38/$C$1,0)</f>
        <v>1250.9608026600813</v>
      </c>
      <c r="J38" s="4427">
        <f t="shared" ref="J38:J49" si="25">IFERROR(D38/$C$1,0)</f>
        <v>2007.6163115744553</v>
      </c>
      <c r="K38" s="4427">
        <f t="shared" ref="K38:K49" si="26">IFERROR(E38/$C$1,0)</f>
        <v>3333.7945008853872</v>
      </c>
      <c r="L38" s="4427">
        <f t="shared" ref="L38:L49" si="27">IFERROR(F38/$C$1,0)</f>
        <v>4603.9010138918002</v>
      </c>
      <c r="M38" s="4427">
        <f t="shared" ref="M38:M49" si="28">IFERROR(G38/$C$1,0)</f>
        <v>4768.2302245082647</v>
      </c>
    </row>
    <row r="39" spans="1:13" ht="13.5" thickBot="1">
      <c r="A39" s="1213" t="s">
        <v>90</v>
      </c>
      <c r="B39" s="1214" t="s">
        <v>686</v>
      </c>
      <c r="C39" s="3925">
        <f>'11. Амортиз. план'!T10+'11. Амортиз. план'!T111</f>
        <v>2446.666666666667</v>
      </c>
      <c r="D39" s="3926">
        <f>'11. Амортиз. план'!U10+'11. Амортиз. план'!U111</f>
        <v>3926.5562106666666</v>
      </c>
      <c r="E39" s="3926">
        <f>'11. Амортиз. план'!V10+'11. Амортиз. план'!V111</f>
        <v>6520.3352986666669</v>
      </c>
      <c r="F39" s="3926">
        <f>'11. Амортиз. план'!W10+'11. Амортиз. план'!W111</f>
        <v>9004.4477200000001</v>
      </c>
      <c r="G39" s="3927">
        <f>'11. Амортиз. план'!X10+'11. Амортиз. план'!X111</f>
        <v>9325.8477199999998</v>
      </c>
      <c r="H39" s="4422"/>
      <c r="I39" s="4427">
        <f t="shared" si="24"/>
        <v>1250.9608026600813</v>
      </c>
      <c r="J39" s="4427">
        <f t="shared" si="25"/>
        <v>2007.6163115744553</v>
      </c>
      <c r="K39" s="4427">
        <f t="shared" si="26"/>
        <v>3333.7945008853872</v>
      </c>
      <c r="L39" s="4427">
        <f t="shared" si="27"/>
        <v>4603.9010138918002</v>
      </c>
      <c r="M39" s="4427">
        <f t="shared" si="28"/>
        <v>4768.2302245082647</v>
      </c>
    </row>
    <row r="40" spans="1:13" ht="13.5" thickBot="1">
      <c r="A40" s="1213" t="s">
        <v>91</v>
      </c>
      <c r="B40" s="1214" t="s">
        <v>649</v>
      </c>
      <c r="C40" s="3925">
        <f>'11. Амортиз. план'!U32</f>
        <v>0</v>
      </c>
      <c r="D40" s="3926">
        <f>'11. Амортиз. план'!V32</f>
        <v>0</v>
      </c>
      <c r="E40" s="3926">
        <f>'11. Амортиз. план'!W32</f>
        <v>0</v>
      </c>
      <c r="F40" s="3926">
        <f>'11. Амортиз. план'!X32</f>
        <v>0</v>
      </c>
      <c r="G40" s="3927">
        <f>'11. Амортиз. план'!Y32</f>
        <v>0</v>
      </c>
      <c r="H40" s="4422"/>
      <c r="I40" s="4427">
        <f t="shared" si="24"/>
        <v>0</v>
      </c>
      <c r="J40" s="4427">
        <f t="shared" si="25"/>
        <v>0</v>
      </c>
      <c r="K40" s="4427">
        <f t="shared" si="26"/>
        <v>0</v>
      </c>
      <c r="L40" s="4427">
        <f t="shared" si="27"/>
        <v>0</v>
      </c>
      <c r="M40" s="4427">
        <f t="shared" si="28"/>
        <v>0</v>
      </c>
    </row>
    <row r="41" spans="1:13" ht="13.5" thickBot="1">
      <c r="A41" s="136" t="s">
        <v>95</v>
      </c>
      <c r="B41" s="134" t="s">
        <v>548</v>
      </c>
      <c r="C41" s="3928">
        <f t="shared" ref="C41:G41" si="29">C42-C43</f>
        <v>1309.9504296875</v>
      </c>
      <c r="D41" s="3929">
        <f t="shared" si="29"/>
        <v>1452.7592374489473</v>
      </c>
      <c r="E41" s="3929">
        <f t="shared" si="29"/>
        <v>1683.8745077438384</v>
      </c>
      <c r="F41" s="3929">
        <f t="shared" si="29"/>
        <v>2026.9264513492742</v>
      </c>
      <c r="G41" s="3930">
        <f t="shared" si="29"/>
        <v>2429.1049609624688</v>
      </c>
      <c r="H41" s="4422"/>
      <c r="I41" s="4427">
        <f t="shared" si="24"/>
        <v>669.76701946871663</v>
      </c>
      <c r="J41" s="4427">
        <f t="shared" si="25"/>
        <v>742.7840034404561</v>
      </c>
      <c r="K41" s="4427">
        <f t="shared" si="26"/>
        <v>860.95136476270352</v>
      </c>
      <c r="L41" s="4427">
        <f t="shared" si="27"/>
        <v>1036.3510383567459</v>
      </c>
      <c r="M41" s="4427">
        <f t="shared" si="28"/>
        <v>1241.9816451135675</v>
      </c>
    </row>
    <row r="42" spans="1:13" ht="13.5" thickBot="1">
      <c r="A42" s="122" t="s">
        <v>96</v>
      </c>
      <c r="B42" s="123" t="s">
        <v>687</v>
      </c>
      <c r="C42" s="3925">
        <f>'11. Амортиз. план'!T60+'11. Амортиз. план'!T151</f>
        <v>1309.9504296875</v>
      </c>
      <c r="D42" s="3926">
        <f>'11. Амортиз. план'!U60+'11. Амортиз. план'!U151</f>
        <v>1452.7592374489473</v>
      </c>
      <c r="E42" s="3926">
        <f>'11. Амортиз. план'!V60+'11. Амортиз. план'!V151</f>
        <v>1683.8745077438384</v>
      </c>
      <c r="F42" s="3926">
        <f>'11. Амортиз. план'!W60+'11. Амортиз. план'!W151</f>
        <v>2026.9264513492742</v>
      </c>
      <c r="G42" s="3927">
        <f>'11. Амортиз. план'!X60+'11. Амортиз. план'!X151</f>
        <v>2429.1049609624688</v>
      </c>
      <c r="H42" s="4422"/>
      <c r="I42" s="4427">
        <f t="shared" si="24"/>
        <v>669.76701946871663</v>
      </c>
      <c r="J42" s="4427">
        <f t="shared" si="25"/>
        <v>742.7840034404561</v>
      </c>
      <c r="K42" s="4427">
        <f t="shared" si="26"/>
        <v>860.95136476270352</v>
      </c>
      <c r="L42" s="4427">
        <f t="shared" si="27"/>
        <v>1036.3510383567459</v>
      </c>
      <c r="M42" s="4427">
        <f t="shared" si="28"/>
        <v>1241.9816451135675</v>
      </c>
    </row>
    <row r="43" spans="1:13" ht="13.5" thickBot="1">
      <c r="A43" s="122" t="s">
        <v>97</v>
      </c>
      <c r="B43" s="123" t="s">
        <v>650</v>
      </c>
      <c r="C43" s="3925">
        <f>'11. Амортиз. план'!U82</f>
        <v>0</v>
      </c>
      <c r="D43" s="3926">
        <f>'11. Амортиз. план'!V82</f>
        <v>0</v>
      </c>
      <c r="E43" s="3926">
        <f>'11. Амортиз. план'!W82</f>
        <v>0</v>
      </c>
      <c r="F43" s="3926">
        <f>'11. Амортиз. план'!X82</f>
        <v>0</v>
      </c>
      <c r="G43" s="3927">
        <f>'11. Амортиз. план'!Y82</f>
        <v>0</v>
      </c>
      <c r="H43" s="4422"/>
      <c r="I43" s="4427">
        <f t="shared" si="24"/>
        <v>0</v>
      </c>
      <c r="J43" s="4427">
        <f t="shared" si="25"/>
        <v>0</v>
      </c>
      <c r="K43" s="4427">
        <f t="shared" si="26"/>
        <v>0</v>
      </c>
      <c r="L43" s="4427">
        <f t="shared" si="27"/>
        <v>0</v>
      </c>
      <c r="M43" s="4427">
        <f t="shared" si="28"/>
        <v>0</v>
      </c>
    </row>
    <row r="44" spans="1:13" ht="24.75" thickBot="1">
      <c r="A44" s="133" t="s">
        <v>99</v>
      </c>
      <c r="B44" s="134" t="s">
        <v>549</v>
      </c>
      <c r="C44" s="3928">
        <f t="shared" ref="C44:G44" si="30">(C45+C46)/2</f>
        <v>0</v>
      </c>
      <c r="D44" s="3929">
        <f t="shared" si="30"/>
        <v>0</v>
      </c>
      <c r="E44" s="3929">
        <f t="shared" si="30"/>
        <v>0</v>
      </c>
      <c r="F44" s="3929">
        <f t="shared" si="30"/>
        <v>0</v>
      </c>
      <c r="G44" s="3930">
        <f t="shared" si="30"/>
        <v>0</v>
      </c>
      <c r="H44" s="4422"/>
      <c r="I44" s="4427">
        <f t="shared" si="24"/>
        <v>0</v>
      </c>
      <c r="J44" s="4427">
        <f t="shared" si="25"/>
        <v>0</v>
      </c>
      <c r="K44" s="4427">
        <f t="shared" si="26"/>
        <v>0</v>
      </c>
      <c r="L44" s="4427">
        <f t="shared" si="27"/>
        <v>0</v>
      </c>
      <c r="M44" s="4427">
        <f t="shared" si="28"/>
        <v>0</v>
      </c>
    </row>
    <row r="45" spans="1:13" ht="13.5" thickBot="1">
      <c r="A45" s="122" t="s">
        <v>171</v>
      </c>
      <c r="B45" s="123" t="s">
        <v>195</v>
      </c>
      <c r="C45" s="3867">
        <f>IF('10. Финансиране на ИП'!V37=0,0,'10. Финансиране на ИП'!V37)</f>
        <v>0</v>
      </c>
      <c r="D45" s="3868">
        <f>IF('10. Финансиране на ИП'!W37=0,0,'10. Финансиране на ИП'!W37)</f>
        <v>0</v>
      </c>
      <c r="E45" s="3868">
        <f>IF('10. Финансиране на ИП'!X37=0,0,'10. Финансиране на ИП'!X37)</f>
        <v>0</v>
      </c>
      <c r="F45" s="3868">
        <f>IF('10. Финансиране на ИП'!Y37=0,0,'10. Финансиране на ИП'!Y37)</f>
        <v>0</v>
      </c>
      <c r="G45" s="3869">
        <f>IF('10. Финансиране на ИП'!Z37=0,0,'10. Финансиране на ИП'!Z37)</f>
        <v>0</v>
      </c>
      <c r="H45" s="4422"/>
      <c r="I45" s="4427">
        <f t="shared" si="24"/>
        <v>0</v>
      </c>
      <c r="J45" s="4427">
        <f t="shared" si="25"/>
        <v>0</v>
      </c>
      <c r="K45" s="4427">
        <f t="shared" si="26"/>
        <v>0</v>
      </c>
      <c r="L45" s="4427">
        <f t="shared" si="27"/>
        <v>0</v>
      </c>
      <c r="M45" s="4427">
        <f t="shared" si="28"/>
        <v>0</v>
      </c>
    </row>
    <row r="46" spans="1:13" ht="13.5" thickBot="1">
      <c r="A46" s="122" t="s">
        <v>172</v>
      </c>
      <c r="B46" s="123" t="s">
        <v>550</v>
      </c>
      <c r="C46" s="3867">
        <f>IF('10. Финансиране на ИП'!V43=0,0,'10. Финансиране на ИП'!V43)</f>
        <v>0</v>
      </c>
      <c r="D46" s="3868">
        <f>IF('10. Финансиране на ИП'!W43=0,0,'10. Финансиране на ИП'!W43)</f>
        <v>0</v>
      </c>
      <c r="E46" s="3868">
        <f>IF('10. Финансиране на ИП'!X43=0,0,'10. Финансиране на ИП'!X43)</f>
        <v>0</v>
      </c>
      <c r="F46" s="3868">
        <f>IF('10. Финансиране на ИП'!Y43=0,0,'10. Финансиране на ИП'!Y43)</f>
        <v>0</v>
      </c>
      <c r="G46" s="3869">
        <f>IF('10. Финансиране на ИП'!Z43=0,0,'10. Финансиране на ИП'!Z43)</f>
        <v>0</v>
      </c>
      <c r="H46" s="4422"/>
      <c r="I46" s="4427">
        <f t="shared" si="24"/>
        <v>0</v>
      </c>
      <c r="J46" s="4427">
        <f t="shared" si="25"/>
        <v>0</v>
      </c>
      <c r="K46" s="4427">
        <f t="shared" si="26"/>
        <v>0</v>
      </c>
      <c r="L46" s="4427">
        <f t="shared" si="27"/>
        <v>0</v>
      </c>
      <c r="M46" s="4427">
        <f t="shared" si="28"/>
        <v>0</v>
      </c>
    </row>
    <row r="47" spans="1:13" ht="13.5" thickBot="1">
      <c r="A47" s="136" t="s">
        <v>100</v>
      </c>
      <c r="B47" s="134" t="s">
        <v>329</v>
      </c>
      <c r="C47" s="3870">
        <f>'9.Инвестиционна програма'!I142</f>
        <v>1479.8895439999999</v>
      </c>
      <c r="D47" s="3871">
        <f>'9.Инвестиционна програма'!J142</f>
        <v>2593.7790879999998</v>
      </c>
      <c r="E47" s="3871">
        <f>'9.Инвестиционна програма'!K142</f>
        <v>2484.1124213333333</v>
      </c>
      <c r="F47" s="3871">
        <f>'9.Инвестиционна програма'!L142</f>
        <v>321.39999999999998</v>
      </c>
      <c r="G47" s="3872">
        <f>'9.Инвестиционна програма'!M142</f>
        <v>328.33333333333331</v>
      </c>
      <c r="H47" s="4422"/>
      <c r="I47" s="4427">
        <f t="shared" si="24"/>
        <v>756.65550891437385</v>
      </c>
      <c r="J47" s="4427">
        <f t="shared" si="25"/>
        <v>1326.1781893109319</v>
      </c>
      <c r="K47" s="4427">
        <f t="shared" si="26"/>
        <v>1270.1065130064133</v>
      </c>
      <c r="L47" s="4427">
        <f t="shared" si="27"/>
        <v>164.32921061646462</v>
      </c>
      <c r="M47" s="4427">
        <f t="shared" si="28"/>
        <v>167.87416765942507</v>
      </c>
    </row>
    <row r="48" spans="1:13" ht="13.5" thickBot="1">
      <c r="A48" s="139">
        <v>5</v>
      </c>
      <c r="B48" s="140" t="s">
        <v>306</v>
      </c>
      <c r="C48" s="3931">
        <f>'18. OK'!D27</f>
        <v>432.00477900506303</v>
      </c>
      <c r="D48" s="3932">
        <f>'18. OK'!E27</f>
        <v>459.785745646159</v>
      </c>
      <c r="E48" s="3932">
        <f>'18. OK'!F27</f>
        <v>490.27391134237814</v>
      </c>
      <c r="F48" s="3932">
        <f>'18. OK'!G27</f>
        <v>541.55435511960991</v>
      </c>
      <c r="G48" s="3933">
        <f>'18. OK'!H27</f>
        <v>569.65642714811872</v>
      </c>
      <c r="H48" s="4422"/>
      <c r="I48" s="4427">
        <f t="shared" si="24"/>
        <v>220.88053614325531</v>
      </c>
      <c r="J48" s="4427">
        <f t="shared" si="25"/>
        <v>235.08471883863066</v>
      </c>
      <c r="K48" s="4427">
        <f t="shared" si="26"/>
        <v>250.67307043167256</v>
      </c>
      <c r="L48" s="4427">
        <f t="shared" si="27"/>
        <v>276.89234499911032</v>
      </c>
      <c r="M48" s="4427">
        <f t="shared" si="28"/>
        <v>291.26070627207821</v>
      </c>
    </row>
    <row r="49" spans="1:13" ht="13.5" thickBot="1">
      <c r="A49" s="126">
        <v>6</v>
      </c>
      <c r="B49" s="127" t="s">
        <v>305</v>
      </c>
      <c r="C49" s="628">
        <f t="shared" ref="C49:G49" si="31">C38-C41+C44+C47+C48</f>
        <v>3048.6105599842299</v>
      </c>
      <c r="D49" s="629">
        <f t="shared" si="31"/>
        <v>5527.361806863878</v>
      </c>
      <c r="E49" s="629">
        <f t="shared" si="31"/>
        <v>7810.8471235985398</v>
      </c>
      <c r="F49" s="629">
        <f t="shared" si="31"/>
        <v>7840.475623770335</v>
      </c>
      <c r="G49" s="630">
        <f t="shared" si="31"/>
        <v>7794.7325195189824</v>
      </c>
      <c r="H49" s="4422"/>
      <c r="I49" s="4427">
        <f t="shared" si="24"/>
        <v>1558.729828248994</v>
      </c>
      <c r="J49" s="4427">
        <f t="shared" si="25"/>
        <v>2826.0952162835615</v>
      </c>
      <c r="K49" s="4427">
        <f t="shared" si="26"/>
        <v>3993.6227195607694</v>
      </c>
      <c r="L49" s="4427">
        <f t="shared" si="27"/>
        <v>4008.771531150629</v>
      </c>
      <c r="M49" s="4427">
        <f t="shared" si="28"/>
        <v>3985.3834533262002</v>
      </c>
    </row>
    <row r="50" spans="1:13" s="1305" customFormat="1" ht="13.5" thickBot="1">
      <c r="A50" s="5377" t="s">
        <v>1</v>
      </c>
      <c r="B50" s="5379" t="s">
        <v>87</v>
      </c>
      <c r="C50" s="5374" t="s">
        <v>1236</v>
      </c>
      <c r="D50" s="5375"/>
      <c r="E50" s="5375"/>
      <c r="F50" s="5375"/>
      <c r="G50" s="5376"/>
      <c r="H50" s="4422"/>
      <c r="I50" s="5381" t="s">
        <v>1236</v>
      </c>
      <c r="J50" s="5381"/>
      <c r="K50" s="5381"/>
      <c r="L50" s="5381"/>
      <c r="M50" s="5381"/>
    </row>
    <row r="51" spans="1:13" s="1305" customFormat="1" ht="13.5" thickBot="1">
      <c r="A51" s="5378"/>
      <c r="B51" s="5380"/>
      <c r="C51" s="1215" t="str">
        <f t="shared" ref="C51:G51" si="32">C37</f>
        <v>2027 г.</v>
      </c>
      <c r="D51" s="1216" t="str">
        <f t="shared" si="32"/>
        <v>2028 г.</v>
      </c>
      <c r="E51" s="1216" t="str">
        <f t="shared" si="32"/>
        <v>2029 г.</v>
      </c>
      <c r="F51" s="1216" t="str">
        <f t="shared" si="32"/>
        <v>2030 г.</v>
      </c>
      <c r="G51" s="1217" t="str">
        <f t="shared" si="32"/>
        <v>2031 г.</v>
      </c>
      <c r="H51" s="4422"/>
      <c r="I51" s="4496" t="str">
        <f t="shared" ref="I51:M51" si="33">I37</f>
        <v>2027 г.</v>
      </c>
      <c r="J51" s="4496" t="str">
        <f t="shared" si="33"/>
        <v>2028 г.</v>
      </c>
      <c r="K51" s="4496" t="str">
        <f t="shared" si="33"/>
        <v>2029 г.</v>
      </c>
      <c r="L51" s="4496" t="str">
        <f t="shared" si="33"/>
        <v>2030 г.</v>
      </c>
      <c r="M51" s="4496" t="str">
        <f t="shared" si="33"/>
        <v>2031 г.</v>
      </c>
    </row>
    <row r="52" spans="1:13" s="1308" customFormat="1" ht="13.5" thickBot="1">
      <c r="A52" s="1306" t="s">
        <v>141</v>
      </c>
      <c r="B52" s="1307" t="s">
        <v>547</v>
      </c>
      <c r="C52" s="3934">
        <f t="shared" ref="C52:G52" si="34">C53-C54</f>
        <v>0</v>
      </c>
      <c r="D52" s="3935">
        <f t="shared" si="34"/>
        <v>0</v>
      </c>
      <c r="E52" s="3935">
        <f t="shared" si="34"/>
        <v>0</v>
      </c>
      <c r="F52" s="3935">
        <f t="shared" si="34"/>
        <v>0</v>
      </c>
      <c r="G52" s="3936">
        <f t="shared" si="34"/>
        <v>0</v>
      </c>
      <c r="H52" s="4422"/>
      <c r="I52" s="4427">
        <f t="shared" ref="I52:I63" si="35">IFERROR(C52/$C$1,0)</f>
        <v>0</v>
      </c>
      <c r="J52" s="4427">
        <f t="shared" ref="J52:J63" si="36">IFERROR(D52/$C$1,0)</f>
        <v>0</v>
      </c>
      <c r="K52" s="4427">
        <f t="shared" ref="K52:K63" si="37">IFERROR(E52/$C$1,0)</f>
        <v>0</v>
      </c>
      <c r="L52" s="4427">
        <f t="shared" ref="L52:L63" si="38">IFERROR(F52/$C$1,0)</f>
        <v>0</v>
      </c>
      <c r="M52" s="4427">
        <f t="shared" ref="M52:M63" si="39">IFERROR(G52/$C$1,0)</f>
        <v>0</v>
      </c>
    </row>
    <row r="53" spans="1:13" s="1305" customFormat="1" ht="13.5" thickBot="1">
      <c r="A53" s="1309" t="s">
        <v>90</v>
      </c>
      <c r="B53" s="1310" t="s">
        <v>686</v>
      </c>
      <c r="C53" s="3937">
        <f>'11. Амортиз. план'!AA10+'11. Амортиз. план'!AA111</f>
        <v>0</v>
      </c>
      <c r="D53" s="3938">
        <f>'11. Амортиз. план'!AB10+'11. Амортиз. план'!AB111</f>
        <v>0</v>
      </c>
      <c r="E53" s="3938">
        <f>'11. Амортиз. план'!AC10+'11. Амортиз. план'!AC111</f>
        <v>0</v>
      </c>
      <c r="F53" s="3938">
        <f>'11. Амортиз. план'!AD10+'11. Амортиз. план'!AD111</f>
        <v>0</v>
      </c>
      <c r="G53" s="3939">
        <f>'11. Амортиз. план'!AE10+'11. Амортиз. план'!AE111</f>
        <v>0</v>
      </c>
      <c r="H53" s="4422"/>
      <c r="I53" s="4427">
        <f t="shared" si="35"/>
        <v>0</v>
      </c>
      <c r="J53" s="4427">
        <f t="shared" si="36"/>
        <v>0</v>
      </c>
      <c r="K53" s="4427">
        <f t="shared" si="37"/>
        <v>0</v>
      </c>
      <c r="L53" s="4427">
        <f t="shared" si="38"/>
        <v>0</v>
      </c>
      <c r="M53" s="4427">
        <f t="shared" si="39"/>
        <v>0</v>
      </c>
    </row>
    <row r="54" spans="1:13" s="1305" customFormat="1" ht="13.5" thickBot="1">
      <c r="A54" s="1309" t="s">
        <v>91</v>
      </c>
      <c r="B54" s="1310" t="s">
        <v>649</v>
      </c>
      <c r="C54" s="3937">
        <f>'11. Амортиз. план'!AB32</f>
        <v>0</v>
      </c>
      <c r="D54" s="3938">
        <f>'11. Амортиз. план'!AC32</f>
        <v>0</v>
      </c>
      <c r="E54" s="3938">
        <f>'11. Амортиз. план'!AD32</f>
        <v>0</v>
      </c>
      <c r="F54" s="3938">
        <f>'11. Амортиз. план'!AE32</f>
        <v>0</v>
      </c>
      <c r="G54" s="3940">
        <f>'11. Амортиз. план'!AF32</f>
        <v>0</v>
      </c>
      <c r="H54" s="4422"/>
      <c r="I54" s="4427">
        <f t="shared" si="35"/>
        <v>0</v>
      </c>
      <c r="J54" s="4427">
        <f t="shared" si="36"/>
        <v>0</v>
      </c>
      <c r="K54" s="4427">
        <f t="shared" si="37"/>
        <v>0</v>
      </c>
      <c r="L54" s="4427">
        <f t="shared" si="38"/>
        <v>0</v>
      </c>
      <c r="M54" s="4427">
        <f t="shared" si="39"/>
        <v>0</v>
      </c>
    </row>
    <row r="55" spans="1:13" s="1308" customFormat="1" ht="13.5" thickBot="1">
      <c r="A55" s="1311" t="s">
        <v>95</v>
      </c>
      <c r="B55" s="1312" t="s">
        <v>548</v>
      </c>
      <c r="C55" s="3941">
        <f t="shared" ref="C55:G55" si="40">C56-C57</f>
        <v>0</v>
      </c>
      <c r="D55" s="3942">
        <f t="shared" si="40"/>
        <v>0</v>
      </c>
      <c r="E55" s="3942">
        <f t="shared" si="40"/>
        <v>0</v>
      </c>
      <c r="F55" s="3942">
        <f t="shared" si="40"/>
        <v>0</v>
      </c>
      <c r="G55" s="3943">
        <f t="shared" si="40"/>
        <v>0</v>
      </c>
      <c r="H55" s="4422"/>
      <c r="I55" s="4427">
        <f t="shared" si="35"/>
        <v>0</v>
      </c>
      <c r="J55" s="4427">
        <f t="shared" si="36"/>
        <v>0</v>
      </c>
      <c r="K55" s="4427">
        <f t="shared" si="37"/>
        <v>0</v>
      </c>
      <c r="L55" s="4427">
        <f t="shared" si="38"/>
        <v>0</v>
      </c>
      <c r="M55" s="4427">
        <f t="shared" si="39"/>
        <v>0</v>
      </c>
    </row>
    <row r="56" spans="1:13" s="1305" customFormat="1" ht="13.5" thickBot="1">
      <c r="A56" s="1309" t="s">
        <v>96</v>
      </c>
      <c r="B56" s="1310" t="s">
        <v>687</v>
      </c>
      <c r="C56" s="3937">
        <f>'11. Амортиз. план'!AA60+'11. Амортиз. план'!AA151</f>
        <v>0</v>
      </c>
      <c r="D56" s="3938">
        <f>'11. Амортиз. план'!AB60+'11. Амортиз. план'!AB151</f>
        <v>0</v>
      </c>
      <c r="E56" s="3938">
        <f>'11. Амортиз. план'!AC60+'11. Амортиз. план'!AC151</f>
        <v>0</v>
      </c>
      <c r="F56" s="3938">
        <f>'11. Амортиз. план'!AD60+'11. Амортиз. план'!AD151</f>
        <v>0</v>
      </c>
      <c r="G56" s="3940">
        <f>'11. Амортиз. план'!AE60+'11. Амортиз. план'!AE151</f>
        <v>0</v>
      </c>
      <c r="H56" s="4422"/>
      <c r="I56" s="4427">
        <f t="shared" si="35"/>
        <v>0</v>
      </c>
      <c r="J56" s="4427">
        <f t="shared" si="36"/>
        <v>0</v>
      </c>
      <c r="K56" s="4427">
        <f t="shared" si="37"/>
        <v>0</v>
      </c>
      <c r="L56" s="4427">
        <f t="shared" si="38"/>
        <v>0</v>
      </c>
      <c r="M56" s="4427">
        <f t="shared" si="39"/>
        <v>0</v>
      </c>
    </row>
    <row r="57" spans="1:13" s="1305" customFormat="1" ht="13.5" thickBot="1">
      <c r="A57" s="1309" t="s">
        <v>97</v>
      </c>
      <c r="B57" s="1310" t="s">
        <v>650</v>
      </c>
      <c r="C57" s="3937">
        <f>'11. Амортиз. план'!AB82</f>
        <v>0</v>
      </c>
      <c r="D57" s="3938">
        <f>'11. Амортиз. план'!AC82</f>
        <v>0</v>
      </c>
      <c r="E57" s="3938">
        <f>'11. Амортиз. план'!AD82</f>
        <v>0</v>
      </c>
      <c r="F57" s="3938">
        <f>'11. Амортиз. план'!AE82</f>
        <v>0</v>
      </c>
      <c r="G57" s="3940">
        <f>'11. Амортиз. план'!AF82</f>
        <v>0</v>
      </c>
      <c r="H57" s="4422"/>
      <c r="I57" s="4427">
        <f t="shared" si="35"/>
        <v>0</v>
      </c>
      <c r="J57" s="4427">
        <f t="shared" si="36"/>
        <v>0</v>
      </c>
      <c r="K57" s="4427">
        <f t="shared" si="37"/>
        <v>0</v>
      </c>
      <c r="L57" s="4427">
        <f t="shared" si="38"/>
        <v>0</v>
      </c>
      <c r="M57" s="4427">
        <f t="shared" si="39"/>
        <v>0</v>
      </c>
    </row>
    <row r="58" spans="1:13" s="1308" customFormat="1" ht="24.75" thickBot="1">
      <c r="A58" s="1311" t="s">
        <v>99</v>
      </c>
      <c r="B58" s="1312" t="s">
        <v>549</v>
      </c>
      <c r="C58" s="3941">
        <f t="shared" ref="C58:G58" si="41">(C59+C60)/2</f>
        <v>0</v>
      </c>
      <c r="D58" s="3942">
        <f t="shared" si="41"/>
        <v>0</v>
      </c>
      <c r="E58" s="3942">
        <f t="shared" si="41"/>
        <v>0</v>
      </c>
      <c r="F58" s="3942">
        <f t="shared" si="41"/>
        <v>0</v>
      </c>
      <c r="G58" s="3943">
        <f t="shared" si="41"/>
        <v>0</v>
      </c>
      <c r="H58" s="4422"/>
      <c r="I58" s="4427">
        <f t="shared" si="35"/>
        <v>0</v>
      </c>
      <c r="J58" s="4427">
        <f t="shared" si="36"/>
        <v>0</v>
      </c>
      <c r="K58" s="4427">
        <f t="shared" si="37"/>
        <v>0</v>
      </c>
      <c r="L58" s="4427">
        <f t="shared" si="38"/>
        <v>0</v>
      </c>
      <c r="M58" s="4427">
        <f t="shared" si="39"/>
        <v>0</v>
      </c>
    </row>
    <row r="59" spans="1:13" s="1305" customFormat="1" ht="13.5" thickBot="1">
      <c r="A59" s="1309" t="s">
        <v>171</v>
      </c>
      <c r="B59" s="1310" t="s">
        <v>195</v>
      </c>
      <c r="C59" s="3873">
        <f>IF('10. Финансиране на ИП'!AD37=0,0,'10. Финансиране на ИП'!AD37)</f>
        <v>0</v>
      </c>
      <c r="D59" s="3874">
        <f>IF('10. Финансиране на ИП'!AE37=0,0,'10. Финансиране на ИП'!AE37)</f>
        <v>0</v>
      </c>
      <c r="E59" s="3874">
        <f>IF('10. Финансиране на ИП'!AF37=0,0,'10. Финансиране на ИП'!AF37)</f>
        <v>0</v>
      </c>
      <c r="F59" s="3874">
        <f>IF('10. Финансиране на ИП'!AG37=0,0,'10. Финансиране на ИП'!AG37)</f>
        <v>0</v>
      </c>
      <c r="G59" s="3875">
        <f>IF('10. Финансиране на ИП'!AH37=0,0,'10. Финансиране на ИП'!AH37)</f>
        <v>0</v>
      </c>
      <c r="H59" s="4422"/>
      <c r="I59" s="4427">
        <f t="shared" si="35"/>
        <v>0</v>
      </c>
      <c r="J59" s="4427">
        <f t="shared" si="36"/>
        <v>0</v>
      </c>
      <c r="K59" s="4427">
        <f t="shared" si="37"/>
        <v>0</v>
      </c>
      <c r="L59" s="4427">
        <f t="shared" si="38"/>
        <v>0</v>
      </c>
      <c r="M59" s="4427">
        <f t="shared" si="39"/>
        <v>0</v>
      </c>
    </row>
    <row r="60" spans="1:13" s="1305" customFormat="1" ht="13.5" thickBot="1">
      <c r="A60" s="1309" t="s">
        <v>172</v>
      </c>
      <c r="B60" s="1310" t="s">
        <v>550</v>
      </c>
      <c r="C60" s="3873">
        <f>IF('10. Финансиране на ИП'!AD43=0,0,'10. Финансиране на ИП'!AD43)</f>
        <v>0</v>
      </c>
      <c r="D60" s="3874">
        <f>IF('10. Финансиране на ИП'!AE43=0,0,'10. Финансиране на ИП'!AE43)</f>
        <v>0</v>
      </c>
      <c r="E60" s="3874">
        <f>IF('10. Финансиране на ИП'!AF43=0,0,'10. Финансиране на ИП'!AF43)</f>
        <v>0</v>
      </c>
      <c r="F60" s="3874">
        <f>IF('10. Финансиране на ИП'!AG43=0,0,'10. Финансиране на ИП'!AG43)</f>
        <v>0</v>
      </c>
      <c r="G60" s="3875">
        <f>IF('10. Финансиране на ИП'!AH43=0,0,'10. Финансиране на ИП'!AH43)</f>
        <v>0</v>
      </c>
      <c r="H60" s="4422"/>
      <c r="I60" s="4427">
        <f t="shared" si="35"/>
        <v>0</v>
      </c>
      <c r="J60" s="4427">
        <f t="shared" si="36"/>
        <v>0</v>
      </c>
      <c r="K60" s="4427">
        <f t="shared" si="37"/>
        <v>0</v>
      </c>
      <c r="L60" s="4427">
        <f t="shared" si="38"/>
        <v>0</v>
      </c>
      <c r="M60" s="4427">
        <f t="shared" si="39"/>
        <v>0</v>
      </c>
    </row>
    <row r="61" spans="1:13" s="1308" customFormat="1" ht="13.5" thickBot="1">
      <c r="A61" s="1311" t="s">
        <v>100</v>
      </c>
      <c r="B61" s="1312" t="s">
        <v>329</v>
      </c>
      <c r="C61" s="3941">
        <f>'9.Инвестиционна програма'!I143</f>
        <v>0</v>
      </c>
      <c r="D61" s="3942">
        <f>'9.Инвестиционна програма'!J143</f>
        <v>0</v>
      </c>
      <c r="E61" s="3942">
        <f>'9.Инвестиционна програма'!K143</f>
        <v>0</v>
      </c>
      <c r="F61" s="3942">
        <f>'9.Инвестиционна програма'!L143</f>
        <v>0</v>
      </c>
      <c r="G61" s="3943">
        <f>'9.Инвестиционна програма'!M143</f>
        <v>0</v>
      </c>
      <c r="H61" s="4422"/>
      <c r="I61" s="4427">
        <f t="shared" si="35"/>
        <v>0</v>
      </c>
      <c r="J61" s="4427">
        <f t="shared" si="36"/>
        <v>0</v>
      </c>
      <c r="K61" s="4427">
        <f t="shared" si="37"/>
        <v>0</v>
      </c>
      <c r="L61" s="4427">
        <f t="shared" si="38"/>
        <v>0</v>
      </c>
      <c r="M61" s="4427">
        <f t="shared" si="39"/>
        <v>0</v>
      </c>
    </row>
    <row r="62" spans="1:13" s="1308" customFormat="1" ht="13.5" thickBot="1">
      <c r="A62" s="1313">
        <v>5</v>
      </c>
      <c r="B62" s="1314" t="s">
        <v>306</v>
      </c>
      <c r="C62" s="3944">
        <f>'18. OK'!D28</f>
        <v>0</v>
      </c>
      <c r="D62" s="3945">
        <f>'18. OK'!E28</f>
        <v>0</v>
      </c>
      <c r="E62" s="3945">
        <f>'18. OK'!F28</f>
        <v>0</v>
      </c>
      <c r="F62" s="3945">
        <f>'18. OK'!G28</f>
        <v>0</v>
      </c>
      <c r="G62" s="3946">
        <f>'18. OK'!H28</f>
        <v>0</v>
      </c>
      <c r="H62" s="4422"/>
      <c r="I62" s="4427">
        <f t="shared" si="35"/>
        <v>0</v>
      </c>
      <c r="J62" s="4427">
        <f t="shared" si="36"/>
        <v>0</v>
      </c>
      <c r="K62" s="4427">
        <f t="shared" si="37"/>
        <v>0</v>
      </c>
      <c r="L62" s="4427">
        <f t="shared" si="38"/>
        <v>0</v>
      </c>
      <c r="M62" s="4427">
        <f t="shared" si="39"/>
        <v>0</v>
      </c>
    </row>
    <row r="63" spans="1:13" s="1305" customFormat="1" ht="13.5" thickBot="1">
      <c r="A63" s="126">
        <v>6</v>
      </c>
      <c r="B63" s="127" t="s">
        <v>305</v>
      </c>
      <c r="C63" s="628">
        <f t="shared" ref="C63:G63" si="42">C52-C55+C58+C61+C62</f>
        <v>0</v>
      </c>
      <c r="D63" s="629">
        <f t="shared" si="42"/>
        <v>0</v>
      </c>
      <c r="E63" s="629">
        <f t="shared" si="42"/>
        <v>0</v>
      </c>
      <c r="F63" s="629">
        <f t="shared" si="42"/>
        <v>0</v>
      </c>
      <c r="G63" s="630">
        <f t="shared" si="42"/>
        <v>0</v>
      </c>
      <c r="H63" s="4422"/>
      <c r="I63" s="4427">
        <f t="shared" si="35"/>
        <v>0</v>
      </c>
      <c r="J63" s="4427">
        <f t="shared" si="36"/>
        <v>0</v>
      </c>
      <c r="K63" s="4427">
        <f t="shared" si="37"/>
        <v>0</v>
      </c>
      <c r="L63" s="4427">
        <f t="shared" si="38"/>
        <v>0</v>
      </c>
      <c r="M63" s="4427">
        <f t="shared" si="39"/>
        <v>0</v>
      </c>
    </row>
    <row r="64" spans="1:13" s="1305" customFormat="1" ht="13.5" thickBot="1">
      <c r="A64" s="5377" t="s">
        <v>1</v>
      </c>
      <c r="B64" s="5379" t="s">
        <v>87</v>
      </c>
      <c r="C64" s="5374" t="s">
        <v>1237</v>
      </c>
      <c r="D64" s="5375"/>
      <c r="E64" s="5375"/>
      <c r="F64" s="5375"/>
      <c r="G64" s="5376"/>
      <c r="H64" s="4422"/>
      <c r="I64" s="5381" t="s">
        <v>1237</v>
      </c>
      <c r="J64" s="5381"/>
      <c r="K64" s="5381"/>
      <c r="L64" s="5381"/>
      <c r="M64" s="5381"/>
    </row>
    <row r="65" spans="1:13" s="1305" customFormat="1" ht="13.5" thickBot="1">
      <c r="A65" s="5378"/>
      <c r="B65" s="5380"/>
      <c r="C65" s="1215" t="str">
        <f t="shared" ref="C65:G65" si="43">C51</f>
        <v>2027 г.</v>
      </c>
      <c r="D65" s="1216" t="str">
        <f t="shared" si="43"/>
        <v>2028 г.</v>
      </c>
      <c r="E65" s="1216" t="str">
        <f t="shared" si="43"/>
        <v>2029 г.</v>
      </c>
      <c r="F65" s="1216" t="str">
        <f t="shared" si="43"/>
        <v>2030 г.</v>
      </c>
      <c r="G65" s="1217" t="str">
        <f t="shared" si="43"/>
        <v>2031 г.</v>
      </c>
      <c r="H65" s="4422"/>
      <c r="I65" s="4496" t="str">
        <f t="shared" ref="I65:M65" si="44">I51</f>
        <v>2027 г.</v>
      </c>
      <c r="J65" s="4496" t="str">
        <f t="shared" si="44"/>
        <v>2028 г.</v>
      </c>
      <c r="K65" s="4496" t="str">
        <f t="shared" si="44"/>
        <v>2029 г.</v>
      </c>
      <c r="L65" s="4496" t="str">
        <f t="shared" si="44"/>
        <v>2030 г.</v>
      </c>
      <c r="M65" s="4496" t="str">
        <f t="shared" si="44"/>
        <v>2031 г.</v>
      </c>
    </row>
    <row r="66" spans="1:13" s="1308" customFormat="1" ht="13.5" thickBot="1">
      <c r="A66" s="1315" t="s">
        <v>141</v>
      </c>
      <c r="B66" s="1316" t="s">
        <v>547</v>
      </c>
      <c r="C66" s="3934">
        <f t="shared" ref="C66:G66" si="45">C67-C68</f>
        <v>0</v>
      </c>
      <c r="D66" s="3935">
        <f t="shared" si="45"/>
        <v>0</v>
      </c>
      <c r="E66" s="3935">
        <f t="shared" si="45"/>
        <v>0</v>
      </c>
      <c r="F66" s="3935">
        <f t="shared" si="45"/>
        <v>0</v>
      </c>
      <c r="G66" s="3936">
        <f t="shared" si="45"/>
        <v>0</v>
      </c>
      <c r="H66" s="4422"/>
      <c r="I66" s="4427">
        <f t="shared" ref="I66:I77" si="46">IFERROR(C66/$C$1,0)</f>
        <v>0</v>
      </c>
      <c r="J66" s="4427">
        <f t="shared" ref="J66:J77" si="47">IFERROR(D66/$C$1,0)</f>
        <v>0</v>
      </c>
      <c r="K66" s="4427">
        <f t="shared" ref="K66:K77" si="48">IFERROR(E66/$C$1,0)</f>
        <v>0</v>
      </c>
      <c r="L66" s="4427">
        <f t="shared" ref="L66:L77" si="49">IFERROR(F66/$C$1,0)</f>
        <v>0</v>
      </c>
      <c r="M66" s="4427">
        <f t="shared" ref="M66:M76" si="50">IFERROR(G66/$C$1,0)</f>
        <v>0</v>
      </c>
    </row>
    <row r="67" spans="1:13" s="1305" customFormat="1" ht="13.5" thickBot="1">
      <c r="A67" s="1309" t="s">
        <v>90</v>
      </c>
      <c r="B67" s="1310" t="s">
        <v>686</v>
      </c>
      <c r="C67" s="3937">
        <f>'11. Амортиз. план'!AH10+'11. Амортиз. план'!AH111</f>
        <v>0</v>
      </c>
      <c r="D67" s="3938">
        <f>'11. Амортиз. план'!AI10+'11. Амортиз. план'!AI111</f>
        <v>0</v>
      </c>
      <c r="E67" s="3938">
        <f>'11. Амортиз. план'!AJ10+'11. Амортиз. план'!AJ111</f>
        <v>0</v>
      </c>
      <c r="F67" s="3938">
        <f>'11. Амортиз. план'!AK10+'11. Амортиз. план'!AK111</f>
        <v>0</v>
      </c>
      <c r="G67" s="3940">
        <f>'11. Амортиз. план'!AL10+'11. Амортиз. план'!AL111</f>
        <v>0</v>
      </c>
      <c r="H67" s="4422"/>
      <c r="I67" s="4427">
        <f t="shared" si="46"/>
        <v>0</v>
      </c>
      <c r="J67" s="4427">
        <f t="shared" si="47"/>
        <v>0</v>
      </c>
      <c r="K67" s="4427">
        <f t="shared" si="48"/>
        <v>0</v>
      </c>
      <c r="L67" s="4427">
        <f t="shared" si="49"/>
        <v>0</v>
      </c>
      <c r="M67" s="4427">
        <f t="shared" si="50"/>
        <v>0</v>
      </c>
    </row>
    <row r="68" spans="1:13" s="1305" customFormat="1" ht="13.5" thickBot="1">
      <c r="A68" s="1309" t="s">
        <v>91</v>
      </c>
      <c r="B68" s="1310" t="s">
        <v>649</v>
      </c>
      <c r="C68" s="3937">
        <f>'11. Амортиз. план'!AI32</f>
        <v>0</v>
      </c>
      <c r="D68" s="3938">
        <f>'11. Амортиз. план'!AJ32</f>
        <v>0</v>
      </c>
      <c r="E68" s="3938">
        <f>'11. Амортиз. план'!AK32</f>
        <v>0</v>
      </c>
      <c r="F68" s="3938">
        <f>'11. Амортиз. план'!AL32</f>
        <v>0</v>
      </c>
      <c r="G68" s="3940">
        <f>'11. Амортиз. план'!AM32</f>
        <v>0</v>
      </c>
      <c r="H68" s="4422"/>
      <c r="I68" s="4427">
        <f t="shared" si="46"/>
        <v>0</v>
      </c>
      <c r="J68" s="4427">
        <f t="shared" si="47"/>
        <v>0</v>
      </c>
      <c r="K68" s="4427">
        <f t="shared" si="48"/>
        <v>0</v>
      </c>
      <c r="L68" s="4427">
        <f t="shared" si="49"/>
        <v>0</v>
      </c>
      <c r="M68" s="4427">
        <f t="shared" si="50"/>
        <v>0</v>
      </c>
    </row>
    <row r="69" spans="1:13" s="1308" customFormat="1" ht="13.5" thickBot="1">
      <c r="A69" s="1311" t="s">
        <v>95</v>
      </c>
      <c r="B69" s="1312" t="s">
        <v>548</v>
      </c>
      <c r="C69" s="3941">
        <f t="shared" ref="C69:G69" si="51">C70-C71</f>
        <v>0</v>
      </c>
      <c r="D69" s="3942">
        <f t="shared" si="51"/>
        <v>0</v>
      </c>
      <c r="E69" s="3942">
        <f t="shared" si="51"/>
        <v>0</v>
      </c>
      <c r="F69" s="3942">
        <f t="shared" si="51"/>
        <v>0</v>
      </c>
      <c r="G69" s="3943">
        <f t="shared" si="51"/>
        <v>0</v>
      </c>
      <c r="H69" s="4422"/>
      <c r="I69" s="4427">
        <f t="shared" si="46"/>
        <v>0</v>
      </c>
      <c r="J69" s="4427">
        <f t="shared" si="47"/>
        <v>0</v>
      </c>
      <c r="K69" s="4427">
        <f t="shared" si="48"/>
        <v>0</v>
      </c>
      <c r="L69" s="4427">
        <f t="shared" si="49"/>
        <v>0</v>
      </c>
      <c r="M69" s="4427">
        <f t="shared" si="50"/>
        <v>0</v>
      </c>
    </row>
    <row r="70" spans="1:13" s="1305" customFormat="1" ht="13.5" thickBot="1">
      <c r="A70" s="1309" t="s">
        <v>96</v>
      </c>
      <c r="B70" s="1310" t="s">
        <v>687</v>
      </c>
      <c r="C70" s="3937">
        <f>'11. Амортиз. план'!AH60+'11. Амортиз. план'!AH151</f>
        <v>0</v>
      </c>
      <c r="D70" s="3938">
        <f>'11. Амортиз. план'!AI60+'11. Амортиз. план'!AI151</f>
        <v>0</v>
      </c>
      <c r="E70" s="3938">
        <f>'11. Амортиз. план'!AJ60+'11. Амортиз. план'!AJ151</f>
        <v>0</v>
      </c>
      <c r="F70" s="3938">
        <f>'11. Амортиз. план'!AK60+'11. Амортиз. план'!AK151</f>
        <v>0</v>
      </c>
      <c r="G70" s="3940">
        <f>'11. Амортиз. план'!AL60+'11. Амортиз. план'!AL151</f>
        <v>0</v>
      </c>
      <c r="H70" s="4422"/>
      <c r="I70" s="4427">
        <f t="shared" si="46"/>
        <v>0</v>
      </c>
      <c r="J70" s="4427">
        <f t="shared" si="47"/>
        <v>0</v>
      </c>
      <c r="K70" s="4427">
        <f t="shared" si="48"/>
        <v>0</v>
      </c>
      <c r="L70" s="4427">
        <f t="shared" si="49"/>
        <v>0</v>
      </c>
      <c r="M70" s="4427">
        <f t="shared" si="50"/>
        <v>0</v>
      </c>
    </row>
    <row r="71" spans="1:13" s="1305" customFormat="1" ht="13.5" thickBot="1">
      <c r="A71" s="1309" t="s">
        <v>97</v>
      </c>
      <c r="B71" s="1310" t="s">
        <v>650</v>
      </c>
      <c r="C71" s="3937">
        <f>'11. Амортиз. план'!AI82</f>
        <v>0</v>
      </c>
      <c r="D71" s="3938">
        <f>'11. Амортиз. план'!AJ82</f>
        <v>0</v>
      </c>
      <c r="E71" s="3938">
        <f>'11. Амортиз. план'!AK82</f>
        <v>0</v>
      </c>
      <c r="F71" s="3938">
        <f>'11. Амортиз. план'!AL82</f>
        <v>0</v>
      </c>
      <c r="G71" s="3940">
        <f>'11. Амортиз. план'!AM82</f>
        <v>0</v>
      </c>
      <c r="H71" s="4422"/>
      <c r="I71" s="4427">
        <f t="shared" si="46"/>
        <v>0</v>
      </c>
      <c r="J71" s="4427">
        <f t="shared" si="47"/>
        <v>0</v>
      </c>
      <c r="K71" s="4427">
        <f t="shared" si="48"/>
        <v>0</v>
      </c>
      <c r="L71" s="4427">
        <f t="shared" si="49"/>
        <v>0</v>
      </c>
      <c r="M71" s="4427">
        <f t="shared" si="50"/>
        <v>0</v>
      </c>
    </row>
    <row r="72" spans="1:13" s="1308" customFormat="1" ht="24.75" thickBot="1">
      <c r="A72" s="1311" t="s">
        <v>99</v>
      </c>
      <c r="B72" s="1312" t="s">
        <v>549</v>
      </c>
      <c r="C72" s="3941">
        <f t="shared" ref="C72:G72" si="52">(C73+C74)/2</f>
        <v>0</v>
      </c>
      <c r="D72" s="3942">
        <f t="shared" si="52"/>
        <v>0</v>
      </c>
      <c r="E72" s="3942">
        <f t="shared" si="52"/>
        <v>0</v>
      </c>
      <c r="F72" s="3942">
        <f t="shared" si="52"/>
        <v>0</v>
      </c>
      <c r="G72" s="3943">
        <f t="shared" si="52"/>
        <v>0</v>
      </c>
      <c r="H72" s="4422"/>
      <c r="I72" s="4427">
        <f t="shared" si="46"/>
        <v>0</v>
      </c>
      <c r="J72" s="4427">
        <f t="shared" si="47"/>
        <v>0</v>
      </c>
      <c r="K72" s="4427">
        <f t="shared" si="48"/>
        <v>0</v>
      </c>
      <c r="L72" s="4427">
        <f t="shared" si="49"/>
        <v>0</v>
      </c>
      <c r="M72" s="4427">
        <f t="shared" si="50"/>
        <v>0</v>
      </c>
    </row>
    <row r="73" spans="1:13" s="1305" customFormat="1" ht="13.5" thickBot="1">
      <c r="A73" s="1309" t="s">
        <v>171</v>
      </c>
      <c r="B73" s="1310" t="s">
        <v>195</v>
      </c>
      <c r="C73" s="3873">
        <f>IF('10. Финансиране на ИП'!AL37=0,0,'10. Финансиране на ИП'!AL37)</f>
        <v>0</v>
      </c>
      <c r="D73" s="3876">
        <f>IF('10. Финансиране на ИП'!AM37=0,0,'10. Финансиране на ИП'!AM37)</f>
        <v>0</v>
      </c>
      <c r="E73" s="3876">
        <f>IF('10. Финансиране на ИП'!AN37=0,0,'10. Финансиране на ИП'!AN37)</f>
        <v>0</v>
      </c>
      <c r="F73" s="3876">
        <f>IF('10. Финансиране на ИП'!AO37=0,0,'10. Финансиране на ИП'!AO37)</f>
        <v>0</v>
      </c>
      <c r="G73" s="3875">
        <f>IF('10. Финансиране на ИП'!AP37=0,0,'10. Финансиране на ИП'!AP37)</f>
        <v>0</v>
      </c>
      <c r="H73" s="4422"/>
      <c r="I73" s="4427">
        <f t="shared" si="46"/>
        <v>0</v>
      </c>
      <c r="J73" s="4427">
        <f t="shared" si="47"/>
        <v>0</v>
      </c>
      <c r="K73" s="4427">
        <f t="shared" si="48"/>
        <v>0</v>
      </c>
      <c r="L73" s="4427">
        <f t="shared" si="49"/>
        <v>0</v>
      </c>
      <c r="M73" s="4427">
        <f t="shared" si="50"/>
        <v>0</v>
      </c>
    </row>
    <row r="74" spans="1:13" s="1305" customFormat="1" ht="13.5" thickBot="1">
      <c r="A74" s="1309" t="s">
        <v>172</v>
      </c>
      <c r="B74" s="1310" t="s">
        <v>550</v>
      </c>
      <c r="C74" s="3873">
        <f>IF('10. Финансиране на ИП'!AL43=0,0,'10. Финансиране на ИП'!AL43)</f>
        <v>0</v>
      </c>
      <c r="D74" s="3876">
        <f>IF('10. Финансиране на ИП'!AM43=0,0,'10. Финансиране на ИП'!AM43)</f>
        <v>0</v>
      </c>
      <c r="E74" s="3876">
        <f>IF('10. Финансиране на ИП'!AN43=0,0,'10. Финансиране на ИП'!AN43)</f>
        <v>0</v>
      </c>
      <c r="F74" s="3876">
        <f>IF('10. Финансиране на ИП'!AO43=0,0,'10. Финансиране на ИП'!AO43)</f>
        <v>0</v>
      </c>
      <c r="G74" s="3875">
        <f>IF('10. Финансиране на ИП'!AP43=0,0,'10. Финансиране на ИП'!AP43)</f>
        <v>0</v>
      </c>
      <c r="H74" s="4422"/>
      <c r="I74" s="4427">
        <f t="shared" si="46"/>
        <v>0</v>
      </c>
      <c r="J74" s="4427">
        <f t="shared" si="47"/>
        <v>0</v>
      </c>
      <c r="K74" s="4427">
        <f t="shared" si="48"/>
        <v>0</v>
      </c>
      <c r="L74" s="4427">
        <f t="shared" si="49"/>
        <v>0</v>
      </c>
      <c r="M74" s="4427">
        <f t="shared" si="50"/>
        <v>0</v>
      </c>
    </row>
    <row r="75" spans="1:13" s="1308" customFormat="1" ht="13.5" thickBot="1">
      <c r="A75" s="1311" t="s">
        <v>100</v>
      </c>
      <c r="B75" s="1312" t="s">
        <v>329</v>
      </c>
      <c r="C75" s="3941">
        <f>'9.Инвестиционна програма'!I144</f>
        <v>0</v>
      </c>
      <c r="D75" s="3942">
        <f>'9.Инвестиционна програма'!J144</f>
        <v>0</v>
      </c>
      <c r="E75" s="3942">
        <f>'9.Инвестиционна програма'!K144</f>
        <v>0</v>
      </c>
      <c r="F75" s="3942">
        <f>'9.Инвестиционна програма'!L144</f>
        <v>0</v>
      </c>
      <c r="G75" s="3943">
        <f>'9.Инвестиционна програма'!M144</f>
        <v>0</v>
      </c>
      <c r="H75" s="4422"/>
      <c r="I75" s="4427">
        <f t="shared" si="46"/>
        <v>0</v>
      </c>
      <c r="J75" s="4427">
        <f t="shared" si="47"/>
        <v>0</v>
      </c>
      <c r="K75" s="4427">
        <f t="shared" si="48"/>
        <v>0</v>
      </c>
      <c r="L75" s="4427">
        <f t="shared" si="49"/>
        <v>0</v>
      </c>
      <c r="M75" s="4427">
        <f t="shared" si="50"/>
        <v>0</v>
      </c>
    </row>
    <row r="76" spans="1:13" s="1308" customFormat="1" ht="13.5" thickBot="1">
      <c r="A76" s="1317">
        <v>5</v>
      </c>
      <c r="B76" s="1318" t="s">
        <v>306</v>
      </c>
      <c r="C76" s="3944">
        <f>'18. OK'!D29</f>
        <v>0</v>
      </c>
      <c r="D76" s="3945">
        <f>'18. OK'!E29</f>
        <v>0</v>
      </c>
      <c r="E76" s="3945">
        <f>'18. OK'!F29</f>
        <v>0</v>
      </c>
      <c r="F76" s="3945">
        <f>'18. OK'!G29</f>
        <v>0</v>
      </c>
      <c r="G76" s="3946">
        <f>'18. OK'!H29</f>
        <v>0</v>
      </c>
      <c r="H76" s="4422"/>
      <c r="I76" s="4427">
        <f t="shared" si="46"/>
        <v>0</v>
      </c>
      <c r="J76" s="4427">
        <f t="shared" si="47"/>
        <v>0</v>
      </c>
      <c r="K76" s="4427">
        <f t="shared" si="48"/>
        <v>0</v>
      </c>
      <c r="L76" s="4427">
        <f t="shared" si="49"/>
        <v>0</v>
      </c>
      <c r="M76" s="4427">
        <f t="shared" si="50"/>
        <v>0</v>
      </c>
    </row>
    <row r="77" spans="1:13" s="1305" customFormat="1" ht="13.5" thickBot="1">
      <c r="A77" s="126">
        <v>6</v>
      </c>
      <c r="B77" s="127" t="s">
        <v>305</v>
      </c>
      <c r="C77" s="628">
        <f t="shared" ref="C77:G77" si="53">C66-C69+C72+C75+C76</f>
        <v>0</v>
      </c>
      <c r="D77" s="629">
        <f t="shared" si="53"/>
        <v>0</v>
      </c>
      <c r="E77" s="629">
        <f t="shared" si="53"/>
        <v>0</v>
      </c>
      <c r="F77" s="629">
        <f t="shared" si="53"/>
        <v>0</v>
      </c>
      <c r="G77" s="630">
        <f t="shared" si="53"/>
        <v>0</v>
      </c>
      <c r="H77" s="4422"/>
      <c r="I77" s="4427">
        <f t="shared" si="46"/>
        <v>0</v>
      </c>
      <c r="J77" s="4427">
        <f t="shared" si="47"/>
        <v>0</v>
      </c>
      <c r="K77" s="4427">
        <f t="shared" si="48"/>
        <v>0</v>
      </c>
      <c r="L77" s="4427">
        <f t="shared" si="49"/>
        <v>0</v>
      </c>
      <c r="M77" s="4427">
        <f>IFERROR(G77/$C$1,0)</f>
        <v>0</v>
      </c>
    </row>
    <row r="78" spans="1:13" ht="12.75">
      <c r="C78" s="1295"/>
      <c r="D78" s="1295"/>
      <c r="E78" s="1295"/>
      <c r="F78" s="1295"/>
      <c r="G78" s="1295"/>
    </row>
    <row r="80" spans="1:13" s="4365" customFormat="1" ht="12.75">
      <c r="B80" s="4366" t="str">
        <f>'Приложение '!B82</f>
        <v>Дата: 29.06.2026</v>
      </c>
      <c r="C80" s="4367"/>
      <c r="D80" s="4367"/>
      <c r="E80" s="4367"/>
      <c r="F80" s="4367"/>
      <c r="G80" s="4367"/>
      <c r="H80" s="4368"/>
    </row>
    <row r="81" spans="2:8" s="4364" customFormat="1" ht="12.75">
      <c r="B81" s="4"/>
      <c r="C81" s="626"/>
      <c r="D81" s="626"/>
      <c r="E81" s="626"/>
      <c r="F81" s="626"/>
      <c r="G81" s="626"/>
      <c r="H81" s="20"/>
    </row>
    <row r="82" spans="2:8" s="4364" customFormat="1" ht="12.75">
      <c r="B82" s="4"/>
      <c r="C82" s="626"/>
      <c r="D82" s="626"/>
      <c r="E82" s="626"/>
      <c r="F82" s="626"/>
      <c r="G82" s="626"/>
      <c r="H82" s="20"/>
    </row>
    <row r="83" spans="2:8" s="4365" customFormat="1" ht="12.75">
      <c r="B83" s="4366" t="s">
        <v>187</v>
      </c>
      <c r="C83" s="4367"/>
      <c r="D83" s="4367"/>
      <c r="E83" s="4367"/>
      <c r="F83" s="4367"/>
      <c r="G83" s="4367"/>
      <c r="H83" s="4368"/>
    </row>
    <row r="84" spans="2:8" s="4369" customFormat="1" ht="12.75">
      <c r="B84" s="4370" t="s">
        <v>1480</v>
      </c>
      <c r="C84" s="4371"/>
      <c r="D84" s="4371"/>
      <c r="E84" s="4371"/>
      <c r="F84" s="4371"/>
      <c r="G84" s="4371"/>
      <c r="H84" s="4372"/>
    </row>
    <row r="85" spans="2:8" s="1295" customFormat="1" ht="12.75">
      <c r="B85" s="1296"/>
      <c r="C85" s="626"/>
      <c r="D85" s="626"/>
      <c r="E85" s="626"/>
      <c r="F85" s="626"/>
      <c r="G85" s="626"/>
      <c r="H85" s="20"/>
    </row>
    <row r="86" spans="2:8" s="1295" customFormat="1" ht="12.75">
      <c r="B86" s="1296"/>
      <c r="C86" s="626"/>
      <c r="D86" s="626"/>
      <c r="E86" s="626"/>
      <c r="F86" s="626"/>
      <c r="G86" s="626"/>
      <c r="H86" s="20"/>
    </row>
  </sheetData>
  <sheetProtection algorithmName="SHA-512" hashValue="HKuc5DsuM4N7U5NPeuakywK4sCdWgujwR7Rs981jes4fW/0eIqXPTabsQGZWGHGc0FGh+b5VI8k9mYCbgxdNSw==" saltValue="0BNp5VfqzlDjvfFHkRDXQA==" spinCount="100000" sheet="1" formatCells="0" formatColumns="0" formatRows="0"/>
  <mergeCells count="28">
    <mergeCell ref="I36:M36"/>
    <mergeCell ref="I50:M50"/>
    <mergeCell ref="I64:M64"/>
    <mergeCell ref="A1:B1"/>
    <mergeCell ref="C1:D1"/>
    <mergeCell ref="I7:M7"/>
    <mergeCell ref="I8:M8"/>
    <mergeCell ref="I22:M22"/>
    <mergeCell ref="A2:G2"/>
    <mergeCell ref="A3:G3"/>
    <mergeCell ref="A4:G4"/>
    <mergeCell ref="A5:G5"/>
    <mergeCell ref="C7:G7"/>
    <mergeCell ref="A22:A23"/>
    <mergeCell ref="B22:B23"/>
    <mergeCell ref="A7:A9"/>
    <mergeCell ref="B7:B9"/>
    <mergeCell ref="C22:G22"/>
    <mergeCell ref="C8:G8"/>
    <mergeCell ref="A64:A65"/>
    <mergeCell ref="B64:B65"/>
    <mergeCell ref="C64:G64"/>
    <mergeCell ref="C50:G50"/>
    <mergeCell ref="C36:G36"/>
    <mergeCell ref="A36:A37"/>
    <mergeCell ref="B36:B37"/>
    <mergeCell ref="A50:A51"/>
    <mergeCell ref="B50:B51"/>
  </mergeCells>
  <printOptions horizontalCentered="1"/>
  <pageMargins left="0.59055118110236227" right="0.11811023622047245" top="0.59055118110236227" bottom="0.19685039370078741" header="0.51181102362204722" footer="0.11811023622047245"/>
  <pageSetup paperSize="9" scale="67" orientation="portrait" r:id="rId1"/>
  <headerFooter alignWithMargins="0">
    <oddFooter>&amp;C&amp;A</oddFooter>
  </headerFooter>
  <ignoredErrors>
    <ignoredError sqref="C10:G10 C21:G21 C20:G20 C13:G13 D11:G11 D12:G12 D14:G14 D15:G15 D19:G19 C16:G16" unlockedFormula="1"/>
    <ignoredError sqref="A10:A2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70C0"/>
    <pageSetUpPr fitToPage="1"/>
  </sheetPr>
  <dimension ref="A1:O44"/>
  <sheetViews>
    <sheetView showGridLines="0" zoomScaleNormal="100" zoomScaleSheetLayoutView="100" workbookViewId="0">
      <pane xSplit="2" ySplit="7" topLeftCell="C19" activePane="bottomRight" state="frozen"/>
      <selection pane="topRight" activeCell="C1" sqref="C1"/>
      <selection pane="bottomLeft" activeCell="A8" sqref="A8"/>
      <selection pane="bottomRight" activeCell="F16" sqref="F16"/>
    </sheetView>
  </sheetViews>
  <sheetFormatPr defaultRowHeight="12.75"/>
  <cols>
    <col min="1" max="1" width="4.5703125" style="1" customWidth="1"/>
    <col min="2" max="2" width="45" style="1" customWidth="1"/>
    <col min="3" max="8" width="8.5703125" style="1" customWidth="1"/>
    <col min="9" max="9" width="2.42578125" style="1" customWidth="1"/>
    <col min="10" max="253" width="9.140625" style="1"/>
    <col min="254" max="254" width="3.5703125" style="1" customWidth="1"/>
    <col min="255" max="255" width="75.5703125" style="1" customWidth="1"/>
    <col min="256" max="256" width="9.140625" style="1"/>
    <col min="257" max="258" width="9.85546875" style="1" customWidth="1"/>
    <col min="259" max="509" width="9.140625" style="1"/>
    <col min="510" max="510" width="3.5703125" style="1" customWidth="1"/>
    <col min="511" max="511" width="75.5703125" style="1" customWidth="1"/>
    <col min="512" max="512" width="9.140625" style="1"/>
    <col min="513" max="514" width="9.85546875" style="1" customWidth="1"/>
    <col min="515" max="765" width="9.140625" style="1"/>
    <col min="766" max="766" width="3.5703125" style="1" customWidth="1"/>
    <col min="767" max="767" width="75.5703125" style="1" customWidth="1"/>
    <col min="768" max="768" width="9.140625" style="1"/>
    <col min="769" max="770" width="9.85546875" style="1" customWidth="1"/>
    <col min="771" max="1021" width="9.140625" style="1"/>
    <col min="1022" max="1022" width="3.5703125" style="1" customWidth="1"/>
    <col min="1023" max="1023" width="75.5703125" style="1" customWidth="1"/>
    <col min="1024" max="1024" width="9.140625" style="1"/>
    <col min="1025" max="1026" width="9.85546875" style="1" customWidth="1"/>
    <col min="1027" max="1277" width="9.140625" style="1"/>
    <col min="1278" max="1278" width="3.5703125" style="1" customWidth="1"/>
    <col min="1279" max="1279" width="75.5703125" style="1" customWidth="1"/>
    <col min="1280" max="1280" width="9.140625" style="1"/>
    <col min="1281" max="1282" width="9.85546875" style="1" customWidth="1"/>
    <col min="1283" max="1533" width="9.140625" style="1"/>
    <col min="1534" max="1534" width="3.5703125" style="1" customWidth="1"/>
    <col min="1535" max="1535" width="75.5703125" style="1" customWidth="1"/>
    <col min="1536" max="1536" width="9.140625" style="1"/>
    <col min="1537" max="1538" width="9.85546875" style="1" customWidth="1"/>
    <col min="1539" max="1789" width="9.140625" style="1"/>
    <col min="1790" max="1790" width="3.5703125" style="1" customWidth="1"/>
    <col min="1791" max="1791" width="75.5703125" style="1" customWidth="1"/>
    <col min="1792" max="1792" width="9.140625" style="1"/>
    <col min="1793" max="1794" width="9.85546875" style="1" customWidth="1"/>
    <col min="1795" max="2045" width="9.140625" style="1"/>
    <col min="2046" max="2046" width="3.5703125" style="1" customWidth="1"/>
    <col min="2047" max="2047" width="75.5703125" style="1" customWidth="1"/>
    <col min="2048" max="2048" width="9.140625" style="1"/>
    <col min="2049" max="2050" width="9.85546875" style="1" customWidth="1"/>
    <col min="2051" max="2301" width="9.140625" style="1"/>
    <col min="2302" max="2302" width="3.5703125" style="1" customWidth="1"/>
    <col min="2303" max="2303" width="75.5703125" style="1" customWidth="1"/>
    <col min="2304" max="2304" width="9.140625" style="1"/>
    <col min="2305" max="2306" width="9.85546875" style="1" customWidth="1"/>
    <col min="2307" max="2557" width="9.140625" style="1"/>
    <col min="2558" max="2558" width="3.5703125" style="1" customWidth="1"/>
    <col min="2559" max="2559" width="75.5703125" style="1" customWidth="1"/>
    <col min="2560" max="2560" width="9.140625" style="1"/>
    <col min="2561" max="2562" width="9.85546875" style="1" customWidth="1"/>
    <col min="2563" max="2813" width="9.140625" style="1"/>
    <col min="2814" max="2814" width="3.5703125" style="1" customWidth="1"/>
    <col min="2815" max="2815" width="75.5703125" style="1" customWidth="1"/>
    <col min="2816" max="2816" width="9.140625" style="1"/>
    <col min="2817" max="2818" width="9.85546875" style="1" customWidth="1"/>
    <col min="2819" max="3069" width="9.140625" style="1"/>
    <col min="3070" max="3070" width="3.5703125" style="1" customWidth="1"/>
    <col min="3071" max="3071" width="75.5703125" style="1" customWidth="1"/>
    <col min="3072" max="3072" width="9.140625" style="1"/>
    <col min="3073" max="3074" width="9.85546875" style="1" customWidth="1"/>
    <col min="3075" max="3325" width="9.140625" style="1"/>
    <col min="3326" max="3326" width="3.5703125" style="1" customWidth="1"/>
    <col min="3327" max="3327" width="75.5703125" style="1" customWidth="1"/>
    <col min="3328" max="3328" width="9.140625" style="1"/>
    <col min="3329" max="3330" width="9.85546875" style="1" customWidth="1"/>
    <col min="3331" max="3581" width="9.140625" style="1"/>
    <col min="3582" max="3582" width="3.5703125" style="1" customWidth="1"/>
    <col min="3583" max="3583" width="75.5703125" style="1" customWidth="1"/>
    <col min="3584" max="3584" width="9.140625" style="1"/>
    <col min="3585" max="3586" width="9.85546875" style="1" customWidth="1"/>
    <col min="3587" max="3837" width="9.140625" style="1"/>
    <col min="3838" max="3838" width="3.5703125" style="1" customWidth="1"/>
    <col min="3839" max="3839" width="75.5703125" style="1" customWidth="1"/>
    <col min="3840" max="3840" width="9.140625" style="1"/>
    <col min="3841" max="3842" width="9.85546875" style="1" customWidth="1"/>
    <col min="3843" max="4093" width="9.140625" style="1"/>
    <col min="4094" max="4094" width="3.5703125" style="1" customWidth="1"/>
    <col min="4095" max="4095" width="75.5703125" style="1" customWidth="1"/>
    <col min="4096" max="4096" width="9.140625" style="1"/>
    <col min="4097" max="4098" width="9.85546875" style="1" customWidth="1"/>
    <col min="4099" max="4349" width="9.140625" style="1"/>
    <col min="4350" max="4350" width="3.5703125" style="1" customWidth="1"/>
    <col min="4351" max="4351" width="75.5703125" style="1" customWidth="1"/>
    <col min="4352" max="4352" width="9.140625" style="1"/>
    <col min="4353" max="4354" width="9.85546875" style="1" customWidth="1"/>
    <col min="4355" max="4605" width="9.140625" style="1"/>
    <col min="4606" max="4606" width="3.5703125" style="1" customWidth="1"/>
    <col min="4607" max="4607" width="75.5703125" style="1" customWidth="1"/>
    <col min="4608" max="4608" width="9.140625" style="1"/>
    <col min="4609" max="4610" width="9.85546875" style="1" customWidth="1"/>
    <col min="4611" max="4861" width="9.140625" style="1"/>
    <col min="4862" max="4862" width="3.5703125" style="1" customWidth="1"/>
    <col min="4863" max="4863" width="75.5703125" style="1" customWidth="1"/>
    <col min="4864" max="4864" width="9.140625" style="1"/>
    <col min="4865" max="4866" width="9.85546875" style="1" customWidth="1"/>
    <col min="4867" max="5117" width="9.140625" style="1"/>
    <col min="5118" max="5118" width="3.5703125" style="1" customWidth="1"/>
    <col min="5119" max="5119" width="75.5703125" style="1" customWidth="1"/>
    <col min="5120" max="5120" width="9.140625" style="1"/>
    <col min="5121" max="5122" width="9.85546875" style="1" customWidth="1"/>
    <col min="5123" max="5373" width="9.140625" style="1"/>
    <col min="5374" max="5374" width="3.5703125" style="1" customWidth="1"/>
    <col min="5375" max="5375" width="75.5703125" style="1" customWidth="1"/>
    <col min="5376" max="5376" width="9.140625" style="1"/>
    <col min="5377" max="5378" width="9.85546875" style="1" customWidth="1"/>
    <col min="5379" max="5629" width="9.140625" style="1"/>
    <col min="5630" max="5630" width="3.5703125" style="1" customWidth="1"/>
    <col min="5631" max="5631" width="75.5703125" style="1" customWidth="1"/>
    <col min="5632" max="5632" width="9.140625" style="1"/>
    <col min="5633" max="5634" width="9.85546875" style="1" customWidth="1"/>
    <col min="5635" max="5885" width="9.140625" style="1"/>
    <col min="5886" max="5886" width="3.5703125" style="1" customWidth="1"/>
    <col min="5887" max="5887" width="75.5703125" style="1" customWidth="1"/>
    <col min="5888" max="5888" width="9.140625" style="1"/>
    <col min="5889" max="5890" width="9.85546875" style="1" customWidth="1"/>
    <col min="5891" max="6141" width="9.140625" style="1"/>
    <col min="6142" max="6142" width="3.5703125" style="1" customWidth="1"/>
    <col min="6143" max="6143" width="75.5703125" style="1" customWidth="1"/>
    <col min="6144" max="6144" width="9.140625" style="1"/>
    <col min="6145" max="6146" width="9.85546875" style="1" customWidth="1"/>
    <col min="6147" max="6397" width="9.140625" style="1"/>
    <col min="6398" max="6398" width="3.5703125" style="1" customWidth="1"/>
    <col min="6399" max="6399" width="75.5703125" style="1" customWidth="1"/>
    <col min="6400" max="6400" width="9.140625" style="1"/>
    <col min="6401" max="6402" width="9.85546875" style="1" customWidth="1"/>
    <col min="6403" max="6653" width="9.140625" style="1"/>
    <col min="6654" max="6654" width="3.5703125" style="1" customWidth="1"/>
    <col min="6655" max="6655" width="75.5703125" style="1" customWidth="1"/>
    <col min="6656" max="6656" width="9.140625" style="1"/>
    <col min="6657" max="6658" width="9.85546875" style="1" customWidth="1"/>
    <col min="6659" max="6909" width="9.140625" style="1"/>
    <col min="6910" max="6910" width="3.5703125" style="1" customWidth="1"/>
    <col min="6911" max="6911" width="75.5703125" style="1" customWidth="1"/>
    <col min="6912" max="6912" width="9.140625" style="1"/>
    <col min="6913" max="6914" width="9.85546875" style="1" customWidth="1"/>
    <col min="6915" max="7165" width="9.140625" style="1"/>
    <col min="7166" max="7166" width="3.5703125" style="1" customWidth="1"/>
    <col min="7167" max="7167" width="75.5703125" style="1" customWidth="1"/>
    <col min="7168" max="7168" width="9.140625" style="1"/>
    <col min="7169" max="7170" width="9.85546875" style="1" customWidth="1"/>
    <col min="7171" max="7421" width="9.140625" style="1"/>
    <col min="7422" max="7422" width="3.5703125" style="1" customWidth="1"/>
    <col min="7423" max="7423" width="75.5703125" style="1" customWidth="1"/>
    <col min="7424" max="7424" width="9.140625" style="1"/>
    <col min="7425" max="7426" width="9.85546875" style="1" customWidth="1"/>
    <col min="7427" max="7677" width="9.140625" style="1"/>
    <col min="7678" max="7678" width="3.5703125" style="1" customWidth="1"/>
    <col min="7679" max="7679" width="75.5703125" style="1" customWidth="1"/>
    <col min="7680" max="7680" width="9.140625" style="1"/>
    <col min="7681" max="7682" width="9.85546875" style="1" customWidth="1"/>
    <col min="7683" max="7933" width="9.140625" style="1"/>
    <col min="7934" max="7934" width="3.5703125" style="1" customWidth="1"/>
    <col min="7935" max="7935" width="75.5703125" style="1" customWidth="1"/>
    <col min="7936" max="7936" width="9.140625" style="1"/>
    <col min="7937" max="7938" width="9.85546875" style="1" customWidth="1"/>
    <col min="7939" max="8189" width="9.140625" style="1"/>
    <col min="8190" max="8190" width="3.5703125" style="1" customWidth="1"/>
    <col min="8191" max="8191" width="75.5703125" style="1" customWidth="1"/>
    <col min="8192" max="8192" width="9.140625" style="1"/>
    <col min="8193" max="8194" width="9.85546875" style="1" customWidth="1"/>
    <col min="8195" max="8445" width="9.140625" style="1"/>
    <col min="8446" max="8446" width="3.5703125" style="1" customWidth="1"/>
    <col min="8447" max="8447" width="75.5703125" style="1" customWidth="1"/>
    <col min="8448" max="8448" width="9.140625" style="1"/>
    <col min="8449" max="8450" width="9.85546875" style="1" customWidth="1"/>
    <col min="8451" max="8701" width="9.140625" style="1"/>
    <col min="8702" max="8702" width="3.5703125" style="1" customWidth="1"/>
    <col min="8703" max="8703" width="75.5703125" style="1" customWidth="1"/>
    <col min="8704" max="8704" width="9.140625" style="1"/>
    <col min="8705" max="8706" width="9.85546875" style="1" customWidth="1"/>
    <col min="8707" max="8957" width="9.140625" style="1"/>
    <col min="8958" max="8958" width="3.5703125" style="1" customWidth="1"/>
    <col min="8959" max="8959" width="75.5703125" style="1" customWidth="1"/>
    <col min="8960" max="8960" width="9.140625" style="1"/>
    <col min="8961" max="8962" width="9.85546875" style="1" customWidth="1"/>
    <col min="8963" max="9213" width="9.140625" style="1"/>
    <col min="9214" max="9214" width="3.5703125" style="1" customWidth="1"/>
    <col min="9215" max="9215" width="75.5703125" style="1" customWidth="1"/>
    <col min="9216" max="9216" width="9.140625" style="1"/>
    <col min="9217" max="9218" width="9.85546875" style="1" customWidth="1"/>
    <col min="9219" max="9469" width="9.140625" style="1"/>
    <col min="9470" max="9470" width="3.5703125" style="1" customWidth="1"/>
    <col min="9471" max="9471" width="75.5703125" style="1" customWidth="1"/>
    <col min="9472" max="9472" width="9.140625" style="1"/>
    <col min="9473" max="9474" width="9.85546875" style="1" customWidth="1"/>
    <col min="9475" max="9725" width="9.140625" style="1"/>
    <col min="9726" max="9726" width="3.5703125" style="1" customWidth="1"/>
    <col min="9727" max="9727" width="75.5703125" style="1" customWidth="1"/>
    <col min="9728" max="9728" width="9.140625" style="1"/>
    <col min="9729" max="9730" width="9.85546875" style="1" customWidth="1"/>
    <col min="9731" max="9981" width="9.140625" style="1"/>
    <col min="9982" max="9982" width="3.5703125" style="1" customWidth="1"/>
    <col min="9983" max="9983" width="75.5703125" style="1" customWidth="1"/>
    <col min="9984" max="9984" width="9.140625" style="1"/>
    <col min="9985" max="9986" width="9.85546875" style="1" customWidth="1"/>
    <col min="9987" max="10237" width="9.140625" style="1"/>
    <col min="10238" max="10238" width="3.5703125" style="1" customWidth="1"/>
    <col min="10239" max="10239" width="75.5703125" style="1" customWidth="1"/>
    <col min="10240" max="10240" width="9.140625" style="1"/>
    <col min="10241" max="10242" width="9.85546875" style="1" customWidth="1"/>
    <col min="10243" max="10493" width="9.140625" style="1"/>
    <col min="10494" max="10494" width="3.5703125" style="1" customWidth="1"/>
    <col min="10495" max="10495" width="75.5703125" style="1" customWidth="1"/>
    <col min="10496" max="10496" width="9.140625" style="1"/>
    <col min="10497" max="10498" width="9.85546875" style="1" customWidth="1"/>
    <col min="10499" max="10749" width="9.140625" style="1"/>
    <col min="10750" max="10750" width="3.5703125" style="1" customWidth="1"/>
    <col min="10751" max="10751" width="75.5703125" style="1" customWidth="1"/>
    <col min="10752" max="10752" width="9.140625" style="1"/>
    <col min="10753" max="10754" width="9.85546875" style="1" customWidth="1"/>
    <col min="10755" max="11005" width="9.140625" style="1"/>
    <col min="11006" max="11006" width="3.5703125" style="1" customWidth="1"/>
    <col min="11007" max="11007" width="75.5703125" style="1" customWidth="1"/>
    <col min="11008" max="11008" width="9.140625" style="1"/>
    <col min="11009" max="11010" width="9.85546875" style="1" customWidth="1"/>
    <col min="11011" max="11261" width="9.140625" style="1"/>
    <col min="11262" max="11262" width="3.5703125" style="1" customWidth="1"/>
    <col min="11263" max="11263" width="75.5703125" style="1" customWidth="1"/>
    <col min="11264" max="11264" width="9.140625" style="1"/>
    <col min="11265" max="11266" width="9.85546875" style="1" customWidth="1"/>
    <col min="11267" max="11517" width="9.140625" style="1"/>
    <col min="11518" max="11518" width="3.5703125" style="1" customWidth="1"/>
    <col min="11519" max="11519" width="75.5703125" style="1" customWidth="1"/>
    <col min="11520" max="11520" width="9.140625" style="1"/>
    <col min="11521" max="11522" width="9.85546875" style="1" customWidth="1"/>
    <col min="11523" max="11773" width="9.140625" style="1"/>
    <col min="11774" max="11774" width="3.5703125" style="1" customWidth="1"/>
    <col min="11775" max="11775" width="75.5703125" style="1" customWidth="1"/>
    <col min="11776" max="11776" width="9.140625" style="1"/>
    <col min="11777" max="11778" width="9.85546875" style="1" customWidth="1"/>
    <col min="11779" max="12029" width="9.140625" style="1"/>
    <col min="12030" max="12030" width="3.5703125" style="1" customWidth="1"/>
    <col min="12031" max="12031" width="75.5703125" style="1" customWidth="1"/>
    <col min="12032" max="12032" width="9.140625" style="1"/>
    <col min="12033" max="12034" width="9.85546875" style="1" customWidth="1"/>
    <col min="12035" max="12285" width="9.140625" style="1"/>
    <col min="12286" max="12286" width="3.5703125" style="1" customWidth="1"/>
    <col min="12287" max="12287" width="75.5703125" style="1" customWidth="1"/>
    <col min="12288" max="12288" width="9.140625" style="1"/>
    <col min="12289" max="12290" width="9.85546875" style="1" customWidth="1"/>
    <col min="12291" max="12541" width="9.140625" style="1"/>
    <col min="12542" max="12542" width="3.5703125" style="1" customWidth="1"/>
    <col min="12543" max="12543" width="75.5703125" style="1" customWidth="1"/>
    <col min="12544" max="12544" width="9.140625" style="1"/>
    <col min="12545" max="12546" width="9.85546875" style="1" customWidth="1"/>
    <col min="12547" max="12797" width="9.140625" style="1"/>
    <col min="12798" max="12798" width="3.5703125" style="1" customWidth="1"/>
    <col min="12799" max="12799" width="75.5703125" style="1" customWidth="1"/>
    <col min="12800" max="12800" width="9.140625" style="1"/>
    <col min="12801" max="12802" width="9.85546875" style="1" customWidth="1"/>
    <col min="12803" max="13053" width="9.140625" style="1"/>
    <col min="13054" max="13054" width="3.5703125" style="1" customWidth="1"/>
    <col min="13055" max="13055" width="75.5703125" style="1" customWidth="1"/>
    <col min="13056" max="13056" width="9.140625" style="1"/>
    <col min="13057" max="13058" width="9.85546875" style="1" customWidth="1"/>
    <col min="13059" max="13309" width="9.140625" style="1"/>
    <col min="13310" max="13310" width="3.5703125" style="1" customWidth="1"/>
    <col min="13311" max="13311" width="75.5703125" style="1" customWidth="1"/>
    <col min="13312" max="13312" width="9.140625" style="1"/>
    <col min="13313" max="13314" width="9.85546875" style="1" customWidth="1"/>
    <col min="13315" max="13565" width="9.140625" style="1"/>
    <col min="13566" max="13566" width="3.5703125" style="1" customWidth="1"/>
    <col min="13567" max="13567" width="75.5703125" style="1" customWidth="1"/>
    <col min="13568" max="13568" width="9.140625" style="1"/>
    <col min="13569" max="13570" width="9.85546875" style="1" customWidth="1"/>
    <col min="13571" max="13821" width="9.140625" style="1"/>
    <col min="13822" max="13822" width="3.5703125" style="1" customWidth="1"/>
    <col min="13823" max="13823" width="75.5703125" style="1" customWidth="1"/>
    <col min="13824" max="13824" width="9.140625" style="1"/>
    <col min="13825" max="13826" width="9.85546875" style="1" customWidth="1"/>
    <col min="13827" max="14077" width="9.140625" style="1"/>
    <col min="14078" max="14078" width="3.5703125" style="1" customWidth="1"/>
    <col min="14079" max="14079" width="75.5703125" style="1" customWidth="1"/>
    <col min="14080" max="14080" width="9.140625" style="1"/>
    <col min="14081" max="14082" width="9.85546875" style="1" customWidth="1"/>
    <col min="14083" max="14333" width="9.140625" style="1"/>
    <col min="14334" max="14334" width="3.5703125" style="1" customWidth="1"/>
    <col min="14335" max="14335" width="75.5703125" style="1" customWidth="1"/>
    <col min="14336" max="14336" width="9.140625" style="1"/>
    <col min="14337" max="14338" width="9.85546875" style="1" customWidth="1"/>
    <col min="14339" max="14589" width="9.140625" style="1"/>
    <col min="14590" max="14590" width="3.5703125" style="1" customWidth="1"/>
    <col min="14591" max="14591" width="75.5703125" style="1" customWidth="1"/>
    <col min="14592" max="14592" width="9.140625" style="1"/>
    <col min="14593" max="14594" width="9.85546875" style="1" customWidth="1"/>
    <col min="14595" max="14845" width="9.140625" style="1"/>
    <col min="14846" max="14846" width="3.5703125" style="1" customWidth="1"/>
    <col min="14847" max="14847" width="75.5703125" style="1" customWidth="1"/>
    <col min="14848" max="14848" width="9.140625" style="1"/>
    <col min="14849" max="14850" width="9.85546875" style="1" customWidth="1"/>
    <col min="14851" max="15101" width="9.140625" style="1"/>
    <col min="15102" max="15102" width="3.5703125" style="1" customWidth="1"/>
    <col min="15103" max="15103" width="75.5703125" style="1" customWidth="1"/>
    <col min="15104" max="15104" width="9.140625" style="1"/>
    <col min="15105" max="15106" width="9.85546875" style="1" customWidth="1"/>
    <col min="15107" max="15357" width="9.140625" style="1"/>
    <col min="15358" max="15358" width="3.5703125" style="1" customWidth="1"/>
    <col min="15359" max="15359" width="75.5703125" style="1" customWidth="1"/>
    <col min="15360" max="15360" width="9.140625" style="1"/>
    <col min="15361" max="15362" width="9.85546875" style="1" customWidth="1"/>
    <col min="15363" max="15613" width="9.140625" style="1"/>
    <col min="15614" max="15614" width="3.5703125" style="1" customWidth="1"/>
    <col min="15615" max="15615" width="75.5703125" style="1" customWidth="1"/>
    <col min="15616" max="15616" width="9.140625" style="1"/>
    <col min="15617" max="15618" width="9.85546875" style="1" customWidth="1"/>
    <col min="15619" max="15869" width="9.140625" style="1"/>
    <col min="15870" max="15870" width="3.5703125" style="1" customWidth="1"/>
    <col min="15871" max="15871" width="75.5703125" style="1" customWidth="1"/>
    <col min="15872" max="15872" width="9.140625" style="1"/>
    <col min="15873" max="15874" width="9.85546875" style="1" customWidth="1"/>
    <col min="15875" max="16125" width="9.140625" style="1"/>
    <col min="16126" max="16126" width="3.5703125" style="1" customWidth="1"/>
    <col min="16127" max="16127" width="75.5703125" style="1" customWidth="1"/>
    <col min="16128" max="16128" width="9.140625" style="1"/>
    <col min="16129" max="16130" width="9.85546875" style="1" customWidth="1"/>
    <col min="16131" max="16384" width="9.140625" style="1"/>
  </cols>
  <sheetData>
    <row r="1" spans="1:15" ht="16.5" thickBot="1">
      <c r="A1" s="4792" t="str">
        <f>+'1. Обща информация'!B40</f>
        <v>Фиксиран курс на лева към 1 евро</v>
      </c>
      <c r="B1" s="4792"/>
      <c r="C1" s="4793">
        <f>+'1. Обща информация'!$C$40</f>
        <v>1.95583</v>
      </c>
      <c r="D1" s="4793"/>
      <c r="G1" s="3213"/>
      <c r="H1" s="3129" t="str">
        <f>'17. РБА'!G1</f>
        <v>Приложение № 6</v>
      </c>
    </row>
    <row r="2" spans="1:15" s="7" customFormat="1" ht="18.75">
      <c r="A2" s="5390" t="s">
        <v>1491</v>
      </c>
      <c r="B2" s="5390"/>
      <c r="C2" s="5390"/>
      <c r="D2" s="5390"/>
      <c r="E2" s="5390"/>
      <c r="F2" s="5390"/>
      <c r="G2" s="5390"/>
      <c r="H2" s="5390"/>
    </row>
    <row r="3" spans="1:15" s="8" customFormat="1" ht="18.75">
      <c r="A3" s="5391" t="s">
        <v>1012</v>
      </c>
      <c r="B3" s="5391"/>
      <c r="C3" s="5391"/>
      <c r="D3" s="5391"/>
      <c r="E3" s="5391"/>
      <c r="F3" s="5391"/>
      <c r="G3" s="5391"/>
      <c r="H3" s="5391"/>
    </row>
    <row r="4" spans="1:15" s="1301" customFormat="1" ht="15.75" customHeight="1">
      <c r="A4" s="5389" t="str">
        <f>'1. Обща информация'!A4:D4</f>
        <v>на ВОДОСНАБДЯВАНЕ И КАНАЛИЗАЦИЯ ЕООД, гр. ХАСКОВО</v>
      </c>
      <c r="B4" s="5389"/>
      <c r="C4" s="5389"/>
      <c r="D4" s="5389"/>
      <c r="E4" s="5389"/>
      <c r="F4" s="5389"/>
      <c r="G4" s="5389"/>
      <c r="H4" s="5389"/>
    </row>
    <row r="5" spans="1:15" s="7" customFormat="1" ht="14.25" customHeight="1">
      <c r="A5" s="5389" t="str">
        <f>'1. Обща информация'!A5:D5</f>
        <v>ЕИК по БУЛСТАТ: 126004284</v>
      </c>
      <c r="B5" s="5389"/>
      <c r="C5" s="5389"/>
      <c r="D5" s="5389"/>
      <c r="E5" s="5389"/>
      <c r="F5" s="5389"/>
      <c r="G5" s="5389"/>
      <c r="H5" s="5389"/>
    </row>
    <row r="6" spans="1:15" s="1349" customFormat="1" ht="16.5" customHeight="1" thickBot="1">
      <c r="A6" s="650"/>
      <c r="B6" s="650"/>
      <c r="C6" s="650"/>
      <c r="D6" s="650"/>
      <c r="E6" s="650"/>
      <c r="F6" s="650"/>
      <c r="H6" s="650"/>
    </row>
    <row r="7" spans="1:15" s="649" customFormat="1" ht="25.5" customHeight="1" thickBot="1">
      <c r="A7" s="4413" t="s">
        <v>1</v>
      </c>
      <c r="B7" s="4414" t="s">
        <v>307</v>
      </c>
      <c r="C7" s="4414" t="s">
        <v>166</v>
      </c>
      <c r="D7" s="1413" t="str">
        <f>'Приложение '!$C14</f>
        <v>2027 г.</v>
      </c>
      <c r="E7" s="1413" t="str">
        <f>'Приложение '!$C15</f>
        <v>2028 г.</v>
      </c>
      <c r="F7" s="1413" t="str">
        <f>'Приложение '!$C16</f>
        <v>2029 г.</v>
      </c>
      <c r="G7" s="1413" t="str">
        <f>'Приложение '!$C17</f>
        <v>2030 г.</v>
      </c>
      <c r="H7" s="4415" t="str">
        <f>'Приложение '!$C18</f>
        <v>2031 г.</v>
      </c>
      <c r="I7" s="4422"/>
      <c r="J7" s="4497" t="s">
        <v>166</v>
      </c>
      <c r="K7" s="4498" t="str">
        <f>'Приложение '!$C14</f>
        <v>2027 г.</v>
      </c>
      <c r="L7" s="4498" t="str">
        <f>'Приложение '!$C15</f>
        <v>2028 г.</v>
      </c>
      <c r="M7" s="4498" t="str">
        <f>'Приложение '!$C16</f>
        <v>2029 г.</v>
      </c>
      <c r="N7" s="4498" t="str">
        <f>'Приложение '!$C17</f>
        <v>2030 г.</v>
      </c>
      <c r="O7" s="4498" t="str">
        <f>'Приложение '!$C18</f>
        <v>2031 г.</v>
      </c>
    </row>
    <row r="8" spans="1:15" s="649" customFormat="1">
      <c r="A8" s="1433" t="s">
        <v>205</v>
      </c>
      <c r="B8" s="4408" t="s">
        <v>309</v>
      </c>
      <c r="C8" s="4409" t="s">
        <v>310</v>
      </c>
      <c r="D8" s="4410">
        <v>60</v>
      </c>
      <c r="E8" s="4411">
        <f>+D8</f>
        <v>60</v>
      </c>
      <c r="F8" s="4411">
        <f t="shared" ref="F8:H8" si="0">+E8</f>
        <v>60</v>
      </c>
      <c r="G8" s="4411">
        <f t="shared" si="0"/>
        <v>60</v>
      </c>
      <c r="H8" s="4412">
        <f t="shared" si="0"/>
        <v>60</v>
      </c>
      <c r="I8" s="4422"/>
      <c r="J8" s="4499"/>
      <c r="K8" s="4500"/>
      <c r="L8" s="4501"/>
      <c r="M8" s="4501"/>
      <c r="N8" s="4501"/>
      <c r="O8" s="4501"/>
    </row>
    <row r="9" spans="1:15" s="649" customFormat="1" ht="13.5" thickBot="1">
      <c r="A9" s="1424" t="s">
        <v>206</v>
      </c>
      <c r="B9" s="1427" t="s">
        <v>312</v>
      </c>
      <c r="C9" s="1421" t="s">
        <v>313</v>
      </c>
      <c r="D9" s="940">
        <f>IFERROR(365/D8,0)</f>
        <v>6.083333333333333</v>
      </c>
      <c r="E9" s="940">
        <f t="shared" ref="E9:H9" si="1">IFERROR(365/E8,0)</f>
        <v>6.083333333333333</v>
      </c>
      <c r="F9" s="940">
        <f t="shared" si="1"/>
        <v>6.083333333333333</v>
      </c>
      <c r="G9" s="940">
        <f t="shared" si="1"/>
        <v>6.083333333333333</v>
      </c>
      <c r="H9" s="941">
        <f t="shared" si="1"/>
        <v>6.083333333333333</v>
      </c>
      <c r="I9" s="4422"/>
      <c r="J9" s="4502"/>
      <c r="K9" s="4503"/>
      <c r="L9" s="4503"/>
      <c r="M9" s="4503"/>
      <c r="N9" s="4503"/>
      <c r="O9" s="4503"/>
    </row>
    <row r="10" spans="1:15" s="649" customFormat="1" ht="24.75" thickBot="1">
      <c r="A10" s="1424" t="s">
        <v>219</v>
      </c>
      <c r="B10" s="1425" t="s">
        <v>315</v>
      </c>
      <c r="C10" s="1421" t="s">
        <v>295</v>
      </c>
      <c r="D10" s="940">
        <f t="shared" ref="D10:G10" si="2">D11-D12</f>
        <v>31181.243988791997</v>
      </c>
      <c r="E10" s="940">
        <f t="shared" si="2"/>
        <v>33247.715827667009</v>
      </c>
      <c r="F10" s="940">
        <f t="shared" si="2"/>
        <v>35561.944285821002</v>
      </c>
      <c r="G10" s="940">
        <f t="shared" si="2"/>
        <v>38782.61431642923</v>
      </c>
      <c r="H10" s="941">
        <f t="shared" ref="H10" si="3">H11-H12</f>
        <v>41479.309687790097</v>
      </c>
      <c r="I10" s="4422"/>
      <c r="J10" s="4477" t="s">
        <v>1897</v>
      </c>
      <c r="K10" s="4427">
        <f>IFERROR(D10/$C$1,0)</f>
        <v>15942.716897067739</v>
      </c>
      <c r="L10" s="4427">
        <f t="shared" ref="L10:O10" si="4">IFERROR(E10/$C$1,0)</f>
        <v>16999.287171005155</v>
      </c>
      <c r="M10" s="4427">
        <f t="shared" si="4"/>
        <v>18182.533392892532</v>
      </c>
      <c r="N10" s="4427">
        <f t="shared" si="4"/>
        <v>19829.235831554495</v>
      </c>
      <c r="O10" s="4427">
        <f t="shared" si="4"/>
        <v>21208.034280990731</v>
      </c>
    </row>
    <row r="11" spans="1:15" s="649" customFormat="1" ht="13.5" thickBot="1">
      <c r="A11" s="1420" t="s">
        <v>263</v>
      </c>
      <c r="B11" s="101" t="s">
        <v>316</v>
      </c>
      <c r="C11" s="1421" t="s">
        <v>295</v>
      </c>
      <c r="D11" s="1422">
        <f>'12. Разходи'!D88</f>
        <v>32763.131343861791</v>
      </c>
      <c r="E11" s="1422">
        <f>'12. Разходи'!E88</f>
        <v>34951.82001848756</v>
      </c>
      <c r="F11" s="1422">
        <f>'12. Разходи'!F88</f>
        <v>37453.784029888542</v>
      </c>
      <c r="G11" s="1422">
        <f>'12. Разходи'!G88</f>
        <v>41202.112084410401</v>
      </c>
      <c r="H11" s="1423">
        <f>'12. Разходи'!H88</f>
        <v>43992.587256167397</v>
      </c>
      <c r="I11" s="4422"/>
      <c r="J11" s="4477" t="s">
        <v>1897</v>
      </c>
      <c r="K11" s="4427">
        <f t="shared" ref="K11:K29" si="5">IFERROR(D11/$C$1,0)</f>
        <v>16751.523058681883</v>
      </c>
      <c r="L11" s="4427">
        <f t="shared" ref="L11:L29" si="6">IFERROR(E11/$C$1,0)</f>
        <v>17870.581808484152</v>
      </c>
      <c r="M11" s="4427">
        <f t="shared" ref="M11:M29" si="7">IFERROR(F11/$C$1,0)</f>
        <v>19149.815694558598</v>
      </c>
      <c r="N11" s="4427">
        <f t="shared" ref="N11:N29" si="8">IFERROR(G11/$C$1,0)</f>
        <v>21066.305396895641</v>
      </c>
      <c r="O11" s="4427">
        <f t="shared" ref="O11:O29" si="9">IFERROR(H11/$C$1,0)</f>
        <v>22493.052696894618</v>
      </c>
    </row>
    <row r="12" spans="1:15" s="649" customFormat="1" ht="24.75" thickBot="1">
      <c r="A12" s="1420" t="s">
        <v>264</v>
      </c>
      <c r="B12" s="101" t="s">
        <v>648</v>
      </c>
      <c r="C12" s="1421" t="s">
        <v>295</v>
      </c>
      <c r="D12" s="1422">
        <f>'12. Разходи'!D55</f>
        <v>1581.8873550697936</v>
      </c>
      <c r="E12" s="1422">
        <f>'12. Разходи'!E55</f>
        <v>1704.1041908205518</v>
      </c>
      <c r="F12" s="1422">
        <f>'12. Разходи'!F55</f>
        <v>1891.8397440675399</v>
      </c>
      <c r="G12" s="1422">
        <f>'12. Разходи'!G55</f>
        <v>2419.4977679811727</v>
      </c>
      <c r="H12" s="1423">
        <f>'12. Разходи'!H55</f>
        <v>2513.2775683773002</v>
      </c>
      <c r="I12" s="4422"/>
      <c r="J12" s="4477" t="s">
        <v>1897</v>
      </c>
      <c r="K12" s="4427">
        <f t="shared" si="5"/>
        <v>808.80616161414514</v>
      </c>
      <c r="L12" s="4427">
        <f t="shared" si="6"/>
        <v>871.29463747899968</v>
      </c>
      <c r="M12" s="4427">
        <f t="shared" si="7"/>
        <v>967.282301666065</v>
      </c>
      <c r="N12" s="4427">
        <f t="shared" si="8"/>
        <v>1237.0695653411456</v>
      </c>
      <c r="O12" s="4427">
        <f t="shared" si="9"/>
        <v>1285.0184159038874</v>
      </c>
    </row>
    <row r="13" spans="1:15" s="649" customFormat="1" ht="24" customHeight="1" thickBot="1">
      <c r="A13" s="1424" t="s">
        <v>221</v>
      </c>
      <c r="B13" s="1425" t="s">
        <v>318</v>
      </c>
      <c r="C13" s="1421" t="s">
        <v>295</v>
      </c>
      <c r="D13" s="940">
        <f t="shared" ref="D13:G13" si="10">D14-D15</f>
        <v>1352.5602640189102</v>
      </c>
      <c r="E13" s="940">
        <f t="shared" si="10"/>
        <v>1450.6409695037853</v>
      </c>
      <c r="F13" s="940">
        <f t="shared" si="10"/>
        <v>1545.6504770668912</v>
      </c>
      <c r="G13" s="940">
        <f t="shared" si="10"/>
        <v>1667.5200384571901</v>
      </c>
      <c r="H13" s="941">
        <f t="shared" ref="H13" si="11">H14-H15</f>
        <v>1743.6272170973612</v>
      </c>
      <c r="I13" s="4422"/>
      <c r="J13" s="4477" t="s">
        <v>1897</v>
      </c>
      <c r="K13" s="4427">
        <f t="shared" si="5"/>
        <v>691.55308182148258</v>
      </c>
      <c r="L13" s="4427">
        <f t="shared" si="6"/>
        <v>741.70095023789656</v>
      </c>
      <c r="M13" s="4427">
        <f t="shared" si="7"/>
        <v>790.27854009136342</v>
      </c>
      <c r="N13" s="4427">
        <f t="shared" si="8"/>
        <v>852.58945739516741</v>
      </c>
      <c r="O13" s="4427">
        <f t="shared" si="9"/>
        <v>891.5024399346371</v>
      </c>
    </row>
    <row r="14" spans="1:15" s="649" customFormat="1" ht="13.5" thickBot="1">
      <c r="A14" s="1420" t="s">
        <v>566</v>
      </c>
      <c r="B14" s="101" t="s">
        <v>316</v>
      </c>
      <c r="C14" s="1421" t="s">
        <v>295</v>
      </c>
      <c r="D14" s="1422">
        <f>'12. Разходи'!L88</f>
        <v>1873.6067235476689</v>
      </c>
      <c r="E14" s="1422">
        <f>'12. Разходи'!M88</f>
        <v>1996.8769978283422</v>
      </c>
      <c r="F14" s="1422">
        <f>'12. Разходи'!N88</f>
        <v>1899.0247682739155</v>
      </c>
      <c r="G14" s="1422">
        <f>'12. Разходи'!O88</f>
        <v>2158.614984462823</v>
      </c>
      <c r="H14" s="1423">
        <f>'12. Разходи'!P88</f>
        <v>2274.283059308269</v>
      </c>
      <c r="I14" s="4422"/>
      <c r="J14" s="4477" t="s">
        <v>1897</v>
      </c>
      <c r="K14" s="4427">
        <f t="shared" si="5"/>
        <v>957.95990630457095</v>
      </c>
      <c r="L14" s="4427">
        <f t="shared" si="6"/>
        <v>1020.9869967371102</v>
      </c>
      <c r="M14" s="4427">
        <f t="shared" si="7"/>
        <v>970.95594620898316</v>
      </c>
      <c r="N14" s="4427">
        <f t="shared" si="8"/>
        <v>1103.6823161843427</v>
      </c>
      <c r="O14" s="4427">
        <f t="shared" si="9"/>
        <v>1162.8224637664159</v>
      </c>
    </row>
    <row r="15" spans="1:15" s="649" customFormat="1" ht="24.75" thickBot="1">
      <c r="A15" s="1420" t="s">
        <v>567</v>
      </c>
      <c r="B15" s="101" t="s">
        <v>648</v>
      </c>
      <c r="C15" s="1421" t="s">
        <v>295</v>
      </c>
      <c r="D15" s="1426">
        <f>'12. Разходи'!L55</f>
        <v>521.04645952875876</v>
      </c>
      <c r="E15" s="1426">
        <f>'12. Разходи'!M55</f>
        <v>546.23602832455686</v>
      </c>
      <c r="F15" s="1426">
        <f>'12. Разходи'!N55</f>
        <v>353.37429120702438</v>
      </c>
      <c r="G15" s="1426">
        <f>'12. Разходи'!O55</f>
        <v>491.09494600563283</v>
      </c>
      <c r="H15" s="1423">
        <f>'12. Разходи'!P55</f>
        <v>530.65584221090796</v>
      </c>
      <c r="I15" s="4422"/>
      <c r="J15" s="4477" t="s">
        <v>1897</v>
      </c>
      <c r="K15" s="4427">
        <f t="shared" si="5"/>
        <v>266.40682448308837</v>
      </c>
      <c r="L15" s="4427">
        <f t="shared" si="6"/>
        <v>279.28604649921357</v>
      </c>
      <c r="M15" s="4427">
        <f t="shared" si="7"/>
        <v>180.67740611761982</v>
      </c>
      <c r="N15" s="4427">
        <f t="shared" si="8"/>
        <v>251.09285878917535</v>
      </c>
      <c r="O15" s="4427">
        <f t="shared" si="9"/>
        <v>271.32002383177883</v>
      </c>
    </row>
    <row r="16" spans="1:15" s="649" customFormat="1" ht="24.75" thickBot="1">
      <c r="A16" s="1424" t="s">
        <v>308</v>
      </c>
      <c r="B16" s="1425" t="s">
        <v>319</v>
      </c>
      <c r="C16" s="1421" t="s">
        <v>295</v>
      </c>
      <c r="D16" s="940">
        <f t="shared" ref="D16:G16" si="12">D17-D18</f>
        <v>2628.0290722807999</v>
      </c>
      <c r="E16" s="940">
        <f t="shared" si="12"/>
        <v>2797.0299526808003</v>
      </c>
      <c r="F16" s="940">
        <f t="shared" si="12"/>
        <v>2982.4996273328002</v>
      </c>
      <c r="G16" s="940">
        <f t="shared" si="12"/>
        <v>3294.4556603109604</v>
      </c>
      <c r="H16" s="941">
        <f t="shared" ref="H16" si="13">H17-H18</f>
        <v>3465.4099318177218</v>
      </c>
      <c r="I16" s="4422"/>
      <c r="J16" s="4477" t="s">
        <v>1897</v>
      </c>
      <c r="K16" s="4427">
        <f t="shared" si="5"/>
        <v>1343.689928204803</v>
      </c>
      <c r="L16" s="4427">
        <f t="shared" si="6"/>
        <v>1430.0987062683364</v>
      </c>
      <c r="M16" s="4427">
        <f t="shared" si="7"/>
        <v>1524.9278451260079</v>
      </c>
      <c r="N16" s="4427">
        <f t="shared" si="8"/>
        <v>1684.4284320779211</v>
      </c>
      <c r="O16" s="4427">
        <f t="shared" si="9"/>
        <v>1771.8359631551423</v>
      </c>
    </row>
    <row r="17" spans="1:15" s="649" customFormat="1" ht="13.5" thickBot="1">
      <c r="A17" s="1420" t="s">
        <v>568</v>
      </c>
      <c r="B17" s="101" t="s">
        <v>316</v>
      </c>
      <c r="C17" s="1421" t="s">
        <v>295</v>
      </c>
      <c r="D17" s="1422">
        <f>'12. Разходи'!T88</f>
        <v>3095.1878800422473</v>
      </c>
      <c r="E17" s="1422">
        <f>'12. Разходи'!U88</f>
        <v>3344.7652229756914</v>
      </c>
      <c r="F17" s="1422">
        <f>'12. Разходи'!V88</f>
        <v>3477.5115709382358</v>
      </c>
      <c r="G17" s="1422">
        <f>'12. Разходи'!W88</f>
        <v>3859.084169924155</v>
      </c>
      <c r="H17" s="1423">
        <f>'12. Разходи'!X88</f>
        <v>4065.3377448295141</v>
      </c>
      <c r="I17" s="4422"/>
      <c r="J17" s="4477" t="s">
        <v>1897</v>
      </c>
      <c r="K17" s="4427">
        <f t="shared" si="5"/>
        <v>1582.5444338425361</v>
      </c>
      <c r="L17" s="4427">
        <f t="shared" si="6"/>
        <v>1710.1513030149304</v>
      </c>
      <c r="M17" s="4427">
        <f t="shared" si="7"/>
        <v>1778.0234329866275</v>
      </c>
      <c r="N17" s="4427">
        <f t="shared" si="8"/>
        <v>1973.1184049350686</v>
      </c>
      <c r="O17" s="4427">
        <f t="shared" si="9"/>
        <v>2078.5741832518747</v>
      </c>
    </row>
    <row r="18" spans="1:15" s="649" customFormat="1" ht="24.75" thickBot="1">
      <c r="A18" s="1428" t="s">
        <v>569</v>
      </c>
      <c r="B18" s="1429" t="s">
        <v>648</v>
      </c>
      <c r="C18" s="1430" t="s">
        <v>295</v>
      </c>
      <c r="D18" s="1431">
        <f>'12. Разходи'!T55</f>
        <v>467.15880776144741</v>
      </c>
      <c r="E18" s="1431">
        <f>'12. Разходи'!U55</f>
        <v>547.73527029489117</v>
      </c>
      <c r="F18" s="1431">
        <f>'12. Разходи'!V55</f>
        <v>495.01194360543548</v>
      </c>
      <c r="G18" s="1431">
        <f>'12. Разходи'!W55</f>
        <v>564.62850961319441</v>
      </c>
      <c r="H18" s="1432">
        <f>'12. Разходи'!X55</f>
        <v>599.9278130117923</v>
      </c>
      <c r="I18" s="4422"/>
      <c r="J18" s="4477" t="s">
        <v>1897</v>
      </c>
      <c r="K18" s="4427">
        <f t="shared" si="5"/>
        <v>238.85450563773304</v>
      </c>
      <c r="L18" s="4427">
        <f t="shared" si="6"/>
        <v>280.05259674659413</v>
      </c>
      <c r="M18" s="4427">
        <f t="shared" si="7"/>
        <v>253.09558786061953</v>
      </c>
      <c r="N18" s="4427">
        <f t="shared" si="8"/>
        <v>288.68997285714732</v>
      </c>
      <c r="O18" s="4427">
        <f t="shared" si="9"/>
        <v>306.7382200967325</v>
      </c>
    </row>
    <row r="19" spans="1:15" s="649" customFormat="1" ht="24.75" thickBot="1">
      <c r="A19" s="1433" t="s">
        <v>311</v>
      </c>
      <c r="B19" s="1434" t="s">
        <v>1244</v>
      </c>
      <c r="C19" s="1435" t="s">
        <v>295</v>
      </c>
      <c r="D19" s="1436">
        <f t="shared" ref="D19:H19" si="14">D20-D21</f>
        <v>0</v>
      </c>
      <c r="E19" s="1436">
        <f t="shared" si="14"/>
        <v>0</v>
      </c>
      <c r="F19" s="1436">
        <f t="shared" si="14"/>
        <v>0</v>
      </c>
      <c r="G19" s="1436">
        <f t="shared" si="14"/>
        <v>0</v>
      </c>
      <c r="H19" s="1437">
        <f t="shared" si="14"/>
        <v>0</v>
      </c>
      <c r="I19" s="4422"/>
      <c r="J19" s="4477" t="s">
        <v>1897</v>
      </c>
      <c r="K19" s="4427">
        <f t="shared" si="5"/>
        <v>0</v>
      </c>
      <c r="L19" s="4427">
        <f t="shared" si="6"/>
        <v>0</v>
      </c>
      <c r="M19" s="4427">
        <f t="shared" si="7"/>
        <v>0</v>
      </c>
      <c r="N19" s="4427">
        <f t="shared" si="8"/>
        <v>0</v>
      </c>
      <c r="O19" s="4427">
        <f t="shared" si="9"/>
        <v>0</v>
      </c>
    </row>
    <row r="20" spans="1:15" s="649" customFormat="1" ht="13.5" thickBot="1">
      <c r="A20" s="1420" t="s">
        <v>956</v>
      </c>
      <c r="B20" s="101" t="s">
        <v>316</v>
      </c>
      <c r="C20" s="1421" t="s">
        <v>295</v>
      </c>
      <c r="D20" s="1422">
        <f>'12. Разходи'!AB88</f>
        <v>0</v>
      </c>
      <c r="E20" s="1422">
        <f>'12. Разходи'!AC88</f>
        <v>0</v>
      </c>
      <c r="F20" s="1422">
        <f>'12. Разходи'!AD88</f>
        <v>0</v>
      </c>
      <c r="G20" s="1422">
        <f>'12. Разходи'!AE88</f>
        <v>0</v>
      </c>
      <c r="H20" s="1423">
        <f>'12. Разходи'!AF88</f>
        <v>0</v>
      </c>
      <c r="I20" s="4422"/>
      <c r="J20" s="4477" t="s">
        <v>1897</v>
      </c>
      <c r="K20" s="4427">
        <f t="shared" si="5"/>
        <v>0</v>
      </c>
      <c r="L20" s="4427">
        <f t="shared" si="6"/>
        <v>0</v>
      </c>
      <c r="M20" s="4427">
        <f t="shared" si="7"/>
        <v>0</v>
      </c>
      <c r="N20" s="4427">
        <f t="shared" si="8"/>
        <v>0</v>
      </c>
      <c r="O20" s="4427">
        <f t="shared" si="9"/>
        <v>0</v>
      </c>
    </row>
    <row r="21" spans="1:15" s="649" customFormat="1" ht="24.75" thickBot="1">
      <c r="A21" s="1420" t="s">
        <v>957</v>
      </c>
      <c r="B21" s="101" t="s">
        <v>648</v>
      </c>
      <c r="C21" s="1421" t="s">
        <v>295</v>
      </c>
      <c r="D21" s="1422">
        <f>'12. Разходи'!AB55</f>
        <v>0</v>
      </c>
      <c r="E21" s="1422">
        <f>'12. Разходи'!AC55</f>
        <v>0</v>
      </c>
      <c r="F21" s="1422">
        <f>'12. Разходи'!AD55</f>
        <v>0</v>
      </c>
      <c r="G21" s="1422">
        <f>'12. Разходи'!AE55</f>
        <v>0</v>
      </c>
      <c r="H21" s="1423">
        <f>'12. Разходи'!AF55</f>
        <v>0</v>
      </c>
      <c r="I21" s="4422"/>
      <c r="J21" s="4477" t="s">
        <v>1897</v>
      </c>
      <c r="K21" s="4427">
        <f t="shared" si="5"/>
        <v>0</v>
      </c>
      <c r="L21" s="4427">
        <f t="shared" si="6"/>
        <v>0</v>
      </c>
      <c r="M21" s="4427">
        <f t="shared" si="7"/>
        <v>0</v>
      </c>
      <c r="N21" s="4427">
        <f t="shared" si="8"/>
        <v>0</v>
      </c>
      <c r="O21" s="4427">
        <f t="shared" si="9"/>
        <v>0</v>
      </c>
    </row>
    <row r="22" spans="1:15" s="649" customFormat="1" ht="24.75" thickBot="1">
      <c r="A22" s="1424" t="s">
        <v>314</v>
      </c>
      <c r="B22" s="1425" t="s">
        <v>1245</v>
      </c>
      <c r="C22" s="1421" t="s">
        <v>295</v>
      </c>
      <c r="D22" s="940">
        <f t="shared" ref="D22:H22" si="15">D23-D24</f>
        <v>0</v>
      </c>
      <c r="E22" s="940">
        <f t="shared" si="15"/>
        <v>0</v>
      </c>
      <c r="F22" s="940">
        <f t="shared" si="15"/>
        <v>0</v>
      </c>
      <c r="G22" s="940">
        <f t="shared" si="15"/>
        <v>0</v>
      </c>
      <c r="H22" s="941">
        <f t="shared" si="15"/>
        <v>0</v>
      </c>
      <c r="I22" s="4422"/>
      <c r="J22" s="4477" t="s">
        <v>1897</v>
      </c>
      <c r="K22" s="4427">
        <f t="shared" si="5"/>
        <v>0</v>
      </c>
      <c r="L22" s="4427">
        <f t="shared" si="6"/>
        <v>0</v>
      </c>
      <c r="M22" s="4427">
        <f t="shared" si="7"/>
        <v>0</v>
      </c>
      <c r="N22" s="4427">
        <f t="shared" si="8"/>
        <v>0</v>
      </c>
      <c r="O22" s="4427">
        <f t="shared" si="9"/>
        <v>0</v>
      </c>
    </row>
    <row r="23" spans="1:15" s="649" customFormat="1" ht="13.5" thickBot="1">
      <c r="A23" s="1420" t="s">
        <v>958</v>
      </c>
      <c r="B23" s="101" t="s">
        <v>316</v>
      </c>
      <c r="C23" s="1421" t="s">
        <v>295</v>
      </c>
      <c r="D23" s="1422">
        <f>'12. Разходи'!AJ88</f>
        <v>0</v>
      </c>
      <c r="E23" s="1422">
        <f>'12. Разходи'!AK88</f>
        <v>0</v>
      </c>
      <c r="F23" s="1422">
        <f>'12. Разходи'!AL88</f>
        <v>0</v>
      </c>
      <c r="G23" s="1422">
        <f>'12. Разходи'!AM88</f>
        <v>0</v>
      </c>
      <c r="H23" s="1423">
        <f>'12. Разходи'!AN88</f>
        <v>0</v>
      </c>
      <c r="I23" s="4422"/>
      <c r="J23" s="4477" t="s">
        <v>1897</v>
      </c>
      <c r="K23" s="4427">
        <f t="shared" si="5"/>
        <v>0</v>
      </c>
      <c r="L23" s="4427">
        <f t="shared" si="6"/>
        <v>0</v>
      </c>
      <c r="M23" s="4427">
        <f t="shared" si="7"/>
        <v>0</v>
      </c>
      <c r="N23" s="4427">
        <f t="shared" si="8"/>
        <v>0</v>
      </c>
      <c r="O23" s="4427">
        <f t="shared" si="9"/>
        <v>0</v>
      </c>
    </row>
    <row r="24" spans="1:15" s="649" customFormat="1" ht="24.75" thickBot="1">
      <c r="A24" s="1420" t="s">
        <v>959</v>
      </c>
      <c r="B24" s="101" t="s">
        <v>648</v>
      </c>
      <c r="C24" s="1421" t="s">
        <v>295</v>
      </c>
      <c r="D24" s="1422">
        <f>'12. Разходи'!AJ55</f>
        <v>0</v>
      </c>
      <c r="E24" s="1422">
        <f>'12. Разходи'!AK55</f>
        <v>0</v>
      </c>
      <c r="F24" s="1422">
        <f>'12. Разходи'!AL55</f>
        <v>0</v>
      </c>
      <c r="G24" s="1422">
        <f>'12. Разходи'!AM55</f>
        <v>0</v>
      </c>
      <c r="H24" s="1423">
        <f>'12. Разходи'!AN55</f>
        <v>0</v>
      </c>
      <c r="I24" s="4422"/>
      <c r="J24" s="4477" t="s">
        <v>1897</v>
      </c>
      <c r="K24" s="4427">
        <f t="shared" si="5"/>
        <v>0</v>
      </c>
      <c r="L24" s="4427">
        <f t="shared" si="6"/>
        <v>0</v>
      </c>
      <c r="M24" s="4427">
        <f t="shared" si="7"/>
        <v>0</v>
      </c>
      <c r="N24" s="4427">
        <f t="shared" si="8"/>
        <v>0</v>
      </c>
      <c r="O24" s="4427">
        <f t="shared" si="9"/>
        <v>0</v>
      </c>
    </row>
    <row r="25" spans="1:15" s="649" customFormat="1" ht="13.5" thickBot="1">
      <c r="A25" s="1438" t="s">
        <v>317</v>
      </c>
      <c r="B25" s="1439" t="s">
        <v>320</v>
      </c>
      <c r="C25" s="1440" t="s">
        <v>295</v>
      </c>
      <c r="D25" s="1441">
        <f>IFERROR(D10/D9,0)</f>
        <v>5125.6839433630685</v>
      </c>
      <c r="E25" s="1441">
        <f t="shared" ref="E25:H25" si="16">IFERROR(E10/E9,0)</f>
        <v>5465.3779442740288</v>
      </c>
      <c r="F25" s="1441">
        <f t="shared" si="16"/>
        <v>5845.7990606829044</v>
      </c>
      <c r="G25" s="1441">
        <f t="shared" si="16"/>
        <v>6375.2242711938461</v>
      </c>
      <c r="H25" s="1442">
        <f t="shared" si="16"/>
        <v>6818.5166610065917</v>
      </c>
      <c r="I25" s="4422"/>
      <c r="J25" s="4478" t="s">
        <v>1897</v>
      </c>
      <c r="K25" s="4471">
        <f t="shared" si="5"/>
        <v>2620.7205858193547</v>
      </c>
      <c r="L25" s="4471">
        <f t="shared" si="6"/>
        <v>2794.4033705761894</v>
      </c>
      <c r="M25" s="4471">
        <f t="shared" si="7"/>
        <v>2988.9095988316494</v>
      </c>
      <c r="N25" s="4471">
        <f t="shared" si="8"/>
        <v>3259.6004106664927</v>
      </c>
      <c r="O25" s="4471">
        <f t="shared" si="9"/>
        <v>3486.2522105738185</v>
      </c>
    </row>
    <row r="26" spans="1:15" s="649" customFormat="1" ht="13.5" thickBot="1">
      <c r="A26" s="1438" t="s">
        <v>1240</v>
      </c>
      <c r="B26" s="1439" t="s">
        <v>321</v>
      </c>
      <c r="C26" s="1440" t="s">
        <v>295</v>
      </c>
      <c r="D26" s="1441">
        <f>IFERROR(D13/D9,0)</f>
        <v>222.33867353735511</v>
      </c>
      <c r="E26" s="1441">
        <f t="shared" ref="E26:H26" si="17">IFERROR(E13/E9,0)</f>
        <v>238.46152923349896</v>
      </c>
      <c r="F26" s="1441">
        <f t="shared" si="17"/>
        <v>254.07953047674926</v>
      </c>
      <c r="G26" s="1441">
        <f t="shared" si="17"/>
        <v>274.11288303405865</v>
      </c>
      <c r="H26" s="1442">
        <f t="shared" si="17"/>
        <v>286.62365212559365</v>
      </c>
      <c r="I26" s="4422"/>
      <c r="J26" s="4478" t="s">
        <v>1897</v>
      </c>
      <c r="K26" s="4471">
        <f t="shared" si="5"/>
        <v>113.67995865558618</v>
      </c>
      <c r="L26" s="4471">
        <f t="shared" si="6"/>
        <v>121.92344387472274</v>
      </c>
      <c r="M26" s="4471">
        <f t="shared" si="7"/>
        <v>129.90880111090905</v>
      </c>
      <c r="N26" s="4471">
        <f t="shared" si="8"/>
        <v>140.15169162660285</v>
      </c>
      <c r="O26" s="4471">
        <f t="shared" si="9"/>
        <v>146.54834629062529</v>
      </c>
    </row>
    <row r="27" spans="1:15" s="649" customFormat="1" ht="13.5" thickBot="1">
      <c r="A27" s="1438" t="s">
        <v>1242</v>
      </c>
      <c r="B27" s="1439" t="s">
        <v>322</v>
      </c>
      <c r="C27" s="1440" t="s">
        <v>295</v>
      </c>
      <c r="D27" s="1441">
        <f>IFERROR(D16/D9,0)</f>
        <v>432.00477900506303</v>
      </c>
      <c r="E27" s="1441">
        <f t="shared" ref="E27:H27" si="18">IFERROR(E16/E9,0)</f>
        <v>459.785745646159</v>
      </c>
      <c r="F27" s="1441">
        <f t="shared" si="18"/>
        <v>490.27391134237814</v>
      </c>
      <c r="G27" s="1441">
        <f t="shared" si="18"/>
        <v>541.55435511960991</v>
      </c>
      <c r="H27" s="1442">
        <f t="shared" si="18"/>
        <v>569.65642714811872</v>
      </c>
      <c r="I27" s="4422"/>
      <c r="J27" s="4478" t="s">
        <v>1897</v>
      </c>
      <c r="K27" s="4471">
        <f t="shared" si="5"/>
        <v>220.88053614325531</v>
      </c>
      <c r="L27" s="4471">
        <f t="shared" si="6"/>
        <v>235.08471883863066</v>
      </c>
      <c r="M27" s="4471">
        <f t="shared" si="7"/>
        <v>250.67307043167256</v>
      </c>
      <c r="N27" s="4471">
        <f t="shared" si="8"/>
        <v>276.89234499911032</v>
      </c>
      <c r="O27" s="4471">
        <f t="shared" si="9"/>
        <v>291.26070627207821</v>
      </c>
    </row>
    <row r="28" spans="1:15" s="649" customFormat="1" ht="13.5" thickBot="1">
      <c r="A28" s="1438" t="s">
        <v>1246</v>
      </c>
      <c r="B28" s="1439" t="s">
        <v>1241</v>
      </c>
      <c r="C28" s="1440" t="s">
        <v>295</v>
      </c>
      <c r="D28" s="1441">
        <f>IFERROR(D19/D9,0)</f>
        <v>0</v>
      </c>
      <c r="E28" s="1441">
        <f t="shared" ref="E28:H28" si="19">IFERROR(E19/E9,0)</f>
        <v>0</v>
      </c>
      <c r="F28" s="1441">
        <f t="shared" si="19"/>
        <v>0</v>
      </c>
      <c r="G28" s="1441">
        <f t="shared" si="19"/>
        <v>0</v>
      </c>
      <c r="H28" s="1443">
        <f t="shared" si="19"/>
        <v>0</v>
      </c>
      <c r="I28" s="4422"/>
      <c r="J28" s="4478" t="s">
        <v>1897</v>
      </c>
      <c r="K28" s="4471">
        <f t="shared" si="5"/>
        <v>0</v>
      </c>
      <c r="L28" s="4471">
        <f t="shared" si="6"/>
        <v>0</v>
      </c>
      <c r="M28" s="4471">
        <f t="shared" si="7"/>
        <v>0</v>
      </c>
      <c r="N28" s="4471">
        <f t="shared" si="8"/>
        <v>0</v>
      </c>
      <c r="O28" s="4471">
        <f t="shared" si="9"/>
        <v>0</v>
      </c>
    </row>
    <row r="29" spans="1:15" s="649" customFormat="1" ht="13.5" thickBot="1">
      <c r="A29" s="1438" t="s">
        <v>1247</v>
      </c>
      <c r="B29" s="1439" t="s">
        <v>1243</v>
      </c>
      <c r="C29" s="1440" t="s">
        <v>295</v>
      </c>
      <c r="D29" s="1441">
        <f>IFERROR(D22/D9,0)</f>
        <v>0</v>
      </c>
      <c r="E29" s="1441">
        <f t="shared" ref="E29:H29" si="20">IFERROR(E22/E9,0)</f>
        <v>0</v>
      </c>
      <c r="F29" s="1441">
        <f t="shared" si="20"/>
        <v>0</v>
      </c>
      <c r="G29" s="1441">
        <f t="shared" si="20"/>
        <v>0</v>
      </c>
      <c r="H29" s="1443">
        <f t="shared" si="20"/>
        <v>0</v>
      </c>
      <c r="I29" s="4422"/>
      <c r="J29" s="4478" t="s">
        <v>1897</v>
      </c>
      <c r="K29" s="4471">
        <f t="shared" si="5"/>
        <v>0</v>
      </c>
      <c r="L29" s="4471">
        <f t="shared" si="6"/>
        <v>0</v>
      </c>
      <c r="M29" s="4471">
        <f t="shared" si="7"/>
        <v>0</v>
      </c>
      <c r="N29" s="4471">
        <f t="shared" si="8"/>
        <v>0</v>
      </c>
      <c r="O29" s="4471">
        <f t="shared" si="9"/>
        <v>0</v>
      </c>
    </row>
    <row r="30" spans="1:15" ht="14.25">
      <c r="A30" s="631"/>
      <c r="B30" s="632"/>
      <c r="C30" s="633"/>
      <c r="D30" s="634"/>
      <c r="E30" s="634"/>
      <c r="F30" s="634"/>
      <c r="G30" s="634"/>
      <c r="H30" s="634"/>
    </row>
    <row r="31" spans="1:15" ht="14.25">
      <c r="A31" s="631"/>
      <c r="B31" s="632"/>
      <c r="C31" s="633"/>
      <c r="D31" s="634"/>
      <c r="E31" s="634"/>
      <c r="F31" s="634"/>
      <c r="G31" s="634"/>
      <c r="H31" s="634"/>
    </row>
    <row r="32" spans="1:15" ht="14.25">
      <c r="A32" s="631"/>
      <c r="B32" s="1680" t="str">
        <f>'Приложение '!B82</f>
        <v>Дата: 29.06.2026</v>
      </c>
      <c r="C32" s="634"/>
      <c r="D32" s="634"/>
      <c r="E32" s="634"/>
      <c r="F32" s="634"/>
      <c r="G32" s="634"/>
      <c r="H32" s="634"/>
    </row>
    <row r="33" spans="1:8">
      <c r="A33" s="1304"/>
      <c r="B33" s="3429"/>
    </row>
    <row r="35" spans="1:8">
      <c r="A35" s="5336" t="s">
        <v>187</v>
      </c>
      <c r="B35" s="5336"/>
      <c r="C35" s="5336"/>
    </row>
    <row r="36" spans="1:8">
      <c r="A36" s="5337" t="s">
        <v>1872</v>
      </c>
      <c r="B36" s="5337"/>
      <c r="C36" s="5337"/>
      <c r="D36" s="5337"/>
      <c r="E36" s="5337"/>
      <c r="F36" s="5337"/>
      <c r="G36" s="5337"/>
      <c r="H36" s="5337"/>
    </row>
    <row r="37" spans="1:8">
      <c r="A37" s="5337"/>
      <c r="B37" s="5337"/>
      <c r="C37" s="5337"/>
      <c r="D37" s="5337"/>
      <c r="E37" s="5337"/>
      <c r="F37" s="5337"/>
      <c r="G37" s="5337"/>
      <c r="H37" s="5337"/>
    </row>
    <row r="38" spans="1:8">
      <c r="A38" s="5388"/>
      <c r="B38" s="5388"/>
      <c r="C38" s="5388"/>
      <c r="D38" s="5388"/>
      <c r="E38" s="5388"/>
      <c r="F38" s="5388"/>
      <c r="G38" s="5388"/>
      <c r="H38" s="5388"/>
    </row>
    <row r="39" spans="1:8" ht="15.75" customHeight="1">
      <c r="A39" s="5388"/>
      <c r="B39" s="5388"/>
      <c r="C39" s="5388"/>
      <c r="D39" s="5388"/>
      <c r="E39" s="5388"/>
      <c r="F39" s="5388"/>
      <c r="G39" s="5388"/>
      <c r="H39" s="5388"/>
    </row>
    <row r="40" spans="1:8" ht="12.75" customHeight="1">
      <c r="A40" s="5388"/>
      <c r="B40" s="5388"/>
      <c r="C40" s="5388"/>
      <c r="D40" s="5388"/>
      <c r="E40" s="5388"/>
      <c r="F40" s="5388"/>
      <c r="G40" s="5388"/>
      <c r="H40" s="5388"/>
    </row>
    <row r="41" spans="1:8">
      <c r="A41" s="5388"/>
      <c r="B41" s="5388"/>
      <c r="C41" s="5388"/>
      <c r="D41" s="5388"/>
      <c r="E41" s="5388"/>
      <c r="F41" s="5388"/>
      <c r="G41" s="5388"/>
      <c r="H41" s="5388"/>
    </row>
    <row r="42" spans="1:8">
      <c r="A42" s="5388"/>
      <c r="B42" s="5388"/>
      <c r="C42" s="5388"/>
      <c r="D42" s="5388"/>
      <c r="E42" s="5388"/>
      <c r="F42" s="5388"/>
      <c r="G42" s="5388"/>
      <c r="H42" s="5388"/>
    </row>
    <row r="43" spans="1:8">
      <c r="A43" s="5388"/>
      <c r="B43" s="5388"/>
      <c r="C43" s="5388"/>
      <c r="D43" s="5388"/>
      <c r="E43" s="5388"/>
      <c r="F43" s="5388"/>
      <c r="G43" s="5388"/>
      <c r="H43" s="5388"/>
    </row>
    <row r="44" spans="1:8">
      <c r="A44" s="5388"/>
      <c r="B44" s="5388"/>
      <c r="C44" s="5388"/>
      <c r="D44" s="5388"/>
      <c r="E44" s="5388"/>
      <c r="F44" s="5388"/>
      <c r="G44" s="5388"/>
      <c r="H44" s="5388"/>
    </row>
  </sheetData>
  <sheetProtection algorithmName="SHA-512" hashValue="/uNdaHP/Zhk5dKpL+4ckQoyAnw9jGIrFhIzkSD/VnQSX7PC/vBdrglVupzK9sMMMpYDmoJf6h8GxK9o5wC9F1Q==" saltValue="7uT/JWSJ38tEYS/PcXMJKg==" spinCount="100000" sheet="1" formatCells="0" formatColumns="0" formatRows="0"/>
  <mergeCells count="16">
    <mergeCell ref="A1:B1"/>
    <mergeCell ref="C1:D1"/>
    <mergeCell ref="A2:H2"/>
    <mergeCell ref="A3:H3"/>
    <mergeCell ref="A4:H4"/>
    <mergeCell ref="A5:H5"/>
    <mergeCell ref="A37:H37"/>
    <mergeCell ref="A36:H36"/>
    <mergeCell ref="A41:H41"/>
    <mergeCell ref="A42:H42"/>
    <mergeCell ref="A43:H43"/>
    <mergeCell ref="A44:H44"/>
    <mergeCell ref="A35:C35"/>
    <mergeCell ref="A38:H38"/>
    <mergeCell ref="A39:H39"/>
    <mergeCell ref="A40:H40"/>
  </mergeCells>
  <printOptions horizontalCentered="1" verticalCentered="1"/>
  <pageMargins left="0.59055118110236227" right="0.11811023622047245" top="0.39370078740157483" bottom="0.39370078740157483" header="0.51181102362204722" footer="0.51181102362204722"/>
  <pageSetup paperSize="9" scale="96" orientation="portrait"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70C0"/>
    <pageSetUpPr fitToPage="1"/>
  </sheetPr>
  <dimension ref="A1:O45"/>
  <sheetViews>
    <sheetView showGridLines="0" topLeftCell="A9" zoomScale="110" zoomScaleNormal="110" zoomScaleSheetLayoutView="100" workbookViewId="0">
      <selection activeCell="A17" sqref="A17:XFD17"/>
    </sheetView>
  </sheetViews>
  <sheetFormatPr defaultColWidth="11.42578125" defaultRowHeight="12"/>
  <cols>
    <col min="1" max="1" width="4.5703125" style="10" customWidth="1"/>
    <col min="2" max="2" width="66.42578125" style="10" customWidth="1"/>
    <col min="3" max="3" width="8.5703125" style="10" customWidth="1"/>
    <col min="4" max="4" width="9.85546875" style="1296" customWidth="1"/>
    <col min="5" max="5" width="9.140625" style="1296" customWidth="1"/>
    <col min="6" max="6" width="8.5703125" style="1296" customWidth="1"/>
    <col min="7" max="8" width="8.5703125" style="10" customWidth="1"/>
    <col min="9" max="9" width="2" style="10" customWidth="1"/>
    <col min="10" max="15" width="8.5703125" style="10" customWidth="1"/>
    <col min="16" max="253" width="11.42578125" style="10"/>
    <col min="254" max="254" width="4.5703125" style="10" customWidth="1"/>
    <col min="255" max="255" width="70.5703125" style="10" customWidth="1"/>
    <col min="256" max="256" width="8.5703125" style="10" customWidth="1"/>
    <col min="257" max="258" width="10.5703125" style="10" customWidth="1"/>
    <col min="259" max="259" width="10.85546875" style="10" customWidth="1"/>
    <col min="260" max="261" width="10.42578125" style="10" customWidth="1"/>
    <col min="262" max="509" width="11.42578125" style="10"/>
    <col min="510" max="510" width="4.5703125" style="10" customWidth="1"/>
    <col min="511" max="511" width="70.5703125" style="10" customWidth="1"/>
    <col min="512" max="512" width="8.5703125" style="10" customWidth="1"/>
    <col min="513" max="514" width="10.5703125" style="10" customWidth="1"/>
    <col min="515" max="515" width="10.85546875" style="10" customWidth="1"/>
    <col min="516" max="517" width="10.42578125" style="10" customWidth="1"/>
    <col min="518" max="765" width="11.42578125" style="10"/>
    <col min="766" max="766" width="4.5703125" style="10" customWidth="1"/>
    <col min="767" max="767" width="70.5703125" style="10" customWidth="1"/>
    <col min="768" max="768" width="8.5703125" style="10" customWidth="1"/>
    <col min="769" max="770" width="10.5703125" style="10" customWidth="1"/>
    <col min="771" max="771" width="10.85546875" style="10" customWidth="1"/>
    <col min="772" max="773" width="10.42578125" style="10" customWidth="1"/>
    <col min="774" max="1021" width="11.42578125" style="10"/>
    <col min="1022" max="1022" width="4.5703125" style="10" customWidth="1"/>
    <col min="1023" max="1023" width="70.5703125" style="10" customWidth="1"/>
    <col min="1024" max="1024" width="8.5703125" style="10" customWidth="1"/>
    <col min="1025" max="1026" width="10.5703125" style="10" customWidth="1"/>
    <col min="1027" max="1027" width="10.85546875" style="10" customWidth="1"/>
    <col min="1028" max="1029" width="10.42578125" style="10" customWidth="1"/>
    <col min="1030" max="1277" width="11.42578125" style="10"/>
    <col min="1278" max="1278" width="4.5703125" style="10" customWidth="1"/>
    <col min="1279" max="1279" width="70.5703125" style="10" customWidth="1"/>
    <col min="1280" max="1280" width="8.5703125" style="10" customWidth="1"/>
    <col min="1281" max="1282" width="10.5703125" style="10" customWidth="1"/>
    <col min="1283" max="1283" width="10.85546875" style="10" customWidth="1"/>
    <col min="1284" max="1285" width="10.42578125" style="10" customWidth="1"/>
    <col min="1286" max="1533" width="11.42578125" style="10"/>
    <col min="1534" max="1534" width="4.5703125" style="10" customWidth="1"/>
    <col min="1535" max="1535" width="70.5703125" style="10" customWidth="1"/>
    <col min="1536" max="1536" width="8.5703125" style="10" customWidth="1"/>
    <col min="1537" max="1538" width="10.5703125" style="10" customWidth="1"/>
    <col min="1539" max="1539" width="10.85546875" style="10" customWidth="1"/>
    <col min="1540" max="1541" width="10.42578125" style="10" customWidth="1"/>
    <col min="1542" max="1789" width="11.42578125" style="10"/>
    <col min="1790" max="1790" width="4.5703125" style="10" customWidth="1"/>
    <col min="1791" max="1791" width="70.5703125" style="10" customWidth="1"/>
    <col min="1792" max="1792" width="8.5703125" style="10" customWidth="1"/>
    <col min="1793" max="1794" width="10.5703125" style="10" customWidth="1"/>
    <col min="1795" max="1795" width="10.85546875" style="10" customWidth="1"/>
    <col min="1796" max="1797" width="10.42578125" style="10" customWidth="1"/>
    <col min="1798" max="2045" width="11.42578125" style="10"/>
    <col min="2046" max="2046" width="4.5703125" style="10" customWidth="1"/>
    <col min="2047" max="2047" width="70.5703125" style="10" customWidth="1"/>
    <col min="2048" max="2048" width="8.5703125" style="10" customWidth="1"/>
    <col min="2049" max="2050" width="10.5703125" style="10" customWidth="1"/>
    <col min="2051" max="2051" width="10.85546875" style="10" customWidth="1"/>
    <col min="2052" max="2053" width="10.42578125" style="10" customWidth="1"/>
    <col min="2054" max="2301" width="11.42578125" style="10"/>
    <col min="2302" max="2302" width="4.5703125" style="10" customWidth="1"/>
    <col min="2303" max="2303" width="70.5703125" style="10" customWidth="1"/>
    <col min="2304" max="2304" width="8.5703125" style="10" customWidth="1"/>
    <col min="2305" max="2306" width="10.5703125" style="10" customWidth="1"/>
    <col min="2307" max="2307" width="10.85546875" style="10" customWidth="1"/>
    <col min="2308" max="2309" width="10.42578125" style="10" customWidth="1"/>
    <col min="2310" max="2557" width="11.42578125" style="10"/>
    <col min="2558" max="2558" width="4.5703125" style="10" customWidth="1"/>
    <col min="2559" max="2559" width="70.5703125" style="10" customWidth="1"/>
    <col min="2560" max="2560" width="8.5703125" style="10" customWidth="1"/>
    <col min="2561" max="2562" width="10.5703125" style="10" customWidth="1"/>
    <col min="2563" max="2563" width="10.85546875" style="10" customWidth="1"/>
    <col min="2564" max="2565" width="10.42578125" style="10" customWidth="1"/>
    <col min="2566" max="2813" width="11.42578125" style="10"/>
    <col min="2814" max="2814" width="4.5703125" style="10" customWidth="1"/>
    <col min="2815" max="2815" width="70.5703125" style="10" customWidth="1"/>
    <col min="2816" max="2816" width="8.5703125" style="10" customWidth="1"/>
    <col min="2817" max="2818" width="10.5703125" style="10" customWidth="1"/>
    <col min="2819" max="2819" width="10.85546875" style="10" customWidth="1"/>
    <col min="2820" max="2821" width="10.42578125" style="10" customWidth="1"/>
    <col min="2822" max="3069" width="11.42578125" style="10"/>
    <col min="3070" max="3070" width="4.5703125" style="10" customWidth="1"/>
    <col min="3071" max="3071" width="70.5703125" style="10" customWidth="1"/>
    <col min="3072" max="3072" width="8.5703125" style="10" customWidth="1"/>
    <col min="3073" max="3074" width="10.5703125" style="10" customWidth="1"/>
    <col min="3075" max="3075" width="10.85546875" style="10" customWidth="1"/>
    <col min="3076" max="3077" width="10.42578125" style="10" customWidth="1"/>
    <col min="3078" max="3325" width="11.42578125" style="10"/>
    <col min="3326" max="3326" width="4.5703125" style="10" customWidth="1"/>
    <col min="3327" max="3327" width="70.5703125" style="10" customWidth="1"/>
    <col min="3328" max="3328" width="8.5703125" style="10" customWidth="1"/>
    <col min="3329" max="3330" width="10.5703125" style="10" customWidth="1"/>
    <col min="3331" max="3331" width="10.85546875" style="10" customWidth="1"/>
    <col min="3332" max="3333" width="10.42578125" style="10" customWidth="1"/>
    <col min="3334" max="3581" width="11.42578125" style="10"/>
    <col min="3582" max="3582" width="4.5703125" style="10" customWidth="1"/>
    <col min="3583" max="3583" width="70.5703125" style="10" customWidth="1"/>
    <col min="3584" max="3584" width="8.5703125" style="10" customWidth="1"/>
    <col min="3585" max="3586" width="10.5703125" style="10" customWidth="1"/>
    <col min="3587" max="3587" width="10.85546875" style="10" customWidth="1"/>
    <col min="3588" max="3589" width="10.42578125" style="10" customWidth="1"/>
    <col min="3590" max="3837" width="11.42578125" style="10"/>
    <col min="3838" max="3838" width="4.5703125" style="10" customWidth="1"/>
    <col min="3839" max="3839" width="70.5703125" style="10" customWidth="1"/>
    <col min="3840" max="3840" width="8.5703125" style="10" customWidth="1"/>
    <col min="3841" max="3842" width="10.5703125" style="10" customWidth="1"/>
    <col min="3843" max="3843" width="10.85546875" style="10" customWidth="1"/>
    <col min="3844" max="3845" width="10.42578125" style="10" customWidth="1"/>
    <col min="3846" max="4093" width="11.42578125" style="10"/>
    <col min="4094" max="4094" width="4.5703125" style="10" customWidth="1"/>
    <col min="4095" max="4095" width="70.5703125" style="10" customWidth="1"/>
    <col min="4096" max="4096" width="8.5703125" style="10" customWidth="1"/>
    <col min="4097" max="4098" width="10.5703125" style="10" customWidth="1"/>
    <col min="4099" max="4099" width="10.85546875" style="10" customWidth="1"/>
    <col min="4100" max="4101" width="10.42578125" style="10" customWidth="1"/>
    <col min="4102" max="4349" width="11.42578125" style="10"/>
    <col min="4350" max="4350" width="4.5703125" style="10" customWidth="1"/>
    <col min="4351" max="4351" width="70.5703125" style="10" customWidth="1"/>
    <col min="4352" max="4352" width="8.5703125" style="10" customWidth="1"/>
    <col min="4353" max="4354" width="10.5703125" style="10" customWidth="1"/>
    <col min="4355" max="4355" width="10.85546875" style="10" customWidth="1"/>
    <col min="4356" max="4357" width="10.42578125" style="10" customWidth="1"/>
    <col min="4358" max="4605" width="11.42578125" style="10"/>
    <col min="4606" max="4606" width="4.5703125" style="10" customWidth="1"/>
    <col min="4607" max="4607" width="70.5703125" style="10" customWidth="1"/>
    <col min="4608" max="4608" width="8.5703125" style="10" customWidth="1"/>
    <col min="4609" max="4610" width="10.5703125" style="10" customWidth="1"/>
    <col min="4611" max="4611" width="10.85546875" style="10" customWidth="1"/>
    <col min="4612" max="4613" width="10.42578125" style="10" customWidth="1"/>
    <col min="4614" max="4861" width="11.42578125" style="10"/>
    <col min="4862" max="4862" width="4.5703125" style="10" customWidth="1"/>
    <col min="4863" max="4863" width="70.5703125" style="10" customWidth="1"/>
    <col min="4864" max="4864" width="8.5703125" style="10" customWidth="1"/>
    <col min="4865" max="4866" width="10.5703125" style="10" customWidth="1"/>
    <col min="4867" max="4867" width="10.85546875" style="10" customWidth="1"/>
    <col min="4868" max="4869" width="10.42578125" style="10" customWidth="1"/>
    <col min="4870" max="5117" width="11.42578125" style="10"/>
    <col min="5118" max="5118" width="4.5703125" style="10" customWidth="1"/>
    <col min="5119" max="5119" width="70.5703125" style="10" customWidth="1"/>
    <col min="5120" max="5120" width="8.5703125" style="10" customWidth="1"/>
    <col min="5121" max="5122" width="10.5703125" style="10" customWidth="1"/>
    <col min="5123" max="5123" width="10.85546875" style="10" customWidth="1"/>
    <col min="5124" max="5125" width="10.42578125" style="10" customWidth="1"/>
    <col min="5126" max="5373" width="11.42578125" style="10"/>
    <col min="5374" max="5374" width="4.5703125" style="10" customWidth="1"/>
    <col min="5375" max="5375" width="70.5703125" style="10" customWidth="1"/>
    <col min="5376" max="5376" width="8.5703125" style="10" customWidth="1"/>
    <col min="5377" max="5378" width="10.5703125" style="10" customWidth="1"/>
    <col min="5379" max="5379" width="10.85546875" style="10" customWidth="1"/>
    <col min="5380" max="5381" width="10.42578125" style="10" customWidth="1"/>
    <col min="5382" max="5629" width="11.42578125" style="10"/>
    <col min="5630" max="5630" width="4.5703125" style="10" customWidth="1"/>
    <col min="5631" max="5631" width="70.5703125" style="10" customWidth="1"/>
    <col min="5632" max="5632" width="8.5703125" style="10" customWidth="1"/>
    <col min="5633" max="5634" width="10.5703125" style="10" customWidth="1"/>
    <col min="5635" max="5635" width="10.85546875" style="10" customWidth="1"/>
    <col min="5636" max="5637" width="10.42578125" style="10" customWidth="1"/>
    <col min="5638" max="5885" width="11.42578125" style="10"/>
    <col min="5886" max="5886" width="4.5703125" style="10" customWidth="1"/>
    <col min="5887" max="5887" width="70.5703125" style="10" customWidth="1"/>
    <col min="5888" max="5888" width="8.5703125" style="10" customWidth="1"/>
    <col min="5889" max="5890" width="10.5703125" style="10" customWidth="1"/>
    <col min="5891" max="5891" width="10.85546875" style="10" customWidth="1"/>
    <col min="5892" max="5893" width="10.42578125" style="10" customWidth="1"/>
    <col min="5894" max="6141" width="11.42578125" style="10"/>
    <col min="6142" max="6142" width="4.5703125" style="10" customWidth="1"/>
    <col min="6143" max="6143" width="70.5703125" style="10" customWidth="1"/>
    <col min="6144" max="6144" width="8.5703125" style="10" customWidth="1"/>
    <col min="6145" max="6146" width="10.5703125" style="10" customWidth="1"/>
    <col min="6147" max="6147" width="10.85546875" style="10" customWidth="1"/>
    <col min="6148" max="6149" width="10.42578125" style="10" customWidth="1"/>
    <col min="6150" max="6397" width="11.42578125" style="10"/>
    <col min="6398" max="6398" width="4.5703125" style="10" customWidth="1"/>
    <col min="6399" max="6399" width="70.5703125" style="10" customWidth="1"/>
    <col min="6400" max="6400" width="8.5703125" style="10" customWidth="1"/>
    <col min="6401" max="6402" width="10.5703125" style="10" customWidth="1"/>
    <col min="6403" max="6403" width="10.85546875" style="10" customWidth="1"/>
    <col min="6404" max="6405" width="10.42578125" style="10" customWidth="1"/>
    <col min="6406" max="6653" width="11.42578125" style="10"/>
    <col min="6654" max="6654" width="4.5703125" style="10" customWidth="1"/>
    <col min="6655" max="6655" width="70.5703125" style="10" customWidth="1"/>
    <col min="6656" max="6656" width="8.5703125" style="10" customWidth="1"/>
    <col min="6657" max="6658" width="10.5703125" style="10" customWidth="1"/>
    <col min="6659" max="6659" width="10.85546875" style="10" customWidth="1"/>
    <col min="6660" max="6661" width="10.42578125" style="10" customWidth="1"/>
    <col min="6662" max="6909" width="11.42578125" style="10"/>
    <col min="6910" max="6910" width="4.5703125" style="10" customWidth="1"/>
    <col min="6911" max="6911" width="70.5703125" style="10" customWidth="1"/>
    <col min="6912" max="6912" width="8.5703125" style="10" customWidth="1"/>
    <col min="6913" max="6914" width="10.5703125" style="10" customWidth="1"/>
    <col min="6915" max="6915" width="10.85546875" style="10" customWidth="1"/>
    <col min="6916" max="6917" width="10.42578125" style="10" customWidth="1"/>
    <col min="6918" max="7165" width="11.42578125" style="10"/>
    <col min="7166" max="7166" width="4.5703125" style="10" customWidth="1"/>
    <col min="7167" max="7167" width="70.5703125" style="10" customWidth="1"/>
    <col min="7168" max="7168" width="8.5703125" style="10" customWidth="1"/>
    <col min="7169" max="7170" width="10.5703125" style="10" customWidth="1"/>
    <col min="7171" max="7171" width="10.85546875" style="10" customWidth="1"/>
    <col min="7172" max="7173" width="10.42578125" style="10" customWidth="1"/>
    <col min="7174" max="7421" width="11.42578125" style="10"/>
    <col min="7422" max="7422" width="4.5703125" style="10" customWidth="1"/>
    <col min="7423" max="7423" width="70.5703125" style="10" customWidth="1"/>
    <col min="7424" max="7424" width="8.5703125" style="10" customWidth="1"/>
    <col min="7425" max="7426" width="10.5703125" style="10" customWidth="1"/>
    <col min="7427" max="7427" width="10.85546875" style="10" customWidth="1"/>
    <col min="7428" max="7429" width="10.42578125" style="10" customWidth="1"/>
    <col min="7430" max="7677" width="11.42578125" style="10"/>
    <col min="7678" max="7678" width="4.5703125" style="10" customWidth="1"/>
    <col min="7679" max="7679" width="70.5703125" style="10" customWidth="1"/>
    <col min="7680" max="7680" width="8.5703125" style="10" customWidth="1"/>
    <col min="7681" max="7682" width="10.5703125" style="10" customWidth="1"/>
    <col min="7683" max="7683" width="10.85546875" style="10" customWidth="1"/>
    <col min="7684" max="7685" width="10.42578125" style="10" customWidth="1"/>
    <col min="7686" max="7933" width="11.42578125" style="10"/>
    <col min="7934" max="7934" width="4.5703125" style="10" customWidth="1"/>
    <col min="7935" max="7935" width="70.5703125" style="10" customWidth="1"/>
    <col min="7936" max="7936" width="8.5703125" style="10" customWidth="1"/>
    <col min="7937" max="7938" width="10.5703125" style="10" customWidth="1"/>
    <col min="7939" max="7939" width="10.85546875" style="10" customWidth="1"/>
    <col min="7940" max="7941" width="10.42578125" style="10" customWidth="1"/>
    <col min="7942" max="8189" width="11.42578125" style="10"/>
    <col min="8190" max="8190" width="4.5703125" style="10" customWidth="1"/>
    <col min="8191" max="8191" width="70.5703125" style="10" customWidth="1"/>
    <col min="8192" max="8192" width="8.5703125" style="10" customWidth="1"/>
    <col min="8193" max="8194" width="10.5703125" style="10" customWidth="1"/>
    <col min="8195" max="8195" width="10.85546875" style="10" customWidth="1"/>
    <col min="8196" max="8197" width="10.42578125" style="10" customWidth="1"/>
    <col min="8198" max="8445" width="11.42578125" style="10"/>
    <col min="8446" max="8446" width="4.5703125" style="10" customWidth="1"/>
    <col min="8447" max="8447" width="70.5703125" style="10" customWidth="1"/>
    <col min="8448" max="8448" width="8.5703125" style="10" customWidth="1"/>
    <col min="8449" max="8450" width="10.5703125" style="10" customWidth="1"/>
    <col min="8451" max="8451" width="10.85546875" style="10" customWidth="1"/>
    <col min="8452" max="8453" width="10.42578125" style="10" customWidth="1"/>
    <col min="8454" max="8701" width="11.42578125" style="10"/>
    <col min="8702" max="8702" width="4.5703125" style="10" customWidth="1"/>
    <col min="8703" max="8703" width="70.5703125" style="10" customWidth="1"/>
    <col min="8704" max="8704" width="8.5703125" style="10" customWidth="1"/>
    <col min="8705" max="8706" width="10.5703125" style="10" customWidth="1"/>
    <col min="8707" max="8707" width="10.85546875" style="10" customWidth="1"/>
    <col min="8708" max="8709" width="10.42578125" style="10" customWidth="1"/>
    <col min="8710" max="8957" width="11.42578125" style="10"/>
    <col min="8958" max="8958" width="4.5703125" style="10" customWidth="1"/>
    <col min="8959" max="8959" width="70.5703125" style="10" customWidth="1"/>
    <col min="8960" max="8960" width="8.5703125" style="10" customWidth="1"/>
    <col min="8961" max="8962" width="10.5703125" style="10" customWidth="1"/>
    <col min="8963" max="8963" width="10.85546875" style="10" customWidth="1"/>
    <col min="8964" max="8965" width="10.42578125" style="10" customWidth="1"/>
    <col min="8966" max="9213" width="11.42578125" style="10"/>
    <col min="9214" max="9214" width="4.5703125" style="10" customWidth="1"/>
    <col min="9215" max="9215" width="70.5703125" style="10" customWidth="1"/>
    <col min="9216" max="9216" width="8.5703125" style="10" customWidth="1"/>
    <col min="9217" max="9218" width="10.5703125" style="10" customWidth="1"/>
    <col min="9219" max="9219" width="10.85546875" style="10" customWidth="1"/>
    <col min="9220" max="9221" width="10.42578125" style="10" customWidth="1"/>
    <col min="9222" max="9469" width="11.42578125" style="10"/>
    <col min="9470" max="9470" width="4.5703125" style="10" customWidth="1"/>
    <col min="9471" max="9471" width="70.5703125" style="10" customWidth="1"/>
    <col min="9472" max="9472" width="8.5703125" style="10" customWidth="1"/>
    <col min="9473" max="9474" width="10.5703125" style="10" customWidth="1"/>
    <col min="9475" max="9475" width="10.85546875" style="10" customWidth="1"/>
    <col min="9476" max="9477" width="10.42578125" style="10" customWidth="1"/>
    <col min="9478" max="9725" width="11.42578125" style="10"/>
    <col min="9726" max="9726" width="4.5703125" style="10" customWidth="1"/>
    <col min="9727" max="9727" width="70.5703125" style="10" customWidth="1"/>
    <col min="9728" max="9728" width="8.5703125" style="10" customWidth="1"/>
    <col min="9729" max="9730" width="10.5703125" style="10" customWidth="1"/>
    <col min="9731" max="9731" width="10.85546875" style="10" customWidth="1"/>
    <col min="9732" max="9733" width="10.42578125" style="10" customWidth="1"/>
    <col min="9734" max="9981" width="11.42578125" style="10"/>
    <col min="9982" max="9982" width="4.5703125" style="10" customWidth="1"/>
    <col min="9983" max="9983" width="70.5703125" style="10" customWidth="1"/>
    <col min="9984" max="9984" width="8.5703125" style="10" customWidth="1"/>
    <col min="9985" max="9986" width="10.5703125" style="10" customWidth="1"/>
    <col min="9987" max="9987" width="10.85546875" style="10" customWidth="1"/>
    <col min="9988" max="9989" width="10.42578125" style="10" customWidth="1"/>
    <col min="9990" max="10237" width="11.42578125" style="10"/>
    <col min="10238" max="10238" width="4.5703125" style="10" customWidth="1"/>
    <col min="10239" max="10239" width="70.5703125" style="10" customWidth="1"/>
    <col min="10240" max="10240" width="8.5703125" style="10" customWidth="1"/>
    <col min="10241" max="10242" width="10.5703125" style="10" customWidth="1"/>
    <col min="10243" max="10243" width="10.85546875" style="10" customWidth="1"/>
    <col min="10244" max="10245" width="10.42578125" style="10" customWidth="1"/>
    <col min="10246" max="10493" width="11.42578125" style="10"/>
    <col min="10494" max="10494" width="4.5703125" style="10" customWidth="1"/>
    <col min="10495" max="10495" width="70.5703125" style="10" customWidth="1"/>
    <col min="10496" max="10496" width="8.5703125" style="10" customWidth="1"/>
    <col min="10497" max="10498" width="10.5703125" style="10" customWidth="1"/>
    <col min="10499" max="10499" width="10.85546875" style="10" customWidth="1"/>
    <col min="10500" max="10501" width="10.42578125" style="10" customWidth="1"/>
    <col min="10502" max="10749" width="11.42578125" style="10"/>
    <col min="10750" max="10750" width="4.5703125" style="10" customWidth="1"/>
    <col min="10751" max="10751" width="70.5703125" style="10" customWidth="1"/>
    <col min="10752" max="10752" width="8.5703125" style="10" customWidth="1"/>
    <col min="10753" max="10754" width="10.5703125" style="10" customWidth="1"/>
    <col min="10755" max="10755" width="10.85546875" style="10" customWidth="1"/>
    <col min="10756" max="10757" width="10.42578125" style="10" customWidth="1"/>
    <col min="10758" max="11005" width="11.42578125" style="10"/>
    <col min="11006" max="11006" width="4.5703125" style="10" customWidth="1"/>
    <col min="11007" max="11007" width="70.5703125" style="10" customWidth="1"/>
    <col min="11008" max="11008" width="8.5703125" style="10" customWidth="1"/>
    <col min="11009" max="11010" width="10.5703125" style="10" customWidth="1"/>
    <col min="11011" max="11011" width="10.85546875" style="10" customWidth="1"/>
    <col min="11012" max="11013" width="10.42578125" style="10" customWidth="1"/>
    <col min="11014" max="11261" width="11.42578125" style="10"/>
    <col min="11262" max="11262" width="4.5703125" style="10" customWidth="1"/>
    <col min="11263" max="11263" width="70.5703125" style="10" customWidth="1"/>
    <col min="11264" max="11264" width="8.5703125" style="10" customWidth="1"/>
    <col min="11265" max="11266" width="10.5703125" style="10" customWidth="1"/>
    <col min="11267" max="11267" width="10.85546875" style="10" customWidth="1"/>
    <col min="11268" max="11269" width="10.42578125" style="10" customWidth="1"/>
    <col min="11270" max="11517" width="11.42578125" style="10"/>
    <col min="11518" max="11518" width="4.5703125" style="10" customWidth="1"/>
    <col min="11519" max="11519" width="70.5703125" style="10" customWidth="1"/>
    <col min="11520" max="11520" width="8.5703125" style="10" customWidth="1"/>
    <col min="11521" max="11522" width="10.5703125" style="10" customWidth="1"/>
    <col min="11523" max="11523" width="10.85546875" style="10" customWidth="1"/>
    <col min="11524" max="11525" width="10.42578125" style="10" customWidth="1"/>
    <col min="11526" max="11773" width="11.42578125" style="10"/>
    <col min="11774" max="11774" width="4.5703125" style="10" customWidth="1"/>
    <col min="11775" max="11775" width="70.5703125" style="10" customWidth="1"/>
    <col min="11776" max="11776" width="8.5703125" style="10" customWidth="1"/>
    <col min="11777" max="11778" width="10.5703125" style="10" customWidth="1"/>
    <col min="11779" max="11779" width="10.85546875" style="10" customWidth="1"/>
    <col min="11780" max="11781" width="10.42578125" style="10" customWidth="1"/>
    <col min="11782" max="12029" width="11.42578125" style="10"/>
    <col min="12030" max="12030" width="4.5703125" style="10" customWidth="1"/>
    <col min="12031" max="12031" width="70.5703125" style="10" customWidth="1"/>
    <col min="12032" max="12032" width="8.5703125" style="10" customWidth="1"/>
    <col min="12033" max="12034" width="10.5703125" style="10" customWidth="1"/>
    <col min="12035" max="12035" width="10.85546875" style="10" customWidth="1"/>
    <col min="12036" max="12037" width="10.42578125" style="10" customWidth="1"/>
    <col min="12038" max="12285" width="11.42578125" style="10"/>
    <col min="12286" max="12286" width="4.5703125" style="10" customWidth="1"/>
    <col min="12287" max="12287" width="70.5703125" style="10" customWidth="1"/>
    <col min="12288" max="12288" width="8.5703125" style="10" customWidth="1"/>
    <col min="12289" max="12290" width="10.5703125" style="10" customWidth="1"/>
    <col min="12291" max="12291" width="10.85546875" style="10" customWidth="1"/>
    <col min="12292" max="12293" width="10.42578125" style="10" customWidth="1"/>
    <col min="12294" max="12541" width="11.42578125" style="10"/>
    <col min="12542" max="12542" width="4.5703125" style="10" customWidth="1"/>
    <col min="12543" max="12543" width="70.5703125" style="10" customWidth="1"/>
    <col min="12544" max="12544" width="8.5703125" style="10" customWidth="1"/>
    <col min="12545" max="12546" width="10.5703125" style="10" customWidth="1"/>
    <col min="12547" max="12547" width="10.85546875" style="10" customWidth="1"/>
    <col min="12548" max="12549" width="10.42578125" style="10" customWidth="1"/>
    <col min="12550" max="12797" width="11.42578125" style="10"/>
    <col min="12798" max="12798" width="4.5703125" style="10" customWidth="1"/>
    <col min="12799" max="12799" width="70.5703125" style="10" customWidth="1"/>
    <col min="12800" max="12800" width="8.5703125" style="10" customWidth="1"/>
    <col min="12801" max="12802" width="10.5703125" style="10" customWidth="1"/>
    <col min="12803" max="12803" width="10.85546875" style="10" customWidth="1"/>
    <col min="12804" max="12805" width="10.42578125" style="10" customWidth="1"/>
    <col min="12806" max="13053" width="11.42578125" style="10"/>
    <col min="13054" max="13054" width="4.5703125" style="10" customWidth="1"/>
    <col min="13055" max="13055" width="70.5703125" style="10" customWidth="1"/>
    <col min="13056" max="13056" width="8.5703125" style="10" customWidth="1"/>
    <col min="13057" max="13058" width="10.5703125" style="10" customWidth="1"/>
    <col min="13059" max="13059" width="10.85546875" style="10" customWidth="1"/>
    <col min="13060" max="13061" width="10.42578125" style="10" customWidth="1"/>
    <col min="13062" max="13309" width="11.42578125" style="10"/>
    <col min="13310" max="13310" width="4.5703125" style="10" customWidth="1"/>
    <col min="13311" max="13311" width="70.5703125" style="10" customWidth="1"/>
    <col min="13312" max="13312" width="8.5703125" style="10" customWidth="1"/>
    <col min="13313" max="13314" width="10.5703125" style="10" customWidth="1"/>
    <col min="13315" max="13315" width="10.85546875" style="10" customWidth="1"/>
    <col min="13316" max="13317" width="10.42578125" style="10" customWidth="1"/>
    <col min="13318" max="13565" width="11.42578125" style="10"/>
    <col min="13566" max="13566" width="4.5703125" style="10" customWidth="1"/>
    <col min="13567" max="13567" width="70.5703125" style="10" customWidth="1"/>
    <col min="13568" max="13568" width="8.5703125" style="10" customWidth="1"/>
    <col min="13569" max="13570" width="10.5703125" style="10" customWidth="1"/>
    <col min="13571" max="13571" width="10.85546875" style="10" customWidth="1"/>
    <col min="13572" max="13573" width="10.42578125" style="10" customWidth="1"/>
    <col min="13574" max="13821" width="11.42578125" style="10"/>
    <col min="13822" max="13822" width="4.5703125" style="10" customWidth="1"/>
    <col min="13823" max="13823" width="70.5703125" style="10" customWidth="1"/>
    <col min="13824" max="13824" width="8.5703125" style="10" customWidth="1"/>
    <col min="13825" max="13826" width="10.5703125" style="10" customWidth="1"/>
    <col min="13827" max="13827" width="10.85546875" style="10" customWidth="1"/>
    <col min="13828" max="13829" width="10.42578125" style="10" customWidth="1"/>
    <col min="13830" max="14077" width="11.42578125" style="10"/>
    <col min="14078" max="14078" width="4.5703125" style="10" customWidth="1"/>
    <col min="14079" max="14079" width="70.5703125" style="10" customWidth="1"/>
    <col min="14080" max="14080" width="8.5703125" style="10" customWidth="1"/>
    <col min="14081" max="14082" width="10.5703125" style="10" customWidth="1"/>
    <col min="14083" max="14083" width="10.85546875" style="10" customWidth="1"/>
    <col min="14084" max="14085" width="10.42578125" style="10" customWidth="1"/>
    <col min="14086" max="14333" width="11.42578125" style="10"/>
    <col min="14334" max="14334" width="4.5703125" style="10" customWidth="1"/>
    <col min="14335" max="14335" width="70.5703125" style="10" customWidth="1"/>
    <col min="14336" max="14336" width="8.5703125" style="10" customWidth="1"/>
    <col min="14337" max="14338" width="10.5703125" style="10" customWidth="1"/>
    <col min="14339" max="14339" width="10.85546875" style="10" customWidth="1"/>
    <col min="14340" max="14341" width="10.42578125" style="10" customWidth="1"/>
    <col min="14342" max="14589" width="11.42578125" style="10"/>
    <col min="14590" max="14590" width="4.5703125" style="10" customWidth="1"/>
    <col min="14591" max="14591" width="70.5703125" style="10" customWidth="1"/>
    <col min="14592" max="14592" width="8.5703125" style="10" customWidth="1"/>
    <col min="14593" max="14594" width="10.5703125" style="10" customWidth="1"/>
    <col min="14595" max="14595" width="10.85546875" style="10" customWidth="1"/>
    <col min="14596" max="14597" width="10.42578125" style="10" customWidth="1"/>
    <col min="14598" max="14845" width="11.42578125" style="10"/>
    <col min="14846" max="14846" width="4.5703125" style="10" customWidth="1"/>
    <col min="14847" max="14847" width="70.5703125" style="10" customWidth="1"/>
    <col min="14848" max="14848" width="8.5703125" style="10" customWidth="1"/>
    <col min="14849" max="14850" width="10.5703125" style="10" customWidth="1"/>
    <col min="14851" max="14851" width="10.85546875" style="10" customWidth="1"/>
    <col min="14852" max="14853" width="10.42578125" style="10" customWidth="1"/>
    <col min="14854" max="15101" width="11.42578125" style="10"/>
    <col min="15102" max="15102" width="4.5703125" style="10" customWidth="1"/>
    <col min="15103" max="15103" width="70.5703125" style="10" customWidth="1"/>
    <col min="15104" max="15104" width="8.5703125" style="10" customWidth="1"/>
    <col min="15105" max="15106" width="10.5703125" style="10" customWidth="1"/>
    <col min="15107" max="15107" width="10.85546875" style="10" customWidth="1"/>
    <col min="15108" max="15109" width="10.42578125" style="10" customWidth="1"/>
    <col min="15110" max="15357" width="11.42578125" style="10"/>
    <col min="15358" max="15358" width="4.5703125" style="10" customWidth="1"/>
    <col min="15359" max="15359" width="70.5703125" style="10" customWidth="1"/>
    <col min="15360" max="15360" width="8.5703125" style="10" customWidth="1"/>
    <col min="15361" max="15362" width="10.5703125" style="10" customWidth="1"/>
    <col min="15363" max="15363" width="10.85546875" style="10" customWidth="1"/>
    <col min="15364" max="15365" width="10.42578125" style="10" customWidth="1"/>
    <col min="15366" max="15613" width="11.42578125" style="10"/>
    <col min="15614" max="15614" width="4.5703125" style="10" customWidth="1"/>
    <col min="15615" max="15615" width="70.5703125" style="10" customWidth="1"/>
    <col min="15616" max="15616" width="8.5703125" style="10" customWidth="1"/>
    <col min="15617" max="15618" width="10.5703125" style="10" customWidth="1"/>
    <col min="15619" max="15619" width="10.85546875" style="10" customWidth="1"/>
    <col min="15620" max="15621" width="10.42578125" style="10" customWidth="1"/>
    <col min="15622" max="15869" width="11.42578125" style="10"/>
    <col min="15870" max="15870" width="4.5703125" style="10" customWidth="1"/>
    <col min="15871" max="15871" width="70.5703125" style="10" customWidth="1"/>
    <col min="15872" max="15872" width="8.5703125" style="10" customWidth="1"/>
    <col min="15873" max="15874" width="10.5703125" style="10" customWidth="1"/>
    <col min="15875" max="15875" width="10.85546875" style="10" customWidth="1"/>
    <col min="15876" max="15877" width="10.42578125" style="10" customWidth="1"/>
    <col min="15878" max="16125" width="11.42578125" style="10"/>
    <col min="16126" max="16126" width="4.5703125" style="10" customWidth="1"/>
    <col min="16127" max="16127" width="70.5703125" style="10" customWidth="1"/>
    <col min="16128" max="16128" width="8.5703125" style="10" customWidth="1"/>
    <col min="16129" max="16130" width="10.5703125" style="10" customWidth="1"/>
    <col min="16131" max="16131" width="10.85546875" style="10" customWidth="1"/>
    <col min="16132" max="16133" width="10.42578125" style="10" customWidth="1"/>
    <col min="16134" max="16384" width="11.42578125" style="10"/>
  </cols>
  <sheetData>
    <row r="1" spans="1:15" ht="16.5" thickBot="1">
      <c r="A1" s="4792" t="str">
        <f>+'1. Обща информация'!B40</f>
        <v>Фиксиран курс на лева към 1 евро</v>
      </c>
      <c r="B1" s="4792"/>
      <c r="C1" s="4793">
        <f>+'1. Обща информация'!$C$40</f>
        <v>1.95583</v>
      </c>
      <c r="D1" s="4793"/>
      <c r="G1" s="3213"/>
      <c r="H1" s="3129" t="str">
        <f>'18. OK'!H1</f>
        <v>Приложение № 6</v>
      </c>
    </row>
    <row r="2" spans="1:15" s="4" customFormat="1" ht="14.25" customHeight="1">
      <c r="A2" s="5393" t="s">
        <v>1492</v>
      </c>
      <c r="B2" s="5393"/>
      <c r="C2" s="5393"/>
      <c r="D2" s="5393"/>
      <c r="E2" s="5393"/>
      <c r="F2" s="5393"/>
      <c r="G2" s="5393"/>
      <c r="H2" s="5393"/>
    </row>
    <row r="3" spans="1:15" s="9" customFormat="1" ht="18.75">
      <c r="A3" s="5394" t="s">
        <v>1013</v>
      </c>
      <c r="B3" s="5394"/>
      <c r="C3" s="5394"/>
      <c r="D3" s="5394"/>
      <c r="E3" s="5394"/>
      <c r="F3" s="5394"/>
      <c r="G3" s="5394"/>
      <c r="H3" s="5394"/>
    </row>
    <row r="4" spans="1:15" ht="14.25" customHeight="1">
      <c r="A4" s="5389" t="str">
        <f>'1. Обща информация'!A4:D4</f>
        <v>на ВОДОСНАБДЯВАНЕ И КАНАЛИЗАЦИЯ ЕООД, гр. ХАСКОВО</v>
      </c>
      <c r="B4" s="5389"/>
      <c r="C4" s="5389"/>
      <c r="D4" s="5389"/>
      <c r="E4" s="5389"/>
      <c r="F4" s="5389"/>
      <c r="G4" s="5389"/>
      <c r="H4" s="5389"/>
    </row>
    <row r="5" spans="1:15" ht="19.5" customHeight="1">
      <c r="A5" s="5389" t="str">
        <f>'1. Обща информация'!A5:D5</f>
        <v>ЕИК по БУЛСТАТ: 126004284</v>
      </c>
      <c r="B5" s="5389"/>
      <c r="C5" s="5389"/>
      <c r="D5" s="5389"/>
      <c r="E5" s="5389"/>
      <c r="F5" s="5389"/>
      <c r="G5" s="5389"/>
      <c r="H5" s="5389"/>
    </row>
    <row r="6" spans="1:15" s="12" customFormat="1" ht="15.75" customHeight="1">
      <c r="A6" s="10"/>
      <c r="B6" s="10"/>
      <c r="C6" s="10"/>
      <c r="D6" s="709"/>
      <c r="E6" s="709"/>
      <c r="F6" s="709"/>
    </row>
    <row r="7" spans="1:15" s="12" customFormat="1" ht="15.75" customHeight="1" thickBot="1">
      <c r="A7" s="10"/>
      <c r="B7" s="10"/>
      <c r="C7" s="10"/>
      <c r="D7" s="709"/>
      <c r="E7" s="709"/>
      <c r="F7" s="709"/>
    </row>
    <row r="8" spans="1:15" s="12" customFormat="1" ht="15.75" customHeight="1" thickBot="1">
      <c r="A8" s="1352"/>
      <c r="B8" s="1348" t="s">
        <v>1389</v>
      </c>
      <c r="C8" s="5395" t="s">
        <v>1391</v>
      </c>
      <c r="D8" s="5396"/>
      <c r="E8" s="5397"/>
      <c r="F8" s="11"/>
    </row>
    <row r="9" spans="1:15" s="12" customFormat="1" ht="15.75" customHeight="1" thickBot="1">
      <c r="A9" s="10"/>
      <c r="B9" s="10"/>
      <c r="C9" s="10"/>
      <c r="D9" s="709"/>
      <c r="E9" s="709"/>
      <c r="F9" s="709"/>
    </row>
    <row r="10" spans="1:15" s="12" customFormat="1" ht="26.25" customHeight="1" thickBot="1">
      <c r="A10" s="257" t="s">
        <v>1</v>
      </c>
      <c r="B10" s="258" t="s">
        <v>87</v>
      </c>
      <c r="C10" s="259" t="s">
        <v>166</v>
      </c>
      <c r="D10" s="1302" t="str">
        <f>'Приложение '!$C14</f>
        <v>2027 г.</v>
      </c>
      <c r="E10" s="1302" t="str">
        <f>'Приложение '!$C15</f>
        <v>2028 г.</v>
      </c>
      <c r="F10" s="1302" t="str">
        <f>'Приложение '!$C16</f>
        <v>2029 г.</v>
      </c>
      <c r="G10" s="1302" t="str">
        <f>'Приложение '!$C17</f>
        <v>2030 г.</v>
      </c>
      <c r="H10" s="1303" t="str">
        <f>'Приложение '!$C18</f>
        <v>2031 г.</v>
      </c>
      <c r="I10" s="4422"/>
      <c r="J10" s="4504" t="s">
        <v>166</v>
      </c>
      <c r="K10" s="4505" t="str">
        <f>'Приложение '!$C14</f>
        <v>2027 г.</v>
      </c>
      <c r="L10" s="4505" t="str">
        <f>'Приложение '!$C15</f>
        <v>2028 г.</v>
      </c>
      <c r="M10" s="4505" t="str">
        <f>'Приложение '!$C16</f>
        <v>2029 г.</v>
      </c>
      <c r="N10" s="4505" t="str">
        <f>'Приложение '!$C17</f>
        <v>2030 г.</v>
      </c>
      <c r="O10" s="4505" t="str">
        <f>'Приложение '!$C18</f>
        <v>2031 г.</v>
      </c>
    </row>
    <row r="11" spans="1:15" s="12" customFormat="1" ht="16.5" customHeight="1">
      <c r="A11" s="124">
        <v>1</v>
      </c>
      <c r="B11" s="114" t="s">
        <v>324</v>
      </c>
      <c r="C11" s="115" t="s">
        <v>170</v>
      </c>
      <c r="D11" s="116">
        <v>0.1</v>
      </c>
      <c r="E11" s="116">
        <v>0.1</v>
      </c>
      <c r="F11" s="116">
        <v>0.1</v>
      </c>
      <c r="G11" s="116">
        <v>0.1</v>
      </c>
      <c r="H11" s="117">
        <v>0.1</v>
      </c>
      <c r="I11" s="4422"/>
    </row>
    <row r="12" spans="1:15" s="12" customFormat="1" ht="17.25" customHeight="1">
      <c r="A12" s="124">
        <v>2</v>
      </c>
      <c r="B12" s="114" t="s">
        <v>923</v>
      </c>
      <c r="C12" s="115" t="s">
        <v>170</v>
      </c>
      <c r="D12" s="1356">
        <f>SUMIF(B34:B37,C8,C34:C37)</f>
        <v>0.1057</v>
      </c>
      <c r="E12" s="3312">
        <f>+D12</f>
        <v>0.1057</v>
      </c>
      <c r="F12" s="3312">
        <f t="shared" ref="F12:H13" si="0">+E12</f>
        <v>0.1057</v>
      </c>
      <c r="G12" s="3312">
        <f t="shared" si="0"/>
        <v>0.1057</v>
      </c>
      <c r="H12" s="3313">
        <f t="shared" si="0"/>
        <v>0.1057</v>
      </c>
      <c r="I12" s="4422"/>
    </row>
    <row r="13" spans="1:15" s="12" customFormat="1" ht="12.75">
      <c r="A13" s="124">
        <v>3</v>
      </c>
      <c r="B13" s="114" t="s">
        <v>1394</v>
      </c>
      <c r="C13" s="115" t="s">
        <v>170</v>
      </c>
      <c r="D13" s="1356">
        <f>SUMIF(B34:B37,C8,D34:D37)</f>
        <v>3.9399999999999998E-2</v>
      </c>
      <c r="E13" s="3312">
        <f>+D13</f>
        <v>3.9399999999999998E-2</v>
      </c>
      <c r="F13" s="3312">
        <f t="shared" si="0"/>
        <v>3.9399999999999998E-2</v>
      </c>
      <c r="G13" s="3312">
        <f t="shared" si="0"/>
        <v>3.9399999999999998E-2</v>
      </c>
      <c r="H13" s="3313">
        <f t="shared" si="0"/>
        <v>3.9399999999999998E-2</v>
      </c>
      <c r="I13" s="4422"/>
    </row>
    <row r="14" spans="1:15" s="12" customFormat="1" ht="14.25" customHeight="1">
      <c r="A14" s="124">
        <v>4</v>
      </c>
      <c r="B14" s="114" t="s">
        <v>325</v>
      </c>
      <c r="C14" s="115" t="s">
        <v>170</v>
      </c>
      <c r="D14" s="116">
        <v>0.5</v>
      </c>
      <c r="E14" s="3312">
        <f t="shared" ref="E14:E15" si="1">+D14</f>
        <v>0.5</v>
      </c>
      <c r="F14" s="3312">
        <f t="shared" ref="F14:F15" si="2">+E14</f>
        <v>0.5</v>
      </c>
      <c r="G14" s="3312">
        <f t="shared" ref="G14:G15" si="3">+F14</f>
        <v>0.5</v>
      </c>
      <c r="H14" s="3313">
        <f t="shared" ref="H14:H15" si="4">+G14</f>
        <v>0.5</v>
      </c>
      <c r="I14" s="4422"/>
    </row>
    <row r="15" spans="1:15" s="12" customFormat="1" ht="14.25" customHeight="1">
      <c r="A15" s="124">
        <v>5</v>
      </c>
      <c r="B15" s="114" t="s">
        <v>326</v>
      </c>
      <c r="C15" s="115" t="s">
        <v>170</v>
      </c>
      <c r="D15" s="116">
        <v>0.5</v>
      </c>
      <c r="E15" s="3312">
        <f t="shared" si="1"/>
        <v>0.5</v>
      </c>
      <c r="F15" s="3312">
        <f t="shared" si="2"/>
        <v>0.5</v>
      </c>
      <c r="G15" s="3312">
        <f t="shared" si="3"/>
        <v>0.5</v>
      </c>
      <c r="H15" s="3313">
        <f t="shared" si="4"/>
        <v>0.5</v>
      </c>
      <c r="I15" s="4422"/>
    </row>
    <row r="16" spans="1:15" s="12" customFormat="1" ht="21" customHeight="1" thickBot="1">
      <c r="A16" s="125">
        <v>6</v>
      </c>
      <c r="B16" s="118" t="s">
        <v>694</v>
      </c>
      <c r="C16" s="119" t="s">
        <v>170</v>
      </c>
      <c r="D16" s="1357">
        <f>D13*D15+D12*D14*(D11/(1-D11)+1)</f>
        <v>7.8422222222222226E-2</v>
      </c>
      <c r="E16" s="1357">
        <f t="shared" ref="E16:H16" si="5">E13*E15+E12*E14*(E11/(1-E11)+1)</f>
        <v>7.8422222222222226E-2</v>
      </c>
      <c r="F16" s="1357">
        <f t="shared" si="5"/>
        <v>7.8422222222222226E-2</v>
      </c>
      <c r="G16" s="1357">
        <f t="shared" si="5"/>
        <v>7.8422222222222226E-2</v>
      </c>
      <c r="H16" s="1358">
        <f t="shared" si="5"/>
        <v>7.8422222222222226E-2</v>
      </c>
      <c r="I16" s="4422"/>
    </row>
    <row r="17" spans="1:15" s="12" customFormat="1" ht="13.5" customHeight="1" thickBot="1">
      <c r="A17" s="1229" t="s">
        <v>268</v>
      </c>
      <c r="B17" s="1230" t="s">
        <v>1340</v>
      </c>
      <c r="C17" s="1231" t="s">
        <v>323</v>
      </c>
      <c r="D17" s="120">
        <f>'17. РБА'!C21*'19. HB'!D16</f>
        <v>1742.5484647694782</v>
      </c>
      <c r="E17" s="120">
        <f>'17. РБА'!D21*'19. HB'!E16</f>
        <v>2428.5584904057778</v>
      </c>
      <c r="F17" s="120">
        <f>'17. РБА'!E21*'19. HB'!F16</f>
        <v>3093.8488640545456</v>
      </c>
      <c r="G17" s="120">
        <f>'17. РБА'!F21*'19. HB'!G16</f>
        <v>3135.6663743007402</v>
      </c>
      <c r="H17" s="121">
        <f>'17. РБА'!G21*'19. HB'!H16</f>
        <v>3150.4433132735612</v>
      </c>
      <c r="I17" s="4422"/>
      <c r="J17" s="4477" t="s">
        <v>1897</v>
      </c>
      <c r="K17" s="4427">
        <f>IFERROR(D17/$C$1,0)</f>
        <v>890.95088262756894</v>
      </c>
      <c r="L17" s="4427">
        <f t="shared" ref="L17:O17" si="6">IFERROR(E17/$C$1,0)</f>
        <v>1241.7022391546186</v>
      </c>
      <c r="M17" s="4427">
        <f t="shared" si="6"/>
        <v>1581.8598058392322</v>
      </c>
      <c r="N17" s="4427">
        <f t="shared" si="6"/>
        <v>1603.2407593199514</v>
      </c>
      <c r="O17" s="4427">
        <f t="shared" si="6"/>
        <v>1610.7960882456866</v>
      </c>
    </row>
    <row r="18" spans="1:15" ht="13.5" customHeight="1" thickBot="1">
      <c r="A18" s="1229" t="s">
        <v>270</v>
      </c>
      <c r="B18" s="1230" t="s">
        <v>1399</v>
      </c>
      <c r="C18" s="1231" t="s">
        <v>323</v>
      </c>
      <c r="D18" s="120">
        <f>'17. РБА'!C35*'19. HB'!D16</f>
        <v>205.84973361745818</v>
      </c>
      <c r="E18" s="120">
        <f>'17. РБА'!D35*'19. HB'!E16</f>
        <v>388.02715288311822</v>
      </c>
      <c r="F18" s="120">
        <f>'17. РБА'!E35*'19. HB'!F16</f>
        <v>552.6018346751938</v>
      </c>
      <c r="G18" s="120">
        <f>'17. РБА'!F35*'19. HB'!G16</f>
        <v>570.03423684197503</v>
      </c>
      <c r="H18" s="121">
        <f>'17. РБА'!G35*'19. HB'!H16</f>
        <v>585.91937601983022</v>
      </c>
      <c r="I18" s="4422"/>
      <c r="J18" s="4477" t="s">
        <v>1897</v>
      </c>
      <c r="K18" s="4427">
        <f t="shared" ref="K18:K22" si="7">IFERROR(D18/$C$1,0)</f>
        <v>105.24929754501065</v>
      </c>
      <c r="L18" s="4427">
        <f t="shared" ref="L18:L22" si="8">IFERROR(E18/$C$1,0)</f>
        <v>198.39513295282219</v>
      </c>
      <c r="M18" s="4427">
        <f t="shared" ref="M18:M22" si="9">IFERROR(F18/$C$1,0)</f>
        <v>282.54083160356157</v>
      </c>
      <c r="N18" s="4427">
        <f t="shared" ref="N18:N22" si="10">IFERROR(G18/$C$1,0)</f>
        <v>291.45387730118415</v>
      </c>
      <c r="O18" s="4427">
        <f t="shared" ref="O18:O22" si="11">IFERROR(H18/$C$1,0)</f>
        <v>299.57581999449349</v>
      </c>
    </row>
    <row r="19" spans="1:15" ht="13.5" customHeight="1" thickBot="1">
      <c r="A19" s="1229" t="s">
        <v>272</v>
      </c>
      <c r="B19" s="1230" t="s">
        <v>1400</v>
      </c>
      <c r="C19" s="1231" t="s">
        <v>323</v>
      </c>
      <c r="D19" s="120">
        <f>'17. РБА'!C49*'19. HB'!D16</f>
        <v>239.07881480409662</v>
      </c>
      <c r="E19" s="120">
        <f>'17. РБА'!D49*'19. HB'!E16</f>
        <v>433.4679959205028</v>
      </c>
      <c r="F19" s="120">
        <f>'17. РБА'!E49*'19. HB'!F16</f>
        <v>612.54398887064997</v>
      </c>
      <c r="G19" s="120">
        <f>'17. РБА'!F49*'19. HB'!G16</f>
        <v>614.86752169523368</v>
      </c>
      <c r="H19" s="121">
        <f>'17. РБА'!G49*'19. HB'!H16</f>
        <v>611.28024580849979</v>
      </c>
      <c r="I19" s="4422"/>
      <c r="J19" s="4477" t="s">
        <v>1897</v>
      </c>
      <c r="K19" s="4427">
        <f t="shared" si="7"/>
        <v>122.23905697534889</v>
      </c>
      <c r="L19" s="4427">
        <f t="shared" si="8"/>
        <v>221.62866707254864</v>
      </c>
      <c r="M19" s="4427">
        <f t="shared" si="9"/>
        <v>313.18876838511017</v>
      </c>
      <c r="N19" s="4427">
        <f t="shared" si="10"/>
        <v>314.3767718540127</v>
      </c>
      <c r="O19" s="4427">
        <f t="shared" si="11"/>
        <v>312.5426268175147</v>
      </c>
    </row>
    <row r="20" spans="1:15" ht="13.5" customHeight="1" thickBot="1">
      <c r="A20" s="1229" t="s">
        <v>274</v>
      </c>
      <c r="B20" s="1230" t="s">
        <v>1238</v>
      </c>
      <c r="C20" s="1231" t="s">
        <v>323</v>
      </c>
      <c r="D20" s="1232">
        <f>'17. РБА'!C63*'19. HB'!D16</f>
        <v>0</v>
      </c>
      <c r="E20" s="1232">
        <f>'17. РБА'!D63*'19. HB'!E16</f>
        <v>0</v>
      </c>
      <c r="F20" s="1232">
        <f>'17. РБА'!E63*'19. HB'!F16</f>
        <v>0</v>
      </c>
      <c r="G20" s="1232">
        <f>'17. РБА'!F63*'19. HB'!G16</f>
        <v>0</v>
      </c>
      <c r="H20" s="3947">
        <f>'17. РБА'!G63*'19. HB'!H16</f>
        <v>0</v>
      </c>
      <c r="I20" s="4422"/>
      <c r="J20" s="4477" t="s">
        <v>1897</v>
      </c>
      <c r="K20" s="4427">
        <f t="shared" si="7"/>
        <v>0</v>
      </c>
      <c r="L20" s="4427">
        <f t="shared" si="8"/>
        <v>0</v>
      </c>
      <c r="M20" s="4427">
        <f t="shared" si="9"/>
        <v>0</v>
      </c>
      <c r="N20" s="4427">
        <f t="shared" si="10"/>
        <v>0</v>
      </c>
      <c r="O20" s="4427">
        <f t="shared" si="11"/>
        <v>0</v>
      </c>
    </row>
    <row r="21" spans="1:15" ht="13.5" customHeight="1" thickBot="1">
      <c r="A21" s="1229" t="s">
        <v>276</v>
      </c>
      <c r="B21" s="1230" t="s">
        <v>1239</v>
      </c>
      <c r="C21" s="1231" t="s">
        <v>323</v>
      </c>
      <c r="D21" s="1232">
        <f>'17. РБА'!C77*'19. HB'!D16</f>
        <v>0</v>
      </c>
      <c r="E21" s="1232">
        <f>'17. РБА'!D77*'19. HB'!E16</f>
        <v>0</v>
      </c>
      <c r="F21" s="1232">
        <f>'17. РБА'!E77*'19. HB'!F16</f>
        <v>0</v>
      </c>
      <c r="G21" s="1232">
        <f>'17. РБА'!F77*'19. HB'!G16</f>
        <v>0</v>
      </c>
      <c r="H21" s="3947">
        <f>'17. РБА'!G77*'19. HB'!H16</f>
        <v>0</v>
      </c>
      <c r="I21" s="4422"/>
      <c r="J21" s="4477" t="s">
        <v>1897</v>
      </c>
      <c r="K21" s="4427">
        <f t="shared" si="7"/>
        <v>0</v>
      </c>
      <c r="L21" s="4427">
        <f t="shared" si="8"/>
        <v>0</v>
      </c>
      <c r="M21" s="4427">
        <f t="shared" si="9"/>
        <v>0</v>
      </c>
      <c r="N21" s="4427">
        <f t="shared" si="10"/>
        <v>0</v>
      </c>
      <c r="O21" s="4427">
        <f t="shared" si="11"/>
        <v>0</v>
      </c>
    </row>
    <row r="22" spans="1:15" ht="13.5" customHeight="1" thickBot="1">
      <c r="A22" s="1233">
        <v>7</v>
      </c>
      <c r="B22" s="1234" t="s">
        <v>327</v>
      </c>
      <c r="C22" s="1235" t="s">
        <v>323</v>
      </c>
      <c r="D22" s="1236">
        <f>SUM(D17:D21)</f>
        <v>2187.4770131910332</v>
      </c>
      <c r="E22" s="1236">
        <f t="shared" ref="E22:H22" si="12">SUM(E17:E21)</f>
        <v>3250.0536392093986</v>
      </c>
      <c r="F22" s="1236">
        <f t="shared" si="12"/>
        <v>4258.9946876003896</v>
      </c>
      <c r="G22" s="1236">
        <f t="shared" si="12"/>
        <v>4320.5681328379487</v>
      </c>
      <c r="H22" s="3948">
        <f t="shared" si="12"/>
        <v>4347.6429351018915</v>
      </c>
      <c r="I22" s="4422"/>
      <c r="J22" s="4478" t="s">
        <v>1897</v>
      </c>
      <c r="K22" s="4471">
        <f t="shared" si="7"/>
        <v>1118.4392371479287</v>
      </c>
      <c r="L22" s="4471">
        <f t="shared" si="8"/>
        <v>1661.7260391799894</v>
      </c>
      <c r="M22" s="4471">
        <f t="shared" si="9"/>
        <v>2177.5894058279041</v>
      </c>
      <c r="N22" s="4471">
        <f t="shared" si="10"/>
        <v>2209.071408475148</v>
      </c>
      <c r="O22" s="4471">
        <f t="shared" si="11"/>
        <v>2222.914535057695</v>
      </c>
    </row>
    <row r="23" spans="1:15" ht="12.75">
      <c r="B23" s="13"/>
      <c r="C23" s="14"/>
    </row>
    <row r="24" spans="1:15" s="1295" customFormat="1" ht="15">
      <c r="A24" s="5"/>
      <c r="B24" s="10"/>
      <c r="C24" s="10"/>
      <c r="D24" s="10"/>
      <c r="E24" s="7"/>
      <c r="F24" s="7"/>
      <c r="G24" s="7"/>
      <c r="H24" s="7"/>
      <c r="I24" s="7"/>
    </row>
    <row r="25" spans="1:15" s="1295" customFormat="1" ht="15">
      <c r="A25" s="3428" t="str">
        <f>'Приложение '!B82</f>
        <v>Дата: 29.06.2026</v>
      </c>
      <c r="D25" s="1296"/>
      <c r="E25" s="7"/>
      <c r="F25" s="7"/>
      <c r="G25" s="7"/>
      <c r="H25" s="7"/>
    </row>
    <row r="26" spans="1:15" s="1295" customFormat="1" ht="15">
      <c r="D26" s="1296"/>
      <c r="E26" s="7"/>
      <c r="F26" s="7"/>
      <c r="G26" s="7"/>
      <c r="H26" s="7"/>
    </row>
    <row r="27" spans="1:15" s="1295" customFormat="1" ht="15">
      <c r="D27" s="1296"/>
      <c r="E27" s="7"/>
      <c r="F27" s="7"/>
      <c r="G27" s="7"/>
      <c r="H27" s="7"/>
    </row>
    <row r="28" spans="1:15" s="1295" customFormat="1" ht="12.75" customHeight="1">
      <c r="A28" s="5398" t="s">
        <v>187</v>
      </c>
      <c r="B28" s="5398"/>
      <c r="C28" s="2483"/>
      <c r="D28" s="2483"/>
      <c r="E28" s="7"/>
      <c r="F28" s="7"/>
      <c r="G28" s="7"/>
      <c r="H28" s="7"/>
    </row>
    <row r="29" spans="1:15" s="1295" customFormat="1" ht="13.5" customHeight="1">
      <c r="A29" s="5151" t="s">
        <v>1768</v>
      </c>
      <c r="B29" s="5151"/>
      <c r="C29" s="5151"/>
      <c r="D29" s="5151"/>
      <c r="E29" s="5151"/>
      <c r="F29" s="5151"/>
      <c r="G29" s="7"/>
      <c r="H29" s="7"/>
    </row>
    <row r="30" spans="1:15" s="1295" customFormat="1" ht="15.75" hidden="1" thickBot="1">
      <c r="A30" s="5048"/>
      <c r="B30" s="5048"/>
      <c r="C30" s="5048"/>
      <c r="D30" s="32"/>
      <c r="E30" s="680"/>
      <c r="F30" s="681"/>
      <c r="G30" s="7"/>
      <c r="H30" s="7"/>
    </row>
    <row r="31" spans="1:15" s="1295" customFormat="1" ht="15.75" hidden="1" thickBot="1">
      <c r="A31" s="5392"/>
      <c r="B31" s="5392"/>
      <c r="C31" s="5392"/>
      <c r="D31" s="32"/>
      <c r="E31" s="680"/>
      <c r="F31" s="681"/>
      <c r="G31" s="7"/>
      <c r="H31" s="7"/>
    </row>
    <row r="32" spans="1:15" s="1295" customFormat="1" ht="15.75" thickBot="1">
      <c r="A32" s="2983"/>
      <c r="B32" s="2983"/>
      <c r="C32" s="2983"/>
      <c r="D32" s="32"/>
      <c r="E32" s="680"/>
      <c r="F32" s="7"/>
      <c r="G32" s="7"/>
      <c r="H32" s="7"/>
    </row>
    <row r="33" spans="1:8" s="1295" customFormat="1" ht="15">
      <c r="A33" s="3296" t="s">
        <v>1</v>
      </c>
      <c r="B33" s="1353" t="s">
        <v>1395</v>
      </c>
      <c r="C33" s="1354" t="s">
        <v>1396</v>
      </c>
      <c r="D33" s="1355" t="s">
        <v>1397</v>
      </c>
      <c r="E33" s="7"/>
      <c r="F33" s="7"/>
      <c r="G33" s="7"/>
      <c r="H33" s="7"/>
    </row>
    <row r="34" spans="1:8" s="1295" customFormat="1" ht="15">
      <c r="A34" s="3297">
        <v>1</v>
      </c>
      <c r="B34" s="1350" t="s">
        <v>1391</v>
      </c>
      <c r="C34" s="3908">
        <v>0.1057</v>
      </c>
      <c r="D34" s="3909">
        <v>3.9399999999999998E-2</v>
      </c>
      <c r="E34" s="7"/>
      <c r="F34" s="1296"/>
      <c r="G34" s="7"/>
      <c r="H34" s="7"/>
    </row>
    <row r="35" spans="1:8" s="1295" customFormat="1" ht="15">
      <c r="A35" s="3297">
        <v>2</v>
      </c>
      <c r="B35" s="1350" t="s">
        <v>1392</v>
      </c>
      <c r="C35" s="3908"/>
      <c r="D35" s="3909"/>
      <c r="E35" s="7"/>
      <c r="F35" s="1296"/>
      <c r="G35" s="10"/>
      <c r="H35" s="10"/>
    </row>
    <row r="36" spans="1:8" ht="15">
      <c r="A36" s="1361">
        <v>3</v>
      </c>
      <c r="B36" s="1350" t="s">
        <v>1390</v>
      </c>
      <c r="C36" s="3908"/>
      <c r="D36" s="3909"/>
      <c r="E36" s="7"/>
    </row>
    <row r="37" spans="1:8" ht="15.75" thickBot="1">
      <c r="A37" s="1362">
        <v>4</v>
      </c>
      <c r="B37" s="1351" t="s">
        <v>1393</v>
      </c>
      <c r="C37" s="3910"/>
      <c r="D37" s="3911"/>
      <c r="E37" s="7"/>
    </row>
    <row r="38" spans="1:8" ht="12.75" customHeight="1">
      <c r="B38" s="277"/>
    </row>
    <row r="39" spans="1:8" ht="12.75" customHeight="1">
      <c r="B39" s="277"/>
    </row>
    <row r="40" spans="1:8">
      <c r="B40" s="277"/>
    </row>
    <row r="41" spans="1:8" ht="54" customHeight="1">
      <c r="A41" s="5353"/>
      <c r="B41" s="5353"/>
      <c r="C41" s="5353"/>
    </row>
    <row r="42" spans="1:8">
      <c r="B42" s="277"/>
    </row>
    <row r="43" spans="1:8">
      <c r="B43" s="277"/>
    </row>
    <row r="44" spans="1:8">
      <c r="B44" s="277"/>
    </row>
    <row r="45" spans="1:8">
      <c r="B45" s="277"/>
    </row>
  </sheetData>
  <sheetProtection algorithmName="SHA-512" hashValue="Ari4rVetavzHv2P7mf3VI1amMRTqCpi2gy2v1DaCnWS4jCdt5b9yqvBOjGFfrz1DRAN35Rg5NsU8yFrHs5hWAQ==" saltValue="2x1Zhy7GcxWTE0iq/G3bWQ==" spinCount="100000" sheet="1" formatCells="0" formatColumns="0" formatRows="0"/>
  <mergeCells count="12">
    <mergeCell ref="A1:B1"/>
    <mergeCell ref="C1:D1"/>
    <mergeCell ref="A41:C41"/>
    <mergeCell ref="A30:C30"/>
    <mergeCell ref="A31:C31"/>
    <mergeCell ref="A2:H2"/>
    <mergeCell ref="A3:H3"/>
    <mergeCell ref="A4:H4"/>
    <mergeCell ref="A5:H5"/>
    <mergeCell ref="C8:E8"/>
    <mergeCell ref="A29:F29"/>
    <mergeCell ref="A28:B28"/>
  </mergeCells>
  <dataValidations count="1">
    <dataValidation type="list" allowBlank="1" showInputMessage="1" showErrorMessage="1" sqref="C8:E8">
      <formula1>$B$34:$B$37</formula1>
    </dataValidation>
  </dataValidations>
  <printOptions horizontalCentered="1" verticalCentered="1"/>
  <pageMargins left="0" right="0" top="0.59055118110236227" bottom="0.19685039370078741" header="0.51181102362204722" footer="0.11811023622047245"/>
  <pageSetup paperSize="9" orientation="landscape" r:id="rId1"/>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70C0"/>
  </sheetPr>
  <dimension ref="A1:N30"/>
  <sheetViews>
    <sheetView showGridLines="0" view="pageBreakPreview" topLeftCell="A2" zoomScaleNormal="90" zoomScaleSheetLayoutView="100" workbookViewId="0">
      <selection activeCell="T20" sqref="T20"/>
    </sheetView>
  </sheetViews>
  <sheetFormatPr defaultRowHeight="12.75"/>
  <cols>
    <col min="1" max="1" width="5.5703125" style="1" customWidth="1"/>
    <col min="2" max="2" width="38.140625" style="1" customWidth="1"/>
    <col min="3" max="3" width="9.85546875" style="1" customWidth="1"/>
    <col min="4" max="8" width="7.5703125" style="1" customWidth="1"/>
    <col min="9" max="9" width="9" style="1" bestFit="1" customWidth="1"/>
    <col min="10" max="10" width="11" style="1" customWidth="1"/>
    <col min="11" max="258" width="8.5703125" style="1"/>
    <col min="259" max="259" width="6.42578125" style="1" customWidth="1"/>
    <col min="260" max="260" width="51.85546875" style="1" customWidth="1"/>
    <col min="261" max="261" width="9.5703125" style="1" customWidth="1"/>
    <col min="262" max="264" width="13.5703125" style="1" customWidth="1"/>
    <col min="265" max="265" width="8.42578125" style="1" customWidth="1"/>
    <col min="266" max="266" width="11" style="1" customWidth="1"/>
    <col min="267" max="514" width="8.5703125" style="1"/>
    <col min="515" max="515" width="6.42578125" style="1" customWidth="1"/>
    <col min="516" max="516" width="51.85546875" style="1" customWidth="1"/>
    <col min="517" max="517" width="9.5703125" style="1" customWidth="1"/>
    <col min="518" max="520" width="13.5703125" style="1" customWidth="1"/>
    <col min="521" max="521" width="8.42578125" style="1" customWidth="1"/>
    <col min="522" max="522" width="11" style="1" customWidth="1"/>
    <col min="523" max="770" width="8.5703125" style="1"/>
    <col min="771" max="771" width="6.42578125" style="1" customWidth="1"/>
    <col min="772" max="772" width="51.85546875" style="1" customWidth="1"/>
    <col min="773" max="773" width="9.5703125" style="1" customWidth="1"/>
    <col min="774" max="776" width="13.5703125" style="1" customWidth="1"/>
    <col min="777" max="777" width="8.42578125" style="1" customWidth="1"/>
    <col min="778" max="778" width="11" style="1" customWidth="1"/>
    <col min="779" max="1026" width="8.5703125" style="1"/>
    <col min="1027" max="1027" width="6.42578125" style="1" customWidth="1"/>
    <col min="1028" max="1028" width="51.85546875" style="1" customWidth="1"/>
    <col min="1029" max="1029" width="9.5703125" style="1" customWidth="1"/>
    <col min="1030" max="1032" width="13.5703125" style="1" customWidth="1"/>
    <col min="1033" max="1033" width="8.42578125" style="1" customWidth="1"/>
    <col min="1034" max="1034" width="11" style="1" customWidth="1"/>
    <col min="1035" max="1282" width="8.5703125" style="1"/>
    <col min="1283" max="1283" width="6.42578125" style="1" customWidth="1"/>
    <col min="1284" max="1284" width="51.85546875" style="1" customWidth="1"/>
    <col min="1285" max="1285" width="9.5703125" style="1" customWidth="1"/>
    <col min="1286" max="1288" width="13.5703125" style="1" customWidth="1"/>
    <col min="1289" max="1289" width="8.42578125" style="1" customWidth="1"/>
    <col min="1290" max="1290" width="11" style="1" customWidth="1"/>
    <col min="1291" max="1538" width="8.5703125" style="1"/>
    <col min="1539" max="1539" width="6.42578125" style="1" customWidth="1"/>
    <col min="1540" max="1540" width="51.85546875" style="1" customWidth="1"/>
    <col min="1541" max="1541" width="9.5703125" style="1" customWidth="1"/>
    <col min="1542" max="1544" width="13.5703125" style="1" customWidth="1"/>
    <col min="1545" max="1545" width="8.42578125" style="1" customWidth="1"/>
    <col min="1546" max="1546" width="11" style="1" customWidth="1"/>
    <col min="1547" max="1794" width="8.5703125" style="1"/>
    <col min="1795" max="1795" width="6.42578125" style="1" customWidth="1"/>
    <col min="1796" max="1796" width="51.85546875" style="1" customWidth="1"/>
    <col min="1797" max="1797" width="9.5703125" style="1" customWidth="1"/>
    <col min="1798" max="1800" width="13.5703125" style="1" customWidth="1"/>
    <col min="1801" max="1801" width="8.42578125" style="1" customWidth="1"/>
    <col min="1802" max="1802" width="11" style="1" customWidth="1"/>
    <col min="1803" max="2050" width="8.5703125" style="1"/>
    <col min="2051" max="2051" width="6.42578125" style="1" customWidth="1"/>
    <col min="2052" max="2052" width="51.85546875" style="1" customWidth="1"/>
    <col min="2053" max="2053" width="9.5703125" style="1" customWidth="1"/>
    <col min="2054" max="2056" width="13.5703125" style="1" customWidth="1"/>
    <col min="2057" max="2057" width="8.42578125" style="1" customWidth="1"/>
    <col min="2058" max="2058" width="11" style="1" customWidth="1"/>
    <col min="2059" max="2306" width="8.5703125" style="1"/>
    <col min="2307" max="2307" width="6.42578125" style="1" customWidth="1"/>
    <col min="2308" max="2308" width="51.85546875" style="1" customWidth="1"/>
    <col min="2309" max="2309" width="9.5703125" style="1" customWidth="1"/>
    <col min="2310" max="2312" width="13.5703125" style="1" customWidth="1"/>
    <col min="2313" max="2313" width="8.42578125" style="1" customWidth="1"/>
    <col min="2314" max="2314" width="11" style="1" customWidth="1"/>
    <col min="2315" max="2562" width="8.5703125" style="1"/>
    <col min="2563" max="2563" width="6.42578125" style="1" customWidth="1"/>
    <col min="2564" max="2564" width="51.85546875" style="1" customWidth="1"/>
    <col min="2565" max="2565" width="9.5703125" style="1" customWidth="1"/>
    <col min="2566" max="2568" width="13.5703125" style="1" customWidth="1"/>
    <col min="2569" max="2569" width="8.42578125" style="1" customWidth="1"/>
    <col min="2570" max="2570" width="11" style="1" customWidth="1"/>
    <col min="2571" max="2818" width="8.5703125" style="1"/>
    <col min="2819" max="2819" width="6.42578125" style="1" customWidth="1"/>
    <col min="2820" max="2820" width="51.85546875" style="1" customWidth="1"/>
    <col min="2821" max="2821" width="9.5703125" style="1" customWidth="1"/>
    <col min="2822" max="2824" width="13.5703125" style="1" customWidth="1"/>
    <col min="2825" max="2825" width="8.42578125" style="1" customWidth="1"/>
    <col min="2826" max="2826" width="11" style="1" customWidth="1"/>
    <col min="2827" max="3074" width="8.5703125" style="1"/>
    <col min="3075" max="3075" width="6.42578125" style="1" customWidth="1"/>
    <col min="3076" max="3076" width="51.85546875" style="1" customWidth="1"/>
    <col min="3077" max="3077" width="9.5703125" style="1" customWidth="1"/>
    <col min="3078" max="3080" width="13.5703125" style="1" customWidth="1"/>
    <col min="3081" max="3081" width="8.42578125" style="1" customWidth="1"/>
    <col min="3082" max="3082" width="11" style="1" customWidth="1"/>
    <col min="3083" max="3330" width="8.5703125" style="1"/>
    <col min="3331" max="3331" width="6.42578125" style="1" customWidth="1"/>
    <col min="3332" max="3332" width="51.85546875" style="1" customWidth="1"/>
    <col min="3333" max="3333" width="9.5703125" style="1" customWidth="1"/>
    <col min="3334" max="3336" width="13.5703125" style="1" customWidth="1"/>
    <col min="3337" max="3337" width="8.42578125" style="1" customWidth="1"/>
    <col min="3338" max="3338" width="11" style="1" customWidth="1"/>
    <col min="3339" max="3586" width="8.5703125" style="1"/>
    <col min="3587" max="3587" width="6.42578125" style="1" customWidth="1"/>
    <col min="3588" max="3588" width="51.85546875" style="1" customWidth="1"/>
    <col min="3589" max="3589" width="9.5703125" style="1" customWidth="1"/>
    <col min="3590" max="3592" width="13.5703125" style="1" customWidth="1"/>
    <col min="3593" max="3593" width="8.42578125" style="1" customWidth="1"/>
    <col min="3594" max="3594" width="11" style="1" customWidth="1"/>
    <col min="3595" max="3842" width="8.5703125" style="1"/>
    <col min="3843" max="3843" width="6.42578125" style="1" customWidth="1"/>
    <col min="3844" max="3844" width="51.85546875" style="1" customWidth="1"/>
    <col min="3845" max="3845" width="9.5703125" style="1" customWidth="1"/>
    <col min="3846" max="3848" width="13.5703125" style="1" customWidth="1"/>
    <col min="3849" max="3849" width="8.42578125" style="1" customWidth="1"/>
    <col min="3850" max="3850" width="11" style="1" customWidth="1"/>
    <col min="3851" max="4098" width="8.5703125" style="1"/>
    <col min="4099" max="4099" width="6.42578125" style="1" customWidth="1"/>
    <col min="4100" max="4100" width="51.85546875" style="1" customWidth="1"/>
    <col min="4101" max="4101" width="9.5703125" style="1" customWidth="1"/>
    <col min="4102" max="4104" width="13.5703125" style="1" customWidth="1"/>
    <col min="4105" max="4105" width="8.42578125" style="1" customWidth="1"/>
    <col min="4106" max="4106" width="11" style="1" customWidth="1"/>
    <col min="4107" max="4354" width="8.5703125" style="1"/>
    <col min="4355" max="4355" width="6.42578125" style="1" customWidth="1"/>
    <col min="4356" max="4356" width="51.85546875" style="1" customWidth="1"/>
    <col min="4357" max="4357" width="9.5703125" style="1" customWidth="1"/>
    <col min="4358" max="4360" width="13.5703125" style="1" customWidth="1"/>
    <col min="4361" max="4361" width="8.42578125" style="1" customWidth="1"/>
    <col min="4362" max="4362" width="11" style="1" customWidth="1"/>
    <col min="4363" max="4610" width="8.5703125" style="1"/>
    <col min="4611" max="4611" width="6.42578125" style="1" customWidth="1"/>
    <col min="4612" max="4612" width="51.85546875" style="1" customWidth="1"/>
    <col min="4613" max="4613" width="9.5703125" style="1" customWidth="1"/>
    <col min="4614" max="4616" width="13.5703125" style="1" customWidth="1"/>
    <col min="4617" max="4617" width="8.42578125" style="1" customWidth="1"/>
    <col min="4618" max="4618" width="11" style="1" customWidth="1"/>
    <col min="4619" max="4866" width="8.5703125" style="1"/>
    <col min="4867" max="4867" width="6.42578125" style="1" customWidth="1"/>
    <col min="4868" max="4868" width="51.85546875" style="1" customWidth="1"/>
    <col min="4869" max="4869" width="9.5703125" style="1" customWidth="1"/>
    <col min="4870" max="4872" width="13.5703125" style="1" customWidth="1"/>
    <col min="4873" max="4873" width="8.42578125" style="1" customWidth="1"/>
    <col min="4874" max="4874" width="11" style="1" customWidth="1"/>
    <col min="4875" max="5122" width="8.5703125" style="1"/>
    <col min="5123" max="5123" width="6.42578125" style="1" customWidth="1"/>
    <col min="5124" max="5124" width="51.85546875" style="1" customWidth="1"/>
    <col min="5125" max="5125" width="9.5703125" style="1" customWidth="1"/>
    <col min="5126" max="5128" width="13.5703125" style="1" customWidth="1"/>
    <col min="5129" max="5129" width="8.42578125" style="1" customWidth="1"/>
    <col min="5130" max="5130" width="11" style="1" customWidth="1"/>
    <col min="5131" max="5378" width="8.5703125" style="1"/>
    <col min="5379" max="5379" width="6.42578125" style="1" customWidth="1"/>
    <col min="5380" max="5380" width="51.85546875" style="1" customWidth="1"/>
    <col min="5381" max="5381" width="9.5703125" style="1" customWidth="1"/>
    <col min="5382" max="5384" width="13.5703125" style="1" customWidth="1"/>
    <col min="5385" max="5385" width="8.42578125" style="1" customWidth="1"/>
    <col min="5386" max="5386" width="11" style="1" customWidth="1"/>
    <col min="5387" max="5634" width="8.5703125" style="1"/>
    <col min="5635" max="5635" width="6.42578125" style="1" customWidth="1"/>
    <col min="5636" max="5636" width="51.85546875" style="1" customWidth="1"/>
    <col min="5637" max="5637" width="9.5703125" style="1" customWidth="1"/>
    <col min="5638" max="5640" width="13.5703125" style="1" customWidth="1"/>
    <col min="5641" max="5641" width="8.42578125" style="1" customWidth="1"/>
    <col min="5642" max="5642" width="11" style="1" customWidth="1"/>
    <col min="5643" max="5890" width="8.5703125" style="1"/>
    <col min="5891" max="5891" width="6.42578125" style="1" customWidth="1"/>
    <col min="5892" max="5892" width="51.85546875" style="1" customWidth="1"/>
    <col min="5893" max="5893" width="9.5703125" style="1" customWidth="1"/>
    <col min="5894" max="5896" width="13.5703125" style="1" customWidth="1"/>
    <col min="5897" max="5897" width="8.42578125" style="1" customWidth="1"/>
    <col min="5898" max="5898" width="11" style="1" customWidth="1"/>
    <col min="5899" max="6146" width="8.5703125" style="1"/>
    <col min="6147" max="6147" width="6.42578125" style="1" customWidth="1"/>
    <col min="6148" max="6148" width="51.85546875" style="1" customWidth="1"/>
    <col min="6149" max="6149" width="9.5703125" style="1" customWidth="1"/>
    <col min="6150" max="6152" width="13.5703125" style="1" customWidth="1"/>
    <col min="6153" max="6153" width="8.42578125" style="1" customWidth="1"/>
    <col min="6154" max="6154" width="11" style="1" customWidth="1"/>
    <col min="6155" max="6402" width="8.5703125" style="1"/>
    <col min="6403" max="6403" width="6.42578125" style="1" customWidth="1"/>
    <col min="6404" max="6404" width="51.85546875" style="1" customWidth="1"/>
    <col min="6405" max="6405" width="9.5703125" style="1" customWidth="1"/>
    <col min="6406" max="6408" width="13.5703125" style="1" customWidth="1"/>
    <col min="6409" max="6409" width="8.42578125" style="1" customWidth="1"/>
    <col min="6410" max="6410" width="11" style="1" customWidth="1"/>
    <col min="6411" max="6658" width="8.5703125" style="1"/>
    <col min="6659" max="6659" width="6.42578125" style="1" customWidth="1"/>
    <col min="6660" max="6660" width="51.85546875" style="1" customWidth="1"/>
    <col min="6661" max="6661" width="9.5703125" style="1" customWidth="1"/>
    <col min="6662" max="6664" width="13.5703125" style="1" customWidth="1"/>
    <col min="6665" max="6665" width="8.42578125" style="1" customWidth="1"/>
    <col min="6666" max="6666" width="11" style="1" customWidth="1"/>
    <col min="6667" max="6914" width="8.5703125" style="1"/>
    <col min="6915" max="6915" width="6.42578125" style="1" customWidth="1"/>
    <col min="6916" max="6916" width="51.85546875" style="1" customWidth="1"/>
    <col min="6917" max="6917" width="9.5703125" style="1" customWidth="1"/>
    <col min="6918" max="6920" width="13.5703125" style="1" customWidth="1"/>
    <col min="6921" max="6921" width="8.42578125" style="1" customWidth="1"/>
    <col min="6922" max="6922" width="11" style="1" customWidth="1"/>
    <col min="6923" max="7170" width="8.5703125" style="1"/>
    <col min="7171" max="7171" width="6.42578125" style="1" customWidth="1"/>
    <col min="7172" max="7172" width="51.85546875" style="1" customWidth="1"/>
    <col min="7173" max="7173" width="9.5703125" style="1" customWidth="1"/>
    <col min="7174" max="7176" width="13.5703125" style="1" customWidth="1"/>
    <col min="7177" max="7177" width="8.42578125" style="1" customWidth="1"/>
    <col min="7178" max="7178" width="11" style="1" customWidth="1"/>
    <col min="7179" max="7426" width="8.5703125" style="1"/>
    <col min="7427" max="7427" width="6.42578125" style="1" customWidth="1"/>
    <col min="7428" max="7428" width="51.85546875" style="1" customWidth="1"/>
    <col min="7429" max="7429" width="9.5703125" style="1" customWidth="1"/>
    <col min="7430" max="7432" width="13.5703125" style="1" customWidth="1"/>
    <col min="7433" max="7433" width="8.42578125" style="1" customWidth="1"/>
    <col min="7434" max="7434" width="11" style="1" customWidth="1"/>
    <col min="7435" max="7682" width="8.5703125" style="1"/>
    <col min="7683" max="7683" width="6.42578125" style="1" customWidth="1"/>
    <col min="7684" max="7684" width="51.85546875" style="1" customWidth="1"/>
    <col min="7685" max="7685" width="9.5703125" style="1" customWidth="1"/>
    <col min="7686" max="7688" width="13.5703125" style="1" customWidth="1"/>
    <col min="7689" max="7689" width="8.42578125" style="1" customWidth="1"/>
    <col min="7690" max="7690" width="11" style="1" customWidth="1"/>
    <col min="7691" max="7938" width="8.5703125" style="1"/>
    <col min="7939" max="7939" width="6.42578125" style="1" customWidth="1"/>
    <col min="7940" max="7940" width="51.85546875" style="1" customWidth="1"/>
    <col min="7941" max="7941" width="9.5703125" style="1" customWidth="1"/>
    <col min="7942" max="7944" width="13.5703125" style="1" customWidth="1"/>
    <col min="7945" max="7945" width="8.42578125" style="1" customWidth="1"/>
    <col min="7946" max="7946" width="11" style="1" customWidth="1"/>
    <col min="7947" max="8194" width="8.5703125" style="1"/>
    <col min="8195" max="8195" width="6.42578125" style="1" customWidth="1"/>
    <col min="8196" max="8196" width="51.85546875" style="1" customWidth="1"/>
    <col min="8197" max="8197" width="9.5703125" style="1" customWidth="1"/>
    <col min="8198" max="8200" width="13.5703125" style="1" customWidth="1"/>
    <col min="8201" max="8201" width="8.42578125" style="1" customWidth="1"/>
    <col min="8202" max="8202" width="11" style="1" customWidth="1"/>
    <col min="8203" max="8450" width="8.5703125" style="1"/>
    <col min="8451" max="8451" width="6.42578125" style="1" customWidth="1"/>
    <col min="8452" max="8452" width="51.85546875" style="1" customWidth="1"/>
    <col min="8453" max="8453" width="9.5703125" style="1" customWidth="1"/>
    <col min="8454" max="8456" width="13.5703125" style="1" customWidth="1"/>
    <col min="8457" max="8457" width="8.42578125" style="1" customWidth="1"/>
    <col min="8458" max="8458" width="11" style="1" customWidth="1"/>
    <col min="8459" max="8706" width="8.5703125" style="1"/>
    <col min="8707" max="8707" width="6.42578125" style="1" customWidth="1"/>
    <col min="8708" max="8708" width="51.85546875" style="1" customWidth="1"/>
    <col min="8709" max="8709" width="9.5703125" style="1" customWidth="1"/>
    <col min="8710" max="8712" width="13.5703125" style="1" customWidth="1"/>
    <col min="8713" max="8713" width="8.42578125" style="1" customWidth="1"/>
    <col min="8714" max="8714" width="11" style="1" customWidth="1"/>
    <col min="8715" max="8962" width="8.5703125" style="1"/>
    <col min="8963" max="8963" width="6.42578125" style="1" customWidth="1"/>
    <col min="8964" max="8964" width="51.85546875" style="1" customWidth="1"/>
    <col min="8965" max="8965" width="9.5703125" style="1" customWidth="1"/>
    <col min="8966" max="8968" width="13.5703125" style="1" customWidth="1"/>
    <col min="8969" max="8969" width="8.42578125" style="1" customWidth="1"/>
    <col min="8970" max="8970" width="11" style="1" customWidth="1"/>
    <col min="8971" max="9218" width="8.5703125" style="1"/>
    <col min="9219" max="9219" width="6.42578125" style="1" customWidth="1"/>
    <col min="9220" max="9220" width="51.85546875" style="1" customWidth="1"/>
    <col min="9221" max="9221" width="9.5703125" style="1" customWidth="1"/>
    <col min="9222" max="9224" width="13.5703125" style="1" customWidth="1"/>
    <col min="9225" max="9225" width="8.42578125" style="1" customWidth="1"/>
    <col min="9226" max="9226" width="11" style="1" customWidth="1"/>
    <col min="9227" max="9474" width="8.5703125" style="1"/>
    <col min="9475" max="9475" width="6.42578125" style="1" customWidth="1"/>
    <col min="9476" max="9476" width="51.85546875" style="1" customWidth="1"/>
    <col min="9477" max="9477" width="9.5703125" style="1" customWidth="1"/>
    <col min="9478" max="9480" width="13.5703125" style="1" customWidth="1"/>
    <col min="9481" max="9481" width="8.42578125" style="1" customWidth="1"/>
    <col min="9482" max="9482" width="11" style="1" customWidth="1"/>
    <col min="9483" max="9730" width="8.5703125" style="1"/>
    <col min="9731" max="9731" width="6.42578125" style="1" customWidth="1"/>
    <col min="9732" max="9732" width="51.85546875" style="1" customWidth="1"/>
    <col min="9733" max="9733" width="9.5703125" style="1" customWidth="1"/>
    <col min="9734" max="9736" width="13.5703125" style="1" customWidth="1"/>
    <col min="9737" max="9737" width="8.42578125" style="1" customWidth="1"/>
    <col min="9738" max="9738" width="11" style="1" customWidth="1"/>
    <col min="9739" max="9986" width="8.5703125" style="1"/>
    <col min="9987" max="9987" width="6.42578125" style="1" customWidth="1"/>
    <col min="9988" max="9988" width="51.85546875" style="1" customWidth="1"/>
    <col min="9989" max="9989" width="9.5703125" style="1" customWidth="1"/>
    <col min="9990" max="9992" width="13.5703125" style="1" customWidth="1"/>
    <col min="9993" max="9993" width="8.42578125" style="1" customWidth="1"/>
    <col min="9994" max="9994" width="11" style="1" customWidth="1"/>
    <col min="9995" max="10242" width="8.5703125" style="1"/>
    <col min="10243" max="10243" width="6.42578125" style="1" customWidth="1"/>
    <col min="10244" max="10244" width="51.85546875" style="1" customWidth="1"/>
    <col min="10245" max="10245" width="9.5703125" style="1" customWidth="1"/>
    <col min="10246" max="10248" width="13.5703125" style="1" customWidth="1"/>
    <col min="10249" max="10249" width="8.42578125" style="1" customWidth="1"/>
    <col min="10250" max="10250" width="11" style="1" customWidth="1"/>
    <col min="10251" max="10498" width="8.5703125" style="1"/>
    <col min="10499" max="10499" width="6.42578125" style="1" customWidth="1"/>
    <col min="10500" max="10500" width="51.85546875" style="1" customWidth="1"/>
    <col min="10501" max="10501" width="9.5703125" style="1" customWidth="1"/>
    <col min="10502" max="10504" width="13.5703125" style="1" customWidth="1"/>
    <col min="10505" max="10505" width="8.42578125" style="1" customWidth="1"/>
    <col min="10506" max="10506" width="11" style="1" customWidth="1"/>
    <col min="10507" max="10754" width="8.5703125" style="1"/>
    <col min="10755" max="10755" width="6.42578125" style="1" customWidth="1"/>
    <col min="10756" max="10756" width="51.85546875" style="1" customWidth="1"/>
    <col min="10757" max="10757" width="9.5703125" style="1" customWidth="1"/>
    <col min="10758" max="10760" width="13.5703125" style="1" customWidth="1"/>
    <col min="10761" max="10761" width="8.42578125" style="1" customWidth="1"/>
    <col min="10762" max="10762" width="11" style="1" customWidth="1"/>
    <col min="10763" max="11010" width="8.5703125" style="1"/>
    <col min="11011" max="11011" width="6.42578125" style="1" customWidth="1"/>
    <col min="11012" max="11012" width="51.85546875" style="1" customWidth="1"/>
    <col min="11013" max="11013" width="9.5703125" style="1" customWidth="1"/>
    <col min="11014" max="11016" width="13.5703125" style="1" customWidth="1"/>
    <col min="11017" max="11017" width="8.42578125" style="1" customWidth="1"/>
    <col min="11018" max="11018" width="11" style="1" customWidth="1"/>
    <col min="11019" max="11266" width="8.5703125" style="1"/>
    <col min="11267" max="11267" width="6.42578125" style="1" customWidth="1"/>
    <col min="11268" max="11268" width="51.85546875" style="1" customWidth="1"/>
    <col min="11269" max="11269" width="9.5703125" style="1" customWidth="1"/>
    <col min="11270" max="11272" width="13.5703125" style="1" customWidth="1"/>
    <col min="11273" max="11273" width="8.42578125" style="1" customWidth="1"/>
    <col min="11274" max="11274" width="11" style="1" customWidth="1"/>
    <col min="11275" max="11522" width="8.5703125" style="1"/>
    <col min="11523" max="11523" width="6.42578125" style="1" customWidth="1"/>
    <col min="11524" max="11524" width="51.85546875" style="1" customWidth="1"/>
    <col min="11525" max="11525" width="9.5703125" style="1" customWidth="1"/>
    <col min="11526" max="11528" width="13.5703125" style="1" customWidth="1"/>
    <col min="11529" max="11529" width="8.42578125" style="1" customWidth="1"/>
    <col min="11530" max="11530" width="11" style="1" customWidth="1"/>
    <col min="11531" max="11778" width="8.5703125" style="1"/>
    <col min="11779" max="11779" width="6.42578125" style="1" customWidth="1"/>
    <col min="11780" max="11780" width="51.85546875" style="1" customWidth="1"/>
    <col min="11781" max="11781" width="9.5703125" style="1" customWidth="1"/>
    <col min="11782" max="11784" width="13.5703125" style="1" customWidth="1"/>
    <col min="11785" max="11785" width="8.42578125" style="1" customWidth="1"/>
    <col min="11786" max="11786" width="11" style="1" customWidth="1"/>
    <col min="11787" max="12034" width="8.5703125" style="1"/>
    <col min="12035" max="12035" width="6.42578125" style="1" customWidth="1"/>
    <col min="12036" max="12036" width="51.85546875" style="1" customWidth="1"/>
    <col min="12037" max="12037" width="9.5703125" style="1" customWidth="1"/>
    <col min="12038" max="12040" width="13.5703125" style="1" customWidth="1"/>
    <col min="12041" max="12041" width="8.42578125" style="1" customWidth="1"/>
    <col min="12042" max="12042" width="11" style="1" customWidth="1"/>
    <col min="12043" max="12290" width="8.5703125" style="1"/>
    <col min="12291" max="12291" width="6.42578125" style="1" customWidth="1"/>
    <col min="12292" max="12292" width="51.85546875" style="1" customWidth="1"/>
    <col min="12293" max="12293" width="9.5703125" style="1" customWidth="1"/>
    <col min="12294" max="12296" width="13.5703125" style="1" customWidth="1"/>
    <col min="12297" max="12297" width="8.42578125" style="1" customWidth="1"/>
    <col min="12298" max="12298" width="11" style="1" customWidth="1"/>
    <col min="12299" max="12546" width="8.5703125" style="1"/>
    <col min="12547" max="12547" width="6.42578125" style="1" customWidth="1"/>
    <col min="12548" max="12548" width="51.85546875" style="1" customWidth="1"/>
    <col min="12549" max="12549" width="9.5703125" style="1" customWidth="1"/>
    <col min="12550" max="12552" width="13.5703125" style="1" customWidth="1"/>
    <col min="12553" max="12553" width="8.42578125" style="1" customWidth="1"/>
    <col min="12554" max="12554" width="11" style="1" customWidth="1"/>
    <col min="12555" max="12802" width="8.5703125" style="1"/>
    <col min="12803" max="12803" width="6.42578125" style="1" customWidth="1"/>
    <col min="12804" max="12804" width="51.85546875" style="1" customWidth="1"/>
    <col min="12805" max="12805" width="9.5703125" style="1" customWidth="1"/>
    <col min="12806" max="12808" width="13.5703125" style="1" customWidth="1"/>
    <col min="12809" max="12809" width="8.42578125" style="1" customWidth="1"/>
    <col min="12810" max="12810" width="11" style="1" customWidth="1"/>
    <col min="12811" max="13058" width="8.5703125" style="1"/>
    <col min="13059" max="13059" width="6.42578125" style="1" customWidth="1"/>
    <col min="13060" max="13060" width="51.85546875" style="1" customWidth="1"/>
    <col min="13061" max="13061" width="9.5703125" style="1" customWidth="1"/>
    <col min="13062" max="13064" width="13.5703125" style="1" customWidth="1"/>
    <col min="13065" max="13065" width="8.42578125" style="1" customWidth="1"/>
    <col min="13066" max="13066" width="11" style="1" customWidth="1"/>
    <col min="13067" max="13314" width="8.5703125" style="1"/>
    <col min="13315" max="13315" width="6.42578125" style="1" customWidth="1"/>
    <col min="13316" max="13316" width="51.85546875" style="1" customWidth="1"/>
    <col min="13317" max="13317" width="9.5703125" style="1" customWidth="1"/>
    <col min="13318" max="13320" width="13.5703125" style="1" customWidth="1"/>
    <col min="13321" max="13321" width="8.42578125" style="1" customWidth="1"/>
    <col min="13322" max="13322" width="11" style="1" customWidth="1"/>
    <col min="13323" max="13570" width="8.5703125" style="1"/>
    <col min="13571" max="13571" width="6.42578125" style="1" customWidth="1"/>
    <col min="13572" max="13572" width="51.85546875" style="1" customWidth="1"/>
    <col min="13573" max="13573" width="9.5703125" style="1" customWidth="1"/>
    <col min="13574" max="13576" width="13.5703125" style="1" customWidth="1"/>
    <col min="13577" max="13577" width="8.42578125" style="1" customWidth="1"/>
    <col min="13578" max="13578" width="11" style="1" customWidth="1"/>
    <col min="13579" max="13826" width="8.5703125" style="1"/>
    <col min="13827" max="13827" width="6.42578125" style="1" customWidth="1"/>
    <col min="13828" max="13828" width="51.85546875" style="1" customWidth="1"/>
    <col min="13829" max="13829" width="9.5703125" style="1" customWidth="1"/>
    <col min="13830" max="13832" width="13.5703125" style="1" customWidth="1"/>
    <col min="13833" max="13833" width="8.42578125" style="1" customWidth="1"/>
    <col min="13834" max="13834" width="11" style="1" customWidth="1"/>
    <col min="13835" max="14082" width="8.5703125" style="1"/>
    <col min="14083" max="14083" width="6.42578125" style="1" customWidth="1"/>
    <col min="14084" max="14084" width="51.85546875" style="1" customWidth="1"/>
    <col min="14085" max="14085" width="9.5703125" style="1" customWidth="1"/>
    <col min="14086" max="14088" width="13.5703125" style="1" customWidth="1"/>
    <col min="14089" max="14089" width="8.42578125" style="1" customWidth="1"/>
    <col min="14090" max="14090" width="11" style="1" customWidth="1"/>
    <col min="14091" max="14338" width="8.5703125" style="1"/>
    <col min="14339" max="14339" width="6.42578125" style="1" customWidth="1"/>
    <col min="14340" max="14340" width="51.85546875" style="1" customWidth="1"/>
    <col min="14341" max="14341" width="9.5703125" style="1" customWidth="1"/>
    <col min="14342" max="14344" width="13.5703125" style="1" customWidth="1"/>
    <col min="14345" max="14345" width="8.42578125" style="1" customWidth="1"/>
    <col min="14346" max="14346" width="11" style="1" customWidth="1"/>
    <col min="14347" max="14594" width="8.5703125" style="1"/>
    <col min="14595" max="14595" width="6.42578125" style="1" customWidth="1"/>
    <col min="14596" max="14596" width="51.85546875" style="1" customWidth="1"/>
    <col min="14597" max="14597" width="9.5703125" style="1" customWidth="1"/>
    <col min="14598" max="14600" width="13.5703125" style="1" customWidth="1"/>
    <col min="14601" max="14601" width="8.42578125" style="1" customWidth="1"/>
    <col min="14602" max="14602" width="11" style="1" customWidth="1"/>
    <col min="14603" max="14850" width="8.5703125" style="1"/>
    <col min="14851" max="14851" width="6.42578125" style="1" customWidth="1"/>
    <col min="14852" max="14852" width="51.85546875" style="1" customWidth="1"/>
    <col min="14853" max="14853" width="9.5703125" style="1" customWidth="1"/>
    <col min="14854" max="14856" width="13.5703125" style="1" customWidth="1"/>
    <col min="14857" max="14857" width="8.42578125" style="1" customWidth="1"/>
    <col min="14858" max="14858" width="11" style="1" customWidth="1"/>
    <col min="14859" max="15106" width="8.5703125" style="1"/>
    <col min="15107" max="15107" width="6.42578125" style="1" customWidth="1"/>
    <col min="15108" max="15108" width="51.85546875" style="1" customWidth="1"/>
    <col min="15109" max="15109" width="9.5703125" style="1" customWidth="1"/>
    <col min="15110" max="15112" width="13.5703125" style="1" customWidth="1"/>
    <col min="15113" max="15113" width="8.42578125" style="1" customWidth="1"/>
    <col min="15114" max="15114" width="11" style="1" customWidth="1"/>
    <col min="15115" max="15362" width="8.5703125" style="1"/>
    <col min="15363" max="15363" width="6.42578125" style="1" customWidth="1"/>
    <col min="15364" max="15364" width="51.85546875" style="1" customWidth="1"/>
    <col min="15365" max="15365" width="9.5703125" style="1" customWidth="1"/>
    <col min="15366" max="15368" width="13.5703125" style="1" customWidth="1"/>
    <col min="15369" max="15369" width="8.42578125" style="1" customWidth="1"/>
    <col min="15370" max="15370" width="11" style="1" customWidth="1"/>
    <col min="15371" max="15618" width="8.5703125" style="1"/>
    <col min="15619" max="15619" width="6.42578125" style="1" customWidth="1"/>
    <col min="15620" max="15620" width="51.85546875" style="1" customWidth="1"/>
    <col min="15621" max="15621" width="9.5703125" style="1" customWidth="1"/>
    <col min="15622" max="15624" width="13.5703125" style="1" customWidth="1"/>
    <col min="15625" max="15625" width="8.42578125" style="1" customWidth="1"/>
    <col min="15626" max="15626" width="11" style="1" customWidth="1"/>
    <col min="15627" max="15874" width="8.5703125" style="1"/>
    <col min="15875" max="15875" width="6.42578125" style="1" customWidth="1"/>
    <col min="15876" max="15876" width="51.85546875" style="1" customWidth="1"/>
    <col min="15877" max="15877" width="9.5703125" style="1" customWidth="1"/>
    <col min="15878" max="15880" width="13.5703125" style="1" customWidth="1"/>
    <col min="15881" max="15881" width="8.42578125" style="1" customWidth="1"/>
    <col min="15882" max="15882" width="11" style="1" customWidth="1"/>
    <col min="15883" max="16130" width="8.5703125" style="1"/>
    <col min="16131" max="16131" width="6.42578125" style="1" customWidth="1"/>
    <col min="16132" max="16132" width="51.85546875" style="1" customWidth="1"/>
    <col min="16133" max="16133" width="9.5703125" style="1" customWidth="1"/>
    <col min="16134" max="16136" width="13.5703125" style="1" customWidth="1"/>
    <col min="16137" max="16137" width="8.42578125" style="1" customWidth="1"/>
    <col min="16138" max="16138" width="11" style="1" customWidth="1"/>
    <col min="16139" max="16384" width="8.5703125" style="1"/>
  </cols>
  <sheetData>
    <row r="1" spans="1:14" hidden="1">
      <c r="N1" s="1">
        <v>1.95583</v>
      </c>
    </row>
    <row r="2" spans="1:14" ht="13.5">
      <c r="H2" s="3129" t="str">
        <f>'19. HB'!H1</f>
        <v>Приложение № 6</v>
      </c>
    </row>
    <row r="3" spans="1:14" ht="18.75">
      <c r="A3" s="5390" t="s">
        <v>1493</v>
      </c>
      <c r="B3" s="5390"/>
      <c r="C3" s="5390"/>
      <c r="D3" s="5390"/>
      <c r="E3" s="5390"/>
      <c r="F3" s="5390"/>
      <c r="G3" s="5390"/>
      <c r="H3" s="5390"/>
      <c r="I3" s="16"/>
      <c r="J3" s="15"/>
    </row>
    <row r="4" spans="1:14" ht="18.75">
      <c r="A4" s="5390" t="s">
        <v>1464</v>
      </c>
      <c r="B4" s="5390"/>
      <c r="C4" s="5390"/>
      <c r="D4" s="5390"/>
      <c r="E4" s="5390"/>
      <c r="F4" s="5390"/>
      <c r="G4" s="5390"/>
      <c r="H4" s="5390"/>
      <c r="I4" s="15"/>
      <c r="J4" s="15"/>
    </row>
    <row r="5" spans="1:14" ht="14.25">
      <c r="A5" s="5399" t="str">
        <f>'1. Обща информация'!A4:D4</f>
        <v>на ВОДОСНАБДЯВАНЕ И КАНАЛИЗАЦИЯ ЕООД, гр. ХАСКОВО</v>
      </c>
      <c r="B5" s="5399"/>
      <c r="C5" s="5399"/>
      <c r="D5" s="5399"/>
      <c r="E5" s="5399"/>
      <c r="F5" s="5399"/>
      <c r="G5" s="5399"/>
      <c r="H5" s="5399"/>
      <c r="I5" s="15"/>
      <c r="J5" s="15"/>
    </row>
    <row r="6" spans="1:14" ht="14.25">
      <c r="A6" s="5399" t="str">
        <f>'1. Обща информация'!A5:D5</f>
        <v>ЕИК по БУЛСТАТ: 126004284</v>
      </c>
      <c r="B6" s="5399"/>
      <c r="C6" s="5399"/>
      <c r="D6" s="5399"/>
      <c r="E6" s="5399"/>
      <c r="F6" s="5399"/>
      <c r="G6" s="5399"/>
      <c r="H6" s="5399"/>
      <c r="I6" s="15"/>
      <c r="J6" s="15"/>
    </row>
    <row r="7" spans="1:14" ht="15" thickBot="1">
      <c r="A7" s="1706"/>
      <c r="B7" s="1706"/>
      <c r="C7" s="1706"/>
      <c r="D7" s="1706"/>
      <c r="E7" s="1706"/>
      <c r="F7" s="1706"/>
      <c r="G7" s="1706"/>
      <c r="H7" s="1706"/>
      <c r="I7" s="15"/>
      <c r="J7" s="15"/>
    </row>
    <row r="8" spans="1:14" s="7" customFormat="1" ht="24" customHeight="1" thickBot="1">
      <c r="A8" s="3135" t="s">
        <v>1</v>
      </c>
      <c r="B8" s="4334" t="s">
        <v>1495</v>
      </c>
      <c r="C8" s="3135" t="s">
        <v>166</v>
      </c>
      <c r="D8" s="1412" t="str">
        <f>'Приложение '!$C14</f>
        <v>2027 г.</v>
      </c>
      <c r="E8" s="1413" t="str">
        <f>'Приложение '!$C15</f>
        <v>2028 г.</v>
      </c>
      <c r="F8" s="1413" t="str">
        <f>'Приложение '!$C16</f>
        <v>2029 г.</v>
      </c>
      <c r="G8" s="1413" t="str">
        <f>'Приложение '!$C17</f>
        <v>2030 г.</v>
      </c>
      <c r="H8" s="1414" t="str">
        <f>'Приложение '!$C18</f>
        <v>2031 г.</v>
      </c>
      <c r="I8" s="3135" t="s">
        <v>166</v>
      </c>
      <c r="J8" s="1412" t="str">
        <f>'Приложение '!$C14</f>
        <v>2027 г.</v>
      </c>
      <c r="K8" s="1413" t="str">
        <f>'Приложение '!$C15</f>
        <v>2028 г.</v>
      </c>
      <c r="L8" s="1413" t="str">
        <f>'Приложение '!$C16</f>
        <v>2029 г.</v>
      </c>
      <c r="M8" s="1413" t="str">
        <f>'Приложение '!$C17</f>
        <v>2030 г.</v>
      </c>
      <c r="N8" s="1414" t="str">
        <f>'Приложение '!$C18</f>
        <v>2031 г.</v>
      </c>
    </row>
    <row r="9" spans="1:14" s="7" customFormat="1" ht="15.75" thickBot="1">
      <c r="A9" s="3298" t="s">
        <v>205</v>
      </c>
      <c r="B9" s="3299" t="s">
        <v>207</v>
      </c>
      <c r="C9" s="3299"/>
      <c r="D9" s="3299"/>
      <c r="E9" s="3299"/>
      <c r="F9" s="3299"/>
      <c r="G9" s="3299"/>
      <c r="H9" s="3299"/>
      <c r="I9" s="3299"/>
      <c r="J9" s="3299"/>
      <c r="K9" s="3299"/>
      <c r="L9" s="3299"/>
      <c r="M9" s="3299"/>
      <c r="N9" s="3299"/>
    </row>
    <row r="10" spans="1:14" s="7" customFormat="1" ht="29.25" customHeight="1" thickBot="1">
      <c r="A10" s="4316" t="s">
        <v>463</v>
      </c>
      <c r="B10" s="4335" t="s">
        <v>608</v>
      </c>
      <c r="C10" s="4319" t="s">
        <v>328</v>
      </c>
      <c r="D10" s="4317">
        <f>IFERROR(ROUND(('16. Необходими приходи'!D11/'16. Необходими приходи'!D12),3),0)</f>
        <v>4.524</v>
      </c>
      <c r="E10" s="4318">
        <f>IFERROR(ROUND(('16. Необходими приходи'!E11/'16. Необходими приходи'!E12),3),0)</f>
        <v>4.8719999999999999</v>
      </c>
      <c r="F10" s="4318">
        <f>IFERROR(ROUND(('16. Необходими приходи'!F11/'16. Необходими приходи'!F12),3),0)</f>
        <v>5.3440000000000003</v>
      </c>
      <c r="G10" s="4318">
        <f>IFERROR(ROUND(('16. Необходими приходи'!G11/'16. Необходими приходи'!G12),3),0)</f>
        <v>5.73</v>
      </c>
      <c r="H10" s="4318">
        <f>IFERROR(ROUND(('16. Необходими приходи'!H11/'16. Необходими приходи'!H12),3),0)</f>
        <v>5.7489999999999997</v>
      </c>
      <c r="I10" s="4333" t="s">
        <v>1870</v>
      </c>
      <c r="J10" s="4320">
        <f>IFERROR(ROUND(D10/$N$1,3),0)</f>
        <v>2.3130000000000002</v>
      </c>
      <c r="K10" s="4320">
        <f>IFERROR(ROUND(E10/$N$1,3),0)</f>
        <v>2.4910000000000001</v>
      </c>
      <c r="L10" s="4320">
        <f>IFERROR(ROUND(F10/$N$1,3),0)</f>
        <v>2.7320000000000002</v>
      </c>
      <c r="M10" s="4320">
        <f>IFERROR(ROUND(G10/$N$1,3),0)</f>
        <v>2.93</v>
      </c>
      <c r="N10" s="4321">
        <f>IFERROR(ROUND(H10/$N$1,3),0)</f>
        <v>2.9390000000000001</v>
      </c>
    </row>
    <row r="11" spans="1:14" ht="15" customHeight="1" thickBot="1">
      <c r="A11" s="3298" t="s">
        <v>206</v>
      </c>
      <c r="B11" s="3299" t="s">
        <v>174</v>
      </c>
      <c r="C11" s="3299"/>
      <c r="D11" s="4322"/>
      <c r="E11" s="4322"/>
      <c r="F11" s="4322"/>
      <c r="G11" s="4322"/>
      <c r="H11" s="4322"/>
      <c r="I11" s="4322"/>
      <c r="J11" s="4322"/>
      <c r="K11" s="4322"/>
      <c r="L11" s="4322"/>
      <c r="M11" s="4322"/>
      <c r="N11" s="4322"/>
    </row>
    <row r="12" spans="1:14" ht="29.25" customHeight="1" thickBot="1">
      <c r="A12" s="4316" t="s">
        <v>477</v>
      </c>
      <c r="B12" s="4335" t="s">
        <v>608</v>
      </c>
      <c r="C12" s="4319" t="s">
        <v>328</v>
      </c>
      <c r="D12" s="4323">
        <f>IFERROR(ROUND(('16. Необходими приходи'!D17/'16. Необходими приходи'!D18),3),0)</f>
        <v>0.36099999999999999</v>
      </c>
      <c r="E12" s="4318">
        <f>IFERROR(ROUND(('16. Необходими приходи'!E17/'16. Необходими приходи'!E18),3),0)</f>
        <v>0.41799999999999998</v>
      </c>
      <c r="F12" s="4318">
        <f>IFERROR(ROUND(('16. Необходими приходи'!F17/'16. Необходими приходи'!F18),3),0)</f>
        <v>0.434</v>
      </c>
      <c r="G12" s="4318">
        <f>IFERROR(ROUND(('16. Необходими приходи'!G17/'16. Необходими приходи'!G18),3),0)</f>
        <v>0.48899999999999999</v>
      </c>
      <c r="H12" s="4318">
        <f>IFERROR(ROUND(('16. Необходими приходи'!H17/'16. Необходими приходи'!H18),3),0)</f>
        <v>0.51700000000000002</v>
      </c>
      <c r="I12" s="4333" t="s">
        <v>1870</v>
      </c>
      <c r="J12" s="4320">
        <f>IFERROR(ROUND(D12/$N$1,3),0)</f>
        <v>0.185</v>
      </c>
      <c r="K12" s="4320">
        <f>IFERROR(ROUND(E12/$N$1,3),0)</f>
        <v>0.214</v>
      </c>
      <c r="L12" s="4320">
        <f>IFERROR(ROUND(F12/$N$1,3),0)</f>
        <v>0.222</v>
      </c>
      <c r="M12" s="4320">
        <f>IFERROR(ROUND(G12/$N$1,3),0)</f>
        <v>0.25</v>
      </c>
      <c r="N12" s="4321">
        <f>IFERROR(ROUND(H12/$N$1,3),0)</f>
        <v>0.26400000000000001</v>
      </c>
    </row>
    <row r="13" spans="1:14" ht="15" customHeight="1" thickBot="1">
      <c r="A13" s="3298" t="s">
        <v>219</v>
      </c>
      <c r="B13" s="3299" t="s">
        <v>184</v>
      </c>
      <c r="C13" s="3299"/>
      <c r="D13" s="4322"/>
      <c r="E13" s="4322"/>
      <c r="F13" s="4322"/>
      <c r="G13" s="4322"/>
      <c r="H13" s="4322"/>
      <c r="I13" s="4322"/>
      <c r="J13" s="4322"/>
      <c r="K13" s="4322"/>
      <c r="L13" s="4322"/>
      <c r="M13" s="4322"/>
      <c r="N13" s="4322"/>
    </row>
    <row r="14" spans="1:14" ht="29.25" customHeight="1" thickBot="1">
      <c r="A14" s="4316" t="s">
        <v>263</v>
      </c>
      <c r="B14" s="4336" t="s">
        <v>1494</v>
      </c>
      <c r="C14" s="4333" t="s">
        <v>328</v>
      </c>
      <c r="D14" s="4318">
        <f>IFERROR(ROUND(('16. Необходими приходи'!D25/('16.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приходи'!D51)),3),0)</f>
        <v>0.72499999999999998</v>
      </c>
      <c r="E14" s="4318">
        <f>IFERROR(ROUND(('16. Необходими приходи'!E25/('16.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приходи'!E51)),3),0)</f>
        <v>0.81</v>
      </c>
      <c r="F14" s="4318">
        <f>IFERROR(ROUND(('16. Необходими приходи'!F25/('16.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приходи'!F51)),3),0)</f>
        <v>0.88900000000000001</v>
      </c>
      <c r="G14" s="4318">
        <f>IFERROR(ROUND(('16. Необходими приходи'!G25/('16.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приходи'!G51)),3),0)</f>
        <v>0.98499999999999999</v>
      </c>
      <c r="H14" s="4318">
        <f>IFERROR(ROUND(('16. Необходими приходи'!H25/('16.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приходи'!H51)),3),0)</f>
        <v>1.042</v>
      </c>
      <c r="I14" s="4333" t="s">
        <v>1870</v>
      </c>
      <c r="J14" s="4320">
        <f>IFERROR(ROUND(D14/$N$1,3),0)</f>
        <v>0.371</v>
      </c>
      <c r="K14" s="4320">
        <f>IFERROR(ROUND(E14/$N$1,3),0)</f>
        <v>0.41399999999999998</v>
      </c>
      <c r="L14" s="4320">
        <f>IFERROR(ROUND(F14/$N$1,3),0)</f>
        <v>0.45500000000000002</v>
      </c>
      <c r="M14" s="4320">
        <f>IFERROR(ROUND(G14/$N$1,3),0)</f>
        <v>0.504</v>
      </c>
      <c r="N14" s="4321">
        <f>IFERROR(ROUND(H14/$N$1,3),0)</f>
        <v>0.53300000000000003</v>
      </c>
    </row>
    <row r="15" spans="1:14" ht="24" customHeight="1">
      <c r="A15" s="3301" t="s">
        <v>264</v>
      </c>
      <c r="B15" s="4337" t="s">
        <v>179</v>
      </c>
      <c r="C15" s="4325"/>
      <c r="D15" s="4325"/>
      <c r="E15" s="4324"/>
      <c r="F15" s="4324"/>
      <c r="G15" s="4324"/>
      <c r="H15" s="4324"/>
      <c r="I15" s="4324"/>
      <c r="J15" s="4324"/>
      <c r="K15" s="4324"/>
      <c r="L15" s="4324"/>
      <c r="M15" s="4324"/>
      <c r="N15" s="4327"/>
    </row>
    <row r="16" spans="1:14">
      <c r="A16" s="3300" t="s">
        <v>1496</v>
      </c>
      <c r="B16" s="4338" t="s">
        <v>180</v>
      </c>
      <c r="C16" s="4326" t="s">
        <v>328</v>
      </c>
      <c r="D16" s="3303">
        <f>IFERROR(ROUND((D14*'16. Необходими приходи'!D49),3),0)</f>
        <v>0.93899999999999995</v>
      </c>
      <c r="E16" s="3303">
        <f>IFERROR(ROUND((E14*'16. Необходими приходи'!E49),3),0)</f>
        <v>1.05</v>
      </c>
      <c r="F16" s="3303">
        <f>IFERROR(ROUND((F14*'16. Необходими приходи'!F49),3),0)</f>
        <v>1.105</v>
      </c>
      <c r="G16" s="3303">
        <f>IFERROR(ROUND((G14*'16. Необходими приходи'!G49),3),0)</f>
        <v>1.224</v>
      </c>
      <c r="H16" s="3303">
        <f>IFERROR(ROUND((H14*'16. Необходими приходи'!H49),3),0)</f>
        <v>1.2949999999999999</v>
      </c>
      <c r="I16" s="4326" t="s">
        <v>1870</v>
      </c>
      <c r="J16" s="4315">
        <f t="shared" ref="J16:N20" si="0">IFERROR(ROUND(D16/$N$1,3),0)</f>
        <v>0.48</v>
      </c>
      <c r="K16" s="4315">
        <f t="shared" si="0"/>
        <v>0.53700000000000003</v>
      </c>
      <c r="L16" s="4315">
        <f t="shared" si="0"/>
        <v>0.56499999999999995</v>
      </c>
      <c r="M16" s="4315">
        <f t="shared" si="0"/>
        <v>0.626</v>
      </c>
      <c r="N16" s="4328">
        <f t="shared" si="0"/>
        <v>0.66200000000000003</v>
      </c>
    </row>
    <row r="17" spans="1:14">
      <c r="A17" s="3302" t="s">
        <v>1497</v>
      </c>
      <c r="B17" s="4338" t="s">
        <v>181</v>
      </c>
      <c r="C17" s="4326" t="s">
        <v>328</v>
      </c>
      <c r="D17" s="3303">
        <f>IFERROR(ROUND((D14*'16. Необходими приходи'!D50),3),0)</f>
        <v>1.2450000000000001</v>
      </c>
      <c r="E17" s="3303">
        <f>IFERROR(ROUND((E14*'16. Необходими приходи'!E50),3),0)</f>
        <v>1.391</v>
      </c>
      <c r="F17" s="3303">
        <f>IFERROR(ROUND((F14*'16. Необходими приходи'!F50),3),0)</f>
        <v>1.524</v>
      </c>
      <c r="G17" s="3303">
        <f>IFERROR(ROUND((G14*'16. Необходими приходи'!G50),3),0)</f>
        <v>1.6890000000000001</v>
      </c>
      <c r="H17" s="3303">
        <f>IFERROR(ROUND((H14*'16. Необходими приходи'!H50),3),0)</f>
        <v>1.786</v>
      </c>
      <c r="I17" s="4326" t="s">
        <v>1870</v>
      </c>
      <c r="J17" s="4315">
        <f t="shared" si="0"/>
        <v>0.63700000000000001</v>
      </c>
      <c r="K17" s="4315">
        <f t="shared" si="0"/>
        <v>0.71099999999999997</v>
      </c>
      <c r="L17" s="4315">
        <f t="shared" si="0"/>
        <v>0.77900000000000003</v>
      </c>
      <c r="M17" s="4315">
        <f t="shared" si="0"/>
        <v>0.86399999999999999</v>
      </c>
      <c r="N17" s="4328">
        <f t="shared" si="0"/>
        <v>0.91300000000000003</v>
      </c>
    </row>
    <row r="18" spans="1:14" ht="13.5" thickBot="1">
      <c r="A18" s="4340" t="s">
        <v>1498</v>
      </c>
      <c r="B18" s="4341" t="s">
        <v>182</v>
      </c>
      <c r="C18" s="4329" t="s">
        <v>328</v>
      </c>
      <c r="D18" s="4330">
        <f>IFERROR(ROUND((D14*'16. Необходими приходи'!D51),3),0)</f>
        <v>1.5649999999999999</v>
      </c>
      <c r="E18" s="4330">
        <f>IFERROR(ROUND((E14*'16. Необходими приходи'!E51),3),0)</f>
        <v>1.748</v>
      </c>
      <c r="F18" s="4330">
        <f>IFERROR(ROUND((F14*'16. Необходими приходи'!F51),3),0)</f>
        <v>1.9690000000000001</v>
      </c>
      <c r="G18" s="4330">
        <f>IFERROR(ROUND((G14*'16. Необходими приходи'!G51),3),0)</f>
        <v>2.181</v>
      </c>
      <c r="H18" s="4330">
        <f>IFERROR(ROUND((H14*'16. Необходими приходи'!H51),3),0)</f>
        <v>2.3079999999999998</v>
      </c>
      <c r="I18" s="4329" t="s">
        <v>1870</v>
      </c>
      <c r="J18" s="4331">
        <f t="shared" si="0"/>
        <v>0.8</v>
      </c>
      <c r="K18" s="4331">
        <f t="shared" si="0"/>
        <v>0.89400000000000002</v>
      </c>
      <c r="L18" s="4331">
        <f t="shared" si="0"/>
        <v>1.0069999999999999</v>
      </c>
      <c r="M18" s="4331">
        <f t="shared" si="0"/>
        <v>1.115</v>
      </c>
      <c r="N18" s="4332">
        <f t="shared" si="0"/>
        <v>1.18</v>
      </c>
    </row>
    <row r="19" spans="1:14" ht="30" customHeight="1" thickBot="1">
      <c r="A19" s="3305" t="s">
        <v>221</v>
      </c>
      <c r="B19" s="4339" t="s">
        <v>1029</v>
      </c>
      <c r="C19" s="4319" t="s">
        <v>328</v>
      </c>
      <c r="D19" s="3304">
        <f>IFERROR(ROUND(('16. Необходими приходи'!D36/'16. Необходими приходи'!D37),3),0)</f>
        <v>0</v>
      </c>
      <c r="E19" s="3304">
        <f>IFERROR(ROUND(('16. Необходими приходи'!E36/'16. Необходими приходи'!E37),3),0)</f>
        <v>0</v>
      </c>
      <c r="F19" s="3304">
        <f>IFERROR(ROUND(('16. Необходими приходи'!F36/'16. Необходими приходи'!F37),3),0)</f>
        <v>0</v>
      </c>
      <c r="G19" s="3304">
        <f>IFERROR(ROUND(('16. Необходими приходи'!G36/'16. Необходими приходи'!G37),3),0)</f>
        <v>0</v>
      </c>
      <c r="H19" s="3304">
        <f>IFERROR(ROUND(('16. Необходими приходи'!H36/'16. Необходими приходи'!H37),3),0)</f>
        <v>0</v>
      </c>
      <c r="I19" s="4333" t="s">
        <v>1870</v>
      </c>
      <c r="J19" s="4320">
        <f t="shared" si="0"/>
        <v>0</v>
      </c>
      <c r="K19" s="4320">
        <f t="shared" si="0"/>
        <v>0</v>
      </c>
      <c r="L19" s="4320">
        <f t="shared" si="0"/>
        <v>0</v>
      </c>
      <c r="M19" s="4320">
        <f t="shared" si="0"/>
        <v>0</v>
      </c>
      <c r="N19" s="4321">
        <f t="shared" si="0"/>
        <v>0</v>
      </c>
    </row>
    <row r="20" spans="1:14" ht="28.5" customHeight="1" thickBot="1">
      <c r="A20" s="3305" t="s">
        <v>308</v>
      </c>
      <c r="B20" s="4339" t="s">
        <v>1092</v>
      </c>
      <c r="C20" s="4319" t="s">
        <v>328</v>
      </c>
      <c r="D20" s="3304">
        <f>IFERROR(ROUND(('16. Необходими приходи'!D42/'16. Необходими приходи'!D43),3),0)</f>
        <v>0</v>
      </c>
      <c r="E20" s="3304">
        <f>IFERROR(ROUND(('16. Необходими приходи'!E42/'16. Необходими приходи'!E43),3),0)</f>
        <v>0</v>
      </c>
      <c r="F20" s="3304">
        <f>IFERROR(ROUND(('16. Необходими приходи'!F42/'16. Необходими приходи'!F43),3),0)</f>
        <v>0</v>
      </c>
      <c r="G20" s="3304">
        <f>IFERROR(ROUND(('16. Необходими приходи'!G42/'16. Необходими приходи'!G43),3),0)</f>
        <v>0</v>
      </c>
      <c r="H20" s="3304">
        <f>IFERROR(ROUND(('16. Необходими приходи'!H42/'16. Необходими приходи'!H43),3),0)</f>
        <v>0</v>
      </c>
      <c r="I20" s="4333" t="s">
        <v>1870</v>
      </c>
      <c r="J20" s="4320">
        <f t="shared" si="0"/>
        <v>0</v>
      </c>
      <c r="K20" s="4320">
        <f t="shared" si="0"/>
        <v>0</v>
      </c>
      <c r="L20" s="4320">
        <f t="shared" si="0"/>
        <v>0</v>
      </c>
      <c r="M20" s="4320">
        <f t="shared" si="0"/>
        <v>0</v>
      </c>
      <c r="N20" s="4321">
        <f t="shared" si="0"/>
        <v>0</v>
      </c>
    </row>
    <row r="21" spans="1:14">
      <c r="A21" s="649"/>
      <c r="B21" s="649"/>
      <c r="C21" s="649"/>
      <c r="D21" s="649"/>
      <c r="E21" s="649"/>
      <c r="F21" s="649"/>
      <c r="G21" s="649"/>
      <c r="H21" s="649"/>
      <c r="J21" s="15"/>
      <c r="K21" s="15"/>
    </row>
    <row r="22" spans="1:14">
      <c r="A22" s="1304"/>
    </row>
    <row r="23" spans="1:14">
      <c r="B23" s="3151" t="str">
        <f>'Приложение '!B82</f>
        <v>Дата: 29.06.2026</v>
      </c>
      <c r="C23" s="649"/>
      <c r="D23" s="649"/>
      <c r="E23" s="649"/>
      <c r="F23" s="649"/>
    </row>
    <row r="24" spans="1:14">
      <c r="B24" s="649"/>
      <c r="C24" s="3306"/>
      <c r="D24" s="3306"/>
      <c r="E24" s="3307"/>
      <c r="F24" s="649"/>
    </row>
    <row r="25" spans="1:14">
      <c r="B25" s="649"/>
      <c r="C25" s="3306"/>
      <c r="D25" s="3306"/>
      <c r="E25" s="3308"/>
      <c r="F25" s="649"/>
    </row>
    <row r="26" spans="1:14">
      <c r="B26" s="649"/>
      <c r="C26" s="649"/>
      <c r="D26" s="3306"/>
      <c r="E26" s="3307"/>
      <c r="F26" s="649"/>
    </row>
    <row r="27" spans="1:14">
      <c r="B27" s="649"/>
      <c r="C27" s="649"/>
      <c r="D27" s="3306"/>
      <c r="E27" s="3307"/>
      <c r="F27" s="649"/>
    </row>
    <row r="28" spans="1:14">
      <c r="B28" s="649"/>
      <c r="C28" s="649"/>
      <c r="D28" s="3306"/>
      <c r="E28" s="3307"/>
      <c r="F28" s="649"/>
    </row>
    <row r="29" spans="1:14">
      <c r="B29" s="649"/>
      <c r="C29" s="649"/>
      <c r="D29" s="3306"/>
      <c r="E29" s="3307"/>
      <c r="F29" s="649"/>
    </row>
    <row r="30" spans="1:14">
      <c r="B30" s="649"/>
      <c r="C30" s="649"/>
      <c r="D30" s="3306"/>
      <c r="E30" s="3307"/>
      <c r="F30" s="649"/>
      <c r="G30" s="649"/>
    </row>
  </sheetData>
  <sheetProtection algorithmName="SHA-512" hashValue="rlhBhVDqUbd4jbERUXtKRu7bS+DqKFsTNcmdhMZ8HDUxGD7sMo8k0FQlh+7F4Qh0MgmIDkRcMO+82Xcd+YH9sw==" saltValue="ZtL4BBbng7IULuuDLzPCGQ==" spinCount="100000" sheet="1" formatCells="0" formatColumns="0" formatRows="0"/>
  <mergeCells count="4">
    <mergeCell ref="A3:H3"/>
    <mergeCell ref="A4:H4"/>
    <mergeCell ref="A5:H5"/>
    <mergeCell ref="A6:H6"/>
  </mergeCells>
  <printOptions horizontalCentered="1"/>
  <pageMargins left="0.23622047244094491" right="0.23622047244094491" top="0.74803149606299213" bottom="0.74803149606299213" header="0.31496062992125984" footer="0.31496062992125984"/>
  <pageSetup paperSize="9" scale="69" orientation="portrait" r:id="rId1"/>
  <headerFooter alignWithMargins="0">
    <oddFooter>&amp;C&amp;A</oddFooter>
  </headerFooter>
  <colBreaks count="1" manualBreakCount="1">
    <brk id="14" min="1"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87"/>
  <sheetViews>
    <sheetView zoomScale="115" zoomScaleNormal="115" workbookViewId="0">
      <selection activeCell="N8" sqref="N8"/>
    </sheetView>
  </sheetViews>
  <sheetFormatPr defaultRowHeight="12.75"/>
  <cols>
    <col min="1" max="1" width="38.85546875" customWidth="1"/>
    <col min="2" max="2" width="5.42578125" customWidth="1"/>
    <col min="3" max="8" width="7.5703125" customWidth="1"/>
    <col min="9" max="9" width="4.85546875" customWidth="1"/>
    <col min="10" max="10" width="24.42578125" customWidth="1"/>
    <col min="11" max="11" width="6.140625" customWidth="1"/>
    <col min="12" max="23" width="5.42578125" customWidth="1"/>
    <col min="24" max="24" width="4.5703125" customWidth="1"/>
    <col min="25" max="25" width="5.42578125" customWidth="1"/>
    <col min="26" max="26" width="28.85546875" customWidth="1"/>
    <col min="27" max="27" width="4.5703125" customWidth="1"/>
    <col min="34" max="35" width="5.85546875" customWidth="1"/>
  </cols>
  <sheetData>
    <row r="1" spans="1:35" ht="15.75">
      <c r="A1" s="3430" t="s">
        <v>1519</v>
      </c>
      <c r="J1" s="3430" t="s">
        <v>1549</v>
      </c>
      <c r="Y1" s="3430" t="s">
        <v>1588</v>
      </c>
    </row>
    <row r="2" spans="1:35" ht="15.95" customHeight="1">
      <c r="A2" s="5425" t="s">
        <v>2</v>
      </c>
      <c r="B2" s="5426" t="s">
        <v>746</v>
      </c>
      <c r="C2" s="5413" t="s">
        <v>922</v>
      </c>
      <c r="D2" s="5413"/>
      <c r="E2" s="5413"/>
      <c r="F2" s="5413"/>
      <c r="G2" s="5413"/>
      <c r="H2" s="5413"/>
      <c r="J2" s="5404" t="s">
        <v>347</v>
      </c>
      <c r="K2" s="5407" t="s">
        <v>349</v>
      </c>
      <c r="L2" s="5408"/>
      <c r="M2" s="5408"/>
      <c r="N2" s="5408"/>
      <c r="O2" s="5408"/>
      <c r="P2" s="5408"/>
      <c r="Q2" s="5408"/>
      <c r="R2" s="5408"/>
      <c r="S2" s="5408"/>
      <c r="T2" s="5408"/>
      <c r="U2" s="5408"/>
      <c r="V2" s="5408"/>
      <c r="W2" s="5409"/>
      <c r="Y2" s="5400" t="s">
        <v>1593</v>
      </c>
      <c r="Z2" s="5401"/>
      <c r="AA2" s="5401"/>
      <c r="AB2" s="5401"/>
      <c r="AC2" s="5401"/>
      <c r="AD2" s="5401"/>
      <c r="AE2" s="5401"/>
      <c r="AF2" s="5401"/>
      <c r="AG2" s="5401"/>
      <c r="AH2" s="5401"/>
      <c r="AI2" s="5402"/>
    </row>
    <row r="3" spans="1:35" ht="37.5" customHeight="1">
      <c r="A3" s="5425"/>
      <c r="B3" s="5427"/>
      <c r="C3" s="4303" t="str">
        <f>+'15. ОПП'!$B$7</f>
        <v>2024 г.</v>
      </c>
      <c r="D3" s="4303" t="str">
        <f>+'15. ОПП'!$C$7</f>
        <v>2027 г.</v>
      </c>
      <c r="E3" s="4303" t="str">
        <f>+'15. ОПП'!$D$7</f>
        <v>2028 г.</v>
      </c>
      <c r="F3" s="4303" t="str">
        <f>+'15. ОПП'!$E$7</f>
        <v>2029 г.</v>
      </c>
      <c r="G3" s="4303" t="str">
        <f>+'15. ОПП'!$F$7</f>
        <v>2030 г.</v>
      </c>
      <c r="H3" s="4303" t="str">
        <f>+'15. ОПП'!$G$7</f>
        <v>2031 г.</v>
      </c>
      <c r="J3" s="5404"/>
      <c r="K3" s="5404" t="s">
        <v>1538</v>
      </c>
      <c r="L3" s="5405" t="s">
        <v>1555</v>
      </c>
      <c r="M3" s="5405"/>
      <c r="N3" s="5405"/>
      <c r="O3" s="5405"/>
      <c r="P3" s="5405"/>
      <c r="Q3" s="5406"/>
      <c r="R3" s="5404" t="s">
        <v>1551</v>
      </c>
      <c r="S3" s="5404"/>
      <c r="T3" s="5404"/>
      <c r="U3" s="5404"/>
      <c r="V3" s="5404"/>
      <c r="W3" s="5404"/>
      <c r="Y3" s="3431" t="s">
        <v>773</v>
      </c>
      <c r="Z3" s="3431" t="s">
        <v>1592</v>
      </c>
      <c r="AA3" s="3432" t="s">
        <v>746</v>
      </c>
      <c r="AB3" s="3433" t="str">
        <f>+'15. ОПП'!$B$7</f>
        <v>2024 г.</v>
      </c>
      <c r="AC3" s="4303" t="str">
        <f>+'15. ОПП'!$C$7</f>
        <v>2027 г.</v>
      </c>
      <c r="AD3" s="4303" t="str">
        <f>+'15. ОПП'!$D$7</f>
        <v>2028 г.</v>
      </c>
      <c r="AE3" s="4303" t="str">
        <f>+'15. ОПП'!$E$7</f>
        <v>2029 г.</v>
      </c>
      <c r="AF3" s="4303" t="str">
        <f>+'15. ОПП'!$F$7</f>
        <v>2030 г.</v>
      </c>
      <c r="AG3" s="4303" t="str">
        <f>+'15. ОПП'!$G$7</f>
        <v>2031 г.</v>
      </c>
      <c r="AH3" s="3433" t="str">
        <f>CONCATENATE("Индивидуална цел за ",AG3)</f>
        <v>Индивидуална цел за 2031 г.</v>
      </c>
      <c r="AI3" s="3433" t="s">
        <v>780</v>
      </c>
    </row>
    <row r="4" spans="1:35" ht="15.95" customHeight="1">
      <c r="A4" s="3434" t="s">
        <v>1523</v>
      </c>
      <c r="B4" s="3364" t="s">
        <v>784</v>
      </c>
      <c r="C4" s="3435">
        <f>'2. Променливи'!E10</f>
        <v>206474</v>
      </c>
      <c r="D4" s="3435">
        <f>'2. Променливи'!F10</f>
        <v>191730</v>
      </c>
      <c r="E4" s="3435">
        <f>'2. Променливи'!G10</f>
        <v>188943.39655278841</v>
      </c>
      <c r="F4" s="3435">
        <f>'2. Променливи'!H10</f>
        <v>186285.10735546594</v>
      </c>
      <c r="G4" s="3435">
        <f>'2. Променливи'!I10</f>
        <v>183626.81815814349</v>
      </c>
      <c r="H4" s="3435">
        <f>'2. Променливи'!J10</f>
        <v>181334.16705569168</v>
      </c>
      <c r="J4" s="5404"/>
      <c r="K4" s="5404"/>
      <c r="L4" s="4304" t="str">
        <f>+'15. ОПП'!$B$7</f>
        <v>2024 г.</v>
      </c>
      <c r="M4" s="4304" t="str">
        <f>+'15. ОПП'!$C$7</f>
        <v>2027 г.</v>
      </c>
      <c r="N4" s="4304" t="str">
        <f>+'15. ОПП'!$D$7</f>
        <v>2028 г.</v>
      </c>
      <c r="O4" s="4304" t="str">
        <f>+'15. ОПП'!$E$7</f>
        <v>2029 г.</v>
      </c>
      <c r="P4" s="4304" t="str">
        <f>+'15. ОПП'!$F$7</f>
        <v>2030 г.</v>
      </c>
      <c r="Q4" s="4304" t="str">
        <f>+'15. ОПП'!$G$7</f>
        <v>2031 г.</v>
      </c>
      <c r="R4" s="4304" t="str">
        <f>+'15. ОПП'!$B$7</f>
        <v>2024 г.</v>
      </c>
      <c r="S4" s="4304" t="str">
        <f>+'15. ОПП'!$C$7</f>
        <v>2027 г.</v>
      </c>
      <c r="T4" s="4304" t="str">
        <f>+'15. ОПП'!$D$7</f>
        <v>2028 г.</v>
      </c>
      <c r="U4" s="4304" t="str">
        <f>+'15. ОПП'!$E$7</f>
        <v>2029 г.</v>
      </c>
      <c r="V4" s="4304" t="str">
        <f>+'15. ОПП'!$F$7</f>
        <v>2030 г.</v>
      </c>
      <c r="W4" s="4304" t="str">
        <f>+'15. ОПП'!$G$7</f>
        <v>2031 г.</v>
      </c>
      <c r="Y4" s="3436" t="s">
        <v>116</v>
      </c>
      <c r="Z4" s="3437" t="s">
        <v>751</v>
      </c>
      <c r="AA4" s="3438" t="s">
        <v>170</v>
      </c>
      <c r="AB4" s="3439">
        <f>'3. Показатели за качество'!E9</f>
        <v>0.99690000000000001</v>
      </c>
      <c r="AC4" s="3439">
        <f>'3. Показатели за качество'!F9</f>
        <v>0.99709999999999999</v>
      </c>
      <c r="AD4" s="3439">
        <f>'3. Показатели за качество'!G9</f>
        <v>0.99709999999999999</v>
      </c>
      <c r="AE4" s="3439">
        <f>'3. Показатели за качество'!H9</f>
        <v>0.99780000000000002</v>
      </c>
      <c r="AF4" s="3439">
        <f>'3. Показатели за качество'!I9</f>
        <v>0.99860000000000004</v>
      </c>
      <c r="AG4" s="3439">
        <f>'3. Показатели за качество'!J9</f>
        <v>0.99929999999999997</v>
      </c>
      <c r="AH4" s="3388">
        <f>'3. Показатели за качество'!M9</f>
        <v>0.99329999999999996</v>
      </c>
      <c r="AI4" s="3440">
        <v>0.99</v>
      </c>
    </row>
    <row r="5" spans="1:35" ht="15.95" customHeight="1">
      <c r="A5" s="3434" t="s">
        <v>1524</v>
      </c>
      <c r="B5" s="3365" t="s">
        <v>784</v>
      </c>
      <c r="C5" s="3435">
        <f>'2. Променливи'!E11</f>
        <v>146713</v>
      </c>
      <c r="D5" s="3435">
        <f>'2. Променливи'!F11</f>
        <v>136085.89494781918</v>
      </c>
      <c r="E5" s="3435">
        <f>'2. Променливи'!G11</f>
        <v>134137.63690561158</v>
      </c>
      <c r="F5" s="3435">
        <f>'2. Променливи'!H11</f>
        <v>132189.37886340395</v>
      </c>
      <c r="G5" s="3435">
        <f>'2. Променливи'!I11</f>
        <v>130241.12082119638</v>
      </c>
      <c r="H5" s="3435">
        <f>'2. Променливи'!J11</f>
        <v>128552.67206157526</v>
      </c>
      <c r="J5" s="3441" t="s">
        <v>210</v>
      </c>
      <c r="K5" s="3442" t="s">
        <v>1550</v>
      </c>
      <c r="L5" s="3442">
        <f>'6. Ел.Енергия'!C18/1000</f>
        <v>35147.163910999996</v>
      </c>
      <c r="M5" s="3442">
        <f>'6. Ел.Енергия'!D18/1000</f>
        <v>34971.428</v>
      </c>
      <c r="N5" s="3442">
        <f>'6. Ел.Енергия'!E18/1000</f>
        <v>34796.571000000004</v>
      </c>
      <c r="O5" s="3442">
        <f>'6. Ел.Енергия'!F18/1000</f>
        <v>34622.588000000003</v>
      </c>
      <c r="P5" s="3442">
        <f>'6. Ел.Енергия'!G18/1000</f>
        <v>35597.262000000002</v>
      </c>
      <c r="Q5" s="3442">
        <f>'6. Ел.Енергия'!H18/1000</f>
        <v>35419.275000000001</v>
      </c>
      <c r="R5" s="3442">
        <f>'6. Ел.Енергия'!I18</f>
        <v>7549.595327146315</v>
      </c>
      <c r="S5" s="3442">
        <f>'6. Ел.Енергия'!J18</f>
        <v>8772.5307827919987</v>
      </c>
      <c r="T5" s="3442">
        <f>'6. Ел.Енергия'!K18</f>
        <v>8728.6681613670007</v>
      </c>
      <c r="U5" s="3442">
        <f>'6. Ел.Енергия'!L18</f>
        <v>8685.0247895320008</v>
      </c>
      <c r="V5" s="3442">
        <f>'6. Ел.Енергия'!M18</f>
        <v>8914.3471314660001</v>
      </c>
      <c r="W5" s="3442">
        <f>'6. Ел.Енергия'!N18</f>
        <v>8869.7752298189989</v>
      </c>
      <c r="Y5" s="3436" t="s">
        <v>117</v>
      </c>
      <c r="Z5" s="3437" t="s">
        <v>752</v>
      </c>
      <c r="AA5" s="3438" t="s">
        <v>170</v>
      </c>
      <c r="AB5" s="3439">
        <f>'3. Показатели за качество'!E10</f>
        <v>0.97840000000000005</v>
      </c>
      <c r="AC5" s="3439">
        <f>'3. Показатели за качество'!F10</f>
        <v>0.97889999999999999</v>
      </c>
      <c r="AD5" s="3439">
        <f>'3. Показатели за качество'!G10</f>
        <v>0.97929999999999995</v>
      </c>
      <c r="AE5" s="3439">
        <f>'3. Показатели за качество'!H10</f>
        <v>0.9798</v>
      </c>
      <c r="AF5" s="3439">
        <f>'3. Показатели за качество'!I10</f>
        <v>0.98019999999999996</v>
      </c>
      <c r="AG5" s="3439">
        <f>'3. Показатели за качество'!J10</f>
        <v>0.98070000000000002</v>
      </c>
      <c r="AH5" s="3388">
        <f>'3. Показатели за качество'!M10</f>
        <v>0.98</v>
      </c>
      <c r="AI5" s="3440">
        <v>0.99</v>
      </c>
    </row>
    <row r="6" spans="1:35" ht="15.95" customHeight="1">
      <c r="A6" s="3434" t="s">
        <v>1525</v>
      </c>
      <c r="B6" s="3365" t="s">
        <v>784</v>
      </c>
      <c r="C6" s="3435">
        <f>'2. Променливи'!E12</f>
        <v>110165</v>
      </c>
      <c r="D6" s="3435">
        <f>'2. Променливи'!F12</f>
        <v>102193.45730048804</v>
      </c>
      <c r="E6" s="3435">
        <f>'2. Променливи'!G12</f>
        <v>100738.75483226913</v>
      </c>
      <c r="F6" s="3435">
        <f>'2. Променливи'!H12</f>
        <v>99284.052364050222</v>
      </c>
      <c r="G6" s="3435">
        <f>'2. Променливи'!I12</f>
        <v>97829.349895831328</v>
      </c>
      <c r="H6" s="3435">
        <f>'2. Променливи'!J12</f>
        <v>96569.735045043315</v>
      </c>
      <c r="J6" s="3443" t="s">
        <v>350</v>
      </c>
      <c r="K6" s="3444" t="s">
        <v>1550</v>
      </c>
      <c r="L6" s="3643"/>
      <c r="M6" s="3446">
        <f>'6. Ел.Енергия'!D19/1000</f>
        <v>-175.73591099999845</v>
      </c>
      <c r="N6" s="3446">
        <f>'6. Ел.Енергия'!E19/1000</f>
        <v>-174.857</v>
      </c>
      <c r="O6" s="3446">
        <f>'6. Ел.Енергия'!F19/1000</f>
        <v>-173.983</v>
      </c>
      <c r="P6" s="3446">
        <f>'6. Ел.Енергия'!G19/1000</f>
        <v>974.67399999999998</v>
      </c>
      <c r="Q6" s="3446">
        <f>'6. Ел.Енергия'!H19/1000</f>
        <v>-177.98699999999999</v>
      </c>
      <c r="R6" s="3643"/>
      <c r="S6" s="3446">
        <f>'6. Ел.Енергия'!J19</f>
        <v>1222.9354556456838</v>
      </c>
      <c r="T6" s="3446">
        <f>'6. Ел.Енергия'!K19</f>
        <v>-43.862621424997997</v>
      </c>
      <c r="U6" s="3446">
        <f>'6. Ел.Енергия'!L19</f>
        <v>-43.643371834999925</v>
      </c>
      <c r="V6" s="3446">
        <f>'6. Ел.Енергия'!M19</f>
        <v>229.32234193399927</v>
      </c>
      <c r="W6" s="3446">
        <f>'6. Ел.Енергия'!N19</f>
        <v>-44.571901647001141</v>
      </c>
      <c r="Y6" s="3436" t="s">
        <v>118</v>
      </c>
      <c r="Z6" s="3437" t="s">
        <v>753</v>
      </c>
      <c r="AA6" s="3438" t="s">
        <v>170</v>
      </c>
      <c r="AB6" s="3439">
        <f>'3. Показатели за качество'!E11</f>
        <v>0.95899999999999996</v>
      </c>
      <c r="AC6" s="3439">
        <f>'3. Показатели за качество'!F11</f>
        <v>0.96120000000000005</v>
      </c>
      <c r="AD6" s="3439">
        <f>'3. Показатели за качество'!G11</f>
        <v>0.96340000000000003</v>
      </c>
      <c r="AE6" s="3439">
        <f>'3. Показатели за качество'!H11</f>
        <v>0.9657</v>
      </c>
      <c r="AF6" s="3439">
        <f>'3. Показатели за качество'!I11</f>
        <v>0.96789999999999998</v>
      </c>
      <c r="AG6" s="3439">
        <f>'3. Показатели за качество'!J11</f>
        <v>0.97009999999999996</v>
      </c>
      <c r="AH6" s="3388">
        <f>'3. Показатели за качество'!M11</f>
        <v>0.97</v>
      </c>
      <c r="AI6" s="3440">
        <v>0.98</v>
      </c>
    </row>
    <row r="7" spans="1:35" ht="15.95" customHeight="1">
      <c r="A7" s="3447" t="s">
        <v>1527</v>
      </c>
      <c r="B7" s="3366" t="s">
        <v>784</v>
      </c>
      <c r="C7" s="3448">
        <f>'2. Променливи'!E13</f>
        <v>207114</v>
      </c>
      <c r="D7" s="3448">
        <f>'2. Променливи'!F13</f>
        <v>192289.6</v>
      </c>
      <c r="E7" s="3448">
        <f>'2. Променливи'!G13</f>
        <v>189489.39999999997</v>
      </c>
      <c r="F7" s="3448">
        <f>'2. Променливи'!H13</f>
        <v>186689.19999999995</v>
      </c>
      <c r="G7" s="3448">
        <f>'2. Променливи'!I13</f>
        <v>183889</v>
      </c>
      <c r="H7" s="3448">
        <f>'2. Променливи'!J13</f>
        <v>181456</v>
      </c>
      <c r="J7" s="3449" t="s">
        <v>1557</v>
      </c>
      <c r="K7" s="3450" t="s">
        <v>1552</v>
      </c>
      <c r="L7" s="3451">
        <f>'6. Ел.Енергия'!C20</f>
        <v>1.2671329627526584</v>
      </c>
      <c r="M7" s="3451">
        <f>'6. Ел.Енергия'!D20</f>
        <v>1.293188266259075</v>
      </c>
      <c r="N7" s="3451">
        <f>'6. Ел.Енергия'!E20</f>
        <v>1.3129819694946518</v>
      </c>
      <c r="O7" s="3451">
        <f>'6. Ел.Енергия'!F20</f>
        <v>1.3330786267100829</v>
      </c>
      <c r="P7" s="3451">
        <f>'6. Ел.Енергия'!G20</f>
        <v>1.3952299455054169</v>
      </c>
      <c r="Q7" s="3451">
        <f>'6. Ел.Енергия'!H20</f>
        <v>1.4207106832243988</v>
      </c>
      <c r="R7" s="3445"/>
      <c r="S7" s="3445"/>
      <c r="T7" s="3445"/>
      <c r="U7" s="3445"/>
      <c r="V7" s="3445"/>
      <c r="W7" s="3445"/>
      <c r="Y7" s="3436" t="s">
        <v>119</v>
      </c>
      <c r="Z7" s="3437" t="s">
        <v>754</v>
      </c>
      <c r="AA7" s="3438" t="s">
        <v>170</v>
      </c>
      <c r="AB7" s="3439">
        <f>'3. Показатели за качество'!E12</f>
        <v>1</v>
      </c>
      <c r="AC7" s="3439">
        <f>'3. Показатели за качество'!F12</f>
        <v>1</v>
      </c>
      <c r="AD7" s="3439">
        <f>'3. Показатели за качество'!G12</f>
        <v>1</v>
      </c>
      <c r="AE7" s="3439">
        <f>'3. Показатели за качество'!H12</f>
        <v>1</v>
      </c>
      <c r="AF7" s="3439">
        <f>'3. Показатели за качество'!I12</f>
        <v>1</v>
      </c>
      <c r="AG7" s="3439">
        <f>'3. Показатели за качество'!J12</f>
        <v>1</v>
      </c>
      <c r="AH7" s="3388">
        <f>'3. Показатели за качество'!M12</f>
        <v>1</v>
      </c>
      <c r="AI7" s="3440">
        <v>1</v>
      </c>
    </row>
    <row r="8" spans="1:35" ht="15.95" customHeight="1">
      <c r="A8" s="3434" t="s">
        <v>1520</v>
      </c>
      <c r="B8" s="3364" t="s">
        <v>784</v>
      </c>
      <c r="C8" s="3435">
        <f>'2. Променливи'!E17</f>
        <v>225</v>
      </c>
      <c r="D8" s="3435">
        <f>'2. Променливи'!F17</f>
        <v>225</v>
      </c>
      <c r="E8" s="3435">
        <f>'2. Променливи'!G17</f>
        <v>225</v>
      </c>
      <c r="F8" s="3435">
        <f>'2. Променливи'!H17</f>
        <v>225</v>
      </c>
      <c r="G8" s="3435">
        <f>'2. Променливи'!I17</f>
        <v>225</v>
      </c>
      <c r="H8" s="3435">
        <f>'2. Променливи'!J17</f>
        <v>225</v>
      </c>
      <c r="J8" s="3441" t="s">
        <v>174</v>
      </c>
      <c r="K8" s="3442" t="s">
        <v>1550</v>
      </c>
      <c r="L8" s="3442">
        <f>'6. Ел.Енергия'!C34/1000</f>
        <v>414.7568</v>
      </c>
      <c r="M8" s="3442">
        <f>'6. Ел.Енергия'!D34/1000</f>
        <v>414.7568</v>
      </c>
      <c r="N8" s="3442">
        <f>'6. Ел.Енергия'!E34/1000</f>
        <v>414.7568</v>
      </c>
      <c r="O8" s="3442">
        <f>'6. Ел.Енергия'!F34/1000</f>
        <v>414.7568</v>
      </c>
      <c r="P8" s="3442">
        <f>'6. Ел.Енергия'!G34/1000</f>
        <v>557.69500000000005</v>
      </c>
      <c r="Q8" s="3442">
        <f>'6. Ел.Енергия'!H34/1000</f>
        <v>557.69500000000005</v>
      </c>
      <c r="R8" s="3442">
        <f>'6. Ел.Енергия'!I34</f>
        <v>103.20363983080001</v>
      </c>
      <c r="S8" s="3442">
        <f>'6. Ел.Енергия'!J34</f>
        <v>120.52405073360002</v>
      </c>
      <c r="T8" s="3442">
        <f>'6. Ел.Енергия'!K34</f>
        <v>120.52405073360002</v>
      </c>
      <c r="U8" s="3442">
        <f>'6. Ел.Енергия'!L34</f>
        <v>120.52405073360002</v>
      </c>
      <c r="V8" s="3442">
        <f>'6. Ел.Енергия'!M34</f>
        <v>165.548440228</v>
      </c>
      <c r="W8" s="3442">
        <f>'6. Ел.Енергия'!N34</f>
        <v>165.548440228</v>
      </c>
      <c r="Y8" s="3436" t="s">
        <v>120</v>
      </c>
      <c r="Z8" s="3437" t="s">
        <v>755</v>
      </c>
      <c r="AA8" s="3438" t="s">
        <v>1033</v>
      </c>
      <c r="AB8" s="3453">
        <f>'3. Показатели за качество'!E13</f>
        <v>0.56499999999999995</v>
      </c>
      <c r="AC8" s="3453">
        <f>'3. Показатели за качество'!F13</f>
        <v>0.56000000000000005</v>
      </c>
      <c r="AD8" s="3453">
        <f>'3. Показатели за качество'!G13</f>
        <v>0.52300000000000002</v>
      </c>
      <c r="AE8" s="3453">
        <f>'3. Показатели за качество'!H13</f>
        <v>0.48799999999999999</v>
      </c>
      <c r="AF8" s="3453">
        <f>'3. Показатели за качество'!I13</f>
        <v>0.45500000000000002</v>
      </c>
      <c r="AG8" s="3453">
        <f>'3. Показатели за качество'!J13</f>
        <v>0.42399999999999999</v>
      </c>
      <c r="AH8" s="3454">
        <f>'3. Показатели за качество'!M13</f>
        <v>1</v>
      </c>
      <c r="AI8" s="3387">
        <v>8</v>
      </c>
    </row>
    <row r="9" spans="1:35" ht="15.95" customHeight="1">
      <c r="A9" s="3434" t="s">
        <v>1521</v>
      </c>
      <c r="B9" s="3364" t="s">
        <v>784</v>
      </c>
      <c r="C9" s="3435">
        <f>'2. Променливи'!E18</f>
        <v>9</v>
      </c>
      <c r="D9" s="3435">
        <f>'2. Променливи'!F18</f>
        <v>9</v>
      </c>
      <c r="E9" s="3435">
        <f>'2. Променливи'!G18</f>
        <v>9</v>
      </c>
      <c r="F9" s="3435">
        <f>'2. Променливи'!H18</f>
        <v>9</v>
      </c>
      <c r="G9" s="3435">
        <f>'2. Променливи'!I18</f>
        <v>9</v>
      </c>
      <c r="H9" s="3435">
        <f>'2. Променливи'!J18</f>
        <v>9</v>
      </c>
      <c r="J9" s="3443" t="s">
        <v>350</v>
      </c>
      <c r="K9" s="3444" t="s">
        <v>1550</v>
      </c>
      <c r="L9" s="3643"/>
      <c r="M9" s="3446">
        <f>'6. Ел.Енергия'!D35/1000</f>
        <v>0</v>
      </c>
      <c r="N9" s="3446">
        <f>'6. Ел.Енергия'!E35/1000</f>
        <v>0</v>
      </c>
      <c r="O9" s="3446">
        <f>'6. Ел.Енергия'!F35/1000</f>
        <v>0</v>
      </c>
      <c r="P9" s="3446">
        <f>'6. Ел.Енергия'!G35/1000</f>
        <v>142.93820000000002</v>
      </c>
      <c r="Q9" s="3446">
        <f>'6. Ел.Енергия'!H35/1000</f>
        <v>0</v>
      </c>
      <c r="R9" s="3643"/>
      <c r="S9" s="3446">
        <f>'6. Ел.Енергия'!J35</f>
        <v>17.320410902800006</v>
      </c>
      <c r="T9" s="3446">
        <f>'6. Ел.Енергия'!K35</f>
        <v>0</v>
      </c>
      <c r="U9" s="3446">
        <f>'6. Ел.Енергия'!L35</f>
        <v>0</v>
      </c>
      <c r="V9" s="3446">
        <f>'6. Ел.Енергия'!M35</f>
        <v>45.024389494399983</v>
      </c>
      <c r="W9" s="3446">
        <f>'6. Ел.Енергия'!N35</f>
        <v>0</v>
      </c>
      <c r="Y9" s="3436" t="s">
        <v>744</v>
      </c>
      <c r="Z9" s="3437" t="s">
        <v>756</v>
      </c>
      <c r="AA9" s="3438" t="s">
        <v>1589</v>
      </c>
      <c r="AB9" s="3455">
        <f>'3. Показатели за качество'!E14</f>
        <v>17.16</v>
      </c>
      <c r="AC9" s="3455">
        <f>'3. Показатели за качество'!F14</f>
        <v>16.59</v>
      </c>
      <c r="AD9" s="3455">
        <f>'3. Показатели за качество'!G14</f>
        <v>16.09</v>
      </c>
      <c r="AE9" s="3455">
        <f>'3. Показатели за качество'!H14</f>
        <v>15.71</v>
      </c>
      <c r="AF9" s="3455">
        <f>'3. Показатели за качество'!I14</f>
        <v>15.19</v>
      </c>
      <c r="AG9" s="3455">
        <f>'3. Показатели за качество'!J14</f>
        <v>14.3</v>
      </c>
      <c r="AH9" s="3456">
        <f>'3. Показатели за качество'!M14</f>
        <v>14.25</v>
      </c>
      <c r="AI9" s="3387">
        <v>15</v>
      </c>
    </row>
    <row r="10" spans="1:35" ht="15.95" customHeight="1">
      <c r="A10" s="3434" t="s">
        <v>1522</v>
      </c>
      <c r="B10" s="3364" t="s">
        <v>784</v>
      </c>
      <c r="C10" s="3435">
        <f>'2. Променливи'!E19</f>
        <v>4</v>
      </c>
      <c r="D10" s="3435">
        <f>'2. Променливи'!F19</f>
        <v>4</v>
      </c>
      <c r="E10" s="3435">
        <f>'2. Променливи'!G19</f>
        <v>4</v>
      </c>
      <c r="F10" s="3435">
        <f>'2. Променливи'!H19</f>
        <v>4</v>
      </c>
      <c r="G10" s="3435">
        <f>'2. Променливи'!I19</f>
        <v>5</v>
      </c>
      <c r="H10" s="3435">
        <f>'2. Променливи'!J19</f>
        <v>5</v>
      </c>
      <c r="J10" s="3441" t="s">
        <v>184</v>
      </c>
      <c r="K10" s="3442" t="s">
        <v>1550</v>
      </c>
      <c r="L10" s="3442">
        <f>'6. Ел.Енергия'!C49/1000</f>
        <v>2753.1723999999999</v>
      </c>
      <c r="M10" s="3442">
        <f>'6. Ел.Енергия'!D49/1000</f>
        <v>2753.1723999999999</v>
      </c>
      <c r="N10" s="3442">
        <f>'6. Ел.Енергия'!E49/1000</f>
        <v>2753.1723999999999</v>
      </c>
      <c r="O10" s="3442">
        <f>'6. Ел.Енергия'!F49/1000</f>
        <v>2753.1723999999999</v>
      </c>
      <c r="P10" s="3442">
        <f>'6. Ел.Енергия'!G49/1000</f>
        <v>3198.46</v>
      </c>
      <c r="Q10" s="3442">
        <f>'6. Ел.Енергия'!H49/1000</f>
        <v>3198.46</v>
      </c>
      <c r="R10" s="3442">
        <f>'6. Ел.Енергия'!I49</f>
        <v>588.53740443079994</v>
      </c>
      <c r="S10" s="3442">
        <f>'6. Ел.Енергия'!J49</f>
        <v>687.30746428079999</v>
      </c>
      <c r="T10" s="3442">
        <f>'6. Ел.Енергия'!K49</f>
        <v>687.30746428079999</v>
      </c>
      <c r="U10" s="3442">
        <f>'6. Ел.Енергия'!L49</f>
        <v>687.30746428079999</v>
      </c>
      <c r="V10" s="3442">
        <f>'6. Ел.Енергия'!M49</f>
        <v>798.46995132000006</v>
      </c>
      <c r="W10" s="3442">
        <f>'6. Ел.Енергия'!N49</f>
        <v>798.46995132000006</v>
      </c>
      <c r="Y10" s="3436" t="s">
        <v>745</v>
      </c>
      <c r="Z10" s="3437" t="s">
        <v>756</v>
      </c>
      <c r="AA10" s="3438" t="s">
        <v>170</v>
      </c>
      <c r="AB10" s="3439">
        <f>'3. Показатели за качество'!E15</f>
        <v>0.72409999999999997</v>
      </c>
      <c r="AC10" s="3439">
        <f>'3. Показатели за качество'!F15</f>
        <v>0.71799999999999997</v>
      </c>
      <c r="AD10" s="3439">
        <f>'3. Показатели за качество'!G15</f>
        <v>0.71050000000000002</v>
      </c>
      <c r="AE10" s="3439">
        <f>'3. Показатели за качество'!H15</f>
        <v>0.70789999999999997</v>
      </c>
      <c r="AF10" s="3439">
        <f>'3. Показатели за качество'!I15</f>
        <v>0.69669999999999999</v>
      </c>
      <c r="AG10" s="3439">
        <f>'3. Показатели за качество'!J15</f>
        <v>0.67110000000000003</v>
      </c>
      <c r="AH10" s="3388">
        <f>'3. Показатели за качество'!M15</f>
        <v>0.67169999999999996</v>
      </c>
      <c r="AI10" s="3440">
        <v>0.49</v>
      </c>
    </row>
    <row r="11" spans="1:35" ht="15.95" customHeight="1">
      <c r="A11" s="3447" t="s">
        <v>1526</v>
      </c>
      <c r="B11" s="3367" t="s">
        <v>784</v>
      </c>
      <c r="C11" s="3448">
        <f>'2. Променливи'!E20</f>
        <v>261</v>
      </c>
      <c r="D11" s="3448">
        <f>'2. Променливи'!F20</f>
        <v>261</v>
      </c>
      <c r="E11" s="3448">
        <f>'2. Променливи'!G20</f>
        <v>261</v>
      </c>
      <c r="F11" s="3448">
        <f>'2. Променливи'!H20</f>
        <v>261</v>
      </c>
      <c r="G11" s="3448">
        <f>'2. Променливи'!I20</f>
        <v>261</v>
      </c>
      <c r="H11" s="3448">
        <f>'2. Променливи'!J20</f>
        <v>261</v>
      </c>
      <c r="J11" s="3443" t="s">
        <v>350</v>
      </c>
      <c r="K11" s="3444" t="s">
        <v>1550</v>
      </c>
      <c r="L11" s="3643"/>
      <c r="M11" s="3446">
        <f>'6. Ел.Енергия'!D50/1000</f>
        <v>0</v>
      </c>
      <c r="N11" s="3446">
        <f>'6. Ел.Енергия'!E50/1000</f>
        <v>0</v>
      </c>
      <c r="O11" s="3446">
        <f>'6. Ел.Енергия'!F50/1000</f>
        <v>0</v>
      </c>
      <c r="P11" s="3446">
        <f>'6. Ел.Енергия'!G50/1000</f>
        <v>445.28760000000011</v>
      </c>
      <c r="Q11" s="3446">
        <f>'6. Ел.Енергия'!H50/1000</f>
        <v>0</v>
      </c>
      <c r="R11" s="3643"/>
      <c r="S11" s="3446">
        <f>'6. Ел.Енергия'!J50</f>
        <v>98.770059850000052</v>
      </c>
      <c r="T11" s="3446">
        <f>'6. Ел.Енергия'!K50</f>
        <v>0</v>
      </c>
      <c r="U11" s="3446">
        <f>'6. Ел.Енергия'!L50</f>
        <v>0</v>
      </c>
      <c r="V11" s="3446">
        <f>'6. Ел.Енергия'!M50</f>
        <v>111.16248703920007</v>
      </c>
      <c r="W11" s="3446">
        <f>'6. Ел.Енергия'!N50</f>
        <v>0</v>
      </c>
      <c r="Y11" s="3436" t="s">
        <v>121</v>
      </c>
      <c r="Z11" s="3437" t="s">
        <v>757</v>
      </c>
      <c r="AA11" s="3438" t="s">
        <v>749</v>
      </c>
      <c r="AB11" s="3455">
        <f>'3. Показатели за качество'!E16</f>
        <v>135.5</v>
      </c>
      <c r="AC11" s="3455">
        <f>'3. Показатели за качество'!F16</f>
        <v>130.75</v>
      </c>
      <c r="AD11" s="3455">
        <f>'3. Показатели за качество'!G16</f>
        <v>126.18</v>
      </c>
      <c r="AE11" s="3455">
        <f>'3. Показатели за качество'!H16</f>
        <v>121.76</v>
      </c>
      <c r="AF11" s="3455">
        <f>'3. Показатели за качество'!I16</f>
        <v>117.5</v>
      </c>
      <c r="AG11" s="3455">
        <f>'3. Показатели за качество'!J16</f>
        <v>113.39</v>
      </c>
      <c r="AH11" s="3456">
        <f>'3. Показатели за качество'!M16</f>
        <v>115</v>
      </c>
      <c r="AI11" s="3387">
        <v>60</v>
      </c>
    </row>
    <row r="12" spans="1:35" ht="15.95" customHeight="1">
      <c r="J12" s="3449" t="s">
        <v>1556</v>
      </c>
      <c r="K12" s="3450" t="s">
        <v>1552</v>
      </c>
      <c r="L12" s="3457">
        <f>'6. Ел.Енергия'!C51</f>
        <v>0.19565790309648862</v>
      </c>
      <c r="M12" s="3457">
        <f>'6. Ел.Енергия'!D51</f>
        <v>0.19565790309648862</v>
      </c>
      <c r="N12" s="3457">
        <f>'6. Ел.Енергия'!E51</f>
        <v>0.19565790309648862</v>
      </c>
      <c r="O12" s="3457">
        <f>'6. Ел.Енергия'!F51</f>
        <v>0.19565790309648862</v>
      </c>
      <c r="P12" s="3457">
        <f>'6. Ел.Енергия'!G51</f>
        <v>0.1820269099292155</v>
      </c>
      <c r="Q12" s="3457">
        <f>'6. Ел.Енергия'!H51</f>
        <v>0.1820269099292155</v>
      </c>
      <c r="R12" s="3445"/>
      <c r="S12" s="3445"/>
      <c r="T12" s="3445"/>
      <c r="U12" s="3445"/>
      <c r="V12" s="3445"/>
      <c r="W12" s="3445"/>
      <c r="Y12" s="3436" t="s">
        <v>1248</v>
      </c>
      <c r="Z12" s="3437" t="s">
        <v>758</v>
      </c>
      <c r="AA12" s="3438" t="s">
        <v>170</v>
      </c>
      <c r="AB12" s="3439">
        <f>'3. Показатели за качество'!E17</f>
        <v>5.33E-2</v>
      </c>
      <c r="AC12" s="3439">
        <f>'3. Показатели за качество'!F17</f>
        <v>6.6699999999999995E-2</v>
      </c>
      <c r="AD12" s="3439">
        <f>'3. Показатели за качество'!G17</f>
        <v>0.1333</v>
      </c>
      <c r="AE12" s="3439">
        <f>'3. Показатели за качество'!H17</f>
        <v>0.2</v>
      </c>
      <c r="AF12" s="3439">
        <f>'3. Показатели за качество'!I17</f>
        <v>0.26669999999999999</v>
      </c>
      <c r="AG12" s="3439">
        <f>'3. Показатели за качество'!J17</f>
        <v>0.33329999999999999</v>
      </c>
      <c r="AH12" s="3388">
        <f>'3. Показатели за качество'!M17</f>
        <v>0.66410000000000002</v>
      </c>
      <c r="AI12" s="3440">
        <v>1</v>
      </c>
    </row>
    <row r="13" spans="1:35" ht="15.95" customHeight="1">
      <c r="A13" s="5425" t="s">
        <v>2</v>
      </c>
      <c r="B13" s="5425" t="s">
        <v>746</v>
      </c>
      <c r="C13" s="5413" t="s">
        <v>922</v>
      </c>
      <c r="D13" s="5413"/>
      <c r="E13" s="5413"/>
      <c r="F13" s="5413"/>
      <c r="G13" s="5413"/>
      <c r="H13" s="5413"/>
      <c r="J13" s="3458" t="s">
        <v>1236</v>
      </c>
      <c r="K13" s="3442" t="s">
        <v>1550</v>
      </c>
      <c r="L13" s="3442">
        <f>'6. Ел.Енергия'!C65/1000</f>
        <v>0</v>
      </c>
      <c r="M13" s="3442">
        <f>'6. Ел.Енергия'!D65/1000</f>
        <v>0</v>
      </c>
      <c r="N13" s="3442">
        <f>'6. Ел.Енергия'!E65/1000</f>
        <v>0</v>
      </c>
      <c r="O13" s="3442">
        <f>'6. Ел.Енергия'!F65/1000</f>
        <v>0</v>
      </c>
      <c r="P13" s="3442">
        <f>'6. Ел.Енергия'!G65/1000</f>
        <v>0</v>
      </c>
      <c r="Q13" s="3442">
        <f>'6. Ел.Енергия'!H65/1000</f>
        <v>0</v>
      </c>
      <c r="R13" s="3442">
        <f>'6. Ел.Енергия'!I65</f>
        <v>0</v>
      </c>
      <c r="S13" s="3442">
        <f>'6. Ел.Енергия'!J65</f>
        <v>0</v>
      </c>
      <c r="T13" s="3442">
        <f>'6. Ел.Енергия'!K65</f>
        <v>0</v>
      </c>
      <c r="U13" s="3442">
        <f>'6. Ел.Енергия'!L65</f>
        <v>0</v>
      </c>
      <c r="V13" s="3442">
        <f>'6. Ел.Енергия'!M65</f>
        <v>0</v>
      </c>
      <c r="W13" s="3442">
        <f>'6. Ел.Енергия'!N65</f>
        <v>0</v>
      </c>
      <c r="Y13" s="3436" t="s">
        <v>122</v>
      </c>
      <c r="Z13" s="3437" t="s">
        <v>759</v>
      </c>
      <c r="AA13" s="3438" t="s">
        <v>170</v>
      </c>
      <c r="AB13" s="3439">
        <f>'3. Показатели за качество'!E18</f>
        <v>0.70840000000000003</v>
      </c>
      <c r="AC13" s="3439">
        <f>'3. Показатели за качество'!F18</f>
        <v>0.7077</v>
      </c>
      <c r="AD13" s="3439">
        <f>'3. Показатели за качество'!G18</f>
        <v>0.70789999999999997</v>
      </c>
      <c r="AE13" s="3439">
        <f>'3. Показатели за качество'!H18</f>
        <v>0.70809999999999995</v>
      </c>
      <c r="AF13" s="3439">
        <f>'3. Показатели за качество'!I18</f>
        <v>0.70830000000000004</v>
      </c>
      <c r="AG13" s="3439">
        <f>'3. Показатели за качество'!J18</f>
        <v>0.70850000000000002</v>
      </c>
      <c r="AH13" s="3388">
        <f>'3. Показатели за качество'!M18</f>
        <v>0.79520000000000002</v>
      </c>
      <c r="AI13" s="3440">
        <v>0.75</v>
      </c>
    </row>
    <row r="14" spans="1:35" ht="15.95" customHeight="1">
      <c r="A14" s="5425"/>
      <c r="B14" s="5425"/>
      <c r="C14" s="4303" t="str">
        <f>+'15. ОПП'!$B$7</f>
        <v>2024 г.</v>
      </c>
      <c r="D14" s="4303" t="str">
        <f>+'15. ОПП'!$C$7</f>
        <v>2027 г.</v>
      </c>
      <c r="E14" s="4303" t="str">
        <f>+'15. ОПП'!$D$7</f>
        <v>2028 г.</v>
      </c>
      <c r="F14" s="4303" t="str">
        <f>+'15. ОПП'!$E$7</f>
        <v>2029 г.</v>
      </c>
      <c r="G14" s="4303" t="str">
        <f>+'15. ОПП'!$F$7</f>
        <v>2030 г.</v>
      </c>
      <c r="H14" s="4303" t="str">
        <f>+'15. ОПП'!$G$7</f>
        <v>2031 г.</v>
      </c>
      <c r="J14" s="3443" t="s">
        <v>350</v>
      </c>
      <c r="K14" s="3444" t="s">
        <v>1550</v>
      </c>
      <c r="L14" s="3643"/>
      <c r="M14" s="3446">
        <f>'6. Ел.Енергия'!D66/1000</f>
        <v>0</v>
      </c>
      <c r="N14" s="3446">
        <f>'6. Ел.Енергия'!E66/1000</f>
        <v>0</v>
      </c>
      <c r="O14" s="3446">
        <f>'6. Ел.Енергия'!F66/1000</f>
        <v>0</v>
      </c>
      <c r="P14" s="3446">
        <f>'6. Ел.Енергия'!G66/1000</f>
        <v>0</v>
      </c>
      <c r="Q14" s="3446">
        <f>'6. Ел.Енергия'!H66/1000</f>
        <v>0</v>
      </c>
      <c r="R14" s="3643"/>
      <c r="S14" s="3446">
        <f>'6. Ел.Енергия'!J66</f>
        <v>0</v>
      </c>
      <c r="T14" s="3446">
        <f>'6. Ел.Енергия'!K66</f>
        <v>0</v>
      </c>
      <c r="U14" s="3446">
        <f>'6. Ел.Енергия'!L66</f>
        <v>0</v>
      </c>
      <c r="V14" s="3446">
        <f>'6. Ел.Енергия'!M66</f>
        <v>0</v>
      </c>
      <c r="W14" s="3446">
        <f>'6. Ел.Енергия'!N66</f>
        <v>0</v>
      </c>
      <c r="Y14" s="3436" t="s">
        <v>123</v>
      </c>
      <c r="Z14" s="3437" t="s">
        <v>760</v>
      </c>
      <c r="AA14" s="3438" t="s">
        <v>170</v>
      </c>
      <c r="AB14" s="3439">
        <f>'3. Показатели за качество'!E19</f>
        <v>0.53190000000000004</v>
      </c>
      <c r="AC14" s="3439">
        <f>'3. Показатели за качество'!F19</f>
        <v>0.53149999999999997</v>
      </c>
      <c r="AD14" s="3439">
        <f>'3. Показатели за качество'!G19</f>
        <v>0.53159999999999996</v>
      </c>
      <c r="AE14" s="3439">
        <f>'3. Показатели за качество'!H19</f>
        <v>0.53180000000000005</v>
      </c>
      <c r="AF14" s="3439">
        <f>'3. Показатели за качество'!I19</f>
        <v>0.53200000000000003</v>
      </c>
      <c r="AG14" s="3439">
        <f>'3. Показатели за качество'!J19</f>
        <v>0.53220000000000001</v>
      </c>
      <c r="AH14" s="3388">
        <f>'3. Показатели за качество'!M19</f>
        <v>0.79520000000000002</v>
      </c>
      <c r="AI14" s="3440">
        <v>0.75</v>
      </c>
    </row>
    <row r="15" spans="1:35" ht="15.95" customHeight="1">
      <c r="A15" s="3459" t="s">
        <v>1006</v>
      </c>
      <c r="B15" s="3368" t="s">
        <v>784</v>
      </c>
      <c r="C15" s="3435">
        <f>'2. Променливи'!E21</f>
        <v>462</v>
      </c>
      <c r="D15" s="3435">
        <f>'2. Променливи'!F21</f>
        <v>462</v>
      </c>
      <c r="E15" s="3435">
        <f>'2. Променливи'!G21</f>
        <v>462</v>
      </c>
      <c r="F15" s="3435">
        <f>'2. Променливи'!H21</f>
        <v>462</v>
      </c>
      <c r="G15" s="3435">
        <f>'2. Променливи'!I21</f>
        <v>462</v>
      </c>
      <c r="H15" s="3435">
        <f>'2. Променливи'!J21</f>
        <v>462</v>
      </c>
      <c r="J15" s="3458" t="s">
        <v>1237</v>
      </c>
      <c r="K15" s="3442" t="s">
        <v>1550</v>
      </c>
      <c r="L15" s="3442">
        <f>'6. Ел.Енергия'!C81/1000</f>
        <v>0</v>
      </c>
      <c r="M15" s="3442">
        <f>'6. Ел.Енергия'!D81/1000</f>
        <v>0</v>
      </c>
      <c r="N15" s="3442">
        <f>'6. Ел.Енергия'!E81/1000</f>
        <v>0</v>
      </c>
      <c r="O15" s="3442">
        <f>'6. Ел.Енергия'!F81/1000</f>
        <v>0</v>
      </c>
      <c r="P15" s="3442">
        <f>'6. Ел.Енергия'!G81/1000</f>
        <v>0</v>
      </c>
      <c r="Q15" s="3442">
        <f>'6. Ел.Енергия'!H81/1000</f>
        <v>0</v>
      </c>
      <c r="R15" s="3442">
        <f>'6. Ел.Енергия'!I81</f>
        <v>0</v>
      </c>
      <c r="S15" s="3442">
        <f>'6. Ел.Енергия'!J81</f>
        <v>0</v>
      </c>
      <c r="T15" s="3442">
        <f>'6. Ел.Енергия'!K81</f>
        <v>0</v>
      </c>
      <c r="U15" s="3442">
        <f>'6. Ел.Енергия'!L81</f>
        <v>0</v>
      </c>
      <c r="V15" s="3442">
        <f>'6. Ел.Енергия'!M81</f>
        <v>0</v>
      </c>
      <c r="W15" s="3442">
        <f>'6. Ел.Енергия'!N81</f>
        <v>0</v>
      </c>
      <c r="Y15" s="3436" t="s">
        <v>124</v>
      </c>
      <c r="Z15" s="3437" t="s">
        <v>761</v>
      </c>
      <c r="AA15" s="3438" t="s">
        <v>170</v>
      </c>
      <c r="AB15" s="3439">
        <f>'3. Показатели за качество'!E20</f>
        <v>1</v>
      </c>
      <c r="AC15" s="3439">
        <f>'3. Показатели за качество'!F20</f>
        <v>1</v>
      </c>
      <c r="AD15" s="3439">
        <f>'3. Показатели за качество'!G20</f>
        <v>1</v>
      </c>
      <c r="AE15" s="3439">
        <f>'3. Показатели за качество'!H20</f>
        <v>1</v>
      </c>
      <c r="AF15" s="3439">
        <f>'3. Показатели за качество'!I20</f>
        <v>1</v>
      </c>
      <c r="AG15" s="3439">
        <f>'3. Показатели за качество'!J20</f>
        <v>1</v>
      </c>
      <c r="AH15" s="3388">
        <f>'3. Показатели за качество'!M20</f>
        <v>0.95</v>
      </c>
      <c r="AI15" s="3440">
        <v>0.93</v>
      </c>
    </row>
    <row r="16" spans="1:35" ht="15.95" customHeight="1">
      <c r="A16" s="3459" t="s">
        <v>861</v>
      </c>
      <c r="B16" s="3368" t="s">
        <v>784</v>
      </c>
      <c r="C16" s="3435">
        <f>'2. Променливи'!E22</f>
        <v>2</v>
      </c>
      <c r="D16" s="3435">
        <f>'2. Променливи'!F22</f>
        <v>2</v>
      </c>
      <c r="E16" s="3435">
        <f>'2. Променливи'!G22</f>
        <v>2</v>
      </c>
      <c r="F16" s="3435">
        <f>'2. Променливи'!H22</f>
        <v>2</v>
      </c>
      <c r="G16" s="3435">
        <f>'2. Променливи'!I22</f>
        <v>3</v>
      </c>
      <c r="H16" s="3435">
        <f>'2. Променливи'!J22</f>
        <v>3</v>
      </c>
      <c r="J16" s="3443" t="s">
        <v>350</v>
      </c>
      <c r="K16" s="3444" t="s">
        <v>1550</v>
      </c>
      <c r="L16" s="3643"/>
      <c r="M16" s="3446">
        <f>'6. Ел.Енергия'!D82/1000</f>
        <v>0</v>
      </c>
      <c r="N16" s="3446">
        <f>'6. Ел.Енергия'!E82/1000</f>
        <v>0</v>
      </c>
      <c r="O16" s="3446">
        <f>'6. Ел.Енергия'!F82/1000</f>
        <v>0</v>
      </c>
      <c r="P16" s="3446">
        <f>'6. Ел.Енергия'!G82/1000</f>
        <v>0</v>
      </c>
      <c r="Q16" s="3446">
        <f>'6. Ел.Енергия'!H82/1000</f>
        <v>0</v>
      </c>
      <c r="R16" s="3643"/>
      <c r="S16" s="3446">
        <f>'6. Ел.Енергия'!J82</f>
        <v>0</v>
      </c>
      <c r="T16" s="3446">
        <f>'6. Ел.Енергия'!K82</f>
        <v>0</v>
      </c>
      <c r="U16" s="3446">
        <f>'6. Ел.Енергия'!L82</f>
        <v>0</v>
      </c>
      <c r="V16" s="3446">
        <f>'6. Ел.Енергия'!M82</f>
        <v>0</v>
      </c>
      <c r="W16" s="3446">
        <f>'6. Ел.Енергия'!N82</f>
        <v>0</v>
      </c>
      <c r="Y16" s="3436" t="s">
        <v>125</v>
      </c>
      <c r="Z16" s="3437" t="s">
        <v>762</v>
      </c>
      <c r="AA16" s="3438" t="s">
        <v>749</v>
      </c>
      <c r="AB16" s="3455">
        <f>'3. Показатели за качество'!E21</f>
        <v>85.84</v>
      </c>
      <c r="AC16" s="3455">
        <f>'3. Показатели за качество'!F21</f>
        <v>92.75</v>
      </c>
      <c r="AD16" s="3455">
        <f>'3. Показатели за качество'!G21</f>
        <v>96.44</v>
      </c>
      <c r="AE16" s="3455">
        <f>'3. Показатели за качество'!H21</f>
        <v>98.56</v>
      </c>
      <c r="AF16" s="3455">
        <f>'3. Показатели за качество'!I21</f>
        <v>94.75</v>
      </c>
      <c r="AG16" s="3455">
        <f>'3. Показатели за качество'!J21</f>
        <v>90.31</v>
      </c>
      <c r="AH16" s="3456">
        <f>'3. Показатели за качество'!M21</f>
        <v>84.99</v>
      </c>
      <c r="AI16" s="3387">
        <v>120</v>
      </c>
    </row>
    <row r="17" spans="1:35" ht="15.95" customHeight="1">
      <c r="A17" s="3459" t="s">
        <v>862</v>
      </c>
      <c r="B17" s="3369" t="s">
        <v>784</v>
      </c>
      <c r="C17" s="3435">
        <f>'2. Променливи'!E23</f>
        <v>301</v>
      </c>
      <c r="D17" s="3435">
        <f>'2. Променливи'!F23</f>
        <v>301</v>
      </c>
      <c r="E17" s="3435">
        <f>'2. Променливи'!G23</f>
        <v>301</v>
      </c>
      <c r="F17" s="3435">
        <f>'2. Променливи'!H23</f>
        <v>301</v>
      </c>
      <c r="G17" s="3435">
        <f>'2. Променливи'!I23</f>
        <v>301</v>
      </c>
      <c r="H17" s="3435">
        <f>'2. Променливи'!J23</f>
        <v>301</v>
      </c>
      <c r="J17" s="3460" t="s">
        <v>1728</v>
      </c>
      <c r="K17" s="3444" t="s">
        <v>1550</v>
      </c>
      <c r="L17" s="3444">
        <f>'6. Ел.Енергия'!C94/1000</f>
        <v>150.71098999999998</v>
      </c>
      <c r="M17" s="3444">
        <f>'6. Ел.Енергия'!D94/1000</f>
        <v>150.71098999999998</v>
      </c>
      <c r="N17" s="3444">
        <f>'6. Ел.Енергия'!E94/1000</f>
        <v>150.71098999999998</v>
      </c>
      <c r="O17" s="3444">
        <f>'6. Ел.Енергия'!F94/1000</f>
        <v>150.71098999999998</v>
      </c>
      <c r="P17" s="3444">
        <f>'6. Ел.Енергия'!G94/1000</f>
        <v>150.71098999999998</v>
      </c>
      <c r="Q17" s="3444">
        <f>'6. Ел.Енергия'!H94/1000</f>
        <v>150.71098999999998</v>
      </c>
      <c r="R17" s="3444">
        <f>'6. Ел.Енергия'!I94</f>
        <v>43.460980319269993</v>
      </c>
      <c r="S17" s="3444">
        <f>'6. Ел.Енергия'!J94</f>
        <v>43.460980319269993</v>
      </c>
      <c r="T17" s="3444">
        <f>'6. Ел.Енергия'!K94</f>
        <v>43.460980319269993</v>
      </c>
      <c r="U17" s="3444">
        <f>'6. Ел.Енергия'!L94</f>
        <v>43.460980319269993</v>
      </c>
      <c r="V17" s="3444">
        <f>'6. Ел.Енергия'!M94</f>
        <v>43.460980319269993</v>
      </c>
      <c r="W17" s="3444">
        <f>'6. Ел.Енергия'!N94</f>
        <v>43.460980319269993</v>
      </c>
      <c r="Y17" s="3436" t="s">
        <v>126</v>
      </c>
      <c r="Z17" s="3437" t="s">
        <v>763</v>
      </c>
      <c r="AA17" s="3438" t="s">
        <v>750</v>
      </c>
      <c r="AB17" s="3453">
        <f>'3. Показатели за качество'!E22</f>
        <v>0.318</v>
      </c>
      <c r="AC17" s="3453">
        <f>'3. Показатели за качество'!F22</f>
        <v>0.25700000000000001</v>
      </c>
      <c r="AD17" s="3453">
        <f>'3. Показатели за качество'!G22</f>
        <v>0.25600000000000001</v>
      </c>
      <c r="AE17" s="3453">
        <f>'3. Показатели за качество'!H22</f>
        <v>0.192</v>
      </c>
      <c r="AF17" s="3453">
        <f>'3. Показатели за качество'!I22</f>
        <v>0.128</v>
      </c>
      <c r="AG17" s="3453">
        <f>'3. Показатели за качество'!J22</f>
        <v>6.4000000000000001E-2</v>
      </c>
      <c r="AH17" s="3454">
        <f>'3. Показатели за качество'!M22</f>
        <v>0.25</v>
      </c>
      <c r="AI17" s="3387">
        <v>0.5</v>
      </c>
    </row>
    <row r="18" spans="1:35" ht="15.95" customHeight="1">
      <c r="A18" s="3459" t="s">
        <v>863</v>
      </c>
      <c r="B18" s="3368" t="s">
        <v>784</v>
      </c>
      <c r="C18" s="3435">
        <f>'2. Променливи'!E24</f>
        <v>166</v>
      </c>
      <c r="D18" s="3435">
        <f>'2. Променливи'!F24</f>
        <v>166</v>
      </c>
      <c r="E18" s="3435">
        <f>'2. Променливи'!G24</f>
        <v>166</v>
      </c>
      <c r="F18" s="3435">
        <f>'2. Променливи'!H24</f>
        <v>166</v>
      </c>
      <c r="G18" s="3435">
        <f>'2. Променливи'!I24</f>
        <v>166</v>
      </c>
      <c r="H18" s="3435">
        <f>'2. Променливи'!J24</f>
        <v>166</v>
      </c>
      <c r="J18" s="3452" t="s">
        <v>1554</v>
      </c>
      <c r="K18" s="3442" t="s">
        <v>1550</v>
      </c>
      <c r="L18" s="3442">
        <f>SUM(L5,L8,L10,L13,L15,L17)</f>
        <v>38465.804101000002</v>
      </c>
      <c r="M18" s="3442">
        <f t="shared" ref="M18:W18" si="0">SUM(M5,M8,M10,M13,M15,M17)</f>
        <v>38290.068190000005</v>
      </c>
      <c r="N18" s="3442">
        <f t="shared" si="0"/>
        <v>38115.211190000009</v>
      </c>
      <c r="O18" s="3442">
        <f t="shared" si="0"/>
        <v>37941.228190000009</v>
      </c>
      <c r="P18" s="3442">
        <f t="shared" si="0"/>
        <v>39504.127990000001</v>
      </c>
      <c r="Q18" s="3442">
        <f t="shared" si="0"/>
        <v>39326.14099</v>
      </c>
      <c r="R18" s="3442">
        <f t="shared" si="0"/>
        <v>8284.7973517271857</v>
      </c>
      <c r="S18" s="3442">
        <f t="shared" si="0"/>
        <v>9623.8232781256702</v>
      </c>
      <c r="T18" s="3442">
        <f t="shared" si="0"/>
        <v>9579.9606567006722</v>
      </c>
      <c r="U18" s="3442">
        <f t="shared" si="0"/>
        <v>9536.3172848656723</v>
      </c>
      <c r="V18" s="3442">
        <f t="shared" si="0"/>
        <v>9921.82650333327</v>
      </c>
      <c r="W18" s="3442">
        <f t="shared" si="0"/>
        <v>9877.2546016862689</v>
      </c>
      <c r="Y18" s="3436" t="s">
        <v>127</v>
      </c>
      <c r="Z18" s="3437" t="s">
        <v>1590</v>
      </c>
      <c r="AA18" s="3438" t="s">
        <v>1591</v>
      </c>
      <c r="AB18" s="3453">
        <f>'3. Показатели за качество'!E23</f>
        <v>1.2669999999999999</v>
      </c>
      <c r="AC18" s="3453">
        <f>'3. Показатели за качество'!F23</f>
        <v>1.2929999999999999</v>
      </c>
      <c r="AD18" s="3453">
        <f>'3. Показатели за качество'!G23</f>
        <v>1.3129999999999999</v>
      </c>
      <c r="AE18" s="3453">
        <f>'3. Показатели за качество'!H23</f>
        <v>1.333</v>
      </c>
      <c r="AF18" s="3453">
        <f>'3. Показатели за качество'!I23</f>
        <v>1.395</v>
      </c>
      <c r="AG18" s="3453">
        <f>'3. Показатели за качество'!J23</f>
        <v>1.421</v>
      </c>
      <c r="AH18" s="3454">
        <f>'3. Показатели за качество'!M23</f>
        <v>1.2</v>
      </c>
      <c r="AI18" s="3387">
        <v>0.45</v>
      </c>
    </row>
    <row r="19" spans="1:35" ht="15.95" customHeight="1">
      <c r="A19" s="3459" t="s">
        <v>1529</v>
      </c>
      <c r="B19" s="3369" t="s">
        <v>812</v>
      </c>
      <c r="C19" s="3435">
        <f>'2. Променливи'!E25</f>
        <v>3206</v>
      </c>
      <c r="D19" s="3435">
        <f>'2. Променливи'!F25</f>
        <v>3206</v>
      </c>
      <c r="E19" s="3435">
        <f>'2. Променливи'!G25</f>
        <v>3206</v>
      </c>
      <c r="F19" s="3435">
        <f>'2. Променливи'!H25</f>
        <v>3206</v>
      </c>
      <c r="G19" s="3435">
        <f>'2. Променливи'!I25</f>
        <v>3206</v>
      </c>
      <c r="H19" s="3435">
        <f>'2. Променливи'!J25</f>
        <v>3206</v>
      </c>
      <c r="J19" s="3463" t="s">
        <v>1553</v>
      </c>
      <c r="K19" s="3442" t="s">
        <v>170</v>
      </c>
      <c r="L19" s="3445"/>
      <c r="M19" s="3464">
        <f>IFERROR((M18-L18)/L18,0)</f>
        <v>-4.5686269949944316E-3</v>
      </c>
      <c r="N19" s="3464">
        <f t="shared" ref="N19:Q19" si="1">IFERROR((N18-M18)/M18,0)</f>
        <v>-4.5666411230278958E-3</v>
      </c>
      <c r="O19" s="3464">
        <f t="shared" si="1"/>
        <v>-4.5646605270718461E-3</v>
      </c>
      <c r="P19" s="3464">
        <f t="shared" si="1"/>
        <v>4.1192651755325042E-2</v>
      </c>
      <c r="Q19" s="3464">
        <f t="shared" si="1"/>
        <v>-4.5055291448290232E-3</v>
      </c>
      <c r="R19" s="3465"/>
      <c r="S19" s="3464">
        <f t="shared" ref="S19:W19" si="2">IFERROR((S18-R18)/R18,0)</f>
        <v>0.16162446340577408</v>
      </c>
      <c r="T19" s="3464">
        <f t="shared" si="2"/>
        <v>-4.5577126841777017E-3</v>
      </c>
      <c r="U19" s="3464">
        <f t="shared" si="2"/>
        <v>-4.5556942662884226E-3</v>
      </c>
      <c r="V19" s="3464">
        <f t="shared" si="2"/>
        <v>4.0425376689113383E-2</v>
      </c>
      <c r="W19" s="3464">
        <f t="shared" si="2"/>
        <v>-4.4923081079907079E-3</v>
      </c>
      <c r="Y19" s="3436" t="s">
        <v>128</v>
      </c>
      <c r="Z19" s="3437" t="s">
        <v>764</v>
      </c>
      <c r="AA19" s="3438" t="s">
        <v>1591</v>
      </c>
      <c r="AB19" s="3453">
        <f>'3. Показатели за качество'!E24</f>
        <v>0.19600000000000001</v>
      </c>
      <c r="AC19" s="3453">
        <f>'3. Показатели за качество'!F24</f>
        <v>0.19600000000000001</v>
      </c>
      <c r="AD19" s="3453">
        <f>'3. Показатели за качество'!G24</f>
        <v>0.19600000000000001</v>
      </c>
      <c r="AE19" s="3453">
        <f>'3. Показатели за качество'!H24</f>
        <v>0.19600000000000001</v>
      </c>
      <c r="AF19" s="3453">
        <f>'3. Показатели за качество'!I24</f>
        <v>0.182</v>
      </c>
      <c r="AG19" s="3453">
        <f>'3. Показатели за качество'!J24</f>
        <v>0.182</v>
      </c>
      <c r="AH19" s="3454">
        <f>'3. Показатели за качество'!M24</f>
        <v>0.19570000000000001</v>
      </c>
      <c r="AI19" s="3387">
        <v>0.25</v>
      </c>
    </row>
    <row r="20" spans="1:35" ht="15.95" customHeight="1">
      <c r="A20" s="3461" t="s">
        <v>1528</v>
      </c>
      <c r="B20" s="3369" t="s">
        <v>784</v>
      </c>
      <c r="C20" s="3462">
        <f>'2. Променливи'!E27</f>
        <v>225</v>
      </c>
      <c r="D20" s="3462">
        <f>'2. Променливи'!F27</f>
        <v>225</v>
      </c>
      <c r="E20" s="3462">
        <f>'2. Променливи'!G27</f>
        <v>225</v>
      </c>
      <c r="F20" s="3462">
        <f>'2. Променливи'!H27</f>
        <v>225</v>
      </c>
      <c r="G20" s="3462">
        <f>'2. Променливи'!I27</f>
        <v>225</v>
      </c>
      <c r="H20" s="3462">
        <f>'2. Променливи'!J27</f>
        <v>225</v>
      </c>
      <c r="J20" s="4039" t="str">
        <f>CONCATENATE("Темп на изменение спрямо ",L4)</f>
        <v>Темп на изменение спрямо 2024 г.</v>
      </c>
      <c r="K20" s="3442" t="s">
        <v>170</v>
      </c>
      <c r="L20" s="3445"/>
      <c r="M20" s="3466">
        <f>IFERROR((M18-$L$18)/$L$18,0)</f>
        <v>-4.5686269949944316E-3</v>
      </c>
      <c r="N20" s="3466">
        <f t="shared" ref="N20:Q20" si="3">IFERROR((N18-$L$18)/$L$18,0)</f>
        <v>-9.1144048381112102E-3</v>
      </c>
      <c r="O20" s="3466">
        <f t="shared" si="3"/>
        <v>-1.3637461201190778E-2</v>
      </c>
      <c r="P20" s="3466">
        <f t="shared" si="3"/>
        <v>2.6993427364046859E-2</v>
      </c>
      <c r="Q20" s="3466">
        <f t="shared" si="3"/>
        <v>2.2366278545510297E-2</v>
      </c>
      <c r="R20" s="3467"/>
      <c r="S20" s="3466">
        <f>IFERROR((S18-$R$18)/$R$18,0)</f>
        <v>0.16162446340577408</v>
      </c>
      <c r="T20" s="3466">
        <f t="shared" ref="T20:W20" si="4">IFERROR((T18-$R$18)/$R$18,0)</f>
        <v>0.15633011285465845</v>
      </c>
      <c r="U20" s="3466">
        <f t="shared" si="4"/>
        <v>0.15106222638958985</v>
      </c>
      <c r="V20" s="3466">
        <f t="shared" si="4"/>
        <v>0.19759435048399851</v>
      </c>
      <c r="W20" s="3466">
        <f t="shared" si="4"/>
        <v>0.19221438767323537</v>
      </c>
      <c r="Y20" s="3436" t="s">
        <v>129</v>
      </c>
      <c r="Z20" s="3437" t="s">
        <v>765</v>
      </c>
      <c r="AA20" s="3438" t="s">
        <v>170</v>
      </c>
      <c r="AB20" s="3439">
        <f>'3. Показатели за качество'!E25</f>
        <v>0.69240000000000002</v>
      </c>
      <c r="AC20" s="3439">
        <f>'3. Показатели за качество'!F25</f>
        <v>0.7</v>
      </c>
      <c r="AD20" s="3439">
        <f>'3. Показатели за качество'!G25</f>
        <v>1</v>
      </c>
      <c r="AE20" s="3439">
        <f>'3. Показатели за качество'!H25</f>
        <v>1</v>
      </c>
      <c r="AF20" s="3439">
        <f>'3. Показатели за качество'!I25</f>
        <v>1</v>
      </c>
      <c r="AG20" s="3439">
        <f>'3. Показатели за качество'!J25</f>
        <v>1</v>
      </c>
      <c r="AH20" s="3388">
        <f>'3. Показатели за качество'!M25</f>
        <v>1</v>
      </c>
      <c r="AI20" s="3440">
        <v>1</v>
      </c>
    </row>
    <row r="21" spans="1:35" ht="18.75" customHeight="1">
      <c r="A21" s="3459" t="s">
        <v>1530</v>
      </c>
      <c r="B21" s="3369" t="s">
        <v>784</v>
      </c>
      <c r="C21" s="3462">
        <f>'2. Променливи'!E28</f>
        <v>92432</v>
      </c>
      <c r="D21" s="3462">
        <f>'2. Променливи'!F28</f>
        <v>92832</v>
      </c>
      <c r="E21" s="3462">
        <f>'2. Променливи'!G28</f>
        <v>92932</v>
      </c>
      <c r="F21" s="3462">
        <f>'2. Променливи'!H28</f>
        <v>93032</v>
      </c>
      <c r="G21" s="3462">
        <f>'2. Променливи'!I28</f>
        <v>93132</v>
      </c>
      <c r="H21" s="3462">
        <f>'2. Променливи'!J28</f>
        <v>93232</v>
      </c>
      <c r="J21" s="3469" t="s">
        <v>606</v>
      </c>
      <c r="K21" s="3444" t="s">
        <v>1550</v>
      </c>
      <c r="L21" s="3444">
        <f>'6. Ел.Енергия'!C95/1000</f>
        <v>0</v>
      </c>
      <c r="M21" s="3444">
        <f>'6. Ел.Енергия'!D95/1000</f>
        <v>0</v>
      </c>
      <c r="N21" s="3444">
        <f>'6. Ел.Енергия'!E95/1000</f>
        <v>0</v>
      </c>
      <c r="O21" s="3444">
        <f>'6. Ел.Енергия'!F95/1000</f>
        <v>0</v>
      </c>
      <c r="P21" s="3444">
        <f>'6. Ел.Енергия'!G95/1000</f>
        <v>0</v>
      </c>
      <c r="Q21" s="3444">
        <f>'6. Ел.Енергия'!H95/1000</f>
        <v>0</v>
      </c>
      <c r="R21" s="3444">
        <f>'6. Ел.Енергия'!I95</f>
        <v>0</v>
      </c>
      <c r="S21" s="3444">
        <f>'6. Ел.Енергия'!J95</f>
        <v>0</v>
      </c>
      <c r="T21" s="3444">
        <f>'6. Ел.Енергия'!K95</f>
        <v>0</v>
      </c>
      <c r="U21" s="3444">
        <f>'6. Ел.Енергия'!L95</f>
        <v>0</v>
      </c>
      <c r="V21" s="3444">
        <f>'6. Ел.Енергия'!M95</f>
        <v>0</v>
      </c>
      <c r="W21" s="3444">
        <f>'6. Ел.Енергия'!N95</f>
        <v>0</v>
      </c>
      <c r="Y21" s="3436" t="s">
        <v>130</v>
      </c>
      <c r="Z21" s="3437" t="s">
        <v>766</v>
      </c>
      <c r="AA21" s="3438" t="s">
        <v>170</v>
      </c>
      <c r="AB21" s="3439">
        <f>'3. Показатели за качество'!E26</f>
        <v>4.1000000000000003E-3</v>
      </c>
      <c r="AC21" s="3439">
        <f>'3. Показатели за качество'!F26</f>
        <v>4.7000000000000002E-3</v>
      </c>
      <c r="AD21" s="3439">
        <f>'3. Показатели за качество'!G26</f>
        <v>4.7000000000000002E-3</v>
      </c>
      <c r="AE21" s="3439">
        <f>'3. Показатели за качество'!H26</f>
        <v>4.7000000000000002E-3</v>
      </c>
      <c r="AF21" s="3439">
        <f>'3. Показатели за качество'!I26</f>
        <v>4.7000000000000002E-3</v>
      </c>
      <c r="AG21" s="3439">
        <f>'3. Показатели за качество'!J26</f>
        <v>8.9999999999999993E-3</v>
      </c>
      <c r="AH21" s="3388">
        <f>'3. Показатели за качество'!M26</f>
        <v>5.4000000000000003E-3</v>
      </c>
      <c r="AI21" s="3468">
        <v>1.2500000000000001E-2</v>
      </c>
    </row>
    <row r="22" spans="1:35" ht="15.75" customHeight="1">
      <c r="A22" s="3459" t="s">
        <v>1532</v>
      </c>
      <c r="B22" s="3369" t="s">
        <v>784</v>
      </c>
      <c r="C22" s="3462">
        <f>'2. Променливи'!E29</f>
        <v>90671</v>
      </c>
      <c r="D22" s="3462">
        <f>'2. Променливи'!F29</f>
        <v>91071</v>
      </c>
      <c r="E22" s="3462">
        <f>'2. Променливи'!G29</f>
        <v>91171</v>
      </c>
      <c r="F22" s="3462">
        <f>'2. Променливи'!H29</f>
        <v>91271</v>
      </c>
      <c r="G22" s="3462">
        <f>'2. Променливи'!I29</f>
        <v>91371</v>
      </c>
      <c r="H22" s="3462">
        <f>'2. Променливи'!J29</f>
        <v>91471</v>
      </c>
      <c r="Y22" s="3436" t="s">
        <v>774</v>
      </c>
      <c r="Z22" s="3437" t="s">
        <v>775</v>
      </c>
      <c r="AA22" s="3438" t="s">
        <v>170</v>
      </c>
      <c r="AB22" s="3439">
        <f>'3. Показатели за качество'!E27</f>
        <v>7.4999999999999997E-3</v>
      </c>
      <c r="AC22" s="3439">
        <f>'3. Показатели за качество'!F27</f>
        <v>8.6999999999999994E-3</v>
      </c>
      <c r="AD22" s="3439">
        <f>'3. Показатели за качество'!G27</f>
        <v>0.01</v>
      </c>
      <c r="AE22" s="3439">
        <f>'3. Показатели за качество'!H27</f>
        <v>1.12E-2</v>
      </c>
      <c r="AF22" s="3439">
        <f>'3. Показатели за качество'!I27</f>
        <v>1.1900000000000001E-2</v>
      </c>
      <c r="AG22" s="3439">
        <f>'3. Показатели за качество'!J27</f>
        <v>1.2500000000000001E-2</v>
      </c>
      <c r="AH22" s="3388">
        <f>'3. Показатели за качество'!M27</f>
        <v>1.2500000000000001E-2</v>
      </c>
      <c r="AI22" s="3468">
        <v>1.2500000000000001E-2</v>
      </c>
    </row>
    <row r="23" spans="1:35" ht="15.95" customHeight="1">
      <c r="A23" s="3459" t="s">
        <v>1531</v>
      </c>
      <c r="B23" s="3369" t="s">
        <v>784</v>
      </c>
      <c r="C23" s="3462">
        <f>'2. Променливи'!E30</f>
        <v>15126</v>
      </c>
      <c r="D23" s="3462">
        <f>'2. Променливи'!F30</f>
        <v>15151</v>
      </c>
      <c r="E23" s="3462">
        <f>'2. Променливи'!G30</f>
        <v>15176</v>
      </c>
      <c r="F23" s="3462">
        <f>'2. Променливи'!H30</f>
        <v>15201</v>
      </c>
      <c r="G23" s="3462">
        <f>'2. Променливи'!I30</f>
        <v>15297</v>
      </c>
      <c r="H23" s="3462">
        <f>'2. Променливи'!J30</f>
        <v>15322</v>
      </c>
      <c r="Y23" s="3436" t="s">
        <v>131</v>
      </c>
      <c r="Z23" s="3437" t="s">
        <v>47</v>
      </c>
      <c r="AA23" s="3438" t="s">
        <v>1033</v>
      </c>
      <c r="AB23" s="3455">
        <f>'3. Показатели за качество'!E28</f>
        <v>1.08</v>
      </c>
      <c r="AC23" s="3455">
        <f>'3. Показатели за качество'!F28</f>
        <v>1.05</v>
      </c>
      <c r="AD23" s="3455">
        <f>'3. Показатели за качество'!G28</f>
        <v>1.07</v>
      </c>
      <c r="AE23" s="3455">
        <f>'3. Показатели за качество'!H28</f>
        <v>1.08</v>
      </c>
      <c r="AF23" s="3455">
        <f>'3. Показатели за качество'!I28</f>
        <v>1.08</v>
      </c>
      <c r="AG23" s="3455">
        <f>'3. Показатели за качество'!J28</f>
        <v>1.07</v>
      </c>
      <c r="AH23" s="3456">
        <f>'3. Показатели за качество'!M28</f>
        <v>1.1000000000000001</v>
      </c>
      <c r="AI23" s="3387">
        <v>1.1000000000000001</v>
      </c>
    </row>
    <row r="24" spans="1:35" ht="15.95" customHeight="1">
      <c r="A24" s="3459" t="s">
        <v>823</v>
      </c>
      <c r="B24" s="3369" t="s">
        <v>822</v>
      </c>
      <c r="C24" s="3462">
        <f>'2. Променливи'!E31</f>
        <v>346</v>
      </c>
      <c r="D24" s="3462">
        <f>'2. Променливи'!F31</f>
        <v>346</v>
      </c>
      <c r="E24" s="3462">
        <f>'2. Променливи'!G31</f>
        <v>346</v>
      </c>
      <c r="F24" s="3462">
        <f>'2. Променливи'!H31</f>
        <v>346</v>
      </c>
      <c r="G24" s="3462">
        <f>'2. Променливи'!I31</f>
        <v>350</v>
      </c>
      <c r="H24" s="3462">
        <f>'2. Променливи'!J31</f>
        <v>350</v>
      </c>
      <c r="Y24" s="3436" t="s">
        <v>132</v>
      </c>
      <c r="Z24" s="3437" t="s">
        <v>50</v>
      </c>
      <c r="AA24" s="3438" t="s">
        <v>1033</v>
      </c>
      <c r="AB24" s="3455">
        <f>'3. Показатели за качество'!E29</f>
        <v>0.89</v>
      </c>
      <c r="AC24" s="3455">
        <f>'3. Показатели за качество'!F29</f>
        <v>1.1100000000000001</v>
      </c>
      <c r="AD24" s="3455">
        <f>'3. Показатели за качество'!G29</f>
        <v>1.19</v>
      </c>
      <c r="AE24" s="3455">
        <f>'3. Показатели за качество'!H29</f>
        <v>1.29</v>
      </c>
      <c r="AF24" s="3455">
        <f>'3. Показатели за качество'!I29</f>
        <v>1.26</v>
      </c>
      <c r="AG24" s="3455">
        <f>'3. Показатели за качество'!J29</f>
        <v>1.26</v>
      </c>
      <c r="AH24" s="3456">
        <f>'3. Показатели за качество'!M29</f>
        <v>1.1000000000000001</v>
      </c>
      <c r="AI24" s="3387">
        <v>1.1000000000000001</v>
      </c>
    </row>
    <row r="25" spans="1:35" ht="15.95" customHeight="1">
      <c r="A25" s="3459" t="s">
        <v>864</v>
      </c>
      <c r="B25" s="3368" t="s">
        <v>784</v>
      </c>
      <c r="C25" s="3462">
        <f>'2. Променливи'!E32</f>
        <v>9</v>
      </c>
      <c r="D25" s="3462">
        <f>'2. Променливи'!F32</f>
        <v>9</v>
      </c>
      <c r="E25" s="3462">
        <f>'2. Променливи'!G32</f>
        <v>9</v>
      </c>
      <c r="F25" s="3462">
        <f>'2. Променливи'!H32</f>
        <v>9</v>
      </c>
      <c r="G25" s="3462">
        <f>'2. Променливи'!I32</f>
        <v>12</v>
      </c>
      <c r="H25" s="3462">
        <f>'2. Променливи'!J32</f>
        <v>12</v>
      </c>
      <c r="Y25" s="3436" t="s">
        <v>133</v>
      </c>
      <c r="Z25" s="3437" t="s">
        <v>53</v>
      </c>
      <c r="AA25" s="3438" t="s">
        <v>1033</v>
      </c>
      <c r="AB25" s="3455">
        <f>'3. Показатели за качество'!E30</f>
        <v>1.24</v>
      </c>
      <c r="AC25" s="3455">
        <f>'3. Показатели за качество'!F30</f>
        <v>1.08</v>
      </c>
      <c r="AD25" s="3455">
        <f>'3. Показатели за качество'!G30</f>
        <v>1.1299999999999999</v>
      </c>
      <c r="AE25" s="3455">
        <f>'3. Показатели за качество'!H30</f>
        <v>1.18</v>
      </c>
      <c r="AF25" s="3455">
        <f>'3. Показатели за качество'!I30</f>
        <v>1.1599999999999999</v>
      </c>
      <c r="AG25" s="3455">
        <f>'3. Показатели за качество'!J30</f>
        <v>1.1499999999999999</v>
      </c>
      <c r="AH25" s="3456">
        <f>'3. Показатели за качество'!M30</f>
        <v>1.1000000000000001</v>
      </c>
      <c r="AI25" s="3387">
        <v>1.1000000000000001</v>
      </c>
    </row>
    <row r="26" spans="1:35" ht="15.95" customHeight="1">
      <c r="A26" s="3459" t="s">
        <v>865</v>
      </c>
      <c r="B26" s="3368" t="s">
        <v>784</v>
      </c>
      <c r="C26" s="3462">
        <f>'2. Променливи'!E33</f>
        <v>4</v>
      </c>
      <c r="D26" s="3462">
        <f>'2. Променливи'!F33</f>
        <v>4</v>
      </c>
      <c r="E26" s="3462">
        <f>'2. Променливи'!G33</f>
        <v>4</v>
      </c>
      <c r="F26" s="3462">
        <f>'2. Променливи'!H33</f>
        <v>4</v>
      </c>
      <c r="G26" s="3462">
        <f>'2. Променливи'!I33</f>
        <v>5</v>
      </c>
      <c r="H26" s="3462">
        <f>'2. Променливи'!J33</f>
        <v>5</v>
      </c>
      <c r="Y26" s="3436" t="s">
        <v>134</v>
      </c>
      <c r="Z26" s="3437" t="s">
        <v>767</v>
      </c>
      <c r="AA26" s="3438" t="s">
        <v>170</v>
      </c>
      <c r="AB26" s="3439">
        <f>'3. Показатели за качество'!E31</f>
        <v>0.90059999999999996</v>
      </c>
      <c r="AC26" s="3439">
        <f>'3. Показатели за качество'!F31</f>
        <v>0.91910000000000003</v>
      </c>
      <c r="AD26" s="3439">
        <f>'3. Показатели за качество'!G31</f>
        <v>0.92469999999999997</v>
      </c>
      <c r="AE26" s="3439">
        <f>'3. Показатели за качество'!H31</f>
        <v>0.92930000000000001</v>
      </c>
      <c r="AF26" s="3439">
        <f>'3. Показатели за качество'!I31</f>
        <v>0.9345</v>
      </c>
      <c r="AG26" s="3439">
        <f>'3. Показатели за качество'!J31</f>
        <v>0.9375</v>
      </c>
      <c r="AH26" s="3388">
        <f>'3. Показатели за качество'!M31</f>
        <v>0.91039999999999999</v>
      </c>
      <c r="AI26" s="3440">
        <v>0.95</v>
      </c>
    </row>
    <row r="27" spans="1:35" ht="15.95" customHeight="1">
      <c r="J27" s="3430"/>
      <c r="Y27" s="3436" t="s">
        <v>776</v>
      </c>
      <c r="Z27" s="3437" t="s">
        <v>778</v>
      </c>
      <c r="AA27" s="3438" t="s">
        <v>170</v>
      </c>
      <c r="AB27" s="3439">
        <f>'3. Показатели за качество'!E32</f>
        <v>0.1862</v>
      </c>
      <c r="AC27" s="3439">
        <f>'3. Показатели за качество'!F32</f>
        <v>0.18909999999999999</v>
      </c>
      <c r="AD27" s="3439">
        <f>'3. Показатели за качество'!G32</f>
        <v>0.19270000000000001</v>
      </c>
      <c r="AE27" s="3439">
        <f>'3. Показатели за качество'!H32</f>
        <v>0.1963</v>
      </c>
      <c r="AF27" s="3439">
        <f>'3. Показатели за качество'!I32</f>
        <v>0.2</v>
      </c>
      <c r="AG27" s="3439">
        <f>'3. Показатели за качество'!J32</f>
        <v>0.20380000000000001</v>
      </c>
      <c r="AH27" s="3388">
        <f>'3. Показатели за качество'!M32</f>
        <v>0.2</v>
      </c>
      <c r="AI27" s="3440">
        <v>0.2</v>
      </c>
    </row>
    <row r="28" spans="1:35" ht="15.95" customHeight="1">
      <c r="A28" s="3430" t="s">
        <v>871</v>
      </c>
      <c r="Y28" s="3436" t="s">
        <v>777</v>
      </c>
      <c r="Z28" s="3437" t="s">
        <v>779</v>
      </c>
      <c r="AA28" s="3438" t="s">
        <v>170</v>
      </c>
      <c r="AB28" s="3439">
        <f>'3. Показатели за качество'!E33</f>
        <v>0.54649999999999999</v>
      </c>
      <c r="AC28" s="3439">
        <f>'3. Показатели за качество'!F33</f>
        <v>0.54679999999999995</v>
      </c>
      <c r="AD28" s="3439">
        <f>'3. Показатели за качество'!G33</f>
        <v>0.54679999999999995</v>
      </c>
      <c r="AE28" s="3439">
        <f>'3. Показатели за качество'!H33</f>
        <v>0.54690000000000005</v>
      </c>
      <c r="AF28" s="3439">
        <f>'3. Показатели за качество'!I33</f>
        <v>0.54690000000000005</v>
      </c>
      <c r="AG28" s="3439">
        <f>'3. Показатели за качество'!J33</f>
        <v>0.54690000000000005</v>
      </c>
      <c r="AH28" s="3388">
        <f>'3. Показатели за качество'!M33</f>
        <v>0.69699999999999995</v>
      </c>
      <c r="AI28" s="3440">
        <v>0.9</v>
      </c>
    </row>
    <row r="29" spans="1:35" ht="15.95" customHeight="1">
      <c r="A29" s="5410" t="s">
        <v>2</v>
      </c>
      <c r="B29" s="5412" t="s">
        <v>1535</v>
      </c>
      <c r="C29" s="5413" t="s">
        <v>922</v>
      </c>
      <c r="D29" s="5413"/>
      <c r="E29" s="5413"/>
      <c r="F29" s="5413"/>
      <c r="G29" s="5413"/>
      <c r="H29" s="5413"/>
      <c r="Y29" s="3436" t="s">
        <v>135</v>
      </c>
      <c r="Z29" s="3437" t="s">
        <v>768</v>
      </c>
      <c r="AA29" s="3438" t="s">
        <v>170</v>
      </c>
      <c r="AB29" s="3439">
        <f>'3. Показатели за качество'!E34</f>
        <v>0.77449999999999997</v>
      </c>
      <c r="AC29" s="3439">
        <f>'3. Показатели за качество'!F34</f>
        <v>0.82509999999999994</v>
      </c>
      <c r="AD29" s="3439">
        <f>'3. Показатели за качество'!G34</f>
        <v>0.82550000000000001</v>
      </c>
      <c r="AE29" s="3439">
        <f>'3. Показатели за качество'!H34</f>
        <v>0.83</v>
      </c>
      <c r="AF29" s="3439">
        <f>'3. Показатели за качество'!I34</f>
        <v>0.83069999999999999</v>
      </c>
      <c r="AG29" s="3439">
        <f>'3. Показатели за качество'!J34</f>
        <v>0.83620000000000005</v>
      </c>
      <c r="AH29" s="3388">
        <f>'3. Показатели за качество'!M34</f>
        <v>1</v>
      </c>
      <c r="AI29" s="3440">
        <v>1</v>
      </c>
    </row>
    <row r="30" spans="1:35" ht="15.95" customHeight="1">
      <c r="A30" s="5411"/>
      <c r="B30" s="5411"/>
      <c r="C30" s="4304" t="str">
        <f>+'15. ОПП'!$B$7</f>
        <v>2024 г.</v>
      </c>
      <c r="D30" s="4304" t="str">
        <f>+'15. ОПП'!$C$7</f>
        <v>2027 г.</v>
      </c>
      <c r="E30" s="4304" t="str">
        <f>+'15. ОПП'!$D$7</f>
        <v>2028 г.</v>
      </c>
      <c r="F30" s="4304" t="str">
        <f>+'15. ОПП'!$E$7</f>
        <v>2029 г.</v>
      </c>
      <c r="G30" s="4304" t="str">
        <f>+'15. ОПП'!$F$7</f>
        <v>2030 г.</v>
      </c>
      <c r="H30" s="4304" t="str">
        <f>+'15. ОПП'!$G$7</f>
        <v>2031 г.</v>
      </c>
      <c r="Y30" s="3436" t="s">
        <v>136</v>
      </c>
      <c r="Z30" s="3437" t="s">
        <v>769</v>
      </c>
      <c r="AA30" s="3438" t="s">
        <v>170</v>
      </c>
      <c r="AB30" s="3439">
        <f>'3. Показатели за качество'!E35</f>
        <v>1</v>
      </c>
      <c r="AC30" s="3439">
        <f>'3. Показатели за качество'!F35</f>
        <v>1</v>
      </c>
      <c r="AD30" s="3439">
        <f>'3. Показатели за качество'!G35</f>
        <v>1</v>
      </c>
      <c r="AE30" s="3439">
        <f>'3. Показатели за качество'!H35</f>
        <v>1</v>
      </c>
      <c r="AF30" s="3439">
        <f>'3. Показатели за качество'!I35</f>
        <v>1</v>
      </c>
      <c r="AG30" s="3439">
        <f>'3. Показатели за качество'!J35</f>
        <v>1</v>
      </c>
      <c r="AH30" s="3388">
        <f>'3. Показатели за качество'!M35</f>
        <v>1</v>
      </c>
      <c r="AI30" s="3440">
        <v>1</v>
      </c>
    </row>
    <row r="31" spans="1:35" ht="15.95" customHeight="1">
      <c r="A31" s="5414" t="s">
        <v>168</v>
      </c>
      <c r="B31" s="5415"/>
      <c r="C31" s="5415"/>
      <c r="D31" s="5415"/>
      <c r="E31" s="5415"/>
      <c r="F31" s="5415"/>
      <c r="G31" s="5415"/>
      <c r="H31" s="5416"/>
      <c r="Y31" s="3436" t="s">
        <v>137</v>
      </c>
      <c r="Z31" s="3437" t="s">
        <v>770</v>
      </c>
      <c r="AA31" s="3438" t="s">
        <v>170</v>
      </c>
      <c r="AB31" s="3439">
        <f>'3. Показатели за качество'!E36</f>
        <v>1</v>
      </c>
      <c r="AC31" s="3439">
        <f>'3. Показатели за качество'!F36</f>
        <v>1</v>
      </c>
      <c r="AD31" s="3439">
        <f>'3. Показатели за качество'!G36</f>
        <v>1</v>
      </c>
      <c r="AE31" s="3439">
        <f>'3. Показатели за качество'!H36</f>
        <v>1</v>
      </c>
      <c r="AF31" s="3439">
        <f>'3. Показатели за качество'!I36</f>
        <v>1</v>
      </c>
      <c r="AG31" s="3439">
        <f>'3. Показатели за качество'!J36</f>
        <v>1</v>
      </c>
      <c r="AH31" s="3388">
        <f>'3. Показатели за качество'!M36</f>
        <v>1</v>
      </c>
      <c r="AI31" s="3440">
        <v>1</v>
      </c>
    </row>
    <row r="32" spans="1:35" ht="15.95" customHeight="1">
      <c r="A32" s="3416" t="s">
        <v>570</v>
      </c>
      <c r="B32" s="3417" t="s">
        <v>1533</v>
      </c>
      <c r="C32" s="3418">
        <f>'4. Отчет и прогн. потребление'!D9</f>
        <v>27737550</v>
      </c>
      <c r="D32" s="3418">
        <f>'4. Отчет и прогн. потребление'!E9</f>
        <v>27042797.18</v>
      </c>
      <c r="E32" s="3418">
        <f>'4. Отчет и прогн. потребление'!F9</f>
        <v>26501941.236400001</v>
      </c>
      <c r="F32" s="3418">
        <f>'4. Отчет и прогн. потребление'!G9</f>
        <v>25971902.411672</v>
      </c>
      <c r="G32" s="3418">
        <f>'4. Отчет и прогн. потребление'!H9</f>
        <v>25513545</v>
      </c>
      <c r="H32" s="3418">
        <f>'4. Отчет и прогн. потребление'!I9</f>
        <v>24930674.0761698</v>
      </c>
      <c r="Y32" s="3436" t="s">
        <v>138</v>
      </c>
      <c r="Z32" s="3437" t="s">
        <v>771</v>
      </c>
      <c r="AA32" s="3438" t="s">
        <v>747</v>
      </c>
      <c r="AB32" s="3455">
        <f>'3. Показатели за качество'!E37</f>
        <v>5.81</v>
      </c>
      <c r="AC32" s="3455">
        <f>'3. Показатели за качество'!F37</f>
        <v>5.73</v>
      </c>
      <c r="AD32" s="3455">
        <f>'3. Показатели за качество'!G37</f>
        <v>5.72</v>
      </c>
      <c r="AE32" s="3455">
        <f>'3. Показатели за качество'!H37</f>
        <v>5.72</v>
      </c>
      <c r="AF32" s="3455">
        <f>'3. Показатели за качество'!I37</f>
        <v>5.82</v>
      </c>
      <c r="AG32" s="3455">
        <f>'3. Показатели за качество'!J37</f>
        <v>5.81</v>
      </c>
      <c r="AH32" s="3456">
        <f>'3. Показатели за качество'!M37</f>
        <v>5.8</v>
      </c>
      <c r="AI32" s="3387">
        <v>4</v>
      </c>
    </row>
    <row r="33" spans="1:35" ht="15.95" customHeight="1">
      <c r="A33" s="5428" t="s">
        <v>571</v>
      </c>
      <c r="B33" s="3417" t="s">
        <v>1533</v>
      </c>
      <c r="C33" s="3419">
        <f>'4. Отчет и прогн. потребление'!D18</f>
        <v>8008063</v>
      </c>
      <c r="D33" s="3419">
        <f>'4. Отчет и прогн. потребление'!E18</f>
        <v>7981690.333333333</v>
      </c>
      <c r="E33" s="3419">
        <f>'4. Отчет и прогн. потребление'!F18</f>
        <v>8027872.0252977135</v>
      </c>
      <c r="F33" s="3419">
        <f>'4. Отчет и прогн. потребление'!G18</f>
        <v>7942454.2529848581</v>
      </c>
      <c r="G33" s="3419">
        <f>'4. Отчет и прогн. потребление'!H18</f>
        <v>8092488.4578720042</v>
      </c>
      <c r="H33" s="3419">
        <f>'4. Отчет и прогн. потребление'!I18</f>
        <v>8554631.2979929335</v>
      </c>
      <c r="Y33" s="3436" t="s">
        <v>139</v>
      </c>
      <c r="Z33" s="3437" t="s">
        <v>772</v>
      </c>
      <c r="AA33" s="3438" t="s">
        <v>748</v>
      </c>
      <c r="AB33" s="3455">
        <f>'3. Показатели за качество'!E38</f>
        <v>4.03</v>
      </c>
      <c r="AC33" s="3455">
        <f>'3. Показатели за качество'!F38</f>
        <v>3.83</v>
      </c>
      <c r="AD33" s="3455">
        <f>'3. Показатели за качество'!G38</f>
        <v>3.82</v>
      </c>
      <c r="AE33" s="3455">
        <f>'3. Показатели за качество'!H38</f>
        <v>3.82</v>
      </c>
      <c r="AF33" s="3455">
        <f>'3. Показатели за качество'!I38</f>
        <v>4.51</v>
      </c>
      <c r="AG33" s="3455">
        <f>'3. Показатели за качество'!J38</f>
        <v>4.5</v>
      </c>
      <c r="AH33" s="3456">
        <f>'3. Показатели за качество'!M38</f>
        <v>3.9699999999999999E-2</v>
      </c>
      <c r="AI33" s="3387">
        <v>3</v>
      </c>
    </row>
    <row r="34" spans="1:35" ht="15.95" customHeight="1">
      <c r="A34" s="5428"/>
      <c r="B34" s="3417" t="s">
        <v>170</v>
      </c>
      <c r="C34" s="3420">
        <f>'4. Отчет и прогн. потребление'!D19</f>
        <v>0.28870837546935474</v>
      </c>
      <c r="D34" s="3420">
        <f>'4. Отчет и прогн. потребление'!E19</f>
        <v>0.2951503234005815</v>
      </c>
      <c r="E34" s="3420">
        <f>'4. Отчет и прогн. потребление'!F19</f>
        <v>0.30291637709435248</v>
      </c>
      <c r="F34" s="3420">
        <f>'4. Отчет и прогн. потребление'!G19</f>
        <v>0.30580949085252412</v>
      </c>
      <c r="G34" s="3420">
        <f>'4. Отчет и прогн. потребление'!H19</f>
        <v>0.31718400786217693</v>
      </c>
      <c r="H34" s="3420">
        <f>'4. Отчет и прогн. потребление'!I19</f>
        <v>0.34313678289870037</v>
      </c>
      <c r="Y34" s="3470"/>
      <c r="Z34" s="3471"/>
      <c r="AA34" s="3472"/>
      <c r="AB34" s="3473"/>
      <c r="AC34" s="3473"/>
      <c r="AD34" s="3473"/>
      <c r="AE34" s="3473"/>
      <c r="AF34" s="3473"/>
      <c r="AG34" s="3473"/>
      <c r="AH34" s="3474"/>
      <c r="AI34" s="3475"/>
    </row>
    <row r="35" spans="1:35" ht="15.95" customHeight="1">
      <c r="A35" s="5417" t="s">
        <v>572</v>
      </c>
      <c r="B35" s="3370" t="s">
        <v>1533</v>
      </c>
      <c r="C35" s="3371">
        <f>'4. Отчет и прогн. потребление'!D20</f>
        <v>7653017</v>
      </c>
      <c r="D35" s="3371">
        <f>'4. Отчет и прогн. потребление'!E20</f>
        <v>7626644.333333333</v>
      </c>
      <c r="E35" s="3371">
        <f>'4. Отчет и прогн. потребление'!F20</f>
        <v>7672826.0252977135</v>
      </c>
      <c r="F35" s="3371">
        <f>'4. Отчет и прогн. потребление'!G20</f>
        <v>7587408.2529848581</v>
      </c>
      <c r="G35" s="3371">
        <f>'4. Отчет и прогн. потребление'!H20</f>
        <v>7737442.4578720042</v>
      </c>
      <c r="H35" s="3371">
        <f>'4. Отчет и прогн. потребление'!I20</f>
        <v>8199585.2979929335</v>
      </c>
      <c r="Y35" s="5400" t="s">
        <v>1594</v>
      </c>
      <c r="Z35" s="5401"/>
      <c r="AA35" s="5401"/>
      <c r="AB35" s="5401"/>
      <c r="AC35" s="5401"/>
      <c r="AD35" s="5401"/>
      <c r="AE35" s="5401"/>
      <c r="AF35" s="5401"/>
      <c r="AG35" s="5401"/>
      <c r="AH35" s="5401"/>
      <c r="AI35" s="5402"/>
    </row>
    <row r="36" spans="1:35" ht="42.75" customHeight="1">
      <c r="A36" s="5418"/>
      <c r="B36" s="3370" t="s">
        <v>170</v>
      </c>
      <c r="C36" s="3372">
        <f>'4. Отчет и прогн. потребление'!D21</f>
        <v>0.27590818222950475</v>
      </c>
      <c r="D36" s="3372">
        <f>'4. Отчет и прогн. потребление'!E21</f>
        <v>0.28202128213917749</v>
      </c>
      <c r="E36" s="3372">
        <f>'4. Отчет и прогн. потребление'!F21</f>
        <v>0.28951939621536882</v>
      </c>
      <c r="F36" s="3372">
        <f>'4. Отчет и прогн. потребление'!G21</f>
        <v>0.29213910220049999</v>
      </c>
      <c r="G36" s="3372">
        <f>'4. Отчет и прогн. потребление'!H21</f>
        <v>0.30326802715467427</v>
      </c>
      <c r="H36" s="3372">
        <f>'4. Отчет и прогн. потребление'!I21</f>
        <v>0.32889545115952473</v>
      </c>
      <c r="Y36" s="3476" t="s">
        <v>773</v>
      </c>
      <c r="Z36" s="3476" t="s">
        <v>1592</v>
      </c>
      <c r="AA36" s="3476" t="s">
        <v>746</v>
      </c>
      <c r="AB36" s="3476" t="str">
        <f>+'15. ОПП'!$B$7</f>
        <v>2024 г.</v>
      </c>
      <c r="AC36" s="3476" t="str">
        <f>+'15. ОПП'!$C$7</f>
        <v>2027 г.</v>
      </c>
      <c r="AD36" s="3476" t="str">
        <f>+'15. ОПП'!$D$7</f>
        <v>2028 г.</v>
      </c>
      <c r="AE36" s="3476" t="str">
        <f>+'15. ОПП'!$E$7</f>
        <v>2029 г.</v>
      </c>
      <c r="AF36" s="3476" t="str">
        <f>+'15. ОПП'!$F$7</f>
        <v>2030 г.</v>
      </c>
      <c r="AG36" s="3476" t="str">
        <f>+'15. ОПП'!$G$7</f>
        <v>2031 г.</v>
      </c>
      <c r="AH36" s="3433" t="str">
        <f>CONCATENATE("Индивидуална цел за ",AG36)</f>
        <v>Индивидуална цел за 2031 г.</v>
      </c>
      <c r="AI36" s="3477" t="s">
        <v>780</v>
      </c>
    </row>
    <row r="37" spans="1:35" ht="15.95" customHeight="1">
      <c r="A37" s="5429" t="s">
        <v>688</v>
      </c>
      <c r="B37" s="3370" t="s">
        <v>1533</v>
      </c>
      <c r="C37" s="3374">
        <f>'4. Отчет и прогн. потребление'!D26</f>
        <v>355046</v>
      </c>
      <c r="D37" s="3374">
        <f>'4. Отчет и прогн. потребление'!E26</f>
        <v>355046</v>
      </c>
      <c r="E37" s="3374">
        <f>'4. Отчет и прогн. потребление'!F26</f>
        <v>355046</v>
      </c>
      <c r="F37" s="3374">
        <f>'4. Отчет и прогн. потребление'!G26</f>
        <v>355046</v>
      </c>
      <c r="G37" s="3374">
        <f>'4. Отчет и прогн. потребление'!H26</f>
        <v>355046</v>
      </c>
      <c r="H37" s="3374">
        <f>'4. Отчет и прогн. потребление'!I26</f>
        <v>355046</v>
      </c>
      <c r="Y37" s="3436" t="s">
        <v>744</v>
      </c>
      <c r="Z37" s="3437" t="s">
        <v>756</v>
      </c>
      <c r="AA37" s="3438" t="s">
        <v>1589</v>
      </c>
      <c r="AB37" s="3455">
        <f>'3. Показатели за качество'!E40</f>
        <v>0</v>
      </c>
      <c r="AC37" s="3455">
        <f>'3. Показатели за качество'!F40</f>
        <v>0</v>
      </c>
      <c r="AD37" s="3455">
        <f>'3. Показатели за качество'!G40</f>
        <v>0</v>
      </c>
      <c r="AE37" s="3455">
        <f>'3. Показатели за качество'!H40</f>
        <v>0</v>
      </c>
      <c r="AF37" s="3455">
        <f>'3. Показатели за качество'!I40</f>
        <v>0</v>
      </c>
      <c r="AG37" s="3455">
        <f>'3. Показатели за качество'!J40</f>
        <v>0</v>
      </c>
      <c r="AH37" s="3465"/>
      <c r="AI37" s="3465"/>
    </row>
    <row r="38" spans="1:35" ht="15.95" customHeight="1">
      <c r="A38" s="5429"/>
      <c r="B38" s="3370" t="s">
        <v>170</v>
      </c>
      <c r="C38" s="3378">
        <f>'4. Отчет и прогн. потребление'!D27</f>
        <v>1.280019323984995E-2</v>
      </c>
      <c r="D38" s="3378">
        <f>'4. Отчет и прогн. потребление'!E27</f>
        <v>1.3129041261404011E-2</v>
      </c>
      <c r="E38" s="3378">
        <f>'4. Отчет и прогн. потребление'!F27</f>
        <v>1.3396980878983684E-2</v>
      </c>
      <c r="F38" s="3378">
        <f>'4. Отчет и прогн. потребление'!G27</f>
        <v>1.3670388652024168E-2</v>
      </c>
      <c r="G38" s="3378">
        <f>'4. Отчет и прогн. потребление'!H27</f>
        <v>1.3915980707502622E-2</v>
      </c>
      <c r="H38" s="3378">
        <f>'4. Отчет и прогн. потребление'!I27</f>
        <v>1.4241331739175628E-2</v>
      </c>
      <c r="Y38" s="3436" t="s">
        <v>745</v>
      </c>
      <c r="Z38" s="3437" t="s">
        <v>756</v>
      </c>
      <c r="AA38" s="3438" t="s">
        <v>170</v>
      </c>
      <c r="AB38" s="3478">
        <f>'3. Показатели за качество'!E41</f>
        <v>0</v>
      </c>
      <c r="AC38" s="3478">
        <f>'3. Показатели за качество'!F41</f>
        <v>0</v>
      </c>
      <c r="AD38" s="3478">
        <f>'3. Показатели за качество'!G41</f>
        <v>0</v>
      </c>
      <c r="AE38" s="3478">
        <f>'3. Показатели за качество'!H41</f>
        <v>0</v>
      </c>
      <c r="AF38" s="3478">
        <f>'3. Показатели за качество'!I41</f>
        <v>0</v>
      </c>
      <c r="AG38" s="3478">
        <f>'3. Показатели за качество'!J41</f>
        <v>0</v>
      </c>
      <c r="AH38" s="3465"/>
      <c r="AI38" s="3465"/>
    </row>
    <row r="39" spans="1:35" ht="15.95" customHeight="1">
      <c r="A39" s="5428" t="s">
        <v>689</v>
      </c>
      <c r="B39" s="3417" t="s">
        <v>1533</v>
      </c>
      <c r="C39" s="3419">
        <f>'4. Отчет и прогн. потребление'!D30</f>
        <v>19729487</v>
      </c>
      <c r="D39" s="3419">
        <f>'4. Отчет и прогн. потребление'!E30</f>
        <v>19061106.539999999</v>
      </c>
      <c r="E39" s="3419">
        <f>'4. Отчет и прогн. потребление'!F30</f>
        <v>18474069.078799997</v>
      </c>
      <c r="F39" s="3419">
        <f>'4. Отчет и прогн. потребление'!G30</f>
        <v>18029448.067935999</v>
      </c>
      <c r="G39" s="3419">
        <f>'4. Отчет и прогн. потребление'!H30</f>
        <v>17421056.354289077</v>
      </c>
      <c r="H39" s="3419">
        <f>'4. Отчет и прогн. потребление'!I30</f>
        <v>16376042.567318412</v>
      </c>
      <c r="Y39" s="3436" t="s">
        <v>121</v>
      </c>
      <c r="Z39" s="3437" t="s">
        <v>757</v>
      </c>
      <c r="AA39" s="3438" t="s">
        <v>749</v>
      </c>
      <c r="AB39" s="3455">
        <f>'3. Показатели за качество'!E42</f>
        <v>0</v>
      </c>
      <c r="AC39" s="3455">
        <f>'3. Показатели за качество'!F42</f>
        <v>0</v>
      </c>
      <c r="AD39" s="3455">
        <f>'3. Показатели за качество'!G42</f>
        <v>0</v>
      </c>
      <c r="AE39" s="3455">
        <f>'3. Показатели за качество'!H42</f>
        <v>0</v>
      </c>
      <c r="AF39" s="3455">
        <f>'3. Показатели за качество'!I42</f>
        <v>0</v>
      </c>
      <c r="AG39" s="3455">
        <f>'3. Показатели за качество'!J42</f>
        <v>0</v>
      </c>
      <c r="AH39" s="3465"/>
      <c r="AI39" s="3465"/>
    </row>
    <row r="40" spans="1:35" ht="15.95" customHeight="1">
      <c r="A40" s="5428"/>
      <c r="B40" s="3417" t="s">
        <v>170</v>
      </c>
      <c r="C40" s="3421">
        <f>'4. Отчет и прогн. потребление'!D31</f>
        <v>0.71129162453064532</v>
      </c>
      <c r="D40" s="3421">
        <f>'4. Отчет и прогн. потребление'!E31</f>
        <v>0.70484966525936865</v>
      </c>
      <c r="E40" s="3421">
        <f>'4. Отчет и прогн. потребление'!F31</f>
        <v>0.69708361791347395</v>
      </c>
      <c r="F40" s="3421">
        <f>'4. Отчет и прогн. потребление'!G31</f>
        <v>0.69419050565327123</v>
      </c>
      <c r="G40" s="3421">
        <f>'4. Отчет и прогн. потребление'!H31</f>
        <v>0.68281598477550165</v>
      </c>
      <c r="H40" s="3421">
        <f>'4. Отчет и прогн. потребление'!I31</f>
        <v>0.65686320864350767</v>
      </c>
      <c r="Y40" s="3436" t="s">
        <v>130</v>
      </c>
      <c r="Z40" s="3437" t="s">
        <v>766</v>
      </c>
      <c r="AA40" s="3438" t="s">
        <v>170</v>
      </c>
      <c r="AB40" s="3478">
        <f>'3. Показатели за качество'!E43</f>
        <v>0</v>
      </c>
      <c r="AC40" s="3478">
        <f>'3. Показатели за качество'!F43</f>
        <v>0</v>
      </c>
      <c r="AD40" s="3478">
        <f>'3. Показатели за качество'!G43</f>
        <v>0</v>
      </c>
      <c r="AE40" s="3478">
        <f>'3. Показатели за качество'!H43</f>
        <v>0</v>
      </c>
      <c r="AF40" s="3478">
        <f>'3. Показатели за качество'!I43</f>
        <v>0</v>
      </c>
      <c r="AG40" s="3478">
        <f>'3. Показатели за качество'!J43</f>
        <v>0</v>
      </c>
      <c r="AH40" s="3465"/>
      <c r="AI40" s="3465"/>
    </row>
    <row r="41" spans="1:35" ht="15.95" customHeight="1">
      <c r="A41" s="5428"/>
      <c r="B41" s="3417" t="s">
        <v>1534</v>
      </c>
      <c r="C41" s="3422">
        <f>'4. Отчет и прогн. потребление'!D32</f>
        <v>16.860071441389859</v>
      </c>
      <c r="D41" s="3422">
        <f>'4. Отчет и прогн. потребление'!E32</f>
        <v>16.288898845486628</v>
      </c>
      <c r="E41" s="3422">
        <f>'4. Отчет и прогн. потребление'!F32</f>
        <v>15.787238891803892</v>
      </c>
      <c r="F41" s="3422">
        <f>'4. Отчет и прогн. потребление'!G32</f>
        <v>15.40728263609841</v>
      </c>
      <c r="G41" s="3422">
        <f>'4. Отчет и прогн. потребление'!H32</f>
        <v>14.887374148035001</v>
      </c>
      <c r="H41" s="3422">
        <f>'4. Отчет и прогн. потребление'!I32</f>
        <v>13.994344992965596</v>
      </c>
      <c r="Y41" s="3436" t="s">
        <v>131</v>
      </c>
      <c r="Z41" s="3437" t="s">
        <v>47</v>
      </c>
      <c r="AA41" s="3438" t="s">
        <v>1033</v>
      </c>
      <c r="AB41" s="3455">
        <f>'3. Показатели за качество'!E44</f>
        <v>0</v>
      </c>
      <c r="AC41" s="3455">
        <f>'3. Показатели за качество'!F44</f>
        <v>0</v>
      </c>
      <c r="AD41" s="3455">
        <f>'3. Показатели за качество'!G44</f>
        <v>0</v>
      </c>
      <c r="AE41" s="3455">
        <f>'3. Показатели за качество'!H44</f>
        <v>0</v>
      </c>
      <c r="AF41" s="3455">
        <f>'3. Показатели за качество'!I44</f>
        <v>0</v>
      </c>
      <c r="AG41" s="3455">
        <f>'3. Показатели за качество'!J44</f>
        <v>0</v>
      </c>
      <c r="AH41" s="3465"/>
      <c r="AI41" s="3465"/>
    </row>
    <row r="42" spans="1:35" ht="15.95" customHeight="1">
      <c r="A42" s="5424" t="s">
        <v>580</v>
      </c>
      <c r="B42" s="3370" t="s">
        <v>1533</v>
      </c>
      <c r="C42" s="3376">
        <f>'4. Отчет и прогн. потребление'!D33</f>
        <v>1374655</v>
      </c>
      <c r="D42" s="3376">
        <f>'4. Отчет и прогн. потребление'!E33</f>
        <v>1237189.5</v>
      </c>
      <c r="E42" s="3376">
        <f>'4. Отчет и прогн. потребление'!F33</f>
        <v>1113470.55</v>
      </c>
      <c r="F42" s="3376">
        <f>'4. Отчет и прогн. потребление'!G33</f>
        <v>1002123.495</v>
      </c>
      <c r="G42" s="3376">
        <f>'4. Отчет и прогн. потребление'!H33</f>
        <v>901911.1455000001</v>
      </c>
      <c r="H42" s="3376">
        <f>'4. Отчет и прогн. потребление'!I33</f>
        <v>811720.03095000004</v>
      </c>
    </row>
    <row r="43" spans="1:35" ht="15.95" customHeight="1">
      <c r="A43" s="5424"/>
      <c r="B43" s="3370" t="s">
        <v>170</v>
      </c>
      <c r="C43" s="3377">
        <f>'4. Отчет и прогн. потребление'!D34</f>
        <v>4.9559351853354028E-2</v>
      </c>
      <c r="D43" s="3377">
        <f>'4. Отчет и прогн. потребление'!E34</f>
        <v>4.5749316972098816E-2</v>
      </c>
      <c r="E43" s="3377">
        <f>'4. Отчет и прогн. потребление'!F34</f>
        <v>4.2014678851927487E-2</v>
      </c>
      <c r="F43" s="3377">
        <f>'4. Отчет и прогн. потребление'!G34</f>
        <v>3.858490914972932E-2</v>
      </c>
      <c r="G43" s="3377">
        <f>'4. Отчет и прогн. потребление'!H34</f>
        <v>3.535028728857554E-2</v>
      </c>
      <c r="H43" s="3377">
        <f>'4. Отчет и прогн. потребление'!I34</f>
        <v>3.2559088794389623E-2</v>
      </c>
    </row>
    <row r="44" spans="1:35" ht="15.95" customHeight="1">
      <c r="A44" s="5422" t="s">
        <v>585</v>
      </c>
      <c r="B44" s="3370" t="s">
        <v>1533</v>
      </c>
      <c r="C44" s="3376">
        <f>'4. Отчет и прогн. потребление'!D37</f>
        <v>18354832</v>
      </c>
      <c r="D44" s="3376">
        <f>'4. Отчет и прогн. потребление'!E37</f>
        <v>17823917.039999999</v>
      </c>
      <c r="E44" s="3376">
        <f>'4. Отчет и прогн. потребление'!F37</f>
        <v>17360598.528799996</v>
      </c>
      <c r="F44" s="3376">
        <f>'4. Отчет и прогн. потребление'!G37</f>
        <v>17027324.572935998</v>
      </c>
      <c r="G44" s="3376">
        <f>'4. Отчет и прогн. потребление'!H37</f>
        <v>16519145.208789077</v>
      </c>
      <c r="H44" s="3376">
        <f>'4. Отчет и прогн. потребление'!I37</f>
        <v>15564322.536368411</v>
      </c>
    </row>
    <row r="45" spans="1:35" ht="15.95" customHeight="1">
      <c r="A45" s="5422"/>
      <c r="B45" s="3370" t="s">
        <v>170</v>
      </c>
      <c r="C45" s="3377">
        <f>'4. Отчет и прогн. потребление'!D38</f>
        <v>0.66173227267729129</v>
      </c>
      <c r="D45" s="3377">
        <f>'4. Отчет и прогн. потребление'!E38</f>
        <v>0.65910034828726982</v>
      </c>
      <c r="E45" s="3377">
        <f>'4. Отчет и прогн. потребление'!F38</f>
        <v>0.6550689390615464</v>
      </c>
      <c r="F45" s="3377">
        <f>'4. Отчет и прогн. потребление'!G38</f>
        <v>0.65560559650354189</v>
      </c>
      <c r="G45" s="3377">
        <f>'4. Отчет и прогн. потребление'!H38</f>
        <v>0.64746569748692617</v>
      </c>
      <c r="H45" s="3377">
        <f>'4. Отчет и прогн. потребление'!I38</f>
        <v>0.62430411984911804</v>
      </c>
    </row>
    <row r="46" spans="1:35" ht="15.95" customHeight="1">
      <c r="A46" s="5419" t="s">
        <v>594</v>
      </c>
      <c r="B46" s="3417" t="s">
        <v>1533</v>
      </c>
      <c r="C46" s="3418">
        <f>'4. Отчет и прогн. потребление'!D43</f>
        <v>20084533</v>
      </c>
      <c r="D46" s="3418">
        <f>'4. Отчет и прогн. потребление'!E43</f>
        <v>19416152.539999999</v>
      </c>
      <c r="E46" s="3418">
        <f>'4. Отчет и прогн. потребление'!F43</f>
        <v>18829115.078799997</v>
      </c>
      <c r="F46" s="3418">
        <f>'4. Отчет и прогн. потребление'!G43</f>
        <v>18384494.067935999</v>
      </c>
      <c r="G46" s="3418">
        <f>'4. Отчет и прогн. потребление'!H43</f>
        <v>17776102.354289077</v>
      </c>
      <c r="H46" s="3418">
        <f>'4. Отчет и прогн. потребление'!I43</f>
        <v>16731088.567318412</v>
      </c>
    </row>
    <row r="47" spans="1:35" ht="15.95" customHeight="1">
      <c r="A47" s="5420"/>
      <c r="B47" s="3417" t="s">
        <v>170</v>
      </c>
      <c r="C47" s="3423">
        <f>'4. Отчет и прогн. потребление'!D44</f>
        <v>0.72409181777049525</v>
      </c>
      <c r="D47" s="3423">
        <f>'4. Отчет и прогн. потребление'!E44</f>
        <v>0.71797870652077267</v>
      </c>
      <c r="E47" s="3423">
        <f>'4. Отчет и прогн. потребление'!F44</f>
        <v>0.71048059879245762</v>
      </c>
      <c r="F47" s="3423">
        <f>'4. Отчет и прогн. потребление'!G44</f>
        <v>0.70786089430529542</v>
      </c>
      <c r="G47" s="3423">
        <f>'4. Отчет и прогн. потребление'!H44</f>
        <v>0.69673196548300431</v>
      </c>
      <c r="H47" s="3423">
        <f>'4. Отчет и прогн. потребление'!I44</f>
        <v>0.6711045403826833</v>
      </c>
    </row>
    <row r="48" spans="1:35" ht="15.95" customHeight="1">
      <c r="A48" s="5421"/>
      <c r="B48" s="3417" t="s">
        <v>1534</v>
      </c>
      <c r="C48" s="3424">
        <f>'4. Отчет и прогн. потребление'!D45</f>
        <v>17.163480289525634</v>
      </c>
      <c r="D48" s="3424">
        <f>'4. Отчет и прогн. потребление'!E45</f>
        <v>16.592307693622402</v>
      </c>
      <c r="E48" s="3424">
        <f>'4. Отчет и прогн. потребление'!F45</f>
        <v>16.090647739939666</v>
      </c>
      <c r="F48" s="3424">
        <f>'4. Отчет и прогн. потребление'!G45</f>
        <v>15.710691484234184</v>
      </c>
      <c r="G48" s="3424">
        <f>'4. Отчет и прогн. потребление'!H45</f>
        <v>15.190782996170773</v>
      </c>
      <c r="H48" s="3424">
        <f>'4. Отчет и прогн. потребление'!I45</f>
        <v>14.29775384110137</v>
      </c>
    </row>
    <row r="49" spans="1:8" ht="15.95" customHeight="1">
      <c r="A49" s="5414" t="s">
        <v>174</v>
      </c>
      <c r="B49" s="5415"/>
      <c r="C49" s="5415"/>
      <c r="D49" s="5415"/>
      <c r="E49" s="5415"/>
      <c r="F49" s="5415"/>
      <c r="G49" s="5415"/>
      <c r="H49" s="5416"/>
    </row>
    <row r="50" spans="1:8" ht="15.95" customHeight="1">
      <c r="A50" s="5423" t="s">
        <v>175</v>
      </c>
      <c r="B50" s="3417" t="s">
        <v>1533</v>
      </c>
      <c r="C50" s="3426">
        <f>'4. Отчет и прогн. потребление'!D48</f>
        <v>5745788</v>
      </c>
      <c r="D50" s="3426">
        <f>'4. Отчет и прогн. потребление'!E48</f>
        <v>5761148</v>
      </c>
      <c r="E50" s="3426">
        <f>'4. Отчет и прогн. потребление'!F48</f>
        <v>5702544.4887824822</v>
      </c>
      <c r="F50" s="3426">
        <f>'4. Отчет и прогн. потребление'!G48</f>
        <v>5643940.4462371534</v>
      </c>
      <c r="G50" s="3426">
        <f>'4. Отчет и прогн. потребление'!H48</f>
        <v>5585336.4036918264</v>
      </c>
      <c r="H50" s="3426">
        <f>'4. Отчет и прогн. потребление'!I48</f>
        <v>5534433.3120866613</v>
      </c>
    </row>
    <row r="51" spans="1:8" ht="15.95" customHeight="1">
      <c r="A51" s="5423"/>
      <c r="B51" s="3417" t="s">
        <v>170</v>
      </c>
      <c r="C51" s="3427">
        <f>'4. Отчет и прогн. потребление'!D49</f>
        <v>0.75078730388290005</v>
      </c>
      <c r="D51" s="3427">
        <f>'4. Отчет и прогн. потребление'!E49</f>
        <v>0.75539749176713067</v>
      </c>
      <c r="E51" s="3427">
        <f>'4. Отчет и прогн. потребление'!F49</f>
        <v>0.74321305735082366</v>
      </c>
      <c r="F51" s="3427">
        <f>'4. Отчет и прогн. потребление'!G49</f>
        <v>0.74385617038820184</v>
      </c>
      <c r="G51" s="3427">
        <f>'4. Отчет и прогн. потребление'!H49</f>
        <v>0.72185821530851646</v>
      </c>
      <c r="H51" s="3427">
        <f>'4. Отчет и прогн. потребление'!I49</f>
        <v>0.67496502700464145</v>
      </c>
    </row>
    <row r="52" spans="1:8" ht="15.95" customHeight="1">
      <c r="A52" s="3373" t="s">
        <v>177</v>
      </c>
      <c r="B52" s="3370" t="s">
        <v>1533</v>
      </c>
      <c r="C52" s="3374">
        <f>'4. Отчет и прогн. потребление'!D50</f>
        <v>4078944.9011609023</v>
      </c>
      <c r="D52" s="3374">
        <f>'4. Отчет и прогн. потребление'!E50</f>
        <v>4089849.3838810953</v>
      </c>
      <c r="E52" s="3374">
        <f>'4. Отчет и прогн. потребление'!F50</f>
        <v>4031210.4887824822</v>
      </c>
      <c r="F52" s="3374">
        <f>'4. Отчет и прогн. потребление'!G50</f>
        <v>3972571.4462371534</v>
      </c>
      <c r="G52" s="3374">
        <f>'4. Отчет и прогн. потребление'!H50</f>
        <v>3913932.4036918264</v>
      </c>
      <c r="H52" s="3374">
        <f>'4. Отчет и прогн. потребление'!I50</f>
        <v>3862994.3120866613</v>
      </c>
    </row>
    <row r="53" spans="1:8" ht="15.95" customHeight="1">
      <c r="A53" s="3373" t="s">
        <v>179</v>
      </c>
      <c r="B53" s="3370" t="s">
        <v>1533</v>
      </c>
      <c r="C53" s="3374">
        <f>'4. Отчет и прогн. потребление'!D51</f>
        <v>1666843.0988390977</v>
      </c>
      <c r="D53" s="3374">
        <f>'4. Отчет и прогн. потребление'!E51</f>
        <v>1671298.6161189049</v>
      </c>
      <c r="E53" s="3374">
        <f>'4. Отчет и прогн. потребление'!F51</f>
        <v>1671334</v>
      </c>
      <c r="F53" s="3374">
        <f>'4. Отчет и прогн. потребление'!G51</f>
        <v>1671369</v>
      </c>
      <c r="G53" s="3374">
        <f>'4. Отчет и прогн. потребление'!H51</f>
        <v>1671404</v>
      </c>
      <c r="H53" s="3374">
        <f>'4. Отчет и прогн. потребление'!I51</f>
        <v>1671439</v>
      </c>
    </row>
    <row r="54" spans="1:8" ht="15.95" customHeight="1">
      <c r="A54" s="5414" t="s">
        <v>184</v>
      </c>
      <c r="B54" s="5415"/>
      <c r="C54" s="5415"/>
      <c r="D54" s="5415"/>
      <c r="E54" s="5415"/>
      <c r="F54" s="5415"/>
      <c r="G54" s="5415"/>
      <c r="H54" s="5416"/>
    </row>
    <row r="55" spans="1:8" ht="15.95" customHeight="1">
      <c r="A55" s="5423" t="s">
        <v>185</v>
      </c>
      <c r="B55" s="3417" t="s">
        <v>1533</v>
      </c>
      <c r="C55" s="3426">
        <f>'4. Отчет и прогн. потребление'!D53</f>
        <v>4372096</v>
      </c>
      <c r="D55" s="3426">
        <f>'4. Отчет и прогн. потребление'!E53</f>
        <v>4464860.333333333</v>
      </c>
      <c r="E55" s="3426">
        <f>'4. Отчет и прогн. потребление'!F53</f>
        <v>4468577.6961832568</v>
      </c>
      <c r="F55" s="3426">
        <f>'4. Отчет и прогн. потребление'!G53</f>
        <v>4409914.3923665136</v>
      </c>
      <c r="G55" s="3426">
        <f>'4. Отчет и прогн. потребление'!H53</f>
        <v>4351251.0885497713</v>
      </c>
      <c r="H55" s="3426">
        <f>'4. Отчет и прогн. потребление'!I53</f>
        <v>4300296.5068105608</v>
      </c>
    </row>
    <row r="56" spans="1:8" ht="15.95" customHeight="1">
      <c r="A56" s="5423"/>
      <c r="B56" s="3417" t="s">
        <v>170</v>
      </c>
      <c r="C56" s="3427">
        <f>'4. Отчет и прогн. потребление'!D54</f>
        <v>0.57129051196410519</v>
      </c>
      <c r="D56" s="3427">
        <f>'4. Отчет и прогн. потребление'!E54</f>
        <v>0.58542920558377509</v>
      </c>
      <c r="E56" s="3427">
        <f>'4. Отчет и прогн. потребление'!F54</f>
        <v>0.58239007133096976</v>
      </c>
      <c r="F56" s="3427">
        <f>'4. Отчет и прогн. потребление'!G54</f>
        <v>0.58121485563026998</v>
      </c>
      <c r="G56" s="3427">
        <f>'4. Отчет и прогн. потребление'!H54</f>
        <v>0.56236296583024636</v>
      </c>
      <c r="H56" s="3427">
        <f>'4. Отчет и прогн. потребление'!I54</f>
        <v>0.52445292664534782</v>
      </c>
    </row>
    <row r="57" spans="1:8" ht="15.95" customHeight="1">
      <c r="A57" s="3373" t="s">
        <v>177</v>
      </c>
      <c r="B57" s="3370" t="s">
        <v>1533</v>
      </c>
      <c r="C57" s="3371">
        <f>'4. Отчет и прогн. потребление'!D55</f>
        <v>4155053</v>
      </c>
      <c r="D57" s="3371">
        <f>'4. Отчет и прогн. потребление'!E55</f>
        <v>4205070.333333333</v>
      </c>
      <c r="E57" s="3371">
        <f>'4. Отчет и прогн. потребление'!F55</f>
        <v>4146371.6961832568</v>
      </c>
      <c r="F57" s="3371">
        <f>'4. Отчет и прогн. потребление'!G55</f>
        <v>4087673.3923665136</v>
      </c>
      <c r="G57" s="3371">
        <f>'4. Отчет и прогн. потребление'!H55</f>
        <v>4028975.0885497713</v>
      </c>
      <c r="H57" s="3371">
        <f>'4. Отчет и прогн. потребление'!I55</f>
        <v>3977985.5068105613</v>
      </c>
    </row>
    <row r="58" spans="1:8" ht="15.95" customHeight="1">
      <c r="A58" s="3373" t="s">
        <v>179</v>
      </c>
      <c r="B58" s="3370" t="s">
        <v>1533</v>
      </c>
      <c r="C58" s="3371">
        <f>'4. Отчет и прогн. потребление'!D56</f>
        <v>217043</v>
      </c>
      <c r="D58" s="3371">
        <f>'4. Отчет и прогн. потребление'!E56</f>
        <v>259790</v>
      </c>
      <c r="E58" s="3371">
        <f>'4. Отчет и прогн. потребление'!F56</f>
        <v>322206</v>
      </c>
      <c r="F58" s="3371">
        <f>'4. Отчет и прогн. потребление'!G56</f>
        <v>322241</v>
      </c>
      <c r="G58" s="3371">
        <f>'4. Отчет и прогн. потребление'!H56</f>
        <v>322276</v>
      </c>
      <c r="H58" s="3371">
        <f>'4. Отчет и прогн. потребление'!I56</f>
        <v>322311</v>
      </c>
    </row>
    <row r="59" spans="1:8" ht="15.95" customHeight="1">
      <c r="A59" s="3375" t="s">
        <v>997</v>
      </c>
      <c r="B59" s="3370" t="s">
        <v>1533</v>
      </c>
      <c r="C59" s="3376">
        <f>'4. Отчет и прогн. потребление'!D58</f>
        <v>164876</v>
      </c>
      <c r="D59" s="3376">
        <f>'4. Отчет и прогн. потребление'!E58</f>
        <v>160790</v>
      </c>
      <c r="E59" s="3376">
        <f>'4. Отчет и прогн. потребление'!F58</f>
        <v>164897.54152296222</v>
      </c>
      <c r="F59" s="3376">
        <f>'4. Отчет и прогн. потребление'!G58</f>
        <v>164915.45370943082</v>
      </c>
      <c r="G59" s="3376">
        <f>'4. Отчет и прогн. потребление'!H58</f>
        <v>164933.36589589942</v>
      </c>
      <c r="H59" s="3376">
        <f>'4. Отчет и прогн. потребление'!I58</f>
        <v>164951.27808236802</v>
      </c>
    </row>
    <row r="60" spans="1:8" ht="15.95" customHeight="1">
      <c r="A60" s="3375" t="s">
        <v>998</v>
      </c>
      <c r="B60" s="3370" t="s">
        <v>1533</v>
      </c>
      <c r="C60" s="3376">
        <f>'4. Отчет и прогн. потребление'!D59</f>
        <v>42368.842418530672</v>
      </c>
      <c r="D60" s="3376">
        <f>'4. Отчет и прогн. потребление'!E59</f>
        <v>60000</v>
      </c>
      <c r="E60" s="3376">
        <f>'4. Отчет и прогн. потребление'!F59</f>
        <v>82796.736596517454</v>
      </c>
      <c r="F60" s="3376">
        <f>'4. Отчет и прогн. потребление'!G59</f>
        <v>82805.730487943685</v>
      </c>
      <c r="G60" s="3376">
        <f>'4. Отчет и прогн. потребление'!H59</f>
        <v>82814.724379369902</v>
      </c>
      <c r="H60" s="3376">
        <f>'4. Отчет и прогн. потребление'!I59</f>
        <v>82823.718270796133</v>
      </c>
    </row>
    <row r="61" spans="1:8" ht="15.95" customHeight="1">
      <c r="A61" s="3375" t="s">
        <v>999</v>
      </c>
      <c r="B61" s="3370" t="s">
        <v>1533</v>
      </c>
      <c r="C61" s="3376">
        <f>'4. Отчет и прогн. потребление'!D60</f>
        <v>9798.0031491938407</v>
      </c>
      <c r="D61" s="3376">
        <f>'4. Отчет и прогн. потребление'!E60</f>
        <v>39000</v>
      </c>
      <c r="E61" s="3376">
        <f>'4. Отчет и прогн. потребление'!F60</f>
        <v>74511.721880520345</v>
      </c>
      <c r="F61" s="3376">
        <f>'4. Отчет и прогн. потребление'!G60</f>
        <v>74519.815802625526</v>
      </c>
      <c r="G61" s="3376">
        <f>'4. Отчет и прогн. потребление'!H60</f>
        <v>74527.909724730693</v>
      </c>
      <c r="H61" s="3376">
        <f>'4. Отчет и прогн. потребление'!I60</f>
        <v>74536.003646835859</v>
      </c>
    </row>
    <row r="62" spans="1:8" ht="15.95" customHeight="1">
      <c r="A62" s="5414" t="s">
        <v>1236</v>
      </c>
      <c r="B62" s="5415"/>
      <c r="C62" s="5415"/>
      <c r="D62" s="5415"/>
      <c r="E62" s="5415"/>
      <c r="F62" s="5415"/>
      <c r="G62" s="5415"/>
      <c r="H62" s="5416"/>
    </row>
    <row r="63" spans="1:8" ht="15.95" customHeight="1">
      <c r="A63" s="3416" t="s">
        <v>570</v>
      </c>
      <c r="B63" s="3417" t="s">
        <v>1533</v>
      </c>
      <c r="C63" s="3418">
        <f>'4. Отчет и прогн. потребление'!D62</f>
        <v>0</v>
      </c>
      <c r="D63" s="3418">
        <f>'4. Отчет и прогн. потребление'!E62</f>
        <v>0</v>
      </c>
      <c r="E63" s="3418">
        <f>'4. Отчет и прогн. потребление'!F62</f>
        <v>0</v>
      </c>
      <c r="F63" s="3418">
        <f>'4. Отчет и прогн. потребление'!G62</f>
        <v>0</v>
      </c>
      <c r="G63" s="3418">
        <f>'4. Отчет и прогн. потребление'!H62</f>
        <v>0</v>
      </c>
      <c r="H63" s="3418">
        <f>'4. Отчет и прогн. потребление'!I62</f>
        <v>0</v>
      </c>
    </row>
    <row r="64" spans="1:8" ht="15.95" customHeight="1">
      <c r="A64" s="5417" t="s">
        <v>572</v>
      </c>
      <c r="B64" s="3370" t="s">
        <v>1533</v>
      </c>
      <c r="C64" s="3371">
        <f>'4. Отчет и прогн. потребление'!D69</f>
        <v>0</v>
      </c>
      <c r="D64" s="3371">
        <f>'4. Отчет и прогн. потребление'!E69</f>
        <v>0</v>
      </c>
      <c r="E64" s="3371">
        <f>'4. Отчет и прогн. потребление'!F69</f>
        <v>0</v>
      </c>
      <c r="F64" s="3371">
        <f>'4. Отчет и прогн. потребление'!G69</f>
        <v>0</v>
      </c>
      <c r="G64" s="3371">
        <f>'4. Отчет и прогн. потребление'!H69</f>
        <v>0</v>
      </c>
      <c r="H64" s="3371">
        <f>'4. Отчет и прогн. потребление'!I69</f>
        <v>0</v>
      </c>
    </row>
    <row r="65" spans="1:8" ht="15.95" customHeight="1">
      <c r="A65" s="5418"/>
      <c r="B65" s="3370" t="s">
        <v>170</v>
      </c>
      <c r="C65" s="3372">
        <f>'4. Отчет и прогн. потребление'!D70</f>
        <v>0</v>
      </c>
      <c r="D65" s="3372">
        <f>'4. Отчет и прогн. потребление'!E70</f>
        <v>0</v>
      </c>
      <c r="E65" s="3372">
        <f>'4. Отчет и прогн. потребление'!F70</f>
        <v>0</v>
      </c>
      <c r="F65" s="3372">
        <f>'4. Отчет и прогн. потребление'!G70</f>
        <v>0</v>
      </c>
      <c r="G65" s="3372">
        <f>'4. Отчет и прогн. потребление'!H70</f>
        <v>0</v>
      </c>
      <c r="H65" s="3372">
        <f>'4. Отчет и прогн. потребление'!I70</f>
        <v>0</v>
      </c>
    </row>
    <row r="66" spans="1:8" ht="15.95" customHeight="1">
      <c r="A66" s="5419" t="s">
        <v>594</v>
      </c>
      <c r="B66" s="3417" t="s">
        <v>1533</v>
      </c>
      <c r="C66" s="3418">
        <f>'4. Отчет и прогн. потребление'!D88</f>
        <v>0</v>
      </c>
      <c r="D66" s="3418">
        <f>'4. Отчет и прогн. потребление'!E88</f>
        <v>0</v>
      </c>
      <c r="E66" s="3418">
        <f>'4. Отчет и прогн. потребление'!F88</f>
        <v>0</v>
      </c>
      <c r="F66" s="3418">
        <f>'4. Отчет и прогн. потребление'!G88</f>
        <v>0</v>
      </c>
      <c r="G66" s="3418">
        <f>'4. Отчет и прогн. потребление'!H88</f>
        <v>0</v>
      </c>
      <c r="H66" s="3418">
        <f>'4. Отчет и прогн. потребление'!I88</f>
        <v>0</v>
      </c>
    </row>
    <row r="67" spans="1:8" ht="15.95" customHeight="1">
      <c r="A67" s="5420"/>
      <c r="B67" s="3417" t="s">
        <v>170</v>
      </c>
      <c r="C67" s="3425">
        <f>'4. Отчет и прогн. потребление'!D89</f>
        <v>0</v>
      </c>
      <c r="D67" s="3425">
        <f>'4. Отчет и прогн. потребление'!E89</f>
        <v>0</v>
      </c>
      <c r="E67" s="3425">
        <f>'4. Отчет и прогн. потребление'!F89</f>
        <v>0</v>
      </c>
      <c r="F67" s="3425">
        <f>'4. Отчет и прогн. потребление'!G89</f>
        <v>0</v>
      </c>
      <c r="G67" s="3425">
        <f>'4. Отчет и прогн. потребление'!H89</f>
        <v>0</v>
      </c>
      <c r="H67" s="3425">
        <f>'4. Отчет и прогн. потребление'!I89</f>
        <v>0</v>
      </c>
    </row>
    <row r="68" spans="1:8" ht="15.95" customHeight="1">
      <c r="A68" s="5421"/>
      <c r="B68" s="3417" t="s">
        <v>1534</v>
      </c>
      <c r="C68" s="3424">
        <f>'4. Отчет и прогн. потребление'!D90</f>
        <v>0</v>
      </c>
      <c r="D68" s="3424">
        <f>'4. Отчет и прогн. потребление'!E90</f>
        <v>0</v>
      </c>
      <c r="E68" s="3424">
        <f>'4. Отчет и прогн. потребление'!F90</f>
        <v>0</v>
      </c>
      <c r="F68" s="3424">
        <f>'4. Отчет и прогн. потребление'!G90</f>
        <v>0</v>
      </c>
      <c r="G68" s="3424">
        <f>'4. Отчет и прогн. потребление'!H90</f>
        <v>0</v>
      </c>
      <c r="H68" s="3424">
        <f>'4. Отчет и прогн. потребление'!I90</f>
        <v>0</v>
      </c>
    </row>
    <row r="69" spans="1:8" ht="15.95" customHeight="1">
      <c r="A69" s="5414" t="s">
        <v>1092</v>
      </c>
      <c r="B69" s="5415"/>
      <c r="C69" s="5415"/>
      <c r="D69" s="5415"/>
      <c r="E69" s="5415"/>
      <c r="F69" s="5415"/>
      <c r="G69" s="5415"/>
      <c r="H69" s="5416"/>
    </row>
    <row r="70" spans="1:8" ht="15.95" customHeight="1">
      <c r="A70" s="3416" t="s">
        <v>570</v>
      </c>
      <c r="B70" s="3417" t="s">
        <v>1533</v>
      </c>
      <c r="C70" s="3418">
        <f>'4. Отчет и прогн. потребление'!D93</f>
        <v>0</v>
      </c>
      <c r="D70" s="3418">
        <f>'4. Отчет и прогн. потребление'!E93</f>
        <v>0</v>
      </c>
      <c r="E70" s="3418">
        <f>'4. Отчет и прогн. потребление'!F93</f>
        <v>0</v>
      </c>
      <c r="F70" s="3418">
        <f>'4. Отчет и прогн. потребление'!G93</f>
        <v>0</v>
      </c>
      <c r="G70" s="3418">
        <f>'4. Отчет и прогн. потребление'!H93</f>
        <v>0</v>
      </c>
      <c r="H70" s="3418">
        <f>'4. Отчет и прогн. потребление'!I93</f>
        <v>0</v>
      </c>
    </row>
    <row r="71" spans="1:8" ht="15.95" customHeight="1">
      <c r="A71" s="5417" t="s">
        <v>572</v>
      </c>
      <c r="B71" s="3370" t="s">
        <v>1533</v>
      </c>
      <c r="C71" s="3371">
        <f>'4. Отчет и прогн. потребление'!D100</f>
        <v>0</v>
      </c>
      <c r="D71" s="3371">
        <f>'4. Отчет и прогн. потребление'!E100</f>
        <v>0</v>
      </c>
      <c r="E71" s="3371">
        <f>'4. Отчет и прогн. потребление'!F100</f>
        <v>0</v>
      </c>
      <c r="F71" s="3371">
        <f>'4. Отчет и прогн. потребление'!G100</f>
        <v>0</v>
      </c>
      <c r="G71" s="3371">
        <f>'4. Отчет и прогн. потребление'!H100</f>
        <v>0</v>
      </c>
      <c r="H71" s="3371">
        <f>'4. Отчет и прогн. потребление'!I100</f>
        <v>0</v>
      </c>
    </row>
    <row r="72" spans="1:8" ht="15.95" customHeight="1">
      <c r="A72" s="5418"/>
      <c r="B72" s="3370" t="s">
        <v>170</v>
      </c>
      <c r="C72" s="3372">
        <f>'4. Отчет и прогн. потребление'!D101</f>
        <v>0</v>
      </c>
      <c r="D72" s="3372">
        <f>'4. Отчет и прогн. потребление'!E101</f>
        <v>0</v>
      </c>
      <c r="E72" s="3372">
        <f>'4. Отчет и прогн. потребление'!F101</f>
        <v>0</v>
      </c>
      <c r="F72" s="3372">
        <f>'4. Отчет и прогн. потребление'!G101</f>
        <v>0</v>
      </c>
      <c r="G72" s="3372">
        <f>'4. Отчет и прогн. потребление'!H101</f>
        <v>0</v>
      </c>
      <c r="H72" s="3372">
        <f>'4. Отчет и прогн. потребление'!I101</f>
        <v>0</v>
      </c>
    </row>
    <row r="73" spans="1:8" ht="15.95" customHeight="1">
      <c r="A73" s="5419" t="s">
        <v>594</v>
      </c>
      <c r="B73" s="3417" t="s">
        <v>1533</v>
      </c>
      <c r="C73" s="3418">
        <f>'4. Отчет и прогн. потребление'!D110</f>
        <v>0</v>
      </c>
      <c r="D73" s="3418">
        <f>'4. Отчет и прогн. потребление'!E110</f>
        <v>0</v>
      </c>
      <c r="E73" s="3418">
        <f>'4. Отчет и прогн. потребление'!F110</f>
        <v>0</v>
      </c>
      <c r="F73" s="3418">
        <f>'4. Отчет и прогн. потребление'!G110</f>
        <v>0</v>
      </c>
      <c r="G73" s="3418">
        <f>'4. Отчет и прогн. потребление'!H110</f>
        <v>0</v>
      </c>
      <c r="H73" s="3418">
        <f>'4. Отчет и прогн. потребление'!I110</f>
        <v>0</v>
      </c>
    </row>
    <row r="74" spans="1:8" ht="15.95" customHeight="1">
      <c r="A74" s="5421"/>
      <c r="B74" s="3417" t="s">
        <v>170</v>
      </c>
      <c r="C74" s="3425">
        <f>'4. Отчет и прогн. потребление'!D111</f>
        <v>0</v>
      </c>
      <c r="D74" s="3425">
        <f>'4. Отчет и прогн. потребление'!E111</f>
        <v>0</v>
      </c>
      <c r="E74" s="3425">
        <f>'4. Отчет и прогн. потребление'!F111</f>
        <v>0</v>
      </c>
      <c r="F74" s="3425">
        <f>'4. Отчет и прогн. потребление'!G111</f>
        <v>0</v>
      </c>
      <c r="G74" s="3425">
        <f>'4. Отчет и прогн. потребление'!H111</f>
        <v>0</v>
      </c>
      <c r="H74" s="3425">
        <f>'4. Отчет и прогн. потребление'!I111</f>
        <v>0</v>
      </c>
    </row>
    <row r="76" spans="1:8" ht="15.75">
      <c r="A76" s="3430" t="s">
        <v>872</v>
      </c>
    </row>
    <row r="77" spans="1:8" ht="18" customHeight="1">
      <c r="A77" s="3390" t="s">
        <v>2</v>
      </c>
      <c r="B77" s="3391" t="s">
        <v>1535</v>
      </c>
      <c r="C77" s="4303" t="str">
        <f>+'15. ОПП'!$B$7</f>
        <v>2024 г.</v>
      </c>
      <c r="D77" s="4303" t="str">
        <f>+'15. ОПП'!$C$7</f>
        <v>2027 г.</v>
      </c>
      <c r="E77" s="4303" t="str">
        <f>+'15. ОПП'!$D$7</f>
        <v>2028 г.</v>
      </c>
      <c r="F77" s="4303" t="str">
        <f>+'15. ОПП'!$E$7</f>
        <v>2029 г.</v>
      </c>
      <c r="G77" s="4303" t="str">
        <f>+'15. ОПП'!$F$7</f>
        <v>2030 г.</v>
      </c>
      <c r="H77" s="4303" t="str">
        <f>+'15. ОПП'!$G$7</f>
        <v>2031 г.</v>
      </c>
    </row>
    <row r="78" spans="1:8" ht="18" customHeight="1">
      <c r="A78" s="3479" t="s">
        <v>1126</v>
      </c>
      <c r="B78" s="3389" t="s">
        <v>595</v>
      </c>
      <c r="C78" s="3526">
        <f>'7. Утайки от ПСОВ'!D19</f>
        <v>0</v>
      </c>
      <c r="D78" s="3526">
        <f>'7. Утайки от ПСОВ'!G19</f>
        <v>1200</v>
      </c>
      <c r="E78" s="3526">
        <f>'7. Утайки от ПСОВ'!H19</f>
        <v>1200</v>
      </c>
      <c r="F78" s="3526">
        <f>'7. Утайки от ПСОВ'!I19</f>
        <v>1023</v>
      </c>
      <c r="G78" s="3526">
        <f>'7. Утайки от ПСОВ'!J19</f>
        <v>400</v>
      </c>
      <c r="H78" s="3526">
        <f>'7. Утайки от ПСОВ'!K19</f>
        <v>0</v>
      </c>
    </row>
    <row r="79" spans="1:8" ht="18" customHeight="1">
      <c r="A79" s="3480" t="s">
        <v>1558</v>
      </c>
      <c r="B79" s="3389" t="s">
        <v>595</v>
      </c>
      <c r="C79" s="3526">
        <f>'7. Утайки от ПСОВ'!D14</f>
        <v>779</v>
      </c>
      <c r="D79" s="3526">
        <f>'7. Утайки от ПСОВ'!G14</f>
        <v>1000</v>
      </c>
      <c r="E79" s="3526">
        <f>'7. Утайки от ПСОВ'!H14</f>
        <v>1200</v>
      </c>
      <c r="F79" s="3526">
        <f>'7. Утайки от ПСОВ'!I14</f>
        <v>1000</v>
      </c>
      <c r="G79" s="3526">
        <f>'7. Утайки от ПСОВ'!J14</f>
        <v>1000</v>
      </c>
      <c r="H79" s="3526">
        <f>'7. Утайки от ПСОВ'!K14</f>
        <v>1000</v>
      </c>
    </row>
    <row r="80" spans="1:8" ht="18" customHeight="1">
      <c r="A80" s="3481" t="s">
        <v>1000</v>
      </c>
      <c r="B80" s="3482" t="s">
        <v>595</v>
      </c>
      <c r="C80" s="3644">
        <f>C78+C79</f>
        <v>779</v>
      </c>
      <c r="D80" s="3644">
        <f>D78+D79</f>
        <v>2200</v>
      </c>
      <c r="E80" s="3644">
        <f>E78+E79</f>
        <v>2400</v>
      </c>
      <c r="F80" s="3644">
        <f>F78+F79</f>
        <v>2023</v>
      </c>
      <c r="G80" s="3644">
        <f t="shared" ref="G80:H80" si="5">G78+G79</f>
        <v>1400</v>
      </c>
      <c r="H80" s="3644">
        <f t="shared" si="5"/>
        <v>1000</v>
      </c>
    </row>
    <row r="81" spans="1:8" ht="18" customHeight="1">
      <c r="A81" s="3483" t="s">
        <v>622</v>
      </c>
      <c r="B81" s="3483" t="s">
        <v>1561</v>
      </c>
      <c r="C81" s="4305">
        <f>'7. Утайки от ПСОВ'!D32</f>
        <v>112.01540436456996</v>
      </c>
      <c r="D81" s="4305">
        <f>'7. Утайки от ПСОВ'!G32</f>
        <v>95.454545454545453</v>
      </c>
      <c r="E81" s="4305">
        <f>'7. Утайки от ПСОВ'!H32</f>
        <v>91.875</v>
      </c>
      <c r="F81" s="4305">
        <f>'7. Утайки от ПСОВ'!I32</f>
        <v>114.44636678200692</v>
      </c>
      <c r="G81" s="4305">
        <f>'7. Утайки от ПСОВ'!J32</f>
        <v>122.53616071428573</v>
      </c>
      <c r="H81" s="4305">
        <f>'7. Утайки от ПСОВ'!K32</f>
        <v>127.62815625000002</v>
      </c>
    </row>
    <row r="82" spans="1:8" ht="18" customHeight="1">
      <c r="A82" s="3484"/>
      <c r="B82" s="3484"/>
      <c r="C82" s="4281"/>
      <c r="D82" s="4281"/>
      <c r="E82" s="4281"/>
      <c r="F82" s="4281"/>
      <c r="G82" s="4281"/>
      <c r="H82" s="4281"/>
    </row>
    <row r="83" spans="1:8" ht="18" customHeight="1">
      <c r="A83" s="3390" t="s">
        <v>2</v>
      </c>
      <c r="B83" s="3391" t="s">
        <v>1535</v>
      </c>
      <c r="C83" s="4303" t="str">
        <f>+'15. ОПП'!$B$7</f>
        <v>2024 г.</v>
      </c>
      <c r="D83" s="4303" t="str">
        <f>+'15. ОПП'!$C$7</f>
        <v>2027 г.</v>
      </c>
      <c r="E83" s="4303" t="str">
        <f>+'15. ОПП'!$D$7</f>
        <v>2028 г.</v>
      </c>
      <c r="F83" s="4303" t="str">
        <f>+'15. ОПП'!$E$7</f>
        <v>2029 г.</v>
      </c>
      <c r="G83" s="4303" t="str">
        <f>+'15. ОПП'!$F$7</f>
        <v>2030 г.</v>
      </c>
      <c r="H83" s="4303" t="str">
        <f>+'15. ОПП'!$G$7</f>
        <v>2031 г.</v>
      </c>
    </row>
    <row r="84" spans="1:8" ht="18" customHeight="1">
      <c r="A84" s="5403" t="s">
        <v>1126</v>
      </c>
      <c r="B84" s="3482" t="s">
        <v>1559</v>
      </c>
      <c r="C84" s="3644">
        <f>'7. Утайки от ПСОВ'!D39</f>
        <v>0</v>
      </c>
      <c r="D84" s="3644">
        <f>'7. Утайки от ПСОВ'!G39</f>
        <v>6000.0000000000009</v>
      </c>
      <c r="E84" s="3644">
        <f>'7. Утайки от ПСОВ'!H39</f>
        <v>6000.0000000000009</v>
      </c>
      <c r="F84" s="3644">
        <f>'7. Утайки от ПСОВ'!I39</f>
        <v>5115.0000000000009</v>
      </c>
      <c r="G84" s="3644">
        <f>'7. Утайки от ПСОВ'!J39</f>
        <v>2000.0000000000005</v>
      </c>
      <c r="H84" s="3644">
        <f>'7. Утайки от ПСОВ'!K39</f>
        <v>0</v>
      </c>
    </row>
    <row r="85" spans="1:8" ht="18" customHeight="1">
      <c r="A85" s="5403"/>
      <c r="B85" s="3389" t="s">
        <v>1560</v>
      </c>
      <c r="C85" s="4305">
        <f>'7. Утайки от ПСОВ'!D42</f>
        <v>0</v>
      </c>
      <c r="D85" s="4305">
        <f>'7. Утайки от ПСОВ'!G42</f>
        <v>17.499999999999996</v>
      </c>
      <c r="E85" s="4305">
        <f>'7. Утайки от ПСОВ'!H42</f>
        <v>18.374999999999996</v>
      </c>
      <c r="F85" s="4305">
        <f>'7. Утайки от ПСОВ'!I42</f>
        <v>22.631964809384161</v>
      </c>
      <c r="G85" s="4305">
        <f>'7. Утайки от ПСОВ'!J42</f>
        <v>24.999999999999993</v>
      </c>
      <c r="H85" s="4305">
        <f>'7. Утайки от ПСОВ'!K42</f>
        <v>0</v>
      </c>
    </row>
    <row r="86" spans="1:8" ht="18" customHeight="1">
      <c r="A86" s="5403" t="s">
        <v>1124</v>
      </c>
      <c r="B86" s="3482" t="s">
        <v>1559</v>
      </c>
      <c r="C86" s="3644">
        <f>'7. Утайки от ПСОВ'!D38</f>
        <v>5193.3333333333321</v>
      </c>
      <c r="D86" s="3644">
        <f>'7. Утайки от ПСОВ'!G38</f>
        <v>4000</v>
      </c>
      <c r="E86" s="3644">
        <f>'7. Утайки от ПСОВ'!H38</f>
        <v>4800</v>
      </c>
      <c r="F86" s="3644">
        <f>'7. Утайки от ПСОВ'!I38</f>
        <v>4000</v>
      </c>
      <c r="G86" s="3644">
        <f>'7. Утайки от ПСОВ'!J38</f>
        <v>4000</v>
      </c>
      <c r="H86" s="3644">
        <f>'7. Утайки от ПСОВ'!K38</f>
        <v>4000</v>
      </c>
    </row>
    <row r="87" spans="1:8" ht="18" customHeight="1">
      <c r="A87" s="5403"/>
      <c r="B87" s="3389" t="s">
        <v>1560</v>
      </c>
      <c r="C87" s="4305">
        <f>'7. Утайки от ПСОВ'!D41</f>
        <v>16.802310654685499</v>
      </c>
      <c r="D87" s="4305">
        <f>'7. Утайки от ПСОВ'!G41</f>
        <v>26.25</v>
      </c>
      <c r="E87" s="4305">
        <f>'7. Утайки от ПСОВ'!H41</f>
        <v>22.96875</v>
      </c>
      <c r="F87" s="4305">
        <f>'7. Утайки от ПСОВ'!I41</f>
        <v>28.940625000000001</v>
      </c>
      <c r="G87" s="4305">
        <f>'7. Утайки от ПСОВ'!J41</f>
        <v>30.387656250000003</v>
      </c>
      <c r="H87" s="4305">
        <f>'7. Утайки от ПСОВ'!K41</f>
        <v>31.907039062500004</v>
      </c>
    </row>
  </sheetData>
  <mergeCells count="36">
    <mergeCell ref="A42:A43"/>
    <mergeCell ref="A2:A3"/>
    <mergeCell ref="B2:B3"/>
    <mergeCell ref="C2:H2"/>
    <mergeCell ref="A13:A14"/>
    <mergeCell ref="B13:B14"/>
    <mergeCell ref="C13:H13"/>
    <mergeCell ref="A31:H31"/>
    <mergeCell ref="A33:A34"/>
    <mergeCell ref="A35:A36"/>
    <mergeCell ref="A37:A38"/>
    <mergeCell ref="A39:A41"/>
    <mergeCell ref="A71:A72"/>
    <mergeCell ref="A73:A74"/>
    <mergeCell ref="A44:A45"/>
    <mergeCell ref="A46:A48"/>
    <mergeCell ref="A49:H49"/>
    <mergeCell ref="A50:A51"/>
    <mergeCell ref="A54:H54"/>
    <mergeCell ref="A55:A56"/>
    <mergeCell ref="Y2:AI2"/>
    <mergeCell ref="Y35:AI35"/>
    <mergeCell ref="A86:A87"/>
    <mergeCell ref="J2:J4"/>
    <mergeCell ref="L3:Q3"/>
    <mergeCell ref="K3:K4"/>
    <mergeCell ref="K2:W2"/>
    <mergeCell ref="R3:W3"/>
    <mergeCell ref="A84:A85"/>
    <mergeCell ref="A29:A30"/>
    <mergeCell ref="B29:B30"/>
    <mergeCell ref="C29:H29"/>
    <mergeCell ref="A62:H62"/>
    <mergeCell ref="A64:A65"/>
    <mergeCell ref="A66:A68"/>
    <mergeCell ref="A69:H6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CC"/>
  </sheetPr>
  <dimension ref="A1:Z145"/>
  <sheetViews>
    <sheetView showGridLines="0" view="pageBreakPreview" zoomScaleNormal="40" zoomScaleSheetLayoutView="100" workbookViewId="0">
      <pane xSplit="4" ySplit="8" topLeftCell="N9" activePane="bottomRight" state="frozen"/>
      <selection pane="topRight" activeCell="E1" sqref="E1"/>
      <selection pane="bottomLeft" activeCell="A8" sqref="A8"/>
      <selection pane="bottomRight" activeCell="E74" sqref="E74:J74"/>
    </sheetView>
  </sheetViews>
  <sheetFormatPr defaultColWidth="9.140625" defaultRowHeight="12.75"/>
  <cols>
    <col min="1" max="1" width="14.140625" style="1" customWidth="1"/>
    <col min="2" max="2" width="7.42578125" style="1" customWidth="1"/>
    <col min="3" max="3" width="53.42578125" style="1" customWidth="1"/>
    <col min="4" max="4" width="6.5703125" style="326" customWidth="1"/>
    <col min="5" max="10" width="11" style="326" customWidth="1"/>
    <col min="11" max="16" width="9.5703125" style="326" customWidth="1"/>
    <col min="17" max="17" width="22.5703125" style="326" customWidth="1"/>
    <col min="18" max="18" width="23.5703125" style="326" customWidth="1"/>
    <col min="19" max="19" width="2" style="1" customWidth="1"/>
    <col min="20" max="20" width="9.140625" style="1"/>
    <col min="21" max="26" width="12.85546875" style="1" customWidth="1"/>
    <col min="27" max="16384" width="9.140625" style="1"/>
  </cols>
  <sheetData>
    <row r="1" spans="1:19" ht="31.5" customHeight="1" thickBot="1">
      <c r="A1" s="4792" t="str">
        <f>+'1. Обща информация'!B40</f>
        <v>Фиксиран курс на лева към 1 евро</v>
      </c>
      <c r="B1" s="4792"/>
      <c r="C1" s="4793">
        <f>+'1. Обща информация'!$C$40</f>
        <v>1.95583</v>
      </c>
      <c r="D1" s="4793"/>
      <c r="E1" s="1619"/>
      <c r="G1" s="1620"/>
      <c r="H1" s="1620"/>
      <c r="I1" s="1620"/>
      <c r="R1" s="3129" t="s">
        <v>0</v>
      </c>
    </row>
    <row r="2" spans="1:19" s="646" customFormat="1" ht="18.75" customHeight="1">
      <c r="A2" s="4803" t="s">
        <v>1291</v>
      </c>
      <c r="B2" s="4803"/>
      <c r="C2" s="4803"/>
      <c r="D2" s="4803"/>
      <c r="E2" s="4803"/>
      <c r="F2" s="4803"/>
      <c r="G2" s="4803"/>
      <c r="H2" s="4803"/>
      <c r="I2" s="4803"/>
      <c r="J2" s="4803"/>
      <c r="K2" s="4803"/>
      <c r="L2" s="4803"/>
      <c r="M2" s="4803"/>
      <c r="N2" s="4803"/>
      <c r="O2" s="4803"/>
      <c r="P2" s="4803"/>
      <c r="Q2" s="4803"/>
      <c r="R2" s="4803"/>
    </row>
    <row r="3" spans="1:19" s="646" customFormat="1" ht="18.75" customHeight="1">
      <c r="A3" s="4803" t="s">
        <v>1290</v>
      </c>
      <c r="B3" s="4803"/>
      <c r="C3" s="4803"/>
      <c r="D3" s="4803"/>
      <c r="E3" s="4803"/>
      <c r="F3" s="4803"/>
      <c r="G3" s="4803"/>
      <c r="H3" s="4803"/>
      <c r="I3" s="4803"/>
      <c r="J3" s="4803"/>
      <c r="K3" s="4803"/>
      <c r="L3" s="4803"/>
      <c r="M3" s="4803"/>
      <c r="N3" s="4803"/>
      <c r="O3" s="4803"/>
      <c r="P3" s="4803"/>
      <c r="Q3" s="4803"/>
      <c r="R3" s="4803"/>
    </row>
    <row r="4" spans="1:19" s="3696" customFormat="1" ht="15.75" customHeight="1">
      <c r="A4" s="4804" t="str">
        <f>'1. Обща информация'!A4:D4</f>
        <v>на ВОДОСНАБДЯВАНЕ И КАНАЛИЗАЦИЯ ЕООД, гр. ХАСКОВО</v>
      </c>
      <c r="B4" s="4804"/>
      <c r="C4" s="4804"/>
      <c r="D4" s="4804"/>
      <c r="E4" s="4804"/>
      <c r="F4" s="4804"/>
      <c r="G4" s="4804"/>
      <c r="H4" s="4804"/>
      <c r="I4" s="4804"/>
      <c r="J4" s="4804"/>
      <c r="K4" s="4804"/>
      <c r="L4" s="4804"/>
      <c r="M4" s="4804"/>
      <c r="N4" s="4804"/>
      <c r="O4" s="4804"/>
      <c r="P4" s="4804"/>
      <c r="Q4" s="4804"/>
      <c r="R4" s="4804"/>
    </row>
    <row r="5" spans="1:19" ht="15.75" customHeight="1">
      <c r="A5" s="4804" t="str">
        <f>'1. Обща информация'!A5:D5</f>
        <v>ЕИК по БУЛСТАТ: 126004284</v>
      </c>
      <c r="B5" s="4804"/>
      <c r="C5" s="4804"/>
      <c r="D5" s="4804"/>
      <c r="E5" s="4804"/>
      <c r="F5" s="4804"/>
      <c r="G5" s="4804"/>
      <c r="H5" s="4804"/>
      <c r="I5" s="4804"/>
      <c r="J5" s="4804"/>
      <c r="K5" s="4804"/>
      <c r="L5" s="4804"/>
      <c r="M5" s="4804"/>
      <c r="N5" s="4804"/>
      <c r="O5" s="4804"/>
      <c r="P5" s="4804"/>
      <c r="Q5" s="4804"/>
      <c r="R5" s="4804"/>
    </row>
    <row r="6" spans="1:19" ht="16.5" thickBot="1">
      <c r="B6" s="3665"/>
      <c r="C6" s="3665"/>
      <c r="D6" s="3665"/>
      <c r="E6" s="3665"/>
      <c r="F6" s="3665"/>
      <c r="G6" s="3665"/>
      <c r="H6" s="3665"/>
      <c r="I6" s="3665"/>
      <c r="J6" s="3665"/>
      <c r="K6" s="3665"/>
      <c r="L6" s="3665"/>
      <c r="M6" s="3665"/>
      <c r="N6" s="3665"/>
      <c r="O6" s="3665"/>
      <c r="P6" s="3665"/>
    </row>
    <row r="7" spans="1:19" ht="30" customHeight="1" thickBot="1">
      <c r="A7" s="4813" t="s">
        <v>848</v>
      </c>
      <c r="B7" s="4820" t="s">
        <v>1</v>
      </c>
      <c r="C7" s="4818" t="s">
        <v>2</v>
      </c>
      <c r="D7" s="4816" t="s">
        <v>746</v>
      </c>
      <c r="E7" s="4809" t="s">
        <v>922</v>
      </c>
      <c r="F7" s="4810"/>
      <c r="G7" s="4810"/>
      <c r="H7" s="4810"/>
      <c r="I7" s="4810"/>
      <c r="J7" s="4811"/>
      <c r="K7" s="4809" t="s">
        <v>836</v>
      </c>
      <c r="L7" s="4810"/>
      <c r="M7" s="4810"/>
      <c r="N7" s="4810"/>
      <c r="O7" s="4810"/>
      <c r="P7" s="4811"/>
      <c r="Q7" s="4807" t="s">
        <v>986</v>
      </c>
      <c r="R7" s="4808"/>
      <c r="S7" s="4422"/>
    </row>
    <row r="8" spans="1:19" ht="21" customHeight="1" thickBot="1">
      <c r="A8" s="4814"/>
      <c r="B8" s="4821"/>
      <c r="C8" s="4819"/>
      <c r="D8" s="4817"/>
      <c r="E8" s="4175" t="str">
        <f>'Приложение '!$C$12</f>
        <v>2024 г.</v>
      </c>
      <c r="F8" s="4176" t="str">
        <f>'Приложение '!$C$14</f>
        <v>2027 г.</v>
      </c>
      <c r="G8" s="4176" t="str">
        <f>'Приложение '!$C$15</f>
        <v>2028 г.</v>
      </c>
      <c r="H8" s="4176" t="str">
        <f>'Приложение '!$C$16</f>
        <v>2029 г.</v>
      </c>
      <c r="I8" s="4176" t="str">
        <f>'Приложение '!$C$17</f>
        <v>2030 г.</v>
      </c>
      <c r="J8" s="4177" t="str">
        <f>'Приложение '!$C$18</f>
        <v>2031 г.</v>
      </c>
      <c r="K8" s="4175" t="str">
        <f t="shared" ref="K8:Q8" si="0">E8</f>
        <v>2024 г.</v>
      </c>
      <c r="L8" s="4176" t="str">
        <f t="shared" si="0"/>
        <v>2027 г.</v>
      </c>
      <c r="M8" s="4176" t="str">
        <f t="shared" si="0"/>
        <v>2028 г.</v>
      </c>
      <c r="N8" s="4176" t="str">
        <f t="shared" si="0"/>
        <v>2029 г.</v>
      </c>
      <c r="O8" s="4176" t="str">
        <f t="shared" si="0"/>
        <v>2030 г.</v>
      </c>
      <c r="P8" s="4178" t="str">
        <f t="shared" si="0"/>
        <v>2031 г.</v>
      </c>
      <c r="Q8" s="4163" t="str">
        <f t="shared" si="0"/>
        <v>2024 г.</v>
      </c>
      <c r="R8" s="4164" t="str">
        <f>P8</f>
        <v>2031 г.</v>
      </c>
      <c r="S8" s="4422"/>
    </row>
    <row r="9" spans="1:19" ht="16.5" thickBot="1">
      <c r="A9" s="4800" t="s">
        <v>1113</v>
      </c>
      <c r="B9" s="4801"/>
      <c r="C9" s="4801"/>
      <c r="D9" s="4801"/>
      <c r="E9" s="4801"/>
      <c r="F9" s="4801"/>
      <c r="G9" s="4801"/>
      <c r="H9" s="4801"/>
      <c r="I9" s="4801"/>
      <c r="J9" s="4801"/>
      <c r="K9" s="4801"/>
      <c r="L9" s="4801"/>
      <c r="M9" s="4801"/>
      <c r="N9" s="4801"/>
      <c r="O9" s="4801"/>
      <c r="P9" s="4801"/>
      <c r="Q9" s="4801"/>
      <c r="R9" s="4802"/>
      <c r="S9" s="4422"/>
    </row>
    <row r="10" spans="1:19" ht="67.5" customHeight="1">
      <c r="A10" s="4794" t="s">
        <v>849</v>
      </c>
      <c r="B10" s="3359" t="s">
        <v>3</v>
      </c>
      <c r="C10" s="1621" t="s">
        <v>1414</v>
      </c>
      <c r="D10" s="482" t="s">
        <v>784</v>
      </c>
      <c r="E10" s="336">
        <f>'4.1. Фактурирани количества'!F13</f>
        <v>206474</v>
      </c>
      <c r="F10" s="1622">
        <f>'4.1. Фактурирани количества'!G13</f>
        <v>191730</v>
      </c>
      <c r="G10" s="284">
        <f>'4.1. Фактурирани количества'!H13</f>
        <v>188943.39655278841</v>
      </c>
      <c r="H10" s="284">
        <f>'4.1. Фактурирани количества'!I13</f>
        <v>186285.10735546594</v>
      </c>
      <c r="I10" s="284">
        <f>'4.1. Фактурирани количества'!J13</f>
        <v>183626.81815814349</v>
      </c>
      <c r="J10" s="285">
        <f>'4.1. Фактурирани количества'!K13</f>
        <v>181334.16705569168</v>
      </c>
      <c r="K10" s="78">
        <v>1</v>
      </c>
      <c r="L10" s="75">
        <v>1</v>
      </c>
      <c r="M10" s="75">
        <v>1</v>
      </c>
      <c r="N10" s="75">
        <v>1</v>
      </c>
      <c r="O10" s="75">
        <v>1</v>
      </c>
      <c r="P10" s="71">
        <v>1</v>
      </c>
      <c r="Q10" s="128" t="s">
        <v>1994</v>
      </c>
      <c r="R10" s="129" t="s">
        <v>1994</v>
      </c>
      <c r="S10" s="4422"/>
    </row>
    <row r="11" spans="1:19" ht="66" customHeight="1">
      <c r="A11" s="4796"/>
      <c r="B11" s="3360" t="s">
        <v>33</v>
      </c>
      <c r="C11" s="1623" t="s">
        <v>1415</v>
      </c>
      <c r="D11" s="483" t="s">
        <v>784</v>
      </c>
      <c r="E11" s="893">
        <f>'4.1. Фактурирани количества'!F49</f>
        <v>146713</v>
      </c>
      <c r="F11" s="1624">
        <f>'4.1. Фактурирани количества'!G49</f>
        <v>136085.89494781918</v>
      </c>
      <c r="G11" s="1625">
        <f>'4.1. Фактурирани количества'!H49</f>
        <v>134137.63690561158</v>
      </c>
      <c r="H11" s="1625">
        <f>'4.1. Фактурирани количества'!I49</f>
        <v>132189.37886340395</v>
      </c>
      <c r="I11" s="1625">
        <f>'4.1. Фактурирани количества'!J49</f>
        <v>130241.12082119638</v>
      </c>
      <c r="J11" s="1626">
        <f>'4.1. Фактурирани количества'!K49</f>
        <v>128552.67206157526</v>
      </c>
      <c r="K11" s="79">
        <v>1</v>
      </c>
      <c r="L11" s="76">
        <v>1</v>
      </c>
      <c r="M11" s="76">
        <v>1</v>
      </c>
      <c r="N11" s="76">
        <v>1</v>
      </c>
      <c r="O11" s="76">
        <v>1</v>
      </c>
      <c r="P11" s="72">
        <v>1</v>
      </c>
      <c r="Q11" s="128" t="s">
        <v>1994</v>
      </c>
      <c r="R11" s="129" t="s">
        <v>1994</v>
      </c>
      <c r="S11" s="4422"/>
    </row>
    <row r="12" spans="1:19" ht="71.25" customHeight="1">
      <c r="A12" s="4796"/>
      <c r="B12" s="3360" t="s">
        <v>34</v>
      </c>
      <c r="C12" s="1623" t="s">
        <v>1416</v>
      </c>
      <c r="D12" s="483" t="s">
        <v>784</v>
      </c>
      <c r="E12" s="893">
        <f>'4.1. Фактурирани количества'!F82</f>
        <v>110165</v>
      </c>
      <c r="F12" s="1624">
        <f>'4.1. Фактурирани количества'!G82</f>
        <v>102193.45730048804</v>
      </c>
      <c r="G12" s="1625">
        <f>'4.1. Фактурирани количества'!H82</f>
        <v>100738.75483226913</v>
      </c>
      <c r="H12" s="1625">
        <f>'4.1. Фактурирани количества'!I82</f>
        <v>99284.052364050222</v>
      </c>
      <c r="I12" s="1625">
        <f>'4.1. Фактурирани количества'!J82</f>
        <v>97829.349895831328</v>
      </c>
      <c r="J12" s="1626">
        <f>'4.1. Фактурирани количества'!K82</f>
        <v>96569.735045043315</v>
      </c>
      <c r="K12" s="79">
        <v>1</v>
      </c>
      <c r="L12" s="76">
        <v>1</v>
      </c>
      <c r="M12" s="76">
        <v>1</v>
      </c>
      <c r="N12" s="76">
        <v>1</v>
      </c>
      <c r="O12" s="76">
        <v>1</v>
      </c>
      <c r="P12" s="72">
        <v>1</v>
      </c>
      <c r="Q12" s="128" t="s">
        <v>1994</v>
      </c>
      <c r="R12" s="72" t="s">
        <v>1994</v>
      </c>
      <c r="S12" s="4422"/>
    </row>
    <row r="13" spans="1:19" ht="41.25" customHeight="1" thickBot="1">
      <c r="A13" s="4795"/>
      <c r="B13" s="3361" t="s">
        <v>4</v>
      </c>
      <c r="C13" s="1627" t="s">
        <v>1420</v>
      </c>
      <c r="D13" s="484" t="s">
        <v>784</v>
      </c>
      <c r="E13" s="329">
        <v>207114</v>
      </c>
      <c r="F13" s="186">
        <v>192289.6</v>
      </c>
      <c r="G13" s="186">
        <v>189489.39999999997</v>
      </c>
      <c r="H13" s="186">
        <v>186689.19999999995</v>
      </c>
      <c r="I13" s="186">
        <v>183889</v>
      </c>
      <c r="J13" s="187">
        <v>181456</v>
      </c>
      <c r="K13" s="80">
        <v>1</v>
      </c>
      <c r="L13" s="73">
        <v>1</v>
      </c>
      <c r="M13" s="73">
        <v>1</v>
      </c>
      <c r="N13" s="73">
        <v>1</v>
      </c>
      <c r="O13" s="73">
        <v>1</v>
      </c>
      <c r="P13" s="74">
        <v>1</v>
      </c>
      <c r="Q13" s="128" t="s">
        <v>1995</v>
      </c>
      <c r="R13" s="74" t="s">
        <v>1995</v>
      </c>
      <c r="S13" s="4422"/>
    </row>
    <row r="14" spans="1:19" ht="25.5">
      <c r="A14" s="4797" t="s">
        <v>852</v>
      </c>
      <c r="B14" s="3359" t="s">
        <v>32</v>
      </c>
      <c r="C14" s="1621" t="s">
        <v>816</v>
      </c>
      <c r="D14" s="482" t="s">
        <v>784</v>
      </c>
      <c r="E14" s="336">
        <f>'4.1. Фактурирани количества'!F17</f>
        <v>157246</v>
      </c>
      <c r="F14" s="1622">
        <f>'4.1. Фактурирани количества'!G17</f>
        <v>155941</v>
      </c>
      <c r="G14" s="284">
        <f>'4.1. Фактурирани количества'!H17</f>
        <v>156041</v>
      </c>
      <c r="H14" s="284">
        <f>'4.1. Фактурирани количества'!I17</f>
        <v>156141</v>
      </c>
      <c r="I14" s="284">
        <f>'4.1. Фактурирани количества'!J17</f>
        <v>156241</v>
      </c>
      <c r="J14" s="285">
        <f>'4.1. Фактурирани количества'!K17</f>
        <v>156341</v>
      </c>
      <c r="K14" s="78">
        <v>1</v>
      </c>
      <c r="L14" s="70">
        <v>1</v>
      </c>
      <c r="M14" s="70">
        <v>1</v>
      </c>
      <c r="N14" s="70">
        <v>1</v>
      </c>
      <c r="O14" s="70">
        <v>1</v>
      </c>
      <c r="P14" s="71">
        <v>1</v>
      </c>
      <c r="Q14" s="390" t="s">
        <v>1996</v>
      </c>
      <c r="R14" s="71" t="s">
        <v>1996</v>
      </c>
      <c r="S14" s="4422"/>
    </row>
    <row r="15" spans="1:19" ht="25.5">
      <c r="A15" s="4798"/>
      <c r="B15" s="3360"/>
      <c r="C15" s="1623" t="s">
        <v>850</v>
      </c>
      <c r="D15" s="483" t="s">
        <v>784</v>
      </c>
      <c r="E15" s="893">
        <f>'4.1. Фактурирани количества'!F53</f>
        <v>102209.90000000001</v>
      </c>
      <c r="F15" s="1624">
        <f>'4.1. Фактурирани количества'!G53</f>
        <v>99763</v>
      </c>
      <c r="G15" s="1625">
        <f>'4.1. Фактурирани количества'!H53</f>
        <v>99359</v>
      </c>
      <c r="H15" s="1625">
        <f>'4.1. Фактурирани количества'!I53</f>
        <v>98957</v>
      </c>
      <c r="I15" s="1625">
        <f>'4.1. Фактурирани количества'!J53</f>
        <v>98557</v>
      </c>
      <c r="J15" s="1626">
        <f>'4.1. Фактурирани количества'!K53</f>
        <v>98159</v>
      </c>
      <c r="K15" s="79">
        <v>1</v>
      </c>
      <c r="L15" s="69">
        <v>1</v>
      </c>
      <c r="M15" s="69">
        <v>1</v>
      </c>
      <c r="N15" s="69">
        <v>1</v>
      </c>
      <c r="O15" s="69">
        <v>1</v>
      </c>
      <c r="P15" s="72">
        <v>1</v>
      </c>
      <c r="Q15" s="389" t="s">
        <v>1996</v>
      </c>
      <c r="R15" s="72" t="s">
        <v>1996</v>
      </c>
      <c r="S15" s="4422"/>
    </row>
    <row r="16" spans="1:19" ht="26.25" thickBot="1">
      <c r="A16" s="4799"/>
      <c r="B16" s="3361"/>
      <c r="C16" s="1627" t="s">
        <v>851</v>
      </c>
      <c r="D16" s="484" t="s">
        <v>784</v>
      </c>
      <c r="E16" s="337">
        <f>'4.1. Фактурирани количества'!F86</f>
        <v>83918</v>
      </c>
      <c r="F16" s="1628">
        <f>'4.1. Фактурирани количества'!G86</f>
        <v>80833</v>
      </c>
      <c r="G16" s="286">
        <f>'4.1. Фактурирани количества'!H86</f>
        <v>80530</v>
      </c>
      <c r="H16" s="286">
        <f>'4.1. Фактурирани количества'!I86</f>
        <v>80230</v>
      </c>
      <c r="I16" s="286">
        <f>'4.1. Фактурирани количества'!J86</f>
        <v>79931</v>
      </c>
      <c r="J16" s="287">
        <f>'4.1. Фактурирани количества'!K86</f>
        <v>79634</v>
      </c>
      <c r="K16" s="80">
        <v>1</v>
      </c>
      <c r="L16" s="73">
        <v>1</v>
      </c>
      <c r="M16" s="73">
        <v>1</v>
      </c>
      <c r="N16" s="73">
        <v>1</v>
      </c>
      <c r="O16" s="73">
        <v>1</v>
      </c>
      <c r="P16" s="74">
        <v>1</v>
      </c>
      <c r="Q16" s="128" t="s">
        <v>1996</v>
      </c>
      <c r="R16" s="74" t="s">
        <v>1996</v>
      </c>
      <c r="S16" s="4422"/>
    </row>
    <row r="17" spans="1:19" ht="38.25">
      <c r="A17" s="4794" t="s">
        <v>859</v>
      </c>
      <c r="B17" s="3359"/>
      <c r="C17" s="1621" t="s">
        <v>855</v>
      </c>
      <c r="D17" s="482" t="s">
        <v>784</v>
      </c>
      <c r="E17" s="328">
        <v>225</v>
      </c>
      <c r="F17" s="181">
        <v>225</v>
      </c>
      <c r="G17" s="181">
        <v>225</v>
      </c>
      <c r="H17" s="181">
        <v>225</v>
      </c>
      <c r="I17" s="181">
        <v>225</v>
      </c>
      <c r="J17" s="182">
        <v>225</v>
      </c>
      <c r="K17" s="78">
        <v>1</v>
      </c>
      <c r="L17" s="70">
        <v>1</v>
      </c>
      <c r="M17" s="70">
        <v>1</v>
      </c>
      <c r="N17" s="70">
        <v>1</v>
      </c>
      <c r="O17" s="70">
        <v>1</v>
      </c>
      <c r="P17" s="71">
        <v>1</v>
      </c>
      <c r="Q17" s="70" t="s">
        <v>1994</v>
      </c>
      <c r="R17" s="71" t="s">
        <v>1994</v>
      </c>
      <c r="S17" s="4422"/>
    </row>
    <row r="18" spans="1:19" ht="38.25">
      <c r="A18" s="4796"/>
      <c r="B18" s="3360"/>
      <c r="C18" s="1623" t="s">
        <v>856</v>
      </c>
      <c r="D18" s="483" t="s">
        <v>784</v>
      </c>
      <c r="E18" s="327">
        <v>9</v>
      </c>
      <c r="F18" s="183">
        <v>9</v>
      </c>
      <c r="G18" s="183">
        <v>9</v>
      </c>
      <c r="H18" s="183">
        <v>9</v>
      </c>
      <c r="I18" s="183">
        <v>9</v>
      </c>
      <c r="J18" s="184">
        <v>9</v>
      </c>
      <c r="K18" s="79">
        <v>1</v>
      </c>
      <c r="L18" s="69">
        <v>1</v>
      </c>
      <c r="M18" s="69">
        <v>1</v>
      </c>
      <c r="N18" s="69">
        <v>1</v>
      </c>
      <c r="O18" s="69">
        <v>1</v>
      </c>
      <c r="P18" s="72">
        <v>1</v>
      </c>
      <c r="Q18" s="69" t="s">
        <v>1994</v>
      </c>
      <c r="R18" s="72" t="s">
        <v>1994</v>
      </c>
      <c r="S18" s="4422"/>
    </row>
    <row r="19" spans="1:19" ht="38.25">
      <c r="A19" s="4796"/>
      <c r="B19" s="1629"/>
      <c r="C19" s="1623" t="s">
        <v>857</v>
      </c>
      <c r="D19" s="483" t="s">
        <v>784</v>
      </c>
      <c r="E19" s="327">
        <v>4</v>
      </c>
      <c r="F19" s="183">
        <v>4</v>
      </c>
      <c r="G19" s="183">
        <v>4</v>
      </c>
      <c r="H19" s="183">
        <v>4</v>
      </c>
      <c r="I19" s="183">
        <v>5</v>
      </c>
      <c r="J19" s="184">
        <v>5</v>
      </c>
      <c r="K19" s="79">
        <v>1</v>
      </c>
      <c r="L19" s="69">
        <v>1</v>
      </c>
      <c r="M19" s="69">
        <v>1</v>
      </c>
      <c r="N19" s="69">
        <v>1</v>
      </c>
      <c r="O19" s="69">
        <v>1</v>
      </c>
      <c r="P19" s="72">
        <v>1</v>
      </c>
      <c r="Q19" s="69" t="s">
        <v>1994</v>
      </c>
      <c r="R19" s="72" t="s">
        <v>1994</v>
      </c>
      <c r="S19" s="4422"/>
    </row>
    <row r="20" spans="1:19" ht="26.25" thickBot="1">
      <c r="A20" s="4795"/>
      <c r="B20" s="1630"/>
      <c r="C20" s="1627" t="s">
        <v>858</v>
      </c>
      <c r="D20" s="484" t="s">
        <v>784</v>
      </c>
      <c r="E20" s="329">
        <v>261</v>
      </c>
      <c r="F20" s="186">
        <v>261</v>
      </c>
      <c r="G20" s="186">
        <v>261</v>
      </c>
      <c r="H20" s="186">
        <v>261</v>
      </c>
      <c r="I20" s="186">
        <v>261</v>
      </c>
      <c r="J20" s="187">
        <v>261</v>
      </c>
      <c r="K20" s="80">
        <v>1</v>
      </c>
      <c r="L20" s="73">
        <v>1</v>
      </c>
      <c r="M20" s="73">
        <v>1</v>
      </c>
      <c r="N20" s="73">
        <v>1</v>
      </c>
      <c r="O20" s="73">
        <v>1</v>
      </c>
      <c r="P20" s="74">
        <v>1</v>
      </c>
      <c r="Q20" s="73" t="s">
        <v>1994</v>
      </c>
      <c r="R20" s="74" t="s">
        <v>1994</v>
      </c>
      <c r="S20" s="4422"/>
    </row>
    <row r="21" spans="1:19" ht="25.5">
      <c r="A21" s="4794" t="s">
        <v>860</v>
      </c>
      <c r="B21" s="1631"/>
      <c r="C21" s="1621" t="s">
        <v>1006</v>
      </c>
      <c r="D21" s="482" t="s">
        <v>784</v>
      </c>
      <c r="E21" s="328">
        <v>462</v>
      </c>
      <c r="F21" s="181">
        <v>462</v>
      </c>
      <c r="G21" s="181">
        <v>462</v>
      </c>
      <c r="H21" s="181">
        <v>462</v>
      </c>
      <c r="I21" s="181">
        <v>462</v>
      </c>
      <c r="J21" s="182">
        <v>462</v>
      </c>
      <c r="K21" s="78">
        <v>1</v>
      </c>
      <c r="L21" s="75">
        <v>1</v>
      </c>
      <c r="M21" s="75">
        <v>1</v>
      </c>
      <c r="N21" s="75">
        <v>1</v>
      </c>
      <c r="O21" s="75">
        <v>1</v>
      </c>
      <c r="P21" s="590">
        <v>1</v>
      </c>
      <c r="Q21" s="70" t="s">
        <v>1997</v>
      </c>
      <c r="R21" s="71" t="s">
        <v>1997</v>
      </c>
      <c r="S21" s="4422"/>
    </row>
    <row r="22" spans="1:19" ht="25.5">
      <c r="A22" s="4796"/>
      <c r="B22" s="1632"/>
      <c r="C22" s="1633" t="s">
        <v>861</v>
      </c>
      <c r="D22" s="485" t="s">
        <v>784</v>
      </c>
      <c r="E22" s="4551">
        <v>2</v>
      </c>
      <c r="F22" s="4552">
        <v>2</v>
      </c>
      <c r="G22" s="4552">
        <v>2</v>
      </c>
      <c r="H22" s="4552">
        <v>2</v>
      </c>
      <c r="I22" s="4552">
        <v>3</v>
      </c>
      <c r="J22" s="4553">
        <v>3</v>
      </c>
      <c r="K22" s="130">
        <v>1</v>
      </c>
      <c r="L22" s="128">
        <v>1</v>
      </c>
      <c r="M22" s="128">
        <v>1</v>
      </c>
      <c r="N22" s="128">
        <v>1</v>
      </c>
      <c r="O22" s="128">
        <v>1</v>
      </c>
      <c r="P22" s="129">
        <v>1</v>
      </c>
      <c r="Q22" s="69" t="s">
        <v>1997</v>
      </c>
      <c r="R22" s="72" t="s">
        <v>1997</v>
      </c>
      <c r="S22" s="4422"/>
    </row>
    <row r="23" spans="1:19" ht="25.5">
      <c r="A23" s="4796"/>
      <c r="B23" s="1629"/>
      <c r="C23" s="1623" t="s">
        <v>862</v>
      </c>
      <c r="D23" s="483" t="s">
        <v>784</v>
      </c>
      <c r="E23" s="327">
        <v>301</v>
      </c>
      <c r="F23" s="183">
        <v>301</v>
      </c>
      <c r="G23" s="183">
        <v>301</v>
      </c>
      <c r="H23" s="183">
        <v>301</v>
      </c>
      <c r="I23" s="183">
        <v>301</v>
      </c>
      <c r="J23" s="184">
        <v>301</v>
      </c>
      <c r="K23" s="79">
        <v>1</v>
      </c>
      <c r="L23" s="69">
        <v>1</v>
      </c>
      <c r="M23" s="69">
        <v>1</v>
      </c>
      <c r="N23" s="69">
        <v>1</v>
      </c>
      <c r="O23" s="69">
        <v>1</v>
      </c>
      <c r="P23" s="72">
        <v>1</v>
      </c>
      <c r="Q23" s="69" t="s">
        <v>1997</v>
      </c>
      <c r="R23" s="72" t="s">
        <v>1997</v>
      </c>
      <c r="S23" s="4422"/>
    </row>
    <row r="24" spans="1:19" ht="26.25" thickBot="1">
      <c r="A24" s="4796"/>
      <c r="B24" s="1629"/>
      <c r="C24" s="1623" t="s">
        <v>863</v>
      </c>
      <c r="D24" s="483" t="s">
        <v>784</v>
      </c>
      <c r="E24" s="327">
        <v>166</v>
      </c>
      <c r="F24" s="183">
        <v>166</v>
      </c>
      <c r="G24" s="183">
        <v>166</v>
      </c>
      <c r="H24" s="183">
        <v>166</v>
      </c>
      <c r="I24" s="183">
        <v>166</v>
      </c>
      <c r="J24" s="184">
        <v>166</v>
      </c>
      <c r="K24" s="79">
        <v>1</v>
      </c>
      <c r="L24" s="69">
        <v>1</v>
      </c>
      <c r="M24" s="69">
        <v>1</v>
      </c>
      <c r="N24" s="69">
        <v>1</v>
      </c>
      <c r="O24" s="69">
        <v>1</v>
      </c>
      <c r="P24" s="72">
        <v>1</v>
      </c>
      <c r="Q24" s="73" t="s">
        <v>1997</v>
      </c>
      <c r="R24" s="74" t="s">
        <v>1997</v>
      </c>
      <c r="S24" s="4422"/>
    </row>
    <row r="25" spans="1:19" ht="51">
      <c r="A25" s="4796"/>
      <c r="B25" s="1629" t="s">
        <v>30</v>
      </c>
      <c r="C25" s="1623" t="s">
        <v>814</v>
      </c>
      <c r="D25" s="483" t="s">
        <v>812</v>
      </c>
      <c r="E25" s="739">
        <v>3206</v>
      </c>
      <c r="F25" s="739">
        <v>3206</v>
      </c>
      <c r="G25" s="388">
        <v>3206</v>
      </c>
      <c r="H25" s="188">
        <v>3206</v>
      </c>
      <c r="I25" s="183">
        <v>3206</v>
      </c>
      <c r="J25" s="189">
        <v>3206</v>
      </c>
      <c r="K25" s="4557">
        <v>3</v>
      </c>
      <c r="L25" s="4558">
        <v>3</v>
      </c>
      <c r="M25" s="4558">
        <v>3</v>
      </c>
      <c r="N25" s="4558">
        <v>3</v>
      </c>
      <c r="O25" s="4558">
        <v>3</v>
      </c>
      <c r="P25" s="4559">
        <v>3</v>
      </c>
      <c r="Q25" s="390" t="s">
        <v>1997</v>
      </c>
      <c r="R25" s="71" t="s">
        <v>1997</v>
      </c>
      <c r="S25" s="4422"/>
    </row>
    <row r="26" spans="1:19" ht="76.5">
      <c r="A26" s="4796"/>
      <c r="B26" s="1629" t="s">
        <v>28</v>
      </c>
      <c r="C26" s="1623" t="s">
        <v>910</v>
      </c>
      <c r="D26" s="483" t="s">
        <v>812</v>
      </c>
      <c r="E26" s="739">
        <v>3206</v>
      </c>
      <c r="F26" s="739">
        <v>3206</v>
      </c>
      <c r="G26" s="388">
        <v>3206</v>
      </c>
      <c r="H26" s="188">
        <v>3206</v>
      </c>
      <c r="I26" s="183">
        <v>3206</v>
      </c>
      <c r="J26" s="189">
        <v>3206</v>
      </c>
      <c r="K26" s="4557">
        <v>3</v>
      </c>
      <c r="L26" s="4558">
        <v>3</v>
      </c>
      <c r="M26" s="4558">
        <v>3</v>
      </c>
      <c r="N26" s="4558">
        <v>3</v>
      </c>
      <c r="O26" s="4558">
        <v>3</v>
      </c>
      <c r="P26" s="4559">
        <v>3</v>
      </c>
      <c r="Q26" s="386" t="s">
        <v>1997</v>
      </c>
      <c r="R26" s="72" t="s">
        <v>1997</v>
      </c>
      <c r="S26" s="4422"/>
    </row>
    <row r="27" spans="1:19" ht="25.5">
      <c r="A27" s="4796"/>
      <c r="B27" s="3360" t="s">
        <v>743</v>
      </c>
      <c r="C27" s="1634" t="s">
        <v>815</v>
      </c>
      <c r="D27" s="483" t="s">
        <v>784</v>
      </c>
      <c r="E27" s="327">
        <v>225</v>
      </c>
      <c r="F27" s="183">
        <v>225</v>
      </c>
      <c r="G27" s="183">
        <v>225</v>
      </c>
      <c r="H27" s="183">
        <v>225</v>
      </c>
      <c r="I27" s="183">
        <v>225</v>
      </c>
      <c r="J27" s="184">
        <v>225</v>
      </c>
      <c r="K27" s="4557">
        <v>2</v>
      </c>
      <c r="L27" s="4558">
        <v>2</v>
      </c>
      <c r="M27" s="4558">
        <v>2</v>
      </c>
      <c r="N27" s="4558">
        <v>2</v>
      </c>
      <c r="O27" s="4558">
        <v>2</v>
      </c>
      <c r="P27" s="4559">
        <v>2</v>
      </c>
      <c r="Q27" s="69" t="s">
        <v>1997</v>
      </c>
      <c r="R27" s="72" t="s">
        <v>1997</v>
      </c>
      <c r="S27" s="4422"/>
    </row>
    <row r="28" spans="1:19" ht="51">
      <c r="A28" s="4796"/>
      <c r="B28" s="3360" t="s">
        <v>79</v>
      </c>
      <c r="C28" s="1623" t="s">
        <v>899</v>
      </c>
      <c r="D28" s="483" t="s">
        <v>784</v>
      </c>
      <c r="E28" s="327">
        <v>92432</v>
      </c>
      <c r="F28" s="188">
        <f>92532+300</f>
        <v>92832</v>
      </c>
      <c r="G28" s="188">
        <f>F28+100</f>
        <v>92932</v>
      </c>
      <c r="H28" s="188">
        <f t="shared" ref="H28:J28" si="1">G28+100</f>
        <v>93032</v>
      </c>
      <c r="I28" s="188">
        <f t="shared" si="1"/>
        <v>93132</v>
      </c>
      <c r="J28" s="188">
        <f t="shared" si="1"/>
        <v>93232</v>
      </c>
      <c r="K28" s="4557">
        <v>3</v>
      </c>
      <c r="L28" s="4558">
        <v>3</v>
      </c>
      <c r="M28" s="4558">
        <v>3</v>
      </c>
      <c r="N28" s="4558">
        <v>3</v>
      </c>
      <c r="O28" s="4558">
        <v>3</v>
      </c>
      <c r="P28" s="4559">
        <v>3</v>
      </c>
      <c r="Q28" s="69" t="s">
        <v>1998</v>
      </c>
      <c r="R28" s="72" t="s">
        <v>1998</v>
      </c>
      <c r="S28" s="4422"/>
    </row>
    <row r="29" spans="1:19" ht="76.5">
      <c r="A29" s="4796"/>
      <c r="B29" s="3360" t="s">
        <v>843</v>
      </c>
      <c r="C29" s="1623" t="s">
        <v>844</v>
      </c>
      <c r="D29" s="483" t="s">
        <v>784</v>
      </c>
      <c r="E29" s="327">
        <v>90671</v>
      </c>
      <c r="F29" s="183">
        <f>90771+300</f>
        <v>91071</v>
      </c>
      <c r="G29" s="183">
        <f>F29+100</f>
        <v>91171</v>
      </c>
      <c r="H29" s="183">
        <f t="shared" ref="H29:J29" si="2">G29+100</f>
        <v>91271</v>
      </c>
      <c r="I29" s="183">
        <f t="shared" si="2"/>
        <v>91371</v>
      </c>
      <c r="J29" s="183">
        <f t="shared" si="2"/>
        <v>91471</v>
      </c>
      <c r="K29" s="4557">
        <v>3</v>
      </c>
      <c r="L29" s="4558">
        <v>3</v>
      </c>
      <c r="M29" s="4558">
        <v>3</v>
      </c>
      <c r="N29" s="4558">
        <v>3</v>
      </c>
      <c r="O29" s="4558">
        <v>3</v>
      </c>
      <c r="P29" s="4559">
        <v>3</v>
      </c>
      <c r="Q29" s="69" t="s">
        <v>1999</v>
      </c>
      <c r="R29" s="72" t="s">
        <v>1999</v>
      </c>
      <c r="S29" s="4422"/>
    </row>
    <row r="30" spans="1:19" ht="18.75" customHeight="1">
      <c r="A30" s="4796"/>
      <c r="B30" s="3360" t="s">
        <v>81</v>
      </c>
      <c r="C30" s="1623" t="s">
        <v>898</v>
      </c>
      <c r="D30" s="483" t="s">
        <v>784</v>
      </c>
      <c r="E30" s="327">
        <v>15126</v>
      </c>
      <c r="F30" s="183">
        <v>15151</v>
      </c>
      <c r="G30" s="183">
        <v>15176</v>
      </c>
      <c r="H30" s="183">
        <v>15201</v>
      </c>
      <c r="I30" s="183">
        <f>15226+71</f>
        <v>15297</v>
      </c>
      <c r="J30" s="183">
        <f>I30+25</f>
        <v>15322</v>
      </c>
      <c r="K30" s="4557">
        <v>3</v>
      </c>
      <c r="L30" s="4558">
        <v>3</v>
      </c>
      <c r="M30" s="4558">
        <v>3</v>
      </c>
      <c r="N30" s="4558">
        <v>3</v>
      </c>
      <c r="O30" s="4558">
        <v>3</v>
      </c>
      <c r="P30" s="4559">
        <v>3</v>
      </c>
      <c r="Q30" s="386" t="s">
        <v>1997</v>
      </c>
      <c r="R30" s="72" t="s">
        <v>1997</v>
      </c>
      <c r="S30" s="4422"/>
    </row>
    <row r="31" spans="1:19" ht="25.5">
      <c r="A31" s="4796"/>
      <c r="B31" s="3360" t="s">
        <v>39</v>
      </c>
      <c r="C31" s="1623" t="s">
        <v>823</v>
      </c>
      <c r="D31" s="483" t="s">
        <v>822</v>
      </c>
      <c r="E31" s="327">
        <v>346</v>
      </c>
      <c r="F31" s="183">
        <v>346</v>
      </c>
      <c r="G31" s="183">
        <v>346</v>
      </c>
      <c r="H31" s="183">
        <v>346</v>
      </c>
      <c r="I31" s="183">
        <v>350</v>
      </c>
      <c r="J31" s="183">
        <v>350</v>
      </c>
      <c r="K31" s="4557">
        <v>3</v>
      </c>
      <c r="L31" s="4558">
        <v>3</v>
      </c>
      <c r="M31" s="4558">
        <v>3</v>
      </c>
      <c r="N31" s="4558">
        <v>3</v>
      </c>
      <c r="O31" s="4558">
        <v>3</v>
      </c>
      <c r="P31" s="4559">
        <v>3</v>
      </c>
      <c r="Q31" s="386" t="s">
        <v>1997</v>
      </c>
      <c r="R31" s="72" t="s">
        <v>1997</v>
      </c>
      <c r="S31" s="4422"/>
    </row>
    <row r="32" spans="1:19" ht="16.5" customHeight="1">
      <c r="A32" s="4796"/>
      <c r="B32" s="1629"/>
      <c r="C32" s="1623" t="s">
        <v>864</v>
      </c>
      <c r="D32" s="483" t="s">
        <v>784</v>
      </c>
      <c r="E32" s="327">
        <v>9</v>
      </c>
      <c r="F32" s="739">
        <v>9</v>
      </c>
      <c r="G32" s="183">
        <v>9</v>
      </c>
      <c r="H32" s="388">
        <v>9</v>
      </c>
      <c r="I32" s="188">
        <v>12</v>
      </c>
      <c r="J32" s="184">
        <v>12</v>
      </c>
      <c r="K32" s="79">
        <v>1</v>
      </c>
      <c r="L32" s="69">
        <v>1</v>
      </c>
      <c r="M32" s="69">
        <v>1</v>
      </c>
      <c r="N32" s="69">
        <v>1</v>
      </c>
      <c r="O32" s="69">
        <v>1</v>
      </c>
      <c r="P32" s="72">
        <v>1</v>
      </c>
      <c r="Q32" s="389" t="s">
        <v>1997</v>
      </c>
      <c r="R32" s="100" t="s">
        <v>1997</v>
      </c>
      <c r="S32" s="4422"/>
    </row>
    <row r="33" spans="1:19" ht="26.25" thickBot="1">
      <c r="A33" s="4795"/>
      <c r="B33" s="1630"/>
      <c r="C33" s="1627" t="s">
        <v>865</v>
      </c>
      <c r="D33" s="484" t="s">
        <v>784</v>
      </c>
      <c r="E33" s="329">
        <v>4</v>
      </c>
      <c r="F33" s="186">
        <v>4</v>
      </c>
      <c r="G33" s="186">
        <v>4</v>
      </c>
      <c r="H33" s="186">
        <v>4</v>
      </c>
      <c r="I33" s="186">
        <v>5</v>
      </c>
      <c r="J33" s="186">
        <v>5</v>
      </c>
      <c r="K33" s="80">
        <v>1</v>
      </c>
      <c r="L33" s="73">
        <v>1</v>
      </c>
      <c r="M33" s="73">
        <v>1</v>
      </c>
      <c r="N33" s="73">
        <v>1</v>
      </c>
      <c r="O33" s="73">
        <v>1</v>
      </c>
      <c r="P33" s="74">
        <v>1</v>
      </c>
      <c r="Q33" s="589" t="s">
        <v>1997</v>
      </c>
      <c r="R33" s="74" t="s">
        <v>1997</v>
      </c>
      <c r="S33" s="4422"/>
    </row>
    <row r="34" spans="1:19" ht="51">
      <c r="A34" s="4794" t="s">
        <v>853</v>
      </c>
      <c r="B34" s="1635" t="s">
        <v>5</v>
      </c>
      <c r="C34" s="1636" t="s">
        <v>785</v>
      </c>
      <c r="D34" s="482" t="s">
        <v>784</v>
      </c>
      <c r="E34" s="486">
        <f>SUM(E35:E38)</f>
        <v>8566</v>
      </c>
      <c r="F34" s="487">
        <f t="shared" ref="F34:J34" si="3">SUM(F35:F38)</f>
        <v>8570</v>
      </c>
      <c r="G34" s="487">
        <f t="shared" si="3"/>
        <v>8574</v>
      </c>
      <c r="H34" s="487">
        <f t="shared" si="3"/>
        <v>8578</v>
      </c>
      <c r="I34" s="487">
        <f t="shared" si="3"/>
        <v>8582</v>
      </c>
      <c r="J34" s="488">
        <f t="shared" si="3"/>
        <v>8586</v>
      </c>
      <c r="K34" s="486">
        <f t="shared" ref="K34:P34" si="4">IFERROR(AVERAGE(K35,K36,K37,K38),0)</f>
        <v>1</v>
      </c>
      <c r="L34" s="1637">
        <f t="shared" si="4"/>
        <v>1</v>
      </c>
      <c r="M34" s="487">
        <f t="shared" si="4"/>
        <v>1</v>
      </c>
      <c r="N34" s="1638">
        <f t="shared" si="4"/>
        <v>1</v>
      </c>
      <c r="O34" s="1639">
        <f t="shared" si="4"/>
        <v>1</v>
      </c>
      <c r="P34" s="488">
        <f t="shared" si="4"/>
        <v>1</v>
      </c>
      <c r="Q34" s="390" t="s">
        <v>2000</v>
      </c>
      <c r="R34" s="129" t="s">
        <v>2000</v>
      </c>
      <c r="S34" s="4422"/>
    </row>
    <row r="35" spans="1:19" ht="50.1" customHeight="1">
      <c r="A35" s="4796"/>
      <c r="B35" s="1629" t="s">
        <v>6</v>
      </c>
      <c r="C35" s="1623" t="s">
        <v>786</v>
      </c>
      <c r="D35" s="483" t="s">
        <v>784</v>
      </c>
      <c r="E35" s="4548">
        <v>6081</v>
      </c>
      <c r="F35" s="4549">
        <f>E35+1</f>
        <v>6082</v>
      </c>
      <c r="G35" s="4549">
        <f t="shared" ref="G35:J35" si="5">F35+1</f>
        <v>6083</v>
      </c>
      <c r="H35" s="4549">
        <f t="shared" si="5"/>
        <v>6084</v>
      </c>
      <c r="I35" s="4549">
        <f t="shared" si="5"/>
        <v>6085</v>
      </c>
      <c r="J35" s="4549">
        <f t="shared" si="5"/>
        <v>6086</v>
      </c>
      <c r="K35" s="79">
        <v>1</v>
      </c>
      <c r="L35" s="69">
        <v>1</v>
      </c>
      <c r="M35" s="69">
        <v>1</v>
      </c>
      <c r="N35" s="69">
        <v>1</v>
      </c>
      <c r="O35" s="69">
        <v>1</v>
      </c>
      <c r="P35" s="72">
        <v>1</v>
      </c>
      <c r="Q35" s="69" t="s">
        <v>2000</v>
      </c>
      <c r="R35" s="72" t="s">
        <v>2000</v>
      </c>
      <c r="S35" s="4422"/>
    </row>
    <row r="36" spans="1:19" ht="50.1" customHeight="1">
      <c r="A36" s="4796"/>
      <c r="B36" s="1629" t="s">
        <v>7</v>
      </c>
      <c r="C36" s="1623" t="s">
        <v>787</v>
      </c>
      <c r="D36" s="483" t="s">
        <v>784</v>
      </c>
      <c r="E36" s="4548">
        <v>989</v>
      </c>
      <c r="F36" s="4549">
        <f t="shared" ref="F36:J38" si="6">E36+1</f>
        <v>990</v>
      </c>
      <c r="G36" s="4549">
        <f t="shared" si="6"/>
        <v>991</v>
      </c>
      <c r="H36" s="4549">
        <f t="shared" si="6"/>
        <v>992</v>
      </c>
      <c r="I36" s="4549">
        <f t="shared" si="6"/>
        <v>993</v>
      </c>
      <c r="J36" s="4549">
        <f t="shared" si="6"/>
        <v>994</v>
      </c>
      <c r="K36" s="79">
        <v>1</v>
      </c>
      <c r="L36" s="69">
        <v>1</v>
      </c>
      <c r="M36" s="69">
        <v>1</v>
      </c>
      <c r="N36" s="69">
        <v>1</v>
      </c>
      <c r="O36" s="69">
        <v>1</v>
      </c>
      <c r="P36" s="72">
        <v>1</v>
      </c>
      <c r="Q36" s="69" t="s">
        <v>2000</v>
      </c>
      <c r="R36" s="72" t="s">
        <v>2000</v>
      </c>
      <c r="S36" s="4422"/>
    </row>
    <row r="37" spans="1:19" ht="50.1" customHeight="1">
      <c r="A37" s="4796"/>
      <c r="B37" s="1629" t="s">
        <v>8</v>
      </c>
      <c r="C37" s="1623" t="s">
        <v>788</v>
      </c>
      <c r="D37" s="483" t="s">
        <v>784</v>
      </c>
      <c r="E37" s="4548">
        <v>1296</v>
      </c>
      <c r="F37" s="4549">
        <f t="shared" si="6"/>
        <v>1297</v>
      </c>
      <c r="G37" s="4549">
        <f t="shared" si="6"/>
        <v>1298</v>
      </c>
      <c r="H37" s="4549">
        <f t="shared" si="6"/>
        <v>1299</v>
      </c>
      <c r="I37" s="4549">
        <f t="shared" si="6"/>
        <v>1300</v>
      </c>
      <c r="J37" s="4549">
        <f t="shared" si="6"/>
        <v>1301</v>
      </c>
      <c r="K37" s="79">
        <v>1</v>
      </c>
      <c r="L37" s="69">
        <v>1</v>
      </c>
      <c r="M37" s="69">
        <v>1</v>
      </c>
      <c r="N37" s="69">
        <v>1</v>
      </c>
      <c r="O37" s="69">
        <v>1</v>
      </c>
      <c r="P37" s="72">
        <v>1</v>
      </c>
      <c r="Q37" s="69" t="s">
        <v>2000</v>
      </c>
      <c r="R37" s="72" t="s">
        <v>2000</v>
      </c>
      <c r="S37" s="4422"/>
    </row>
    <row r="38" spans="1:19" ht="50.1" customHeight="1">
      <c r="A38" s="4796"/>
      <c r="B38" s="1629" t="s">
        <v>9</v>
      </c>
      <c r="C38" s="1623" t="s">
        <v>789</v>
      </c>
      <c r="D38" s="483" t="s">
        <v>784</v>
      </c>
      <c r="E38" s="4548">
        <v>200</v>
      </c>
      <c r="F38" s="4549">
        <f t="shared" si="6"/>
        <v>201</v>
      </c>
      <c r="G38" s="4549">
        <f t="shared" si="6"/>
        <v>202</v>
      </c>
      <c r="H38" s="4549">
        <f t="shared" si="6"/>
        <v>203</v>
      </c>
      <c r="I38" s="4549">
        <f t="shared" si="6"/>
        <v>204</v>
      </c>
      <c r="J38" s="4549">
        <f t="shared" si="6"/>
        <v>205</v>
      </c>
      <c r="K38" s="79">
        <v>1</v>
      </c>
      <c r="L38" s="69">
        <v>1</v>
      </c>
      <c r="M38" s="69">
        <v>1</v>
      </c>
      <c r="N38" s="69">
        <v>1</v>
      </c>
      <c r="O38" s="69">
        <v>1</v>
      </c>
      <c r="P38" s="72">
        <v>1</v>
      </c>
      <c r="Q38" s="69" t="s">
        <v>2000</v>
      </c>
      <c r="R38" s="72" t="s">
        <v>2000</v>
      </c>
      <c r="S38" s="4422"/>
    </row>
    <row r="39" spans="1:19" ht="51">
      <c r="A39" s="4796"/>
      <c r="B39" s="1640" t="s">
        <v>10</v>
      </c>
      <c r="C39" s="1641" t="s">
        <v>790</v>
      </c>
      <c r="D39" s="483" t="s">
        <v>784</v>
      </c>
      <c r="E39" s="489">
        <f>SUM(E40:E43)</f>
        <v>8755</v>
      </c>
      <c r="F39" s="490">
        <f t="shared" ref="F39:J39" si="7">SUM(F40:F43)</f>
        <v>8755</v>
      </c>
      <c r="G39" s="490">
        <f t="shared" si="7"/>
        <v>8755</v>
      </c>
      <c r="H39" s="490">
        <f t="shared" si="7"/>
        <v>8755</v>
      </c>
      <c r="I39" s="490">
        <f t="shared" si="7"/>
        <v>8755</v>
      </c>
      <c r="J39" s="491">
        <f t="shared" si="7"/>
        <v>8755</v>
      </c>
      <c r="K39" s="489">
        <f t="shared" ref="K39:P39" si="8">IFERROR(AVERAGE(K40,K41,K42,K43),0)</f>
        <v>1</v>
      </c>
      <c r="L39" s="1642">
        <f t="shared" si="8"/>
        <v>1</v>
      </c>
      <c r="M39" s="1643">
        <f t="shared" si="8"/>
        <v>1</v>
      </c>
      <c r="N39" s="1643">
        <f t="shared" si="8"/>
        <v>1</v>
      </c>
      <c r="O39" s="1643">
        <f t="shared" si="8"/>
        <v>1</v>
      </c>
      <c r="P39" s="491">
        <f t="shared" si="8"/>
        <v>1</v>
      </c>
      <c r="Q39" s="69" t="s">
        <v>2000</v>
      </c>
      <c r="R39" s="72" t="s">
        <v>2000</v>
      </c>
      <c r="S39" s="4422"/>
    </row>
    <row r="40" spans="1:19" ht="50.1" customHeight="1">
      <c r="A40" s="4796"/>
      <c r="B40" s="1629" t="s">
        <v>11</v>
      </c>
      <c r="C40" s="1623" t="s">
        <v>791</v>
      </c>
      <c r="D40" s="483" t="s">
        <v>784</v>
      </c>
      <c r="E40" s="4548">
        <v>6238</v>
      </c>
      <c r="F40" s="4549">
        <v>6238</v>
      </c>
      <c r="G40" s="4549">
        <v>6238</v>
      </c>
      <c r="H40" s="4549">
        <v>6238</v>
      </c>
      <c r="I40" s="4549">
        <v>6238</v>
      </c>
      <c r="J40" s="4550">
        <v>6238</v>
      </c>
      <c r="K40" s="79">
        <v>1</v>
      </c>
      <c r="L40" s="69">
        <v>1</v>
      </c>
      <c r="M40" s="69">
        <v>1</v>
      </c>
      <c r="N40" s="69">
        <v>1</v>
      </c>
      <c r="O40" s="69">
        <v>1</v>
      </c>
      <c r="P40" s="72">
        <v>1</v>
      </c>
      <c r="Q40" s="69" t="s">
        <v>2000</v>
      </c>
      <c r="R40" s="72" t="s">
        <v>2000</v>
      </c>
      <c r="S40" s="4422"/>
    </row>
    <row r="41" spans="1:19" ht="50.1" customHeight="1">
      <c r="A41" s="4796"/>
      <c r="B41" s="1629" t="s">
        <v>12</v>
      </c>
      <c r="C41" s="1623" t="s">
        <v>792</v>
      </c>
      <c r="D41" s="483" t="s">
        <v>784</v>
      </c>
      <c r="E41" s="4548">
        <v>992</v>
      </c>
      <c r="F41" s="4549">
        <v>992</v>
      </c>
      <c r="G41" s="4549">
        <v>992</v>
      </c>
      <c r="H41" s="4549">
        <v>992</v>
      </c>
      <c r="I41" s="4549">
        <v>992</v>
      </c>
      <c r="J41" s="4550">
        <v>992</v>
      </c>
      <c r="K41" s="79">
        <v>1</v>
      </c>
      <c r="L41" s="69">
        <v>1</v>
      </c>
      <c r="M41" s="69">
        <v>1</v>
      </c>
      <c r="N41" s="69">
        <v>1</v>
      </c>
      <c r="O41" s="69">
        <v>1</v>
      </c>
      <c r="P41" s="72">
        <v>1</v>
      </c>
      <c r="Q41" s="69" t="s">
        <v>2000</v>
      </c>
      <c r="R41" s="72" t="s">
        <v>2000</v>
      </c>
      <c r="S41" s="4422"/>
    </row>
    <row r="42" spans="1:19" ht="50.1" customHeight="1">
      <c r="A42" s="4796"/>
      <c r="B42" s="1629" t="s">
        <v>13</v>
      </c>
      <c r="C42" s="1623" t="s">
        <v>793</v>
      </c>
      <c r="D42" s="483" t="s">
        <v>784</v>
      </c>
      <c r="E42" s="4548">
        <v>1307</v>
      </c>
      <c r="F42" s="4549">
        <v>1307</v>
      </c>
      <c r="G42" s="4549">
        <v>1307</v>
      </c>
      <c r="H42" s="4549">
        <v>1307</v>
      </c>
      <c r="I42" s="4549">
        <v>1307</v>
      </c>
      <c r="J42" s="4550">
        <v>1307</v>
      </c>
      <c r="K42" s="79">
        <v>1</v>
      </c>
      <c r="L42" s="69">
        <v>1</v>
      </c>
      <c r="M42" s="69">
        <v>1</v>
      </c>
      <c r="N42" s="69">
        <v>1</v>
      </c>
      <c r="O42" s="69">
        <v>1</v>
      </c>
      <c r="P42" s="72">
        <v>1</v>
      </c>
      <c r="Q42" s="69" t="s">
        <v>2000</v>
      </c>
      <c r="R42" s="72" t="s">
        <v>2000</v>
      </c>
      <c r="S42" s="4422"/>
    </row>
    <row r="43" spans="1:19" ht="50.1" customHeight="1" thickBot="1">
      <c r="A43" s="4795"/>
      <c r="B43" s="1630" t="s">
        <v>14</v>
      </c>
      <c r="C43" s="1627" t="s">
        <v>794</v>
      </c>
      <c r="D43" s="484" t="s">
        <v>784</v>
      </c>
      <c r="E43" s="4554">
        <v>218</v>
      </c>
      <c r="F43" s="4555">
        <v>218</v>
      </c>
      <c r="G43" s="4555">
        <v>218</v>
      </c>
      <c r="H43" s="4555">
        <v>218</v>
      </c>
      <c r="I43" s="4555">
        <v>218</v>
      </c>
      <c r="J43" s="4556">
        <v>218</v>
      </c>
      <c r="K43" s="80">
        <v>1</v>
      </c>
      <c r="L43" s="73">
        <v>1</v>
      </c>
      <c r="M43" s="73">
        <v>1</v>
      </c>
      <c r="N43" s="73">
        <v>1</v>
      </c>
      <c r="O43" s="73">
        <v>1</v>
      </c>
      <c r="P43" s="74">
        <v>1</v>
      </c>
      <c r="Q43" s="588" t="s">
        <v>2000</v>
      </c>
      <c r="R43" s="74" t="s">
        <v>2000</v>
      </c>
      <c r="S43" s="4422"/>
    </row>
    <row r="44" spans="1:19" ht="51">
      <c r="A44" s="4797" t="s">
        <v>854</v>
      </c>
      <c r="B44" s="1635" t="s">
        <v>15</v>
      </c>
      <c r="C44" s="1636" t="s">
        <v>795</v>
      </c>
      <c r="D44" s="482" t="s">
        <v>784</v>
      </c>
      <c r="E44" s="486">
        <f>SUM(E45:E48)</f>
        <v>20698</v>
      </c>
      <c r="F44" s="487">
        <f t="shared" ref="F44:J44" si="9">SUM(F45:F48)</f>
        <v>20746</v>
      </c>
      <c r="G44" s="487">
        <f t="shared" si="9"/>
        <v>20794</v>
      </c>
      <c r="H44" s="487">
        <f t="shared" si="9"/>
        <v>20842</v>
      </c>
      <c r="I44" s="487">
        <f t="shared" si="9"/>
        <v>20890</v>
      </c>
      <c r="J44" s="488">
        <f t="shared" si="9"/>
        <v>20938</v>
      </c>
      <c r="K44" s="486">
        <f t="shared" ref="K44:P44" si="10">IFERROR(AVERAGE(K45,K46,K47,K48),0)</f>
        <v>1</v>
      </c>
      <c r="L44" s="1637">
        <f t="shared" si="10"/>
        <v>1</v>
      </c>
      <c r="M44" s="1639">
        <f t="shared" si="10"/>
        <v>1</v>
      </c>
      <c r="N44" s="487">
        <f t="shared" si="10"/>
        <v>1</v>
      </c>
      <c r="O44" s="487">
        <f t="shared" si="10"/>
        <v>1</v>
      </c>
      <c r="P44" s="1644">
        <f t="shared" si="10"/>
        <v>1</v>
      </c>
      <c r="Q44" s="128" t="s">
        <v>2000</v>
      </c>
      <c r="R44" s="129" t="s">
        <v>2000</v>
      </c>
      <c r="S44" s="4422"/>
    </row>
    <row r="45" spans="1:19" ht="50.1" customHeight="1">
      <c r="A45" s="4798"/>
      <c r="B45" s="1629" t="s">
        <v>16</v>
      </c>
      <c r="C45" s="1623" t="s">
        <v>796</v>
      </c>
      <c r="D45" s="483" t="s">
        <v>784</v>
      </c>
      <c r="E45" s="327">
        <v>12807</v>
      </c>
      <c r="F45" s="4549">
        <f>E45+12</f>
        <v>12819</v>
      </c>
      <c r="G45" s="4549">
        <f t="shared" ref="G45:J45" si="11">F45+12</f>
        <v>12831</v>
      </c>
      <c r="H45" s="4549">
        <f t="shared" si="11"/>
        <v>12843</v>
      </c>
      <c r="I45" s="4549">
        <f t="shared" si="11"/>
        <v>12855</v>
      </c>
      <c r="J45" s="4549">
        <f t="shared" si="11"/>
        <v>12867</v>
      </c>
      <c r="K45" s="79">
        <v>1</v>
      </c>
      <c r="L45" s="76">
        <v>1</v>
      </c>
      <c r="M45" s="76">
        <v>1</v>
      </c>
      <c r="N45" s="76">
        <v>1</v>
      </c>
      <c r="O45" s="76">
        <v>1</v>
      </c>
      <c r="P45" s="100">
        <v>1</v>
      </c>
      <c r="Q45" s="76" t="s">
        <v>2000</v>
      </c>
      <c r="R45" s="72" t="s">
        <v>2000</v>
      </c>
      <c r="S45" s="4422"/>
    </row>
    <row r="46" spans="1:19" ht="50.1" customHeight="1">
      <c r="A46" s="4798"/>
      <c r="B46" s="1629" t="s">
        <v>17</v>
      </c>
      <c r="C46" s="1623" t="s">
        <v>797</v>
      </c>
      <c r="D46" s="483" t="s">
        <v>784</v>
      </c>
      <c r="E46" s="327">
        <v>2562</v>
      </c>
      <c r="F46" s="4549">
        <f t="shared" ref="F46:J48" si="12">E46+12</f>
        <v>2574</v>
      </c>
      <c r="G46" s="4549">
        <f t="shared" si="12"/>
        <v>2586</v>
      </c>
      <c r="H46" s="4549">
        <f t="shared" si="12"/>
        <v>2598</v>
      </c>
      <c r="I46" s="4549">
        <f t="shared" si="12"/>
        <v>2610</v>
      </c>
      <c r="J46" s="4549">
        <f t="shared" si="12"/>
        <v>2622</v>
      </c>
      <c r="K46" s="79">
        <v>1</v>
      </c>
      <c r="L46" s="76">
        <v>1</v>
      </c>
      <c r="M46" s="76">
        <v>1</v>
      </c>
      <c r="N46" s="76">
        <v>1</v>
      </c>
      <c r="O46" s="76">
        <v>1</v>
      </c>
      <c r="P46" s="100">
        <v>1</v>
      </c>
      <c r="Q46" s="76" t="s">
        <v>2000</v>
      </c>
      <c r="R46" s="72" t="s">
        <v>2000</v>
      </c>
      <c r="S46" s="4422"/>
    </row>
    <row r="47" spans="1:19" ht="50.1" customHeight="1">
      <c r="A47" s="4798"/>
      <c r="B47" s="1629" t="s">
        <v>18</v>
      </c>
      <c r="C47" s="1623" t="s">
        <v>798</v>
      </c>
      <c r="D47" s="483" t="s">
        <v>784</v>
      </c>
      <c r="E47" s="327">
        <v>4323</v>
      </c>
      <c r="F47" s="4549">
        <f t="shared" si="12"/>
        <v>4335</v>
      </c>
      <c r="G47" s="4549">
        <f t="shared" si="12"/>
        <v>4347</v>
      </c>
      <c r="H47" s="4549">
        <f t="shared" si="12"/>
        <v>4359</v>
      </c>
      <c r="I47" s="4549">
        <f t="shared" si="12"/>
        <v>4371</v>
      </c>
      <c r="J47" s="4549">
        <f t="shared" si="12"/>
        <v>4383</v>
      </c>
      <c r="K47" s="79">
        <v>1</v>
      </c>
      <c r="L47" s="76">
        <v>1</v>
      </c>
      <c r="M47" s="76">
        <v>1</v>
      </c>
      <c r="N47" s="76">
        <v>1</v>
      </c>
      <c r="O47" s="76">
        <v>1</v>
      </c>
      <c r="P47" s="100">
        <v>1</v>
      </c>
      <c r="Q47" s="76" t="s">
        <v>2000</v>
      </c>
      <c r="R47" s="72" t="s">
        <v>2000</v>
      </c>
      <c r="S47" s="4422"/>
    </row>
    <row r="48" spans="1:19" ht="50.1" customHeight="1">
      <c r="A48" s="4798"/>
      <c r="B48" s="1629" t="s">
        <v>19</v>
      </c>
      <c r="C48" s="1623" t="s">
        <v>799</v>
      </c>
      <c r="D48" s="483" t="s">
        <v>784</v>
      </c>
      <c r="E48" s="327">
        <v>1006</v>
      </c>
      <c r="F48" s="4549">
        <f t="shared" si="12"/>
        <v>1018</v>
      </c>
      <c r="G48" s="4549">
        <f t="shared" si="12"/>
        <v>1030</v>
      </c>
      <c r="H48" s="4549">
        <f t="shared" si="12"/>
        <v>1042</v>
      </c>
      <c r="I48" s="4549">
        <f t="shared" si="12"/>
        <v>1054</v>
      </c>
      <c r="J48" s="4549">
        <f t="shared" si="12"/>
        <v>1066</v>
      </c>
      <c r="K48" s="79">
        <v>1</v>
      </c>
      <c r="L48" s="76">
        <v>1</v>
      </c>
      <c r="M48" s="76">
        <v>1</v>
      </c>
      <c r="N48" s="76">
        <v>1</v>
      </c>
      <c r="O48" s="76">
        <v>1</v>
      </c>
      <c r="P48" s="100">
        <v>1</v>
      </c>
      <c r="Q48" s="76" t="s">
        <v>2000</v>
      </c>
      <c r="R48" s="72" t="s">
        <v>2000</v>
      </c>
      <c r="S48" s="4422"/>
    </row>
    <row r="49" spans="1:19" ht="51">
      <c r="A49" s="4798"/>
      <c r="B49" s="1640" t="s">
        <v>20</v>
      </c>
      <c r="C49" s="1641" t="s">
        <v>800</v>
      </c>
      <c r="D49" s="483" t="s">
        <v>784</v>
      </c>
      <c r="E49" s="489">
        <f>SUM(E50:E53)</f>
        <v>21583</v>
      </c>
      <c r="F49" s="490">
        <f t="shared" ref="F49:J49" si="13">SUM(F50:F53)</f>
        <v>21583</v>
      </c>
      <c r="G49" s="490">
        <f t="shared" si="13"/>
        <v>21583</v>
      </c>
      <c r="H49" s="490">
        <f t="shared" si="13"/>
        <v>21583</v>
      </c>
      <c r="I49" s="490">
        <f t="shared" si="13"/>
        <v>21583</v>
      </c>
      <c r="J49" s="491">
        <f t="shared" si="13"/>
        <v>21583</v>
      </c>
      <c r="K49" s="489">
        <f t="shared" ref="K49:P49" si="14">IFERROR(AVERAGE(K50,K51,K52,K53),0)</f>
        <v>1</v>
      </c>
      <c r="L49" s="1642">
        <f t="shared" si="14"/>
        <v>1</v>
      </c>
      <c r="M49" s="1643">
        <f t="shared" si="14"/>
        <v>1</v>
      </c>
      <c r="N49" s="1643">
        <f t="shared" si="14"/>
        <v>1</v>
      </c>
      <c r="O49" s="1643">
        <f t="shared" si="14"/>
        <v>1</v>
      </c>
      <c r="P49" s="491">
        <f t="shared" si="14"/>
        <v>1</v>
      </c>
      <c r="Q49" s="69" t="s">
        <v>2000</v>
      </c>
      <c r="R49" s="72" t="s">
        <v>2000</v>
      </c>
      <c r="S49" s="4422"/>
    </row>
    <row r="50" spans="1:19" ht="50.1" customHeight="1">
      <c r="A50" s="4798"/>
      <c r="B50" s="1629" t="s">
        <v>21</v>
      </c>
      <c r="C50" s="1623" t="s">
        <v>801</v>
      </c>
      <c r="D50" s="483" t="s">
        <v>784</v>
      </c>
      <c r="E50" s="327">
        <v>13250</v>
      </c>
      <c r="F50" s="4549">
        <v>13250</v>
      </c>
      <c r="G50" s="4549">
        <v>13250</v>
      </c>
      <c r="H50" s="4549">
        <v>13250</v>
      </c>
      <c r="I50" s="4549">
        <v>13250</v>
      </c>
      <c r="J50" s="4549">
        <v>13250</v>
      </c>
      <c r="K50" s="79">
        <v>1</v>
      </c>
      <c r="L50" s="69">
        <v>1</v>
      </c>
      <c r="M50" s="69">
        <v>1</v>
      </c>
      <c r="N50" s="69">
        <v>1</v>
      </c>
      <c r="O50" s="69">
        <v>1</v>
      </c>
      <c r="P50" s="72">
        <v>1</v>
      </c>
      <c r="Q50" s="69" t="s">
        <v>2000</v>
      </c>
      <c r="R50" s="72" t="s">
        <v>2000</v>
      </c>
      <c r="S50" s="4422"/>
    </row>
    <row r="51" spans="1:19" ht="50.1" customHeight="1">
      <c r="A51" s="4798"/>
      <c r="B51" s="1629" t="s">
        <v>22</v>
      </c>
      <c r="C51" s="1623" t="s">
        <v>802</v>
      </c>
      <c r="D51" s="483" t="s">
        <v>784</v>
      </c>
      <c r="E51" s="327">
        <v>2689</v>
      </c>
      <c r="F51" s="4549">
        <v>2689</v>
      </c>
      <c r="G51" s="4549">
        <v>2689</v>
      </c>
      <c r="H51" s="4549">
        <v>2689</v>
      </c>
      <c r="I51" s="4549">
        <v>2689</v>
      </c>
      <c r="J51" s="4549">
        <v>2689</v>
      </c>
      <c r="K51" s="79">
        <v>1</v>
      </c>
      <c r="L51" s="69">
        <v>1</v>
      </c>
      <c r="M51" s="69">
        <v>1</v>
      </c>
      <c r="N51" s="69">
        <v>1</v>
      </c>
      <c r="O51" s="69">
        <v>1</v>
      </c>
      <c r="P51" s="72">
        <v>1</v>
      </c>
      <c r="Q51" s="69" t="s">
        <v>2000</v>
      </c>
      <c r="R51" s="72" t="s">
        <v>2000</v>
      </c>
      <c r="S51" s="4422"/>
    </row>
    <row r="52" spans="1:19" ht="50.1" customHeight="1">
      <c r="A52" s="4798"/>
      <c r="B52" s="1629" t="s">
        <v>23</v>
      </c>
      <c r="C52" s="1623" t="s">
        <v>803</v>
      </c>
      <c r="D52" s="483" t="s">
        <v>784</v>
      </c>
      <c r="E52" s="327">
        <v>4541</v>
      </c>
      <c r="F52" s="4549">
        <v>4541</v>
      </c>
      <c r="G52" s="4549">
        <v>4541</v>
      </c>
      <c r="H52" s="4549">
        <v>4541</v>
      </c>
      <c r="I52" s="4549">
        <v>4541</v>
      </c>
      <c r="J52" s="4549">
        <v>4541</v>
      </c>
      <c r="K52" s="79">
        <v>1</v>
      </c>
      <c r="L52" s="69">
        <v>1</v>
      </c>
      <c r="M52" s="69">
        <v>1</v>
      </c>
      <c r="N52" s="69">
        <v>1</v>
      </c>
      <c r="O52" s="69">
        <v>1</v>
      </c>
      <c r="P52" s="72">
        <v>1</v>
      </c>
      <c r="Q52" s="69" t="s">
        <v>2000</v>
      </c>
      <c r="R52" s="72" t="s">
        <v>2000</v>
      </c>
      <c r="S52" s="4422"/>
    </row>
    <row r="53" spans="1:19" ht="50.1" customHeight="1" thickBot="1">
      <c r="A53" s="4799"/>
      <c r="B53" s="1630" t="s">
        <v>24</v>
      </c>
      <c r="C53" s="1627" t="s">
        <v>804</v>
      </c>
      <c r="D53" s="484" t="s">
        <v>784</v>
      </c>
      <c r="E53" s="329">
        <v>1103</v>
      </c>
      <c r="F53" s="4555">
        <v>1103</v>
      </c>
      <c r="G53" s="4555">
        <v>1103</v>
      </c>
      <c r="H53" s="4555">
        <v>1103</v>
      </c>
      <c r="I53" s="4555">
        <v>1103</v>
      </c>
      <c r="J53" s="4556">
        <v>1103</v>
      </c>
      <c r="K53" s="79">
        <v>1</v>
      </c>
      <c r="L53" s="73">
        <v>1</v>
      </c>
      <c r="M53" s="73">
        <v>1</v>
      </c>
      <c r="N53" s="73">
        <v>1</v>
      </c>
      <c r="O53" s="73">
        <v>1</v>
      </c>
      <c r="P53" s="74">
        <v>1</v>
      </c>
      <c r="Q53" s="69" t="s">
        <v>2000</v>
      </c>
      <c r="R53" s="72" t="s">
        <v>2000</v>
      </c>
      <c r="S53" s="4422"/>
    </row>
    <row r="54" spans="1:19" ht="38.25">
      <c r="A54" s="4794" t="s">
        <v>900</v>
      </c>
      <c r="B54" s="1631" t="s">
        <v>25</v>
      </c>
      <c r="C54" s="1621" t="s">
        <v>805</v>
      </c>
      <c r="D54" s="482" t="s">
        <v>784</v>
      </c>
      <c r="E54" s="328">
        <v>120</v>
      </c>
      <c r="F54" s="181">
        <v>120</v>
      </c>
      <c r="G54" s="181">
        <v>120</v>
      </c>
      <c r="H54" s="181">
        <v>120</v>
      </c>
      <c r="I54" s="181">
        <v>120</v>
      </c>
      <c r="J54" s="182">
        <v>120</v>
      </c>
      <c r="K54" s="78">
        <v>1</v>
      </c>
      <c r="L54" s="70">
        <v>1</v>
      </c>
      <c r="M54" s="70">
        <v>1</v>
      </c>
      <c r="N54" s="70">
        <v>1</v>
      </c>
      <c r="O54" s="70">
        <v>1</v>
      </c>
      <c r="P54" s="71">
        <v>1</v>
      </c>
      <c r="Q54" s="390" t="s">
        <v>2000</v>
      </c>
      <c r="R54" s="71" t="s">
        <v>2000</v>
      </c>
      <c r="S54" s="4422"/>
    </row>
    <row r="55" spans="1:19" ht="39" thickBot="1">
      <c r="A55" s="4795"/>
      <c r="B55" s="1630" t="s">
        <v>26</v>
      </c>
      <c r="C55" s="1627" t="s">
        <v>806</v>
      </c>
      <c r="D55" s="484" t="s">
        <v>784</v>
      </c>
      <c r="E55" s="329">
        <v>120</v>
      </c>
      <c r="F55" s="186">
        <v>120</v>
      </c>
      <c r="G55" s="186">
        <v>120</v>
      </c>
      <c r="H55" s="186">
        <v>120</v>
      </c>
      <c r="I55" s="186">
        <v>120</v>
      </c>
      <c r="J55" s="187">
        <v>120</v>
      </c>
      <c r="K55" s="80">
        <v>1</v>
      </c>
      <c r="L55" s="73">
        <v>1</v>
      </c>
      <c r="M55" s="73">
        <v>1</v>
      </c>
      <c r="N55" s="73">
        <v>1</v>
      </c>
      <c r="O55" s="73">
        <v>1</v>
      </c>
      <c r="P55" s="74">
        <v>1</v>
      </c>
      <c r="Q55" s="387" t="s">
        <v>2000</v>
      </c>
      <c r="R55" s="586" t="s">
        <v>2000</v>
      </c>
      <c r="S55" s="4422"/>
    </row>
    <row r="56" spans="1:19" ht="38.25">
      <c r="A56" s="4794" t="s">
        <v>867</v>
      </c>
      <c r="B56" s="1631" t="s">
        <v>35</v>
      </c>
      <c r="C56" s="1621" t="s">
        <v>818</v>
      </c>
      <c r="D56" s="482" t="s">
        <v>784</v>
      </c>
      <c r="E56" s="328">
        <v>51</v>
      </c>
      <c r="F56" s="181">
        <v>51</v>
      </c>
      <c r="G56" s="181">
        <v>51</v>
      </c>
      <c r="H56" s="181">
        <v>51</v>
      </c>
      <c r="I56" s="181">
        <v>51</v>
      </c>
      <c r="J56" s="182">
        <v>51</v>
      </c>
      <c r="K56" s="78">
        <v>1</v>
      </c>
      <c r="L56" s="70">
        <v>1</v>
      </c>
      <c r="M56" s="70">
        <v>1</v>
      </c>
      <c r="N56" s="70">
        <v>1</v>
      </c>
      <c r="O56" s="70">
        <v>1</v>
      </c>
      <c r="P56" s="71">
        <v>1</v>
      </c>
      <c r="Q56" s="385" t="s">
        <v>2000</v>
      </c>
      <c r="R56" s="71" t="s">
        <v>2000</v>
      </c>
      <c r="S56" s="4422"/>
    </row>
    <row r="57" spans="1:19" ht="39" thickBot="1">
      <c r="A57" s="4795"/>
      <c r="B57" s="1630" t="s">
        <v>330</v>
      </c>
      <c r="C57" s="1627" t="s">
        <v>817</v>
      </c>
      <c r="D57" s="484" t="s">
        <v>784</v>
      </c>
      <c r="E57" s="329">
        <v>51</v>
      </c>
      <c r="F57" s="186">
        <v>51</v>
      </c>
      <c r="G57" s="186">
        <v>51</v>
      </c>
      <c r="H57" s="186">
        <v>51</v>
      </c>
      <c r="I57" s="186">
        <v>51</v>
      </c>
      <c r="J57" s="187">
        <v>51</v>
      </c>
      <c r="K57" s="80">
        <v>1</v>
      </c>
      <c r="L57" s="73">
        <v>1</v>
      </c>
      <c r="M57" s="73">
        <v>1</v>
      </c>
      <c r="N57" s="73">
        <v>1</v>
      </c>
      <c r="O57" s="73">
        <v>1</v>
      </c>
      <c r="P57" s="74">
        <v>1</v>
      </c>
      <c r="Q57" s="391" t="s">
        <v>2000</v>
      </c>
      <c r="R57" s="586" t="s">
        <v>2000</v>
      </c>
      <c r="S57" s="4422"/>
    </row>
    <row r="58" spans="1:19" ht="51">
      <c r="A58" s="4794" t="s">
        <v>866</v>
      </c>
      <c r="B58" s="1631" t="s">
        <v>27</v>
      </c>
      <c r="C58" s="1621" t="s">
        <v>807</v>
      </c>
      <c r="D58" s="482" t="s">
        <v>808</v>
      </c>
      <c r="E58" s="328">
        <v>1022538</v>
      </c>
      <c r="F58" s="4701">
        <f>E58*0.92</f>
        <v>940734.96000000008</v>
      </c>
      <c r="G58" s="4701">
        <f t="shared" ref="G58:J58" si="15">F58*0.92</f>
        <v>865476.16320000007</v>
      </c>
      <c r="H58" s="4701">
        <f t="shared" si="15"/>
        <v>796238.07014400011</v>
      </c>
      <c r="I58" s="4701">
        <f t="shared" si="15"/>
        <v>732539.02453248017</v>
      </c>
      <c r="J58" s="4701">
        <f t="shared" si="15"/>
        <v>673935.90256988176</v>
      </c>
      <c r="K58" s="78">
        <v>1</v>
      </c>
      <c r="L58" s="70">
        <v>1</v>
      </c>
      <c r="M58" s="70">
        <v>1</v>
      </c>
      <c r="N58" s="70">
        <v>1</v>
      </c>
      <c r="O58" s="70">
        <v>1</v>
      </c>
      <c r="P58" s="71">
        <v>1</v>
      </c>
      <c r="Q58" s="591" t="s">
        <v>2001</v>
      </c>
      <c r="R58" s="71" t="s">
        <v>2001</v>
      </c>
      <c r="S58" s="4422"/>
    </row>
    <row r="59" spans="1:19" ht="25.5">
      <c r="A59" s="4796"/>
      <c r="B59" s="3360" t="s">
        <v>29</v>
      </c>
      <c r="C59" s="1623" t="s">
        <v>813</v>
      </c>
      <c r="D59" s="483" t="s">
        <v>784</v>
      </c>
      <c r="E59" s="327">
        <v>4344</v>
      </c>
      <c r="F59" s="183">
        <f>E59*0.965</f>
        <v>4191.96</v>
      </c>
      <c r="G59" s="183">
        <f t="shared" ref="G59:J59" si="16">F59*0.965</f>
        <v>4045.2413999999999</v>
      </c>
      <c r="H59" s="183">
        <f t="shared" si="16"/>
        <v>3903.6579509999997</v>
      </c>
      <c r="I59" s="183">
        <f t="shared" si="16"/>
        <v>3767.0299227149994</v>
      </c>
      <c r="J59" s="183">
        <f t="shared" si="16"/>
        <v>3635.1838754199744</v>
      </c>
      <c r="K59" s="79">
        <v>1</v>
      </c>
      <c r="L59" s="69">
        <v>1</v>
      </c>
      <c r="M59" s="69">
        <v>1</v>
      </c>
      <c r="N59" s="69">
        <v>1</v>
      </c>
      <c r="O59" s="69">
        <v>1</v>
      </c>
      <c r="P59" s="72">
        <v>1</v>
      </c>
      <c r="Q59" s="389" t="s">
        <v>2001</v>
      </c>
      <c r="R59" s="72" t="s">
        <v>2001</v>
      </c>
      <c r="S59" s="4422"/>
    </row>
    <row r="60" spans="1:19" ht="38.25">
      <c r="A60" s="4796"/>
      <c r="B60" s="3360" t="s">
        <v>36</v>
      </c>
      <c r="C60" s="1623" t="s">
        <v>819</v>
      </c>
      <c r="D60" s="483" t="s">
        <v>784</v>
      </c>
      <c r="E60" s="893">
        <f>'8. Ремонтна програма'!D48</f>
        <v>269</v>
      </c>
      <c r="F60" s="1645">
        <f>'8. Ремонтна програма'!E48</f>
        <v>295.90000000000003</v>
      </c>
      <c r="G60" s="1646">
        <f>'8. Ремонтна програма'!F48</f>
        <v>310.69500000000005</v>
      </c>
      <c r="H60" s="1646">
        <f>'8. Ремонтна програма'!G48</f>
        <v>320.01585000000006</v>
      </c>
      <c r="I60" s="1646">
        <f>'8. Ремонтна програма'!H48</f>
        <v>313.61553300000003</v>
      </c>
      <c r="J60" s="1626">
        <f>'8. Ремонтна програма'!I48</f>
        <v>301.07091167999999</v>
      </c>
      <c r="K60" s="79">
        <v>1</v>
      </c>
      <c r="L60" s="69">
        <v>1</v>
      </c>
      <c r="M60" s="69">
        <v>1</v>
      </c>
      <c r="N60" s="69">
        <v>1</v>
      </c>
      <c r="O60" s="69">
        <v>1</v>
      </c>
      <c r="P60" s="72">
        <v>1</v>
      </c>
      <c r="Q60" s="389" t="s">
        <v>2001</v>
      </c>
      <c r="R60" s="72" t="s">
        <v>2001</v>
      </c>
      <c r="S60" s="4422"/>
    </row>
    <row r="61" spans="1:19" ht="25.5">
      <c r="A61" s="4796"/>
      <c r="B61" s="3360" t="s">
        <v>37</v>
      </c>
      <c r="C61" s="1623" t="s">
        <v>821</v>
      </c>
      <c r="D61" s="483" t="s">
        <v>784</v>
      </c>
      <c r="E61" s="893">
        <f>'8. Ремонтна програма'!D49</f>
        <v>0</v>
      </c>
      <c r="F61" s="1645">
        <f>'8. Ремонтна програма'!E49</f>
        <v>0</v>
      </c>
      <c r="G61" s="1646">
        <f>'8. Ремонтна програма'!F49</f>
        <v>0</v>
      </c>
      <c r="H61" s="1646">
        <f>'8. Ремонтна програма'!G49</f>
        <v>0</v>
      </c>
      <c r="I61" s="1646">
        <f>'8. Ремонтна програма'!H49</f>
        <v>0</v>
      </c>
      <c r="J61" s="1626">
        <f>'8. Ремонтна програма'!I49</f>
        <v>0</v>
      </c>
      <c r="K61" s="79">
        <v>1</v>
      </c>
      <c r="L61" s="69">
        <v>1</v>
      </c>
      <c r="M61" s="69">
        <v>1</v>
      </c>
      <c r="N61" s="69">
        <v>1</v>
      </c>
      <c r="O61" s="69">
        <v>1</v>
      </c>
      <c r="P61" s="72">
        <v>1</v>
      </c>
      <c r="Q61" s="389" t="s">
        <v>2001</v>
      </c>
      <c r="R61" s="72" t="s">
        <v>2001</v>
      </c>
      <c r="S61" s="4422"/>
    </row>
    <row r="62" spans="1:19" ht="26.25" thickBot="1">
      <c r="A62" s="4795"/>
      <c r="B62" s="1630" t="s">
        <v>38</v>
      </c>
      <c r="C62" s="1627" t="s">
        <v>820</v>
      </c>
      <c r="D62" s="484" t="s">
        <v>784</v>
      </c>
      <c r="E62" s="329">
        <v>28</v>
      </c>
      <c r="F62" s="186">
        <v>25</v>
      </c>
      <c r="G62" s="186">
        <v>23</v>
      </c>
      <c r="H62" s="186">
        <v>21</v>
      </c>
      <c r="I62" s="186">
        <v>18</v>
      </c>
      <c r="J62" s="186">
        <v>15</v>
      </c>
      <c r="K62" s="80">
        <v>1</v>
      </c>
      <c r="L62" s="73">
        <v>1</v>
      </c>
      <c r="M62" s="73">
        <v>1</v>
      </c>
      <c r="N62" s="73">
        <v>1</v>
      </c>
      <c r="O62" s="73">
        <v>1</v>
      </c>
      <c r="P62" s="74">
        <v>1</v>
      </c>
      <c r="Q62" s="128" t="s">
        <v>2001</v>
      </c>
      <c r="R62" s="129" t="s">
        <v>2001</v>
      </c>
      <c r="S62" s="4422"/>
    </row>
    <row r="63" spans="1:19" ht="51">
      <c r="A63" s="4794" t="s">
        <v>871</v>
      </c>
      <c r="B63" s="1631" t="s">
        <v>41</v>
      </c>
      <c r="C63" s="1621" t="s">
        <v>809</v>
      </c>
      <c r="D63" s="482" t="s">
        <v>1042</v>
      </c>
      <c r="E63" s="330">
        <f>'4. Отчет и прогн. потребление'!D9</f>
        <v>27737550</v>
      </c>
      <c r="F63" s="4666">
        <f>'4. Отчет и прогн. потребление'!E9</f>
        <v>27042797.18</v>
      </c>
      <c r="G63" s="278">
        <f>'4. Отчет и прогн. потребление'!F9</f>
        <v>26501941.236400001</v>
      </c>
      <c r="H63" s="278">
        <f>'4. Отчет и прогн. потребление'!G9</f>
        <v>25971902.411672</v>
      </c>
      <c r="I63" s="278">
        <f>'4. Отчет и прогн. потребление'!H9</f>
        <v>25513545</v>
      </c>
      <c r="J63" s="279">
        <f>'4. Отчет и прогн. потребление'!I9</f>
        <v>24930674.0761698</v>
      </c>
      <c r="K63" s="4560">
        <v>3</v>
      </c>
      <c r="L63" s="4561">
        <v>3</v>
      </c>
      <c r="M63" s="4561">
        <v>3</v>
      </c>
      <c r="N63" s="4561">
        <v>3</v>
      </c>
      <c r="O63" s="4561">
        <v>3</v>
      </c>
      <c r="P63" s="4562">
        <v>3</v>
      </c>
      <c r="Q63" s="76" t="s">
        <v>2002</v>
      </c>
      <c r="R63" s="71" t="s">
        <v>2002</v>
      </c>
      <c r="S63" s="4422"/>
    </row>
    <row r="64" spans="1:19" ht="51">
      <c r="A64" s="4796"/>
      <c r="B64" s="1629" t="s">
        <v>782</v>
      </c>
      <c r="C64" s="1623" t="s">
        <v>811</v>
      </c>
      <c r="D64" s="483" t="s">
        <v>1042</v>
      </c>
      <c r="E64" s="331">
        <f>'4. Отчет и прогн. потребление'!D20</f>
        <v>7653017</v>
      </c>
      <c r="F64" s="4667">
        <f>'4. Отчет и прогн. потребление'!E20</f>
        <v>7626644.333333333</v>
      </c>
      <c r="G64" s="282">
        <f>'4. Отчет и прогн. потребление'!F20</f>
        <v>7672826.0252977135</v>
      </c>
      <c r="H64" s="282">
        <f>'4. Отчет и прогн. потребление'!G20</f>
        <v>7587408.2529848581</v>
      </c>
      <c r="I64" s="282">
        <f>'4. Отчет и прогн. потребление'!H20</f>
        <v>7737442.4578720042</v>
      </c>
      <c r="J64" s="283">
        <f>'4. Отчет и прогн. потребление'!I20</f>
        <v>8199585.2979929335</v>
      </c>
      <c r="K64" s="4563">
        <v>2</v>
      </c>
      <c r="L64" s="4558">
        <v>2</v>
      </c>
      <c r="M64" s="4558">
        <v>2</v>
      </c>
      <c r="N64" s="4558">
        <v>2</v>
      </c>
      <c r="O64" s="4558">
        <v>2</v>
      </c>
      <c r="P64" s="4559">
        <v>2</v>
      </c>
      <c r="Q64" s="389" t="s">
        <v>2003</v>
      </c>
      <c r="R64" s="72" t="s">
        <v>2003</v>
      </c>
      <c r="S64" s="4422"/>
    </row>
    <row r="65" spans="1:19" ht="51">
      <c r="A65" s="4796"/>
      <c r="B65" s="1629" t="s">
        <v>783</v>
      </c>
      <c r="C65" s="1623" t="s">
        <v>810</v>
      </c>
      <c r="D65" s="483" t="s">
        <v>1042</v>
      </c>
      <c r="E65" s="332">
        <f>'4. Отчет и прогн. потребление'!D43</f>
        <v>20084533</v>
      </c>
      <c r="F65" s="4667">
        <f>'4. Отчет и прогн. потребление'!E43</f>
        <v>19416152.539999999</v>
      </c>
      <c r="G65" s="282">
        <f>'4. Отчет и прогн. потребление'!F43</f>
        <v>18829115.078799997</v>
      </c>
      <c r="H65" s="282">
        <f>'4. Отчет и прогн. потребление'!G43</f>
        <v>18384494.067935999</v>
      </c>
      <c r="I65" s="282">
        <f>'4. Отчет и прогн. потребление'!H43</f>
        <v>17776102.354289077</v>
      </c>
      <c r="J65" s="283">
        <f>'4. Отчет и прогн. потребление'!I43</f>
        <v>16731088.567318412</v>
      </c>
      <c r="K65" s="4563">
        <v>2</v>
      </c>
      <c r="L65" s="4558">
        <v>2</v>
      </c>
      <c r="M65" s="4558">
        <v>2</v>
      </c>
      <c r="N65" s="4558">
        <v>2</v>
      </c>
      <c r="O65" s="4558">
        <v>2</v>
      </c>
      <c r="P65" s="4559">
        <v>2</v>
      </c>
      <c r="Q65" s="76" t="s">
        <v>2002</v>
      </c>
      <c r="R65" s="72" t="s">
        <v>2002</v>
      </c>
      <c r="S65" s="4422"/>
    </row>
    <row r="66" spans="1:19" ht="26.25" thickBot="1">
      <c r="A66" s="4796"/>
      <c r="B66" s="1647" t="s">
        <v>43</v>
      </c>
      <c r="C66" s="1648" t="s">
        <v>826</v>
      </c>
      <c r="D66" s="492" t="s">
        <v>1042</v>
      </c>
      <c r="E66" s="329">
        <v>14071358</v>
      </c>
      <c r="F66" s="4668">
        <v>14071358</v>
      </c>
      <c r="G66" s="186">
        <v>14071358</v>
      </c>
      <c r="H66" s="186">
        <v>14071358</v>
      </c>
      <c r="I66" s="186">
        <v>17571358</v>
      </c>
      <c r="J66" s="187">
        <v>17571358</v>
      </c>
      <c r="K66" s="4564">
        <v>2</v>
      </c>
      <c r="L66" s="4565">
        <v>2</v>
      </c>
      <c r="M66" s="4565">
        <v>2</v>
      </c>
      <c r="N66" s="4565">
        <v>2</v>
      </c>
      <c r="O66" s="4565">
        <v>2</v>
      </c>
      <c r="P66" s="4566">
        <v>2</v>
      </c>
      <c r="Q66" s="588" t="s">
        <v>2002</v>
      </c>
      <c r="R66" s="74" t="s">
        <v>2002</v>
      </c>
      <c r="S66" s="4422"/>
    </row>
    <row r="67" spans="1:19" ht="25.5">
      <c r="A67" s="4797" t="s">
        <v>905</v>
      </c>
      <c r="B67" s="1649"/>
      <c r="C67" s="1621" t="s">
        <v>901</v>
      </c>
      <c r="D67" s="482" t="s">
        <v>784</v>
      </c>
      <c r="E67" s="328">
        <v>141</v>
      </c>
      <c r="F67" s="181">
        <v>145</v>
      </c>
      <c r="G67" s="181">
        <v>150</v>
      </c>
      <c r="H67" s="181">
        <v>155</v>
      </c>
      <c r="I67" s="181">
        <v>160</v>
      </c>
      <c r="J67" s="182">
        <v>165</v>
      </c>
      <c r="K67" s="4567">
        <v>2</v>
      </c>
      <c r="L67" s="4561">
        <v>2</v>
      </c>
      <c r="M67" s="4561">
        <v>2</v>
      </c>
      <c r="N67" s="4561">
        <v>2</v>
      </c>
      <c r="O67" s="4561">
        <v>2</v>
      </c>
      <c r="P67" s="4568">
        <v>2</v>
      </c>
      <c r="Q67" s="389" t="s">
        <v>2004</v>
      </c>
      <c r="R67" s="71" t="s">
        <v>2005</v>
      </c>
      <c r="S67" s="4422"/>
    </row>
    <row r="68" spans="1:19" ht="25.5">
      <c r="A68" s="4798"/>
      <c r="B68" s="1650"/>
      <c r="C68" s="1623" t="s">
        <v>989</v>
      </c>
      <c r="D68" s="483" t="s">
        <v>170</v>
      </c>
      <c r="E68" s="333">
        <v>0.35</v>
      </c>
      <c r="F68" s="191">
        <v>0.36</v>
      </c>
      <c r="G68" s="191">
        <v>0.38</v>
      </c>
      <c r="H68" s="191">
        <v>0.4</v>
      </c>
      <c r="I68" s="191">
        <v>0.42</v>
      </c>
      <c r="J68" s="192">
        <v>0.45</v>
      </c>
      <c r="K68" s="4557">
        <v>2</v>
      </c>
      <c r="L68" s="4558">
        <v>2</v>
      </c>
      <c r="M68" s="4558">
        <v>2</v>
      </c>
      <c r="N68" s="4558">
        <v>2</v>
      </c>
      <c r="O68" s="4558">
        <v>2</v>
      </c>
      <c r="P68" s="4569">
        <v>2</v>
      </c>
      <c r="Q68" s="389" t="s">
        <v>2004</v>
      </c>
      <c r="R68" s="72" t="s">
        <v>2004</v>
      </c>
      <c r="S68" s="4422"/>
    </row>
    <row r="69" spans="1:19" ht="63.75">
      <c r="A69" s="4798"/>
      <c r="B69" s="1650"/>
      <c r="C69" s="1623" t="s">
        <v>990</v>
      </c>
      <c r="D69" s="483" t="s">
        <v>170</v>
      </c>
      <c r="E69" s="333">
        <v>0</v>
      </c>
      <c r="F69" s="191">
        <v>0</v>
      </c>
      <c r="G69" s="191">
        <v>0</v>
      </c>
      <c r="H69" s="191">
        <v>0</v>
      </c>
      <c r="I69" s="191">
        <v>0</v>
      </c>
      <c r="J69" s="192">
        <v>0</v>
      </c>
      <c r="K69" s="4557">
        <v>2</v>
      </c>
      <c r="L69" s="4558">
        <v>2</v>
      </c>
      <c r="M69" s="4558">
        <v>2</v>
      </c>
      <c r="N69" s="4558">
        <v>2</v>
      </c>
      <c r="O69" s="4558">
        <v>2</v>
      </c>
      <c r="P69" s="4569">
        <v>2</v>
      </c>
      <c r="Q69" s="389" t="s">
        <v>2004</v>
      </c>
      <c r="R69" s="72" t="s">
        <v>2004</v>
      </c>
      <c r="S69" s="4422"/>
    </row>
    <row r="70" spans="1:19" ht="25.5">
      <c r="A70" s="4798"/>
      <c r="B70" s="1650"/>
      <c r="C70" s="1623" t="s">
        <v>987</v>
      </c>
      <c r="D70" s="483" t="s">
        <v>170</v>
      </c>
      <c r="E70" s="333">
        <v>0.65</v>
      </c>
      <c r="F70" s="191">
        <v>0.64</v>
      </c>
      <c r="G70" s="191">
        <v>0.62</v>
      </c>
      <c r="H70" s="191">
        <v>0.6</v>
      </c>
      <c r="I70" s="191">
        <v>0.57999999999999996</v>
      </c>
      <c r="J70" s="192">
        <v>0.55000000000000004</v>
      </c>
      <c r="K70" s="4557">
        <v>2</v>
      </c>
      <c r="L70" s="4558">
        <v>2</v>
      </c>
      <c r="M70" s="4558">
        <v>2</v>
      </c>
      <c r="N70" s="4558">
        <v>2</v>
      </c>
      <c r="O70" s="4558">
        <v>2</v>
      </c>
      <c r="P70" s="4569">
        <v>2</v>
      </c>
      <c r="Q70" s="389" t="s">
        <v>2004</v>
      </c>
      <c r="R70" s="72" t="s">
        <v>2004</v>
      </c>
      <c r="S70" s="4422"/>
    </row>
    <row r="71" spans="1:19">
      <c r="A71" s="4798"/>
      <c r="B71" s="1651"/>
      <c r="C71" s="1652" t="s">
        <v>988</v>
      </c>
      <c r="D71" s="493" t="s">
        <v>170</v>
      </c>
      <c r="E71" s="334">
        <f>SUM(E68:E70)</f>
        <v>1</v>
      </c>
      <c r="F71" s="288">
        <f t="shared" ref="F71:J71" si="17">SUM(F68:F70)</f>
        <v>1</v>
      </c>
      <c r="G71" s="288">
        <f t="shared" si="17"/>
        <v>1</v>
      </c>
      <c r="H71" s="288">
        <f t="shared" si="17"/>
        <v>1</v>
      </c>
      <c r="I71" s="288">
        <f t="shared" si="17"/>
        <v>1</v>
      </c>
      <c r="J71" s="289">
        <f t="shared" si="17"/>
        <v>1</v>
      </c>
      <c r="K71" s="890"/>
      <c r="L71" s="1653"/>
      <c r="M71" s="1653"/>
      <c r="N71" s="1653"/>
      <c r="O71" s="1653"/>
      <c r="P71" s="1654"/>
      <c r="Q71" s="1655"/>
      <c r="R71" s="1656"/>
      <c r="S71" s="4422"/>
    </row>
    <row r="72" spans="1:19" ht="25.5">
      <c r="A72" s="4798"/>
      <c r="B72" s="1650"/>
      <c r="C72" s="1623" t="s">
        <v>902</v>
      </c>
      <c r="D72" s="483" t="s">
        <v>784</v>
      </c>
      <c r="E72" s="327">
        <v>130</v>
      </c>
      <c r="F72" s="183">
        <v>135</v>
      </c>
      <c r="G72" s="183">
        <v>140</v>
      </c>
      <c r="H72" s="183">
        <v>145</v>
      </c>
      <c r="I72" s="183">
        <v>150</v>
      </c>
      <c r="J72" s="184">
        <v>155</v>
      </c>
      <c r="K72" s="4557">
        <v>2</v>
      </c>
      <c r="L72" s="4558">
        <v>2</v>
      </c>
      <c r="M72" s="4558">
        <v>2</v>
      </c>
      <c r="N72" s="4558">
        <v>2</v>
      </c>
      <c r="O72" s="4558">
        <v>2</v>
      </c>
      <c r="P72" s="4558">
        <v>2</v>
      </c>
      <c r="Q72" s="72" t="s">
        <v>2005</v>
      </c>
      <c r="R72" s="72" t="s">
        <v>2005</v>
      </c>
      <c r="S72" s="4422"/>
    </row>
    <row r="73" spans="1:19" ht="63.75">
      <c r="A73" s="4798"/>
      <c r="B73" s="3362" t="s">
        <v>742</v>
      </c>
      <c r="C73" s="1623" t="s">
        <v>1003</v>
      </c>
      <c r="D73" s="483" t="s">
        <v>784</v>
      </c>
      <c r="E73" s="327">
        <v>12</v>
      </c>
      <c r="F73" s="183">
        <v>15</v>
      </c>
      <c r="G73" s="183">
        <v>30</v>
      </c>
      <c r="H73" s="183">
        <v>45</v>
      </c>
      <c r="I73" s="183">
        <v>60</v>
      </c>
      <c r="J73" s="184">
        <v>75</v>
      </c>
      <c r="K73" s="4557">
        <v>2</v>
      </c>
      <c r="L73" s="4558">
        <v>2</v>
      </c>
      <c r="M73" s="4558">
        <v>2</v>
      </c>
      <c r="N73" s="4558">
        <v>2</v>
      </c>
      <c r="O73" s="4558">
        <v>2</v>
      </c>
      <c r="P73" s="4558">
        <v>2</v>
      </c>
      <c r="Q73" s="72" t="s">
        <v>2005</v>
      </c>
      <c r="R73" s="72" t="s">
        <v>2005</v>
      </c>
      <c r="S73" s="4422"/>
    </row>
    <row r="74" spans="1:19" ht="51">
      <c r="A74" s="4798"/>
      <c r="B74" s="3362" t="s">
        <v>839</v>
      </c>
      <c r="C74" s="1623" t="s">
        <v>847</v>
      </c>
      <c r="D74" s="483" t="s">
        <v>784</v>
      </c>
      <c r="E74" s="327">
        <v>16886</v>
      </c>
      <c r="F74" s="183">
        <v>17223.72</v>
      </c>
      <c r="G74" s="183">
        <v>17568.1944</v>
      </c>
      <c r="H74" s="183">
        <v>17919.558288</v>
      </c>
      <c r="I74" s="183">
        <v>18277.94945376</v>
      </c>
      <c r="J74" s="183">
        <v>18643.508442835202</v>
      </c>
      <c r="K74" s="4557">
        <v>2</v>
      </c>
      <c r="L74" s="4558">
        <v>2</v>
      </c>
      <c r="M74" s="4558">
        <v>2</v>
      </c>
      <c r="N74" s="4558">
        <v>2</v>
      </c>
      <c r="O74" s="4558">
        <v>2</v>
      </c>
      <c r="P74" s="4558">
        <v>2</v>
      </c>
      <c r="Q74" s="72" t="s">
        <v>2006</v>
      </c>
      <c r="R74" s="72" t="s">
        <v>2006</v>
      </c>
      <c r="S74" s="4422"/>
    </row>
    <row r="75" spans="1:19" ht="38.25">
      <c r="A75" s="4798"/>
      <c r="B75" s="3362" t="s">
        <v>845</v>
      </c>
      <c r="C75" s="1623" t="s">
        <v>846</v>
      </c>
      <c r="D75" s="483" t="s">
        <v>784</v>
      </c>
      <c r="E75" s="327">
        <v>49555</v>
      </c>
      <c r="F75" s="183">
        <v>49800</v>
      </c>
      <c r="G75" s="183">
        <f>F75+50</f>
        <v>49850</v>
      </c>
      <c r="H75" s="183">
        <f>G75+70</f>
        <v>49920</v>
      </c>
      <c r="I75" s="183">
        <f t="shared" ref="I75" si="18">H75+50</f>
        <v>49970</v>
      </c>
      <c r="J75" s="183">
        <f>I75+60</f>
        <v>50030</v>
      </c>
      <c r="K75" s="4557">
        <v>2</v>
      </c>
      <c r="L75" s="4558">
        <v>2</v>
      </c>
      <c r="M75" s="4558">
        <v>2</v>
      </c>
      <c r="N75" s="4558">
        <v>2</v>
      </c>
      <c r="O75" s="4558">
        <v>2</v>
      </c>
      <c r="P75" s="4558">
        <v>2</v>
      </c>
      <c r="Q75" s="72" t="s">
        <v>2006</v>
      </c>
      <c r="R75" s="72" t="s">
        <v>2006</v>
      </c>
      <c r="S75" s="4422"/>
    </row>
    <row r="76" spans="1:19" ht="25.5">
      <c r="A76" s="4798"/>
      <c r="B76" s="3362"/>
      <c r="C76" s="1623" t="s">
        <v>903</v>
      </c>
      <c r="D76" s="483" t="s">
        <v>784</v>
      </c>
      <c r="E76" s="327">
        <v>5</v>
      </c>
      <c r="F76" s="183">
        <v>5</v>
      </c>
      <c r="G76" s="183">
        <v>5</v>
      </c>
      <c r="H76" s="183">
        <v>5</v>
      </c>
      <c r="I76" s="183">
        <v>6</v>
      </c>
      <c r="J76" s="183">
        <v>6</v>
      </c>
      <c r="K76" s="79">
        <v>1</v>
      </c>
      <c r="L76" s="69">
        <v>1</v>
      </c>
      <c r="M76" s="69">
        <v>1</v>
      </c>
      <c r="N76" s="69">
        <v>1</v>
      </c>
      <c r="O76" s="69">
        <v>1</v>
      </c>
      <c r="P76" s="69">
        <v>1</v>
      </c>
      <c r="Q76" s="72" t="s">
        <v>2006</v>
      </c>
      <c r="R76" s="72" t="s">
        <v>2006</v>
      </c>
      <c r="S76" s="4422"/>
    </row>
    <row r="77" spans="1:19" ht="35.450000000000003" customHeight="1" thickBot="1">
      <c r="A77" s="4799"/>
      <c r="B77" s="1657"/>
      <c r="C77" s="1627" t="s">
        <v>904</v>
      </c>
      <c r="D77" s="3664" t="s">
        <v>784</v>
      </c>
      <c r="E77" s="329">
        <v>0</v>
      </c>
      <c r="F77" s="186">
        <v>0</v>
      </c>
      <c r="G77" s="186">
        <v>0</v>
      </c>
      <c r="H77" s="186">
        <v>0</v>
      </c>
      <c r="I77" s="186">
        <v>3</v>
      </c>
      <c r="J77" s="187">
        <v>6</v>
      </c>
      <c r="K77" s="80">
        <v>1</v>
      </c>
      <c r="L77" s="73">
        <v>1</v>
      </c>
      <c r="M77" s="73">
        <v>1</v>
      </c>
      <c r="N77" s="73">
        <v>1</v>
      </c>
      <c r="O77" s="73">
        <v>1</v>
      </c>
      <c r="P77" s="73">
        <v>1</v>
      </c>
      <c r="Q77" s="74" t="s">
        <v>2006</v>
      </c>
      <c r="R77" s="74" t="s">
        <v>2006</v>
      </c>
      <c r="S77" s="4422"/>
    </row>
    <row r="78" spans="1:19" ht="29.45" customHeight="1">
      <c r="A78" s="4796" t="s">
        <v>869</v>
      </c>
      <c r="B78" s="3363" t="s">
        <v>46</v>
      </c>
      <c r="C78" s="1633" t="s">
        <v>827</v>
      </c>
      <c r="D78" s="485" t="s">
        <v>812</v>
      </c>
      <c r="E78" s="335">
        <v>13</v>
      </c>
      <c r="F78" s="4664">
        <v>15</v>
      </c>
      <c r="G78" s="4664">
        <v>15</v>
      </c>
      <c r="H78" s="4664">
        <v>15</v>
      </c>
      <c r="I78" s="4664">
        <v>15</v>
      </c>
      <c r="J78" s="4665">
        <v>29</v>
      </c>
      <c r="K78" s="4570">
        <v>2</v>
      </c>
      <c r="L78" s="4571">
        <v>2</v>
      </c>
      <c r="M78" s="4571">
        <v>2</v>
      </c>
      <c r="N78" s="4571">
        <v>2</v>
      </c>
      <c r="O78" s="4571">
        <v>2</v>
      </c>
      <c r="P78" s="4571">
        <v>2</v>
      </c>
      <c r="Q78" s="128" t="s">
        <v>2007</v>
      </c>
      <c r="R78" s="129" t="s">
        <v>2008</v>
      </c>
      <c r="S78" s="4422"/>
    </row>
    <row r="79" spans="1:19" ht="64.5" thickBot="1">
      <c r="A79" s="4795"/>
      <c r="B79" s="3361" t="s">
        <v>837</v>
      </c>
      <c r="C79" s="1627" t="s">
        <v>868</v>
      </c>
      <c r="D79" s="484" t="s">
        <v>812</v>
      </c>
      <c r="E79" s="329">
        <v>24</v>
      </c>
      <c r="F79" s="186">
        <v>28</v>
      </c>
      <c r="G79" s="186">
        <v>32</v>
      </c>
      <c r="H79" s="186">
        <v>36</v>
      </c>
      <c r="I79" s="186">
        <v>38</v>
      </c>
      <c r="J79" s="187">
        <v>40</v>
      </c>
      <c r="K79" s="4572">
        <v>2</v>
      </c>
      <c r="L79" s="4573">
        <v>2</v>
      </c>
      <c r="M79" s="4573">
        <v>2</v>
      </c>
      <c r="N79" s="4573">
        <v>2</v>
      </c>
      <c r="O79" s="4573">
        <v>2</v>
      </c>
      <c r="P79" s="4573">
        <v>2</v>
      </c>
      <c r="Q79" s="77" t="s">
        <v>2001</v>
      </c>
      <c r="R79" s="74" t="s">
        <v>2009</v>
      </c>
      <c r="S79" s="4422"/>
    </row>
    <row r="80" spans="1:19" ht="25.5">
      <c r="A80" s="4794" t="s">
        <v>870</v>
      </c>
      <c r="B80" s="1631" t="s">
        <v>40</v>
      </c>
      <c r="C80" s="1621" t="s">
        <v>824</v>
      </c>
      <c r="D80" s="482" t="s">
        <v>348</v>
      </c>
      <c r="E80" s="336">
        <f>'6. Ел.Енергия'!C18</f>
        <v>35147163.910999998</v>
      </c>
      <c r="F80" s="284">
        <f>'6. Ел.Енергия'!D18</f>
        <v>34971428</v>
      </c>
      <c r="G80" s="284">
        <f>'6. Ел.Енергия'!E18</f>
        <v>34796571</v>
      </c>
      <c r="H80" s="284">
        <f>'6. Ел.Енергия'!F18</f>
        <v>34622588</v>
      </c>
      <c r="I80" s="284">
        <f>'6. Ел.Енергия'!G18</f>
        <v>35597262</v>
      </c>
      <c r="J80" s="285">
        <f>'6. Ел.Енергия'!H18</f>
        <v>35419275</v>
      </c>
      <c r="K80" s="78">
        <v>1</v>
      </c>
      <c r="L80" s="75">
        <v>1</v>
      </c>
      <c r="M80" s="75">
        <v>1</v>
      </c>
      <c r="N80" s="75">
        <v>1</v>
      </c>
      <c r="O80" s="75">
        <v>1</v>
      </c>
      <c r="P80" s="99">
        <v>1</v>
      </c>
      <c r="Q80" s="390" t="s">
        <v>2002</v>
      </c>
      <c r="R80" s="71" t="s">
        <v>2002</v>
      </c>
      <c r="S80" s="4422"/>
    </row>
    <row r="81" spans="1:26" ht="39" thickBot="1">
      <c r="A81" s="4795"/>
      <c r="B81" s="1630" t="s">
        <v>42</v>
      </c>
      <c r="C81" s="1627" t="s">
        <v>992</v>
      </c>
      <c r="D81" s="484" t="s">
        <v>348</v>
      </c>
      <c r="E81" s="337">
        <f>'6. Ел.Енергия'!C49</f>
        <v>2753172.4</v>
      </c>
      <c r="F81" s="286">
        <f>'6. Ел.Енергия'!D49</f>
        <v>2753172.4</v>
      </c>
      <c r="G81" s="286">
        <f>'6. Ел.Енергия'!E49</f>
        <v>2753172.4</v>
      </c>
      <c r="H81" s="286">
        <f>'6. Ел.Енергия'!F49</f>
        <v>2753172.4</v>
      </c>
      <c r="I81" s="286">
        <f>'6. Ел.Енергия'!G49</f>
        <v>3198460</v>
      </c>
      <c r="J81" s="287">
        <f>'6. Ел.Енергия'!H49</f>
        <v>3198460</v>
      </c>
      <c r="K81" s="80">
        <v>1</v>
      </c>
      <c r="L81" s="77">
        <v>1</v>
      </c>
      <c r="M81" s="77">
        <v>1</v>
      </c>
      <c r="N81" s="77">
        <v>1</v>
      </c>
      <c r="O81" s="77">
        <v>1</v>
      </c>
      <c r="P81" s="4574">
        <v>1</v>
      </c>
      <c r="Q81" s="131" t="s">
        <v>2002</v>
      </c>
      <c r="R81" s="129" t="s">
        <v>2002</v>
      </c>
      <c r="S81" s="4422"/>
    </row>
    <row r="82" spans="1:26" ht="51.75" thickBot="1">
      <c r="A82" s="4794" t="s">
        <v>872</v>
      </c>
      <c r="B82" s="1631" t="s">
        <v>44</v>
      </c>
      <c r="C82" s="1621" t="s">
        <v>825</v>
      </c>
      <c r="D82" s="482" t="s">
        <v>595</v>
      </c>
      <c r="E82" s="4669">
        <v>779</v>
      </c>
      <c r="F82" s="4670">
        <f>'7. Утайки от ПСОВ'!F17+'7. Утайки от ПСОВ'!G16</f>
        <v>700</v>
      </c>
      <c r="G82" s="4670">
        <f>'7. Утайки от ПСОВ'!G17+'7. Утайки от ПСОВ'!H16</f>
        <v>1000</v>
      </c>
      <c r="H82" s="4670">
        <f>'7. Утайки от ПСОВ'!H17+'7. Утайки от ПСОВ'!I16</f>
        <v>1000</v>
      </c>
      <c r="I82" s="4670">
        <f>'7. Утайки от ПСОВ'!I17+'7. Утайки от ПСОВ'!J16</f>
        <v>1000</v>
      </c>
      <c r="J82" s="4671">
        <f>'7. Утайки от ПСОВ'!J17+'7. Утайки от ПСОВ'!K16</f>
        <v>1000</v>
      </c>
      <c r="K82" s="78">
        <v>1</v>
      </c>
      <c r="L82" s="70">
        <v>1</v>
      </c>
      <c r="M82" s="70">
        <v>1</v>
      </c>
      <c r="N82" s="70">
        <v>1</v>
      </c>
      <c r="O82" s="70">
        <v>1</v>
      </c>
      <c r="P82" s="71">
        <v>1</v>
      </c>
      <c r="Q82" s="4687" t="s">
        <v>2010</v>
      </c>
      <c r="R82" s="71" t="s">
        <v>2010</v>
      </c>
      <c r="S82" s="4422"/>
      <c r="T82" s="4791" t="s">
        <v>746</v>
      </c>
      <c r="U82" s="4791" t="s">
        <v>922</v>
      </c>
      <c r="V82" s="4791"/>
      <c r="W82" s="4791"/>
      <c r="X82" s="4791"/>
      <c r="Y82" s="4791"/>
      <c r="Z82" s="4791"/>
    </row>
    <row r="83" spans="1:26" ht="39" thickBot="1">
      <c r="A83" s="4795"/>
      <c r="B83" s="1630" t="s">
        <v>45</v>
      </c>
      <c r="C83" s="1627" t="s">
        <v>835</v>
      </c>
      <c r="D83" s="484" t="s">
        <v>595</v>
      </c>
      <c r="E83" s="4672">
        <v>1125</v>
      </c>
      <c r="F83" s="4673">
        <f>'7. Утайки от ПСОВ'!F12</f>
        <v>1000</v>
      </c>
      <c r="G83" s="4673">
        <f>'7. Утайки от ПСОВ'!G12</f>
        <v>1000</v>
      </c>
      <c r="H83" s="4673">
        <f>'7. Утайки от ПСОВ'!H12</f>
        <v>1000</v>
      </c>
      <c r="I83" s="4673">
        <f>'7. Утайки от ПСОВ'!I12</f>
        <v>1000</v>
      </c>
      <c r="J83" s="4674">
        <f>'7. Утайки от ПСОВ'!J12</f>
        <v>1000</v>
      </c>
      <c r="K83" s="80">
        <v>1</v>
      </c>
      <c r="L83" s="73">
        <v>1</v>
      </c>
      <c r="M83" s="73">
        <v>1</v>
      </c>
      <c r="N83" s="73">
        <v>1</v>
      </c>
      <c r="O83" s="73">
        <v>1</v>
      </c>
      <c r="P83" s="74">
        <v>1</v>
      </c>
      <c r="Q83" s="4688" t="s">
        <v>2010</v>
      </c>
      <c r="R83" s="74" t="s">
        <v>2010</v>
      </c>
      <c r="S83" s="4422"/>
      <c r="T83" s="4791"/>
      <c r="U83" s="4424" t="str">
        <f>'Приложение '!$C$12</f>
        <v>2024 г.</v>
      </c>
      <c r="V83" s="4424" t="str">
        <f>'Приложение '!$C$14</f>
        <v>2027 г.</v>
      </c>
      <c r="W83" s="4424" t="str">
        <f>'Приложение '!$C$15</f>
        <v>2028 г.</v>
      </c>
      <c r="X83" s="4424" t="str">
        <f>'Приложение '!$C$16</f>
        <v>2029 г.</v>
      </c>
      <c r="Y83" s="4424" t="str">
        <f>'Приложение '!$C$17</f>
        <v>2030 г.</v>
      </c>
      <c r="Z83" s="4424" t="str">
        <f>'Приложение '!$C$18</f>
        <v>2031 г.</v>
      </c>
    </row>
    <row r="84" spans="1:26" ht="51.75" thickBot="1">
      <c r="A84" s="4794" t="s">
        <v>873</v>
      </c>
      <c r="B84" s="1631" t="s">
        <v>48</v>
      </c>
      <c r="C84" s="1621" t="s">
        <v>829</v>
      </c>
      <c r="D84" s="482" t="s">
        <v>828</v>
      </c>
      <c r="E84" s="327">
        <v>27769631</v>
      </c>
      <c r="F84" s="278">
        <f>'16. Необходими приходи'!D11*1000</f>
        <v>34505679.808631271</v>
      </c>
      <c r="G84" s="278">
        <f>'16. Необходими приходи'!E11*1000</f>
        <v>37380378.508893333</v>
      </c>
      <c r="H84" s="278">
        <f>'16. Необходими приходи'!F11*1000</f>
        <v>40547632.893943086</v>
      </c>
      <c r="I84" s="278">
        <f>'16. Необходими приходи'!G11*1000</f>
        <v>44337778.45871114</v>
      </c>
      <c r="J84" s="279">
        <f>'16. Необходими приходи'!H11*1000</f>
        <v>47143030.569440961</v>
      </c>
      <c r="K84" s="78">
        <v>1</v>
      </c>
      <c r="L84" s="70">
        <v>1</v>
      </c>
      <c r="M84" s="70">
        <v>1</v>
      </c>
      <c r="N84" s="70">
        <v>1</v>
      </c>
      <c r="O84" s="70">
        <v>1</v>
      </c>
      <c r="P84" s="71">
        <v>1</v>
      </c>
      <c r="Q84" s="4687" t="s">
        <v>2011</v>
      </c>
      <c r="R84" s="71" t="s">
        <v>2011</v>
      </c>
      <c r="S84" s="4422"/>
      <c r="T84" s="4425" t="s">
        <v>1874</v>
      </c>
      <c r="U84" s="4427">
        <f>IFERROR(E84/$C$1,0)</f>
        <v>14198386.874114826</v>
      </c>
      <c r="V84" s="4427">
        <f t="shared" ref="V84:V92" si="19">IFERROR(F84/$C$1,0)</f>
        <v>17642473.941309456</v>
      </c>
      <c r="W84" s="4427">
        <f t="shared" ref="W84:W92" si="20">IFERROR(G84/$C$1,0)</f>
        <v>19112284.04763877</v>
      </c>
      <c r="X84" s="4427">
        <f t="shared" ref="X84:X92" si="21">IFERROR(H84/$C$1,0)</f>
        <v>20731675.500397831</v>
      </c>
      <c r="Y84" s="4427">
        <f t="shared" ref="Y84:Y92" si="22">IFERROR(I84/$C$1,0)</f>
        <v>22669546.156215593</v>
      </c>
      <c r="Z84" s="4427">
        <f t="shared" ref="Z84:Z92" si="23">IFERROR(J84/$C$1,0)</f>
        <v>24103848.785140306</v>
      </c>
    </row>
    <row r="85" spans="1:26" ht="26.25" thickBot="1">
      <c r="A85" s="4796"/>
      <c r="B85" s="1629" t="s">
        <v>49</v>
      </c>
      <c r="C85" s="1623" t="s">
        <v>830</v>
      </c>
      <c r="D85" s="483" t="s">
        <v>828</v>
      </c>
      <c r="E85" s="331">
        <f>'12. Разходи'!C88*1000</f>
        <v>25733361.613812983</v>
      </c>
      <c r="F85" s="282">
        <f>'12. Разходи'!D88*1000</f>
        <v>32763131.343861792</v>
      </c>
      <c r="G85" s="282">
        <f>'12. Разходи'!E88*1000</f>
        <v>34951820.018487558</v>
      </c>
      <c r="H85" s="282">
        <f>'12. Разходи'!F88*1000</f>
        <v>37453784.029888541</v>
      </c>
      <c r="I85" s="282">
        <f>'12. Разходи'!G88*1000</f>
        <v>41202112.084410399</v>
      </c>
      <c r="J85" s="283">
        <f>'12. Разходи'!H88*1000</f>
        <v>43992587.256167397</v>
      </c>
      <c r="K85" s="79">
        <v>1</v>
      </c>
      <c r="L85" s="69">
        <v>1</v>
      </c>
      <c r="M85" s="69">
        <v>1</v>
      </c>
      <c r="N85" s="69">
        <v>1</v>
      </c>
      <c r="O85" s="69">
        <v>1</v>
      </c>
      <c r="P85" s="72">
        <v>1</v>
      </c>
      <c r="Q85" s="389" t="s">
        <v>2012</v>
      </c>
      <c r="R85" s="100" t="s">
        <v>2012</v>
      </c>
      <c r="S85" s="4422"/>
      <c r="T85" s="4425" t="s">
        <v>1874</v>
      </c>
      <c r="U85" s="4427">
        <f t="shared" ref="U85:U91" si="24">IFERROR(E85/$C$1,0)</f>
        <v>13157258.869028997</v>
      </c>
      <c r="V85" s="4427">
        <f t="shared" si="19"/>
        <v>16751523.058681887</v>
      </c>
      <c r="W85" s="4427">
        <f t="shared" si="20"/>
        <v>17870581.808484152</v>
      </c>
      <c r="X85" s="4427">
        <f t="shared" si="21"/>
        <v>19149815.694558598</v>
      </c>
      <c r="Y85" s="4427">
        <f t="shared" si="22"/>
        <v>21066305.39689564</v>
      </c>
      <c r="Z85" s="4427">
        <f t="shared" si="23"/>
        <v>22493052.696894616</v>
      </c>
    </row>
    <row r="86" spans="1:26" ht="51.75" thickBot="1">
      <c r="A86" s="4796"/>
      <c r="B86" s="1629" t="s">
        <v>51</v>
      </c>
      <c r="C86" s="1623" t="s">
        <v>831</v>
      </c>
      <c r="D86" s="483" t="s">
        <v>828</v>
      </c>
      <c r="E86" s="327">
        <v>1130521</v>
      </c>
      <c r="F86" s="282">
        <f>'16. Необходими приходи'!D17*1000</f>
        <v>2079456.4571651272</v>
      </c>
      <c r="G86" s="282">
        <f>'16. Необходими приходи'!E17*1000</f>
        <v>2384904.15071146</v>
      </c>
      <c r="H86" s="282">
        <f>'16. Необходими приходи'!F17*1000</f>
        <v>2451626.6029491094</v>
      </c>
      <c r="I86" s="282">
        <f>'16. Необходими приходи'!G17*1000</f>
        <v>2728649.221304798</v>
      </c>
      <c r="J86" s="283">
        <f>'16. Необходими приходи'!H17*1000</f>
        <v>2860202.4353280994</v>
      </c>
      <c r="K86" s="79">
        <v>1</v>
      </c>
      <c r="L86" s="69">
        <v>1</v>
      </c>
      <c r="M86" s="69">
        <v>1</v>
      </c>
      <c r="N86" s="69">
        <v>1</v>
      </c>
      <c r="O86" s="69">
        <v>1</v>
      </c>
      <c r="P86" s="72">
        <v>1</v>
      </c>
      <c r="Q86" s="4689" t="s">
        <v>2011</v>
      </c>
      <c r="R86" s="72" t="s">
        <v>2011</v>
      </c>
      <c r="S86" s="4422"/>
      <c r="T86" s="4425" t="s">
        <v>1874</v>
      </c>
      <c r="U86" s="4427">
        <f t="shared" si="24"/>
        <v>578026.20882183011</v>
      </c>
      <c r="V86" s="4427">
        <f t="shared" si="19"/>
        <v>1063209.2038495815</v>
      </c>
      <c r="W86" s="4427">
        <f t="shared" si="20"/>
        <v>1219382.1296899321</v>
      </c>
      <c r="X86" s="4427">
        <f t="shared" si="21"/>
        <v>1253496.7778125447</v>
      </c>
      <c r="Y86" s="4427">
        <f t="shared" si="22"/>
        <v>1395136.1934855268</v>
      </c>
      <c r="Z86" s="4427">
        <f t="shared" si="23"/>
        <v>1462398.2837609095</v>
      </c>
    </row>
    <row r="87" spans="1:26" ht="26.25" thickBot="1">
      <c r="A87" s="4796"/>
      <c r="B87" s="1629" t="s">
        <v>52</v>
      </c>
      <c r="C87" s="1623" t="s">
        <v>832</v>
      </c>
      <c r="D87" s="483" t="s">
        <v>828</v>
      </c>
      <c r="E87" s="331">
        <f>'12. Разходи'!K88*1000</f>
        <v>1264472.9663706045</v>
      </c>
      <c r="F87" s="282">
        <f>'12. Разходи'!L88*1000</f>
        <v>1873606.7235476689</v>
      </c>
      <c r="G87" s="282">
        <f>'12. Разходи'!M88*1000</f>
        <v>1996876.9978283423</v>
      </c>
      <c r="H87" s="282">
        <f>'12. Разходи'!N88*1000</f>
        <v>1899024.7682739154</v>
      </c>
      <c r="I87" s="282">
        <f>'12. Разходи'!O88*1000</f>
        <v>2158614.9844628233</v>
      </c>
      <c r="J87" s="283">
        <f>'12. Разходи'!P88*1000</f>
        <v>2274283.0593082691</v>
      </c>
      <c r="K87" s="79">
        <v>1</v>
      </c>
      <c r="L87" s="69">
        <v>1</v>
      </c>
      <c r="M87" s="69">
        <v>1</v>
      </c>
      <c r="N87" s="69">
        <v>1</v>
      </c>
      <c r="O87" s="69">
        <v>1</v>
      </c>
      <c r="P87" s="72">
        <v>1</v>
      </c>
      <c r="Q87" s="4689" t="s">
        <v>2012</v>
      </c>
      <c r="R87" s="72" t="s">
        <v>2012</v>
      </c>
      <c r="S87" s="4422"/>
      <c r="T87" s="4425" t="s">
        <v>1874</v>
      </c>
      <c r="U87" s="4427">
        <f t="shared" si="24"/>
        <v>646514.76169738907</v>
      </c>
      <c r="V87" s="4427">
        <f t="shared" si="19"/>
        <v>957959.90630457096</v>
      </c>
      <c r="W87" s="4427">
        <f t="shared" si="20"/>
        <v>1020986.9967371102</v>
      </c>
      <c r="X87" s="4427">
        <f t="shared" si="21"/>
        <v>970955.94620898308</v>
      </c>
      <c r="Y87" s="4427">
        <f t="shared" si="22"/>
        <v>1103682.3161843428</v>
      </c>
      <c r="Z87" s="4427">
        <f t="shared" si="23"/>
        <v>1162822.4637664158</v>
      </c>
    </row>
    <row r="88" spans="1:26" ht="51.75" thickBot="1">
      <c r="A88" s="4796"/>
      <c r="B88" s="1629" t="s">
        <v>54</v>
      </c>
      <c r="C88" s="1623" t="s">
        <v>833</v>
      </c>
      <c r="D88" s="483" t="s">
        <v>828</v>
      </c>
      <c r="E88" s="327">
        <v>2614639</v>
      </c>
      <c r="F88" s="282">
        <f>'16. Необходими приходи'!D25*1000</f>
        <v>3334266.6948463437</v>
      </c>
      <c r="G88" s="282">
        <f>'16. Необходими приходи'!E25*1000</f>
        <v>3778233.2188961939</v>
      </c>
      <c r="H88" s="282">
        <f>'16. Необходими приходи'!F25*1000</f>
        <v>4090055.5598088857</v>
      </c>
      <c r="I88" s="282">
        <f>'16. Необходими приходи'!G25*1000</f>
        <v>4473951.6916193888</v>
      </c>
      <c r="J88" s="283">
        <f>'16. Необходими приходи'!H25*1000</f>
        <v>4676617.9906380139</v>
      </c>
      <c r="K88" s="79">
        <v>1</v>
      </c>
      <c r="L88" s="69">
        <v>1</v>
      </c>
      <c r="M88" s="69">
        <v>1</v>
      </c>
      <c r="N88" s="69">
        <v>1</v>
      </c>
      <c r="O88" s="69">
        <v>1</v>
      </c>
      <c r="P88" s="72">
        <v>1</v>
      </c>
      <c r="Q88" s="4690" t="s">
        <v>2011</v>
      </c>
      <c r="R88" s="72" t="s">
        <v>2011</v>
      </c>
      <c r="S88" s="4422"/>
      <c r="T88" s="4425" t="s">
        <v>1874</v>
      </c>
      <c r="U88" s="4427">
        <f t="shared" si="24"/>
        <v>1336843.6929589994</v>
      </c>
      <c r="V88" s="4427">
        <f t="shared" si="19"/>
        <v>1704783.4908178849</v>
      </c>
      <c r="W88" s="4427">
        <f t="shared" si="20"/>
        <v>1931779.9700874789</v>
      </c>
      <c r="X88" s="4427">
        <f t="shared" si="21"/>
        <v>2091212.2013717378</v>
      </c>
      <c r="Y88" s="4427">
        <f t="shared" si="22"/>
        <v>2287495.1767890812</v>
      </c>
      <c r="Z88" s="4427">
        <f t="shared" si="23"/>
        <v>2391116.8100693896</v>
      </c>
    </row>
    <row r="89" spans="1:26" ht="26.25" thickBot="1">
      <c r="A89" s="4796"/>
      <c r="B89" s="1629" t="s">
        <v>55</v>
      </c>
      <c r="C89" s="1623" t="s">
        <v>834</v>
      </c>
      <c r="D89" s="483" t="s">
        <v>828</v>
      </c>
      <c r="E89" s="331">
        <f>'12. Разходи'!S88*1000</f>
        <v>2113830.3829195518</v>
      </c>
      <c r="F89" s="282">
        <f>'12. Разходи'!T88*1000</f>
        <v>3095187.8800422475</v>
      </c>
      <c r="G89" s="282">
        <f>'12. Разходи'!U88*1000</f>
        <v>3344765.2229756913</v>
      </c>
      <c r="H89" s="282">
        <f>'12. Разходи'!V88*1000</f>
        <v>3477511.5709382356</v>
      </c>
      <c r="I89" s="282">
        <f>'12. Разходи'!W88*1000</f>
        <v>3859084.1699241549</v>
      </c>
      <c r="J89" s="283">
        <f>'12. Разходи'!X88*1000</f>
        <v>4065337.7448295141</v>
      </c>
      <c r="K89" s="79">
        <v>1</v>
      </c>
      <c r="L89" s="69">
        <v>1</v>
      </c>
      <c r="M89" s="69">
        <v>1</v>
      </c>
      <c r="N89" s="69">
        <v>1</v>
      </c>
      <c r="O89" s="69">
        <v>1</v>
      </c>
      <c r="P89" s="72">
        <v>1</v>
      </c>
      <c r="Q89" s="4690" t="s">
        <v>2012</v>
      </c>
      <c r="R89" s="72" t="s">
        <v>2012</v>
      </c>
      <c r="S89" s="4422"/>
      <c r="T89" s="4425" t="s">
        <v>1874</v>
      </c>
      <c r="U89" s="4427">
        <f t="shared" si="24"/>
        <v>1080784.3130126605</v>
      </c>
      <c r="V89" s="4427">
        <f t="shared" si="19"/>
        <v>1582544.4338425363</v>
      </c>
      <c r="W89" s="4427">
        <f t="shared" si="20"/>
        <v>1710151.3030149303</v>
      </c>
      <c r="X89" s="4427">
        <f t="shared" si="21"/>
        <v>1778023.4329866276</v>
      </c>
      <c r="Y89" s="4427">
        <f t="shared" si="22"/>
        <v>1973118.4049350685</v>
      </c>
      <c r="Z89" s="4427">
        <f t="shared" si="23"/>
        <v>2078574.1832518748</v>
      </c>
    </row>
    <row r="90" spans="1:26" ht="51.75" thickBot="1">
      <c r="A90" s="4796"/>
      <c r="B90" s="1629" t="s">
        <v>56</v>
      </c>
      <c r="C90" s="1658" t="s">
        <v>840</v>
      </c>
      <c r="D90" s="483" t="s">
        <v>838</v>
      </c>
      <c r="E90" s="893">
        <f>(('14. ОПР'!B10*1.2)+'14. ОПР'!B11)*1000</f>
        <v>38074748.799623266</v>
      </c>
      <c r="F90" s="1624">
        <f>(('14. ОПР'!C10*1.2)+'14. ОПР'!C11)*1000</f>
        <v>48203283.552771285</v>
      </c>
      <c r="G90" s="1625">
        <f>(('14. ОПР'!D10*1.2)+'14. ОПР'!D11)*1000</f>
        <v>52582219.054201186</v>
      </c>
      <c r="H90" s="1625">
        <f>(('14. ОПР'!E10*1.2)+'14. ОПР'!E11)*1000</f>
        <v>56857178.068041302</v>
      </c>
      <c r="I90" s="1625">
        <f>(('14. ОПР'!F10*1.2)+'14. ОПР'!F11)*1000</f>
        <v>62228455.245962389</v>
      </c>
      <c r="J90" s="1626">
        <f>(('14. ОПР'!G10*1.2)+'14. ОПР'!G11)*1000</f>
        <v>66015821.194488481</v>
      </c>
      <c r="K90" s="79">
        <v>1</v>
      </c>
      <c r="L90" s="69">
        <v>1</v>
      </c>
      <c r="M90" s="69">
        <v>1</v>
      </c>
      <c r="N90" s="69">
        <v>1</v>
      </c>
      <c r="O90" s="69">
        <v>1</v>
      </c>
      <c r="P90" s="72">
        <v>1</v>
      </c>
      <c r="Q90" s="389" t="s">
        <v>2011</v>
      </c>
      <c r="R90" s="100" t="s">
        <v>2011</v>
      </c>
      <c r="S90" s="4422"/>
      <c r="T90" s="4426" t="s">
        <v>1875</v>
      </c>
      <c r="U90" s="4427">
        <f t="shared" si="24"/>
        <v>19467309.93983284</v>
      </c>
      <c r="V90" s="4427">
        <f t="shared" si="19"/>
        <v>24645947.527531169</v>
      </c>
      <c r="W90" s="4427">
        <f t="shared" si="20"/>
        <v>26884861.697694167</v>
      </c>
      <c r="X90" s="4427">
        <f t="shared" si="21"/>
        <v>29070613.533917215</v>
      </c>
      <c r="Y90" s="4427">
        <f t="shared" si="22"/>
        <v>31816903.946642801</v>
      </c>
      <c r="Z90" s="4427">
        <f t="shared" si="23"/>
        <v>33753353.407243207</v>
      </c>
    </row>
    <row r="91" spans="1:26" ht="39" thickBot="1">
      <c r="A91" s="4796"/>
      <c r="B91" s="1629" t="s">
        <v>57</v>
      </c>
      <c r="C91" s="1623" t="s">
        <v>841</v>
      </c>
      <c r="D91" s="483" t="s">
        <v>838</v>
      </c>
      <c r="E91" s="327">
        <v>4121000</v>
      </c>
      <c r="F91" s="185">
        <v>4162210</v>
      </c>
      <c r="G91" s="185">
        <v>4203832.0999999996</v>
      </c>
      <c r="H91" s="185">
        <v>4245870.4210000001</v>
      </c>
      <c r="I91" s="185">
        <v>4288329.1252100002</v>
      </c>
      <c r="J91" s="185">
        <v>4331212.4164621001</v>
      </c>
      <c r="K91" s="79">
        <v>1</v>
      </c>
      <c r="L91" s="69">
        <v>1</v>
      </c>
      <c r="M91" s="69">
        <v>1</v>
      </c>
      <c r="N91" s="69">
        <v>1</v>
      </c>
      <c r="O91" s="69">
        <v>1</v>
      </c>
      <c r="P91" s="72">
        <v>1</v>
      </c>
      <c r="Q91" s="389" t="s">
        <v>2012</v>
      </c>
      <c r="R91" s="100" t="s">
        <v>2012</v>
      </c>
      <c r="S91" s="4422"/>
      <c r="T91" s="4426" t="s">
        <v>1875</v>
      </c>
      <c r="U91" s="4427">
        <f t="shared" si="24"/>
        <v>2107033.8424096163</v>
      </c>
      <c r="V91" s="4427">
        <f t="shared" si="19"/>
        <v>2128104.1808337127</v>
      </c>
      <c r="W91" s="4427">
        <f t="shared" si="20"/>
        <v>2149385.2226420497</v>
      </c>
      <c r="X91" s="4427">
        <f t="shared" si="21"/>
        <v>2170879.0748684704</v>
      </c>
      <c r="Y91" s="4427">
        <f t="shared" si="22"/>
        <v>2192587.8656171551</v>
      </c>
      <c r="Z91" s="4427">
        <f t="shared" si="23"/>
        <v>2214513.7442733264</v>
      </c>
    </row>
    <row r="92" spans="1:26" ht="39" thickBot="1">
      <c r="A92" s="4795"/>
      <c r="B92" s="1630" t="s">
        <v>58</v>
      </c>
      <c r="C92" s="1627" t="s">
        <v>842</v>
      </c>
      <c r="D92" s="484" t="s">
        <v>838</v>
      </c>
      <c r="E92" s="327">
        <v>3368000</v>
      </c>
      <c r="F92" s="190">
        <v>3232000</v>
      </c>
      <c r="G92" s="190">
        <v>3232000</v>
      </c>
      <c r="H92" s="190">
        <v>3232000</v>
      </c>
      <c r="I92" s="190">
        <v>3232000</v>
      </c>
      <c r="J92" s="190">
        <v>3232000</v>
      </c>
      <c r="K92" s="80">
        <v>1</v>
      </c>
      <c r="L92" s="73">
        <v>1</v>
      </c>
      <c r="M92" s="73">
        <v>1</v>
      </c>
      <c r="N92" s="73">
        <v>1</v>
      </c>
      <c r="O92" s="73">
        <v>1</v>
      </c>
      <c r="P92" s="74">
        <v>1</v>
      </c>
      <c r="Q92" s="4688" t="s">
        <v>2012</v>
      </c>
      <c r="R92" s="74" t="s">
        <v>2012</v>
      </c>
      <c r="S92" s="4422"/>
      <c r="T92" s="4426" t="s">
        <v>1875</v>
      </c>
      <c r="U92" s="4427">
        <f>IFERROR(E92/$C$1,0)</f>
        <v>1722031.0558688638</v>
      </c>
      <c r="V92" s="4427">
        <f t="shared" si="19"/>
        <v>1652495.3600261782</v>
      </c>
      <c r="W92" s="4427">
        <f t="shared" si="20"/>
        <v>1652495.3600261782</v>
      </c>
      <c r="X92" s="4427">
        <f t="shared" si="21"/>
        <v>1652495.3600261782</v>
      </c>
      <c r="Y92" s="4427">
        <f t="shared" si="22"/>
        <v>1652495.3600261782</v>
      </c>
      <c r="Z92" s="4427">
        <f t="shared" si="23"/>
        <v>1652495.3600261782</v>
      </c>
    </row>
    <row r="93" spans="1:26" ht="25.5">
      <c r="A93" s="4794" t="s">
        <v>875</v>
      </c>
      <c r="B93" s="1635" t="s">
        <v>59</v>
      </c>
      <c r="C93" s="1636" t="s">
        <v>897</v>
      </c>
      <c r="D93" s="482" t="s">
        <v>784</v>
      </c>
      <c r="E93" s="3697">
        <f>SUM(E94:E96)</f>
        <v>182</v>
      </c>
      <c r="F93" s="3698">
        <f t="shared" ref="F93:J93" si="25">SUM(F94:F96)</f>
        <v>184</v>
      </c>
      <c r="G93" s="3698">
        <f t="shared" si="25"/>
        <v>175</v>
      </c>
      <c r="H93" s="3698">
        <f t="shared" si="25"/>
        <v>166</v>
      </c>
      <c r="I93" s="3698">
        <f t="shared" si="25"/>
        <v>157</v>
      </c>
      <c r="J93" s="3699">
        <f t="shared" si="25"/>
        <v>148</v>
      </c>
      <c r="K93" s="78">
        <v>1</v>
      </c>
      <c r="L93" s="70">
        <v>1</v>
      </c>
      <c r="M93" s="70">
        <v>1</v>
      </c>
      <c r="N93" s="70">
        <v>1</v>
      </c>
      <c r="O93" s="70">
        <v>1</v>
      </c>
      <c r="P93" s="71">
        <v>1</v>
      </c>
      <c r="Q93" s="385" t="s">
        <v>2013</v>
      </c>
      <c r="R93" s="71" t="s">
        <v>2013</v>
      </c>
      <c r="S93" s="4422"/>
    </row>
    <row r="94" spans="1:26" ht="25.5">
      <c r="A94" s="4796"/>
      <c r="B94" s="1629" t="s">
        <v>60</v>
      </c>
      <c r="C94" s="1623" t="s">
        <v>896</v>
      </c>
      <c r="D94" s="483" t="s">
        <v>784</v>
      </c>
      <c r="E94" s="327">
        <v>114</v>
      </c>
      <c r="F94" s="183">
        <v>110</v>
      </c>
      <c r="G94" s="183">
        <v>105</v>
      </c>
      <c r="H94" s="183">
        <v>100</v>
      </c>
      <c r="I94" s="183">
        <v>95</v>
      </c>
      <c r="J94" s="184">
        <v>90</v>
      </c>
      <c r="K94" s="79">
        <v>1</v>
      </c>
      <c r="L94" s="69">
        <v>1</v>
      </c>
      <c r="M94" s="69">
        <v>1</v>
      </c>
      <c r="N94" s="69">
        <v>1</v>
      </c>
      <c r="O94" s="69">
        <v>1</v>
      </c>
      <c r="P94" s="72">
        <v>1</v>
      </c>
      <c r="Q94" s="389" t="s">
        <v>2013</v>
      </c>
      <c r="R94" s="100" t="s">
        <v>2013</v>
      </c>
      <c r="S94" s="4422"/>
    </row>
    <row r="95" spans="1:26" ht="25.5">
      <c r="A95" s="4796"/>
      <c r="B95" s="1629" t="s">
        <v>61</v>
      </c>
      <c r="C95" s="1623" t="s">
        <v>895</v>
      </c>
      <c r="D95" s="483" t="s">
        <v>784</v>
      </c>
      <c r="E95" s="327">
        <v>15</v>
      </c>
      <c r="F95" s="183">
        <v>24</v>
      </c>
      <c r="G95" s="183">
        <v>23</v>
      </c>
      <c r="H95" s="183">
        <v>22</v>
      </c>
      <c r="I95" s="183">
        <v>21</v>
      </c>
      <c r="J95" s="184">
        <v>20</v>
      </c>
      <c r="K95" s="79">
        <v>1</v>
      </c>
      <c r="L95" s="69">
        <v>1</v>
      </c>
      <c r="M95" s="69">
        <v>1</v>
      </c>
      <c r="N95" s="69">
        <v>1</v>
      </c>
      <c r="O95" s="69">
        <v>1</v>
      </c>
      <c r="P95" s="72">
        <v>1</v>
      </c>
      <c r="Q95" s="589" t="s">
        <v>2013</v>
      </c>
      <c r="R95" s="72" t="s">
        <v>2013</v>
      </c>
      <c r="S95" s="4422"/>
    </row>
    <row r="96" spans="1:26" ht="39" thickBot="1">
      <c r="A96" s="4795"/>
      <c r="B96" s="1630" t="s">
        <v>62</v>
      </c>
      <c r="C96" s="1627" t="s">
        <v>894</v>
      </c>
      <c r="D96" s="484" t="s">
        <v>784</v>
      </c>
      <c r="E96" s="329">
        <v>53</v>
      </c>
      <c r="F96" s="186">
        <v>50</v>
      </c>
      <c r="G96" s="186">
        <v>47</v>
      </c>
      <c r="H96" s="186">
        <v>44</v>
      </c>
      <c r="I96" s="186">
        <v>41</v>
      </c>
      <c r="J96" s="187">
        <v>38</v>
      </c>
      <c r="K96" s="80">
        <v>1</v>
      </c>
      <c r="L96" s="73">
        <v>1</v>
      </c>
      <c r="M96" s="73">
        <v>1</v>
      </c>
      <c r="N96" s="73">
        <v>1</v>
      </c>
      <c r="O96" s="73">
        <v>1</v>
      </c>
      <c r="P96" s="74">
        <v>1</v>
      </c>
      <c r="Q96" s="588" t="s">
        <v>2013</v>
      </c>
      <c r="R96" s="4574" t="s">
        <v>2013</v>
      </c>
      <c r="S96" s="4422"/>
    </row>
    <row r="97" spans="1:19" ht="25.5">
      <c r="A97" s="4794" t="s">
        <v>874</v>
      </c>
      <c r="B97" s="1635" t="s">
        <v>63</v>
      </c>
      <c r="C97" s="1636" t="s">
        <v>993</v>
      </c>
      <c r="D97" s="482" t="s">
        <v>784</v>
      </c>
      <c r="E97" s="3697">
        <f t="shared" ref="E97:J97" si="26">E98+E103+E108</f>
        <v>235</v>
      </c>
      <c r="F97" s="3698">
        <f t="shared" si="26"/>
        <v>223</v>
      </c>
      <c r="G97" s="3698">
        <f t="shared" si="26"/>
        <v>212</v>
      </c>
      <c r="H97" s="3698">
        <f t="shared" si="26"/>
        <v>200</v>
      </c>
      <c r="I97" s="3698">
        <f t="shared" si="26"/>
        <v>189</v>
      </c>
      <c r="J97" s="3699">
        <f t="shared" si="26"/>
        <v>177</v>
      </c>
      <c r="K97" s="78">
        <v>1</v>
      </c>
      <c r="L97" s="70">
        <v>1</v>
      </c>
      <c r="M97" s="70">
        <v>1</v>
      </c>
      <c r="N97" s="70">
        <v>1</v>
      </c>
      <c r="O97" s="70">
        <v>1</v>
      </c>
      <c r="P97" s="71">
        <v>1</v>
      </c>
      <c r="Q97" s="390" t="s">
        <v>2013</v>
      </c>
      <c r="R97" s="99" t="s">
        <v>2013</v>
      </c>
      <c r="S97" s="4422"/>
    </row>
    <row r="98" spans="1:19" ht="25.5">
      <c r="A98" s="4796"/>
      <c r="B98" s="1659" t="s">
        <v>64</v>
      </c>
      <c r="C98" s="1660" t="s">
        <v>892</v>
      </c>
      <c r="D98" s="483" t="s">
        <v>784</v>
      </c>
      <c r="E98" s="3700">
        <f>SUM(E99:E102)</f>
        <v>151</v>
      </c>
      <c r="F98" s="3701">
        <f t="shared" ref="F98:J98" si="27">SUM(F99:F102)</f>
        <v>144</v>
      </c>
      <c r="G98" s="3701">
        <f t="shared" si="27"/>
        <v>137</v>
      </c>
      <c r="H98" s="3701">
        <f t="shared" si="27"/>
        <v>130</v>
      </c>
      <c r="I98" s="3701">
        <f t="shared" si="27"/>
        <v>124</v>
      </c>
      <c r="J98" s="3702">
        <f t="shared" si="27"/>
        <v>117</v>
      </c>
      <c r="K98" s="79">
        <v>1</v>
      </c>
      <c r="L98" s="69">
        <v>1</v>
      </c>
      <c r="M98" s="69">
        <v>1</v>
      </c>
      <c r="N98" s="69">
        <v>1</v>
      </c>
      <c r="O98" s="69">
        <v>1</v>
      </c>
      <c r="P98" s="72">
        <v>1</v>
      </c>
      <c r="Q98" s="389" t="s">
        <v>2013</v>
      </c>
      <c r="R98" s="100" t="s">
        <v>2013</v>
      </c>
      <c r="S98" s="4422"/>
    </row>
    <row r="99" spans="1:19" ht="25.5">
      <c r="A99" s="4796"/>
      <c r="B99" s="1629" t="s">
        <v>31</v>
      </c>
      <c r="C99" s="1661" t="s">
        <v>893</v>
      </c>
      <c r="D99" s="483" t="s">
        <v>784</v>
      </c>
      <c r="E99" s="327">
        <v>31</v>
      </c>
      <c r="F99" s="183">
        <v>29</v>
      </c>
      <c r="G99" s="183">
        <v>27</v>
      </c>
      <c r="H99" s="183">
        <v>25</v>
      </c>
      <c r="I99" s="183">
        <v>24</v>
      </c>
      <c r="J99" s="184">
        <v>22</v>
      </c>
      <c r="K99" s="79">
        <v>1</v>
      </c>
      <c r="L99" s="69">
        <v>1</v>
      </c>
      <c r="M99" s="69">
        <v>1</v>
      </c>
      <c r="N99" s="69">
        <v>1</v>
      </c>
      <c r="O99" s="69">
        <v>1</v>
      </c>
      <c r="P99" s="72">
        <v>1</v>
      </c>
      <c r="Q99" s="389" t="s">
        <v>2013</v>
      </c>
      <c r="R99" s="100" t="s">
        <v>2013</v>
      </c>
      <c r="S99" s="4422"/>
    </row>
    <row r="100" spans="1:19" ht="25.5">
      <c r="A100" s="4796"/>
      <c r="B100" s="1629" t="s">
        <v>65</v>
      </c>
      <c r="C100" s="1623" t="s">
        <v>891</v>
      </c>
      <c r="D100" s="483" t="s">
        <v>784</v>
      </c>
      <c r="E100" s="327">
        <v>95</v>
      </c>
      <c r="F100" s="183">
        <v>92</v>
      </c>
      <c r="G100" s="183">
        <v>89</v>
      </c>
      <c r="H100" s="183">
        <v>86</v>
      </c>
      <c r="I100" s="183">
        <v>83</v>
      </c>
      <c r="J100" s="184">
        <v>80</v>
      </c>
      <c r="K100" s="79">
        <v>1</v>
      </c>
      <c r="L100" s="69">
        <v>1</v>
      </c>
      <c r="M100" s="69">
        <v>1</v>
      </c>
      <c r="N100" s="69">
        <v>1</v>
      </c>
      <c r="O100" s="69">
        <v>1</v>
      </c>
      <c r="P100" s="72">
        <v>1</v>
      </c>
      <c r="Q100" s="386" t="s">
        <v>2013</v>
      </c>
      <c r="R100" s="72" t="s">
        <v>2013</v>
      </c>
      <c r="S100" s="4422"/>
    </row>
    <row r="101" spans="1:19" ht="25.5">
      <c r="A101" s="4796"/>
      <c r="B101" s="1629" t="s">
        <v>66</v>
      </c>
      <c r="C101" s="1623" t="s">
        <v>994</v>
      </c>
      <c r="D101" s="483" t="s">
        <v>784</v>
      </c>
      <c r="E101" s="327">
        <v>2</v>
      </c>
      <c r="F101" s="183">
        <v>2</v>
      </c>
      <c r="G101" s="183">
        <v>2</v>
      </c>
      <c r="H101" s="183">
        <v>2</v>
      </c>
      <c r="I101" s="183">
        <v>2</v>
      </c>
      <c r="J101" s="183">
        <v>2</v>
      </c>
      <c r="K101" s="79">
        <v>1</v>
      </c>
      <c r="L101" s="69">
        <v>1</v>
      </c>
      <c r="M101" s="69">
        <v>1</v>
      </c>
      <c r="N101" s="69">
        <v>1</v>
      </c>
      <c r="O101" s="69">
        <v>1</v>
      </c>
      <c r="P101" s="72">
        <v>1</v>
      </c>
      <c r="Q101" s="4691" t="s">
        <v>2013</v>
      </c>
      <c r="R101" s="72" t="s">
        <v>2013</v>
      </c>
      <c r="S101" s="4422"/>
    </row>
    <row r="102" spans="1:19" ht="25.5">
      <c r="A102" s="4796"/>
      <c r="B102" s="1629" t="s">
        <v>67</v>
      </c>
      <c r="C102" s="1623" t="s">
        <v>890</v>
      </c>
      <c r="D102" s="483" t="s">
        <v>784</v>
      </c>
      <c r="E102" s="327">
        <v>23</v>
      </c>
      <c r="F102" s="183">
        <v>21</v>
      </c>
      <c r="G102" s="183">
        <v>19</v>
      </c>
      <c r="H102" s="183">
        <v>17</v>
      </c>
      <c r="I102" s="183">
        <v>15</v>
      </c>
      <c r="J102" s="184">
        <v>13</v>
      </c>
      <c r="K102" s="79">
        <v>1</v>
      </c>
      <c r="L102" s="69">
        <v>1</v>
      </c>
      <c r="M102" s="69">
        <v>1</v>
      </c>
      <c r="N102" s="69">
        <v>1</v>
      </c>
      <c r="O102" s="69">
        <v>1</v>
      </c>
      <c r="P102" s="72">
        <v>1</v>
      </c>
      <c r="Q102" s="386" t="s">
        <v>2013</v>
      </c>
      <c r="R102" s="72" t="s">
        <v>2013</v>
      </c>
      <c r="S102" s="4422"/>
    </row>
    <row r="103" spans="1:19" ht="38.25">
      <c r="A103" s="4796"/>
      <c r="B103" s="1659" t="s">
        <v>68</v>
      </c>
      <c r="C103" s="1660" t="s">
        <v>889</v>
      </c>
      <c r="D103" s="483" t="s">
        <v>784</v>
      </c>
      <c r="E103" s="3700">
        <f>SUM(E104:E107)</f>
        <v>24</v>
      </c>
      <c r="F103" s="3701">
        <f t="shared" ref="F103:J103" si="28">SUM(F104:F107)</f>
        <v>21</v>
      </c>
      <c r="G103" s="3701">
        <f t="shared" si="28"/>
        <v>19</v>
      </c>
      <c r="H103" s="3701">
        <f t="shared" si="28"/>
        <v>16</v>
      </c>
      <c r="I103" s="3701">
        <f t="shared" si="28"/>
        <v>13</v>
      </c>
      <c r="J103" s="3702">
        <f t="shared" si="28"/>
        <v>10</v>
      </c>
      <c r="K103" s="79">
        <v>1</v>
      </c>
      <c r="L103" s="69">
        <v>1</v>
      </c>
      <c r="M103" s="69">
        <v>1</v>
      </c>
      <c r="N103" s="69">
        <v>1</v>
      </c>
      <c r="O103" s="69">
        <v>1</v>
      </c>
      <c r="P103" s="72">
        <v>1</v>
      </c>
      <c r="Q103" s="4691" t="s">
        <v>2013</v>
      </c>
      <c r="R103" s="72" t="s">
        <v>2013</v>
      </c>
      <c r="S103" s="4422"/>
    </row>
    <row r="104" spans="1:19" ht="25.5">
      <c r="A104" s="4796"/>
      <c r="B104" s="1629" t="s">
        <v>69</v>
      </c>
      <c r="C104" s="1623" t="s">
        <v>888</v>
      </c>
      <c r="D104" s="483" t="s">
        <v>784</v>
      </c>
      <c r="E104" s="327">
        <v>12</v>
      </c>
      <c r="F104" s="183">
        <v>11</v>
      </c>
      <c r="G104" s="183">
        <v>10</v>
      </c>
      <c r="H104" s="183">
        <v>9</v>
      </c>
      <c r="I104" s="183">
        <v>8</v>
      </c>
      <c r="J104" s="184">
        <v>7</v>
      </c>
      <c r="K104" s="79">
        <v>1</v>
      </c>
      <c r="L104" s="69">
        <v>1</v>
      </c>
      <c r="M104" s="69">
        <v>1</v>
      </c>
      <c r="N104" s="69">
        <v>1</v>
      </c>
      <c r="O104" s="69">
        <v>1</v>
      </c>
      <c r="P104" s="72">
        <v>1</v>
      </c>
      <c r="Q104" s="386" t="s">
        <v>2013</v>
      </c>
      <c r="R104" s="72" t="s">
        <v>2013</v>
      </c>
      <c r="S104" s="4422"/>
    </row>
    <row r="105" spans="1:19" ht="25.5">
      <c r="A105" s="4796"/>
      <c r="B105" s="1629" t="s">
        <v>70</v>
      </c>
      <c r="C105" s="1623" t="s">
        <v>887</v>
      </c>
      <c r="D105" s="483" t="s">
        <v>784</v>
      </c>
      <c r="E105" s="327">
        <v>5</v>
      </c>
      <c r="F105" s="183">
        <v>4</v>
      </c>
      <c r="G105" s="183">
        <v>4</v>
      </c>
      <c r="H105" s="183">
        <v>3</v>
      </c>
      <c r="I105" s="183">
        <v>2</v>
      </c>
      <c r="J105" s="184">
        <v>1</v>
      </c>
      <c r="K105" s="79">
        <v>1</v>
      </c>
      <c r="L105" s="69">
        <v>1</v>
      </c>
      <c r="M105" s="69">
        <v>1</v>
      </c>
      <c r="N105" s="69">
        <v>1</v>
      </c>
      <c r="O105" s="69">
        <v>1</v>
      </c>
      <c r="P105" s="72">
        <v>1</v>
      </c>
      <c r="Q105" s="386" t="s">
        <v>2013</v>
      </c>
      <c r="R105" s="72" t="s">
        <v>2013</v>
      </c>
      <c r="S105" s="4422"/>
    </row>
    <row r="106" spans="1:19" ht="25.5">
      <c r="A106" s="4796"/>
      <c r="B106" s="1629" t="s">
        <v>71</v>
      </c>
      <c r="C106" s="1623" t="s">
        <v>886</v>
      </c>
      <c r="D106" s="483" t="s">
        <v>784</v>
      </c>
      <c r="E106" s="327">
        <v>0</v>
      </c>
      <c r="F106" s="183">
        <v>0</v>
      </c>
      <c r="G106" s="183">
        <v>0</v>
      </c>
      <c r="H106" s="183">
        <v>0</v>
      </c>
      <c r="I106" s="183">
        <v>0</v>
      </c>
      <c r="J106" s="183">
        <v>0</v>
      </c>
      <c r="K106" s="79">
        <v>1</v>
      </c>
      <c r="L106" s="69">
        <v>1</v>
      </c>
      <c r="M106" s="69">
        <v>1</v>
      </c>
      <c r="N106" s="69">
        <v>1</v>
      </c>
      <c r="O106" s="69">
        <v>1</v>
      </c>
      <c r="P106" s="72">
        <v>1</v>
      </c>
      <c r="Q106" s="386" t="s">
        <v>2013</v>
      </c>
      <c r="R106" s="72" t="s">
        <v>2013</v>
      </c>
      <c r="S106" s="4422"/>
    </row>
    <row r="107" spans="1:19" ht="25.5">
      <c r="A107" s="4796"/>
      <c r="B107" s="1629" t="s">
        <v>72</v>
      </c>
      <c r="C107" s="1623" t="s">
        <v>885</v>
      </c>
      <c r="D107" s="483" t="s">
        <v>784</v>
      </c>
      <c r="E107" s="327">
        <v>7</v>
      </c>
      <c r="F107" s="183">
        <v>6</v>
      </c>
      <c r="G107" s="183">
        <v>5</v>
      </c>
      <c r="H107" s="183">
        <v>4</v>
      </c>
      <c r="I107" s="183">
        <v>3</v>
      </c>
      <c r="J107" s="184">
        <v>2</v>
      </c>
      <c r="K107" s="79">
        <v>1</v>
      </c>
      <c r="L107" s="69">
        <v>1</v>
      </c>
      <c r="M107" s="69">
        <v>1</v>
      </c>
      <c r="N107" s="69">
        <v>1</v>
      </c>
      <c r="O107" s="69">
        <v>1</v>
      </c>
      <c r="P107" s="72">
        <v>1</v>
      </c>
      <c r="Q107" s="4691" t="s">
        <v>2013</v>
      </c>
      <c r="R107" s="72" t="s">
        <v>2013</v>
      </c>
      <c r="S107" s="4422"/>
    </row>
    <row r="108" spans="1:19" ht="51.75" thickBot="1">
      <c r="A108" s="4795"/>
      <c r="B108" s="1662" t="s">
        <v>73</v>
      </c>
      <c r="C108" s="1663" t="s">
        <v>884</v>
      </c>
      <c r="D108" s="484" t="s">
        <v>784</v>
      </c>
      <c r="E108" s="329">
        <v>60</v>
      </c>
      <c r="F108" s="186">
        <v>58</v>
      </c>
      <c r="G108" s="186">
        <v>56</v>
      </c>
      <c r="H108" s="186">
        <v>54</v>
      </c>
      <c r="I108" s="186">
        <v>52</v>
      </c>
      <c r="J108" s="187">
        <v>50</v>
      </c>
      <c r="K108" s="80">
        <v>1</v>
      </c>
      <c r="L108" s="73">
        <v>1</v>
      </c>
      <c r="M108" s="73">
        <v>1</v>
      </c>
      <c r="N108" s="73">
        <v>1</v>
      </c>
      <c r="O108" s="73">
        <v>1</v>
      </c>
      <c r="P108" s="74">
        <v>1</v>
      </c>
      <c r="Q108" s="587" t="s">
        <v>2013</v>
      </c>
      <c r="R108" s="74" t="s">
        <v>2013</v>
      </c>
      <c r="S108" s="4422"/>
    </row>
    <row r="109" spans="1:19" ht="51">
      <c r="A109" s="4794" t="s">
        <v>876</v>
      </c>
      <c r="B109" s="3359" t="s">
        <v>74</v>
      </c>
      <c r="C109" s="1621" t="s">
        <v>881</v>
      </c>
      <c r="D109" s="482" t="s">
        <v>784</v>
      </c>
      <c r="E109" s="328">
        <v>107</v>
      </c>
      <c r="F109" s="181">
        <v>100</v>
      </c>
      <c r="G109" s="181">
        <v>100</v>
      </c>
      <c r="H109" s="181">
        <v>100</v>
      </c>
      <c r="I109" s="181">
        <v>100</v>
      </c>
      <c r="J109" s="181">
        <v>100</v>
      </c>
      <c r="K109" s="78">
        <v>1</v>
      </c>
      <c r="L109" s="70">
        <v>1</v>
      </c>
      <c r="M109" s="70">
        <v>1</v>
      </c>
      <c r="N109" s="70">
        <v>1</v>
      </c>
      <c r="O109" s="70">
        <v>1</v>
      </c>
      <c r="P109" s="71">
        <v>1</v>
      </c>
      <c r="Q109" s="390" t="s">
        <v>2002</v>
      </c>
      <c r="R109" s="99" t="s">
        <v>2002</v>
      </c>
      <c r="S109" s="4422"/>
    </row>
    <row r="110" spans="1:19" ht="51">
      <c r="A110" s="4796"/>
      <c r="B110" s="3360" t="s">
        <v>75</v>
      </c>
      <c r="C110" s="1623" t="s">
        <v>882</v>
      </c>
      <c r="D110" s="483" t="s">
        <v>784</v>
      </c>
      <c r="E110" s="327">
        <v>107</v>
      </c>
      <c r="F110" s="183">
        <v>100</v>
      </c>
      <c r="G110" s="183">
        <v>100</v>
      </c>
      <c r="H110" s="183">
        <v>100</v>
      </c>
      <c r="I110" s="183">
        <v>100</v>
      </c>
      <c r="J110" s="183">
        <v>100</v>
      </c>
      <c r="K110" s="79">
        <v>1</v>
      </c>
      <c r="L110" s="69">
        <v>1</v>
      </c>
      <c r="M110" s="69">
        <v>1</v>
      </c>
      <c r="N110" s="69">
        <v>1</v>
      </c>
      <c r="O110" s="69">
        <v>1</v>
      </c>
      <c r="P110" s="72">
        <v>1</v>
      </c>
      <c r="Q110" s="389" t="s">
        <v>2002</v>
      </c>
      <c r="R110" s="100" t="s">
        <v>2002</v>
      </c>
      <c r="S110" s="4422"/>
    </row>
    <row r="111" spans="1:19" ht="51">
      <c r="A111" s="4796"/>
      <c r="B111" s="3360" t="s">
        <v>76</v>
      </c>
      <c r="C111" s="1623" t="s">
        <v>883</v>
      </c>
      <c r="D111" s="483" t="s">
        <v>784</v>
      </c>
      <c r="E111" s="327">
        <v>25</v>
      </c>
      <c r="F111" s="183">
        <v>25</v>
      </c>
      <c r="G111" s="183">
        <v>25</v>
      </c>
      <c r="H111" s="183">
        <v>25</v>
      </c>
      <c r="I111" s="183">
        <v>25</v>
      </c>
      <c r="J111" s="183">
        <v>25</v>
      </c>
      <c r="K111" s="79">
        <v>1</v>
      </c>
      <c r="L111" s="69">
        <v>1</v>
      </c>
      <c r="M111" s="69">
        <v>1</v>
      </c>
      <c r="N111" s="69">
        <v>1</v>
      </c>
      <c r="O111" s="69">
        <v>1</v>
      </c>
      <c r="P111" s="72">
        <v>1</v>
      </c>
      <c r="Q111" s="4689" t="s">
        <v>2002</v>
      </c>
      <c r="R111" s="72" t="s">
        <v>2002</v>
      </c>
      <c r="S111" s="4422"/>
    </row>
    <row r="112" spans="1:19" ht="51.75" thickBot="1">
      <c r="A112" s="4795"/>
      <c r="B112" s="3361" t="s">
        <v>77</v>
      </c>
      <c r="C112" s="1627" t="s">
        <v>880</v>
      </c>
      <c r="D112" s="484" t="s">
        <v>784</v>
      </c>
      <c r="E112" s="329">
        <v>25</v>
      </c>
      <c r="F112" s="186">
        <v>25</v>
      </c>
      <c r="G112" s="186">
        <v>25</v>
      </c>
      <c r="H112" s="186">
        <v>25</v>
      </c>
      <c r="I112" s="186">
        <v>25</v>
      </c>
      <c r="J112" s="186">
        <v>25</v>
      </c>
      <c r="K112" s="80">
        <v>1</v>
      </c>
      <c r="L112" s="73">
        <v>1</v>
      </c>
      <c r="M112" s="73">
        <v>1</v>
      </c>
      <c r="N112" s="73">
        <v>1</v>
      </c>
      <c r="O112" s="73">
        <v>1</v>
      </c>
      <c r="P112" s="74">
        <v>1</v>
      </c>
      <c r="Q112" s="4688" t="s">
        <v>2002</v>
      </c>
      <c r="R112" s="74" t="s">
        <v>2002</v>
      </c>
      <c r="S112" s="4422"/>
    </row>
    <row r="113" spans="1:19" ht="25.5">
      <c r="A113" s="4794" t="s">
        <v>877</v>
      </c>
      <c r="B113" s="3359" t="s">
        <v>78</v>
      </c>
      <c r="C113" s="1621" t="s">
        <v>878</v>
      </c>
      <c r="D113" s="482" t="s">
        <v>784</v>
      </c>
      <c r="E113" s="336">
        <f>'5. Персонал'!C14+'5. Персонал'!U14+'5. Персонал'!AA14</f>
        <v>537</v>
      </c>
      <c r="F113" s="284">
        <f>'5. Персонал'!D14+'5. Персонал'!V14+'5. Персонал'!AB14</f>
        <v>532</v>
      </c>
      <c r="G113" s="284">
        <f>'5. Персонал'!E14+'5. Персонал'!W14+'5. Персонал'!AC14</f>
        <v>532</v>
      </c>
      <c r="H113" s="284">
        <f>'5. Персонал'!F14+'5. Персонал'!X14+'5. Персонал'!AD14</f>
        <v>532</v>
      </c>
      <c r="I113" s="284">
        <f>'5. Персонал'!G14+'5. Персонал'!Y14+'5. Персонал'!AE14</f>
        <v>542</v>
      </c>
      <c r="J113" s="285">
        <f>'5. Персонал'!H14+'5. Персонал'!Z14+'5. Персонал'!AF14</f>
        <v>542</v>
      </c>
      <c r="K113" s="78">
        <v>1</v>
      </c>
      <c r="L113" s="70">
        <v>1</v>
      </c>
      <c r="M113" s="70">
        <v>1</v>
      </c>
      <c r="N113" s="70">
        <v>1</v>
      </c>
      <c r="O113" s="70">
        <v>1</v>
      </c>
      <c r="P113" s="71">
        <v>1</v>
      </c>
      <c r="Q113" s="390" t="s">
        <v>2014</v>
      </c>
      <c r="R113" s="71" t="s">
        <v>2014</v>
      </c>
      <c r="S113" s="4422"/>
    </row>
    <row r="114" spans="1:19" ht="26.25" thickBot="1">
      <c r="A114" s="4795"/>
      <c r="B114" s="3361" t="s">
        <v>80</v>
      </c>
      <c r="C114" s="1627" t="s">
        <v>879</v>
      </c>
      <c r="D114" s="484" t="s">
        <v>784</v>
      </c>
      <c r="E114" s="338">
        <f>'5. Персонал'!I14+'5. Персонал'!O14</f>
        <v>61</v>
      </c>
      <c r="F114" s="280">
        <f>'5. Персонал'!J14+'5. Персонал'!P14</f>
        <v>58</v>
      </c>
      <c r="G114" s="280">
        <f>'5. Персонал'!K14+'5. Персонал'!Q14</f>
        <v>58</v>
      </c>
      <c r="H114" s="280">
        <f>'5. Персонал'!L14+'5. Персонал'!R14</f>
        <v>58</v>
      </c>
      <c r="I114" s="280">
        <f>'5. Персонал'!M14+'5. Персонал'!S14</f>
        <v>69</v>
      </c>
      <c r="J114" s="281">
        <f>'5. Персонал'!N14+'5. Персонал'!T14</f>
        <v>69</v>
      </c>
      <c r="K114" s="80">
        <v>1</v>
      </c>
      <c r="L114" s="73">
        <v>1</v>
      </c>
      <c r="M114" s="73">
        <v>1</v>
      </c>
      <c r="N114" s="73">
        <v>1</v>
      </c>
      <c r="O114" s="73">
        <v>1</v>
      </c>
      <c r="P114" s="74">
        <v>1</v>
      </c>
      <c r="Q114" s="387" t="s">
        <v>2014</v>
      </c>
      <c r="R114" s="74" t="s">
        <v>2014</v>
      </c>
      <c r="S114" s="4422"/>
    </row>
    <row r="115" spans="1:19" s="3703" customFormat="1" ht="18.75" customHeight="1" thickBot="1">
      <c r="A115" s="4800" t="s">
        <v>1107</v>
      </c>
      <c r="B115" s="4801"/>
      <c r="C115" s="4801"/>
      <c r="D115" s="4801"/>
      <c r="E115" s="4801"/>
      <c r="F115" s="4801"/>
      <c r="G115" s="4801"/>
      <c r="H115" s="4801"/>
      <c r="I115" s="4801"/>
      <c r="J115" s="4801"/>
      <c r="K115" s="4801"/>
      <c r="L115" s="4801"/>
      <c r="M115" s="4801"/>
      <c r="N115" s="4801"/>
      <c r="O115" s="4801"/>
      <c r="P115" s="4801"/>
      <c r="Q115" s="4801"/>
      <c r="R115" s="4802"/>
      <c r="S115" s="4423"/>
    </row>
    <row r="116" spans="1:19" s="3703" customFormat="1" ht="26.25" thickBot="1">
      <c r="A116" s="1664" t="s">
        <v>852</v>
      </c>
      <c r="B116" s="1665" t="s">
        <v>32</v>
      </c>
      <c r="C116" s="1666" t="s">
        <v>1108</v>
      </c>
      <c r="D116" s="494" t="s">
        <v>784</v>
      </c>
      <c r="E116" s="328"/>
      <c r="F116" s="181"/>
      <c r="G116" s="181"/>
      <c r="H116" s="181"/>
      <c r="I116" s="181"/>
      <c r="J116" s="182"/>
      <c r="K116" s="78"/>
      <c r="L116" s="70"/>
      <c r="M116" s="70"/>
      <c r="N116" s="70"/>
      <c r="O116" s="70"/>
      <c r="P116" s="71"/>
      <c r="Q116" s="75"/>
      <c r="R116" s="71"/>
      <c r="S116" s="4423"/>
    </row>
    <row r="117" spans="1:19" s="3703" customFormat="1" ht="39" thickBot="1">
      <c r="A117" s="1664" t="s">
        <v>859</v>
      </c>
      <c r="B117" s="1665"/>
      <c r="C117" s="1666" t="s">
        <v>855</v>
      </c>
      <c r="D117" s="494" t="s">
        <v>784</v>
      </c>
      <c r="E117" s="328"/>
      <c r="F117" s="181"/>
      <c r="G117" s="181"/>
      <c r="H117" s="181"/>
      <c r="I117" s="181"/>
      <c r="J117" s="182"/>
      <c r="K117" s="78"/>
      <c r="L117" s="70"/>
      <c r="M117" s="70"/>
      <c r="N117" s="70"/>
      <c r="O117" s="70"/>
      <c r="P117" s="71"/>
      <c r="Q117" s="75"/>
      <c r="R117" s="71"/>
      <c r="S117" s="4423"/>
    </row>
    <row r="118" spans="1:19" s="3703" customFormat="1" ht="15.75">
      <c r="A118" s="4805" t="s">
        <v>1109</v>
      </c>
      <c r="B118" s="1667"/>
      <c r="C118" s="1668" t="s">
        <v>1006</v>
      </c>
      <c r="D118" s="495" t="s">
        <v>784</v>
      </c>
      <c r="E118" s="437"/>
      <c r="F118" s="438"/>
      <c r="G118" s="438"/>
      <c r="H118" s="438"/>
      <c r="I118" s="438"/>
      <c r="J118" s="439"/>
      <c r="K118" s="437"/>
      <c r="L118" s="438"/>
      <c r="M118" s="438"/>
      <c r="N118" s="438"/>
      <c r="O118" s="438"/>
      <c r="P118" s="439"/>
      <c r="Q118" s="438"/>
      <c r="R118" s="439"/>
      <c r="S118" s="4423"/>
    </row>
    <row r="119" spans="1:19" s="3703" customFormat="1" ht="15.75">
      <c r="A119" s="4812"/>
      <c r="B119" s="1669"/>
      <c r="C119" s="1670" t="s">
        <v>901</v>
      </c>
      <c r="D119" s="496" t="s">
        <v>784</v>
      </c>
      <c r="E119" s="440"/>
      <c r="F119" s="441"/>
      <c r="G119" s="441"/>
      <c r="H119" s="441"/>
      <c r="I119" s="441"/>
      <c r="J119" s="442"/>
      <c r="K119" s="440"/>
      <c r="L119" s="441"/>
      <c r="M119" s="441"/>
      <c r="N119" s="441"/>
      <c r="O119" s="441"/>
      <c r="P119" s="442"/>
      <c r="Q119" s="441"/>
      <c r="R119" s="442"/>
      <c r="S119" s="4423"/>
    </row>
    <row r="120" spans="1:19" s="3703" customFormat="1" ht="15.75">
      <c r="A120" s="4812"/>
      <c r="B120" s="1669"/>
      <c r="C120" s="1670" t="s">
        <v>862</v>
      </c>
      <c r="D120" s="496" t="s">
        <v>784</v>
      </c>
      <c r="E120" s="443"/>
      <c r="F120" s="444"/>
      <c r="G120" s="444"/>
      <c r="H120" s="444"/>
      <c r="I120" s="444"/>
      <c r="J120" s="445"/>
      <c r="K120" s="443"/>
      <c r="L120" s="444"/>
      <c r="M120" s="444"/>
      <c r="N120" s="444"/>
      <c r="O120" s="444"/>
      <c r="P120" s="445"/>
      <c r="Q120" s="444"/>
      <c r="R120" s="445"/>
      <c r="S120" s="4423"/>
    </row>
    <row r="121" spans="1:19" s="3703" customFormat="1" ht="15.75">
      <c r="A121" s="4812"/>
      <c r="B121" s="1671"/>
      <c r="C121" s="1670" t="s">
        <v>863</v>
      </c>
      <c r="D121" s="496" t="s">
        <v>784</v>
      </c>
      <c r="E121" s="440"/>
      <c r="F121" s="441"/>
      <c r="G121" s="441"/>
      <c r="H121" s="441"/>
      <c r="I121" s="441"/>
      <c r="J121" s="442"/>
      <c r="K121" s="440"/>
      <c r="L121" s="441"/>
      <c r="M121" s="441"/>
      <c r="N121" s="441"/>
      <c r="O121" s="441"/>
      <c r="P121" s="442"/>
      <c r="Q121" s="441"/>
      <c r="R121" s="442"/>
      <c r="S121" s="4423"/>
    </row>
    <row r="122" spans="1:19" s="3703" customFormat="1" ht="51">
      <c r="A122" s="4812"/>
      <c r="B122" s="1672" t="s">
        <v>30</v>
      </c>
      <c r="C122" s="1670" t="s">
        <v>814</v>
      </c>
      <c r="D122" s="496" t="s">
        <v>812</v>
      </c>
      <c r="E122" s="440"/>
      <c r="F122" s="447"/>
      <c r="G122" s="446"/>
      <c r="H122" s="447"/>
      <c r="I122" s="446"/>
      <c r="J122" s="448"/>
      <c r="K122" s="440"/>
      <c r="L122" s="449"/>
      <c r="M122" s="449"/>
      <c r="N122" s="447"/>
      <c r="O122" s="446"/>
      <c r="P122" s="448"/>
      <c r="Q122" s="446"/>
      <c r="R122" s="448"/>
      <c r="S122" s="4423"/>
    </row>
    <row r="123" spans="1:19" s="3703" customFormat="1" ht="76.5">
      <c r="A123" s="4812"/>
      <c r="B123" s="1672" t="s">
        <v>28</v>
      </c>
      <c r="C123" s="1670" t="s">
        <v>1110</v>
      </c>
      <c r="D123" s="496" t="s">
        <v>812</v>
      </c>
      <c r="E123" s="443"/>
      <c r="F123" s="444"/>
      <c r="G123" s="444"/>
      <c r="H123" s="444"/>
      <c r="I123" s="444"/>
      <c r="J123" s="445"/>
      <c r="K123" s="443"/>
      <c r="L123" s="444"/>
      <c r="M123" s="444"/>
      <c r="N123" s="444"/>
      <c r="O123" s="444"/>
      <c r="P123" s="445"/>
      <c r="Q123" s="444"/>
      <c r="R123" s="445"/>
      <c r="S123" s="4423"/>
    </row>
    <row r="124" spans="1:19" s="3703" customFormat="1" ht="15.75">
      <c r="A124" s="4812"/>
      <c r="B124" s="1672" t="s">
        <v>79</v>
      </c>
      <c r="C124" s="1673" t="s">
        <v>899</v>
      </c>
      <c r="D124" s="496" t="s">
        <v>784</v>
      </c>
      <c r="E124" s="440"/>
      <c r="F124" s="441"/>
      <c r="G124" s="441"/>
      <c r="H124" s="441"/>
      <c r="I124" s="441"/>
      <c r="J124" s="442"/>
      <c r="K124" s="440"/>
      <c r="L124" s="441"/>
      <c r="M124" s="441"/>
      <c r="N124" s="441"/>
      <c r="O124" s="441"/>
      <c r="P124" s="442"/>
      <c r="Q124" s="441"/>
      <c r="R124" s="442"/>
      <c r="S124" s="4423"/>
    </row>
    <row r="125" spans="1:19" s="3703" customFormat="1" ht="16.5" thickBot="1">
      <c r="A125" s="4806"/>
      <c r="B125" s="1674" t="s">
        <v>843</v>
      </c>
      <c r="C125" s="1675" t="s">
        <v>844</v>
      </c>
      <c r="D125" s="497" t="s">
        <v>784</v>
      </c>
      <c r="E125" s="440"/>
      <c r="F125" s="441"/>
      <c r="G125" s="441"/>
      <c r="H125" s="441"/>
      <c r="I125" s="441"/>
      <c r="J125" s="442"/>
      <c r="K125" s="440"/>
      <c r="L125" s="441"/>
      <c r="M125" s="441"/>
      <c r="N125" s="441"/>
      <c r="O125" s="441"/>
      <c r="P125" s="442"/>
      <c r="Q125" s="441"/>
      <c r="R125" s="442"/>
      <c r="S125" s="4423"/>
    </row>
    <row r="126" spans="1:19" s="3703" customFormat="1" ht="26.25" thickBot="1">
      <c r="A126" s="3666" t="s">
        <v>1111</v>
      </c>
      <c r="B126" s="1676" t="s">
        <v>29</v>
      </c>
      <c r="C126" s="1677" t="s">
        <v>813</v>
      </c>
      <c r="D126" s="498" t="s">
        <v>784</v>
      </c>
      <c r="E126" s="450"/>
      <c r="F126" s="452"/>
      <c r="G126" s="453"/>
      <c r="H126" s="454"/>
      <c r="I126" s="452"/>
      <c r="J126" s="455"/>
      <c r="K126" s="450"/>
      <c r="L126" s="452"/>
      <c r="M126" s="453"/>
      <c r="N126" s="454"/>
      <c r="O126" s="452"/>
      <c r="P126" s="455"/>
      <c r="Q126" s="451"/>
      <c r="R126" s="456"/>
      <c r="S126" s="4423"/>
    </row>
    <row r="127" spans="1:19" s="3703" customFormat="1" ht="51">
      <c r="A127" s="4805" t="s">
        <v>871</v>
      </c>
      <c r="B127" s="1665" t="s">
        <v>41</v>
      </c>
      <c r="C127" s="1666" t="s">
        <v>809</v>
      </c>
      <c r="D127" s="495" t="s">
        <v>1042</v>
      </c>
      <c r="E127" s="499">
        <f>'4. Отчет и прогн. потребление'!D62</f>
        <v>0</v>
      </c>
      <c r="F127" s="500">
        <f>'4. Отчет и прогн. потребление'!E62</f>
        <v>0</v>
      </c>
      <c r="G127" s="500">
        <f>'4. Отчет и прогн. потребление'!F62</f>
        <v>0</v>
      </c>
      <c r="H127" s="500">
        <f>'4. Отчет и прогн. потребление'!G62</f>
        <v>0</v>
      </c>
      <c r="I127" s="500">
        <f>'4. Отчет и прогн. потребление'!H62</f>
        <v>0</v>
      </c>
      <c r="J127" s="564">
        <f>'4. Отчет и прогн. потребление'!I62</f>
        <v>0</v>
      </c>
      <c r="K127" s="1687"/>
      <c r="L127" s="1688"/>
      <c r="M127" s="1689"/>
      <c r="N127" s="1690"/>
      <c r="O127" s="1688"/>
      <c r="P127" s="1691"/>
      <c r="Q127" s="438"/>
      <c r="R127" s="439"/>
      <c r="S127" s="4423"/>
    </row>
    <row r="128" spans="1:19" s="3703" customFormat="1" ht="51">
      <c r="A128" s="4812"/>
      <c r="B128" s="1672" t="s">
        <v>782</v>
      </c>
      <c r="C128" s="1673" t="s">
        <v>811</v>
      </c>
      <c r="D128" s="496" t="s">
        <v>1042</v>
      </c>
      <c r="E128" s="501">
        <f>'4. Отчет и прогн. потребление'!D69</f>
        <v>0</v>
      </c>
      <c r="F128" s="502">
        <f>'4. Отчет и прогн. потребление'!E69</f>
        <v>0</v>
      </c>
      <c r="G128" s="502">
        <f>'4. Отчет и прогн. потребление'!F69</f>
        <v>0</v>
      </c>
      <c r="H128" s="502">
        <f>'4. Отчет и прогн. потребление'!G69</f>
        <v>0</v>
      </c>
      <c r="I128" s="502">
        <f>'4. Отчет и прогн. потребление'!H69</f>
        <v>0</v>
      </c>
      <c r="J128" s="565">
        <f>'4. Отчет и прогн. потребление'!I69</f>
        <v>0</v>
      </c>
      <c r="K128" s="1692"/>
      <c r="L128" s="1693"/>
      <c r="M128" s="1694"/>
      <c r="N128" s="1695"/>
      <c r="O128" s="1693"/>
      <c r="P128" s="1696"/>
      <c r="Q128" s="441"/>
      <c r="R128" s="442"/>
      <c r="S128" s="4423"/>
    </row>
    <row r="129" spans="1:26" s="3703" customFormat="1" ht="51.75" thickBot="1">
      <c r="A129" s="4806"/>
      <c r="B129" s="1672" t="s">
        <v>783</v>
      </c>
      <c r="C129" s="1678" t="s">
        <v>810</v>
      </c>
      <c r="D129" s="497" t="s">
        <v>1042</v>
      </c>
      <c r="E129" s="503">
        <f>'4. Отчет и прогн. потребление'!D88</f>
        <v>0</v>
      </c>
      <c r="F129" s="504">
        <f>'4. Отчет и прогн. потребление'!E88</f>
        <v>0</v>
      </c>
      <c r="G129" s="504">
        <f>'4. Отчет и прогн. потребление'!F88</f>
        <v>0</v>
      </c>
      <c r="H129" s="504">
        <f>'4. Отчет и прогн. потребление'!G88</f>
        <v>0</v>
      </c>
      <c r="I129" s="504">
        <f>'4. Отчет и прогн. потребление'!H88</f>
        <v>0</v>
      </c>
      <c r="J129" s="566">
        <f>'4. Отчет и прогн. потребление'!I88</f>
        <v>0</v>
      </c>
      <c r="K129" s="1697"/>
      <c r="L129" s="1698"/>
      <c r="M129" s="1698"/>
      <c r="N129" s="1698"/>
      <c r="O129" s="1699"/>
      <c r="P129" s="1700"/>
      <c r="Q129" s="441"/>
      <c r="R129" s="442"/>
      <c r="S129" s="4423"/>
    </row>
    <row r="130" spans="1:26" s="3703" customFormat="1" ht="16.5" thickBot="1">
      <c r="A130" s="4805" t="s">
        <v>869</v>
      </c>
      <c r="B130" s="1665" t="s">
        <v>46</v>
      </c>
      <c r="C130" s="1665" t="s">
        <v>827</v>
      </c>
      <c r="D130" s="498" t="s">
        <v>812</v>
      </c>
      <c r="E130" s="846"/>
      <c r="F130" s="457"/>
      <c r="G130" s="459"/>
      <c r="H130" s="460"/>
      <c r="I130" s="458"/>
      <c r="J130" s="461"/>
      <c r="K130" s="439"/>
      <c r="L130" s="463"/>
      <c r="M130" s="438"/>
      <c r="N130" s="438"/>
      <c r="O130" s="464"/>
      <c r="P130" s="465"/>
      <c r="Q130" s="462"/>
      <c r="R130" s="439"/>
      <c r="S130" s="4423"/>
      <c r="T130" s="4791" t="s">
        <v>746</v>
      </c>
      <c r="U130" s="4791" t="s">
        <v>922</v>
      </c>
      <c r="V130" s="4791"/>
      <c r="W130" s="4791"/>
      <c r="X130" s="4791"/>
      <c r="Y130" s="4791"/>
      <c r="Z130" s="4791"/>
    </row>
    <row r="131" spans="1:26" s="3703" customFormat="1" ht="53.25" customHeight="1" thickBot="1">
      <c r="A131" s="4806"/>
      <c r="B131" s="1675" t="s">
        <v>837</v>
      </c>
      <c r="C131" s="1679" t="s">
        <v>868</v>
      </c>
      <c r="D131" s="497" t="s">
        <v>812</v>
      </c>
      <c r="E131" s="505"/>
      <c r="F131" s="466"/>
      <c r="G131" s="467"/>
      <c r="H131" s="468"/>
      <c r="I131" s="466"/>
      <c r="J131" s="469"/>
      <c r="K131" s="469"/>
      <c r="L131" s="471"/>
      <c r="M131" s="466"/>
      <c r="N131" s="466"/>
      <c r="O131" s="472"/>
      <c r="P131" s="473"/>
      <c r="Q131" s="474"/>
      <c r="R131" s="475"/>
      <c r="S131" s="4423"/>
      <c r="T131" s="4791"/>
      <c r="U131" s="4424" t="str">
        <f>'Приложение '!$C$12</f>
        <v>2024 г.</v>
      </c>
      <c r="V131" s="4424" t="str">
        <f>'Приложение '!$C$14</f>
        <v>2027 г.</v>
      </c>
      <c r="W131" s="4424" t="str">
        <f>'Приложение '!$C$15</f>
        <v>2028 г.</v>
      </c>
      <c r="X131" s="4424" t="str">
        <f>'Приложение '!$C$16</f>
        <v>2029 г.</v>
      </c>
      <c r="Y131" s="4424" t="str">
        <f>'Приложение '!$C$17</f>
        <v>2030 г.</v>
      </c>
      <c r="Z131" s="4424" t="str">
        <f>'Приложение '!$C$18</f>
        <v>2031 г.</v>
      </c>
    </row>
    <row r="132" spans="1:26" s="3703" customFormat="1" ht="26.25" thickBot="1">
      <c r="A132" s="4805" t="s">
        <v>1112</v>
      </c>
      <c r="B132" s="1665" t="s">
        <v>48</v>
      </c>
      <c r="C132" s="1666" t="s">
        <v>829</v>
      </c>
      <c r="D132" s="495" t="s">
        <v>828</v>
      </c>
      <c r="E132" s="335"/>
      <c r="F132" s="278">
        <f>'16. Необходими приходи'!D36*1000</f>
        <v>0</v>
      </c>
      <c r="G132" s="278">
        <f>'16. Необходими приходи'!E36*1000</f>
        <v>0</v>
      </c>
      <c r="H132" s="278">
        <f>'16. Необходими приходи'!F36*1000</f>
        <v>0</v>
      </c>
      <c r="I132" s="278">
        <f>'16. Необходими приходи'!G36*1000</f>
        <v>0</v>
      </c>
      <c r="J132" s="278">
        <f>'16. Необходими приходи'!H36*1000</f>
        <v>0</v>
      </c>
      <c r="K132" s="476"/>
      <c r="L132" s="477"/>
      <c r="M132" s="1701"/>
      <c r="N132" s="478"/>
      <c r="O132" s="478"/>
      <c r="P132" s="479"/>
      <c r="Q132" s="462"/>
      <c r="R132" s="439"/>
      <c r="S132" s="4423"/>
      <c r="T132" s="4425" t="s">
        <v>1874</v>
      </c>
      <c r="U132" s="4427">
        <f>IFERROR(E132/$C$1,0)</f>
        <v>0</v>
      </c>
      <c r="V132" s="4427">
        <f t="shared" ref="V132:V133" si="29">IFERROR(F132/$C$1,0)</f>
        <v>0</v>
      </c>
      <c r="W132" s="4427">
        <f t="shared" ref="W132:W133" si="30">IFERROR(G132/$C$1,0)</f>
        <v>0</v>
      </c>
      <c r="X132" s="4427">
        <f t="shared" ref="X132:X133" si="31">IFERROR(H132/$C$1,0)</f>
        <v>0</v>
      </c>
      <c r="Y132" s="4427">
        <f t="shared" ref="Y132:Y133" si="32">IFERROR(I132/$C$1,0)</f>
        <v>0</v>
      </c>
      <c r="Z132" s="4427">
        <f t="shared" ref="Z132:Z133" si="33">IFERROR(J132/$C$1,0)</f>
        <v>0</v>
      </c>
    </row>
    <row r="133" spans="1:26" s="3703" customFormat="1" ht="26.25" thickBot="1">
      <c r="A133" s="4806"/>
      <c r="B133" s="1675" t="s">
        <v>49</v>
      </c>
      <c r="C133" s="1679" t="s">
        <v>830</v>
      </c>
      <c r="D133" s="497" t="s">
        <v>828</v>
      </c>
      <c r="E133" s="338">
        <f>'12. Разходи'!AA88*1000</f>
        <v>0</v>
      </c>
      <c r="F133" s="847">
        <f>'12. Разходи'!AB88*1000</f>
        <v>0</v>
      </c>
      <c r="G133" s="280">
        <f>'12. Разходи'!AC88*1000</f>
        <v>0</v>
      </c>
      <c r="H133" s="848">
        <f>'12. Разходи'!AD88*1000</f>
        <v>0</v>
      </c>
      <c r="I133" s="848">
        <f>'12. Разходи'!AE88*1000</f>
        <v>0</v>
      </c>
      <c r="J133" s="281">
        <f>'12. Разходи'!AF88*1000</f>
        <v>0</v>
      </c>
      <c r="K133" s="1360"/>
      <c r="L133" s="1359"/>
      <c r="M133" s="1702"/>
      <c r="N133" s="480"/>
      <c r="O133" s="480"/>
      <c r="P133" s="481"/>
      <c r="Q133" s="470"/>
      <c r="R133" s="475"/>
      <c r="S133" s="4423"/>
      <c r="T133" s="4425" t="s">
        <v>1874</v>
      </c>
      <c r="U133" s="4427">
        <f t="shared" ref="U133" si="34">IFERROR(E133/$C$1,0)</f>
        <v>0</v>
      </c>
      <c r="V133" s="4427">
        <f t="shared" si="29"/>
        <v>0</v>
      </c>
      <c r="W133" s="4427">
        <f t="shared" si="30"/>
        <v>0</v>
      </c>
      <c r="X133" s="4427">
        <f t="shared" si="31"/>
        <v>0</v>
      </c>
      <c r="Y133" s="4427">
        <f t="shared" si="32"/>
        <v>0</v>
      </c>
      <c r="Z133" s="4427">
        <f t="shared" si="33"/>
        <v>0</v>
      </c>
    </row>
    <row r="135" spans="1:26">
      <c r="D135" s="339"/>
    </row>
    <row r="136" spans="1:26">
      <c r="A136" s="1680" t="str">
        <f>'Приложение '!B82</f>
        <v>Дата: 29.06.2026</v>
      </c>
      <c r="C136" s="4815"/>
      <c r="D136" s="4815"/>
      <c r="E136" s="4815"/>
      <c r="J136" s="1681"/>
      <c r="K136" s="3509"/>
    </row>
    <row r="137" spans="1:26" ht="13.5">
      <c r="J137" s="1681"/>
      <c r="K137" s="1682"/>
    </row>
    <row r="138" spans="1:26">
      <c r="D138" s="1684"/>
      <c r="J138" s="1681"/>
      <c r="K138" s="3509"/>
    </row>
    <row r="139" spans="1:26">
      <c r="A139" s="1685" t="s">
        <v>555</v>
      </c>
      <c r="J139" s="1681"/>
      <c r="K139" s="3509"/>
    </row>
    <row r="140" spans="1:26" ht="13.5">
      <c r="A140" s="2983" t="s">
        <v>188</v>
      </c>
      <c r="K140" s="1682"/>
    </row>
    <row r="141" spans="1:26">
      <c r="A141" s="2983" t="s">
        <v>1437</v>
      </c>
      <c r="K141" s="1686"/>
    </row>
    <row r="142" spans="1:26">
      <c r="A142" s="2983" t="str">
        <f>CONCATENATE("3. Източника на информация се посочва спрямо текущото състояние за отчетната ",E8,", и прогнозното състояние за ",J8," в зависимост от планираното качество на информация.")</f>
        <v>3. Източника на информация се посочва спрямо текущото състояние за отчетната 2024 г., и прогнозното състояние за 2031 г. в зависимост от планираното качество на информация.</v>
      </c>
    </row>
    <row r="143" spans="1:26">
      <c r="A143" s="3669" t="s">
        <v>1398</v>
      </c>
    </row>
    <row r="144" spans="1:26" s="3704" customFormat="1" ht="15.75">
      <c r="D144" s="3705"/>
      <c r="E144" s="3706"/>
      <c r="F144" s="3706"/>
      <c r="G144" s="3707"/>
      <c r="H144" s="3706"/>
      <c r="I144" s="3708"/>
      <c r="J144" s="3706"/>
      <c r="K144" s="3706"/>
      <c r="L144" s="3706"/>
      <c r="M144" s="3706"/>
      <c r="N144" s="3706"/>
      <c r="O144" s="3706"/>
      <c r="P144" s="3706"/>
      <c r="Q144" s="3706"/>
      <c r="R144" s="3706"/>
    </row>
    <row r="145" spans="3:18" s="1979" customFormat="1" ht="12">
      <c r="C145" s="3709"/>
      <c r="D145" s="1983"/>
      <c r="E145" s="3710"/>
      <c r="F145" s="1981"/>
      <c r="G145" s="1981"/>
      <c r="H145" s="1980"/>
      <c r="I145" s="1980"/>
      <c r="J145" s="1980"/>
      <c r="K145" s="1980"/>
      <c r="L145" s="1980"/>
      <c r="M145" s="1980"/>
      <c r="N145" s="1980"/>
      <c r="O145" s="1980"/>
      <c r="P145" s="1980"/>
      <c r="Q145" s="1980"/>
      <c r="R145" s="1980"/>
    </row>
  </sheetData>
  <sheetProtection algorithmName="SHA-512" hashValue="INJcsZAInKp6sYUHSYZylio+dgb5Lh/KcTN0PoRb7UlsAQ2CCJ1uHZn/MxjJ/PFTsIvFtEEpwWjrRHT1aw/oYg==" saltValue="l+alecIEPTOCtDLN6T7lsQ==" spinCount="100000" sheet="1" formatCells="0" formatColumns="0" formatRows="0"/>
  <mergeCells count="43">
    <mergeCell ref="C136:E136"/>
    <mergeCell ref="D7:D8"/>
    <mergeCell ref="C7:C8"/>
    <mergeCell ref="B7:B8"/>
    <mergeCell ref="E7:J7"/>
    <mergeCell ref="A132:A133"/>
    <mergeCell ref="Q7:R7"/>
    <mergeCell ref="K7:P7"/>
    <mergeCell ref="A34:A43"/>
    <mergeCell ref="A44:A53"/>
    <mergeCell ref="A17:A20"/>
    <mergeCell ref="A21:A33"/>
    <mergeCell ref="A97:A108"/>
    <mergeCell ref="A93:A96"/>
    <mergeCell ref="A109:A112"/>
    <mergeCell ref="A115:R115"/>
    <mergeCell ref="A118:A125"/>
    <mergeCell ref="A127:A129"/>
    <mergeCell ref="A130:A131"/>
    <mergeCell ref="A113:A114"/>
    <mergeCell ref="A7:A8"/>
    <mergeCell ref="A14:A16"/>
    <mergeCell ref="A9:R9"/>
    <mergeCell ref="A2:R2"/>
    <mergeCell ref="A3:R3"/>
    <mergeCell ref="A4:R4"/>
    <mergeCell ref="A5:R5"/>
    <mergeCell ref="T82:T83"/>
    <mergeCell ref="U82:Z82"/>
    <mergeCell ref="A1:B1"/>
    <mergeCell ref="C1:D1"/>
    <mergeCell ref="T130:T131"/>
    <mergeCell ref="U130:Z130"/>
    <mergeCell ref="A54:A55"/>
    <mergeCell ref="A80:A81"/>
    <mergeCell ref="A63:A66"/>
    <mergeCell ref="A82:A83"/>
    <mergeCell ref="A84:A92"/>
    <mergeCell ref="A58:A62"/>
    <mergeCell ref="A56:A57"/>
    <mergeCell ref="A78:A79"/>
    <mergeCell ref="A67:A77"/>
    <mergeCell ref="A10:A13"/>
  </mergeCells>
  <phoneticPr fontId="174" type="noConversion"/>
  <conditionalFormatting sqref="A7">
    <cfRule type="duplicateValues" dxfId="280" priority="76"/>
  </conditionalFormatting>
  <conditionalFormatting sqref="B72:B73 B67:B70">
    <cfRule type="duplicateValues" dxfId="279" priority="77"/>
  </conditionalFormatting>
  <conditionalFormatting sqref="B99">
    <cfRule type="duplicateValues" dxfId="278" priority="75"/>
  </conditionalFormatting>
  <conditionalFormatting sqref="B100:B114 B66 B7 B28:B63 B78:B98 B74:B76 B10:B26 B71">
    <cfRule type="duplicateValues" dxfId="277" priority="78"/>
  </conditionalFormatting>
  <conditionalFormatting sqref="B116">
    <cfRule type="duplicateValues" dxfId="276" priority="69"/>
  </conditionalFormatting>
  <conditionalFormatting sqref="B117">
    <cfRule type="duplicateValues" dxfId="275" priority="68"/>
  </conditionalFormatting>
  <conditionalFormatting sqref="B122:B123">
    <cfRule type="duplicateValues" dxfId="274" priority="74"/>
  </conditionalFormatting>
  <conditionalFormatting sqref="B124:B125">
    <cfRule type="duplicateValues" dxfId="273" priority="67"/>
  </conditionalFormatting>
  <conditionalFormatting sqref="B126">
    <cfRule type="duplicateValues" dxfId="272" priority="72"/>
  </conditionalFormatting>
  <conditionalFormatting sqref="B127:B129">
    <cfRule type="duplicateValues" dxfId="271" priority="73"/>
  </conditionalFormatting>
  <conditionalFormatting sqref="B130:B131">
    <cfRule type="duplicateValues" dxfId="270" priority="71"/>
  </conditionalFormatting>
  <conditionalFormatting sqref="B132:B133">
    <cfRule type="duplicateValues" dxfId="269" priority="70"/>
  </conditionalFormatting>
  <conditionalFormatting sqref="E10:E12">
    <cfRule type="cellIs" dxfId="268" priority="54" operator="greaterThan">
      <formula>$E$13</formula>
    </cfRule>
  </conditionalFormatting>
  <conditionalFormatting sqref="E14">
    <cfRule type="cellIs" dxfId="267" priority="24" operator="greaterThanOrEqual">
      <formula>$E$10</formula>
    </cfRule>
  </conditionalFormatting>
  <conditionalFormatting sqref="E15">
    <cfRule type="cellIs" dxfId="266" priority="18" operator="greaterThanOrEqual">
      <formula>$E$11</formula>
    </cfRule>
  </conditionalFormatting>
  <conditionalFormatting sqref="E16">
    <cfRule type="cellIs" dxfId="265" priority="12" operator="greaterThanOrEqual">
      <formula>$E$12</formula>
    </cfRule>
  </conditionalFormatting>
  <conditionalFormatting sqref="E27">
    <cfRule type="cellIs" dxfId="264" priority="42" operator="lessThan">
      <formula>$E$17</formula>
    </cfRule>
  </conditionalFormatting>
  <conditionalFormatting sqref="E29">
    <cfRule type="cellIs" dxfId="263" priority="6" operator="lessThan">
      <formula>$E$17</formula>
    </cfRule>
  </conditionalFormatting>
  <conditionalFormatting sqref="E123">
    <cfRule type="cellIs" dxfId="262" priority="30" operator="greaterThan">
      <formula>$E$122</formula>
    </cfRule>
  </conditionalFormatting>
  <conditionalFormatting sqref="F10:F12">
    <cfRule type="cellIs" dxfId="261" priority="53" operator="greaterThan">
      <formula>$F$13</formula>
    </cfRule>
  </conditionalFormatting>
  <conditionalFormatting sqref="F14">
    <cfRule type="cellIs" dxfId="260" priority="23" operator="greaterThanOrEqual">
      <formula>$F$10</formula>
    </cfRule>
  </conditionalFormatting>
  <conditionalFormatting sqref="F15">
    <cfRule type="cellIs" dxfId="259" priority="17" operator="greaterThanOrEqual">
      <formula>$F$11</formula>
    </cfRule>
  </conditionalFormatting>
  <conditionalFormatting sqref="F16">
    <cfRule type="cellIs" dxfId="258" priority="11" operator="greaterThanOrEqual">
      <formula>$F$12</formula>
    </cfRule>
  </conditionalFormatting>
  <conditionalFormatting sqref="F27">
    <cfRule type="cellIs" dxfId="257" priority="41" operator="lessThan">
      <formula>$F$17</formula>
    </cfRule>
  </conditionalFormatting>
  <conditionalFormatting sqref="F123">
    <cfRule type="cellIs" dxfId="256" priority="29" operator="greaterThan">
      <formula>$F$122</formula>
    </cfRule>
  </conditionalFormatting>
  <conditionalFormatting sqref="F29:J29">
    <cfRule type="cellIs" dxfId="255" priority="5" operator="lessThan">
      <formula>$F$17</formula>
    </cfRule>
  </conditionalFormatting>
  <conditionalFormatting sqref="G10:G12">
    <cfRule type="cellIs" dxfId="254" priority="52" operator="greaterThan">
      <formula>$G$13</formula>
    </cfRule>
  </conditionalFormatting>
  <conditionalFormatting sqref="G14">
    <cfRule type="cellIs" dxfId="253" priority="22" operator="greaterThanOrEqual">
      <formula>$G$10</formula>
    </cfRule>
  </conditionalFormatting>
  <conditionalFormatting sqref="G15">
    <cfRule type="cellIs" dxfId="252" priority="16" operator="greaterThanOrEqual">
      <formula>$G$11</formula>
    </cfRule>
  </conditionalFormatting>
  <conditionalFormatting sqref="G16">
    <cfRule type="cellIs" dxfId="251" priority="10" operator="greaterThanOrEqual">
      <formula>$G$12</formula>
    </cfRule>
  </conditionalFormatting>
  <conditionalFormatting sqref="G123">
    <cfRule type="cellIs" dxfId="250" priority="28" operator="greaterThan">
      <formula>$G$122</formula>
    </cfRule>
  </conditionalFormatting>
  <conditionalFormatting sqref="G27:I27">
    <cfRule type="cellIs" dxfId="249" priority="40" operator="lessThan">
      <formula>$G$17</formula>
    </cfRule>
  </conditionalFormatting>
  <conditionalFormatting sqref="H10:H12">
    <cfRule type="cellIs" dxfId="248" priority="51" operator="greaterThan">
      <formula>$H$13</formula>
    </cfRule>
  </conditionalFormatting>
  <conditionalFormatting sqref="H14">
    <cfRule type="cellIs" dxfId="247" priority="21" operator="greaterThanOrEqual">
      <formula>$H$10</formula>
    </cfRule>
  </conditionalFormatting>
  <conditionalFormatting sqref="H15">
    <cfRule type="cellIs" dxfId="246" priority="15" operator="greaterThanOrEqual">
      <formula>$H$11</formula>
    </cfRule>
  </conditionalFormatting>
  <conditionalFormatting sqref="H16">
    <cfRule type="cellIs" dxfId="245" priority="9" operator="greaterThanOrEqual">
      <formula>$H$12</formula>
    </cfRule>
  </conditionalFormatting>
  <conditionalFormatting sqref="H123">
    <cfRule type="cellIs" dxfId="244" priority="27" operator="greaterThan">
      <formula>$H$122</formula>
    </cfRule>
  </conditionalFormatting>
  <conditionalFormatting sqref="I10:I12">
    <cfRule type="cellIs" dxfId="243" priority="50" operator="greaterThan">
      <formula>$I$13</formula>
    </cfRule>
  </conditionalFormatting>
  <conditionalFormatting sqref="I14">
    <cfRule type="cellIs" dxfId="242" priority="20" operator="greaterThanOrEqual">
      <formula>$I$10</formula>
    </cfRule>
  </conditionalFormatting>
  <conditionalFormatting sqref="I15">
    <cfRule type="cellIs" dxfId="241" priority="14" operator="greaterThanOrEqual">
      <formula>$I$11</formula>
    </cfRule>
  </conditionalFormatting>
  <conditionalFormatting sqref="I16">
    <cfRule type="cellIs" dxfId="240" priority="8" operator="greaterThanOrEqual">
      <formula>$I$12</formula>
    </cfRule>
  </conditionalFormatting>
  <conditionalFormatting sqref="I123">
    <cfRule type="cellIs" dxfId="239" priority="26" operator="greaterThan">
      <formula>$I$122</formula>
    </cfRule>
  </conditionalFormatting>
  <conditionalFormatting sqref="J10:J12">
    <cfRule type="cellIs" dxfId="238" priority="49" operator="greaterThan">
      <formula>$J$13</formula>
    </cfRule>
  </conditionalFormatting>
  <conditionalFormatting sqref="J14">
    <cfRule type="cellIs" dxfId="237" priority="19" operator="greaterThanOrEqual">
      <formula>$J$10</formula>
    </cfRule>
  </conditionalFormatting>
  <conditionalFormatting sqref="J15">
    <cfRule type="cellIs" dxfId="236" priority="13" operator="greaterThanOrEqual">
      <formula>$J$11</formula>
    </cfRule>
  </conditionalFormatting>
  <conditionalFormatting sqref="J16">
    <cfRule type="cellIs" dxfId="235" priority="7" operator="greaterThanOrEqual">
      <formula>$J$12</formula>
    </cfRule>
  </conditionalFormatting>
  <conditionalFormatting sqref="J27">
    <cfRule type="cellIs" dxfId="234" priority="37" operator="lessThan">
      <formula>$J$17</formula>
    </cfRule>
  </conditionalFormatting>
  <conditionalFormatting sqref="J123">
    <cfRule type="cellIs" dxfId="233" priority="25" operator="greaterThan">
      <formula>$J$122</formula>
    </cfRule>
  </conditionalFormatting>
  <printOptions horizontalCentered="1"/>
  <pageMargins left="0" right="0" top="0.74803149606299213" bottom="0.27559055118110237" header="0.39370078740157483" footer="0.11811023622047245"/>
  <pageSetup paperSize="9" scale="42" fitToHeight="4" orientation="landscape" r:id="rId1"/>
  <headerFooter alignWithMargins="0">
    <oddFooter>&amp;C&amp;A&amp;RСтр. &amp;P от &amp;N</oddFooter>
  </headerFooter>
  <rowBreaks count="4" manualBreakCount="4">
    <brk id="30" max="17" man="1"/>
    <brk id="48" max="17" man="1"/>
    <brk id="70" max="17" man="1"/>
    <brk id="96" max="17"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I87"/>
  <sheetViews>
    <sheetView zoomScale="115" zoomScaleNormal="115" workbookViewId="0">
      <selection activeCell="AA33" sqref="AA33"/>
    </sheetView>
  </sheetViews>
  <sheetFormatPr defaultRowHeight="12.75"/>
  <cols>
    <col min="1" max="1" width="38.85546875" customWidth="1"/>
    <col min="2" max="2" width="5.42578125" customWidth="1"/>
    <col min="3" max="8" width="7.5703125" customWidth="1"/>
    <col min="9" max="9" width="4.85546875" customWidth="1"/>
    <col min="10" max="10" width="24.42578125" customWidth="1"/>
    <col min="11" max="11" width="6.140625" customWidth="1"/>
    <col min="12" max="23" width="5.42578125" customWidth="1"/>
    <col min="24" max="24" width="4.5703125" customWidth="1"/>
    <col min="25" max="25" width="5.42578125" customWidth="1"/>
    <col min="26" max="26" width="28.85546875" customWidth="1"/>
    <col min="27" max="27" width="4.5703125" customWidth="1"/>
    <col min="34" max="35" width="5.85546875" customWidth="1"/>
  </cols>
  <sheetData>
    <row r="1" spans="1:35" ht="15.75">
      <c r="A1" s="3430" t="s">
        <v>1519</v>
      </c>
      <c r="J1" s="3430" t="s">
        <v>1549</v>
      </c>
      <c r="Y1" s="3430" t="s">
        <v>1588</v>
      </c>
    </row>
    <row r="2" spans="1:35" ht="15.95" customHeight="1">
      <c r="A2" s="5425" t="s">
        <v>2</v>
      </c>
      <c r="B2" s="5426" t="s">
        <v>746</v>
      </c>
      <c r="C2" s="5413" t="s">
        <v>922</v>
      </c>
      <c r="D2" s="5413"/>
      <c r="E2" s="5413"/>
      <c r="F2" s="5413"/>
      <c r="G2" s="5413"/>
      <c r="H2" s="5413"/>
      <c r="J2" s="5404" t="s">
        <v>347</v>
      </c>
      <c r="K2" s="5407" t="s">
        <v>349</v>
      </c>
      <c r="L2" s="5408"/>
      <c r="M2" s="5408"/>
      <c r="N2" s="5408"/>
      <c r="O2" s="5408"/>
      <c r="P2" s="5408"/>
      <c r="Q2" s="5408"/>
      <c r="R2" s="5408"/>
      <c r="S2" s="5408"/>
      <c r="T2" s="5408"/>
      <c r="U2" s="5408"/>
      <c r="V2" s="5408"/>
      <c r="W2" s="5409"/>
      <c r="Y2" s="5400" t="s">
        <v>1593</v>
      </c>
      <c r="Z2" s="5401"/>
      <c r="AA2" s="5401"/>
      <c r="AB2" s="5401"/>
      <c r="AC2" s="5401"/>
      <c r="AD2" s="5401"/>
      <c r="AE2" s="5401"/>
      <c r="AF2" s="5401"/>
      <c r="AG2" s="5401"/>
      <c r="AH2" s="5401"/>
      <c r="AI2" s="5402"/>
    </row>
    <row r="3" spans="1:35" ht="37.5" customHeight="1">
      <c r="A3" s="5425"/>
      <c r="B3" s="5427"/>
      <c r="C3" s="4303" t="str">
        <f>+'15. ОПП'!$B$7</f>
        <v>2024 г.</v>
      </c>
      <c r="D3" s="4303" t="str">
        <f>+'15. ОПП'!$C$7</f>
        <v>2027 г.</v>
      </c>
      <c r="E3" s="4303" t="str">
        <f>+'15. ОПП'!$D$7</f>
        <v>2028 г.</v>
      </c>
      <c r="F3" s="4303" t="str">
        <f>+'15. ОПП'!$E$7</f>
        <v>2029 г.</v>
      </c>
      <c r="G3" s="4303" t="str">
        <f>+'15. ОПП'!$F$7</f>
        <v>2030 г.</v>
      </c>
      <c r="H3" s="4303" t="str">
        <f>+'15. ОПП'!$G$7</f>
        <v>2031 г.</v>
      </c>
      <c r="J3" s="5404"/>
      <c r="K3" s="5404" t="s">
        <v>1538</v>
      </c>
      <c r="L3" s="5405" t="s">
        <v>1555</v>
      </c>
      <c r="M3" s="5405"/>
      <c r="N3" s="5405"/>
      <c r="O3" s="5405"/>
      <c r="P3" s="5405"/>
      <c r="Q3" s="5406"/>
      <c r="R3" s="5404" t="s">
        <v>1902</v>
      </c>
      <c r="S3" s="5404"/>
      <c r="T3" s="5404"/>
      <c r="U3" s="5404"/>
      <c r="V3" s="5404"/>
      <c r="W3" s="5404"/>
      <c r="Y3" s="3431" t="s">
        <v>773</v>
      </c>
      <c r="Z3" s="3431" t="s">
        <v>1592</v>
      </c>
      <c r="AA3" s="3432" t="s">
        <v>746</v>
      </c>
      <c r="AB3" s="3433" t="str">
        <f>+'15. ОПП'!$B$7</f>
        <v>2024 г.</v>
      </c>
      <c r="AC3" s="4303" t="str">
        <f>+'15. ОПП'!$C$7</f>
        <v>2027 г.</v>
      </c>
      <c r="AD3" s="4303" t="str">
        <f>+'15. ОПП'!$D$7</f>
        <v>2028 г.</v>
      </c>
      <c r="AE3" s="4303" t="str">
        <f>+'15. ОПП'!$E$7</f>
        <v>2029 г.</v>
      </c>
      <c r="AF3" s="4303" t="str">
        <f>+'15. ОПП'!$F$7</f>
        <v>2030 г.</v>
      </c>
      <c r="AG3" s="4303" t="str">
        <f>+'15. ОПП'!$G$7</f>
        <v>2031 г.</v>
      </c>
      <c r="AH3" s="3433" t="str">
        <f>CONCATENATE("Индивидуална цел за ",AG3)</f>
        <v>Индивидуална цел за 2031 г.</v>
      </c>
      <c r="AI3" s="3433" t="s">
        <v>780</v>
      </c>
    </row>
    <row r="4" spans="1:35" ht="15.95" customHeight="1">
      <c r="A4" s="3434" t="s">
        <v>1523</v>
      </c>
      <c r="B4" s="3364" t="s">
        <v>784</v>
      </c>
      <c r="C4" s="3435">
        <f>'2. Променливи'!E10</f>
        <v>206474</v>
      </c>
      <c r="D4" s="3435">
        <f>'2. Променливи'!F10</f>
        <v>191730</v>
      </c>
      <c r="E4" s="3435">
        <f>'2. Променливи'!G10</f>
        <v>188943.39655278841</v>
      </c>
      <c r="F4" s="3435">
        <f>'2. Променливи'!H10</f>
        <v>186285.10735546594</v>
      </c>
      <c r="G4" s="3435">
        <f>'2. Променливи'!I10</f>
        <v>183626.81815814349</v>
      </c>
      <c r="H4" s="3435">
        <f>'2. Променливи'!J10</f>
        <v>181334.16705569168</v>
      </c>
      <c r="J4" s="5404"/>
      <c r="K4" s="5404"/>
      <c r="L4" s="4304" t="str">
        <f>+'15. ОПП'!$B$7</f>
        <v>2024 г.</v>
      </c>
      <c r="M4" s="4304" t="str">
        <f>+'15. ОПП'!$C$7</f>
        <v>2027 г.</v>
      </c>
      <c r="N4" s="4304" t="str">
        <f>+'15. ОПП'!$D$7</f>
        <v>2028 г.</v>
      </c>
      <c r="O4" s="4304" t="str">
        <f>+'15. ОПП'!$E$7</f>
        <v>2029 г.</v>
      </c>
      <c r="P4" s="4304" t="str">
        <f>+'15. ОПП'!$F$7</f>
        <v>2030 г.</v>
      </c>
      <c r="Q4" s="4304" t="str">
        <f>+'15. ОПП'!$G$7</f>
        <v>2031 г.</v>
      </c>
      <c r="R4" s="4304" t="str">
        <f>+'15. ОПП'!$B$7</f>
        <v>2024 г.</v>
      </c>
      <c r="S4" s="4304" t="str">
        <f>+'15. ОПП'!$C$7</f>
        <v>2027 г.</v>
      </c>
      <c r="T4" s="4304" t="str">
        <f>+'15. ОПП'!$D$7</f>
        <v>2028 г.</v>
      </c>
      <c r="U4" s="4304" t="str">
        <f>+'15. ОПП'!$E$7</f>
        <v>2029 г.</v>
      </c>
      <c r="V4" s="4304" t="str">
        <f>+'15. ОПП'!$F$7</f>
        <v>2030 г.</v>
      </c>
      <c r="W4" s="4304" t="str">
        <f>+'15. ОПП'!$G$7</f>
        <v>2031 г.</v>
      </c>
      <c r="Y4" s="3436" t="s">
        <v>116</v>
      </c>
      <c r="Z4" s="3437" t="s">
        <v>751</v>
      </c>
      <c r="AA4" s="3438" t="s">
        <v>170</v>
      </c>
      <c r="AB4" s="3439">
        <f>'3. Показатели за качество'!E9</f>
        <v>0.99690000000000001</v>
      </c>
      <c r="AC4" s="3439">
        <f>'3. Показатели за качество'!F9</f>
        <v>0.99709999999999999</v>
      </c>
      <c r="AD4" s="3439">
        <f>'3. Показатели за качество'!G9</f>
        <v>0.99709999999999999</v>
      </c>
      <c r="AE4" s="3439">
        <f>'3. Показатели за качество'!H9</f>
        <v>0.99780000000000002</v>
      </c>
      <c r="AF4" s="3439">
        <f>'3. Показатели за качество'!I9</f>
        <v>0.99860000000000004</v>
      </c>
      <c r="AG4" s="3439">
        <f>'3. Показатели за качество'!J9</f>
        <v>0.99929999999999997</v>
      </c>
      <c r="AH4" s="3388">
        <f>'3. Показатели за качество'!M9</f>
        <v>0.99329999999999996</v>
      </c>
      <c r="AI4" s="3440">
        <v>0.99</v>
      </c>
    </row>
    <row r="5" spans="1:35" ht="15.95" customHeight="1">
      <c r="A5" s="3434" t="s">
        <v>1524</v>
      </c>
      <c r="B5" s="3365" t="s">
        <v>784</v>
      </c>
      <c r="C5" s="3435">
        <f>'2. Променливи'!E11</f>
        <v>146713</v>
      </c>
      <c r="D5" s="3435">
        <f>'2. Променливи'!F11</f>
        <v>136085.89494781918</v>
      </c>
      <c r="E5" s="3435">
        <f>'2. Променливи'!G11</f>
        <v>134137.63690561158</v>
      </c>
      <c r="F5" s="3435">
        <f>'2. Променливи'!H11</f>
        <v>132189.37886340395</v>
      </c>
      <c r="G5" s="3435">
        <f>'2. Променливи'!I11</f>
        <v>130241.12082119638</v>
      </c>
      <c r="H5" s="3435">
        <f>'2. Променливи'!J11</f>
        <v>128552.67206157526</v>
      </c>
      <c r="J5" s="3441" t="s">
        <v>210</v>
      </c>
      <c r="K5" s="3442" t="s">
        <v>1550</v>
      </c>
      <c r="L5" s="3442">
        <f>'6. Ел.Енергия'!C18/1000</f>
        <v>35147.163910999996</v>
      </c>
      <c r="M5" s="3442">
        <f>'6. Ел.Енергия'!D18/1000</f>
        <v>34971.428</v>
      </c>
      <c r="N5" s="3442">
        <f>'6. Ел.Енергия'!E18/1000</f>
        <v>34796.571000000004</v>
      </c>
      <c r="O5" s="3442">
        <f>'6. Ел.Енергия'!F18/1000</f>
        <v>34622.588000000003</v>
      </c>
      <c r="P5" s="3442">
        <f>'6. Ел.Енергия'!G18/1000</f>
        <v>35597.262000000002</v>
      </c>
      <c r="Q5" s="3442">
        <f>'6. Ел.Енергия'!H18/1000</f>
        <v>35419.275000000001</v>
      </c>
      <c r="R5" s="3442">
        <f>'6. Ел.Енергия'!V18</f>
        <v>3860.0467970868199</v>
      </c>
      <c r="S5" s="3442">
        <f>'6. Ел.Енергия'!W18</f>
        <v>4485.3237667854564</v>
      </c>
      <c r="T5" s="3442">
        <f>'6. Ел.Енергия'!X18</f>
        <v>4462.8971645628717</v>
      </c>
      <c r="U5" s="3442">
        <f>'6. Ел.Енергия'!Y18</f>
        <v>4440.5826628756085</v>
      </c>
      <c r="V5" s="3442">
        <f>'6. Ел.Енергия'!Z18</f>
        <v>4557.833314483365</v>
      </c>
      <c r="W5" s="3442">
        <f>'6. Ел.Енергия'!AA18</f>
        <v>4535.044063041777</v>
      </c>
      <c r="Y5" s="3436" t="s">
        <v>117</v>
      </c>
      <c r="Z5" s="3437" t="s">
        <v>752</v>
      </c>
      <c r="AA5" s="3438" t="s">
        <v>170</v>
      </c>
      <c r="AB5" s="3439">
        <f>'3. Показатели за качество'!E10</f>
        <v>0.97840000000000005</v>
      </c>
      <c r="AC5" s="3439">
        <f>'3. Показатели за качество'!F10</f>
        <v>0.97889999999999999</v>
      </c>
      <c r="AD5" s="3439">
        <f>'3. Показатели за качество'!G10</f>
        <v>0.97929999999999995</v>
      </c>
      <c r="AE5" s="3439">
        <f>'3. Показатели за качество'!H10</f>
        <v>0.9798</v>
      </c>
      <c r="AF5" s="3439">
        <f>'3. Показатели за качество'!I10</f>
        <v>0.98019999999999996</v>
      </c>
      <c r="AG5" s="3439">
        <f>'3. Показатели за качество'!J10</f>
        <v>0.98070000000000002</v>
      </c>
      <c r="AH5" s="3388">
        <f>'3. Показатели за качество'!M10</f>
        <v>0.98</v>
      </c>
      <c r="AI5" s="3440">
        <v>0.99</v>
      </c>
    </row>
    <row r="6" spans="1:35" ht="15.95" customHeight="1">
      <c r="A6" s="3434" t="s">
        <v>1525</v>
      </c>
      <c r="B6" s="3365" t="s">
        <v>784</v>
      </c>
      <c r="C6" s="3435">
        <f>'2. Променливи'!E12</f>
        <v>110165</v>
      </c>
      <c r="D6" s="3435">
        <f>'2. Променливи'!F12</f>
        <v>102193.45730048804</v>
      </c>
      <c r="E6" s="3435">
        <f>'2. Променливи'!G12</f>
        <v>100738.75483226913</v>
      </c>
      <c r="F6" s="3435">
        <f>'2. Променливи'!H12</f>
        <v>99284.052364050222</v>
      </c>
      <c r="G6" s="3435">
        <f>'2. Променливи'!I12</f>
        <v>97829.349895831328</v>
      </c>
      <c r="H6" s="3435">
        <f>'2. Променливи'!J12</f>
        <v>96569.735045043315</v>
      </c>
      <c r="J6" s="3443" t="s">
        <v>350</v>
      </c>
      <c r="K6" s="3444" t="s">
        <v>1550</v>
      </c>
      <c r="L6" s="3643"/>
      <c r="M6" s="3446">
        <f>'6. Ел.Енергия'!D19/1000</f>
        <v>-175.73591099999845</v>
      </c>
      <c r="N6" s="3446">
        <f>'6. Ел.Енергия'!E19/1000</f>
        <v>-174.857</v>
      </c>
      <c r="O6" s="3446">
        <f>'6. Ел.Енергия'!F19/1000</f>
        <v>-173.983</v>
      </c>
      <c r="P6" s="3446">
        <f>'6. Ел.Енергия'!G19/1000</f>
        <v>974.67399999999998</v>
      </c>
      <c r="Q6" s="3446">
        <f>'6. Ел.Енергия'!H19/1000</f>
        <v>-177.98699999999999</v>
      </c>
      <c r="R6" s="3643"/>
      <c r="S6" s="3446">
        <f>'6. Ел.Енергия'!W19</f>
        <v>625.27696969863655</v>
      </c>
      <c r="T6" s="3446">
        <f>'6. Ел.Енергия'!X19</f>
        <v>-22.426602222584734</v>
      </c>
      <c r="U6" s="3446">
        <f>'6. Ел.Енергия'!Y19</f>
        <v>-22.314501687263146</v>
      </c>
      <c r="V6" s="3446">
        <f>'6. Ел.Енергия'!Z19</f>
        <v>117.25065160775648</v>
      </c>
      <c r="W6" s="3446">
        <f>'6. Ел.Енергия'!AA19</f>
        <v>-22.789251441588021</v>
      </c>
      <c r="Y6" s="3436" t="s">
        <v>118</v>
      </c>
      <c r="Z6" s="3437" t="s">
        <v>753</v>
      </c>
      <c r="AA6" s="3438" t="s">
        <v>170</v>
      </c>
      <c r="AB6" s="3439">
        <f>'3. Показатели за качество'!E11</f>
        <v>0.95899999999999996</v>
      </c>
      <c r="AC6" s="3439">
        <f>'3. Показатели за качество'!F11</f>
        <v>0.96120000000000005</v>
      </c>
      <c r="AD6" s="3439">
        <f>'3. Показатели за качество'!G11</f>
        <v>0.96340000000000003</v>
      </c>
      <c r="AE6" s="3439">
        <f>'3. Показатели за качество'!H11</f>
        <v>0.9657</v>
      </c>
      <c r="AF6" s="3439">
        <f>'3. Показатели за качество'!I11</f>
        <v>0.96789999999999998</v>
      </c>
      <c r="AG6" s="3439">
        <f>'3. Показатели за качество'!J11</f>
        <v>0.97009999999999996</v>
      </c>
      <c r="AH6" s="3388">
        <f>'3. Показатели за качество'!M11</f>
        <v>0.97</v>
      </c>
      <c r="AI6" s="3440">
        <v>0.98</v>
      </c>
    </row>
    <row r="7" spans="1:35" ht="15.95" customHeight="1">
      <c r="A7" s="3447" t="s">
        <v>1527</v>
      </c>
      <c r="B7" s="3366" t="s">
        <v>784</v>
      </c>
      <c r="C7" s="3448">
        <f>'2. Променливи'!E13</f>
        <v>207114</v>
      </c>
      <c r="D7" s="3448">
        <f>'2. Променливи'!F13</f>
        <v>192289.6</v>
      </c>
      <c r="E7" s="3448">
        <f>'2. Променливи'!G13</f>
        <v>189489.39999999997</v>
      </c>
      <c r="F7" s="3448">
        <f>'2. Променливи'!H13</f>
        <v>186689.19999999995</v>
      </c>
      <c r="G7" s="3448">
        <f>'2. Променливи'!I13</f>
        <v>183889</v>
      </c>
      <c r="H7" s="3448">
        <f>'2. Променливи'!J13</f>
        <v>181456</v>
      </c>
      <c r="J7" s="3449" t="s">
        <v>1557</v>
      </c>
      <c r="K7" s="3450" t="s">
        <v>1552</v>
      </c>
      <c r="L7" s="3451">
        <f>'6. Ел.Енергия'!C20</f>
        <v>1.2671329627526584</v>
      </c>
      <c r="M7" s="3451">
        <f>'6. Ел.Енергия'!D20</f>
        <v>1.293188266259075</v>
      </c>
      <c r="N7" s="3451">
        <f>'6. Ел.Енергия'!E20</f>
        <v>1.3129819694946518</v>
      </c>
      <c r="O7" s="3451">
        <f>'6. Ел.Енергия'!F20</f>
        <v>1.3330786267100829</v>
      </c>
      <c r="P7" s="3451">
        <f>'6. Ел.Енергия'!G20</f>
        <v>1.3952299455054169</v>
      </c>
      <c r="Q7" s="3451">
        <f>'6. Ел.Енергия'!H20</f>
        <v>1.4207106832243988</v>
      </c>
      <c r="R7" s="3445"/>
      <c r="S7" s="3445"/>
      <c r="T7" s="3445"/>
      <c r="U7" s="3445"/>
      <c r="V7" s="3445"/>
      <c r="W7" s="3445"/>
      <c r="Y7" s="3436" t="s">
        <v>119</v>
      </c>
      <c r="Z7" s="3437" t="s">
        <v>754</v>
      </c>
      <c r="AA7" s="3438" t="s">
        <v>170</v>
      </c>
      <c r="AB7" s="3439">
        <f>'3. Показатели за качество'!E12</f>
        <v>1</v>
      </c>
      <c r="AC7" s="3439">
        <f>'3. Показатели за качество'!F12</f>
        <v>1</v>
      </c>
      <c r="AD7" s="3439">
        <f>'3. Показатели за качество'!G12</f>
        <v>1</v>
      </c>
      <c r="AE7" s="3439">
        <f>'3. Показатели за качество'!H12</f>
        <v>1</v>
      </c>
      <c r="AF7" s="3439">
        <f>'3. Показатели за качество'!I12</f>
        <v>1</v>
      </c>
      <c r="AG7" s="3439">
        <f>'3. Показатели за качество'!J12</f>
        <v>1</v>
      </c>
      <c r="AH7" s="3388">
        <f>'3. Показатели за качество'!M12</f>
        <v>1</v>
      </c>
      <c r="AI7" s="3440">
        <v>1</v>
      </c>
    </row>
    <row r="8" spans="1:35" ht="15.95" customHeight="1">
      <c r="A8" s="3434" t="s">
        <v>1520</v>
      </c>
      <c r="B8" s="3364" t="s">
        <v>784</v>
      </c>
      <c r="C8" s="3435">
        <f>'2. Променливи'!E17</f>
        <v>225</v>
      </c>
      <c r="D8" s="3435">
        <f>'2. Променливи'!F17</f>
        <v>225</v>
      </c>
      <c r="E8" s="3435">
        <f>'2. Променливи'!G17</f>
        <v>225</v>
      </c>
      <c r="F8" s="3435">
        <f>'2. Променливи'!H17</f>
        <v>225</v>
      </c>
      <c r="G8" s="3435">
        <f>'2. Променливи'!I17</f>
        <v>225</v>
      </c>
      <c r="H8" s="3435">
        <f>'2. Променливи'!J17</f>
        <v>225</v>
      </c>
      <c r="J8" s="3441" t="s">
        <v>174</v>
      </c>
      <c r="K8" s="3442" t="s">
        <v>1550</v>
      </c>
      <c r="L8" s="3442">
        <f>'6. Ел.Енергия'!C34/1000</f>
        <v>414.7568</v>
      </c>
      <c r="M8" s="3442">
        <f>'6. Ел.Енергия'!D34/1000</f>
        <v>414.7568</v>
      </c>
      <c r="N8" s="3442">
        <f>'6. Ел.Енергия'!E34/1000</f>
        <v>414.7568</v>
      </c>
      <c r="O8" s="3442">
        <f>'6. Ел.Енергия'!F34/1000</f>
        <v>414.7568</v>
      </c>
      <c r="P8" s="3442">
        <f>'6. Ел.Енергия'!G34/1000</f>
        <v>557.69500000000005</v>
      </c>
      <c r="Q8" s="3442">
        <f>'6. Ел.Енергия'!H34/1000</f>
        <v>557.69500000000005</v>
      </c>
      <c r="R8" s="3442">
        <f>'6. Ел.Енергия'!V34</f>
        <v>52.767183155386725</v>
      </c>
      <c r="S8" s="3442">
        <f>'6. Ел.Енергия'!W34</f>
        <v>61.622968628970831</v>
      </c>
      <c r="T8" s="3442">
        <f>'6. Ел.Енергия'!X34</f>
        <v>61.622968628970831</v>
      </c>
      <c r="U8" s="3442">
        <f>'6. Ел.Енергия'!Y34</f>
        <v>61.622968628970831</v>
      </c>
      <c r="V8" s="3442">
        <f>'6. Ел.Енергия'!Z34</f>
        <v>84.643573433273858</v>
      </c>
      <c r="W8" s="3442">
        <f>'6. Ел.Енергия'!AA34</f>
        <v>84.643573433273858</v>
      </c>
      <c r="Y8" s="3436" t="s">
        <v>120</v>
      </c>
      <c r="Z8" s="3437" t="s">
        <v>755</v>
      </c>
      <c r="AA8" s="3438" t="s">
        <v>1033</v>
      </c>
      <c r="AB8" s="3453">
        <f>'3. Показатели за качество'!E13</f>
        <v>0.56499999999999995</v>
      </c>
      <c r="AC8" s="3453">
        <f>'3. Показатели за качество'!F13</f>
        <v>0.56000000000000005</v>
      </c>
      <c r="AD8" s="3453">
        <f>'3. Показатели за качество'!G13</f>
        <v>0.52300000000000002</v>
      </c>
      <c r="AE8" s="3453">
        <f>'3. Показатели за качество'!H13</f>
        <v>0.48799999999999999</v>
      </c>
      <c r="AF8" s="3453">
        <f>'3. Показатели за качество'!I13</f>
        <v>0.45500000000000002</v>
      </c>
      <c r="AG8" s="3453">
        <f>'3. Показатели за качество'!J13</f>
        <v>0.42399999999999999</v>
      </c>
      <c r="AH8" s="3454">
        <f>'3. Показатели за качество'!M13</f>
        <v>1</v>
      </c>
      <c r="AI8" s="3387">
        <v>8</v>
      </c>
    </row>
    <row r="9" spans="1:35" ht="15.95" customHeight="1">
      <c r="A9" s="3434" t="s">
        <v>1521</v>
      </c>
      <c r="B9" s="3364" t="s">
        <v>784</v>
      </c>
      <c r="C9" s="3435">
        <f>'2. Променливи'!E18</f>
        <v>9</v>
      </c>
      <c r="D9" s="3435">
        <f>'2. Променливи'!F18</f>
        <v>9</v>
      </c>
      <c r="E9" s="3435">
        <f>'2. Променливи'!G18</f>
        <v>9</v>
      </c>
      <c r="F9" s="3435">
        <f>'2. Променливи'!H18</f>
        <v>9</v>
      </c>
      <c r="G9" s="3435">
        <f>'2. Променливи'!I18</f>
        <v>9</v>
      </c>
      <c r="H9" s="3435">
        <f>'2. Променливи'!J18</f>
        <v>9</v>
      </c>
      <c r="J9" s="3443" t="s">
        <v>350</v>
      </c>
      <c r="K9" s="3444" t="s">
        <v>1550</v>
      </c>
      <c r="L9" s="3643"/>
      <c r="M9" s="3446">
        <f>'6. Ел.Енергия'!D35/1000</f>
        <v>0</v>
      </c>
      <c r="N9" s="3446">
        <f>'6. Ел.Енергия'!E35/1000</f>
        <v>0</v>
      </c>
      <c r="O9" s="3446">
        <f>'6. Ел.Енергия'!F35/1000</f>
        <v>0</v>
      </c>
      <c r="P9" s="3446">
        <f>'6. Ел.Енергия'!G35/1000</f>
        <v>142.93820000000002</v>
      </c>
      <c r="Q9" s="3446">
        <f>'6. Ел.Енергия'!H35/1000</f>
        <v>0</v>
      </c>
      <c r="R9" s="3643"/>
      <c r="S9" s="3446">
        <f>'6. Ел.Енергия'!W35</f>
        <v>8.8557854735841062</v>
      </c>
      <c r="T9" s="3446">
        <f>'6. Ел.Енергия'!X35</f>
        <v>0</v>
      </c>
      <c r="U9" s="3446">
        <f>'6. Ел.Енергия'!Y35</f>
        <v>0</v>
      </c>
      <c r="V9" s="3446">
        <f>'6. Ел.Енергия'!Z35</f>
        <v>23.020604804303026</v>
      </c>
      <c r="W9" s="3446">
        <f>'6. Ел.Енергия'!AA35</f>
        <v>0</v>
      </c>
      <c r="Y9" s="3436" t="s">
        <v>744</v>
      </c>
      <c r="Z9" s="3437" t="s">
        <v>756</v>
      </c>
      <c r="AA9" s="3438" t="s">
        <v>1589</v>
      </c>
      <c r="AB9" s="3455">
        <f>'3. Показатели за качество'!E14</f>
        <v>17.16</v>
      </c>
      <c r="AC9" s="3455">
        <f>'3. Показатели за качество'!F14</f>
        <v>16.59</v>
      </c>
      <c r="AD9" s="3455">
        <f>'3. Показатели за качество'!G14</f>
        <v>16.09</v>
      </c>
      <c r="AE9" s="3455">
        <f>'3. Показатели за качество'!H14</f>
        <v>15.71</v>
      </c>
      <c r="AF9" s="3455">
        <f>'3. Показатели за качество'!I14</f>
        <v>15.19</v>
      </c>
      <c r="AG9" s="3455">
        <f>'3. Показатели за качество'!J14</f>
        <v>14.3</v>
      </c>
      <c r="AH9" s="3456">
        <f>'3. Показатели за качество'!M14</f>
        <v>14.25</v>
      </c>
      <c r="AI9" s="3387">
        <v>15</v>
      </c>
    </row>
    <row r="10" spans="1:35" ht="15.95" customHeight="1">
      <c r="A10" s="3434" t="s">
        <v>1522</v>
      </c>
      <c r="B10" s="3364" t="s">
        <v>784</v>
      </c>
      <c r="C10" s="3435">
        <f>'2. Променливи'!E19</f>
        <v>4</v>
      </c>
      <c r="D10" s="3435">
        <f>'2. Променливи'!F19</f>
        <v>4</v>
      </c>
      <c r="E10" s="3435">
        <f>'2. Променливи'!G19</f>
        <v>4</v>
      </c>
      <c r="F10" s="3435">
        <f>'2. Променливи'!H19</f>
        <v>4</v>
      </c>
      <c r="G10" s="3435">
        <f>'2. Променливи'!I19</f>
        <v>5</v>
      </c>
      <c r="H10" s="3435">
        <f>'2. Променливи'!J19</f>
        <v>5</v>
      </c>
      <c r="J10" s="3441" t="s">
        <v>184</v>
      </c>
      <c r="K10" s="3442" t="s">
        <v>1550</v>
      </c>
      <c r="L10" s="3442">
        <f>'6. Ел.Енергия'!C49/1000</f>
        <v>2753.1723999999999</v>
      </c>
      <c r="M10" s="3442">
        <f>'6. Ел.Енергия'!D49/1000</f>
        <v>2753.1723999999999</v>
      </c>
      <c r="N10" s="3442">
        <f>'6. Ел.Енергия'!E49/1000</f>
        <v>2753.1723999999999</v>
      </c>
      <c r="O10" s="3442">
        <f>'6. Ел.Енергия'!F49/1000</f>
        <v>2753.1723999999999</v>
      </c>
      <c r="P10" s="3442">
        <f>'6. Ел.Енергия'!G49/1000</f>
        <v>3198.46</v>
      </c>
      <c r="Q10" s="3442">
        <f>'6. Ел.Енергия'!H49/1000</f>
        <v>3198.46</v>
      </c>
      <c r="R10" s="3442">
        <f>'6. Ел.Енергия'!V49</f>
        <v>300.91439666576338</v>
      </c>
      <c r="S10" s="3442">
        <f>'6. Ел.Енергия'!W49</f>
        <v>351.41472637233295</v>
      </c>
      <c r="T10" s="3442">
        <f>'6. Ел.Енергия'!X49</f>
        <v>351.41472637233295</v>
      </c>
      <c r="U10" s="3442">
        <f>'6. Ел.Енергия'!Y49</f>
        <v>351.41472637233295</v>
      </c>
      <c r="V10" s="3442">
        <f>'6. Ел.Енергия'!Z49</f>
        <v>408.25120348905585</v>
      </c>
      <c r="W10" s="3442">
        <f>'6. Ел.Енергия'!AA49</f>
        <v>408.25120348905585</v>
      </c>
      <c r="Y10" s="3436" t="s">
        <v>745</v>
      </c>
      <c r="Z10" s="3437" t="s">
        <v>756</v>
      </c>
      <c r="AA10" s="3438" t="s">
        <v>170</v>
      </c>
      <c r="AB10" s="3439">
        <f>'3. Показатели за качество'!E15</f>
        <v>0.72409999999999997</v>
      </c>
      <c r="AC10" s="3439">
        <f>'3. Показатели за качество'!F15</f>
        <v>0.71799999999999997</v>
      </c>
      <c r="AD10" s="3439">
        <f>'3. Показатели за качество'!G15</f>
        <v>0.71050000000000002</v>
      </c>
      <c r="AE10" s="3439">
        <f>'3. Показатели за качество'!H15</f>
        <v>0.70789999999999997</v>
      </c>
      <c r="AF10" s="3439">
        <f>'3. Показатели за качество'!I15</f>
        <v>0.69669999999999999</v>
      </c>
      <c r="AG10" s="3439">
        <f>'3. Показатели за качество'!J15</f>
        <v>0.67110000000000003</v>
      </c>
      <c r="AH10" s="3388">
        <f>'3. Показатели за качество'!M15</f>
        <v>0.67169999999999996</v>
      </c>
      <c r="AI10" s="3440">
        <v>0.49</v>
      </c>
    </row>
    <row r="11" spans="1:35" ht="15.95" customHeight="1">
      <c r="A11" s="3447" t="s">
        <v>1526</v>
      </c>
      <c r="B11" s="3367" t="s">
        <v>784</v>
      </c>
      <c r="C11" s="3448">
        <f>'2. Променливи'!E20</f>
        <v>261</v>
      </c>
      <c r="D11" s="3448">
        <f>'2. Променливи'!F20</f>
        <v>261</v>
      </c>
      <c r="E11" s="3448">
        <f>'2. Променливи'!G20</f>
        <v>261</v>
      </c>
      <c r="F11" s="3448">
        <f>'2. Променливи'!H20</f>
        <v>261</v>
      </c>
      <c r="G11" s="3448">
        <f>'2. Променливи'!I20</f>
        <v>261</v>
      </c>
      <c r="H11" s="3448">
        <f>'2. Променливи'!J20</f>
        <v>261</v>
      </c>
      <c r="J11" s="3443" t="s">
        <v>350</v>
      </c>
      <c r="K11" s="3444" t="s">
        <v>1550</v>
      </c>
      <c r="L11" s="3643"/>
      <c r="M11" s="3446">
        <f>'6. Ел.Енергия'!D50/1000</f>
        <v>0</v>
      </c>
      <c r="N11" s="3446">
        <f>'6. Ел.Енергия'!E50/1000</f>
        <v>0</v>
      </c>
      <c r="O11" s="3446">
        <f>'6. Ел.Енергия'!F50/1000</f>
        <v>0</v>
      </c>
      <c r="P11" s="3446">
        <f>'6. Ел.Енергия'!G50/1000</f>
        <v>445.28760000000011</v>
      </c>
      <c r="Q11" s="3446">
        <f>'6. Ел.Енергия'!H50/1000</f>
        <v>0</v>
      </c>
      <c r="R11" s="3643"/>
      <c r="S11" s="3446">
        <f>'6. Ел.Енергия'!W50</f>
        <v>50.500329706569573</v>
      </c>
      <c r="T11" s="3446">
        <f>'6. Ел.Енергия'!X50</f>
        <v>0</v>
      </c>
      <c r="U11" s="3446">
        <f>'6. Ел.Енергия'!Y50</f>
        <v>0</v>
      </c>
      <c r="V11" s="3446">
        <f>'6. Ел.Енергия'!Z50</f>
        <v>56.836477116722904</v>
      </c>
      <c r="W11" s="3446">
        <f>'6. Ел.Енергия'!AA50</f>
        <v>0</v>
      </c>
      <c r="Y11" s="3436" t="s">
        <v>121</v>
      </c>
      <c r="Z11" s="3437" t="s">
        <v>757</v>
      </c>
      <c r="AA11" s="3438" t="s">
        <v>749</v>
      </c>
      <c r="AB11" s="3455">
        <f>'3. Показатели за качество'!E16</f>
        <v>135.5</v>
      </c>
      <c r="AC11" s="3455">
        <f>'3. Показатели за качество'!F16</f>
        <v>130.75</v>
      </c>
      <c r="AD11" s="3455">
        <f>'3. Показатели за качество'!G16</f>
        <v>126.18</v>
      </c>
      <c r="AE11" s="3455">
        <f>'3. Показатели за качество'!H16</f>
        <v>121.76</v>
      </c>
      <c r="AF11" s="3455">
        <f>'3. Показатели за качество'!I16</f>
        <v>117.5</v>
      </c>
      <c r="AG11" s="3455">
        <f>'3. Показатели за качество'!J16</f>
        <v>113.39</v>
      </c>
      <c r="AH11" s="3456">
        <f>'3. Показатели за качество'!M16</f>
        <v>115</v>
      </c>
      <c r="AI11" s="3387">
        <v>60</v>
      </c>
    </row>
    <row r="12" spans="1:35" ht="15.95" customHeight="1">
      <c r="J12" s="3449" t="s">
        <v>1556</v>
      </c>
      <c r="K12" s="3450" t="s">
        <v>1552</v>
      </c>
      <c r="L12" s="3457">
        <f>'6. Ел.Енергия'!C51</f>
        <v>0.19565790309648862</v>
      </c>
      <c r="M12" s="3457">
        <f>'6. Ел.Енергия'!D51</f>
        <v>0.19565790309648862</v>
      </c>
      <c r="N12" s="3457">
        <f>'6. Ел.Енергия'!E51</f>
        <v>0.19565790309648862</v>
      </c>
      <c r="O12" s="3457">
        <f>'6. Ел.Енергия'!F51</f>
        <v>0.19565790309648862</v>
      </c>
      <c r="P12" s="3457">
        <f>'6. Ел.Енергия'!G51</f>
        <v>0.1820269099292155</v>
      </c>
      <c r="Q12" s="3457">
        <f>'6. Ел.Енергия'!H51</f>
        <v>0.1820269099292155</v>
      </c>
      <c r="R12" s="3445"/>
      <c r="S12" s="3445"/>
      <c r="T12" s="3445"/>
      <c r="U12" s="3445"/>
      <c r="V12" s="3445"/>
      <c r="W12" s="3445"/>
      <c r="Y12" s="3436" t="s">
        <v>1248</v>
      </c>
      <c r="Z12" s="3437" t="s">
        <v>758</v>
      </c>
      <c r="AA12" s="3438" t="s">
        <v>170</v>
      </c>
      <c r="AB12" s="3439">
        <f>'3. Показатели за качество'!E17</f>
        <v>5.33E-2</v>
      </c>
      <c r="AC12" s="3439">
        <f>'3. Показатели за качество'!F17</f>
        <v>6.6699999999999995E-2</v>
      </c>
      <c r="AD12" s="3439">
        <f>'3. Показатели за качество'!G17</f>
        <v>0.1333</v>
      </c>
      <c r="AE12" s="3439">
        <f>'3. Показатели за качество'!H17</f>
        <v>0.2</v>
      </c>
      <c r="AF12" s="3439">
        <f>'3. Показатели за качество'!I17</f>
        <v>0.26669999999999999</v>
      </c>
      <c r="AG12" s="3439">
        <f>'3. Показатели за качество'!J17</f>
        <v>0.33329999999999999</v>
      </c>
      <c r="AH12" s="3388">
        <f>'3. Показатели за качество'!M17</f>
        <v>0.66410000000000002</v>
      </c>
      <c r="AI12" s="3440">
        <v>1</v>
      </c>
    </row>
    <row r="13" spans="1:35" ht="15.95" customHeight="1">
      <c r="A13" s="5425" t="s">
        <v>2</v>
      </c>
      <c r="B13" s="5425" t="s">
        <v>746</v>
      </c>
      <c r="C13" s="5413" t="s">
        <v>922</v>
      </c>
      <c r="D13" s="5413"/>
      <c r="E13" s="5413"/>
      <c r="F13" s="5413"/>
      <c r="G13" s="5413"/>
      <c r="H13" s="5413"/>
      <c r="J13" s="3458" t="s">
        <v>1236</v>
      </c>
      <c r="K13" s="3442" t="s">
        <v>1550</v>
      </c>
      <c r="L13" s="3442">
        <f>'6. Ел.Енергия'!C65/1000</f>
        <v>0</v>
      </c>
      <c r="M13" s="3442">
        <f>'6. Ел.Енергия'!D65/1000</f>
        <v>0</v>
      </c>
      <c r="N13" s="3442">
        <f>'6. Ел.Енергия'!E65/1000</f>
        <v>0</v>
      </c>
      <c r="O13" s="3442">
        <f>'6. Ел.Енергия'!F65/1000</f>
        <v>0</v>
      </c>
      <c r="P13" s="3442">
        <f>'6. Ел.Енергия'!G65/1000</f>
        <v>0</v>
      </c>
      <c r="Q13" s="3442">
        <f>'6. Ел.Енергия'!H65/1000</f>
        <v>0</v>
      </c>
      <c r="R13" s="3442">
        <f>'6. Ел.Енергия'!V65</f>
        <v>0</v>
      </c>
      <c r="S13" s="3442">
        <f>'6. Ел.Енергия'!W65</f>
        <v>0</v>
      </c>
      <c r="T13" s="3442">
        <f>'6. Ел.Енергия'!X65</f>
        <v>0</v>
      </c>
      <c r="U13" s="3442">
        <f>'6. Ел.Енергия'!Y65</f>
        <v>0</v>
      </c>
      <c r="V13" s="3442">
        <f>'6. Ел.Енергия'!Z65</f>
        <v>0</v>
      </c>
      <c r="W13" s="3442">
        <f>'6. Ел.Енергия'!AA65</f>
        <v>0</v>
      </c>
      <c r="Y13" s="3436" t="s">
        <v>122</v>
      </c>
      <c r="Z13" s="3437" t="s">
        <v>759</v>
      </c>
      <c r="AA13" s="3438" t="s">
        <v>170</v>
      </c>
      <c r="AB13" s="3439">
        <f>'3. Показатели за качество'!E18</f>
        <v>0.70840000000000003</v>
      </c>
      <c r="AC13" s="3439">
        <f>'3. Показатели за качество'!F18</f>
        <v>0.7077</v>
      </c>
      <c r="AD13" s="3439">
        <f>'3. Показатели за качество'!G18</f>
        <v>0.70789999999999997</v>
      </c>
      <c r="AE13" s="3439">
        <f>'3. Показатели за качество'!H18</f>
        <v>0.70809999999999995</v>
      </c>
      <c r="AF13" s="3439">
        <f>'3. Показатели за качество'!I18</f>
        <v>0.70830000000000004</v>
      </c>
      <c r="AG13" s="3439">
        <f>'3. Показатели за качество'!J18</f>
        <v>0.70850000000000002</v>
      </c>
      <c r="AH13" s="3388">
        <f>'3. Показатели за качество'!M18</f>
        <v>0.79520000000000002</v>
      </c>
      <c r="AI13" s="3440">
        <v>0.75</v>
      </c>
    </row>
    <row r="14" spans="1:35" ht="15.95" customHeight="1">
      <c r="A14" s="5425"/>
      <c r="B14" s="5425"/>
      <c r="C14" s="4303" t="str">
        <f>+'15. ОПП'!$B$7</f>
        <v>2024 г.</v>
      </c>
      <c r="D14" s="4303" t="str">
        <f>+'15. ОПП'!$C$7</f>
        <v>2027 г.</v>
      </c>
      <c r="E14" s="4303" t="str">
        <f>+'15. ОПП'!$D$7</f>
        <v>2028 г.</v>
      </c>
      <c r="F14" s="4303" t="str">
        <f>+'15. ОПП'!$E$7</f>
        <v>2029 г.</v>
      </c>
      <c r="G14" s="4303" t="str">
        <f>+'15. ОПП'!$F$7</f>
        <v>2030 г.</v>
      </c>
      <c r="H14" s="4303" t="str">
        <f>+'15. ОПП'!$G$7</f>
        <v>2031 г.</v>
      </c>
      <c r="J14" s="3443" t="s">
        <v>350</v>
      </c>
      <c r="K14" s="3444" t="s">
        <v>1550</v>
      </c>
      <c r="L14" s="3643"/>
      <c r="M14" s="3446">
        <f>'6. Ел.Енергия'!D66/1000</f>
        <v>0</v>
      </c>
      <c r="N14" s="3446">
        <f>'6. Ел.Енергия'!E66/1000</f>
        <v>0</v>
      </c>
      <c r="O14" s="3446">
        <f>'6. Ел.Енергия'!F66/1000</f>
        <v>0</v>
      </c>
      <c r="P14" s="3446">
        <f>'6. Ел.Енергия'!G66/1000</f>
        <v>0</v>
      </c>
      <c r="Q14" s="3446">
        <f>'6. Ел.Енергия'!H66/1000</f>
        <v>0</v>
      </c>
      <c r="R14" s="3643"/>
      <c r="S14" s="3446">
        <f>'6. Ел.Енергия'!W66</f>
        <v>0</v>
      </c>
      <c r="T14" s="3446">
        <f>'6. Ел.Енергия'!X66</f>
        <v>0</v>
      </c>
      <c r="U14" s="3446">
        <f>'6. Ел.Енергия'!Y66</f>
        <v>0</v>
      </c>
      <c r="V14" s="3446">
        <f>'6. Ел.Енергия'!Z66</f>
        <v>0</v>
      </c>
      <c r="W14" s="3446">
        <f>'6. Ел.Енергия'!AA66</f>
        <v>0</v>
      </c>
      <c r="Y14" s="3436" t="s">
        <v>123</v>
      </c>
      <c r="Z14" s="3437" t="s">
        <v>760</v>
      </c>
      <c r="AA14" s="3438" t="s">
        <v>170</v>
      </c>
      <c r="AB14" s="3439">
        <f>'3. Показатели за качество'!E19</f>
        <v>0.53190000000000004</v>
      </c>
      <c r="AC14" s="3439">
        <f>'3. Показатели за качество'!F19</f>
        <v>0.53149999999999997</v>
      </c>
      <c r="AD14" s="3439">
        <f>'3. Показатели за качество'!G19</f>
        <v>0.53159999999999996</v>
      </c>
      <c r="AE14" s="3439">
        <f>'3. Показатели за качество'!H19</f>
        <v>0.53180000000000005</v>
      </c>
      <c r="AF14" s="3439">
        <f>'3. Показатели за качество'!I19</f>
        <v>0.53200000000000003</v>
      </c>
      <c r="AG14" s="3439">
        <f>'3. Показатели за качество'!J19</f>
        <v>0.53220000000000001</v>
      </c>
      <c r="AH14" s="3388">
        <f>'3. Показатели за качество'!M19</f>
        <v>0.79520000000000002</v>
      </c>
      <c r="AI14" s="3440">
        <v>0.75</v>
      </c>
    </row>
    <row r="15" spans="1:35" ht="15.95" customHeight="1">
      <c r="A15" s="3459" t="s">
        <v>1006</v>
      </c>
      <c r="B15" s="3368" t="s">
        <v>784</v>
      </c>
      <c r="C15" s="3435">
        <f>'2. Променливи'!E21</f>
        <v>462</v>
      </c>
      <c r="D15" s="3435">
        <f>'2. Променливи'!F21</f>
        <v>462</v>
      </c>
      <c r="E15" s="3435">
        <f>'2. Променливи'!G21</f>
        <v>462</v>
      </c>
      <c r="F15" s="3435">
        <f>'2. Променливи'!H21</f>
        <v>462</v>
      </c>
      <c r="G15" s="3435">
        <f>'2. Променливи'!I21</f>
        <v>462</v>
      </c>
      <c r="H15" s="3435">
        <f>'2. Променливи'!J21</f>
        <v>462</v>
      </c>
      <c r="J15" s="3458" t="s">
        <v>1237</v>
      </c>
      <c r="K15" s="3442" t="s">
        <v>1550</v>
      </c>
      <c r="L15" s="3442">
        <f>'6. Ел.Енергия'!C81/1000</f>
        <v>0</v>
      </c>
      <c r="M15" s="3442">
        <f>'6. Ел.Енергия'!D81/1000</f>
        <v>0</v>
      </c>
      <c r="N15" s="3442">
        <f>'6. Ел.Енергия'!E81/1000</f>
        <v>0</v>
      </c>
      <c r="O15" s="3442">
        <f>'6. Ел.Енергия'!F81/1000</f>
        <v>0</v>
      </c>
      <c r="P15" s="3442">
        <f>'6. Ел.Енергия'!G81/1000</f>
        <v>0</v>
      </c>
      <c r="Q15" s="3442">
        <f>'6. Ел.Енергия'!H81/1000</f>
        <v>0</v>
      </c>
      <c r="R15" s="3442">
        <f>'6. Ел.Енергия'!V81</f>
        <v>0</v>
      </c>
      <c r="S15" s="3442">
        <f>'6. Ел.Енергия'!W81</f>
        <v>0</v>
      </c>
      <c r="T15" s="3442">
        <f>'6. Ел.Енергия'!X81</f>
        <v>0</v>
      </c>
      <c r="U15" s="3442">
        <f>'6. Ел.Енергия'!Y81</f>
        <v>0</v>
      </c>
      <c r="V15" s="3442">
        <f>'6. Ел.Енергия'!Z81</f>
        <v>0</v>
      </c>
      <c r="W15" s="3442">
        <f>'6. Ел.Енергия'!AA81</f>
        <v>0</v>
      </c>
      <c r="Y15" s="3436" t="s">
        <v>124</v>
      </c>
      <c r="Z15" s="3437" t="s">
        <v>761</v>
      </c>
      <c r="AA15" s="3438" t="s">
        <v>170</v>
      </c>
      <c r="AB15" s="3439">
        <f>'3. Показатели за качество'!E20</f>
        <v>1</v>
      </c>
      <c r="AC15" s="3439">
        <f>'3. Показатели за качество'!F20</f>
        <v>1</v>
      </c>
      <c r="AD15" s="3439">
        <f>'3. Показатели за качество'!G20</f>
        <v>1</v>
      </c>
      <c r="AE15" s="3439">
        <f>'3. Показатели за качество'!H20</f>
        <v>1</v>
      </c>
      <c r="AF15" s="3439">
        <f>'3. Показатели за качество'!I20</f>
        <v>1</v>
      </c>
      <c r="AG15" s="3439">
        <f>'3. Показатели за качество'!J20</f>
        <v>1</v>
      </c>
      <c r="AH15" s="3388">
        <f>'3. Показатели за качество'!M20</f>
        <v>0.95</v>
      </c>
      <c r="AI15" s="3440">
        <v>0.93</v>
      </c>
    </row>
    <row r="16" spans="1:35" ht="15.95" customHeight="1">
      <c r="A16" s="3459" t="s">
        <v>861</v>
      </c>
      <c r="B16" s="3368" t="s">
        <v>784</v>
      </c>
      <c r="C16" s="3435">
        <f>'2. Променливи'!E22</f>
        <v>2</v>
      </c>
      <c r="D16" s="3435">
        <f>'2. Променливи'!F22</f>
        <v>2</v>
      </c>
      <c r="E16" s="3435">
        <f>'2. Променливи'!G22</f>
        <v>2</v>
      </c>
      <c r="F16" s="3435">
        <f>'2. Променливи'!H22</f>
        <v>2</v>
      </c>
      <c r="G16" s="3435">
        <f>'2. Променливи'!I22</f>
        <v>3</v>
      </c>
      <c r="H16" s="3435">
        <f>'2. Променливи'!J22</f>
        <v>3</v>
      </c>
      <c r="J16" s="3443" t="s">
        <v>350</v>
      </c>
      <c r="K16" s="3444" t="s">
        <v>1550</v>
      </c>
      <c r="L16" s="3643"/>
      <c r="M16" s="3446">
        <f>'6. Ел.Енергия'!D82/1000</f>
        <v>0</v>
      </c>
      <c r="N16" s="3446">
        <f>'6. Ел.Енергия'!E82/1000</f>
        <v>0</v>
      </c>
      <c r="O16" s="3446">
        <f>'6. Ел.Енергия'!F82/1000</f>
        <v>0</v>
      </c>
      <c r="P16" s="3446">
        <f>'6. Ел.Енергия'!G82/1000</f>
        <v>0</v>
      </c>
      <c r="Q16" s="3446">
        <f>'6. Ел.Енергия'!H82/1000</f>
        <v>0</v>
      </c>
      <c r="R16" s="3643"/>
      <c r="S16" s="3446">
        <f>'6. Ел.Енергия'!W82</f>
        <v>0</v>
      </c>
      <c r="T16" s="3446">
        <f>'6. Ел.Енергия'!X82</f>
        <v>0</v>
      </c>
      <c r="U16" s="3446">
        <f>'6. Ел.Енергия'!Y82</f>
        <v>0</v>
      </c>
      <c r="V16" s="3446">
        <f>'6. Ел.Енергия'!Z82</f>
        <v>0</v>
      </c>
      <c r="W16" s="3446">
        <f>'6. Ел.Енергия'!AA82</f>
        <v>0</v>
      </c>
      <c r="Y16" s="3436" t="s">
        <v>125</v>
      </c>
      <c r="Z16" s="3437" t="s">
        <v>762</v>
      </c>
      <c r="AA16" s="3438" t="s">
        <v>749</v>
      </c>
      <c r="AB16" s="3455">
        <f>'3. Показатели за качество'!E21</f>
        <v>85.84</v>
      </c>
      <c r="AC16" s="3455">
        <f>'3. Показатели за качество'!F21</f>
        <v>92.75</v>
      </c>
      <c r="AD16" s="3455">
        <f>'3. Показатели за качество'!G21</f>
        <v>96.44</v>
      </c>
      <c r="AE16" s="3455">
        <f>'3. Показатели за качество'!H21</f>
        <v>98.56</v>
      </c>
      <c r="AF16" s="3455">
        <f>'3. Показатели за качество'!I21</f>
        <v>94.75</v>
      </c>
      <c r="AG16" s="3455">
        <f>'3. Показатели за качество'!J21</f>
        <v>90.31</v>
      </c>
      <c r="AH16" s="3456">
        <f>'3. Показатели за качество'!M21</f>
        <v>84.99</v>
      </c>
      <c r="AI16" s="3387">
        <v>120</v>
      </c>
    </row>
    <row r="17" spans="1:35" ht="15.95" customHeight="1">
      <c r="A17" s="3459" t="s">
        <v>862</v>
      </c>
      <c r="B17" s="3369" t="s">
        <v>784</v>
      </c>
      <c r="C17" s="3435">
        <f>'2. Променливи'!E23</f>
        <v>301</v>
      </c>
      <c r="D17" s="3435">
        <f>'2. Променливи'!F23</f>
        <v>301</v>
      </c>
      <c r="E17" s="3435">
        <f>'2. Променливи'!G23</f>
        <v>301</v>
      </c>
      <c r="F17" s="3435">
        <f>'2. Променливи'!H23</f>
        <v>301</v>
      </c>
      <c r="G17" s="3435">
        <f>'2. Променливи'!I23</f>
        <v>301</v>
      </c>
      <c r="H17" s="3435">
        <f>'2. Променливи'!J23</f>
        <v>301</v>
      </c>
      <c r="J17" s="3460" t="s">
        <v>1728</v>
      </c>
      <c r="K17" s="3444" t="s">
        <v>1550</v>
      </c>
      <c r="L17" s="3444">
        <f>'6. Ел.Енергия'!C94/1000</f>
        <v>150.71098999999998</v>
      </c>
      <c r="M17" s="3444">
        <f>'6. Ел.Енергия'!D94/1000</f>
        <v>150.71098999999998</v>
      </c>
      <c r="N17" s="3444">
        <f>'6. Ел.Енергия'!E94/1000</f>
        <v>150.71098999999998</v>
      </c>
      <c r="O17" s="3444">
        <f>'6. Ел.Енергия'!F94/1000</f>
        <v>150.71098999999998</v>
      </c>
      <c r="P17" s="3444">
        <f>'6. Ел.Енергия'!G94/1000</f>
        <v>150.71098999999998</v>
      </c>
      <c r="Q17" s="3444">
        <f>'6. Ел.Енергия'!H94/1000</f>
        <v>150.71098999999998</v>
      </c>
      <c r="R17" s="3444">
        <f>'6. Ел.Енергия'!V94</f>
        <v>22.221246386071382</v>
      </c>
      <c r="S17" s="3444">
        <f>'6. Ел.Енергия'!W94</f>
        <v>22.221246386071382</v>
      </c>
      <c r="T17" s="3444">
        <f>'6. Ел.Енергия'!X94</f>
        <v>22.221246386071382</v>
      </c>
      <c r="U17" s="3444">
        <f>'6. Ел.Енергия'!Y94</f>
        <v>22.221246386071382</v>
      </c>
      <c r="V17" s="3444">
        <f>'6. Ел.Енергия'!Z94</f>
        <v>22.221246386071382</v>
      </c>
      <c r="W17" s="3444">
        <f>'6. Ел.Енергия'!AA94</f>
        <v>22.221246386071382</v>
      </c>
      <c r="Y17" s="3436" t="s">
        <v>126</v>
      </c>
      <c r="Z17" s="3437" t="s">
        <v>763</v>
      </c>
      <c r="AA17" s="3438" t="s">
        <v>750</v>
      </c>
      <c r="AB17" s="3453">
        <f>'3. Показатели за качество'!E22</f>
        <v>0.318</v>
      </c>
      <c r="AC17" s="3453">
        <f>'3. Показатели за качество'!F22</f>
        <v>0.25700000000000001</v>
      </c>
      <c r="AD17" s="3453">
        <f>'3. Показатели за качество'!G22</f>
        <v>0.25600000000000001</v>
      </c>
      <c r="AE17" s="3453">
        <f>'3. Показатели за качество'!H22</f>
        <v>0.192</v>
      </c>
      <c r="AF17" s="3453">
        <f>'3. Показатели за качество'!I22</f>
        <v>0.128</v>
      </c>
      <c r="AG17" s="3453">
        <f>'3. Показатели за качество'!J22</f>
        <v>6.4000000000000001E-2</v>
      </c>
      <c r="AH17" s="3454">
        <f>'3. Показатели за качество'!M22</f>
        <v>0.25</v>
      </c>
      <c r="AI17" s="3387">
        <v>0.5</v>
      </c>
    </row>
    <row r="18" spans="1:35" ht="15.95" customHeight="1">
      <c r="A18" s="3459" t="s">
        <v>863</v>
      </c>
      <c r="B18" s="3368" t="s">
        <v>784</v>
      </c>
      <c r="C18" s="3435">
        <f>'2. Променливи'!E24</f>
        <v>166</v>
      </c>
      <c r="D18" s="3435">
        <f>'2. Променливи'!F24</f>
        <v>166</v>
      </c>
      <c r="E18" s="3435">
        <f>'2. Променливи'!G24</f>
        <v>166</v>
      </c>
      <c r="F18" s="3435">
        <f>'2. Променливи'!H24</f>
        <v>166</v>
      </c>
      <c r="G18" s="3435">
        <f>'2. Променливи'!I24</f>
        <v>166</v>
      </c>
      <c r="H18" s="3435">
        <f>'2. Променливи'!J24</f>
        <v>166</v>
      </c>
      <c r="J18" s="3452" t="s">
        <v>1554</v>
      </c>
      <c r="K18" s="3442" t="s">
        <v>1550</v>
      </c>
      <c r="L18" s="3442">
        <f>SUM(L5,L8,L10,L13,L15,L17)</f>
        <v>38465.804101000002</v>
      </c>
      <c r="M18" s="3442">
        <f t="shared" ref="M18:W18" si="0">SUM(M5,M8,M10,M13,M15,M17)</f>
        <v>38290.068190000005</v>
      </c>
      <c r="N18" s="3442">
        <f t="shared" si="0"/>
        <v>38115.211190000009</v>
      </c>
      <c r="O18" s="3442">
        <f t="shared" si="0"/>
        <v>37941.228190000009</v>
      </c>
      <c r="P18" s="3442">
        <f t="shared" si="0"/>
        <v>39504.127990000001</v>
      </c>
      <c r="Q18" s="3442">
        <f t="shared" si="0"/>
        <v>39326.14099</v>
      </c>
      <c r="R18" s="3442">
        <f t="shared" si="0"/>
        <v>4235.949623294041</v>
      </c>
      <c r="S18" s="3442">
        <f t="shared" si="0"/>
        <v>4920.5827081728312</v>
      </c>
      <c r="T18" s="3442">
        <f t="shared" si="0"/>
        <v>4898.1561059502465</v>
      </c>
      <c r="U18" s="3442">
        <f t="shared" si="0"/>
        <v>4875.8416042629833</v>
      </c>
      <c r="V18" s="3442">
        <f t="shared" si="0"/>
        <v>5072.9493377917661</v>
      </c>
      <c r="W18" s="3442">
        <f t="shared" si="0"/>
        <v>5050.1600863501781</v>
      </c>
      <c r="Y18" s="3436" t="s">
        <v>127</v>
      </c>
      <c r="Z18" s="3437" t="s">
        <v>1590</v>
      </c>
      <c r="AA18" s="3438" t="s">
        <v>1591</v>
      </c>
      <c r="AB18" s="3453">
        <f>'3. Показатели за качество'!E23</f>
        <v>1.2669999999999999</v>
      </c>
      <c r="AC18" s="3453">
        <f>'3. Показатели за качество'!F23</f>
        <v>1.2929999999999999</v>
      </c>
      <c r="AD18" s="3453">
        <f>'3. Показатели за качество'!G23</f>
        <v>1.3129999999999999</v>
      </c>
      <c r="AE18" s="3453">
        <f>'3. Показатели за качество'!H23</f>
        <v>1.333</v>
      </c>
      <c r="AF18" s="3453">
        <f>'3. Показатели за качество'!I23</f>
        <v>1.395</v>
      </c>
      <c r="AG18" s="3453">
        <f>'3. Показатели за качество'!J23</f>
        <v>1.421</v>
      </c>
      <c r="AH18" s="3454">
        <f>'3. Показатели за качество'!M23</f>
        <v>1.2</v>
      </c>
      <c r="AI18" s="3387">
        <v>0.45</v>
      </c>
    </row>
    <row r="19" spans="1:35" ht="15.95" customHeight="1">
      <c r="A19" s="3459" t="s">
        <v>1529</v>
      </c>
      <c r="B19" s="3369" t="s">
        <v>812</v>
      </c>
      <c r="C19" s="3435">
        <f>'2. Променливи'!E25</f>
        <v>3206</v>
      </c>
      <c r="D19" s="3435">
        <f>'2. Променливи'!F25</f>
        <v>3206</v>
      </c>
      <c r="E19" s="3435">
        <f>'2. Променливи'!G25</f>
        <v>3206</v>
      </c>
      <c r="F19" s="3435">
        <f>'2. Променливи'!H25</f>
        <v>3206</v>
      </c>
      <c r="G19" s="3435">
        <f>'2. Променливи'!I25</f>
        <v>3206</v>
      </c>
      <c r="H19" s="3435">
        <f>'2. Променливи'!J25</f>
        <v>3206</v>
      </c>
      <c r="J19" s="3463" t="s">
        <v>1553</v>
      </c>
      <c r="K19" s="3442" t="s">
        <v>170</v>
      </c>
      <c r="L19" s="3445"/>
      <c r="M19" s="3464">
        <f>IFERROR((M18-L18)/L18,0)</f>
        <v>-4.5686269949944316E-3</v>
      </c>
      <c r="N19" s="3464">
        <f t="shared" ref="N19:Q19" si="1">IFERROR((N18-M18)/M18,0)</f>
        <v>-4.5666411230278958E-3</v>
      </c>
      <c r="O19" s="3464">
        <f t="shared" si="1"/>
        <v>-4.5646605270718461E-3</v>
      </c>
      <c r="P19" s="3464">
        <f t="shared" si="1"/>
        <v>4.1192651755325042E-2</v>
      </c>
      <c r="Q19" s="3464">
        <f t="shared" si="1"/>
        <v>-4.5055291448290232E-3</v>
      </c>
      <c r="R19" s="3465"/>
      <c r="S19" s="3464">
        <f t="shared" ref="S19:W19" si="2">IFERROR((S18-R18)/R18,0)</f>
        <v>0.16162446340577408</v>
      </c>
      <c r="T19" s="3464">
        <f t="shared" si="2"/>
        <v>-4.5577126841776922E-3</v>
      </c>
      <c r="U19" s="3464">
        <f t="shared" si="2"/>
        <v>-4.5556942662884183E-3</v>
      </c>
      <c r="V19" s="3464">
        <f t="shared" si="2"/>
        <v>4.0425376689113543E-2</v>
      </c>
      <c r="W19" s="3464">
        <f t="shared" si="2"/>
        <v>-4.4923081079907036E-3</v>
      </c>
      <c r="Y19" s="3436" t="s">
        <v>128</v>
      </c>
      <c r="Z19" s="3437" t="s">
        <v>764</v>
      </c>
      <c r="AA19" s="3438" t="s">
        <v>1591</v>
      </c>
      <c r="AB19" s="3453">
        <f>'3. Показатели за качество'!E24</f>
        <v>0.19600000000000001</v>
      </c>
      <c r="AC19" s="3453">
        <f>'3. Показатели за качество'!F24</f>
        <v>0.19600000000000001</v>
      </c>
      <c r="AD19" s="3453">
        <f>'3. Показатели за качество'!G24</f>
        <v>0.19600000000000001</v>
      </c>
      <c r="AE19" s="3453">
        <f>'3. Показатели за качество'!H24</f>
        <v>0.19600000000000001</v>
      </c>
      <c r="AF19" s="3453">
        <f>'3. Показатели за качество'!I24</f>
        <v>0.182</v>
      </c>
      <c r="AG19" s="3453">
        <f>'3. Показатели за качество'!J24</f>
        <v>0.182</v>
      </c>
      <c r="AH19" s="3454">
        <f>'3. Показатели за качество'!M24</f>
        <v>0.19570000000000001</v>
      </c>
      <c r="AI19" s="3387">
        <v>0.25</v>
      </c>
    </row>
    <row r="20" spans="1:35" ht="15.95" customHeight="1">
      <c r="A20" s="3461" t="s">
        <v>1528</v>
      </c>
      <c r="B20" s="3369" t="s">
        <v>784</v>
      </c>
      <c r="C20" s="3462">
        <f>'2. Променливи'!E27</f>
        <v>225</v>
      </c>
      <c r="D20" s="3462">
        <f>'2. Променливи'!F27</f>
        <v>225</v>
      </c>
      <c r="E20" s="3462">
        <f>'2. Променливи'!G27</f>
        <v>225</v>
      </c>
      <c r="F20" s="3462">
        <f>'2. Променливи'!H27</f>
        <v>225</v>
      </c>
      <c r="G20" s="3462">
        <f>'2. Променливи'!I27</f>
        <v>225</v>
      </c>
      <c r="H20" s="3462">
        <f>'2. Променливи'!J27</f>
        <v>225</v>
      </c>
      <c r="J20" s="4039" t="str">
        <f>CONCATENATE("Темп на изменение спрямо ",L4)</f>
        <v>Темп на изменение спрямо 2024 г.</v>
      </c>
      <c r="K20" s="3442" t="s">
        <v>170</v>
      </c>
      <c r="L20" s="3445"/>
      <c r="M20" s="3466">
        <f>IFERROR((M18-$L$18)/$L$18,0)</f>
        <v>-4.5686269949944316E-3</v>
      </c>
      <c r="N20" s="3466">
        <f t="shared" ref="N20:Q20" si="3">IFERROR((N18-$L$18)/$L$18,0)</f>
        <v>-9.1144048381112102E-3</v>
      </c>
      <c r="O20" s="3466">
        <f t="shared" si="3"/>
        <v>-1.3637461201190778E-2</v>
      </c>
      <c r="P20" s="3466">
        <f t="shared" si="3"/>
        <v>2.6993427364046859E-2</v>
      </c>
      <c r="Q20" s="3466">
        <f t="shared" si="3"/>
        <v>2.2366278545510297E-2</v>
      </c>
      <c r="R20" s="3467"/>
      <c r="S20" s="3466">
        <f>IFERROR((S18-$R$18)/$R$18,0)</f>
        <v>0.16162446340577408</v>
      </c>
      <c r="T20" s="3466">
        <f t="shared" ref="T20:W20" si="4">IFERROR((T18-$R$18)/$R$18,0)</f>
        <v>0.15633011285465848</v>
      </c>
      <c r="U20" s="3466">
        <f t="shared" si="4"/>
        <v>0.15106222638958985</v>
      </c>
      <c r="V20" s="3466">
        <f t="shared" si="4"/>
        <v>0.19759435048399873</v>
      </c>
      <c r="W20" s="3466">
        <f t="shared" si="4"/>
        <v>0.19221438767323559</v>
      </c>
      <c r="Y20" s="3436" t="s">
        <v>129</v>
      </c>
      <c r="Z20" s="3437" t="s">
        <v>765</v>
      </c>
      <c r="AA20" s="3438" t="s">
        <v>170</v>
      </c>
      <c r="AB20" s="3439">
        <f>'3. Показатели за качество'!E25</f>
        <v>0.69240000000000002</v>
      </c>
      <c r="AC20" s="3439">
        <f>'3. Показатели за качество'!F25</f>
        <v>0.7</v>
      </c>
      <c r="AD20" s="3439">
        <f>'3. Показатели за качество'!G25</f>
        <v>1</v>
      </c>
      <c r="AE20" s="3439">
        <f>'3. Показатели за качество'!H25</f>
        <v>1</v>
      </c>
      <c r="AF20" s="3439">
        <f>'3. Показатели за качество'!I25</f>
        <v>1</v>
      </c>
      <c r="AG20" s="3439">
        <f>'3. Показатели за качество'!J25</f>
        <v>1</v>
      </c>
      <c r="AH20" s="3388">
        <f>'3. Показатели за качество'!M25</f>
        <v>1</v>
      </c>
      <c r="AI20" s="3440">
        <v>1</v>
      </c>
    </row>
    <row r="21" spans="1:35" ht="18.75" customHeight="1">
      <c r="A21" s="3459" t="s">
        <v>1530</v>
      </c>
      <c r="B21" s="3369" t="s">
        <v>784</v>
      </c>
      <c r="C21" s="3462">
        <f>'2. Променливи'!E28</f>
        <v>92432</v>
      </c>
      <c r="D21" s="3462">
        <f>'2. Променливи'!F28</f>
        <v>92832</v>
      </c>
      <c r="E21" s="3462">
        <f>'2. Променливи'!G28</f>
        <v>92932</v>
      </c>
      <c r="F21" s="3462">
        <f>'2. Променливи'!H28</f>
        <v>93032</v>
      </c>
      <c r="G21" s="3462">
        <f>'2. Променливи'!I28</f>
        <v>93132</v>
      </c>
      <c r="H21" s="3462">
        <f>'2. Променливи'!J28</f>
        <v>93232</v>
      </c>
      <c r="J21" s="3469" t="s">
        <v>606</v>
      </c>
      <c r="K21" s="3444" t="s">
        <v>1550</v>
      </c>
      <c r="L21" s="3444">
        <f>'6. Ел.Енергия'!C95/1000</f>
        <v>0</v>
      </c>
      <c r="M21" s="3444">
        <f>'6. Ел.Енергия'!D95/1000</f>
        <v>0</v>
      </c>
      <c r="N21" s="3444">
        <f>'6. Ел.Енергия'!E95/1000</f>
        <v>0</v>
      </c>
      <c r="O21" s="3444">
        <f>'6. Ел.Енергия'!F95/1000</f>
        <v>0</v>
      </c>
      <c r="P21" s="3444">
        <f>'6. Ел.Енергия'!G95/1000</f>
        <v>0</v>
      </c>
      <c r="Q21" s="3444">
        <f>'6. Ел.Енергия'!H95/1000</f>
        <v>0</v>
      </c>
      <c r="R21" s="3444">
        <f>'6. Ел.Енергия'!V95</f>
        <v>0</v>
      </c>
      <c r="S21" s="3444">
        <f>'6. Ел.Енергия'!W95</f>
        <v>0</v>
      </c>
      <c r="T21" s="3444">
        <f>'6. Ел.Енергия'!X95</f>
        <v>0</v>
      </c>
      <c r="U21" s="3444">
        <f>'6. Ел.Енергия'!Y95</f>
        <v>0</v>
      </c>
      <c r="V21" s="3444">
        <f>'6. Ел.Енергия'!Z95</f>
        <v>0</v>
      </c>
      <c r="W21" s="3444">
        <f>'6. Ел.Енергия'!AA95</f>
        <v>0</v>
      </c>
      <c r="Y21" s="3436" t="s">
        <v>130</v>
      </c>
      <c r="Z21" s="3437" t="s">
        <v>766</v>
      </c>
      <c r="AA21" s="3438" t="s">
        <v>170</v>
      </c>
      <c r="AB21" s="3439">
        <f>'3. Показатели за качество'!E26</f>
        <v>4.1000000000000003E-3</v>
      </c>
      <c r="AC21" s="3439">
        <f>'3. Показатели за качество'!F26</f>
        <v>4.7000000000000002E-3</v>
      </c>
      <c r="AD21" s="3439">
        <f>'3. Показатели за качество'!G26</f>
        <v>4.7000000000000002E-3</v>
      </c>
      <c r="AE21" s="3439">
        <f>'3. Показатели за качество'!H26</f>
        <v>4.7000000000000002E-3</v>
      </c>
      <c r="AF21" s="3439">
        <f>'3. Показатели за качество'!I26</f>
        <v>4.7000000000000002E-3</v>
      </c>
      <c r="AG21" s="3439">
        <f>'3. Показатели за качество'!J26</f>
        <v>8.9999999999999993E-3</v>
      </c>
      <c r="AH21" s="3388">
        <f>'3. Показатели за качество'!M26</f>
        <v>5.4000000000000003E-3</v>
      </c>
      <c r="AI21" s="3468">
        <v>1.2500000000000001E-2</v>
      </c>
    </row>
    <row r="22" spans="1:35" ht="15.75" customHeight="1">
      <c r="A22" s="3459" t="s">
        <v>1532</v>
      </c>
      <c r="B22" s="3369" t="s">
        <v>784</v>
      </c>
      <c r="C22" s="3462">
        <f>'2. Променливи'!E29</f>
        <v>90671</v>
      </c>
      <c r="D22" s="3462">
        <f>'2. Променливи'!F29</f>
        <v>91071</v>
      </c>
      <c r="E22" s="3462">
        <f>'2. Променливи'!G29</f>
        <v>91171</v>
      </c>
      <c r="F22" s="3462">
        <f>'2. Променливи'!H29</f>
        <v>91271</v>
      </c>
      <c r="G22" s="3462">
        <f>'2. Променливи'!I29</f>
        <v>91371</v>
      </c>
      <c r="H22" s="3462">
        <f>'2. Променливи'!J29</f>
        <v>91471</v>
      </c>
      <c r="Y22" s="3436" t="s">
        <v>774</v>
      </c>
      <c r="Z22" s="3437" t="s">
        <v>775</v>
      </c>
      <c r="AA22" s="3438" t="s">
        <v>170</v>
      </c>
      <c r="AB22" s="3439">
        <f>'3. Показатели за качество'!E27</f>
        <v>7.4999999999999997E-3</v>
      </c>
      <c r="AC22" s="3439">
        <f>'3. Показатели за качество'!F27</f>
        <v>8.6999999999999994E-3</v>
      </c>
      <c r="AD22" s="3439">
        <f>'3. Показатели за качество'!G27</f>
        <v>0.01</v>
      </c>
      <c r="AE22" s="3439">
        <f>'3. Показатели за качество'!H27</f>
        <v>1.12E-2</v>
      </c>
      <c r="AF22" s="3439">
        <f>'3. Показатели за качество'!I27</f>
        <v>1.1900000000000001E-2</v>
      </c>
      <c r="AG22" s="3439">
        <f>'3. Показатели за качество'!J27</f>
        <v>1.2500000000000001E-2</v>
      </c>
      <c r="AH22" s="3388">
        <f>'3. Показатели за качество'!M27</f>
        <v>1.2500000000000001E-2</v>
      </c>
      <c r="AI22" s="3468">
        <v>1.2500000000000001E-2</v>
      </c>
    </row>
    <row r="23" spans="1:35" ht="15.95" customHeight="1">
      <c r="A23" s="3459" t="s">
        <v>1531</v>
      </c>
      <c r="B23" s="3369" t="s">
        <v>784</v>
      </c>
      <c r="C23" s="3462">
        <f>'2. Променливи'!E30</f>
        <v>15126</v>
      </c>
      <c r="D23" s="3462">
        <f>'2. Променливи'!F30</f>
        <v>15151</v>
      </c>
      <c r="E23" s="3462">
        <f>'2. Променливи'!G30</f>
        <v>15176</v>
      </c>
      <c r="F23" s="3462">
        <f>'2. Променливи'!H30</f>
        <v>15201</v>
      </c>
      <c r="G23" s="3462">
        <f>'2. Променливи'!I30</f>
        <v>15297</v>
      </c>
      <c r="H23" s="3462">
        <f>'2. Променливи'!J30</f>
        <v>15322</v>
      </c>
      <c r="Y23" s="3436" t="s">
        <v>131</v>
      </c>
      <c r="Z23" s="3437" t="s">
        <v>47</v>
      </c>
      <c r="AA23" s="3438" t="s">
        <v>1033</v>
      </c>
      <c r="AB23" s="3455">
        <f>'3. Показатели за качество'!E28</f>
        <v>1.08</v>
      </c>
      <c r="AC23" s="3455">
        <f>'3. Показатели за качество'!F28</f>
        <v>1.05</v>
      </c>
      <c r="AD23" s="3455">
        <f>'3. Показатели за качество'!G28</f>
        <v>1.07</v>
      </c>
      <c r="AE23" s="3455">
        <f>'3. Показатели за качество'!H28</f>
        <v>1.08</v>
      </c>
      <c r="AF23" s="3455">
        <f>'3. Показатели за качество'!I28</f>
        <v>1.08</v>
      </c>
      <c r="AG23" s="3455">
        <f>'3. Показатели за качество'!J28</f>
        <v>1.07</v>
      </c>
      <c r="AH23" s="3456">
        <f>'3. Показатели за качество'!M28</f>
        <v>1.1000000000000001</v>
      </c>
      <c r="AI23" s="3387">
        <v>1.1000000000000001</v>
      </c>
    </row>
    <row r="24" spans="1:35" ht="15.95" customHeight="1">
      <c r="A24" s="3459" t="s">
        <v>823</v>
      </c>
      <c r="B24" s="3369" t="s">
        <v>822</v>
      </c>
      <c r="C24" s="3462">
        <f>'2. Променливи'!E31</f>
        <v>346</v>
      </c>
      <c r="D24" s="3462">
        <f>'2. Променливи'!F31</f>
        <v>346</v>
      </c>
      <c r="E24" s="3462">
        <f>'2. Променливи'!G31</f>
        <v>346</v>
      </c>
      <c r="F24" s="3462">
        <f>'2. Променливи'!H31</f>
        <v>346</v>
      </c>
      <c r="G24" s="3462">
        <f>'2. Променливи'!I31</f>
        <v>350</v>
      </c>
      <c r="H24" s="3462">
        <f>'2. Променливи'!J31</f>
        <v>350</v>
      </c>
      <c r="Y24" s="3436" t="s">
        <v>132</v>
      </c>
      <c r="Z24" s="3437" t="s">
        <v>50</v>
      </c>
      <c r="AA24" s="3438" t="s">
        <v>1033</v>
      </c>
      <c r="AB24" s="3455">
        <f>'3. Показатели за качество'!E29</f>
        <v>0.89</v>
      </c>
      <c r="AC24" s="3455">
        <f>'3. Показатели за качество'!F29</f>
        <v>1.1100000000000001</v>
      </c>
      <c r="AD24" s="3455">
        <f>'3. Показатели за качество'!G29</f>
        <v>1.19</v>
      </c>
      <c r="AE24" s="3455">
        <f>'3. Показатели за качество'!H29</f>
        <v>1.29</v>
      </c>
      <c r="AF24" s="3455">
        <f>'3. Показатели за качество'!I29</f>
        <v>1.26</v>
      </c>
      <c r="AG24" s="3455">
        <f>'3. Показатели за качество'!J29</f>
        <v>1.26</v>
      </c>
      <c r="AH24" s="3456">
        <f>'3. Показатели за качество'!M29</f>
        <v>1.1000000000000001</v>
      </c>
      <c r="AI24" s="3387">
        <v>1.1000000000000001</v>
      </c>
    </row>
    <row r="25" spans="1:35" ht="15.95" customHeight="1">
      <c r="A25" s="3459" t="s">
        <v>864</v>
      </c>
      <c r="B25" s="3368" t="s">
        <v>784</v>
      </c>
      <c r="C25" s="3462">
        <f>'2. Променливи'!E32</f>
        <v>9</v>
      </c>
      <c r="D25" s="3462">
        <f>'2. Променливи'!F32</f>
        <v>9</v>
      </c>
      <c r="E25" s="3462">
        <f>'2. Променливи'!G32</f>
        <v>9</v>
      </c>
      <c r="F25" s="3462">
        <f>'2. Променливи'!H32</f>
        <v>9</v>
      </c>
      <c r="G25" s="3462">
        <f>'2. Променливи'!I32</f>
        <v>12</v>
      </c>
      <c r="H25" s="3462">
        <f>'2. Променливи'!J32</f>
        <v>12</v>
      </c>
      <c r="Y25" s="3436" t="s">
        <v>133</v>
      </c>
      <c r="Z25" s="3437" t="s">
        <v>53</v>
      </c>
      <c r="AA25" s="3438" t="s">
        <v>1033</v>
      </c>
      <c r="AB25" s="3455">
        <f>'3. Показатели за качество'!E30</f>
        <v>1.24</v>
      </c>
      <c r="AC25" s="3455">
        <f>'3. Показатели за качество'!F30</f>
        <v>1.08</v>
      </c>
      <c r="AD25" s="3455">
        <f>'3. Показатели за качество'!G30</f>
        <v>1.1299999999999999</v>
      </c>
      <c r="AE25" s="3455">
        <f>'3. Показатели за качество'!H30</f>
        <v>1.18</v>
      </c>
      <c r="AF25" s="3455">
        <f>'3. Показатели за качество'!I30</f>
        <v>1.1599999999999999</v>
      </c>
      <c r="AG25" s="3455">
        <f>'3. Показатели за качество'!J30</f>
        <v>1.1499999999999999</v>
      </c>
      <c r="AH25" s="3456">
        <f>'3. Показатели за качество'!M30</f>
        <v>1.1000000000000001</v>
      </c>
      <c r="AI25" s="3387">
        <v>1.1000000000000001</v>
      </c>
    </row>
    <row r="26" spans="1:35" ht="15.95" customHeight="1">
      <c r="A26" s="3459" t="s">
        <v>865</v>
      </c>
      <c r="B26" s="3368" t="s">
        <v>784</v>
      </c>
      <c r="C26" s="3462">
        <f>'2. Променливи'!E33</f>
        <v>4</v>
      </c>
      <c r="D26" s="3462">
        <f>'2. Променливи'!F33</f>
        <v>4</v>
      </c>
      <c r="E26" s="3462">
        <f>'2. Променливи'!G33</f>
        <v>4</v>
      </c>
      <c r="F26" s="3462">
        <f>'2. Променливи'!H33</f>
        <v>4</v>
      </c>
      <c r="G26" s="3462">
        <f>'2. Променливи'!I33</f>
        <v>5</v>
      </c>
      <c r="H26" s="3462">
        <f>'2. Променливи'!J33</f>
        <v>5</v>
      </c>
      <c r="Y26" s="3436" t="s">
        <v>134</v>
      </c>
      <c r="Z26" s="3437" t="s">
        <v>767</v>
      </c>
      <c r="AA26" s="3438" t="s">
        <v>170</v>
      </c>
      <c r="AB26" s="3439">
        <f>'3. Показатели за качество'!E31</f>
        <v>0.90059999999999996</v>
      </c>
      <c r="AC26" s="3439">
        <f>'3. Показатели за качество'!F31</f>
        <v>0.91910000000000003</v>
      </c>
      <c r="AD26" s="3439">
        <f>'3. Показатели за качество'!G31</f>
        <v>0.92469999999999997</v>
      </c>
      <c r="AE26" s="3439">
        <f>'3. Показатели за качество'!H31</f>
        <v>0.92930000000000001</v>
      </c>
      <c r="AF26" s="3439">
        <f>'3. Показатели за качество'!I31</f>
        <v>0.9345</v>
      </c>
      <c r="AG26" s="3439">
        <f>'3. Показатели за качество'!J31</f>
        <v>0.9375</v>
      </c>
      <c r="AH26" s="3388">
        <f>'3. Показатели за качество'!M31</f>
        <v>0.91039999999999999</v>
      </c>
      <c r="AI26" s="3440">
        <v>0.95</v>
      </c>
    </row>
    <row r="27" spans="1:35" ht="15.95" customHeight="1">
      <c r="J27" s="3430"/>
      <c r="Y27" s="3436" t="s">
        <v>776</v>
      </c>
      <c r="Z27" s="3437" t="s">
        <v>778</v>
      </c>
      <c r="AA27" s="3438" t="s">
        <v>170</v>
      </c>
      <c r="AB27" s="3439">
        <f>'3. Показатели за качество'!E32</f>
        <v>0.1862</v>
      </c>
      <c r="AC27" s="3439">
        <f>'3. Показатели за качество'!F32</f>
        <v>0.18909999999999999</v>
      </c>
      <c r="AD27" s="3439">
        <f>'3. Показатели за качество'!G32</f>
        <v>0.19270000000000001</v>
      </c>
      <c r="AE27" s="3439">
        <f>'3. Показатели за качество'!H32</f>
        <v>0.1963</v>
      </c>
      <c r="AF27" s="3439">
        <f>'3. Показатели за качество'!I32</f>
        <v>0.2</v>
      </c>
      <c r="AG27" s="3439">
        <f>'3. Показатели за качество'!J32</f>
        <v>0.20380000000000001</v>
      </c>
      <c r="AH27" s="3388">
        <f>'3. Показатели за качество'!M32</f>
        <v>0.2</v>
      </c>
      <c r="AI27" s="3440">
        <v>0.2</v>
      </c>
    </row>
    <row r="28" spans="1:35" ht="15.95" customHeight="1">
      <c r="A28" s="3430" t="s">
        <v>871</v>
      </c>
      <c r="Y28" s="3436" t="s">
        <v>777</v>
      </c>
      <c r="Z28" s="3437" t="s">
        <v>779</v>
      </c>
      <c r="AA28" s="3438" t="s">
        <v>170</v>
      </c>
      <c r="AB28" s="3439">
        <f>'3. Показатели за качество'!E33</f>
        <v>0.54649999999999999</v>
      </c>
      <c r="AC28" s="3439">
        <f>'3. Показатели за качество'!F33</f>
        <v>0.54679999999999995</v>
      </c>
      <c r="AD28" s="3439">
        <f>'3. Показатели за качество'!G33</f>
        <v>0.54679999999999995</v>
      </c>
      <c r="AE28" s="3439">
        <f>'3. Показатели за качество'!H33</f>
        <v>0.54690000000000005</v>
      </c>
      <c r="AF28" s="3439">
        <f>'3. Показатели за качество'!I33</f>
        <v>0.54690000000000005</v>
      </c>
      <c r="AG28" s="3439">
        <f>'3. Показатели за качество'!J33</f>
        <v>0.54690000000000005</v>
      </c>
      <c r="AH28" s="3388">
        <f>'3. Показатели за качество'!M33</f>
        <v>0.69699999999999995</v>
      </c>
      <c r="AI28" s="3440">
        <v>0.9</v>
      </c>
    </row>
    <row r="29" spans="1:35" ht="15.95" customHeight="1">
      <c r="A29" s="5410" t="s">
        <v>2</v>
      </c>
      <c r="B29" s="5412" t="s">
        <v>1535</v>
      </c>
      <c r="C29" s="5413" t="s">
        <v>922</v>
      </c>
      <c r="D29" s="5413"/>
      <c r="E29" s="5413"/>
      <c r="F29" s="5413"/>
      <c r="G29" s="5413"/>
      <c r="H29" s="5413"/>
      <c r="Y29" s="3436" t="s">
        <v>135</v>
      </c>
      <c r="Z29" s="3437" t="s">
        <v>768</v>
      </c>
      <c r="AA29" s="3438" t="s">
        <v>170</v>
      </c>
      <c r="AB29" s="3439">
        <f>'3. Показатели за качество'!E34</f>
        <v>0.77449999999999997</v>
      </c>
      <c r="AC29" s="3439">
        <f>'3. Показатели за качество'!F34</f>
        <v>0.82509999999999994</v>
      </c>
      <c r="AD29" s="3439">
        <f>'3. Показатели за качество'!G34</f>
        <v>0.82550000000000001</v>
      </c>
      <c r="AE29" s="3439">
        <f>'3. Показатели за качество'!H34</f>
        <v>0.83</v>
      </c>
      <c r="AF29" s="3439">
        <f>'3. Показатели за качество'!I34</f>
        <v>0.83069999999999999</v>
      </c>
      <c r="AG29" s="3439">
        <f>'3. Показатели за качество'!J34</f>
        <v>0.83620000000000005</v>
      </c>
      <c r="AH29" s="3388">
        <f>'3. Показатели за качество'!M34</f>
        <v>1</v>
      </c>
      <c r="AI29" s="3440">
        <v>1</v>
      </c>
    </row>
    <row r="30" spans="1:35" ht="15.95" customHeight="1">
      <c r="A30" s="5411"/>
      <c r="B30" s="5411"/>
      <c r="C30" s="4304" t="str">
        <f>+'15. ОПП'!$B$7</f>
        <v>2024 г.</v>
      </c>
      <c r="D30" s="4304" t="str">
        <f>+'15. ОПП'!$C$7</f>
        <v>2027 г.</v>
      </c>
      <c r="E30" s="4304" t="str">
        <f>+'15. ОПП'!$D$7</f>
        <v>2028 г.</v>
      </c>
      <c r="F30" s="4304" t="str">
        <f>+'15. ОПП'!$E$7</f>
        <v>2029 г.</v>
      </c>
      <c r="G30" s="4304" t="str">
        <f>+'15. ОПП'!$F$7</f>
        <v>2030 г.</v>
      </c>
      <c r="H30" s="4304" t="str">
        <f>+'15. ОПП'!$G$7</f>
        <v>2031 г.</v>
      </c>
      <c r="Y30" s="3436" t="s">
        <v>136</v>
      </c>
      <c r="Z30" s="3437" t="s">
        <v>769</v>
      </c>
      <c r="AA30" s="3438" t="s">
        <v>170</v>
      </c>
      <c r="AB30" s="3439">
        <f>'3. Показатели за качество'!E35</f>
        <v>1</v>
      </c>
      <c r="AC30" s="3439">
        <f>'3. Показатели за качество'!F35</f>
        <v>1</v>
      </c>
      <c r="AD30" s="3439">
        <f>'3. Показатели за качество'!G35</f>
        <v>1</v>
      </c>
      <c r="AE30" s="3439">
        <f>'3. Показатели за качество'!H35</f>
        <v>1</v>
      </c>
      <c r="AF30" s="3439">
        <f>'3. Показатели за качество'!I35</f>
        <v>1</v>
      </c>
      <c r="AG30" s="3439">
        <f>'3. Показатели за качество'!J35</f>
        <v>1</v>
      </c>
      <c r="AH30" s="3388">
        <f>'3. Показатели за качество'!M35</f>
        <v>1</v>
      </c>
      <c r="AI30" s="3440">
        <v>1</v>
      </c>
    </row>
    <row r="31" spans="1:35" ht="15.95" customHeight="1">
      <c r="A31" s="5414" t="s">
        <v>168</v>
      </c>
      <c r="B31" s="5415"/>
      <c r="C31" s="5415"/>
      <c r="D31" s="5415"/>
      <c r="E31" s="5415"/>
      <c r="F31" s="5415"/>
      <c r="G31" s="5415"/>
      <c r="H31" s="5416"/>
      <c r="Y31" s="3436" t="s">
        <v>137</v>
      </c>
      <c r="Z31" s="3437" t="s">
        <v>770</v>
      </c>
      <c r="AA31" s="3438" t="s">
        <v>170</v>
      </c>
      <c r="AB31" s="3439">
        <f>'3. Показатели за качество'!E36</f>
        <v>1</v>
      </c>
      <c r="AC31" s="3439">
        <f>'3. Показатели за качество'!F36</f>
        <v>1</v>
      </c>
      <c r="AD31" s="3439">
        <f>'3. Показатели за качество'!G36</f>
        <v>1</v>
      </c>
      <c r="AE31" s="3439">
        <f>'3. Показатели за качество'!H36</f>
        <v>1</v>
      </c>
      <c r="AF31" s="3439">
        <f>'3. Показатели за качество'!I36</f>
        <v>1</v>
      </c>
      <c r="AG31" s="3439">
        <f>'3. Показатели за качество'!J36</f>
        <v>1</v>
      </c>
      <c r="AH31" s="3388">
        <f>'3. Показатели за качество'!M36</f>
        <v>1</v>
      </c>
      <c r="AI31" s="3440">
        <v>1</v>
      </c>
    </row>
    <row r="32" spans="1:35" ht="15.95" customHeight="1">
      <c r="A32" s="3416" t="s">
        <v>570</v>
      </c>
      <c r="B32" s="3417" t="s">
        <v>1533</v>
      </c>
      <c r="C32" s="3418">
        <f>'4. Отчет и прогн. потребление'!D9</f>
        <v>27737550</v>
      </c>
      <c r="D32" s="3418">
        <f>'4. Отчет и прогн. потребление'!E9</f>
        <v>27042797.18</v>
      </c>
      <c r="E32" s="3418">
        <f>'4. Отчет и прогн. потребление'!F9</f>
        <v>26501941.236400001</v>
      </c>
      <c r="F32" s="3418">
        <f>'4. Отчет и прогн. потребление'!G9</f>
        <v>25971902.411672</v>
      </c>
      <c r="G32" s="3418">
        <f>'4. Отчет и прогн. потребление'!H9</f>
        <v>25513545</v>
      </c>
      <c r="H32" s="3418">
        <f>'4. Отчет и прогн. потребление'!I9</f>
        <v>24930674.0761698</v>
      </c>
      <c r="Y32" s="3436" t="s">
        <v>138</v>
      </c>
      <c r="Z32" s="3437" t="s">
        <v>771</v>
      </c>
      <c r="AA32" s="3438" t="s">
        <v>747</v>
      </c>
      <c r="AB32" s="3455">
        <f>'3. Показатели за качество'!E37</f>
        <v>5.81</v>
      </c>
      <c r="AC32" s="3455">
        <f>'3. Показатели за качество'!F37</f>
        <v>5.73</v>
      </c>
      <c r="AD32" s="3455">
        <f>'3. Показатели за качество'!G37</f>
        <v>5.72</v>
      </c>
      <c r="AE32" s="3455">
        <f>'3. Показатели за качество'!H37</f>
        <v>5.72</v>
      </c>
      <c r="AF32" s="3455">
        <f>'3. Показатели за качество'!I37</f>
        <v>5.82</v>
      </c>
      <c r="AG32" s="3455">
        <f>'3. Показатели за качество'!J37</f>
        <v>5.81</v>
      </c>
      <c r="AH32" s="3456">
        <f>'3. Показатели за качество'!M37</f>
        <v>5.8</v>
      </c>
      <c r="AI32" s="3387">
        <v>4</v>
      </c>
    </row>
    <row r="33" spans="1:35" ht="15.95" customHeight="1">
      <c r="A33" s="5428" t="s">
        <v>571</v>
      </c>
      <c r="B33" s="3417" t="s">
        <v>1533</v>
      </c>
      <c r="C33" s="3419">
        <f>'4. Отчет и прогн. потребление'!D18</f>
        <v>8008063</v>
      </c>
      <c r="D33" s="3419">
        <f>'4. Отчет и прогн. потребление'!E18</f>
        <v>7981690.333333333</v>
      </c>
      <c r="E33" s="3419">
        <f>'4. Отчет и прогн. потребление'!F18</f>
        <v>8027872.0252977135</v>
      </c>
      <c r="F33" s="3419">
        <f>'4. Отчет и прогн. потребление'!G18</f>
        <v>7942454.2529848581</v>
      </c>
      <c r="G33" s="3419">
        <f>'4. Отчет и прогн. потребление'!H18</f>
        <v>8092488.4578720042</v>
      </c>
      <c r="H33" s="3419">
        <f>'4. Отчет и прогн. потребление'!I18</f>
        <v>8554631.2979929335</v>
      </c>
      <c r="Y33" s="3436" t="s">
        <v>139</v>
      </c>
      <c r="Z33" s="3437" t="s">
        <v>772</v>
      </c>
      <c r="AA33" s="3438" t="s">
        <v>748</v>
      </c>
      <c r="AB33" s="3455">
        <f>'3. Показатели за качество'!E38</f>
        <v>4.03</v>
      </c>
      <c r="AC33" s="3455">
        <f>'3. Показатели за качество'!F38</f>
        <v>3.83</v>
      </c>
      <c r="AD33" s="3455">
        <f>'3. Показатели за качество'!G38</f>
        <v>3.82</v>
      </c>
      <c r="AE33" s="3455">
        <f>'3. Показатели за качество'!H38</f>
        <v>3.82</v>
      </c>
      <c r="AF33" s="3455">
        <f>'3. Показатели за качество'!I38</f>
        <v>4.51</v>
      </c>
      <c r="AG33" s="3455">
        <f>'3. Показатели за качество'!J38</f>
        <v>4.5</v>
      </c>
      <c r="AH33" s="3456">
        <f>'3. Показатели за качество'!M38</f>
        <v>3.9699999999999999E-2</v>
      </c>
      <c r="AI33" s="3387">
        <v>3</v>
      </c>
    </row>
    <row r="34" spans="1:35" ht="15.95" customHeight="1">
      <c r="A34" s="5428"/>
      <c r="B34" s="3417" t="s">
        <v>170</v>
      </c>
      <c r="C34" s="3420">
        <f>'4. Отчет и прогн. потребление'!D19</f>
        <v>0.28870837546935474</v>
      </c>
      <c r="D34" s="3420">
        <f>'4. Отчет и прогн. потребление'!E19</f>
        <v>0.2951503234005815</v>
      </c>
      <c r="E34" s="3420">
        <f>'4. Отчет и прогн. потребление'!F19</f>
        <v>0.30291637709435248</v>
      </c>
      <c r="F34" s="3420">
        <f>'4. Отчет и прогн. потребление'!G19</f>
        <v>0.30580949085252412</v>
      </c>
      <c r="G34" s="3420">
        <f>'4. Отчет и прогн. потребление'!H19</f>
        <v>0.31718400786217693</v>
      </c>
      <c r="H34" s="3420">
        <f>'4. Отчет и прогн. потребление'!I19</f>
        <v>0.34313678289870037</v>
      </c>
      <c r="Y34" s="3470"/>
      <c r="Z34" s="3471"/>
      <c r="AA34" s="3472"/>
      <c r="AB34" s="3473"/>
      <c r="AC34" s="3473"/>
      <c r="AD34" s="3473"/>
      <c r="AE34" s="3473"/>
      <c r="AF34" s="3473"/>
      <c r="AG34" s="3473"/>
      <c r="AH34" s="3474"/>
      <c r="AI34" s="3475"/>
    </row>
    <row r="35" spans="1:35" ht="15.95" customHeight="1">
      <c r="A35" s="5417" t="s">
        <v>572</v>
      </c>
      <c r="B35" s="3370" t="s">
        <v>1533</v>
      </c>
      <c r="C35" s="3371">
        <f>'4. Отчет и прогн. потребление'!D20</f>
        <v>7653017</v>
      </c>
      <c r="D35" s="3371">
        <f>'4. Отчет и прогн. потребление'!E20</f>
        <v>7626644.333333333</v>
      </c>
      <c r="E35" s="3371">
        <f>'4. Отчет и прогн. потребление'!F20</f>
        <v>7672826.0252977135</v>
      </c>
      <c r="F35" s="3371">
        <f>'4. Отчет и прогн. потребление'!G20</f>
        <v>7587408.2529848581</v>
      </c>
      <c r="G35" s="3371">
        <f>'4. Отчет и прогн. потребление'!H20</f>
        <v>7737442.4578720042</v>
      </c>
      <c r="H35" s="3371">
        <f>'4. Отчет и прогн. потребление'!I20</f>
        <v>8199585.2979929335</v>
      </c>
      <c r="Y35" s="5400" t="s">
        <v>1594</v>
      </c>
      <c r="Z35" s="5401"/>
      <c r="AA35" s="5401"/>
      <c r="AB35" s="5401"/>
      <c r="AC35" s="5401"/>
      <c r="AD35" s="5401"/>
      <c r="AE35" s="5401"/>
      <c r="AF35" s="5401"/>
      <c r="AG35" s="5401"/>
      <c r="AH35" s="5401"/>
      <c r="AI35" s="5402"/>
    </row>
    <row r="36" spans="1:35" ht="42.75" customHeight="1">
      <c r="A36" s="5418"/>
      <c r="B36" s="3370" t="s">
        <v>170</v>
      </c>
      <c r="C36" s="3372">
        <f>'4. Отчет и прогн. потребление'!D21</f>
        <v>0.27590818222950475</v>
      </c>
      <c r="D36" s="3372">
        <f>'4. Отчет и прогн. потребление'!E21</f>
        <v>0.28202128213917749</v>
      </c>
      <c r="E36" s="3372">
        <f>'4. Отчет и прогн. потребление'!F21</f>
        <v>0.28951939621536882</v>
      </c>
      <c r="F36" s="3372">
        <f>'4. Отчет и прогн. потребление'!G21</f>
        <v>0.29213910220049999</v>
      </c>
      <c r="G36" s="3372">
        <f>'4. Отчет и прогн. потребление'!H21</f>
        <v>0.30326802715467427</v>
      </c>
      <c r="H36" s="3372">
        <f>'4. Отчет и прогн. потребление'!I21</f>
        <v>0.32889545115952473</v>
      </c>
      <c r="Y36" s="3476" t="s">
        <v>773</v>
      </c>
      <c r="Z36" s="3476" t="s">
        <v>1592</v>
      </c>
      <c r="AA36" s="3476" t="s">
        <v>746</v>
      </c>
      <c r="AB36" s="3476" t="str">
        <f>+'15. ОПП'!$B$7</f>
        <v>2024 г.</v>
      </c>
      <c r="AC36" s="3476" t="str">
        <f>+'15. ОПП'!$C$7</f>
        <v>2027 г.</v>
      </c>
      <c r="AD36" s="3476" t="str">
        <f>+'15. ОПП'!$D$7</f>
        <v>2028 г.</v>
      </c>
      <c r="AE36" s="3476" t="str">
        <f>+'15. ОПП'!$E$7</f>
        <v>2029 г.</v>
      </c>
      <c r="AF36" s="3476" t="str">
        <f>+'15. ОПП'!$F$7</f>
        <v>2030 г.</v>
      </c>
      <c r="AG36" s="3476" t="str">
        <f>+'15. ОПП'!$G$7</f>
        <v>2031 г.</v>
      </c>
      <c r="AH36" s="3433" t="str">
        <f>CONCATENATE("Индивидуална цел за ",AG36)</f>
        <v>Индивидуална цел за 2031 г.</v>
      </c>
      <c r="AI36" s="3477" t="s">
        <v>780</v>
      </c>
    </row>
    <row r="37" spans="1:35" ht="15.95" customHeight="1">
      <c r="A37" s="5429" t="s">
        <v>688</v>
      </c>
      <c r="B37" s="3370" t="s">
        <v>1533</v>
      </c>
      <c r="C37" s="3374">
        <f>'4. Отчет и прогн. потребление'!D26</f>
        <v>355046</v>
      </c>
      <c r="D37" s="3374">
        <f>'4. Отчет и прогн. потребление'!E26</f>
        <v>355046</v>
      </c>
      <c r="E37" s="3374">
        <f>'4. Отчет и прогн. потребление'!F26</f>
        <v>355046</v>
      </c>
      <c r="F37" s="3374">
        <f>'4. Отчет и прогн. потребление'!G26</f>
        <v>355046</v>
      </c>
      <c r="G37" s="3374">
        <f>'4. Отчет и прогн. потребление'!H26</f>
        <v>355046</v>
      </c>
      <c r="H37" s="3374">
        <f>'4. Отчет и прогн. потребление'!I26</f>
        <v>355046</v>
      </c>
      <c r="Y37" s="3436" t="s">
        <v>744</v>
      </c>
      <c r="Z37" s="3437" t="s">
        <v>756</v>
      </c>
      <c r="AA37" s="3438" t="s">
        <v>1589</v>
      </c>
      <c r="AB37" s="3455">
        <f>'3. Показатели за качество'!E40</f>
        <v>0</v>
      </c>
      <c r="AC37" s="3455">
        <f>'3. Показатели за качество'!F40</f>
        <v>0</v>
      </c>
      <c r="AD37" s="3455">
        <f>'3. Показатели за качество'!G40</f>
        <v>0</v>
      </c>
      <c r="AE37" s="3455">
        <f>'3. Показатели за качество'!H40</f>
        <v>0</v>
      </c>
      <c r="AF37" s="3455">
        <f>'3. Показатели за качество'!I40</f>
        <v>0</v>
      </c>
      <c r="AG37" s="3455">
        <f>'3. Показатели за качество'!J40</f>
        <v>0</v>
      </c>
      <c r="AH37" s="3465"/>
      <c r="AI37" s="3465"/>
    </row>
    <row r="38" spans="1:35" ht="15.95" customHeight="1">
      <c r="A38" s="5429"/>
      <c r="B38" s="3370" t="s">
        <v>170</v>
      </c>
      <c r="C38" s="3378">
        <f>'4. Отчет и прогн. потребление'!D27</f>
        <v>1.280019323984995E-2</v>
      </c>
      <c r="D38" s="3378">
        <f>'4. Отчет и прогн. потребление'!E27</f>
        <v>1.3129041261404011E-2</v>
      </c>
      <c r="E38" s="3378">
        <f>'4. Отчет и прогн. потребление'!F27</f>
        <v>1.3396980878983684E-2</v>
      </c>
      <c r="F38" s="3378">
        <f>'4. Отчет и прогн. потребление'!G27</f>
        <v>1.3670388652024168E-2</v>
      </c>
      <c r="G38" s="3378">
        <f>'4. Отчет и прогн. потребление'!H27</f>
        <v>1.3915980707502622E-2</v>
      </c>
      <c r="H38" s="3378">
        <f>'4. Отчет и прогн. потребление'!I27</f>
        <v>1.4241331739175628E-2</v>
      </c>
      <c r="Y38" s="3436" t="s">
        <v>745</v>
      </c>
      <c r="Z38" s="3437" t="s">
        <v>756</v>
      </c>
      <c r="AA38" s="3438" t="s">
        <v>170</v>
      </c>
      <c r="AB38" s="3478">
        <f>'3. Показатели за качество'!E41</f>
        <v>0</v>
      </c>
      <c r="AC38" s="3478">
        <f>'3. Показатели за качество'!F41</f>
        <v>0</v>
      </c>
      <c r="AD38" s="3478">
        <f>'3. Показатели за качество'!G41</f>
        <v>0</v>
      </c>
      <c r="AE38" s="3478">
        <f>'3. Показатели за качество'!H41</f>
        <v>0</v>
      </c>
      <c r="AF38" s="3478">
        <f>'3. Показатели за качество'!I41</f>
        <v>0</v>
      </c>
      <c r="AG38" s="3478">
        <f>'3. Показатели за качество'!J41</f>
        <v>0</v>
      </c>
      <c r="AH38" s="3465"/>
      <c r="AI38" s="3465"/>
    </row>
    <row r="39" spans="1:35" ht="15.95" customHeight="1">
      <c r="A39" s="5428" t="s">
        <v>689</v>
      </c>
      <c r="B39" s="3417" t="s">
        <v>1533</v>
      </c>
      <c r="C39" s="3419">
        <f>'4. Отчет и прогн. потребление'!D30</f>
        <v>19729487</v>
      </c>
      <c r="D39" s="3419">
        <f>'4. Отчет и прогн. потребление'!E30</f>
        <v>19061106.539999999</v>
      </c>
      <c r="E39" s="3419">
        <f>'4. Отчет и прогн. потребление'!F30</f>
        <v>18474069.078799997</v>
      </c>
      <c r="F39" s="3419">
        <f>'4. Отчет и прогн. потребление'!G30</f>
        <v>18029448.067935999</v>
      </c>
      <c r="G39" s="3419">
        <f>'4. Отчет и прогн. потребление'!H30</f>
        <v>17421056.354289077</v>
      </c>
      <c r="H39" s="3419">
        <f>'4. Отчет и прогн. потребление'!I30</f>
        <v>16376042.567318412</v>
      </c>
      <c r="Y39" s="3436" t="s">
        <v>121</v>
      </c>
      <c r="Z39" s="3437" t="s">
        <v>757</v>
      </c>
      <c r="AA39" s="3438" t="s">
        <v>749</v>
      </c>
      <c r="AB39" s="3455">
        <f>'3. Показатели за качество'!E42</f>
        <v>0</v>
      </c>
      <c r="AC39" s="3455">
        <f>'3. Показатели за качество'!F42</f>
        <v>0</v>
      </c>
      <c r="AD39" s="3455">
        <f>'3. Показатели за качество'!G42</f>
        <v>0</v>
      </c>
      <c r="AE39" s="3455">
        <f>'3. Показатели за качество'!H42</f>
        <v>0</v>
      </c>
      <c r="AF39" s="3455">
        <f>'3. Показатели за качество'!I42</f>
        <v>0</v>
      </c>
      <c r="AG39" s="3455">
        <f>'3. Показатели за качество'!J42</f>
        <v>0</v>
      </c>
      <c r="AH39" s="3465"/>
      <c r="AI39" s="3465"/>
    </row>
    <row r="40" spans="1:35" ht="15.95" customHeight="1">
      <c r="A40" s="5428"/>
      <c r="B40" s="3417" t="s">
        <v>170</v>
      </c>
      <c r="C40" s="3421">
        <f>'4. Отчет и прогн. потребление'!D31</f>
        <v>0.71129162453064532</v>
      </c>
      <c r="D40" s="3421">
        <f>'4. Отчет и прогн. потребление'!E31</f>
        <v>0.70484966525936865</v>
      </c>
      <c r="E40" s="3421">
        <f>'4. Отчет и прогн. потребление'!F31</f>
        <v>0.69708361791347395</v>
      </c>
      <c r="F40" s="3421">
        <f>'4. Отчет и прогн. потребление'!G31</f>
        <v>0.69419050565327123</v>
      </c>
      <c r="G40" s="3421">
        <f>'4. Отчет и прогн. потребление'!H31</f>
        <v>0.68281598477550165</v>
      </c>
      <c r="H40" s="3421">
        <f>'4. Отчет и прогн. потребление'!I31</f>
        <v>0.65686320864350767</v>
      </c>
      <c r="Y40" s="3436" t="s">
        <v>130</v>
      </c>
      <c r="Z40" s="3437" t="s">
        <v>766</v>
      </c>
      <c r="AA40" s="3438" t="s">
        <v>170</v>
      </c>
      <c r="AB40" s="3478">
        <f>'3. Показатели за качество'!E43</f>
        <v>0</v>
      </c>
      <c r="AC40" s="3478">
        <f>'3. Показатели за качество'!F43</f>
        <v>0</v>
      </c>
      <c r="AD40" s="3478">
        <f>'3. Показатели за качество'!G43</f>
        <v>0</v>
      </c>
      <c r="AE40" s="3478">
        <f>'3. Показатели за качество'!H43</f>
        <v>0</v>
      </c>
      <c r="AF40" s="3478">
        <f>'3. Показатели за качество'!I43</f>
        <v>0</v>
      </c>
      <c r="AG40" s="3478">
        <f>'3. Показатели за качество'!J43</f>
        <v>0</v>
      </c>
      <c r="AH40" s="3465"/>
      <c r="AI40" s="3465"/>
    </row>
    <row r="41" spans="1:35" ht="15.95" customHeight="1">
      <c r="A41" s="5428"/>
      <c r="B41" s="3417" t="s">
        <v>1534</v>
      </c>
      <c r="C41" s="3422">
        <f>'4. Отчет и прогн. потребление'!D32</f>
        <v>16.860071441389859</v>
      </c>
      <c r="D41" s="3422">
        <f>'4. Отчет и прогн. потребление'!E32</f>
        <v>16.288898845486628</v>
      </c>
      <c r="E41" s="3422">
        <f>'4. Отчет и прогн. потребление'!F32</f>
        <v>15.787238891803892</v>
      </c>
      <c r="F41" s="3422">
        <f>'4. Отчет и прогн. потребление'!G32</f>
        <v>15.40728263609841</v>
      </c>
      <c r="G41" s="3422">
        <f>'4. Отчет и прогн. потребление'!H32</f>
        <v>14.887374148035001</v>
      </c>
      <c r="H41" s="3422">
        <f>'4. Отчет и прогн. потребление'!I32</f>
        <v>13.994344992965596</v>
      </c>
      <c r="Y41" s="3436" t="s">
        <v>131</v>
      </c>
      <c r="Z41" s="3437" t="s">
        <v>47</v>
      </c>
      <c r="AA41" s="3438" t="s">
        <v>1033</v>
      </c>
      <c r="AB41" s="3455">
        <f>'3. Показатели за качество'!E44</f>
        <v>0</v>
      </c>
      <c r="AC41" s="3455">
        <f>'3. Показатели за качество'!F44</f>
        <v>0</v>
      </c>
      <c r="AD41" s="3455">
        <f>'3. Показатели за качество'!G44</f>
        <v>0</v>
      </c>
      <c r="AE41" s="3455">
        <f>'3. Показатели за качество'!H44</f>
        <v>0</v>
      </c>
      <c r="AF41" s="3455">
        <f>'3. Показатели за качество'!I44</f>
        <v>0</v>
      </c>
      <c r="AG41" s="3455">
        <f>'3. Показатели за качество'!J44</f>
        <v>0</v>
      </c>
      <c r="AH41" s="3465"/>
      <c r="AI41" s="3465"/>
    </row>
    <row r="42" spans="1:35" ht="15.95" customHeight="1">
      <c r="A42" s="5424" t="s">
        <v>580</v>
      </c>
      <c r="B42" s="3370" t="s">
        <v>1533</v>
      </c>
      <c r="C42" s="3376">
        <f>'4. Отчет и прогн. потребление'!D33</f>
        <v>1374655</v>
      </c>
      <c r="D42" s="3376">
        <f>'4. Отчет и прогн. потребление'!E33</f>
        <v>1237189.5</v>
      </c>
      <c r="E42" s="3376">
        <f>'4. Отчет и прогн. потребление'!F33</f>
        <v>1113470.55</v>
      </c>
      <c r="F42" s="3376">
        <f>'4. Отчет и прогн. потребление'!G33</f>
        <v>1002123.495</v>
      </c>
      <c r="G42" s="3376">
        <f>'4. Отчет и прогн. потребление'!H33</f>
        <v>901911.1455000001</v>
      </c>
      <c r="H42" s="3376">
        <f>'4. Отчет и прогн. потребление'!I33</f>
        <v>811720.03095000004</v>
      </c>
    </row>
    <row r="43" spans="1:35" ht="15.95" customHeight="1">
      <c r="A43" s="5424"/>
      <c r="B43" s="3370" t="s">
        <v>170</v>
      </c>
      <c r="C43" s="3377">
        <f>'4. Отчет и прогн. потребление'!D34</f>
        <v>4.9559351853354028E-2</v>
      </c>
      <c r="D43" s="3377">
        <f>'4. Отчет и прогн. потребление'!E34</f>
        <v>4.5749316972098816E-2</v>
      </c>
      <c r="E43" s="3377">
        <f>'4. Отчет и прогн. потребление'!F34</f>
        <v>4.2014678851927487E-2</v>
      </c>
      <c r="F43" s="3377">
        <f>'4. Отчет и прогн. потребление'!G34</f>
        <v>3.858490914972932E-2</v>
      </c>
      <c r="G43" s="3377">
        <f>'4. Отчет и прогн. потребление'!H34</f>
        <v>3.535028728857554E-2</v>
      </c>
      <c r="H43" s="3377">
        <f>'4. Отчет и прогн. потребление'!I34</f>
        <v>3.2559088794389623E-2</v>
      </c>
    </row>
    <row r="44" spans="1:35" ht="15.95" customHeight="1">
      <c r="A44" s="5422" t="s">
        <v>585</v>
      </c>
      <c r="B44" s="3370" t="s">
        <v>1533</v>
      </c>
      <c r="C44" s="3376">
        <f>'4. Отчет и прогн. потребление'!D37</f>
        <v>18354832</v>
      </c>
      <c r="D44" s="3376">
        <f>'4. Отчет и прогн. потребление'!E37</f>
        <v>17823917.039999999</v>
      </c>
      <c r="E44" s="3376">
        <f>'4. Отчет и прогн. потребление'!F37</f>
        <v>17360598.528799996</v>
      </c>
      <c r="F44" s="3376">
        <f>'4. Отчет и прогн. потребление'!G37</f>
        <v>17027324.572935998</v>
      </c>
      <c r="G44" s="3376">
        <f>'4. Отчет и прогн. потребление'!H37</f>
        <v>16519145.208789077</v>
      </c>
      <c r="H44" s="3376">
        <f>'4. Отчет и прогн. потребление'!I37</f>
        <v>15564322.536368411</v>
      </c>
    </row>
    <row r="45" spans="1:35" ht="15.95" customHeight="1">
      <c r="A45" s="5422"/>
      <c r="B45" s="3370" t="s">
        <v>170</v>
      </c>
      <c r="C45" s="3377">
        <f>'4. Отчет и прогн. потребление'!D38</f>
        <v>0.66173227267729129</v>
      </c>
      <c r="D45" s="3377">
        <f>'4. Отчет и прогн. потребление'!E38</f>
        <v>0.65910034828726982</v>
      </c>
      <c r="E45" s="3377">
        <f>'4. Отчет и прогн. потребление'!F38</f>
        <v>0.6550689390615464</v>
      </c>
      <c r="F45" s="3377">
        <f>'4. Отчет и прогн. потребление'!G38</f>
        <v>0.65560559650354189</v>
      </c>
      <c r="G45" s="3377">
        <f>'4. Отчет и прогн. потребление'!H38</f>
        <v>0.64746569748692617</v>
      </c>
      <c r="H45" s="3377">
        <f>'4. Отчет и прогн. потребление'!I38</f>
        <v>0.62430411984911804</v>
      </c>
    </row>
    <row r="46" spans="1:35" ht="15.95" customHeight="1">
      <c r="A46" s="5419" t="s">
        <v>594</v>
      </c>
      <c r="B46" s="3417" t="s">
        <v>1533</v>
      </c>
      <c r="C46" s="3418">
        <f>'4. Отчет и прогн. потребление'!D43</f>
        <v>20084533</v>
      </c>
      <c r="D46" s="3418">
        <f>'4. Отчет и прогн. потребление'!E43</f>
        <v>19416152.539999999</v>
      </c>
      <c r="E46" s="3418">
        <f>'4. Отчет и прогн. потребление'!F43</f>
        <v>18829115.078799997</v>
      </c>
      <c r="F46" s="3418">
        <f>'4. Отчет и прогн. потребление'!G43</f>
        <v>18384494.067935999</v>
      </c>
      <c r="G46" s="3418">
        <f>'4. Отчет и прогн. потребление'!H43</f>
        <v>17776102.354289077</v>
      </c>
      <c r="H46" s="3418">
        <f>'4. Отчет и прогн. потребление'!I43</f>
        <v>16731088.567318412</v>
      </c>
    </row>
    <row r="47" spans="1:35" ht="15.95" customHeight="1">
      <c r="A47" s="5420"/>
      <c r="B47" s="3417" t="s">
        <v>170</v>
      </c>
      <c r="C47" s="3423">
        <f>'4. Отчет и прогн. потребление'!D44</f>
        <v>0.72409181777049525</v>
      </c>
      <c r="D47" s="3423">
        <f>'4. Отчет и прогн. потребление'!E44</f>
        <v>0.71797870652077267</v>
      </c>
      <c r="E47" s="3423">
        <f>'4. Отчет и прогн. потребление'!F44</f>
        <v>0.71048059879245762</v>
      </c>
      <c r="F47" s="3423">
        <f>'4. Отчет и прогн. потребление'!G44</f>
        <v>0.70786089430529542</v>
      </c>
      <c r="G47" s="3423">
        <f>'4. Отчет и прогн. потребление'!H44</f>
        <v>0.69673196548300431</v>
      </c>
      <c r="H47" s="3423">
        <f>'4. Отчет и прогн. потребление'!I44</f>
        <v>0.6711045403826833</v>
      </c>
    </row>
    <row r="48" spans="1:35" ht="15.95" customHeight="1">
      <c r="A48" s="5421"/>
      <c r="B48" s="3417" t="s">
        <v>1534</v>
      </c>
      <c r="C48" s="3424">
        <f>'4. Отчет и прогн. потребление'!D45</f>
        <v>17.163480289525634</v>
      </c>
      <c r="D48" s="3424">
        <f>'4. Отчет и прогн. потребление'!E45</f>
        <v>16.592307693622402</v>
      </c>
      <c r="E48" s="3424">
        <f>'4. Отчет и прогн. потребление'!F45</f>
        <v>16.090647739939666</v>
      </c>
      <c r="F48" s="3424">
        <f>'4. Отчет и прогн. потребление'!G45</f>
        <v>15.710691484234184</v>
      </c>
      <c r="G48" s="3424">
        <f>'4. Отчет и прогн. потребление'!H45</f>
        <v>15.190782996170773</v>
      </c>
      <c r="H48" s="3424">
        <f>'4. Отчет и прогн. потребление'!I45</f>
        <v>14.29775384110137</v>
      </c>
    </row>
    <row r="49" spans="1:8" ht="15.95" customHeight="1">
      <c r="A49" s="5414" t="s">
        <v>174</v>
      </c>
      <c r="B49" s="5415"/>
      <c r="C49" s="5415"/>
      <c r="D49" s="5415"/>
      <c r="E49" s="5415"/>
      <c r="F49" s="5415"/>
      <c r="G49" s="5415"/>
      <c r="H49" s="5416"/>
    </row>
    <row r="50" spans="1:8" ht="15.95" customHeight="1">
      <c r="A50" s="5423" t="s">
        <v>175</v>
      </c>
      <c r="B50" s="3417" t="s">
        <v>1533</v>
      </c>
      <c r="C50" s="3426">
        <f>'4. Отчет и прогн. потребление'!D48</f>
        <v>5745788</v>
      </c>
      <c r="D50" s="3426">
        <f>'4. Отчет и прогн. потребление'!E48</f>
        <v>5761148</v>
      </c>
      <c r="E50" s="3426">
        <f>'4. Отчет и прогн. потребление'!F48</f>
        <v>5702544.4887824822</v>
      </c>
      <c r="F50" s="3426">
        <f>'4. Отчет и прогн. потребление'!G48</f>
        <v>5643940.4462371534</v>
      </c>
      <c r="G50" s="3426">
        <f>'4. Отчет и прогн. потребление'!H48</f>
        <v>5585336.4036918264</v>
      </c>
      <c r="H50" s="3426">
        <f>'4. Отчет и прогн. потребление'!I48</f>
        <v>5534433.3120866613</v>
      </c>
    </row>
    <row r="51" spans="1:8" ht="15.95" customHeight="1">
      <c r="A51" s="5423"/>
      <c r="B51" s="3417" t="s">
        <v>170</v>
      </c>
      <c r="C51" s="3427">
        <f>'4. Отчет и прогн. потребление'!D49</f>
        <v>0.75078730388290005</v>
      </c>
      <c r="D51" s="3427">
        <f>'4. Отчет и прогн. потребление'!E49</f>
        <v>0.75539749176713067</v>
      </c>
      <c r="E51" s="3427">
        <f>'4. Отчет и прогн. потребление'!F49</f>
        <v>0.74321305735082366</v>
      </c>
      <c r="F51" s="3427">
        <f>'4. Отчет и прогн. потребление'!G49</f>
        <v>0.74385617038820184</v>
      </c>
      <c r="G51" s="3427">
        <f>'4. Отчет и прогн. потребление'!H49</f>
        <v>0.72185821530851646</v>
      </c>
      <c r="H51" s="3427">
        <f>'4. Отчет и прогн. потребление'!I49</f>
        <v>0.67496502700464145</v>
      </c>
    </row>
    <row r="52" spans="1:8" ht="15.95" customHeight="1">
      <c r="A52" s="3373" t="s">
        <v>177</v>
      </c>
      <c r="B52" s="3370" t="s">
        <v>1533</v>
      </c>
      <c r="C52" s="3374">
        <f>'4. Отчет и прогн. потребление'!D50</f>
        <v>4078944.9011609023</v>
      </c>
      <c r="D52" s="3374">
        <f>'4. Отчет и прогн. потребление'!E50</f>
        <v>4089849.3838810953</v>
      </c>
      <c r="E52" s="3374">
        <f>'4. Отчет и прогн. потребление'!F50</f>
        <v>4031210.4887824822</v>
      </c>
      <c r="F52" s="3374">
        <f>'4. Отчет и прогн. потребление'!G50</f>
        <v>3972571.4462371534</v>
      </c>
      <c r="G52" s="3374">
        <f>'4. Отчет и прогн. потребление'!H50</f>
        <v>3913932.4036918264</v>
      </c>
      <c r="H52" s="3374">
        <f>'4. Отчет и прогн. потребление'!I50</f>
        <v>3862994.3120866613</v>
      </c>
    </row>
    <row r="53" spans="1:8" ht="15.95" customHeight="1">
      <c r="A53" s="3373" t="s">
        <v>179</v>
      </c>
      <c r="B53" s="3370" t="s">
        <v>1533</v>
      </c>
      <c r="C53" s="3374">
        <f>'4. Отчет и прогн. потребление'!D51</f>
        <v>1666843.0988390977</v>
      </c>
      <c r="D53" s="3374">
        <f>'4. Отчет и прогн. потребление'!E51</f>
        <v>1671298.6161189049</v>
      </c>
      <c r="E53" s="3374">
        <f>'4. Отчет и прогн. потребление'!F51</f>
        <v>1671334</v>
      </c>
      <c r="F53" s="3374">
        <f>'4. Отчет и прогн. потребление'!G51</f>
        <v>1671369</v>
      </c>
      <c r="G53" s="3374">
        <f>'4. Отчет и прогн. потребление'!H51</f>
        <v>1671404</v>
      </c>
      <c r="H53" s="3374">
        <f>'4. Отчет и прогн. потребление'!I51</f>
        <v>1671439</v>
      </c>
    </row>
    <row r="54" spans="1:8" ht="15.95" customHeight="1">
      <c r="A54" s="5414" t="s">
        <v>184</v>
      </c>
      <c r="B54" s="5415"/>
      <c r="C54" s="5415"/>
      <c r="D54" s="5415"/>
      <c r="E54" s="5415"/>
      <c r="F54" s="5415"/>
      <c r="G54" s="5415"/>
      <c r="H54" s="5416"/>
    </row>
    <row r="55" spans="1:8" ht="15.95" customHeight="1">
      <c r="A55" s="5423" t="s">
        <v>185</v>
      </c>
      <c r="B55" s="3417" t="s">
        <v>1533</v>
      </c>
      <c r="C55" s="3426">
        <f>'4. Отчет и прогн. потребление'!D53</f>
        <v>4372096</v>
      </c>
      <c r="D55" s="3426">
        <f>'4. Отчет и прогн. потребление'!E53</f>
        <v>4464860.333333333</v>
      </c>
      <c r="E55" s="3426">
        <f>'4. Отчет и прогн. потребление'!F53</f>
        <v>4468577.6961832568</v>
      </c>
      <c r="F55" s="3426">
        <f>'4. Отчет и прогн. потребление'!G53</f>
        <v>4409914.3923665136</v>
      </c>
      <c r="G55" s="3426">
        <f>'4. Отчет и прогн. потребление'!H53</f>
        <v>4351251.0885497713</v>
      </c>
      <c r="H55" s="3426">
        <f>'4. Отчет и прогн. потребление'!I53</f>
        <v>4300296.5068105608</v>
      </c>
    </row>
    <row r="56" spans="1:8" ht="15.95" customHeight="1">
      <c r="A56" s="5423"/>
      <c r="B56" s="3417" t="s">
        <v>170</v>
      </c>
      <c r="C56" s="3427">
        <f>'4. Отчет и прогн. потребление'!D54</f>
        <v>0.57129051196410519</v>
      </c>
      <c r="D56" s="3427">
        <f>'4. Отчет и прогн. потребление'!E54</f>
        <v>0.58542920558377509</v>
      </c>
      <c r="E56" s="3427">
        <f>'4. Отчет и прогн. потребление'!F54</f>
        <v>0.58239007133096976</v>
      </c>
      <c r="F56" s="3427">
        <f>'4. Отчет и прогн. потребление'!G54</f>
        <v>0.58121485563026998</v>
      </c>
      <c r="G56" s="3427">
        <f>'4. Отчет и прогн. потребление'!H54</f>
        <v>0.56236296583024636</v>
      </c>
      <c r="H56" s="3427">
        <f>'4. Отчет и прогн. потребление'!I54</f>
        <v>0.52445292664534782</v>
      </c>
    </row>
    <row r="57" spans="1:8" ht="15.95" customHeight="1">
      <c r="A57" s="3373" t="s">
        <v>177</v>
      </c>
      <c r="B57" s="3370" t="s">
        <v>1533</v>
      </c>
      <c r="C57" s="3371">
        <f>'4. Отчет и прогн. потребление'!D55</f>
        <v>4155053</v>
      </c>
      <c r="D57" s="3371">
        <f>'4. Отчет и прогн. потребление'!E55</f>
        <v>4205070.333333333</v>
      </c>
      <c r="E57" s="3371">
        <f>'4. Отчет и прогн. потребление'!F55</f>
        <v>4146371.6961832568</v>
      </c>
      <c r="F57" s="3371">
        <f>'4. Отчет и прогн. потребление'!G55</f>
        <v>4087673.3923665136</v>
      </c>
      <c r="G57" s="3371">
        <f>'4. Отчет и прогн. потребление'!H55</f>
        <v>4028975.0885497713</v>
      </c>
      <c r="H57" s="3371">
        <f>'4. Отчет и прогн. потребление'!I55</f>
        <v>3977985.5068105613</v>
      </c>
    </row>
    <row r="58" spans="1:8" ht="15.95" customHeight="1">
      <c r="A58" s="3373" t="s">
        <v>179</v>
      </c>
      <c r="B58" s="3370" t="s">
        <v>1533</v>
      </c>
      <c r="C58" s="3371">
        <f>'4. Отчет и прогн. потребление'!D56</f>
        <v>217043</v>
      </c>
      <c r="D58" s="3371">
        <f>'4. Отчет и прогн. потребление'!E56</f>
        <v>259790</v>
      </c>
      <c r="E58" s="3371">
        <f>'4. Отчет и прогн. потребление'!F56</f>
        <v>322206</v>
      </c>
      <c r="F58" s="3371">
        <f>'4. Отчет и прогн. потребление'!G56</f>
        <v>322241</v>
      </c>
      <c r="G58" s="3371">
        <f>'4. Отчет и прогн. потребление'!H56</f>
        <v>322276</v>
      </c>
      <c r="H58" s="3371">
        <f>'4. Отчет и прогн. потребление'!I56</f>
        <v>322311</v>
      </c>
    </row>
    <row r="59" spans="1:8" ht="15.95" customHeight="1">
      <c r="A59" s="3375" t="s">
        <v>997</v>
      </c>
      <c r="B59" s="3370" t="s">
        <v>1533</v>
      </c>
      <c r="C59" s="3376">
        <f>'4. Отчет и прогн. потребление'!D58</f>
        <v>164876</v>
      </c>
      <c r="D59" s="3376">
        <f>'4. Отчет и прогн. потребление'!E58</f>
        <v>160790</v>
      </c>
      <c r="E59" s="3376">
        <f>'4. Отчет и прогн. потребление'!F58</f>
        <v>164897.54152296222</v>
      </c>
      <c r="F59" s="3376">
        <f>'4. Отчет и прогн. потребление'!G58</f>
        <v>164915.45370943082</v>
      </c>
      <c r="G59" s="3376">
        <f>'4. Отчет и прогн. потребление'!H58</f>
        <v>164933.36589589942</v>
      </c>
      <c r="H59" s="3376">
        <f>'4. Отчет и прогн. потребление'!I58</f>
        <v>164951.27808236802</v>
      </c>
    </row>
    <row r="60" spans="1:8" ht="15.95" customHeight="1">
      <c r="A60" s="3375" t="s">
        <v>998</v>
      </c>
      <c r="B60" s="3370" t="s">
        <v>1533</v>
      </c>
      <c r="C60" s="3376">
        <f>'4. Отчет и прогн. потребление'!D59</f>
        <v>42368.842418530672</v>
      </c>
      <c r="D60" s="3376">
        <f>'4. Отчет и прогн. потребление'!E59</f>
        <v>60000</v>
      </c>
      <c r="E60" s="3376">
        <f>'4. Отчет и прогн. потребление'!F59</f>
        <v>82796.736596517454</v>
      </c>
      <c r="F60" s="3376">
        <f>'4. Отчет и прогн. потребление'!G59</f>
        <v>82805.730487943685</v>
      </c>
      <c r="G60" s="3376">
        <f>'4. Отчет и прогн. потребление'!H59</f>
        <v>82814.724379369902</v>
      </c>
      <c r="H60" s="3376">
        <f>'4. Отчет и прогн. потребление'!I59</f>
        <v>82823.718270796133</v>
      </c>
    </row>
    <row r="61" spans="1:8" ht="15.95" customHeight="1">
      <c r="A61" s="3375" t="s">
        <v>999</v>
      </c>
      <c r="B61" s="3370" t="s">
        <v>1533</v>
      </c>
      <c r="C61" s="3376">
        <f>'4. Отчет и прогн. потребление'!D60</f>
        <v>9798.0031491938407</v>
      </c>
      <c r="D61" s="3376">
        <f>'4. Отчет и прогн. потребление'!E60</f>
        <v>39000</v>
      </c>
      <c r="E61" s="3376">
        <f>'4. Отчет и прогн. потребление'!F60</f>
        <v>74511.721880520345</v>
      </c>
      <c r="F61" s="3376">
        <f>'4. Отчет и прогн. потребление'!G60</f>
        <v>74519.815802625526</v>
      </c>
      <c r="G61" s="3376">
        <f>'4. Отчет и прогн. потребление'!H60</f>
        <v>74527.909724730693</v>
      </c>
      <c r="H61" s="3376">
        <f>'4. Отчет и прогн. потребление'!I60</f>
        <v>74536.003646835859</v>
      </c>
    </row>
    <row r="62" spans="1:8" ht="15.95" customHeight="1">
      <c r="A62" s="5414" t="s">
        <v>1236</v>
      </c>
      <c r="B62" s="5415"/>
      <c r="C62" s="5415"/>
      <c r="D62" s="5415"/>
      <c r="E62" s="5415"/>
      <c r="F62" s="5415"/>
      <c r="G62" s="5415"/>
      <c r="H62" s="5416"/>
    </row>
    <row r="63" spans="1:8" ht="15.95" customHeight="1">
      <c r="A63" s="3416" t="s">
        <v>570</v>
      </c>
      <c r="B63" s="3417" t="s">
        <v>1533</v>
      </c>
      <c r="C63" s="3418">
        <f>'4. Отчет и прогн. потребление'!D62</f>
        <v>0</v>
      </c>
      <c r="D63" s="3418">
        <f>'4. Отчет и прогн. потребление'!E62</f>
        <v>0</v>
      </c>
      <c r="E63" s="3418">
        <f>'4. Отчет и прогн. потребление'!F62</f>
        <v>0</v>
      </c>
      <c r="F63" s="3418">
        <f>'4. Отчет и прогн. потребление'!G62</f>
        <v>0</v>
      </c>
      <c r="G63" s="3418">
        <f>'4. Отчет и прогн. потребление'!H62</f>
        <v>0</v>
      </c>
      <c r="H63" s="3418">
        <f>'4. Отчет и прогн. потребление'!I62</f>
        <v>0</v>
      </c>
    </row>
    <row r="64" spans="1:8" ht="15.95" customHeight="1">
      <c r="A64" s="5417" t="s">
        <v>572</v>
      </c>
      <c r="B64" s="3370" t="s">
        <v>1533</v>
      </c>
      <c r="C64" s="3371">
        <f>'4. Отчет и прогн. потребление'!D69</f>
        <v>0</v>
      </c>
      <c r="D64" s="3371">
        <f>'4. Отчет и прогн. потребление'!E69</f>
        <v>0</v>
      </c>
      <c r="E64" s="3371">
        <f>'4. Отчет и прогн. потребление'!F69</f>
        <v>0</v>
      </c>
      <c r="F64" s="3371">
        <f>'4. Отчет и прогн. потребление'!G69</f>
        <v>0</v>
      </c>
      <c r="G64" s="3371">
        <f>'4. Отчет и прогн. потребление'!H69</f>
        <v>0</v>
      </c>
      <c r="H64" s="3371">
        <f>'4. Отчет и прогн. потребление'!I69</f>
        <v>0</v>
      </c>
    </row>
    <row r="65" spans="1:8" ht="15.95" customHeight="1">
      <c r="A65" s="5418"/>
      <c r="B65" s="3370" t="s">
        <v>170</v>
      </c>
      <c r="C65" s="3372">
        <f>'4. Отчет и прогн. потребление'!D70</f>
        <v>0</v>
      </c>
      <c r="D65" s="3372">
        <f>'4. Отчет и прогн. потребление'!E70</f>
        <v>0</v>
      </c>
      <c r="E65" s="3372">
        <f>'4. Отчет и прогн. потребление'!F70</f>
        <v>0</v>
      </c>
      <c r="F65" s="3372">
        <f>'4. Отчет и прогн. потребление'!G70</f>
        <v>0</v>
      </c>
      <c r="G65" s="3372">
        <f>'4. Отчет и прогн. потребление'!H70</f>
        <v>0</v>
      </c>
      <c r="H65" s="3372">
        <f>'4. Отчет и прогн. потребление'!I70</f>
        <v>0</v>
      </c>
    </row>
    <row r="66" spans="1:8" ht="15.95" customHeight="1">
      <c r="A66" s="5419" t="s">
        <v>594</v>
      </c>
      <c r="B66" s="3417" t="s">
        <v>1533</v>
      </c>
      <c r="C66" s="3418">
        <f>'4. Отчет и прогн. потребление'!D88</f>
        <v>0</v>
      </c>
      <c r="D66" s="3418">
        <f>'4. Отчет и прогн. потребление'!E88</f>
        <v>0</v>
      </c>
      <c r="E66" s="3418">
        <f>'4. Отчет и прогн. потребление'!F88</f>
        <v>0</v>
      </c>
      <c r="F66" s="3418">
        <f>'4. Отчет и прогн. потребление'!G88</f>
        <v>0</v>
      </c>
      <c r="G66" s="3418">
        <f>'4. Отчет и прогн. потребление'!H88</f>
        <v>0</v>
      </c>
      <c r="H66" s="3418">
        <f>'4. Отчет и прогн. потребление'!I88</f>
        <v>0</v>
      </c>
    </row>
    <row r="67" spans="1:8" ht="15.95" customHeight="1">
      <c r="A67" s="5420"/>
      <c r="B67" s="3417" t="s">
        <v>170</v>
      </c>
      <c r="C67" s="3425">
        <f>'4. Отчет и прогн. потребление'!D89</f>
        <v>0</v>
      </c>
      <c r="D67" s="3425">
        <f>'4. Отчет и прогн. потребление'!E89</f>
        <v>0</v>
      </c>
      <c r="E67" s="3425">
        <f>'4. Отчет и прогн. потребление'!F89</f>
        <v>0</v>
      </c>
      <c r="F67" s="3425">
        <f>'4. Отчет и прогн. потребление'!G89</f>
        <v>0</v>
      </c>
      <c r="G67" s="3425">
        <f>'4. Отчет и прогн. потребление'!H89</f>
        <v>0</v>
      </c>
      <c r="H67" s="3425">
        <f>'4. Отчет и прогн. потребление'!I89</f>
        <v>0</v>
      </c>
    </row>
    <row r="68" spans="1:8" ht="15.95" customHeight="1">
      <c r="A68" s="5421"/>
      <c r="B68" s="3417" t="s">
        <v>1534</v>
      </c>
      <c r="C68" s="3424">
        <f>'4. Отчет и прогн. потребление'!D90</f>
        <v>0</v>
      </c>
      <c r="D68" s="3424">
        <f>'4. Отчет и прогн. потребление'!E90</f>
        <v>0</v>
      </c>
      <c r="E68" s="3424">
        <f>'4. Отчет и прогн. потребление'!F90</f>
        <v>0</v>
      </c>
      <c r="F68" s="3424">
        <f>'4. Отчет и прогн. потребление'!G90</f>
        <v>0</v>
      </c>
      <c r="G68" s="3424">
        <f>'4. Отчет и прогн. потребление'!H90</f>
        <v>0</v>
      </c>
      <c r="H68" s="3424">
        <f>'4. Отчет и прогн. потребление'!I90</f>
        <v>0</v>
      </c>
    </row>
    <row r="69" spans="1:8" ht="15.95" customHeight="1">
      <c r="A69" s="5414" t="s">
        <v>1092</v>
      </c>
      <c r="B69" s="5415"/>
      <c r="C69" s="5415"/>
      <c r="D69" s="5415"/>
      <c r="E69" s="5415"/>
      <c r="F69" s="5415"/>
      <c r="G69" s="5415"/>
      <c r="H69" s="5416"/>
    </row>
    <row r="70" spans="1:8" ht="15.95" customHeight="1">
      <c r="A70" s="3416" t="s">
        <v>570</v>
      </c>
      <c r="B70" s="3417" t="s">
        <v>1533</v>
      </c>
      <c r="C70" s="3418">
        <f>'4. Отчет и прогн. потребление'!D93</f>
        <v>0</v>
      </c>
      <c r="D70" s="3418">
        <f>'4. Отчет и прогн. потребление'!E93</f>
        <v>0</v>
      </c>
      <c r="E70" s="3418">
        <f>'4. Отчет и прогн. потребление'!F93</f>
        <v>0</v>
      </c>
      <c r="F70" s="3418">
        <f>'4. Отчет и прогн. потребление'!G93</f>
        <v>0</v>
      </c>
      <c r="G70" s="3418">
        <f>'4. Отчет и прогн. потребление'!H93</f>
        <v>0</v>
      </c>
      <c r="H70" s="3418">
        <f>'4. Отчет и прогн. потребление'!I93</f>
        <v>0</v>
      </c>
    </row>
    <row r="71" spans="1:8" ht="15.95" customHeight="1">
      <c r="A71" s="5417" t="s">
        <v>572</v>
      </c>
      <c r="B71" s="3370" t="s">
        <v>1533</v>
      </c>
      <c r="C71" s="3371">
        <f>'4. Отчет и прогн. потребление'!D100</f>
        <v>0</v>
      </c>
      <c r="D71" s="3371">
        <f>'4. Отчет и прогн. потребление'!E100</f>
        <v>0</v>
      </c>
      <c r="E71" s="3371">
        <f>'4. Отчет и прогн. потребление'!F100</f>
        <v>0</v>
      </c>
      <c r="F71" s="3371">
        <f>'4. Отчет и прогн. потребление'!G100</f>
        <v>0</v>
      </c>
      <c r="G71" s="3371">
        <f>'4. Отчет и прогн. потребление'!H100</f>
        <v>0</v>
      </c>
      <c r="H71" s="3371">
        <f>'4. Отчет и прогн. потребление'!I100</f>
        <v>0</v>
      </c>
    </row>
    <row r="72" spans="1:8" ht="15.95" customHeight="1">
      <c r="A72" s="5418"/>
      <c r="B72" s="3370" t="s">
        <v>170</v>
      </c>
      <c r="C72" s="3372">
        <f>'4. Отчет и прогн. потребление'!D101</f>
        <v>0</v>
      </c>
      <c r="D72" s="3372">
        <f>'4. Отчет и прогн. потребление'!E101</f>
        <v>0</v>
      </c>
      <c r="E72" s="3372">
        <f>'4. Отчет и прогн. потребление'!F101</f>
        <v>0</v>
      </c>
      <c r="F72" s="3372">
        <f>'4. Отчет и прогн. потребление'!G101</f>
        <v>0</v>
      </c>
      <c r="G72" s="3372">
        <f>'4. Отчет и прогн. потребление'!H101</f>
        <v>0</v>
      </c>
      <c r="H72" s="3372">
        <f>'4. Отчет и прогн. потребление'!I101</f>
        <v>0</v>
      </c>
    </row>
    <row r="73" spans="1:8" ht="15.95" customHeight="1">
      <c r="A73" s="5419" t="s">
        <v>594</v>
      </c>
      <c r="B73" s="3417" t="s">
        <v>1533</v>
      </c>
      <c r="C73" s="3418">
        <f>'4. Отчет и прогн. потребление'!D110</f>
        <v>0</v>
      </c>
      <c r="D73" s="3418">
        <f>'4. Отчет и прогн. потребление'!E110</f>
        <v>0</v>
      </c>
      <c r="E73" s="3418">
        <f>'4. Отчет и прогн. потребление'!F110</f>
        <v>0</v>
      </c>
      <c r="F73" s="3418">
        <f>'4. Отчет и прогн. потребление'!G110</f>
        <v>0</v>
      </c>
      <c r="G73" s="3418">
        <f>'4. Отчет и прогн. потребление'!H110</f>
        <v>0</v>
      </c>
      <c r="H73" s="3418">
        <f>'4. Отчет и прогн. потребление'!I110</f>
        <v>0</v>
      </c>
    </row>
    <row r="74" spans="1:8" ht="15.95" customHeight="1">
      <c r="A74" s="5421"/>
      <c r="B74" s="3417" t="s">
        <v>170</v>
      </c>
      <c r="C74" s="3425">
        <f>'4. Отчет и прогн. потребление'!D111</f>
        <v>0</v>
      </c>
      <c r="D74" s="3425">
        <f>'4. Отчет и прогн. потребление'!E111</f>
        <v>0</v>
      </c>
      <c r="E74" s="3425">
        <f>'4. Отчет и прогн. потребление'!F111</f>
        <v>0</v>
      </c>
      <c r="F74" s="3425">
        <f>'4. Отчет и прогн. потребление'!G111</f>
        <v>0</v>
      </c>
      <c r="G74" s="3425">
        <f>'4. Отчет и прогн. потребление'!H111</f>
        <v>0</v>
      </c>
      <c r="H74" s="3425">
        <f>'4. Отчет и прогн. потребление'!I111</f>
        <v>0</v>
      </c>
    </row>
    <row r="76" spans="1:8" ht="15.75">
      <c r="A76" s="3430" t="s">
        <v>872</v>
      </c>
    </row>
    <row r="77" spans="1:8" ht="18" customHeight="1">
      <c r="A77" s="3390" t="s">
        <v>2</v>
      </c>
      <c r="B77" s="3391" t="s">
        <v>1535</v>
      </c>
      <c r="C77" s="4303" t="str">
        <f>+'15. ОПП'!$B$7</f>
        <v>2024 г.</v>
      </c>
      <c r="D77" s="4303" t="str">
        <f>+'15. ОПП'!$C$7</f>
        <v>2027 г.</v>
      </c>
      <c r="E77" s="4303" t="str">
        <f>+'15. ОПП'!$D$7</f>
        <v>2028 г.</v>
      </c>
      <c r="F77" s="4303" t="str">
        <f>+'15. ОПП'!$E$7</f>
        <v>2029 г.</v>
      </c>
      <c r="G77" s="4303" t="str">
        <f>+'15. ОПП'!$F$7</f>
        <v>2030 г.</v>
      </c>
      <c r="H77" s="4303" t="str">
        <f>+'15. ОПП'!$G$7</f>
        <v>2031 г.</v>
      </c>
    </row>
    <row r="78" spans="1:8" ht="18" customHeight="1">
      <c r="A78" s="3479" t="s">
        <v>1126</v>
      </c>
      <c r="B78" s="3389" t="s">
        <v>595</v>
      </c>
      <c r="C78" s="3526">
        <f>'7. Утайки от ПСОВ'!D19</f>
        <v>0</v>
      </c>
      <c r="D78" s="3526">
        <f>'7. Утайки от ПСОВ'!G19</f>
        <v>1200</v>
      </c>
      <c r="E78" s="3526">
        <f>'7. Утайки от ПСОВ'!H19</f>
        <v>1200</v>
      </c>
      <c r="F78" s="3526">
        <f>'7. Утайки от ПСОВ'!I19</f>
        <v>1023</v>
      </c>
      <c r="G78" s="3526">
        <f>'7. Утайки от ПСОВ'!J19</f>
        <v>400</v>
      </c>
      <c r="H78" s="3526">
        <f>'7. Утайки от ПСОВ'!K19</f>
        <v>0</v>
      </c>
    </row>
    <row r="79" spans="1:8" ht="18" customHeight="1">
      <c r="A79" s="3480" t="s">
        <v>1558</v>
      </c>
      <c r="B79" s="3389" t="s">
        <v>595</v>
      </c>
      <c r="C79" s="3526">
        <f>'7. Утайки от ПСОВ'!D14</f>
        <v>779</v>
      </c>
      <c r="D79" s="3526">
        <f>'7. Утайки от ПСОВ'!G14</f>
        <v>1000</v>
      </c>
      <c r="E79" s="3526">
        <f>'7. Утайки от ПСОВ'!H14</f>
        <v>1200</v>
      </c>
      <c r="F79" s="3526">
        <f>'7. Утайки от ПСОВ'!I14</f>
        <v>1000</v>
      </c>
      <c r="G79" s="3526">
        <f>'7. Утайки от ПСОВ'!J14</f>
        <v>1000</v>
      </c>
      <c r="H79" s="3526">
        <f>'7. Утайки от ПСОВ'!K14</f>
        <v>1000</v>
      </c>
    </row>
    <row r="80" spans="1:8" ht="18" customHeight="1">
      <c r="A80" s="3481" t="s">
        <v>1000</v>
      </c>
      <c r="B80" s="3482" t="s">
        <v>595</v>
      </c>
      <c r="C80" s="3644">
        <f>C78+C79</f>
        <v>779</v>
      </c>
      <c r="D80" s="3644">
        <f>D78+D79</f>
        <v>2200</v>
      </c>
      <c r="E80" s="3644">
        <f>E78+E79</f>
        <v>2400</v>
      </c>
      <c r="F80" s="3644">
        <f>F78+F79</f>
        <v>2023</v>
      </c>
      <c r="G80" s="3644">
        <f t="shared" ref="G80:H80" si="5">G78+G79</f>
        <v>1400</v>
      </c>
      <c r="H80" s="3644">
        <f t="shared" si="5"/>
        <v>1000</v>
      </c>
    </row>
    <row r="81" spans="1:8" ht="18" customHeight="1">
      <c r="A81" s="3483" t="s">
        <v>622</v>
      </c>
      <c r="B81" s="3483" t="s">
        <v>1903</v>
      </c>
      <c r="C81" s="4305">
        <f>'7. Утайки от ПСОВ'!N32</f>
        <v>57.272566820516076</v>
      </c>
      <c r="D81" s="4305">
        <f>'7. Утайки от ПСОВ'!Q32</f>
        <v>48.80513411418449</v>
      </c>
      <c r="E81" s="4305">
        <f>'7. Утайки от ПСОВ'!R32</f>
        <v>46.974941584902574</v>
      </c>
      <c r="F81" s="4305">
        <f>'7. Утайки от ПСОВ'!S32</f>
        <v>58.515498168044729</v>
      </c>
      <c r="G81" s="4305">
        <f>'7. Утайки от ПСОВ'!T32</f>
        <v>62.651744126169312</v>
      </c>
      <c r="H81" s="4305">
        <f>'7. Утайки от ПСОВ'!U32</f>
        <v>65.255240102667415</v>
      </c>
    </row>
    <row r="82" spans="1:8" ht="18" customHeight="1">
      <c r="A82" s="3484"/>
      <c r="B82" s="3484"/>
      <c r="C82" s="4281"/>
      <c r="D82" s="4281"/>
      <c r="E82" s="4281"/>
      <c r="F82" s="4281"/>
      <c r="G82" s="4281"/>
      <c r="H82" s="4281"/>
    </row>
    <row r="83" spans="1:8" ht="18" customHeight="1">
      <c r="A83" s="3390" t="s">
        <v>2</v>
      </c>
      <c r="B83" s="3391" t="s">
        <v>1535</v>
      </c>
      <c r="C83" s="4303" t="str">
        <f>+'15. ОПП'!$B$7</f>
        <v>2024 г.</v>
      </c>
      <c r="D83" s="4303" t="str">
        <f>+'15. ОПП'!$C$7</f>
        <v>2027 г.</v>
      </c>
      <c r="E83" s="4303" t="str">
        <f>+'15. ОПП'!$D$7</f>
        <v>2028 г.</v>
      </c>
      <c r="F83" s="4303" t="str">
        <f>+'15. ОПП'!$E$7</f>
        <v>2029 г.</v>
      </c>
      <c r="G83" s="4303" t="str">
        <f>+'15. ОПП'!$F$7</f>
        <v>2030 г.</v>
      </c>
      <c r="H83" s="4303" t="str">
        <f>+'15. ОПП'!$G$7</f>
        <v>2031 г.</v>
      </c>
    </row>
    <row r="84" spans="1:8" ht="18" customHeight="1">
      <c r="A84" s="5403" t="s">
        <v>1126</v>
      </c>
      <c r="B84" s="3482" t="s">
        <v>1559</v>
      </c>
      <c r="C84" s="3644">
        <f>'7. Утайки от ПСОВ'!D39</f>
        <v>0</v>
      </c>
      <c r="D84" s="3644">
        <f>'7. Утайки от ПСОВ'!G39</f>
        <v>6000.0000000000009</v>
      </c>
      <c r="E84" s="3644">
        <f>'7. Утайки от ПСОВ'!H39</f>
        <v>6000.0000000000009</v>
      </c>
      <c r="F84" s="3644">
        <f>'7. Утайки от ПСОВ'!I39</f>
        <v>5115.0000000000009</v>
      </c>
      <c r="G84" s="3644">
        <f>'7. Утайки от ПСОВ'!J39</f>
        <v>2000.0000000000005</v>
      </c>
      <c r="H84" s="3644">
        <f>'7. Утайки от ПСОВ'!K39</f>
        <v>0</v>
      </c>
    </row>
    <row r="85" spans="1:8" ht="18" customHeight="1">
      <c r="A85" s="5403"/>
      <c r="B85" s="3389" t="s">
        <v>1904</v>
      </c>
      <c r="C85" s="4305">
        <f>'7. Утайки от ПСОВ'!N42</f>
        <v>0</v>
      </c>
      <c r="D85" s="4305">
        <f>'7. Утайки от ПСОВ'!Q42</f>
        <v>8.9476079209338213</v>
      </c>
      <c r="E85" s="4305">
        <f>'7. Утайки от ПСОВ'!R42</f>
        <v>9.3949883169805126</v>
      </c>
      <c r="F85" s="4305">
        <f>'7. Утайки от ПСОВ'!S42</f>
        <v>11.571539862556644</v>
      </c>
      <c r="G85" s="4305">
        <f>'7. Утайки от ПСОВ'!T42</f>
        <v>12.782297029905459</v>
      </c>
      <c r="H85" s="4305">
        <f>'7. Утайки от ПСОВ'!U42</f>
        <v>0</v>
      </c>
    </row>
    <row r="86" spans="1:8" ht="18" customHeight="1">
      <c r="A86" s="5403" t="s">
        <v>1124</v>
      </c>
      <c r="B86" s="3482" t="s">
        <v>1559</v>
      </c>
      <c r="C86" s="3644">
        <f>'7. Утайки от ПСОВ'!D38</f>
        <v>5193.3333333333321</v>
      </c>
      <c r="D86" s="3644">
        <f>'7. Утайки от ПСОВ'!G38</f>
        <v>4000</v>
      </c>
      <c r="E86" s="3644">
        <f>'7. Утайки от ПСОВ'!H38</f>
        <v>4800</v>
      </c>
      <c r="F86" s="3644">
        <f>'7. Утайки от ПСОВ'!I38</f>
        <v>4000</v>
      </c>
      <c r="G86" s="3644">
        <f>'7. Утайки от ПСОВ'!J38</f>
        <v>4000</v>
      </c>
      <c r="H86" s="3644">
        <f>'7. Утайки от ПСОВ'!K38</f>
        <v>4000</v>
      </c>
    </row>
    <row r="87" spans="1:8" ht="18" customHeight="1">
      <c r="A87" s="5403"/>
      <c r="B87" s="3389" t="s">
        <v>1904</v>
      </c>
      <c r="C87" s="4305">
        <f>'7. Утайки от ПСОВ'!N41</f>
        <v>8.5908850230774139</v>
      </c>
      <c r="D87" s="4305">
        <f>'7. Утайки от ПСОВ'!Q41</f>
        <v>13.421411881400736</v>
      </c>
      <c r="E87" s="4305">
        <f>'7. Утайки от ПСОВ'!R41</f>
        <v>11.743735396225643</v>
      </c>
      <c r="F87" s="4305">
        <f>'7. Утайки от ПСОВ'!S41</f>
        <v>14.79710659924431</v>
      </c>
      <c r="G87" s="4305">
        <f>'7. Утайки от ПСОВ'!T41</f>
        <v>15.536961929206528</v>
      </c>
      <c r="H87" s="4305">
        <f>'7. Утайки от ПСОВ'!U41</f>
        <v>16.313810025666854</v>
      </c>
    </row>
  </sheetData>
  <mergeCells count="36">
    <mergeCell ref="A73:A74"/>
    <mergeCell ref="A84:A85"/>
    <mergeCell ref="A86:A87"/>
    <mergeCell ref="A55:A56"/>
    <mergeCell ref="A62:H62"/>
    <mergeCell ref="A64:A65"/>
    <mergeCell ref="A66:A68"/>
    <mergeCell ref="A69:H69"/>
    <mergeCell ref="A71:A72"/>
    <mergeCell ref="A54:H54"/>
    <mergeCell ref="A31:H31"/>
    <mergeCell ref="A33:A34"/>
    <mergeCell ref="A35:A36"/>
    <mergeCell ref="Y35:AI35"/>
    <mergeCell ref="A37:A38"/>
    <mergeCell ref="A39:A41"/>
    <mergeCell ref="A42:A43"/>
    <mergeCell ref="A44:A45"/>
    <mergeCell ref="A46:A48"/>
    <mergeCell ref="A49:H49"/>
    <mergeCell ref="A50:A51"/>
    <mergeCell ref="A13:A14"/>
    <mergeCell ref="B13:B14"/>
    <mergeCell ref="C13:H13"/>
    <mergeCell ref="A29:A30"/>
    <mergeCell ref="B29:B30"/>
    <mergeCell ref="C29:H29"/>
    <mergeCell ref="Y2:AI2"/>
    <mergeCell ref="K3:K4"/>
    <mergeCell ref="L3:Q3"/>
    <mergeCell ref="R3:W3"/>
    <mergeCell ref="A2:A3"/>
    <mergeCell ref="B2:B3"/>
    <mergeCell ref="C2:H2"/>
    <mergeCell ref="J2:J4"/>
    <mergeCell ref="K2:W2"/>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V61"/>
  <sheetViews>
    <sheetView zoomScaleNormal="100" workbookViewId="0">
      <selection activeCell="AK32" sqref="AK32:AP32"/>
    </sheetView>
  </sheetViews>
  <sheetFormatPr defaultColWidth="9.140625" defaultRowHeight="12.75"/>
  <cols>
    <col min="1" max="1" width="32" style="11" customWidth="1"/>
    <col min="2" max="2" width="4.85546875" style="4286" customWidth="1"/>
    <col min="3" max="10" width="5" style="11" customWidth="1"/>
    <col min="11" max="11" width="5" style="3381" customWidth="1"/>
    <col min="12" max="14" width="5" style="11" customWidth="1"/>
    <col min="15" max="15" width="6.85546875" style="11" customWidth="1"/>
    <col min="16" max="16" width="6.42578125" style="11" customWidth="1"/>
    <col min="17" max="17" width="4.5703125" style="11" customWidth="1"/>
    <col min="18" max="18" width="26.5703125" style="11" customWidth="1"/>
    <col min="19" max="24" width="6.5703125" style="11" customWidth="1"/>
    <col min="25" max="26" width="7" style="11" customWidth="1"/>
    <col min="27" max="27" width="4.42578125" style="11" customWidth="1"/>
    <col min="28" max="28" width="39.5703125" style="709" customWidth="1"/>
    <col min="29" max="35" width="9.140625" style="4216"/>
    <col min="36" max="36" width="5.42578125" style="11" customWidth="1"/>
    <col min="37" max="37" width="39.5703125" style="709" customWidth="1"/>
    <col min="38" max="43" width="9.140625" style="11"/>
    <col min="44" max="44" width="10" style="11" bestFit="1" customWidth="1"/>
    <col min="45" max="16384" width="9.140625" style="11"/>
  </cols>
  <sheetData>
    <row r="1" spans="1:42" ht="15.75">
      <c r="A1" s="3430" t="s">
        <v>877</v>
      </c>
      <c r="R1" s="3430" t="s">
        <v>1403</v>
      </c>
      <c r="AB1" s="3485" t="s">
        <v>1700</v>
      </c>
      <c r="AK1" s="3485" t="s">
        <v>1701</v>
      </c>
      <c r="AL1" s="4216"/>
      <c r="AM1" s="4216"/>
      <c r="AN1" s="4216"/>
      <c r="AO1" s="4216"/>
      <c r="AP1" s="4216"/>
    </row>
    <row r="2" spans="1:42" ht="12.6" customHeight="1">
      <c r="A2" s="5432" t="s">
        <v>2</v>
      </c>
      <c r="B2" s="5440" t="s">
        <v>1538</v>
      </c>
      <c r="C2" s="5442" t="s">
        <v>207</v>
      </c>
      <c r="D2" s="5443"/>
      <c r="E2" s="5443"/>
      <c r="F2" s="5443"/>
      <c r="G2" s="5443"/>
      <c r="H2" s="5444"/>
      <c r="I2" s="5442" t="s">
        <v>208</v>
      </c>
      <c r="J2" s="5443"/>
      <c r="K2" s="5443"/>
      <c r="L2" s="5443"/>
      <c r="M2" s="5443"/>
      <c r="N2" s="5444"/>
      <c r="O2" s="5432" t="str">
        <f>CONCATENATE("Изменение ", H3,"спрямо ",D3)</f>
        <v>Изменение 2031 г.спрямо 2027 г.</v>
      </c>
      <c r="P2" s="5432" t="str">
        <f>CONCATENATE("Изменение ", N3,"спрямо ",J3)</f>
        <v>Изменение 2031 г.спрямо 2027 г.</v>
      </c>
      <c r="R2" s="5432" t="s">
        <v>1727</v>
      </c>
      <c r="S2" s="5448" t="s">
        <v>1563</v>
      </c>
      <c r="T2" s="5448"/>
      <c r="U2" s="5448"/>
      <c r="V2" s="5448"/>
      <c r="W2" s="5448"/>
      <c r="X2" s="5448"/>
      <c r="Y2" s="5432" t="str">
        <f>CONCATENATE("Изменение ", T3,"спрямо ",S3)</f>
        <v>Изменение 2027 г.спрямо 2024 г.</v>
      </c>
      <c r="Z2" s="5432" t="str">
        <f>CONCATENATE("Изменение ", X3,"спрямо ",T3)</f>
        <v>Изменение 2031 г.спрямо 2027 г.</v>
      </c>
      <c r="AB2" s="5431" t="s">
        <v>1705</v>
      </c>
      <c r="AC2" s="5431" t="s">
        <v>210</v>
      </c>
      <c r="AD2" s="5431"/>
      <c r="AE2" s="5431"/>
      <c r="AF2" s="5431"/>
      <c r="AG2" s="5431"/>
      <c r="AH2" s="11"/>
      <c r="AI2" s="11"/>
      <c r="AK2" s="5431" t="s">
        <v>1698</v>
      </c>
      <c r="AL2" s="5432" t="str">
        <f>+'15. ОПП'!$C$7</f>
        <v>2027 г.</v>
      </c>
      <c r="AM2" s="5432" t="str">
        <f>+'15. ОПП'!$D$7</f>
        <v>2028 г.</v>
      </c>
      <c r="AN2" s="5432" t="str">
        <f>+'15. ОПП'!$E$7</f>
        <v>2029 г.</v>
      </c>
      <c r="AO2" s="5432" t="str">
        <f>+'15. ОПП'!$F$7</f>
        <v>2030 г.</v>
      </c>
      <c r="AP2" s="5432" t="str">
        <f>+'15. ОПП'!$G$7</f>
        <v>2031 г.</v>
      </c>
    </row>
    <row r="3" spans="1:42" ht="27.75" customHeight="1">
      <c r="A3" s="5433"/>
      <c r="B3" s="5441"/>
      <c r="C3" s="4287" t="str">
        <f>+'15. ОПП'!$B$7</f>
        <v>2024 г.</v>
      </c>
      <c r="D3" s="4287" t="str">
        <f>+'15. ОПП'!$C$7</f>
        <v>2027 г.</v>
      </c>
      <c r="E3" s="4287" t="str">
        <f>+'15. ОПП'!$D$7</f>
        <v>2028 г.</v>
      </c>
      <c r="F3" s="4287" t="str">
        <f>+'15. ОПП'!$E$7</f>
        <v>2029 г.</v>
      </c>
      <c r="G3" s="4287" t="str">
        <f>+'15. ОПП'!$F$7</f>
        <v>2030 г.</v>
      </c>
      <c r="H3" s="4287" t="str">
        <f>+'15. ОПП'!$G$7</f>
        <v>2031 г.</v>
      </c>
      <c r="I3" s="4287" t="str">
        <f>+'15. ОПП'!$B$7</f>
        <v>2024 г.</v>
      </c>
      <c r="J3" s="4287" t="str">
        <f>+'15. ОПП'!$C$7</f>
        <v>2027 г.</v>
      </c>
      <c r="K3" s="4287" t="str">
        <f>+'15. ОПП'!$D$7</f>
        <v>2028 г.</v>
      </c>
      <c r="L3" s="4287" t="str">
        <f>+'15. ОПП'!$E$7</f>
        <v>2029 г.</v>
      </c>
      <c r="M3" s="4287" t="str">
        <f>+'15. ОПП'!$F$7</f>
        <v>2030 г.</v>
      </c>
      <c r="N3" s="4287" t="str">
        <f>+'15. ОПП'!$G$7</f>
        <v>2031 г.</v>
      </c>
      <c r="O3" s="5433"/>
      <c r="P3" s="5433"/>
      <c r="R3" s="5433"/>
      <c r="S3" s="4220" t="str">
        <f>+'15. ОПП'!$B$7</f>
        <v>2024 г.</v>
      </c>
      <c r="T3" s="4220" t="str">
        <f>+'15. ОПП'!$C$7</f>
        <v>2027 г.</v>
      </c>
      <c r="U3" s="4220" t="str">
        <f>+'15. ОПП'!$D$7</f>
        <v>2028 г.</v>
      </c>
      <c r="V3" s="4220" t="str">
        <f>+'15. ОПП'!$E$7</f>
        <v>2029 г.</v>
      </c>
      <c r="W3" s="4220" t="str">
        <f>+'15. ОПП'!$F$7</f>
        <v>2030 г.</v>
      </c>
      <c r="X3" s="4220" t="str">
        <f>+'15. ОПП'!$G$7</f>
        <v>2031 г.</v>
      </c>
      <c r="Y3" s="5433"/>
      <c r="Z3" s="5433"/>
      <c r="AB3" s="5431"/>
      <c r="AC3" s="4220" t="str">
        <f>+'15. ОПП'!$C$7</f>
        <v>2027 г.</v>
      </c>
      <c r="AD3" s="4220" t="str">
        <f>+'15. ОПП'!$D$7</f>
        <v>2028 г.</v>
      </c>
      <c r="AE3" s="4220" t="str">
        <f>+'15. ОПП'!$E$7</f>
        <v>2029 г.</v>
      </c>
      <c r="AF3" s="4220" t="str">
        <f>+'15. ОПП'!$F$7</f>
        <v>2030 г.</v>
      </c>
      <c r="AG3" s="4220" t="str">
        <f>+'15. ОПП'!$G$7</f>
        <v>2031 г.</v>
      </c>
      <c r="AH3" s="11"/>
      <c r="AI3" s="11"/>
      <c r="AK3" s="5431"/>
      <c r="AL3" s="5433" t="str">
        <f>+'15. ОПП'!$C$7</f>
        <v>2027 г.</v>
      </c>
      <c r="AM3" s="5433" t="str">
        <f>+'15. ОПП'!$D$7</f>
        <v>2028 г.</v>
      </c>
      <c r="AN3" s="5433" t="str">
        <f>+'15. ОПП'!$E$7</f>
        <v>2029 г.</v>
      </c>
      <c r="AO3" s="5433" t="str">
        <f>+'15. ОПП'!$F$7</f>
        <v>2030 г.</v>
      </c>
      <c r="AP3" s="5433" t="str">
        <f>+'15. ОПП'!$G$7</f>
        <v>2031 г.</v>
      </c>
    </row>
    <row r="4" spans="1:42" ht="15.95" customHeight="1">
      <c r="A4" s="3382" t="s">
        <v>1543</v>
      </c>
      <c r="B4" s="3486" t="s">
        <v>676</v>
      </c>
      <c r="C4" s="3487">
        <f>'5. Персонал'!C11</f>
        <v>512</v>
      </c>
      <c r="D4" s="3487">
        <f>'5. Персонал'!D11</f>
        <v>508</v>
      </c>
      <c r="E4" s="3487">
        <f>'5. Персонал'!E11</f>
        <v>508</v>
      </c>
      <c r="F4" s="3487">
        <f>'5. Персонал'!F11</f>
        <v>508</v>
      </c>
      <c r="G4" s="3487">
        <f>'5. Персонал'!G11</f>
        <v>518</v>
      </c>
      <c r="H4" s="3487">
        <f>'5. Персонал'!H11</f>
        <v>518</v>
      </c>
      <c r="I4" s="3487">
        <f>'5. Персонал'!I11</f>
        <v>19</v>
      </c>
      <c r="J4" s="3487">
        <f>'5. Персонал'!J11</f>
        <v>16</v>
      </c>
      <c r="K4" s="3487">
        <f>'5. Персонал'!K11</f>
        <v>16</v>
      </c>
      <c r="L4" s="3487">
        <f>'5. Персонал'!L11</f>
        <v>16</v>
      </c>
      <c r="M4" s="3487">
        <f>'5. Персонал'!M11</f>
        <v>16</v>
      </c>
      <c r="N4" s="3487">
        <f>'5. Персонал'!N11</f>
        <v>16</v>
      </c>
      <c r="O4" s="4215">
        <f>IFERROR((H4-D4)/D4,0)</f>
        <v>1.968503937007874E-2</v>
      </c>
      <c r="P4" s="4215">
        <f>IFERROR((N4-J4)/J4,0)</f>
        <v>0</v>
      </c>
      <c r="R4" s="4234" t="s">
        <v>207</v>
      </c>
      <c r="S4" s="3526">
        <f>'8. Ремонтна програма'!D24</f>
        <v>8266</v>
      </c>
      <c r="T4" s="3526">
        <f>'8. Ремонтна програма'!E24</f>
        <v>9092.6000000000022</v>
      </c>
      <c r="U4" s="3526">
        <f>'8. Ремонтна програма'!F24</f>
        <v>9547.23</v>
      </c>
      <c r="V4" s="3526">
        <f>'8. Ремонтна програма'!G24</f>
        <v>9833.6469000000016</v>
      </c>
      <c r="W4" s="3526">
        <f>'8. Ремонтна програма'!H24</f>
        <v>9341.9645549999987</v>
      </c>
      <c r="X4" s="3526">
        <f>'8. Ремонтна програма'!I24</f>
        <v>8968.2859727999985</v>
      </c>
      <c r="Y4" s="4288">
        <f>IFERROR((T4-S4)/S4,0)</f>
        <v>0.10000000000000027</v>
      </c>
      <c r="Z4" s="4227">
        <f>IFERROR((X4-T4)/T4,0)</f>
        <v>-1.3672000000000403E-2</v>
      </c>
      <c r="AB4" s="3488" t="s">
        <v>1707</v>
      </c>
      <c r="AC4" s="3489">
        <f>'4. Отчет и прогн. потребление'!E20/1000</f>
        <v>7626.6443333333327</v>
      </c>
      <c r="AD4" s="3489">
        <f>'4. Отчет и прогн. потребление'!F20/1000</f>
        <v>7672.8260252977134</v>
      </c>
      <c r="AE4" s="3489">
        <f>'4. Отчет и прогн. потребление'!G20/1000</f>
        <v>7587.4082529848583</v>
      </c>
      <c r="AF4" s="3489">
        <f>'4. Отчет и прогн. потребление'!H20/1000</f>
        <v>7737.4424578720045</v>
      </c>
      <c r="AG4" s="3489">
        <f>'4. Отчет и прогн. потребление'!I20/1000</f>
        <v>8199.5852979929332</v>
      </c>
      <c r="AH4" s="11"/>
      <c r="AI4" s="11"/>
      <c r="AK4" s="5436" t="s">
        <v>207</v>
      </c>
      <c r="AL4" s="5437"/>
      <c r="AM4" s="5437"/>
      <c r="AN4" s="5437"/>
      <c r="AO4" s="5437"/>
      <c r="AP4" s="5438"/>
    </row>
    <row r="5" spans="1:42" ht="14.1" customHeight="1">
      <c r="A5" s="3379" t="s">
        <v>1536</v>
      </c>
      <c r="B5" s="3490" t="s">
        <v>1541</v>
      </c>
      <c r="C5" s="3491">
        <f>'5. Персонал'!C14</f>
        <v>537</v>
      </c>
      <c r="D5" s="3491">
        <f>'5. Персонал'!D14</f>
        <v>532</v>
      </c>
      <c r="E5" s="3491">
        <f>'5. Персонал'!E14</f>
        <v>532</v>
      </c>
      <c r="F5" s="3491">
        <f>'5. Персонал'!F14</f>
        <v>532</v>
      </c>
      <c r="G5" s="3491">
        <f>'5. Персонал'!G14</f>
        <v>542</v>
      </c>
      <c r="H5" s="3491">
        <f>'5. Персонал'!H14</f>
        <v>542</v>
      </c>
      <c r="I5" s="3491">
        <f>'5. Персонал'!I14</f>
        <v>19</v>
      </c>
      <c r="J5" s="3491">
        <f>'5. Персонал'!J14</f>
        <v>16</v>
      </c>
      <c r="K5" s="3491">
        <f>'5. Персонал'!K14</f>
        <v>16</v>
      </c>
      <c r="L5" s="3491">
        <f>'5. Персонал'!L14</f>
        <v>16</v>
      </c>
      <c r="M5" s="3491">
        <f>'5. Персонал'!M14</f>
        <v>16</v>
      </c>
      <c r="N5" s="3491">
        <f>'5. Персонал'!N14</f>
        <v>16</v>
      </c>
      <c r="O5" s="4215">
        <f t="shared" ref="O5:O12" si="0">IFERROR((H5-D5)/D5,0)</f>
        <v>1.8796992481203006E-2</v>
      </c>
      <c r="P5" s="4215">
        <f t="shared" ref="P5:P12" si="1">IFERROR((N5-J5)/J5,0)</f>
        <v>0</v>
      </c>
      <c r="R5" s="4234" t="s">
        <v>174</v>
      </c>
      <c r="S5" s="3526">
        <f>'8. Ремонтна програма'!D53</f>
        <v>345</v>
      </c>
      <c r="T5" s="3526">
        <f>'8. Ремонтна програма'!E53</f>
        <v>379.50000000000006</v>
      </c>
      <c r="U5" s="3526">
        <f>'8. Ремонтна програма'!F53</f>
        <v>398.47500000000002</v>
      </c>
      <c r="V5" s="3526">
        <f>'8. Ремонтна програма'!G53</f>
        <v>410.42924999999997</v>
      </c>
      <c r="W5" s="3526">
        <f>'8. Ремонтна програма'!H53</f>
        <v>402.22066499999994</v>
      </c>
      <c r="X5" s="3526">
        <f>'8. Ремонтна програма'!I53</f>
        <v>386.13183839999999</v>
      </c>
      <c r="Y5" s="4288">
        <f t="shared" ref="Y5:Y7" si="2">IFERROR((T5-S5)/S5,0)</f>
        <v>0.10000000000000016</v>
      </c>
      <c r="Z5" s="4227">
        <f t="shared" ref="Z5:Z7" si="3">IFERROR((X5-T5)/T5,0)</f>
        <v>1.7475199999999826E-2</v>
      </c>
      <c r="AB5" s="5431" t="s">
        <v>1705</v>
      </c>
      <c r="AC5" s="5431" t="s">
        <v>174</v>
      </c>
      <c r="AD5" s="5431"/>
      <c r="AE5" s="5431"/>
      <c r="AF5" s="5431"/>
      <c r="AG5" s="5431"/>
      <c r="AH5" s="11"/>
      <c r="AI5" s="11"/>
      <c r="AK5" s="1425" t="s">
        <v>608</v>
      </c>
      <c r="AL5" s="3492">
        <f>'20.Цени '!D10</f>
        <v>4.524</v>
      </c>
      <c r="AM5" s="3492">
        <f>'20.Цени '!E10</f>
        <v>4.8719999999999999</v>
      </c>
      <c r="AN5" s="3492">
        <f>'20.Цени '!F10</f>
        <v>5.3440000000000003</v>
      </c>
      <c r="AO5" s="3492">
        <f>'20.Цени '!G10</f>
        <v>5.73</v>
      </c>
      <c r="AP5" s="3492">
        <f>'20.Цени '!H10</f>
        <v>5.7489999999999997</v>
      </c>
    </row>
    <row r="6" spans="1:42" ht="17.25" customHeight="1">
      <c r="A6" s="3385" t="s">
        <v>1546</v>
      </c>
      <c r="B6" s="3493" t="s">
        <v>170</v>
      </c>
      <c r="C6" s="3494"/>
      <c r="D6" s="3495">
        <f>IFERROR((D5-C5)/C5,0)</f>
        <v>-9.3109869646182501E-3</v>
      </c>
      <c r="E6" s="3495">
        <f t="shared" ref="E6:H6" si="4">IFERROR((E5-D5)/D5,0)</f>
        <v>0</v>
      </c>
      <c r="F6" s="3495">
        <f t="shared" si="4"/>
        <v>0</v>
      </c>
      <c r="G6" s="3495">
        <f t="shared" si="4"/>
        <v>1.8796992481203006E-2</v>
      </c>
      <c r="H6" s="3495">
        <f t="shared" si="4"/>
        <v>0</v>
      </c>
      <c r="I6" s="3494"/>
      <c r="J6" s="3496">
        <f>IFERROR((J5-I5)/I5,0)</f>
        <v>-0.15789473684210525</v>
      </c>
      <c r="K6" s="3496">
        <f t="shared" ref="K6" si="5">IFERROR((K5-J5)/J5,0)</f>
        <v>0</v>
      </c>
      <c r="L6" s="3496">
        <f t="shared" ref="L6" si="6">IFERROR((L5-K5)/K5,0)</f>
        <v>0</v>
      </c>
      <c r="M6" s="3496">
        <f t="shared" ref="M6" si="7">IFERROR((M5-L5)/L5,0)</f>
        <v>0</v>
      </c>
      <c r="N6" s="3496">
        <f t="shared" ref="N6" si="8">IFERROR((N5-M5)/M5,0)</f>
        <v>0</v>
      </c>
      <c r="O6" s="4215">
        <f t="shared" si="0"/>
        <v>-1</v>
      </c>
      <c r="P6" s="4215">
        <f t="shared" si="1"/>
        <v>-1</v>
      </c>
      <c r="R6" s="4234" t="s">
        <v>184</v>
      </c>
      <c r="S6" s="3526">
        <f>'8. Ремонтна програма'!D79</f>
        <v>57</v>
      </c>
      <c r="T6" s="3526">
        <f>'8. Ремонтна програма'!E79</f>
        <v>74.099999999999994</v>
      </c>
      <c r="U6" s="3526">
        <f>'8. Ремонтна програма'!F79</f>
        <v>77.805000000000007</v>
      </c>
      <c r="V6" s="3526">
        <f>'8. Ремонтна програма'!G79</f>
        <v>80.139150000000015</v>
      </c>
      <c r="W6" s="3526">
        <f>'8. Ремонтна програма'!H79</f>
        <v>78.536367000000013</v>
      </c>
      <c r="X6" s="3526">
        <f>'8. Ремонтна програма'!I79</f>
        <v>75.394912320000003</v>
      </c>
      <c r="Y6" s="4288">
        <f t="shared" si="2"/>
        <v>0.29999999999999988</v>
      </c>
      <c r="Z6" s="4227">
        <f t="shared" si="3"/>
        <v>1.7475200000000121E-2</v>
      </c>
      <c r="AB6" s="5431"/>
      <c r="AC6" s="4220" t="str">
        <f>+'15. ОПП'!$C$7</f>
        <v>2027 г.</v>
      </c>
      <c r="AD6" s="4220" t="str">
        <f>+'15. ОПП'!$D$7</f>
        <v>2028 г.</v>
      </c>
      <c r="AE6" s="4220" t="str">
        <f>+'15. ОПП'!$E$7</f>
        <v>2029 г.</v>
      </c>
      <c r="AF6" s="4220" t="str">
        <f>+'15. ОПП'!$F$7</f>
        <v>2030 г.</v>
      </c>
      <c r="AG6" s="4220" t="str">
        <f>+'15. ОПП'!$G$7</f>
        <v>2031 г.</v>
      </c>
      <c r="AH6" s="11"/>
      <c r="AI6" s="11"/>
      <c r="AK6" s="5436" t="s">
        <v>174</v>
      </c>
      <c r="AL6" s="5437"/>
      <c r="AM6" s="5437"/>
      <c r="AN6" s="5437"/>
      <c r="AO6" s="5437"/>
      <c r="AP6" s="5438"/>
    </row>
    <row r="7" spans="1:42" ht="15" customHeight="1">
      <c r="A7" s="3385" t="s">
        <v>1545</v>
      </c>
      <c r="B7" s="3493" t="s">
        <v>170</v>
      </c>
      <c r="C7" s="3494"/>
      <c r="D7" s="3495">
        <f>IFERROR((D5-$C$5)/$C$5,0)</f>
        <v>-9.3109869646182501E-3</v>
      </c>
      <c r="E7" s="3495">
        <f t="shared" ref="E7:H7" si="9">IFERROR((E5-$C$5)/$C$5,0)</f>
        <v>-9.3109869646182501E-3</v>
      </c>
      <c r="F7" s="3495">
        <f t="shared" si="9"/>
        <v>-9.3109869646182501E-3</v>
      </c>
      <c r="G7" s="3495">
        <f t="shared" si="9"/>
        <v>9.3109869646182501E-3</v>
      </c>
      <c r="H7" s="3495">
        <f t="shared" si="9"/>
        <v>9.3109869646182501E-3</v>
      </c>
      <c r="I7" s="3494"/>
      <c r="J7" s="3496">
        <f>IFERROR((J5-$I$5)/$I$5,0)</f>
        <v>-0.15789473684210525</v>
      </c>
      <c r="K7" s="3496">
        <f t="shared" ref="K7:N7" si="10">IFERROR((K5-$I$5)/$I$5,0)</f>
        <v>-0.15789473684210525</v>
      </c>
      <c r="L7" s="3495">
        <f t="shared" si="10"/>
        <v>-0.15789473684210525</v>
      </c>
      <c r="M7" s="3495">
        <f t="shared" si="10"/>
        <v>-0.15789473684210525</v>
      </c>
      <c r="N7" s="3495">
        <f t="shared" si="10"/>
        <v>-0.15789473684210525</v>
      </c>
      <c r="O7" s="4215">
        <f t="shared" si="0"/>
        <v>-2</v>
      </c>
      <c r="P7" s="4215">
        <f t="shared" si="1"/>
        <v>0</v>
      </c>
      <c r="R7" s="3392" t="s">
        <v>1236</v>
      </c>
      <c r="S7" s="3526">
        <f>'8. Ремонтна програма'!D110</f>
        <v>0</v>
      </c>
      <c r="T7" s="3526">
        <f>'8. Ремонтна програма'!E110</f>
        <v>0</v>
      </c>
      <c r="U7" s="3526">
        <f>'8. Ремонтна програма'!F110</f>
        <v>0</v>
      </c>
      <c r="V7" s="3526">
        <f>'8. Ремонтна програма'!G110</f>
        <v>0</v>
      </c>
      <c r="W7" s="3526">
        <f>'8. Ремонтна програма'!H110</f>
        <v>0</v>
      </c>
      <c r="X7" s="3526">
        <f>'8. Ремонтна програма'!I110</f>
        <v>0</v>
      </c>
      <c r="Y7" s="4288">
        <f t="shared" si="2"/>
        <v>0</v>
      </c>
      <c r="Z7" s="4227">
        <f t="shared" si="3"/>
        <v>0</v>
      </c>
      <c r="AB7" s="3488" t="s">
        <v>1695</v>
      </c>
      <c r="AC7" s="3489">
        <f>AC8+AC9</f>
        <v>5761.1480000000001</v>
      </c>
      <c r="AD7" s="3489">
        <f t="shared" ref="AD7:AG7" si="11">AD8+AD9</f>
        <v>5702.5444887824824</v>
      </c>
      <c r="AE7" s="3489">
        <f t="shared" si="11"/>
        <v>5643.9404462371531</v>
      </c>
      <c r="AF7" s="3489">
        <f t="shared" si="11"/>
        <v>5585.3364036918265</v>
      </c>
      <c r="AG7" s="3489">
        <f t="shared" si="11"/>
        <v>5534.4333120866613</v>
      </c>
      <c r="AH7" s="11"/>
      <c r="AI7" s="11"/>
      <c r="AK7" s="1425" t="s">
        <v>608</v>
      </c>
      <c r="AL7" s="3492">
        <f>'20.Цени '!D12</f>
        <v>0.36099999999999999</v>
      </c>
      <c r="AM7" s="3492">
        <f>'20.Цени '!E12</f>
        <v>0.41799999999999998</v>
      </c>
      <c r="AN7" s="3492">
        <f>'20.Цени '!F12</f>
        <v>0.434</v>
      </c>
      <c r="AO7" s="3492">
        <f>'20.Цени '!G12</f>
        <v>0.48899999999999999</v>
      </c>
      <c r="AP7" s="3492">
        <f>'20.Цени '!H12</f>
        <v>0.51700000000000002</v>
      </c>
    </row>
    <row r="8" spans="1:42" ht="21" customHeight="1">
      <c r="A8" s="3380" t="s">
        <v>1537</v>
      </c>
      <c r="B8" s="3497" t="s">
        <v>1542</v>
      </c>
      <c r="C8" s="3498">
        <f>'5. Персонал'!C50</f>
        <v>16.385474860335197</v>
      </c>
      <c r="D8" s="3498">
        <f>'5. Персонал'!D50</f>
        <v>25.268796992481203</v>
      </c>
      <c r="E8" s="3498">
        <f>'5. Персонал'!E50</f>
        <v>28.301052631578951</v>
      </c>
      <c r="F8" s="3498">
        <f>'5. Персонал'!F50</f>
        <v>31.697178947368428</v>
      </c>
      <c r="G8" s="3498">
        <f>'5. Персонал'!G50</f>
        <v>35.779214169741699</v>
      </c>
      <c r="H8" s="3498">
        <f>'5. Персонал'!H50</f>
        <v>40.072719870110703</v>
      </c>
      <c r="I8" s="3498">
        <f>'5. Персонал'!I50</f>
        <v>19.315789473684209</v>
      </c>
      <c r="J8" s="3498">
        <f>'5. Персонал'!J50</f>
        <v>30.3125</v>
      </c>
      <c r="K8" s="3498">
        <f>'5. Персонал'!K50</f>
        <v>33.950000000000003</v>
      </c>
      <c r="L8" s="3498">
        <f>'5. Персонал'!L50</f>
        <v>38.024000000000008</v>
      </c>
      <c r="M8" s="3498">
        <f>'5. Персонал'!M50</f>
        <v>42.586880000000015</v>
      </c>
      <c r="N8" s="3498">
        <f>'5. Персонал'!N50</f>
        <v>47.697305600000014</v>
      </c>
      <c r="O8" s="4215">
        <f t="shared" si="0"/>
        <v>0.58585784206642078</v>
      </c>
      <c r="P8" s="4215">
        <f t="shared" si="1"/>
        <v>0.57351936000000048</v>
      </c>
      <c r="R8" s="5432" t="s">
        <v>1727</v>
      </c>
      <c r="S8" s="5445" t="s">
        <v>1562</v>
      </c>
      <c r="T8" s="5446"/>
      <c r="U8" s="5446"/>
      <c r="V8" s="5446"/>
      <c r="W8" s="5446"/>
      <c r="X8" s="5446"/>
      <c r="Y8" s="5432" t="str">
        <f>+Y2</f>
        <v>Изменение 2027 г.спрямо 2024 г.</v>
      </c>
      <c r="Z8" s="5432" t="str">
        <f>+Z2</f>
        <v>Изменение 2031 г.спрямо 2027 г.</v>
      </c>
      <c r="AB8" s="3499" t="s">
        <v>299</v>
      </c>
      <c r="AC8" s="3489">
        <f>'4. Отчет и прогн. потребление'!E50/1000</f>
        <v>4089.8493838810955</v>
      </c>
      <c r="AD8" s="3489">
        <f>'4. Отчет и прогн. потребление'!F50/1000</f>
        <v>4031.2104887824821</v>
      </c>
      <c r="AE8" s="3489">
        <f>'4. Отчет и прогн. потребление'!G50/1000</f>
        <v>3972.5714462371534</v>
      </c>
      <c r="AF8" s="3489">
        <f>'4. Отчет и прогн. потребление'!H50/1000</f>
        <v>3913.9324036918265</v>
      </c>
      <c r="AG8" s="3489">
        <f>'4. Отчет и прогн. потребление'!I50/1000</f>
        <v>3862.9943120866615</v>
      </c>
      <c r="AH8" s="11"/>
      <c r="AI8" s="11"/>
      <c r="AK8" s="5436" t="s">
        <v>184</v>
      </c>
      <c r="AL8" s="5437"/>
      <c r="AM8" s="5437"/>
      <c r="AN8" s="5437"/>
      <c r="AO8" s="5437"/>
      <c r="AP8" s="5438"/>
    </row>
    <row r="9" spans="1:42" ht="12.6" customHeight="1">
      <c r="A9" s="3385" t="s">
        <v>1546</v>
      </c>
      <c r="B9" s="3493" t="s">
        <v>170</v>
      </c>
      <c r="C9" s="3494"/>
      <c r="D9" s="3495">
        <f>IFERROR((D8-C8)/C8,0)</f>
        <v>0.54214615126291676</v>
      </c>
      <c r="E9" s="3495">
        <f t="shared" ref="E9" si="12">IFERROR((E8-D8)/D8,0)</f>
        <v>0.12000000000000015</v>
      </c>
      <c r="F9" s="3495">
        <f t="shared" ref="F9" si="13">IFERROR((F8-E8)/E8,0)</f>
        <v>0.12000000000000011</v>
      </c>
      <c r="G9" s="3495">
        <f t="shared" ref="G9" si="14">IFERROR((G8-F8)/F8,0)</f>
        <v>0.12878228782287804</v>
      </c>
      <c r="H9" s="3495">
        <f t="shared" ref="H9" si="15">IFERROR((H8-G8)/G8,0)</f>
        <v>0.11999999999999998</v>
      </c>
      <c r="I9" s="3494"/>
      <c r="J9" s="3495">
        <f>IFERROR((J8-I8)/I8,0)</f>
        <v>0.56931198910081759</v>
      </c>
      <c r="K9" s="3495">
        <f t="shared" ref="K9" si="16">IFERROR((K8-J8)/J8,0)</f>
        <v>0.12000000000000009</v>
      </c>
      <c r="L9" s="3495">
        <f t="shared" ref="L9" si="17">IFERROR((L8-K8)/K8,0)</f>
        <v>0.12000000000000015</v>
      </c>
      <c r="M9" s="3495">
        <f t="shared" ref="M9" si="18">IFERROR((M8-L8)/L8,0)</f>
        <v>0.12000000000000016</v>
      </c>
      <c r="N9" s="3495">
        <f t="shared" ref="N9" si="19">IFERROR((N8-M8)/M8,0)</f>
        <v>0.11999999999999994</v>
      </c>
      <c r="O9" s="4215">
        <f t="shared" si="0"/>
        <v>-0.77865747138393804</v>
      </c>
      <c r="P9" s="4215">
        <f t="shared" si="1"/>
        <v>-0.78921926413401156</v>
      </c>
      <c r="R9" s="5433"/>
      <c r="S9" s="4220" t="str">
        <f>+'15. ОПП'!$B$7</f>
        <v>2024 г.</v>
      </c>
      <c r="T9" s="4220" t="str">
        <f>+'15. ОПП'!$C$7</f>
        <v>2027 г.</v>
      </c>
      <c r="U9" s="4220" t="str">
        <f>+'15. ОПП'!$D$7</f>
        <v>2028 г.</v>
      </c>
      <c r="V9" s="4220" t="str">
        <f>+'15. ОПП'!$E$7</f>
        <v>2029 г.</v>
      </c>
      <c r="W9" s="4220" t="str">
        <f>+'15. ОПП'!$F$7</f>
        <v>2030 г.</v>
      </c>
      <c r="X9" s="4220" t="str">
        <f>+'15. ОПП'!$G$7</f>
        <v>2031 г.</v>
      </c>
      <c r="Y9" s="5433"/>
      <c r="Z9" s="5433"/>
      <c r="AB9" s="1230" t="s">
        <v>300</v>
      </c>
      <c r="AC9" s="3489">
        <f>'4. Отчет и прогн. потребление'!E51/1000</f>
        <v>1671.2986161189049</v>
      </c>
      <c r="AD9" s="3489">
        <f>'4. Отчет и прогн. потребление'!F51/1000</f>
        <v>1671.3340000000001</v>
      </c>
      <c r="AE9" s="3489">
        <f>'4. Отчет и прогн. потребление'!G51/1000</f>
        <v>1671.3689999999999</v>
      </c>
      <c r="AF9" s="3489">
        <f>'4. Отчет и прогн. потребление'!H51/1000</f>
        <v>1671.404</v>
      </c>
      <c r="AG9" s="3489">
        <f>'4. Отчет и прогн. потребление'!I51/1000</f>
        <v>1671.4390000000001</v>
      </c>
      <c r="AH9" s="11"/>
      <c r="AI9" s="11"/>
      <c r="AK9" s="1425" t="s">
        <v>608</v>
      </c>
      <c r="AL9" s="3492">
        <f>'20.Цени '!D14</f>
        <v>0.72499999999999998</v>
      </c>
      <c r="AM9" s="3492">
        <f>'20.Цени '!E14</f>
        <v>0.81</v>
      </c>
      <c r="AN9" s="3492">
        <f>'20.Цени '!F14</f>
        <v>0.88900000000000001</v>
      </c>
      <c r="AO9" s="3492">
        <f>'20.Цени '!G14</f>
        <v>0.98499999999999999</v>
      </c>
      <c r="AP9" s="3492">
        <f>'20.Цени '!H14</f>
        <v>1.042</v>
      </c>
    </row>
    <row r="10" spans="1:42">
      <c r="A10" s="3384" t="s">
        <v>1544</v>
      </c>
      <c r="B10" s="3493" t="s">
        <v>170</v>
      </c>
      <c r="C10" s="3494"/>
      <c r="D10" s="3495">
        <f>IFERROR((D8-$C$8)/$C$8,0)</f>
        <v>0.54214615126291676</v>
      </c>
      <c r="E10" s="3495">
        <f>IFERROR((E8-$C$8)/$C$8,0)</f>
        <v>0.727203689414467</v>
      </c>
      <c r="F10" s="3495">
        <f>IFERROR((F8-$C$8)/$C$8,0)</f>
        <v>0.93446813214420321</v>
      </c>
      <c r="G10" s="3495">
        <f>IFERROR((G8-$C$8)/$C$8,0)</f>
        <v>1.1835933639221832</v>
      </c>
      <c r="H10" s="3495">
        <f>IFERROR((H8-$C$8)/$C$8,0)</f>
        <v>1.4456245675928452</v>
      </c>
      <c r="I10" s="3494"/>
      <c r="J10" s="3495">
        <f>IFERROR((J8-$I$8)/$I$8,0)</f>
        <v>0.56931198910081759</v>
      </c>
      <c r="K10" s="3496">
        <f>IFERROR((K8-$I$8)/$I$8,0)</f>
        <v>0.75762942779291587</v>
      </c>
      <c r="L10" s="3495">
        <f>IFERROR((L8-$I$8)/$I$8,0)</f>
        <v>0.96854495912806593</v>
      </c>
      <c r="M10" s="3495">
        <f>IFERROR((M8-$I$8)/$I$8,0)</f>
        <v>1.2047703542234343</v>
      </c>
      <c r="N10" s="3495">
        <f>IFERROR((N8-$I$8)/$I$8,0)</f>
        <v>1.4693427967302461</v>
      </c>
      <c r="O10" s="4215">
        <f t="shared" si="0"/>
        <v>1.6664849768375125</v>
      </c>
      <c r="P10" s="4215">
        <f t="shared" si="1"/>
        <v>1.5809096327849246</v>
      </c>
      <c r="R10" s="4234" t="s">
        <v>207</v>
      </c>
      <c r="S10" s="3526">
        <f>'8. Ремонтна програма'!J24</f>
        <v>2785.9219500000004</v>
      </c>
      <c r="T10" s="3526">
        <f>'8. Ремонтна програма'!K24</f>
        <v>3621.698535</v>
      </c>
      <c r="U10" s="3526">
        <f>'8. Ремонтна програма'!L24</f>
        <v>3802.7834617499998</v>
      </c>
      <c r="V10" s="3526">
        <f>'8. Ремонтна програма'!M24</f>
        <v>3916.8669656024999</v>
      </c>
      <c r="W10" s="3526">
        <f>'8. Ремонтна програма'!N24</f>
        <v>3721.0236173223743</v>
      </c>
      <c r="X10" s="3526">
        <f>'8. Ремонтна програма'!O24</f>
        <v>3572.1826726294798</v>
      </c>
      <c r="Y10" s="3505">
        <f t="shared" ref="Y10:Y14" si="20">IFERROR((T10-S10)/S10,0)</f>
        <v>0.29999999999999982</v>
      </c>
      <c r="Z10" s="4227">
        <f t="shared" ref="Z10:Z14" si="21">IFERROR((X10-T10)/T10,0)</f>
        <v>-1.3672000000000042E-2</v>
      </c>
      <c r="AB10" s="5431" t="s">
        <v>1705</v>
      </c>
      <c r="AC10" s="5431" t="s">
        <v>184</v>
      </c>
      <c r="AD10" s="5431"/>
      <c r="AE10" s="5431"/>
      <c r="AF10" s="5431"/>
      <c r="AG10" s="5431"/>
      <c r="AH10" s="11"/>
      <c r="AI10" s="11"/>
      <c r="AK10" s="1425" t="s">
        <v>179</v>
      </c>
      <c r="AL10" s="3500"/>
      <c r="AM10" s="3500"/>
      <c r="AN10" s="3500"/>
      <c r="AO10" s="3500"/>
      <c r="AP10" s="3500"/>
    </row>
    <row r="11" spans="1:42" ht="18.75" customHeight="1">
      <c r="A11" s="3383" t="s">
        <v>1548</v>
      </c>
      <c r="B11" s="3501" t="s">
        <v>170</v>
      </c>
      <c r="C11" s="3377">
        <f>'5. Персонал'!C62</f>
        <v>0.1909307875894988</v>
      </c>
      <c r="D11" s="3377">
        <f>'5. Персонал'!D62</f>
        <v>0.19489697240199361</v>
      </c>
      <c r="E11" s="3377">
        <f>'5. Персонал'!E62</f>
        <v>0.19489697240199358</v>
      </c>
      <c r="F11" s="3377">
        <f>'5. Персонал'!F62</f>
        <v>0.19489697240199358</v>
      </c>
      <c r="G11" s="3377">
        <f>'5. Персонал'!G62</f>
        <v>0.19489697240199361</v>
      </c>
      <c r="H11" s="3377">
        <f>'5. Персонал'!H62</f>
        <v>0.19489697240199363</v>
      </c>
      <c r="I11" s="3377">
        <f>'5. Персонал'!I62</f>
        <v>0.22615803814713897</v>
      </c>
      <c r="J11" s="3377">
        <f>'5. Персонал'!J62</f>
        <v>0.17525773195876287</v>
      </c>
      <c r="K11" s="3377">
        <f>'5. Персонал'!K62</f>
        <v>0.17525773195876287</v>
      </c>
      <c r="L11" s="3377">
        <f>'5. Персонал'!L62</f>
        <v>0.17525773195876287</v>
      </c>
      <c r="M11" s="3377">
        <f>'5. Персонал'!M62</f>
        <v>0.17525773195876285</v>
      </c>
      <c r="N11" s="3377">
        <f>'5. Персонал'!N62</f>
        <v>0.17525773195876285</v>
      </c>
      <c r="O11" s="4215">
        <f t="shared" si="0"/>
        <v>1.4241152786293873E-16</v>
      </c>
      <c r="P11" s="4215">
        <f t="shared" si="1"/>
        <v>-1.5837004910094145E-16</v>
      </c>
      <c r="R11" s="4234" t="s">
        <v>174</v>
      </c>
      <c r="S11" s="3526">
        <f>'8. Ремонтна програма'!J53</f>
        <v>425.70320999999996</v>
      </c>
      <c r="T11" s="3526">
        <f>'8. Ремонтна програма'!K53</f>
        <v>553.41417300000012</v>
      </c>
      <c r="U11" s="3526">
        <f>'8. Ремонтна програма'!L53</f>
        <v>581.08488165000028</v>
      </c>
      <c r="V11" s="3526">
        <f>'8. Ремонтна програма'!M53</f>
        <v>598.51742809950008</v>
      </c>
      <c r="W11" s="3526">
        <f>'8. Ремонтна програма'!N53</f>
        <v>586.54707953751017</v>
      </c>
      <c r="X11" s="3526">
        <f>'8. Ремонтна програма'!O53</f>
        <v>563.08519635600976</v>
      </c>
      <c r="Y11" s="3505">
        <f t="shared" si="20"/>
        <v>0.30000000000000043</v>
      </c>
      <c r="Z11" s="4227">
        <f t="shared" si="21"/>
        <v>1.7475200000000069E-2</v>
      </c>
      <c r="AB11" s="5431"/>
      <c r="AC11" s="4220" t="str">
        <f>+'15. ОПП'!$C$7</f>
        <v>2027 г.</v>
      </c>
      <c r="AD11" s="4220" t="str">
        <f>+'15. ОПП'!$D$7</f>
        <v>2028 г.</v>
      </c>
      <c r="AE11" s="4220" t="str">
        <f>+'15. ОПП'!$E$7</f>
        <v>2029 г.</v>
      </c>
      <c r="AF11" s="4220" t="str">
        <f>+'15. ОПП'!$F$7</f>
        <v>2030 г.</v>
      </c>
      <c r="AG11" s="4220" t="str">
        <f>+'15. ОПП'!$G$7</f>
        <v>2031 г.</v>
      </c>
      <c r="AH11" s="11"/>
      <c r="AI11" s="11"/>
      <c r="AK11" s="3502" t="s">
        <v>180</v>
      </c>
      <c r="AL11" s="3503">
        <f>'20.Цени '!D16</f>
        <v>0.93899999999999995</v>
      </c>
      <c r="AM11" s="3503">
        <f>'20.Цени '!E16</f>
        <v>1.05</v>
      </c>
      <c r="AN11" s="3503">
        <f>'20.Цени '!F16</f>
        <v>1.105</v>
      </c>
      <c r="AO11" s="3503">
        <f>'20.Цени '!G16</f>
        <v>1.224</v>
      </c>
      <c r="AP11" s="3503">
        <f>'20.Цени '!H16</f>
        <v>1.2949999999999999</v>
      </c>
    </row>
    <row r="12" spans="1:42" ht="21.75" customHeight="1">
      <c r="A12" s="3383" t="s">
        <v>1547</v>
      </c>
      <c r="B12" s="3501" t="s">
        <v>170</v>
      </c>
      <c r="C12" s="3377">
        <f>'5. Персонал'!C63</f>
        <v>0.12728719172633254</v>
      </c>
      <c r="D12" s="3377">
        <f>'5. Персонал'!D63</f>
        <v>9.9680130923157029E-2</v>
      </c>
      <c r="E12" s="3377">
        <f>'5. Персонал'!E63</f>
        <v>8.9000116895675913E-2</v>
      </c>
      <c r="F12" s="3377">
        <f>'5. Персонал'!F63</f>
        <v>8.302249710417528E-2</v>
      </c>
      <c r="G12" s="3377">
        <f>'5. Персонал'!G63</f>
        <v>7.0285505312416729E-2</v>
      </c>
      <c r="H12" s="3377">
        <f>'5. Персонал'!H63</f>
        <v>6.2754915457514937E-2</v>
      </c>
      <c r="I12" s="3377">
        <f>'5. Персонал'!I63</f>
        <v>0.12534059945504086</v>
      </c>
      <c r="J12" s="3377">
        <f>'5. Персонал'!J63</f>
        <v>9.1850244167118816E-2</v>
      </c>
      <c r="K12" s="3377">
        <f>'5. Персонал'!K63</f>
        <v>8.2842415316642118E-2</v>
      </c>
      <c r="L12" s="3377">
        <f>'5. Персонал'!L63</f>
        <v>7.2322743530401842E-2</v>
      </c>
      <c r="M12" s="3377">
        <f>'5. Персонал'!M63</f>
        <v>6.4573878152144493E-2</v>
      </c>
      <c r="N12" s="3377">
        <f>'5. Персонал'!N63</f>
        <v>5.7655248350129008E-2</v>
      </c>
      <c r="O12" s="4215">
        <f t="shared" si="0"/>
        <v>-0.37043706828703482</v>
      </c>
      <c r="P12" s="4215">
        <f t="shared" si="1"/>
        <v>-0.37229074486479341</v>
      </c>
      <c r="R12" s="4234" t="s">
        <v>184</v>
      </c>
      <c r="S12" s="3526">
        <f>'8. Ремонтна програма'!J79</f>
        <v>71.521940000000001</v>
      </c>
      <c r="T12" s="3526">
        <f>'8. Ремонтна програма'!K79</f>
        <v>92.978522000000012</v>
      </c>
      <c r="U12" s="3526">
        <f>'8. Ремонтна програма'!L79</f>
        <v>97.627448100000024</v>
      </c>
      <c r="V12" s="3526">
        <f>'8. Ремонтна програма'!M79</f>
        <v>100.55627154300001</v>
      </c>
      <c r="W12" s="3526">
        <f>'8. Ремонтна програма'!N79</f>
        <v>98.545146112140046</v>
      </c>
      <c r="X12" s="3526">
        <f>'8. Ремонтна програма'!O79</f>
        <v>94.603340267654403</v>
      </c>
      <c r="Y12" s="3505">
        <f t="shared" si="20"/>
        <v>0.30000000000000016</v>
      </c>
      <c r="Z12" s="4227">
        <f t="shared" si="21"/>
        <v>1.7475199999999896E-2</v>
      </c>
      <c r="AB12" s="3488" t="s">
        <v>1696</v>
      </c>
      <c r="AC12" s="3489">
        <f>AC13+AC14</f>
        <v>4464.8603333333331</v>
      </c>
      <c r="AD12" s="3489">
        <f t="shared" ref="AD12:AG12" si="22">AD13+AD14</f>
        <v>4468.5776961832571</v>
      </c>
      <c r="AE12" s="3489">
        <f t="shared" si="22"/>
        <v>4409.9143923665142</v>
      </c>
      <c r="AF12" s="3489">
        <f t="shared" si="22"/>
        <v>4351.2510885497713</v>
      </c>
      <c r="AG12" s="3489">
        <f t="shared" si="22"/>
        <v>4300.2965068105614</v>
      </c>
      <c r="AH12" s="11"/>
      <c r="AI12" s="11"/>
      <c r="AK12" s="3502" t="s">
        <v>181</v>
      </c>
      <c r="AL12" s="3503">
        <f>'20.Цени '!D17</f>
        <v>1.2450000000000001</v>
      </c>
      <c r="AM12" s="3503">
        <f>'20.Цени '!E17</f>
        <v>1.391</v>
      </c>
      <c r="AN12" s="3503">
        <f>'20.Цени '!F17</f>
        <v>1.524</v>
      </c>
      <c r="AO12" s="3503">
        <f>'20.Цени '!G17</f>
        <v>1.6890000000000001</v>
      </c>
      <c r="AP12" s="3503">
        <f>'20.Цени '!H17</f>
        <v>1.786</v>
      </c>
    </row>
    <row r="13" spans="1:42" ht="14.25" customHeight="1">
      <c r="A13" s="5432" t="s">
        <v>2</v>
      </c>
      <c r="B13" s="5440" t="s">
        <v>1538</v>
      </c>
      <c r="C13" s="5442" t="s">
        <v>184</v>
      </c>
      <c r="D13" s="5443"/>
      <c r="E13" s="5443"/>
      <c r="F13" s="5443"/>
      <c r="G13" s="5443"/>
      <c r="H13" s="5444"/>
      <c r="I13" s="5445" t="s">
        <v>1028</v>
      </c>
      <c r="J13" s="5446"/>
      <c r="K13" s="5446"/>
      <c r="L13" s="5446"/>
      <c r="M13" s="5446"/>
      <c r="N13" s="5447"/>
      <c r="O13" s="5432" t="str">
        <f>CONCATENATE("Изменение ", H14,"спрямо ",D14)</f>
        <v>Изменение 2031 г.спрямо 2027 г.</v>
      </c>
      <c r="P13" s="5432" t="str">
        <f>CONCATENATE("Изменение ", N14,"спрямо ",J14)</f>
        <v>Изменение 2031 г.спрямо 2027 г.</v>
      </c>
      <c r="R13" s="3392" t="s">
        <v>1236</v>
      </c>
      <c r="S13" s="3526">
        <f>'8. Ремонтна програма'!J110</f>
        <v>0</v>
      </c>
      <c r="T13" s="3526">
        <f>'8. Ремонтна програма'!K110</f>
        <v>0</v>
      </c>
      <c r="U13" s="3526">
        <f>'8. Ремонтна програма'!L110</f>
        <v>0</v>
      </c>
      <c r="V13" s="3526">
        <f>'8. Ремонтна програма'!M110</f>
        <v>0</v>
      </c>
      <c r="W13" s="3526">
        <f>'8. Ремонтна програма'!N110</f>
        <v>0</v>
      </c>
      <c r="X13" s="3526">
        <f>'8. Ремонтна програма'!O110</f>
        <v>0</v>
      </c>
      <c r="Y13" s="3505">
        <f t="shared" si="20"/>
        <v>0</v>
      </c>
      <c r="Z13" s="4227">
        <f t="shared" si="21"/>
        <v>0</v>
      </c>
      <c r="AB13" s="3499" t="s">
        <v>299</v>
      </c>
      <c r="AC13" s="3489">
        <f>'4. Отчет и прогн. потребление'!E55/1000</f>
        <v>4205.0703333333331</v>
      </c>
      <c r="AD13" s="3489">
        <f>'4. Отчет и прогн. потребление'!F55/1000</f>
        <v>4146.371696183257</v>
      </c>
      <c r="AE13" s="3489">
        <f>'4. Отчет и прогн. потребление'!G55/1000</f>
        <v>4087.6733923665138</v>
      </c>
      <c r="AF13" s="3489">
        <f>'4. Отчет и прогн. потребление'!H55/1000</f>
        <v>4028.9750885497715</v>
      </c>
      <c r="AG13" s="3489">
        <f>'4. Отчет и прогн. потребление'!I55/1000</f>
        <v>3977.9855068105612</v>
      </c>
      <c r="AH13" s="11"/>
      <c r="AI13" s="11"/>
      <c r="AK13" s="3502" t="s">
        <v>182</v>
      </c>
      <c r="AL13" s="3503">
        <f>'20.Цени '!D18</f>
        <v>1.5649999999999999</v>
      </c>
      <c r="AM13" s="3503">
        <f>'20.Цени '!E18</f>
        <v>1.748</v>
      </c>
      <c r="AN13" s="3503">
        <f>'20.Цени '!F18</f>
        <v>1.9690000000000001</v>
      </c>
      <c r="AO13" s="3503">
        <f>'20.Цени '!G18</f>
        <v>2.181</v>
      </c>
      <c r="AP13" s="3503">
        <f>'20.Цени '!H18</f>
        <v>2.3079999999999998</v>
      </c>
    </row>
    <row r="14" spans="1:42" ht="14.25" customHeight="1">
      <c r="A14" s="5433"/>
      <c r="B14" s="5441"/>
      <c r="C14" s="4287" t="str">
        <f>+'15. ОПП'!$B$7</f>
        <v>2024 г.</v>
      </c>
      <c r="D14" s="4287" t="str">
        <f>+'15. ОПП'!$C$7</f>
        <v>2027 г.</v>
      </c>
      <c r="E14" s="4287" t="str">
        <f>+'15. ОПП'!$D$7</f>
        <v>2028 г.</v>
      </c>
      <c r="F14" s="4287" t="str">
        <f>+'15. ОПП'!$E$7</f>
        <v>2029 г.</v>
      </c>
      <c r="G14" s="4287" t="str">
        <f>+'15. ОПП'!$F$7</f>
        <v>2030 г.</v>
      </c>
      <c r="H14" s="4287" t="str">
        <f>+'15. ОПП'!$G$7</f>
        <v>2031 г.</v>
      </c>
      <c r="I14" s="4287" t="str">
        <f>+'15. ОПП'!$B$7</f>
        <v>2024 г.</v>
      </c>
      <c r="J14" s="4287" t="str">
        <f>+'15. ОПП'!$C$7</f>
        <v>2027 г.</v>
      </c>
      <c r="K14" s="4287" t="str">
        <f>+'15. ОПП'!$D$7</f>
        <v>2028 г.</v>
      </c>
      <c r="L14" s="4287" t="str">
        <f>+'15. ОПП'!$E$7</f>
        <v>2029 г.</v>
      </c>
      <c r="M14" s="4287" t="str">
        <f>+'15. ОПП'!$F$7</f>
        <v>2030 г.</v>
      </c>
      <c r="N14" s="4287" t="str">
        <f>+'15. ОПП'!$G$7</f>
        <v>2031 г.</v>
      </c>
      <c r="O14" s="5433"/>
      <c r="P14" s="5433"/>
      <c r="R14" s="3392" t="s">
        <v>1092</v>
      </c>
      <c r="S14" s="3526">
        <f>'8. Ремонтна програма'!J141</f>
        <v>0</v>
      </c>
      <c r="T14" s="3526">
        <f>'8. Ремонтна програма'!K141</f>
        <v>0</v>
      </c>
      <c r="U14" s="3526">
        <f>'8. Ремонтна програма'!L141</f>
        <v>0</v>
      </c>
      <c r="V14" s="3526">
        <f>'8. Ремонтна програма'!M141</f>
        <v>0</v>
      </c>
      <c r="W14" s="3526">
        <f>'8. Ремонтна програма'!N141</f>
        <v>0</v>
      </c>
      <c r="X14" s="3526">
        <f>'8. Ремонтна програма'!O141</f>
        <v>0</v>
      </c>
      <c r="Y14" s="3505">
        <f t="shared" si="20"/>
        <v>0</v>
      </c>
      <c r="Z14" s="4227">
        <f t="shared" si="21"/>
        <v>0</v>
      </c>
      <c r="AB14" s="1230" t="s">
        <v>300</v>
      </c>
      <c r="AC14" s="3489">
        <f>SUM(AC15:AC17)</f>
        <v>259.78999999999996</v>
      </c>
      <c r="AD14" s="3489">
        <f t="shared" ref="AD14:AG14" si="23">SUM(AD15:AD17)</f>
        <v>322.20600000000002</v>
      </c>
      <c r="AE14" s="3489">
        <f t="shared" si="23"/>
        <v>322.24100000000004</v>
      </c>
      <c r="AF14" s="3489">
        <f t="shared" si="23"/>
        <v>322.27600000000001</v>
      </c>
      <c r="AG14" s="3489">
        <f t="shared" si="23"/>
        <v>322.31100000000004</v>
      </c>
      <c r="AH14" s="11"/>
      <c r="AI14" s="11"/>
      <c r="AK14" s="5436" t="str">
        <f>AC18</f>
        <v>Доставяне вода с непитейни качества</v>
      </c>
      <c r="AL14" s="5437"/>
      <c r="AM14" s="5437"/>
      <c r="AN14" s="5437"/>
      <c r="AO14" s="5437"/>
      <c r="AP14" s="5438"/>
    </row>
    <row r="15" spans="1:42" ht="20.100000000000001" customHeight="1">
      <c r="A15" s="3382" t="s">
        <v>1543</v>
      </c>
      <c r="B15" s="3486" t="s">
        <v>676</v>
      </c>
      <c r="C15" s="3487">
        <f>'5. Персонал'!O11</f>
        <v>42</v>
      </c>
      <c r="D15" s="3487">
        <f>'5. Персонал'!P11</f>
        <v>42</v>
      </c>
      <c r="E15" s="3487">
        <f>'5. Персонал'!Q11</f>
        <v>42</v>
      </c>
      <c r="F15" s="3487">
        <f>'5. Персонал'!R11</f>
        <v>42</v>
      </c>
      <c r="G15" s="3487">
        <f>'5. Персонал'!S11</f>
        <v>53</v>
      </c>
      <c r="H15" s="3487">
        <f>'5. Персонал'!T11</f>
        <v>53</v>
      </c>
      <c r="I15" s="3487">
        <f>C4+I4+C15</f>
        <v>573</v>
      </c>
      <c r="J15" s="3487">
        <f t="shared" ref="J15:N15" si="24">D4+J4+D15</f>
        <v>566</v>
      </c>
      <c r="K15" s="3487">
        <f t="shared" si="24"/>
        <v>566</v>
      </c>
      <c r="L15" s="3487">
        <f t="shared" si="24"/>
        <v>566</v>
      </c>
      <c r="M15" s="3487">
        <f t="shared" si="24"/>
        <v>587</v>
      </c>
      <c r="N15" s="3487">
        <f t="shared" si="24"/>
        <v>587</v>
      </c>
      <c r="O15" s="4215">
        <f t="shared" ref="O15:O23" si="25">IFERROR((H15-D15)/D15,0)</f>
        <v>0.26190476190476192</v>
      </c>
      <c r="P15" s="4215">
        <f t="shared" ref="P15:P23" si="26">IFERROR((N15-J15)/J15,0)</f>
        <v>3.7102473498233215E-2</v>
      </c>
      <c r="R15" s="4258"/>
      <c r="S15" s="4275"/>
      <c r="T15" s="4275"/>
      <c r="U15" s="4275"/>
      <c r="V15" s="4275"/>
      <c r="W15" s="4275"/>
      <c r="X15" s="4275"/>
      <c r="Y15" s="4251"/>
      <c r="Z15" s="4276"/>
      <c r="AB15" s="3504" t="s">
        <v>997</v>
      </c>
      <c r="AC15" s="3489">
        <f>'4. Отчет и прогн. потребление'!E58/1000</f>
        <v>160.79</v>
      </c>
      <c r="AD15" s="3489">
        <f>'4. Отчет и прогн. потребление'!F58/1000</f>
        <v>164.89754152296223</v>
      </c>
      <c r="AE15" s="3489">
        <f>'4. Отчет и прогн. потребление'!G58/1000</f>
        <v>164.91545370943081</v>
      </c>
      <c r="AF15" s="3489">
        <f>'4. Отчет и прогн. потребление'!H58/1000</f>
        <v>164.93336589589941</v>
      </c>
      <c r="AG15" s="3489">
        <f>'4. Отчет и прогн. потребление'!I58/1000</f>
        <v>164.95127808236802</v>
      </c>
      <c r="AH15" s="11"/>
      <c r="AI15" s="11"/>
      <c r="AK15" s="1425"/>
      <c r="AL15" s="3492">
        <f>'20.Цени '!D19</f>
        <v>0</v>
      </c>
      <c r="AM15" s="3492">
        <f>'20.Цени '!E19</f>
        <v>0</v>
      </c>
      <c r="AN15" s="3492">
        <f>'20.Цени '!F19</f>
        <v>0</v>
      </c>
      <c r="AO15" s="3492">
        <f>'20.Цени '!G19</f>
        <v>0</v>
      </c>
      <c r="AP15" s="3492">
        <f>'20.Цени '!H19</f>
        <v>0</v>
      </c>
    </row>
    <row r="16" spans="1:42" ht="24" customHeight="1">
      <c r="A16" s="3379" t="s">
        <v>1536</v>
      </c>
      <c r="B16" s="3490" t="s">
        <v>1541</v>
      </c>
      <c r="C16" s="3491">
        <f>'5. Персонал'!O14</f>
        <v>42</v>
      </c>
      <c r="D16" s="3491">
        <f>'5. Персонал'!P14</f>
        <v>42</v>
      </c>
      <c r="E16" s="3491">
        <f>'5. Персонал'!Q14</f>
        <v>42</v>
      </c>
      <c r="F16" s="3491">
        <f>'5. Персонал'!R14</f>
        <v>42</v>
      </c>
      <c r="G16" s="3491">
        <f>'5. Персонал'!S14</f>
        <v>53</v>
      </c>
      <c r="H16" s="3491">
        <f>'5. Персонал'!T14</f>
        <v>53</v>
      </c>
      <c r="I16" s="3487">
        <f>C5+I5+C16</f>
        <v>598</v>
      </c>
      <c r="J16" s="3487">
        <f t="shared" ref="J16:N16" si="27">D5+J5+D16</f>
        <v>590</v>
      </c>
      <c r="K16" s="3487">
        <f t="shared" si="27"/>
        <v>590</v>
      </c>
      <c r="L16" s="3487">
        <f t="shared" si="27"/>
        <v>590</v>
      </c>
      <c r="M16" s="3487">
        <f t="shared" si="27"/>
        <v>611</v>
      </c>
      <c r="N16" s="3487">
        <f t="shared" si="27"/>
        <v>611</v>
      </c>
      <c r="O16" s="4215">
        <f t="shared" si="25"/>
        <v>0.26190476190476192</v>
      </c>
      <c r="P16" s="4215">
        <f t="shared" si="26"/>
        <v>3.5593220338983052E-2</v>
      </c>
      <c r="R16" s="4289" t="s">
        <v>1859</v>
      </c>
      <c r="S16" s="4290" t="str">
        <f>+'15. ОПП'!$B$7</f>
        <v>2024 г.</v>
      </c>
      <c r="T16" s="4290" t="str">
        <f>+'15. ОПП'!$C$7</f>
        <v>2027 г.</v>
      </c>
      <c r="U16" s="4290" t="str">
        <f>+'15. ОПП'!$D$7</f>
        <v>2028 г.</v>
      </c>
      <c r="V16" s="4290" t="str">
        <f>+'15. ОПП'!$E$7</f>
        <v>2029 г.</v>
      </c>
      <c r="W16" s="4290" t="str">
        <f>+'15. ОПП'!$F$7</f>
        <v>2030 г.</v>
      </c>
      <c r="X16" s="4290" t="str">
        <f>+'15. ОПП'!$G$7</f>
        <v>2031 г.</v>
      </c>
      <c r="Y16" s="4290" t="str">
        <f>+Y8</f>
        <v>Изменение 2027 г.спрямо 2024 г.</v>
      </c>
      <c r="Z16" s="4290" t="str">
        <f>+Z8</f>
        <v>Изменение 2031 г.спрямо 2027 г.</v>
      </c>
      <c r="AB16" s="3504" t="s">
        <v>998</v>
      </c>
      <c r="AC16" s="3489">
        <f>'4. Отчет и прогн. потребление'!E59/1000</f>
        <v>60</v>
      </c>
      <c r="AD16" s="3489">
        <f>'4. Отчет и прогн. потребление'!F59/1000</f>
        <v>82.796736596517448</v>
      </c>
      <c r="AE16" s="3489">
        <f>'4. Отчет и прогн. потребление'!G59/1000</f>
        <v>82.805730487943691</v>
      </c>
      <c r="AF16" s="3489">
        <f>'4. Отчет и прогн. потребление'!H59/1000</f>
        <v>82.814724379369906</v>
      </c>
      <c r="AG16" s="3489">
        <f>'4. Отчет и прогн. потребление'!I59/1000</f>
        <v>82.823718270796135</v>
      </c>
      <c r="AH16" s="11"/>
      <c r="AI16" s="11"/>
      <c r="AK16" s="5436" t="str">
        <f>AC21</f>
        <v>Доставяне вода на друг ВиК оператор</v>
      </c>
      <c r="AL16" s="5437"/>
      <c r="AM16" s="5437"/>
      <c r="AN16" s="5437"/>
      <c r="AO16" s="5437"/>
      <c r="AP16" s="5438"/>
    </row>
    <row r="17" spans="1:48" ht="14.25" customHeight="1">
      <c r="A17" s="3385" t="s">
        <v>1546</v>
      </c>
      <c r="B17" s="3493" t="s">
        <v>170</v>
      </c>
      <c r="C17" s="3494"/>
      <c r="D17" s="3495">
        <f>IFERROR((D16-C16)/C16,0)</f>
        <v>0</v>
      </c>
      <c r="E17" s="3495">
        <f t="shared" ref="E17" si="28">IFERROR((E16-D16)/D16,0)</f>
        <v>0</v>
      </c>
      <c r="F17" s="3495">
        <f t="shared" ref="F17" si="29">IFERROR((F16-E16)/E16,0)</f>
        <v>0</v>
      </c>
      <c r="G17" s="3495">
        <f t="shared" ref="G17" si="30">IFERROR((G16-F16)/F16,0)</f>
        <v>0.26190476190476192</v>
      </c>
      <c r="H17" s="3495">
        <f t="shared" ref="H17" si="31">IFERROR((H16-G16)/G16,0)</f>
        <v>0</v>
      </c>
      <c r="I17" s="3494"/>
      <c r="J17" s="3496">
        <f>IFERROR((J16-I16)/I16,0)</f>
        <v>-1.3377926421404682E-2</v>
      </c>
      <c r="K17" s="3496">
        <f t="shared" ref="K17" si="32">IFERROR((K16-J16)/J16,0)</f>
        <v>0</v>
      </c>
      <c r="L17" s="3496">
        <f t="shared" ref="L17" si="33">IFERROR((L16-K16)/K16,0)</f>
        <v>0</v>
      </c>
      <c r="M17" s="3496">
        <f t="shared" ref="M17" si="34">IFERROR((M16-L16)/L16,0)</f>
        <v>3.5593220338983052E-2</v>
      </c>
      <c r="N17" s="3496">
        <f t="shared" ref="N17" si="35">IFERROR((N16-M16)/M16,0)</f>
        <v>0</v>
      </c>
      <c r="O17" s="4215">
        <f t="shared" si="25"/>
        <v>0</v>
      </c>
      <c r="P17" s="4215">
        <f t="shared" si="26"/>
        <v>-1</v>
      </c>
      <c r="R17" s="4291" t="s">
        <v>1565</v>
      </c>
      <c r="S17" s="4292">
        <f>IFERROR('8. Ремонтна програма'!J10/'8. Ремонтна програма'!J$24,0)</f>
        <v>1.0885301363162739E-3</v>
      </c>
      <c r="T17" s="4292">
        <f>IFERROR('8. Ремонтна програма'!K10/'8. Ремонтна програма'!K$24,0)</f>
        <v>1.0885301363162741E-3</v>
      </c>
      <c r="U17" s="4292">
        <f>IFERROR('8. Ремонтна програма'!L10/'8. Ремонтна програма'!L$24,0)</f>
        <v>1.0885301363162741E-3</v>
      </c>
      <c r="V17" s="4292">
        <f>IFERROR('8. Ремонтна програма'!M10/'8. Ремонтна програма'!M$24,0)</f>
        <v>1.0885301363162743E-3</v>
      </c>
      <c r="W17" s="4292">
        <f>IFERROR('8. Ремонтна програма'!N10/'8. Ремонтна програма'!N$24,0)</f>
        <v>1.0885301363162743E-3</v>
      </c>
      <c r="X17" s="4292">
        <f>IFERROR('8. Ремонтна програма'!O10/'8. Ремонтна програма'!O$24,0)</f>
        <v>1.0885301363162741E-3</v>
      </c>
      <c r="Y17" s="3505">
        <f>IFERROR((T17-S17)/S17,0)</f>
        <v>1.9920480587787568E-16</v>
      </c>
      <c r="Z17" s="3505">
        <f t="shared" ref="Z17:Z30" si="36">IFERROR((X17-T17)/T17,0)</f>
        <v>0</v>
      </c>
      <c r="AB17" s="3504" t="s">
        <v>999</v>
      </c>
      <c r="AC17" s="3489">
        <f>'4. Отчет и прогн. потребление'!E60/1000</f>
        <v>39</v>
      </c>
      <c r="AD17" s="3489">
        <f>'4. Отчет и прогн. потребление'!F60/1000</f>
        <v>74.511721880520341</v>
      </c>
      <c r="AE17" s="3489">
        <f>'4. Отчет и прогн. потребление'!G60/1000</f>
        <v>74.51981580262553</v>
      </c>
      <c r="AF17" s="3489">
        <f>'4. Отчет и прогн. потребление'!H60/1000</f>
        <v>74.527909724730691</v>
      </c>
      <c r="AG17" s="3489">
        <f>'4. Отчет и прогн. потребление'!I60/1000</f>
        <v>74.536003646835866</v>
      </c>
      <c r="AH17" s="11"/>
      <c r="AI17" s="11"/>
      <c r="AK17" s="1425"/>
      <c r="AL17" s="3492">
        <f>'20.Цени '!D20</f>
        <v>0</v>
      </c>
      <c r="AM17" s="3492">
        <f>'20.Цени '!E20</f>
        <v>0</v>
      </c>
      <c r="AN17" s="3492">
        <f>'20.Цени '!F20</f>
        <v>0</v>
      </c>
      <c r="AO17" s="3492">
        <f>'20.Цени '!G20</f>
        <v>0</v>
      </c>
      <c r="AP17" s="3492">
        <f>'20.Цени '!H20</f>
        <v>0</v>
      </c>
    </row>
    <row r="18" spans="1:48">
      <c r="A18" s="3385" t="s">
        <v>1545</v>
      </c>
      <c r="B18" s="3493" t="s">
        <v>170</v>
      </c>
      <c r="C18" s="3494"/>
      <c r="D18" s="3495">
        <f>IFERROR((D16-$C$16)/$C$16,0)</f>
        <v>0</v>
      </c>
      <c r="E18" s="3495">
        <f t="shared" ref="E18:H18" si="37">IFERROR((E16-$C$16)/$C$16,0)</f>
        <v>0</v>
      </c>
      <c r="F18" s="3495">
        <f t="shared" si="37"/>
        <v>0</v>
      </c>
      <c r="G18" s="3495">
        <f t="shared" si="37"/>
        <v>0.26190476190476192</v>
      </c>
      <c r="H18" s="3495">
        <f t="shared" si="37"/>
        <v>0.26190476190476192</v>
      </c>
      <c r="I18" s="3494"/>
      <c r="J18" s="3506">
        <f>IFERROR((J16-$I$16)/$I$16,0)</f>
        <v>-1.3377926421404682E-2</v>
      </c>
      <c r="K18" s="3496">
        <f t="shared" ref="K18:N18" si="38">IFERROR((K16-$I$16)/$I$16,0)</f>
        <v>-1.3377926421404682E-2</v>
      </c>
      <c r="L18" s="3495">
        <f t="shared" si="38"/>
        <v>-1.3377926421404682E-2</v>
      </c>
      <c r="M18" s="3495">
        <f t="shared" si="38"/>
        <v>2.1739130434782608E-2</v>
      </c>
      <c r="N18" s="3495">
        <f t="shared" si="38"/>
        <v>2.1739130434782608E-2</v>
      </c>
      <c r="O18" s="4215">
        <f t="shared" si="25"/>
        <v>0</v>
      </c>
      <c r="P18" s="4215">
        <f t="shared" si="26"/>
        <v>-2.625</v>
      </c>
      <c r="R18" s="4291" t="s">
        <v>1566</v>
      </c>
      <c r="S18" s="4292">
        <f>IFERROR('8. Ремонтна програма'!J11/'8. Ремонтна програма'!J$24,0)</f>
        <v>0.16403519129457303</v>
      </c>
      <c r="T18" s="4292">
        <f>IFERROR('8. Ремонтна програма'!K11/'8. Ремонтна програма'!K$24,0)</f>
        <v>0.16403519129457306</v>
      </c>
      <c r="U18" s="4292">
        <f>IFERROR('8. Ремонтна програма'!L11/'8. Ремонтна програма'!L$24,0)</f>
        <v>0.16403519129457306</v>
      </c>
      <c r="V18" s="4292">
        <f>IFERROR('8. Ремонтна програма'!M11/'8. Ремонтна програма'!M$24,0)</f>
        <v>0.16403519129457306</v>
      </c>
      <c r="W18" s="4292">
        <f>IFERROR('8. Ремонтна програма'!N11/'8. Ремонтна програма'!N$24,0)</f>
        <v>0.16403519129457309</v>
      </c>
      <c r="X18" s="4292">
        <f>IFERROR('8. Ремонтна програма'!O11/'8. Ремонтна програма'!O$24,0)</f>
        <v>0.16403519129457306</v>
      </c>
      <c r="Y18" s="3505">
        <f t="shared" ref="Y18:Y30" si="39">IFERROR((T18-S18)/S18,0)</f>
        <v>1.6920500653902784E-16</v>
      </c>
      <c r="Z18" s="3505">
        <f t="shared" si="36"/>
        <v>0</v>
      </c>
      <c r="AB18" s="5431" t="s">
        <v>1706</v>
      </c>
      <c r="AC18" s="5439" t="str">
        <f>C24</f>
        <v>Доставяне вода с непитейни качества</v>
      </c>
      <c r="AD18" s="5431"/>
      <c r="AE18" s="5431"/>
      <c r="AF18" s="5431"/>
      <c r="AG18" s="5431"/>
      <c r="AH18" s="11"/>
      <c r="AI18" s="11"/>
      <c r="AK18" s="11"/>
    </row>
    <row r="19" spans="1:48" ht="21.75" customHeight="1">
      <c r="A19" s="3380" t="s">
        <v>1537</v>
      </c>
      <c r="B19" s="3497" t="s">
        <v>1542</v>
      </c>
      <c r="C19" s="3498">
        <f>'5. Персонал'!O50</f>
        <v>16.547619047619047</v>
      </c>
      <c r="D19" s="3498">
        <f>'5. Персонал'!P50</f>
        <v>24.166666666666668</v>
      </c>
      <c r="E19" s="3498">
        <f>'5. Персонал'!Q50</f>
        <v>27.06666666666667</v>
      </c>
      <c r="F19" s="3498">
        <f>'5. Персонал'!R50</f>
        <v>30.314666666666671</v>
      </c>
      <c r="G19" s="3498">
        <f>'5. Персонал'!S50</f>
        <v>27.62638490566038</v>
      </c>
      <c r="H19" s="3498">
        <f>'5. Персонал'!T50</f>
        <v>30.941551094339626</v>
      </c>
      <c r="I19" s="3498">
        <f>IFERROR(('5. Персонал'!C29+'5. Персонал'!I29+'5. Персонал'!O29)/I16,0)</f>
        <v>16.489966555183948</v>
      </c>
      <c r="J19" s="3498">
        <f>IFERROR(('5. Персонал'!D29+'5. Персонал'!J29+'5. Персонал'!P29)/J16,0)</f>
        <v>25.327118644067795</v>
      </c>
      <c r="K19" s="3498">
        <f>IFERROR(('5. Персонал'!E29+'5. Персонал'!K29+'5. Персонал'!Q29)/K16,0)</f>
        <v>28.366372881355939</v>
      </c>
      <c r="L19" s="3498">
        <f>IFERROR(('5. Персонал'!F29+'5. Персонал'!L29+'5. Персонал'!R29)/L16,0)</f>
        <v>31.770337627118654</v>
      </c>
      <c r="M19" s="3498">
        <f>IFERROR(('5. Персонал'!G29+'5. Персонал'!M29+'5. Персонал'!S29)/M16,0)</f>
        <v>35.2502824222586</v>
      </c>
      <c r="N19" s="3498">
        <f>IFERROR(('5. Персонал'!H29+'5. Персонал'!N29+'5. Персонал'!T29)/N16,0)</f>
        <v>39.480316312929624</v>
      </c>
      <c r="O19" s="4215">
        <f t="shared" si="25"/>
        <v>0.28034004528301898</v>
      </c>
      <c r="P19" s="4215">
        <f t="shared" si="26"/>
        <v>0.55881594222234354</v>
      </c>
      <c r="R19" s="4293" t="s">
        <v>1567</v>
      </c>
      <c r="S19" s="4292">
        <f>IFERROR('8. Ремонтна програма'!J12/'8. Ремонтна програма'!J$24,0)</f>
        <v>0.31147291473833283</v>
      </c>
      <c r="T19" s="4292">
        <f>IFERROR('8. Ремонтна програма'!K12/'8. Ремонтна програма'!K$24,0)</f>
        <v>0.31147291473833288</v>
      </c>
      <c r="U19" s="4292">
        <f>IFERROR('8. Ремонтна програма'!L12/'8. Ремонтна програма'!L$24,0)</f>
        <v>0.31147291473833288</v>
      </c>
      <c r="V19" s="4292">
        <f>IFERROR('8. Ремонтна програма'!M12/'8. Ремонтна програма'!M$24,0)</f>
        <v>0.31147291473833288</v>
      </c>
      <c r="W19" s="4292">
        <f>IFERROR('8. Ремонтна програма'!N12/'8. Ремонтна програма'!N$24,0)</f>
        <v>0.31147291473833294</v>
      </c>
      <c r="X19" s="4292">
        <f>IFERROR('8. Ремонтна програма'!O12/'8. Ремонтна програма'!O$24,0)</f>
        <v>0.31147291473833288</v>
      </c>
      <c r="Y19" s="3505">
        <f t="shared" si="39"/>
        <v>1.7822143950427448E-16</v>
      </c>
      <c r="Z19" s="3505">
        <f t="shared" si="36"/>
        <v>0</v>
      </c>
      <c r="AB19" s="5431"/>
      <c r="AC19" s="4220" t="str">
        <f>+'15. ОПП'!$C$7</f>
        <v>2027 г.</v>
      </c>
      <c r="AD19" s="4220" t="str">
        <f>+'15. ОПП'!$D$7</f>
        <v>2028 г.</v>
      </c>
      <c r="AE19" s="4220" t="str">
        <f>+'15. ОПП'!$E$7</f>
        <v>2029 г.</v>
      </c>
      <c r="AF19" s="4220" t="str">
        <f>+'15. ОПП'!$F$7</f>
        <v>2030 г.</v>
      </c>
      <c r="AG19" s="4220" t="str">
        <f>+'15. ОПП'!$G$7</f>
        <v>2031 г.</v>
      </c>
      <c r="AH19" s="11"/>
      <c r="AI19" s="11"/>
      <c r="AK19" s="5404" t="s">
        <v>279</v>
      </c>
      <c r="AL19" s="5404" t="s">
        <v>280</v>
      </c>
      <c r="AM19" s="5404" t="s">
        <v>192</v>
      </c>
      <c r="AN19" s="5404"/>
      <c r="AO19" s="5404" t="s">
        <v>193</v>
      </c>
      <c r="AP19" s="5404"/>
      <c r="AQ19" s="5404"/>
      <c r="AR19" s="5404"/>
      <c r="AS19" s="5404"/>
    </row>
    <row r="20" spans="1:48" ht="15.75" customHeight="1">
      <c r="A20" s="3385" t="s">
        <v>1546</v>
      </c>
      <c r="B20" s="3493" t="s">
        <v>170</v>
      </c>
      <c r="C20" s="3494"/>
      <c r="D20" s="3495">
        <f>IFERROR((D19-C19)/C19,0)</f>
        <v>0.46043165467625907</v>
      </c>
      <c r="E20" s="3495">
        <f t="shared" ref="E20" si="40">IFERROR((E19-D19)/D19,0)</f>
        <v>0.12000000000000008</v>
      </c>
      <c r="F20" s="3495">
        <f t="shared" ref="F20" si="41">IFERROR((F19-E19)/E19,0)</f>
        <v>0.12000000000000002</v>
      </c>
      <c r="G20" s="3495">
        <f t="shared" ref="G20" si="42">IFERROR((G19-F19)/F19,0)</f>
        <v>-8.8679245283018904E-2</v>
      </c>
      <c r="H20" s="3495">
        <f t="shared" ref="H20" si="43">IFERROR((H19-G19)/G19,0)</f>
        <v>0.12000000000000001</v>
      </c>
      <c r="I20" s="3494"/>
      <c r="J20" s="3496">
        <f>IFERROR((J19-I19)/I19,0)</f>
        <v>0.53591085581102738</v>
      </c>
      <c r="K20" s="3496">
        <f t="shared" ref="K20" si="44">IFERROR((K19-J19)/J19,0)</f>
        <v>0.12000000000000036</v>
      </c>
      <c r="L20" s="3496">
        <f t="shared" ref="L20" si="45">IFERROR((L19-K19)/K19,0)</f>
        <v>0.12000000000000005</v>
      </c>
      <c r="M20" s="3496">
        <f t="shared" ref="M20" si="46">IFERROR((M19-L19)/L19,0)</f>
        <v>0.1095343976505154</v>
      </c>
      <c r="N20" s="3496">
        <f t="shared" ref="N20" si="47">IFERROR((N19-M19)/M19,0)</f>
        <v>0.11999999999999976</v>
      </c>
      <c r="O20" s="4215">
        <f t="shared" si="25"/>
        <v>-0.739375</v>
      </c>
      <c r="P20" s="4215">
        <f t="shared" si="26"/>
        <v>-0.77608216236187966</v>
      </c>
      <c r="R20" s="4291" t="s">
        <v>1568</v>
      </c>
      <c r="S20" s="4292">
        <f>IFERROR('8. Ремонтна програма'!J13/'8. Ремонтна програма'!J$24,0)</f>
        <v>0.10369533145033011</v>
      </c>
      <c r="T20" s="4292">
        <f>IFERROR('8. Ремонтна програма'!K13/'8. Ремонтна програма'!K$24,0)</f>
        <v>0.10369533145033012</v>
      </c>
      <c r="U20" s="4292">
        <f>IFERROR('8. Ремонтна програма'!L13/'8. Ремонтна програма'!L$24,0)</f>
        <v>0.10369533145033014</v>
      </c>
      <c r="V20" s="4292">
        <f>IFERROR('8. Ремонтна програма'!M13/'8. Ремонтна програма'!M$24,0)</f>
        <v>0.10369533145033014</v>
      </c>
      <c r="W20" s="4292">
        <f>IFERROR('8. Ремонтна програма'!N13/'8. Ремонтна програма'!N$24,0)</f>
        <v>0.10369533145033015</v>
      </c>
      <c r="X20" s="4292">
        <f>IFERROR('8. Ремонтна програма'!O13/'8. Ремонтна програма'!O$24,0)</f>
        <v>0.10369533145033012</v>
      </c>
      <c r="Y20" s="3505">
        <f t="shared" si="39"/>
        <v>1.338323299006175E-16</v>
      </c>
      <c r="Z20" s="3505">
        <f t="shared" si="36"/>
        <v>0</v>
      </c>
      <c r="AB20" s="3488" t="s">
        <v>340</v>
      </c>
      <c r="AC20" s="3489">
        <f>'4. Отчет и прогн. потребление'!E69/1000</f>
        <v>0</v>
      </c>
      <c r="AD20" s="3489">
        <f>'4. Отчет и прогн. потребление'!F69/1000</f>
        <v>0</v>
      </c>
      <c r="AE20" s="3489">
        <f>'4. Отчет и прогн. потребление'!G69/1000</f>
        <v>0</v>
      </c>
      <c r="AF20" s="3489">
        <f>'4. Отчет и прогн. потребление'!H69/1000</f>
        <v>0</v>
      </c>
      <c r="AG20" s="3489">
        <f>'4. Отчет и прогн. потребление'!I69/1000</f>
        <v>0</v>
      </c>
      <c r="AH20" s="11"/>
      <c r="AI20" s="11"/>
      <c r="AK20" s="5404"/>
      <c r="AL20" s="5404"/>
      <c r="AM20" s="4294" t="str">
        <f>+'9.Инвестиционна програма'!G9</f>
        <v>2025 г.</v>
      </c>
      <c r="AN20" s="4294" t="str">
        <f>+'9.Инвестиционна програма'!H9</f>
        <v>2026 г.</v>
      </c>
      <c r="AO20" s="4294" t="str">
        <f>+'9.Инвестиционна програма'!I9</f>
        <v>2027 г.</v>
      </c>
      <c r="AP20" s="4294" t="str">
        <f>+'9.Инвестиционна програма'!J9</f>
        <v>2028 г.</v>
      </c>
      <c r="AQ20" s="4294" t="str">
        <f>+'9.Инвестиционна програма'!K9</f>
        <v>2029 г.</v>
      </c>
      <c r="AR20" s="4294" t="str">
        <f>+'9.Инвестиционна програма'!L9</f>
        <v>2030 г.</v>
      </c>
      <c r="AS20" s="4294" t="str">
        <f>+'9.Инвестиционна програма'!M9</f>
        <v>2031 г.</v>
      </c>
    </row>
    <row r="21" spans="1:48" ht="22.5">
      <c r="A21" s="3384" t="s">
        <v>1544</v>
      </c>
      <c r="B21" s="3493" t="s">
        <v>170</v>
      </c>
      <c r="C21" s="3494"/>
      <c r="D21" s="3495">
        <f>IFERROR((D19-$C$19)/$C$19,0)</f>
        <v>0.46043165467625907</v>
      </c>
      <c r="E21" s="3495">
        <f t="shared" ref="E21:H21" si="48">IFERROR((E19-$C$19)/$C$19,0)</f>
        <v>0.63568345323741027</v>
      </c>
      <c r="F21" s="3495">
        <f t="shared" si="48"/>
        <v>0.83196546762589951</v>
      </c>
      <c r="G21" s="3495">
        <f t="shared" si="48"/>
        <v>0.66950815257228202</v>
      </c>
      <c r="H21" s="3495">
        <f t="shared" si="48"/>
        <v>0.86984913088095583</v>
      </c>
      <c r="I21" s="3494"/>
      <c r="J21" s="3495">
        <f>IFERROR((J19-$I$19)/$I$19,0)</f>
        <v>0.53591085581102738</v>
      </c>
      <c r="K21" s="3496">
        <f t="shared" ref="K21:N21" si="49">IFERROR((K19-$I$19)/$I$19,0)</f>
        <v>0.72022015850835119</v>
      </c>
      <c r="L21" s="3495">
        <f t="shared" si="49"/>
        <v>0.92664657752935331</v>
      </c>
      <c r="M21" s="3495">
        <f t="shared" si="49"/>
        <v>1.1376806498844581</v>
      </c>
      <c r="N21" s="3495">
        <f t="shared" si="49"/>
        <v>1.3942023278705926</v>
      </c>
      <c r="O21" s="4215">
        <f t="shared" si="25"/>
        <v>0.88920358113207565</v>
      </c>
      <c r="P21" s="4215">
        <f t="shared" si="26"/>
        <v>1.6015564207234787</v>
      </c>
      <c r="R21" s="4291" t="s">
        <v>1569</v>
      </c>
      <c r="S21" s="4292">
        <f>IFERROR('8. Ремонтна програма'!J14/'8. Ремонтна програма'!J$24,0)</f>
        <v>4.1672308874266921E-3</v>
      </c>
      <c r="T21" s="4292">
        <f>IFERROR('8. Ремонтна програма'!K14/'8. Ремонтна програма'!K$24,0)</f>
        <v>4.1672308874266921E-3</v>
      </c>
      <c r="U21" s="4292">
        <f>IFERROR('8. Ремонтна програма'!L14/'8. Ремонтна програма'!L$24,0)</f>
        <v>4.167230887426693E-3</v>
      </c>
      <c r="V21" s="4292">
        <f>IFERROR('8. Ремонтна програма'!M14/'8. Ремонтна програма'!M$24,0)</f>
        <v>4.167230887426693E-3</v>
      </c>
      <c r="W21" s="4292">
        <f>IFERROR('8. Ремонтна програма'!N14/'8. Ремонтна програма'!N$24,0)</f>
        <v>4.1672308874266938E-3</v>
      </c>
      <c r="X21" s="4292">
        <f>IFERROR('8. Ремонтна програма'!O14/'8. Ремонтна програма'!O$24,0)</f>
        <v>4.167230887426693E-3</v>
      </c>
      <c r="Y21" s="3505">
        <f t="shared" si="39"/>
        <v>0</v>
      </c>
      <c r="Z21" s="3505">
        <f t="shared" si="36"/>
        <v>2.0813863244424365E-16</v>
      </c>
      <c r="AB21" s="5431" t="s">
        <v>1705</v>
      </c>
      <c r="AC21" s="5431" t="str">
        <f>I24</f>
        <v>Доставяне вода на друг ВиК оператор</v>
      </c>
      <c r="AD21" s="5431"/>
      <c r="AE21" s="5431"/>
      <c r="AF21" s="5431"/>
      <c r="AG21" s="5431"/>
      <c r="AH21" s="11"/>
      <c r="AI21" s="11"/>
      <c r="AK21" s="3392" t="s">
        <v>286</v>
      </c>
      <c r="AL21" s="3386" t="s">
        <v>1730</v>
      </c>
      <c r="AM21" s="4295">
        <f>'13. Соц. поносимост'!C12</f>
        <v>2.8</v>
      </c>
      <c r="AN21" s="4295">
        <f>'13. Соц. поносимост'!D12</f>
        <v>2.8</v>
      </c>
      <c r="AO21" s="4295">
        <f>'13. Соц. поносимост'!E12</f>
        <v>2.8</v>
      </c>
      <c r="AP21" s="4295">
        <f>'13. Соц. поносимост'!F12</f>
        <v>2.8</v>
      </c>
      <c r="AQ21" s="4295">
        <f>'13. Соц. поносимост'!G12</f>
        <v>2.8</v>
      </c>
      <c r="AR21" s="4295">
        <f>'13. Соц. поносимост'!H12</f>
        <v>2.8</v>
      </c>
      <c r="AS21" s="4295">
        <f>'13. Соц. поносимост'!I12</f>
        <v>2.8</v>
      </c>
    </row>
    <row r="22" spans="1:48" ht="21" customHeight="1">
      <c r="A22" s="3383" t="s">
        <v>1548</v>
      </c>
      <c r="B22" s="3501" t="s">
        <v>170</v>
      </c>
      <c r="C22" s="3377">
        <f>'5. Персонал'!O62</f>
        <v>0.18848920863309351</v>
      </c>
      <c r="D22" s="3377">
        <f>'5. Персонал'!P62</f>
        <v>0.19211822660098521</v>
      </c>
      <c r="E22" s="3377">
        <f>'5. Персонал'!Q62</f>
        <v>0.19211822660098521</v>
      </c>
      <c r="F22" s="3377">
        <f>'5. Персонал'!R62</f>
        <v>0.19211822660098526</v>
      </c>
      <c r="G22" s="3377">
        <f>'5. Персонал'!S62</f>
        <v>0.19211822660098521</v>
      </c>
      <c r="H22" s="3377">
        <f>'5. Персонал'!T62</f>
        <v>0.19211822660098524</v>
      </c>
      <c r="I22" s="3377">
        <f>IFERROR(('5. Персонал'!C42+'5. Персонал'!I42+'5. Персонал'!O42)/('5. Персонал'!C29+'5. Персонал'!I29+'5. Персонал'!O29),0)</f>
        <v>0.19206976980022311</v>
      </c>
      <c r="J22" s="3377">
        <f>IFERROR(('5. Персонал'!D42+'5. Персонал'!J42+'5. Персонал'!P42)/('5. Персонал'!D29+'5. Персонал'!J29+'5. Персонал'!P29),0)</f>
        <v>0.19407080238238641</v>
      </c>
      <c r="K22" s="3377">
        <f>IFERROR(('5. Персонал'!E42+'5. Персонал'!K42+'5. Персонал'!Q42)/('5. Персонал'!E29+'5. Персонал'!K29+'5. Персонал'!Q29),0)</f>
        <v>0.19407080238238636</v>
      </c>
      <c r="L22" s="3377">
        <f>IFERROR(('5. Персонал'!F42+'5. Персонал'!L42+'5. Персонал'!R42)/('5. Персонал'!F29+'5. Персонал'!L29+'5. Персонал'!R29),0)</f>
        <v>0.19407080238238636</v>
      </c>
      <c r="M22" s="3377">
        <f>IFERROR(('5. Персонал'!G42+'5. Персонал'!M42+'5. Персонал'!S42)/('5. Персонал'!G29+'5. Персонал'!M29+'5. Персонал'!S29),0)</f>
        <v>0.19408674482670255</v>
      </c>
      <c r="N22" s="3377">
        <f>IFERROR(('5. Персонал'!H42+'5. Персонал'!N42+'5. Персонал'!T42)/('5. Персонал'!H29+'5. Персонал'!N29+'5. Персонал'!T29),0)</f>
        <v>0.19408674482670257</v>
      </c>
      <c r="O22" s="4215">
        <f t="shared" si="25"/>
        <v>1.4447132948647871E-16</v>
      </c>
      <c r="P22" s="4215">
        <f t="shared" si="26"/>
        <v>8.2147567384949013E-5</v>
      </c>
      <c r="R22" s="4293" t="s">
        <v>1570</v>
      </c>
      <c r="S22" s="4292">
        <f>IFERROR('8. Ремонтна програма'!J15/'8. Ремонтна програма'!J$24,0)</f>
        <v>0.11887758736385272</v>
      </c>
      <c r="T22" s="4292">
        <f>IFERROR('8. Ремонтна програма'!K15/'8. Ремонтна програма'!K$24,0)</f>
        <v>0.11887758736385273</v>
      </c>
      <c r="U22" s="4292">
        <f>IFERROR('8. Ремонтна програма'!L15/'8. Ремонтна програма'!L$24,0)</f>
        <v>0.11887758736385275</v>
      </c>
      <c r="V22" s="4292">
        <f>IFERROR('8. Ремонтна програма'!M15/'8. Ремонтна програма'!M$24,0)</f>
        <v>0.11887758736385275</v>
      </c>
      <c r="W22" s="4292">
        <f>IFERROR('8. Ремонтна програма'!N15/'8. Ремонтна програма'!N$24,0)</f>
        <v>0.11887758736385276</v>
      </c>
      <c r="X22" s="4292">
        <f>IFERROR('8. Ремонтна програма'!O15/'8. Ремонтна програма'!O$24,0)</f>
        <v>0.11887758736385275</v>
      </c>
      <c r="Y22" s="3505">
        <f t="shared" si="39"/>
        <v>1.1674015359462364E-16</v>
      </c>
      <c r="Z22" s="3505">
        <f t="shared" si="36"/>
        <v>1.1674015359462364E-16</v>
      </c>
      <c r="AB22" s="5431"/>
      <c r="AC22" s="4220" t="str">
        <f>+'15. ОПП'!$C$7</f>
        <v>2027 г.</v>
      </c>
      <c r="AD22" s="4220" t="str">
        <f>+'15. ОПП'!$D$7</f>
        <v>2028 г.</v>
      </c>
      <c r="AE22" s="4220" t="str">
        <f>+'15. ОПП'!$E$7</f>
        <v>2029 г.</v>
      </c>
      <c r="AF22" s="4220" t="str">
        <f>+'15. ОПП'!$F$7</f>
        <v>2030 г.</v>
      </c>
      <c r="AG22" s="4220" t="str">
        <f>+'15. ОПП'!$G$7</f>
        <v>2031 г.</v>
      </c>
      <c r="AH22" s="11"/>
      <c r="AI22" s="11"/>
      <c r="AK22" s="3392" t="s">
        <v>339</v>
      </c>
      <c r="AL22" s="4296" t="s">
        <v>288</v>
      </c>
      <c r="AM22" s="4295">
        <f>'13. Соц. поносимост'!C13</f>
        <v>14.038079999999997</v>
      </c>
      <c r="AN22" s="4295">
        <f>'13. Соц. поносимост'!D13</f>
        <v>14.831039999999996</v>
      </c>
      <c r="AO22" s="4295">
        <f>'13. Соц. поносимост'!E13</f>
        <v>18.849599999999995</v>
      </c>
      <c r="AP22" s="4295">
        <f>'13. Соц. поносимост'!F13</f>
        <v>20.495999999999999</v>
      </c>
      <c r="AQ22" s="4295">
        <f>'13. Соц. поносимост'!G13</f>
        <v>22.401120000000002</v>
      </c>
      <c r="AR22" s="4295">
        <f>'13. Соц. поносимост'!H13</f>
        <v>24.205439999999999</v>
      </c>
      <c r="AS22" s="4295">
        <f>'13. Соц. поносимост'!I13</f>
        <v>24.554879999999994</v>
      </c>
    </row>
    <row r="23" spans="1:48" ht="19.5" customHeight="1">
      <c r="A23" s="3383" t="s">
        <v>1547</v>
      </c>
      <c r="B23" s="3501" t="s">
        <v>170</v>
      </c>
      <c r="C23" s="3377">
        <f>'5. Персонал'!O63</f>
        <v>0.12949640287769784</v>
      </c>
      <c r="D23" s="3377">
        <f>'5. Персонал'!P63</f>
        <v>0.10541871921182266</v>
      </c>
      <c r="E23" s="3377">
        <f>'5. Персонал'!Q63</f>
        <v>9.4123856439127365E-2</v>
      </c>
      <c r="F23" s="3377">
        <f>'5. Персонал'!R63</f>
        <v>8.4039157534935155E-2</v>
      </c>
      <c r="G23" s="3377">
        <f>'5. Персонал'!S63</f>
        <v>9.0834684698467075E-2</v>
      </c>
      <c r="H23" s="3377">
        <f>'5. Персонал'!T63</f>
        <v>8.1102397052202749E-2</v>
      </c>
      <c r="I23" s="3377">
        <f>IFERROR(('5. Персонал'!C46+'5. Персонал'!I46+'5. Персонал'!O46)/('5. Персонал'!C29+'5. Персонал'!I29+'5. Персонал'!O29),0)</f>
        <v>0.12737044924449853</v>
      </c>
      <c r="J23" s="3377">
        <f>IFERROR(('5. Персонал'!D46+'5. Персонал'!J46+'5. Персонал'!P46)/('5. Персонал'!D29+'5. Персонал'!J29+'5. Персонал'!P29),0)</f>
        <v>9.9815791234762266E-2</v>
      </c>
      <c r="K23" s="3377">
        <f>IFERROR(('5. Персонал'!E46+'5. Персонал'!K46+'5. Персонал'!Q46)/('5. Персонал'!E29+'5. Персонал'!K29+'5. Персонал'!Q29),0)</f>
        <v>8.9148287301268614E-2</v>
      </c>
      <c r="L23" s="3377">
        <f>IFERROR(('5. Персонал'!F46+'5. Персонал'!L46+'5. Персонал'!R46)/('5. Персонал'!F29+'5. Персонал'!L29+'5. Персонал'!R29),0)</f>
        <v>8.2744275184476496E-2</v>
      </c>
      <c r="M23" s="3377">
        <f>IFERROR(('5. Персонал'!G46+'5. Персонал'!M46+'5. Персонал'!S46)/('5. Персонал'!G29+'5. Персонал'!M29+'5. Персонал'!S29),0)</f>
        <v>7.1501789260774454E-2</v>
      </c>
      <c r="N23" s="3377">
        <f>IFERROR(('5. Персонал'!H46+'5. Персонал'!N46+'5. Персонал'!T46)/('5. Персонал'!H29+'5. Персонал'!N29+'5. Персонал'!T29),0)</f>
        <v>6.3840883268548629E-2</v>
      </c>
      <c r="O23" s="4215">
        <f t="shared" si="25"/>
        <v>-0.23066417749545995</v>
      </c>
      <c r="P23" s="4215">
        <f t="shared" si="26"/>
        <v>-0.36041299198442728</v>
      </c>
      <c r="R23" s="4293" t="s">
        <v>1571</v>
      </c>
      <c r="S23" s="4292">
        <f>IFERROR('8. Ремонтна програма'!J16/'8. Ремонтна програма'!J$24,0)</f>
        <v>8.9633415609507647E-3</v>
      </c>
      <c r="T23" s="4292">
        <f>IFERROR('8. Ремонтна програма'!K16/'8. Ремонтна програма'!K$24,0)</f>
        <v>8.9633415609507664E-3</v>
      </c>
      <c r="U23" s="4292">
        <f>IFERROR('8. Ремонтна програма'!L16/'8. Ремонтна програма'!L$24,0)</f>
        <v>8.9633415609507681E-3</v>
      </c>
      <c r="V23" s="4292">
        <f>IFERROR('8. Ремонтна програма'!M16/'8. Ремонтна програма'!M$24,0)</f>
        <v>8.9633415609507664E-3</v>
      </c>
      <c r="W23" s="4292">
        <f>IFERROR('8. Ремонтна програма'!N16/'8. Ремонтна програма'!N$24,0)</f>
        <v>8.9633415609507681E-3</v>
      </c>
      <c r="X23" s="4292">
        <f>IFERROR('8. Ремонтна програма'!O16/'8. Ремонтна програма'!O$24,0)</f>
        <v>8.9633415609507664E-3</v>
      </c>
      <c r="Y23" s="3505">
        <f t="shared" si="39"/>
        <v>1.935353533256185E-16</v>
      </c>
      <c r="Z23" s="3505">
        <f t="shared" si="36"/>
        <v>0</v>
      </c>
      <c r="AB23" s="3488" t="s">
        <v>340</v>
      </c>
      <c r="AC23" s="3489">
        <f>'4. Отчет и прогн. потребление'!E100/1000</f>
        <v>0</v>
      </c>
      <c r="AD23" s="3489">
        <f>'4. Отчет и прогн. потребление'!F100/1000</f>
        <v>0</v>
      </c>
      <c r="AE23" s="3489">
        <f>'4. Отчет и прогн. потребление'!G100/1000</f>
        <v>0</v>
      </c>
      <c r="AF23" s="3489">
        <f>'4. Отчет и прогн. потребление'!H100/1000</f>
        <v>0</v>
      </c>
      <c r="AG23" s="3489">
        <f>'4. Отчет и прогн. потребление'!I100/1000</f>
        <v>0</v>
      </c>
      <c r="AH23" s="11"/>
      <c r="AI23" s="11"/>
      <c r="AK23" s="3392" t="s">
        <v>289</v>
      </c>
      <c r="AL23" s="4296" t="s">
        <v>290</v>
      </c>
      <c r="AM23" s="3526">
        <f>'13. Соц. поносимост'!C14</f>
        <v>841</v>
      </c>
      <c r="AN23" s="3526">
        <f>'13. Соц. поносимост'!D14</f>
        <v>859.50200000000007</v>
      </c>
      <c r="AO23" s="3526">
        <f>'13. Соц. поносимост'!E14</f>
        <v>886.14656200000002</v>
      </c>
      <c r="AP23" s="3526">
        <f>'13. Соц. поносимост'!F14</f>
        <v>913.6171054219999</v>
      </c>
      <c r="AQ23" s="3526">
        <f>'13. Соц. поносимост'!G14</f>
        <v>941.93923569008177</v>
      </c>
      <c r="AR23" s="3526">
        <f>'13. Соц. поносимост'!H14</f>
        <v>971.13935199647426</v>
      </c>
      <c r="AS23" s="3526">
        <f>'13. Соц. поносимост'!I14</f>
        <v>1001.2446719083649</v>
      </c>
    </row>
    <row r="24" spans="1:48" ht="12.6" customHeight="1">
      <c r="A24" s="5432" t="s">
        <v>2</v>
      </c>
      <c r="B24" s="5440" t="s">
        <v>1538</v>
      </c>
      <c r="C24" s="5442" t="s">
        <v>1236</v>
      </c>
      <c r="D24" s="5443"/>
      <c r="E24" s="5443"/>
      <c r="F24" s="5443"/>
      <c r="G24" s="5443"/>
      <c r="H24" s="5444"/>
      <c r="I24" s="5445" t="s">
        <v>1237</v>
      </c>
      <c r="J24" s="5446"/>
      <c r="K24" s="5446"/>
      <c r="L24" s="5446"/>
      <c r="M24" s="5446"/>
      <c r="N24" s="5447"/>
      <c r="O24" s="5432" t="str">
        <f>CONCATENATE("Изменение ", H25,"спрямо ",D25)</f>
        <v>Изменение 2031 г.спрямо 2027 г.</v>
      </c>
      <c r="P24" s="5432" t="str">
        <f>CONCATENATE("Изменение ", N25,"спрямо ",J25)</f>
        <v>Изменение 2031 г.спрямо 2027 г.</v>
      </c>
      <c r="R24" s="4291" t="s">
        <v>1572</v>
      </c>
      <c r="S24" s="4292">
        <f>IFERROR('8. Ремонтна програма'!J17/'8. Ремонтна програма'!J$24,0)</f>
        <v>1.2838245522276744E-2</v>
      </c>
      <c r="T24" s="4292">
        <f>IFERROR('8. Ремонтна програма'!K17/'8. Ремонтна програма'!K$24,0)</f>
        <v>1.2838245522276748E-2</v>
      </c>
      <c r="U24" s="4292">
        <f>IFERROR('8. Ремонтна програма'!L17/'8. Ремонтна програма'!L$24,0)</f>
        <v>1.2838245522276748E-2</v>
      </c>
      <c r="V24" s="4292">
        <f>IFERROR('8. Ремонтна програма'!M17/'8. Ремонтна програма'!M$24,0)</f>
        <v>1.2838245522276748E-2</v>
      </c>
      <c r="W24" s="4292">
        <f>IFERROR('8. Ремонтна програма'!N17/'8. Ремонтна програма'!N$24,0)</f>
        <v>1.2838245522276748E-2</v>
      </c>
      <c r="X24" s="4292">
        <f>IFERROR('8. Ремонтна програма'!O17/'8. Ремонтна програма'!O$24,0)</f>
        <v>1.2838245522276746E-2</v>
      </c>
      <c r="Y24" s="3505">
        <f t="shared" si="39"/>
        <v>2.7024307534339319E-16</v>
      </c>
      <c r="Z24" s="3505">
        <f t="shared" si="36"/>
        <v>-1.3512153767169655E-16</v>
      </c>
      <c r="AB24" s="1686"/>
      <c r="AC24" s="3507"/>
      <c r="AD24" s="3507"/>
      <c r="AE24" s="3507"/>
      <c r="AF24" s="3507"/>
      <c r="AG24" s="3507"/>
      <c r="AH24" s="11"/>
      <c r="AI24" s="11"/>
      <c r="AK24" s="3392" t="s">
        <v>1787</v>
      </c>
      <c r="AL24" s="4296" t="s">
        <v>170</v>
      </c>
      <c r="AM24" s="4297"/>
      <c r="AN24" s="4298">
        <f>'13. Соц. поносимост'!D15</f>
        <v>2.1999999999999999E-2</v>
      </c>
      <c r="AO24" s="4298">
        <f>'13. Соц. поносимост'!E15</f>
        <v>3.1E-2</v>
      </c>
      <c r="AP24" s="4298">
        <f>'13. Соц. поносимост'!F15</f>
        <v>3.1E-2</v>
      </c>
      <c r="AQ24" s="4298">
        <f>'13. Соц. поносимост'!G15</f>
        <v>3.1E-2</v>
      </c>
      <c r="AR24" s="4298">
        <f>'13. Соц. поносимост'!H15</f>
        <v>3.1E-2</v>
      </c>
      <c r="AS24" s="4298">
        <f>'13. Соц. поносимост'!I15</f>
        <v>3.1E-2</v>
      </c>
    </row>
    <row r="25" spans="1:48" ht="14.25" customHeight="1">
      <c r="A25" s="5433"/>
      <c r="B25" s="5441"/>
      <c r="C25" s="4287" t="str">
        <f>+'15. ОПП'!$B$7</f>
        <v>2024 г.</v>
      </c>
      <c r="D25" s="4287" t="str">
        <f>+'15. ОПП'!$C$7</f>
        <v>2027 г.</v>
      </c>
      <c r="E25" s="4287" t="str">
        <f>+'15. ОПП'!$D$7</f>
        <v>2028 г.</v>
      </c>
      <c r="F25" s="4287" t="str">
        <f>+'15. ОПП'!$E$7</f>
        <v>2029 г.</v>
      </c>
      <c r="G25" s="4287" t="str">
        <f>+'15. ОПП'!$F$7</f>
        <v>2030 г.</v>
      </c>
      <c r="H25" s="4287" t="str">
        <f>+'15. ОПП'!$G$7</f>
        <v>2031 г.</v>
      </c>
      <c r="I25" s="4287" t="str">
        <f>+'15. ОПП'!$B$7</f>
        <v>2024 г.</v>
      </c>
      <c r="J25" s="4287" t="str">
        <f>+'15. ОПП'!$C$7</f>
        <v>2027 г.</v>
      </c>
      <c r="K25" s="4287" t="str">
        <f>+'15. ОПП'!$D$7</f>
        <v>2028 г.</v>
      </c>
      <c r="L25" s="4287" t="str">
        <f>+'15. ОПП'!$E$7</f>
        <v>2029 г.</v>
      </c>
      <c r="M25" s="4287" t="str">
        <f>+'15. ОПП'!$F$7</f>
        <v>2030 г.</v>
      </c>
      <c r="N25" s="4287" t="str">
        <f>+'15. ОПП'!$G$7</f>
        <v>2031 г.</v>
      </c>
      <c r="O25" s="5433"/>
      <c r="P25" s="5433"/>
      <c r="R25" s="4293" t="s">
        <v>1574</v>
      </c>
      <c r="S25" s="4292">
        <f>IFERROR('8. Ремонтна програма'!J18/'8. Ремонтна програма'!J$24,0)</f>
        <v>8.9704882076829164E-3</v>
      </c>
      <c r="T25" s="4292">
        <f>IFERROR('8. Ремонтна програма'!K18/'8. Ремонтна програма'!K$24,0)</f>
        <v>8.9704882076829182E-3</v>
      </c>
      <c r="U25" s="4292">
        <f>IFERROR('8. Ремонтна програма'!L18/'8. Ремонтна програма'!L$24,0)</f>
        <v>8.9704882076829199E-3</v>
      </c>
      <c r="V25" s="4292">
        <f>IFERROR('8. Ремонтна програма'!M18/'8. Ремонтна програма'!M$24,0)</f>
        <v>8.9704882076829199E-3</v>
      </c>
      <c r="W25" s="4292">
        <f>IFERROR('8. Ремонтна програма'!N18/'8. Ремонтна програма'!N$24,0)</f>
        <v>8.9704882076829216E-3</v>
      </c>
      <c r="X25" s="4292">
        <f>IFERROR('8. Ремонтна програма'!O18/'8. Ремонтна програма'!O$24,0)</f>
        <v>8.9704882076829216E-3</v>
      </c>
      <c r="Y25" s="3505">
        <f t="shared" si="39"/>
        <v>1.9338116675646212E-16</v>
      </c>
      <c r="Z25" s="3505">
        <f t="shared" si="36"/>
        <v>3.867623335129242E-16</v>
      </c>
      <c r="AB25" s="5434" t="s">
        <v>1697</v>
      </c>
      <c r="AC25" s="5431" t="s">
        <v>184</v>
      </c>
      <c r="AD25" s="5431"/>
      <c r="AE25" s="5431"/>
      <c r="AF25" s="5431"/>
      <c r="AG25" s="5431"/>
      <c r="AH25" s="11"/>
      <c r="AI25" s="11"/>
      <c r="AK25" s="3392" t="s">
        <v>740</v>
      </c>
      <c r="AL25" s="4296" t="s">
        <v>288</v>
      </c>
      <c r="AM25" s="4295">
        <f>'13. Соц. поносимост'!C16</f>
        <v>21.025000000000002</v>
      </c>
      <c r="AN25" s="4295">
        <f>'13. Соц. поносимост'!D16</f>
        <v>21.487550000000002</v>
      </c>
      <c r="AO25" s="4295">
        <f>'13. Соц. поносимост'!E16</f>
        <v>22.153664050000003</v>
      </c>
      <c r="AP25" s="4295">
        <f>'13. Соц. поносимост'!F16</f>
        <v>22.84042763555</v>
      </c>
      <c r="AQ25" s="4295">
        <f>'13. Соц. поносимост'!G16</f>
        <v>23.548480892252044</v>
      </c>
      <c r="AR25" s="4295">
        <f>'13. Соц. поносимост'!H16</f>
        <v>24.278483799911857</v>
      </c>
      <c r="AS25" s="4295">
        <f>'13. Соц. поносимост'!I16</f>
        <v>25.031116797709124</v>
      </c>
    </row>
    <row r="26" spans="1:48" ht="20.45" customHeight="1">
      <c r="A26" s="3382" t="s">
        <v>1543</v>
      </c>
      <c r="B26" s="3486" t="s">
        <v>676</v>
      </c>
      <c r="C26" s="3487">
        <f>'5. Персонал'!U11</f>
        <v>0</v>
      </c>
      <c r="D26" s="3487">
        <f>'5. Персонал'!V11</f>
        <v>0</v>
      </c>
      <c r="E26" s="3487">
        <f>'5. Персонал'!W11</f>
        <v>0</v>
      </c>
      <c r="F26" s="3487">
        <f>'5. Персонал'!X11</f>
        <v>0</v>
      </c>
      <c r="G26" s="3487">
        <f>'5. Персонал'!Y11</f>
        <v>0</v>
      </c>
      <c r="H26" s="3487">
        <f>'5. Персонал'!Z11</f>
        <v>0</v>
      </c>
      <c r="I26" s="3487">
        <f>'5. Персонал'!AA11</f>
        <v>0</v>
      </c>
      <c r="J26" s="3487">
        <f>'5. Персонал'!AB11</f>
        <v>0</v>
      </c>
      <c r="K26" s="3487">
        <f>'5. Персонал'!AC11</f>
        <v>0</v>
      </c>
      <c r="L26" s="3487">
        <f>'5. Персонал'!AD11</f>
        <v>0</v>
      </c>
      <c r="M26" s="3487">
        <f>'5. Персонал'!AE11</f>
        <v>0</v>
      </c>
      <c r="N26" s="3487">
        <f>'5. Персонал'!AF11</f>
        <v>0</v>
      </c>
      <c r="O26" s="4215">
        <f t="shared" ref="O26:O34" si="50">IFERROR((H26-D26)/D26,0)</f>
        <v>0</v>
      </c>
      <c r="P26" s="4215">
        <f t="shared" ref="P26:P34" si="51">IFERROR((N26-J26)/J26,0)</f>
        <v>0</v>
      </c>
      <c r="R26" s="4293" t="s">
        <v>1573</v>
      </c>
      <c r="S26" s="4292">
        <f>IFERROR('8. Ремонтна програма'!J19/'8. Ремонтна програма'!J$24,0)</f>
        <v>0.11656809337390087</v>
      </c>
      <c r="T26" s="4292">
        <f>IFERROR('8. Ремонтна програма'!K19/'8. Ремонтна програма'!K$24,0)</f>
        <v>0.11656809337390088</v>
      </c>
      <c r="U26" s="4292">
        <f>IFERROR('8. Ремонтна програма'!L19/'8. Ремонтна програма'!L$24,0)</f>
        <v>0.11656809337390089</v>
      </c>
      <c r="V26" s="4292">
        <f>IFERROR('8. Ремонтна програма'!M19/'8. Ремонтна програма'!M$24,0)</f>
        <v>0.11656809337390089</v>
      </c>
      <c r="W26" s="4292">
        <f>IFERROR('8. Ремонтна програма'!N19/'8. Ремонтна програма'!N$24,0)</f>
        <v>0.11656809337390091</v>
      </c>
      <c r="X26" s="4292">
        <f>IFERROR('8. Ремонтна програма'!O19/'8. Ремонтна програма'!O$24,0)</f>
        <v>0.11656809337390089</v>
      </c>
      <c r="Y26" s="3505">
        <f t="shared" si="39"/>
        <v>1.1905305651093061E-16</v>
      </c>
      <c r="Z26" s="3505">
        <f t="shared" si="36"/>
        <v>1.1905305651093061E-16</v>
      </c>
      <c r="AB26" s="5435"/>
      <c r="AC26" s="4220" t="str">
        <f>+'15. ОПП'!$C$7</f>
        <v>2027 г.</v>
      </c>
      <c r="AD26" s="4220" t="str">
        <f>+'15. ОПП'!$D$7</f>
        <v>2028 г.</v>
      </c>
      <c r="AE26" s="4220" t="str">
        <f>+'15. ОПП'!$E$7</f>
        <v>2029 г.</v>
      </c>
      <c r="AF26" s="4220" t="str">
        <f>+'15. ОПП'!$F$7</f>
        <v>2030 г.</v>
      </c>
      <c r="AG26" s="4220" t="str">
        <f>+'15. ОПП'!$G$7</f>
        <v>2031 г.</v>
      </c>
      <c r="AH26" s="11"/>
      <c r="AI26" s="11"/>
      <c r="AK26" s="3394" t="s">
        <v>1731</v>
      </c>
      <c r="AL26" s="4296" t="s">
        <v>292</v>
      </c>
      <c r="AM26" s="4299">
        <f>'13. Соц. поносимост'!C17</f>
        <v>7.508928571428573</v>
      </c>
      <c r="AN26" s="4299">
        <f>'13. Соц. поносимост'!D17</f>
        <v>7.674125000000001</v>
      </c>
      <c r="AO26" s="4299">
        <f>'13. Соц. поносимост'!E17</f>
        <v>7.9120228750000017</v>
      </c>
      <c r="AP26" s="4299">
        <f>'13. Соц. поносимост'!F17</f>
        <v>8.1572955841250003</v>
      </c>
      <c r="AQ26" s="4299">
        <f>'13. Соц. поносимост'!G17</f>
        <v>8.410171747232873</v>
      </c>
      <c r="AR26" s="4299">
        <f>'13. Соц. поносимост'!H17</f>
        <v>8.6708870713970931</v>
      </c>
      <c r="AS26" s="4299">
        <f>'13. Соц. поносимост'!I17</f>
        <v>8.9396845706104013</v>
      </c>
    </row>
    <row r="27" spans="1:48" ht="22.5" customHeight="1">
      <c r="A27" s="3379" t="s">
        <v>1536</v>
      </c>
      <c r="B27" s="3490" t="s">
        <v>1541</v>
      </c>
      <c r="C27" s="3491">
        <f>'5. Персонал'!U14</f>
        <v>0</v>
      </c>
      <c r="D27" s="3491">
        <f>'5. Персонал'!V14</f>
        <v>0</v>
      </c>
      <c r="E27" s="3491">
        <f>'5. Персонал'!W14</f>
        <v>0</v>
      </c>
      <c r="F27" s="3491">
        <f>'5. Персонал'!X14</f>
        <v>0</v>
      </c>
      <c r="G27" s="3491">
        <f>'5. Персонал'!Y14</f>
        <v>0</v>
      </c>
      <c r="H27" s="3491">
        <f>'5. Персонал'!Z14</f>
        <v>0</v>
      </c>
      <c r="I27" s="3491">
        <f>'5. Персонал'!AA14</f>
        <v>0</v>
      </c>
      <c r="J27" s="3491">
        <f>'5. Персонал'!AB14</f>
        <v>0</v>
      </c>
      <c r="K27" s="3491">
        <f>'5. Персонал'!AC14</f>
        <v>0</v>
      </c>
      <c r="L27" s="3491">
        <f>'5. Персонал'!AD14</f>
        <v>0</v>
      </c>
      <c r="M27" s="3491">
        <f>'5. Персонал'!AE14</f>
        <v>0</v>
      </c>
      <c r="N27" s="3491">
        <f>'5. Персонал'!AF14</f>
        <v>0</v>
      </c>
      <c r="O27" s="4215">
        <f t="shared" si="50"/>
        <v>0</v>
      </c>
      <c r="P27" s="4215">
        <f t="shared" si="51"/>
        <v>0</v>
      </c>
      <c r="R27" s="4293" t="s">
        <v>914</v>
      </c>
      <c r="S27" s="4292">
        <f>IFERROR('8. Ремонтна програма'!J20/'8. Ремонтна програма'!J$24,0)</f>
        <v>6.1038465201797903E-3</v>
      </c>
      <c r="T27" s="4292">
        <f>IFERROR('8. Ремонтна програма'!K20/'8. Ремонтна програма'!K$24,0)</f>
        <v>6.103846520179792E-3</v>
      </c>
      <c r="U27" s="4292">
        <f>IFERROR('8. Ремонтна програма'!L20/'8. Ремонтна програма'!L$24,0)</f>
        <v>6.103846520179792E-3</v>
      </c>
      <c r="V27" s="4292">
        <f>IFERROR('8. Ремонтна програма'!M20/'8. Ремонтна програма'!M$24,0)</f>
        <v>6.1038465201797912E-3</v>
      </c>
      <c r="W27" s="4292">
        <f>IFERROR('8. Ремонтна програма'!N20/'8. Ремонтна програма'!N$24,0)</f>
        <v>6.103846520179792E-3</v>
      </c>
      <c r="X27" s="4292">
        <f>IFERROR('8. Ремонтна програма'!O20/'8. Ремонтна програма'!O$24,0)</f>
        <v>6.1038465201797912E-3</v>
      </c>
      <c r="Y27" s="3505">
        <f t="shared" si="39"/>
        <v>2.8420168663181105E-16</v>
      </c>
      <c r="Z27" s="3505">
        <f t="shared" si="36"/>
        <v>-1.4210084331590548E-16</v>
      </c>
      <c r="AB27" s="3508" t="s">
        <v>302</v>
      </c>
      <c r="AC27" s="3412">
        <f>'16. Необходими приходи'!D49</f>
        <v>1.2957082694320701</v>
      </c>
      <c r="AD27" s="3412">
        <f>'16. Необходими приходи'!E49</f>
        <v>1.2957082694320701</v>
      </c>
      <c r="AE27" s="3412">
        <f>'16. Необходими приходи'!F49</f>
        <v>1.242431431713876</v>
      </c>
      <c r="AF27" s="3412">
        <f>'16. Необходими приходи'!G49</f>
        <v>1.2424323032721285</v>
      </c>
      <c r="AG27" s="3412">
        <f>'16. Необходими приходи'!H49</f>
        <v>1.2424319360725862</v>
      </c>
      <c r="AH27" s="11"/>
      <c r="AI27" s="11"/>
      <c r="AK27" s="3394" t="s">
        <v>1732</v>
      </c>
      <c r="AL27" s="4296" t="s">
        <v>328</v>
      </c>
      <c r="AM27" s="3523"/>
      <c r="AN27" s="4300"/>
      <c r="AO27" s="4301">
        <f>(AL5+AL7+AL9)*1.2</f>
        <v>6.7319999999999993</v>
      </c>
      <c r="AP27" s="4301">
        <f t="shared" ref="AP27:AS27" si="52">(AM5+AM7+AM9)*1.2</f>
        <v>7.3199999999999994</v>
      </c>
      <c r="AQ27" s="4301">
        <f t="shared" si="52"/>
        <v>8.0004000000000008</v>
      </c>
      <c r="AR27" s="4301">
        <f t="shared" si="52"/>
        <v>8.6448</v>
      </c>
      <c r="AS27" s="4301">
        <f t="shared" si="52"/>
        <v>8.7695999999999987</v>
      </c>
    </row>
    <row r="28" spans="1:48" ht="16.5" customHeight="1">
      <c r="A28" s="3385" t="s">
        <v>1546</v>
      </c>
      <c r="B28" s="3493" t="s">
        <v>170</v>
      </c>
      <c r="C28" s="3494"/>
      <c r="D28" s="3495">
        <f>IFERROR((D27-C27)/C27,0)</f>
        <v>0</v>
      </c>
      <c r="E28" s="3495">
        <f t="shared" ref="E28" si="53">IFERROR((E27-D27)/D27,0)</f>
        <v>0</v>
      </c>
      <c r="F28" s="3495">
        <f t="shared" ref="F28" si="54">IFERROR((F27-E27)/E27,0)</f>
        <v>0</v>
      </c>
      <c r="G28" s="3495">
        <f t="shared" ref="G28" si="55">IFERROR((G27-F27)/F27,0)</f>
        <v>0</v>
      </c>
      <c r="H28" s="3495">
        <f t="shared" ref="H28" si="56">IFERROR((H27-G27)/G27,0)</f>
        <v>0</v>
      </c>
      <c r="I28" s="3494"/>
      <c r="J28" s="3496">
        <f>IFERROR((J27-I27)/I27,0)</f>
        <v>0</v>
      </c>
      <c r="K28" s="3496">
        <f t="shared" ref="K28" si="57">IFERROR((K27-J27)/J27,0)</f>
        <v>0</v>
      </c>
      <c r="L28" s="3496">
        <f t="shared" ref="L28" si="58">IFERROR((L27-K27)/K27,0)</f>
        <v>0</v>
      </c>
      <c r="M28" s="3496">
        <f t="shared" ref="M28" si="59">IFERROR((M27-L27)/L27,0)</f>
        <v>0</v>
      </c>
      <c r="N28" s="3496">
        <f t="shared" ref="N28" si="60">IFERROR((N27-M27)/M27,0)</f>
        <v>0</v>
      </c>
      <c r="O28" s="4215">
        <f t="shared" si="50"/>
        <v>0</v>
      </c>
      <c r="P28" s="4215">
        <f t="shared" si="51"/>
        <v>0</v>
      </c>
      <c r="R28" s="4291" t="s">
        <v>915</v>
      </c>
      <c r="S28" s="4292">
        <f>IFERROR('8. Ремонтна програма'!J21/'8. Ремонтна програма'!J$24,0)</f>
        <v>9.9972086439822902E-2</v>
      </c>
      <c r="T28" s="4292">
        <f>IFERROR('8. Ремонтна програма'!K21/'8. Ремонтна програма'!K$24,0)</f>
        <v>9.9972086439822916E-2</v>
      </c>
      <c r="U28" s="4292">
        <f>IFERROR('8. Ремонтна програма'!L21/'8. Ремонтна програма'!L$24,0)</f>
        <v>9.9972086439822916E-2</v>
      </c>
      <c r="V28" s="4292">
        <f>IFERROR('8. Ремонтна програма'!M21/'8. Ремонтна програма'!M$24,0)</f>
        <v>9.9972086439822916E-2</v>
      </c>
      <c r="W28" s="4292">
        <f>IFERROR('8. Ремонтна програма'!N21/'8. Ремонтна програма'!N$24,0)</f>
        <v>9.9972086439822916E-2</v>
      </c>
      <c r="X28" s="4292">
        <f>IFERROR('8. Ремонтна програма'!O21/'8. Ремонтна програма'!O$24,0)</f>
        <v>9.9972086439822902E-2</v>
      </c>
      <c r="Y28" s="3505">
        <f t="shared" si="39"/>
        <v>1.3881662674078567E-16</v>
      </c>
      <c r="Z28" s="3505">
        <f t="shared" si="36"/>
        <v>-1.3881662674078567E-16</v>
      </c>
      <c r="AB28" s="3508" t="s">
        <v>303</v>
      </c>
      <c r="AC28" s="3412">
        <f>'16. Необходими приходи'!D50</f>
        <v>1.7168480245380853</v>
      </c>
      <c r="AD28" s="3412">
        <f>'16. Необходими приходи'!E50</f>
        <v>1.7168480245380853</v>
      </c>
      <c r="AE28" s="3412">
        <f>'16. Необходими приходи'!F50</f>
        <v>1.7144265485808394</v>
      </c>
      <c r="AF28" s="3412">
        <f>'16. Необходими приходи'!G50</f>
        <v>1.7144271903914694</v>
      </c>
      <c r="AG28" s="3412">
        <f>'16. Необходими приходи'!H50</f>
        <v>1.7144268467503756</v>
      </c>
      <c r="AH28" s="11"/>
      <c r="AI28" s="11"/>
      <c r="AK28" s="11"/>
    </row>
    <row r="29" spans="1:48">
      <c r="A29" s="3385" t="s">
        <v>1545</v>
      </c>
      <c r="B29" s="3493" t="s">
        <v>170</v>
      </c>
      <c r="C29" s="3494"/>
      <c r="D29" s="3495">
        <f>IFERROR((D27-$C$27)/$C$27,0)</f>
        <v>0</v>
      </c>
      <c r="E29" s="3495">
        <f t="shared" ref="E29:H29" si="61">IFERROR((E27-$C$27)/$C$27,0)</f>
        <v>0</v>
      </c>
      <c r="F29" s="3495">
        <f t="shared" si="61"/>
        <v>0</v>
      </c>
      <c r="G29" s="3495">
        <f t="shared" si="61"/>
        <v>0</v>
      </c>
      <c r="H29" s="3495">
        <f t="shared" si="61"/>
        <v>0</v>
      </c>
      <c r="I29" s="3494"/>
      <c r="J29" s="3506">
        <f>IFERROR((J27-$I$27)/$I$27,0)</f>
        <v>0</v>
      </c>
      <c r="K29" s="3496">
        <f t="shared" ref="K29:N29" si="62">IFERROR((K27-$I$27)/$I$27,0)</f>
        <v>0</v>
      </c>
      <c r="L29" s="3495">
        <f t="shared" si="62"/>
        <v>0</v>
      </c>
      <c r="M29" s="3495">
        <f t="shared" si="62"/>
        <v>0</v>
      </c>
      <c r="N29" s="3495">
        <f t="shared" si="62"/>
        <v>0</v>
      </c>
      <c r="O29" s="4215">
        <f t="shared" si="50"/>
        <v>0</v>
      </c>
      <c r="P29" s="4215">
        <f t="shared" si="51"/>
        <v>0</v>
      </c>
      <c r="R29" s="4291" t="s">
        <v>1350</v>
      </c>
      <c r="S29" s="4292">
        <f>IFERROR('8. Ремонтна програма'!J22/'8. Ремонтна програма'!J$24,0)</f>
        <v>2.4868726132115795E-2</v>
      </c>
      <c r="T29" s="4292">
        <f>IFERROR('8. Ремонтна програма'!K22/'8. Ремонтна програма'!K$24,0)</f>
        <v>2.4868726132115798E-2</v>
      </c>
      <c r="U29" s="4292">
        <f>IFERROR('8. Ремонтна програма'!L22/'8. Ремонтна програма'!L$24,0)</f>
        <v>2.4868726132115802E-2</v>
      </c>
      <c r="V29" s="4292">
        <f>IFERROR('8. Ремонтна програма'!M22/'8. Ремонтна програма'!M$24,0)</f>
        <v>2.4868726132115802E-2</v>
      </c>
      <c r="W29" s="4292">
        <f>IFERROR('8. Ремонтна програма'!N22/'8. Ремонтна програма'!N$24,0)</f>
        <v>2.4868726132115805E-2</v>
      </c>
      <c r="X29" s="4292">
        <f>IFERROR('8. Ремонтна програма'!O22/'8. Ремонтна програма'!O$24,0)</f>
        <v>2.4868726132115802E-2</v>
      </c>
      <c r="Y29" s="3505">
        <f t="shared" si="39"/>
        <v>1.3951044108661142E-16</v>
      </c>
      <c r="Z29" s="3505">
        <f t="shared" si="36"/>
        <v>1.3951044108661139E-16</v>
      </c>
      <c r="AB29" s="3508" t="s">
        <v>304</v>
      </c>
      <c r="AC29" s="3412">
        <f>'16. Необходими приходи'!D51</f>
        <v>2.1582316998953237</v>
      </c>
      <c r="AD29" s="3412">
        <f>'16. Необходими приходи'!E51</f>
        <v>2.1582316998953237</v>
      </c>
      <c r="AE29" s="3412">
        <f>'16. Необходими приходи'!F51</f>
        <v>2.2145353825600744</v>
      </c>
      <c r="AF29" s="3412">
        <f>'16. Необходими приходи'!G51</f>
        <v>2.2145337087385348</v>
      </c>
      <c r="AG29" s="3412">
        <f>'16. Необходими приходи'!H51</f>
        <v>2.2145345054894441</v>
      </c>
      <c r="AH29" s="11"/>
      <c r="AI29" s="11"/>
      <c r="AK29" s="11"/>
    </row>
    <row r="30" spans="1:48" ht="19.5" customHeight="1">
      <c r="A30" s="3380" t="s">
        <v>1537</v>
      </c>
      <c r="B30" s="3497" t="s">
        <v>1542</v>
      </c>
      <c r="C30" s="3498">
        <f>'5. Персонал'!U50</f>
        <v>0</v>
      </c>
      <c r="D30" s="3498">
        <f>'5. Персонал'!V50</f>
        <v>0</v>
      </c>
      <c r="E30" s="3498">
        <f>'5. Персонал'!W50</f>
        <v>0</v>
      </c>
      <c r="F30" s="3498">
        <f>'5. Персонал'!X50</f>
        <v>0</v>
      </c>
      <c r="G30" s="3498">
        <f>'5. Персонал'!Y50</f>
        <v>0</v>
      </c>
      <c r="H30" s="3498">
        <f>'5. Персонал'!Z50</f>
        <v>0</v>
      </c>
      <c r="I30" s="3498">
        <f>'5. Персонал'!AA50</f>
        <v>0</v>
      </c>
      <c r="J30" s="3498">
        <f>'5. Персонал'!AB50</f>
        <v>0</v>
      </c>
      <c r="K30" s="3498">
        <f>'5. Персонал'!AC50</f>
        <v>0</v>
      </c>
      <c r="L30" s="3498">
        <f>'5. Персонал'!AD50</f>
        <v>0</v>
      </c>
      <c r="M30" s="3498">
        <f>'5. Персонал'!AE50</f>
        <v>0</v>
      </c>
      <c r="N30" s="3498">
        <f>'5. Персонал'!AF50</f>
        <v>0</v>
      </c>
      <c r="O30" s="4215">
        <f t="shared" si="50"/>
        <v>0</v>
      </c>
      <c r="P30" s="4215">
        <f t="shared" si="51"/>
        <v>0</v>
      </c>
      <c r="R30" s="4291" t="s">
        <v>1564</v>
      </c>
      <c r="S30" s="4292">
        <f>IFERROR('8. Ремонтна програма'!J23/'8. Ремонтна програма'!J$24,0)</f>
        <v>1.8378386372238459E-2</v>
      </c>
      <c r="T30" s="4292">
        <f>IFERROR('8. Ремонтна програма'!K23/'8. Ремонтна програма'!K$24,0)</f>
        <v>1.8378386372238462E-2</v>
      </c>
      <c r="U30" s="4292">
        <f>IFERROR('8. Ремонтна програма'!L23/'8. Ремонтна програма'!L$24,0)</f>
        <v>1.8378386372238466E-2</v>
      </c>
      <c r="V30" s="4292">
        <f>IFERROR('8. Ремонтна програма'!M23/'8. Ремонтна програма'!M$24,0)</f>
        <v>1.8378386372238462E-2</v>
      </c>
      <c r="W30" s="4292">
        <f>IFERROR('8. Ремонтна програма'!N23/'8. Ремонтна програма'!N$24,0)</f>
        <v>1.8378386372238462E-2</v>
      </c>
      <c r="X30" s="4292">
        <f>IFERROR('8. Ремонтна програма'!O23/'8. Ремонтна програма'!O$24,0)</f>
        <v>1.8378386372238459E-2</v>
      </c>
      <c r="Y30" s="3505">
        <f t="shared" si="39"/>
        <v>1.8877864909807317E-16</v>
      </c>
      <c r="Z30" s="3505">
        <f t="shared" si="36"/>
        <v>-1.8877864909807314E-16</v>
      </c>
      <c r="AB30" s="3509" t="s">
        <v>1712</v>
      </c>
      <c r="AC30" s="3507"/>
      <c r="AD30" s="3507"/>
      <c r="AE30" s="3507"/>
      <c r="AF30" s="3507"/>
      <c r="AG30" s="3507"/>
      <c r="AH30" s="11"/>
      <c r="AI30" s="11"/>
      <c r="AK30" s="5431" t="s">
        <v>1909</v>
      </c>
      <c r="AL30" s="5432" t="str">
        <f>+'15. ОПП'!$C$7</f>
        <v>2027 г.</v>
      </c>
      <c r="AM30" s="5432" t="str">
        <f>+'15. ОПП'!$D$7</f>
        <v>2028 г.</v>
      </c>
      <c r="AN30" s="5432" t="str">
        <f>+'15. ОПП'!$E$7</f>
        <v>2029 г.</v>
      </c>
      <c r="AO30" s="5432" t="str">
        <f>+'15. ОПП'!$F$7</f>
        <v>2030 г.</v>
      </c>
      <c r="AP30" s="5432" t="str">
        <f>+'15. ОПП'!$G$7</f>
        <v>2031 г.</v>
      </c>
      <c r="AR30" s="5432" t="str">
        <f>+'15. ОПП'!$C$7</f>
        <v>2027 г.</v>
      </c>
      <c r="AS30" s="5432" t="str">
        <f>+'15. ОПП'!$D$7</f>
        <v>2028 г.</v>
      </c>
      <c r="AT30" s="5432" t="str">
        <f>+'15. ОПП'!$E$7</f>
        <v>2029 г.</v>
      </c>
      <c r="AU30" s="5432" t="str">
        <f>+'15. ОПП'!$F$7</f>
        <v>2030 г.</v>
      </c>
      <c r="AV30" s="5432" t="str">
        <f>+'15. ОПП'!$G$7</f>
        <v>2031 г.</v>
      </c>
    </row>
    <row r="31" spans="1:48" ht="13.5" customHeight="1">
      <c r="A31" s="3385" t="s">
        <v>1546</v>
      </c>
      <c r="B31" s="3493" t="s">
        <v>170</v>
      </c>
      <c r="C31" s="3494"/>
      <c r="D31" s="3495">
        <f>IFERROR((D30-C30)/C30,0)</f>
        <v>0</v>
      </c>
      <c r="E31" s="3495">
        <f t="shared" ref="E31" si="63">IFERROR((E30-D30)/D30,0)</f>
        <v>0</v>
      </c>
      <c r="F31" s="3495">
        <f t="shared" ref="F31" si="64">IFERROR((F30-E30)/E30,0)</f>
        <v>0</v>
      </c>
      <c r="G31" s="3495">
        <f t="shared" ref="G31" si="65">IFERROR((G30-F30)/F30,0)</f>
        <v>0</v>
      </c>
      <c r="H31" s="3495">
        <f t="shared" ref="H31" si="66">IFERROR((H30-G30)/G30,0)</f>
        <v>0</v>
      </c>
      <c r="I31" s="3494"/>
      <c r="J31" s="3496">
        <f>IFERROR((J30-I30)/I30,0)</f>
        <v>0</v>
      </c>
      <c r="K31" s="3496">
        <f t="shared" ref="K31" si="67">IFERROR((K30-J30)/J30,0)</f>
        <v>0</v>
      </c>
      <c r="L31" s="3496">
        <f t="shared" ref="L31" si="68">IFERROR((L30-K30)/K30,0)</f>
        <v>0</v>
      </c>
      <c r="M31" s="3496">
        <f t="shared" ref="M31" si="69">IFERROR((M30-L30)/L30,0)</f>
        <v>0</v>
      </c>
      <c r="N31" s="3496">
        <f t="shared" ref="N31" si="70">IFERROR((N30-M30)/M30,0)</f>
        <v>0</v>
      </c>
      <c r="O31" s="4215">
        <f t="shared" si="50"/>
        <v>0</v>
      </c>
      <c r="P31" s="4215">
        <f t="shared" si="51"/>
        <v>0</v>
      </c>
      <c r="AB31" s="5430" t="s">
        <v>1725</v>
      </c>
      <c r="AC31" s="5431" t="s">
        <v>184</v>
      </c>
      <c r="AD31" s="5431"/>
      <c r="AE31" s="5431"/>
      <c r="AF31" s="5431"/>
      <c r="AG31" s="5431"/>
      <c r="AK31" s="5431"/>
      <c r="AL31" s="5433" t="str">
        <f>+'15. ОПП'!$C$7</f>
        <v>2027 г.</v>
      </c>
      <c r="AM31" s="5433" t="str">
        <f>+'15. ОПП'!$D$7</f>
        <v>2028 г.</v>
      </c>
      <c r="AN31" s="5433" t="str">
        <f>+'15. ОПП'!$E$7</f>
        <v>2029 г.</v>
      </c>
      <c r="AO31" s="5433" t="str">
        <f>+'15. ОПП'!$F$7</f>
        <v>2030 г.</v>
      </c>
      <c r="AP31" s="5433" t="str">
        <f>+'15. ОПП'!$G$7</f>
        <v>2031 г.</v>
      </c>
      <c r="AR31" s="5433" t="str">
        <f>+'15. ОПП'!$C$7</f>
        <v>2027 г.</v>
      </c>
      <c r="AS31" s="5433" t="str">
        <f>+'15. ОПП'!$D$7</f>
        <v>2028 г.</v>
      </c>
      <c r="AT31" s="5433" t="str">
        <f>+'15. ОПП'!$E$7</f>
        <v>2029 г.</v>
      </c>
      <c r="AU31" s="5433" t="str">
        <f>+'15. ОПП'!$F$7</f>
        <v>2030 г.</v>
      </c>
      <c r="AV31" s="5433" t="str">
        <f>+'15. ОПП'!$G$7</f>
        <v>2031 г.</v>
      </c>
    </row>
    <row r="32" spans="1:48">
      <c r="A32" s="3384" t="s">
        <v>1544</v>
      </c>
      <c r="B32" s="3493" t="s">
        <v>170</v>
      </c>
      <c r="C32" s="3494"/>
      <c r="D32" s="3495">
        <f>IFERROR((D30-$C$30)/$C$30,0)</f>
        <v>0</v>
      </c>
      <c r="E32" s="3495">
        <f t="shared" ref="E32:H32" si="71">IFERROR((E30-$C$30)/$C$30,0)</f>
        <v>0</v>
      </c>
      <c r="F32" s="3495">
        <f t="shared" si="71"/>
        <v>0</v>
      </c>
      <c r="G32" s="3495">
        <f t="shared" si="71"/>
        <v>0</v>
      </c>
      <c r="H32" s="3495">
        <f t="shared" si="71"/>
        <v>0</v>
      </c>
      <c r="I32" s="3494"/>
      <c r="J32" s="3495">
        <f>IFERROR((J30-$I$30)/$I$30,0)</f>
        <v>0</v>
      </c>
      <c r="K32" s="3496">
        <f t="shared" ref="K32:N32" si="72">IFERROR((K30-$I$30)/$I$30,0)</f>
        <v>0</v>
      </c>
      <c r="L32" s="3495">
        <f t="shared" si="72"/>
        <v>0</v>
      </c>
      <c r="M32" s="3495">
        <f t="shared" si="72"/>
        <v>0</v>
      </c>
      <c r="N32" s="3495">
        <f t="shared" si="72"/>
        <v>0</v>
      </c>
      <c r="O32" s="4215">
        <f t="shared" si="50"/>
        <v>0</v>
      </c>
      <c r="P32" s="4215">
        <f t="shared" si="51"/>
        <v>0</v>
      </c>
      <c r="AB32" s="5430"/>
      <c r="AC32" s="4220" t="str">
        <f>+'15. ОПП'!$C$7</f>
        <v>2027 г.</v>
      </c>
      <c r="AD32" s="4220" t="str">
        <f>+'15. ОПП'!$D$7</f>
        <v>2028 г.</v>
      </c>
      <c r="AE32" s="4220" t="str">
        <f>+'15. ОПП'!$E$7</f>
        <v>2029 г.</v>
      </c>
      <c r="AF32" s="4220" t="str">
        <f>+'15. ОПП'!$F$7</f>
        <v>2030 г.</v>
      </c>
      <c r="AG32" s="4220" t="str">
        <f>+'15. ОПП'!$G$7</f>
        <v>2031 г.</v>
      </c>
      <c r="AK32" s="5436" t="s">
        <v>207</v>
      </c>
      <c r="AL32" s="5437"/>
      <c r="AM32" s="5437"/>
      <c r="AN32" s="5437"/>
      <c r="AO32" s="5437"/>
      <c r="AP32" s="5438"/>
      <c r="AR32" s="4524"/>
      <c r="AS32" s="4524"/>
      <c r="AT32" s="4524"/>
      <c r="AU32" s="4524"/>
      <c r="AV32" s="4525"/>
    </row>
    <row r="33" spans="1:48" ht="21" customHeight="1">
      <c r="A33" s="3383" t="s">
        <v>1548</v>
      </c>
      <c r="B33" s="3501" t="s">
        <v>170</v>
      </c>
      <c r="C33" s="3377">
        <f>'5. Персонал'!U62</f>
        <v>0</v>
      </c>
      <c r="D33" s="3377">
        <f>'5. Персонал'!V62</f>
        <v>0</v>
      </c>
      <c r="E33" s="3377">
        <f>'5. Персонал'!W62</f>
        <v>0</v>
      </c>
      <c r="F33" s="3377">
        <f>'5. Персонал'!X62</f>
        <v>0</v>
      </c>
      <c r="G33" s="3377">
        <f>'5. Персонал'!Y62</f>
        <v>0</v>
      </c>
      <c r="H33" s="3377">
        <f>'5. Персонал'!Z62</f>
        <v>0</v>
      </c>
      <c r="I33" s="3377">
        <f>'5. Персонал'!AA62</f>
        <v>0</v>
      </c>
      <c r="J33" s="3377">
        <f>'5. Персонал'!AB62</f>
        <v>0</v>
      </c>
      <c r="K33" s="3377">
        <f>'5. Персонал'!AC62</f>
        <v>0</v>
      </c>
      <c r="L33" s="3377">
        <f>'5. Персонал'!AD62</f>
        <v>0</v>
      </c>
      <c r="M33" s="3377">
        <f>'5. Персонал'!AE62</f>
        <v>0</v>
      </c>
      <c r="N33" s="3377">
        <f>'5. Персонал'!AF62</f>
        <v>0</v>
      </c>
      <c r="O33" s="4215">
        <f t="shared" si="50"/>
        <v>0</v>
      </c>
      <c r="P33" s="4215">
        <f t="shared" si="51"/>
        <v>0</v>
      </c>
      <c r="R33" s="4289" t="s">
        <v>1860</v>
      </c>
      <c r="S33" s="4290" t="str">
        <f>+'15. ОПП'!$B$7</f>
        <v>2024 г.</v>
      </c>
      <c r="T33" s="4290" t="str">
        <f>+'15. ОПП'!$C$7</f>
        <v>2027 г.</v>
      </c>
      <c r="U33" s="4290" t="str">
        <f>+'15. ОПП'!$D$7</f>
        <v>2028 г.</v>
      </c>
      <c r="V33" s="4290" t="str">
        <f>+'15. ОПП'!$E$7</f>
        <v>2029 г.</v>
      </c>
      <c r="W33" s="4290" t="str">
        <f>+'15. ОПП'!$F$7</f>
        <v>2030 г.</v>
      </c>
      <c r="X33" s="4290" t="str">
        <f>+'15. ОПП'!$G$7</f>
        <v>2031 г.</v>
      </c>
      <c r="Y33" s="4290" t="str">
        <f>+Y16</f>
        <v>Изменение 2027 г.спрямо 2024 г.</v>
      </c>
      <c r="Z33" s="4290" t="str">
        <f>+Z16</f>
        <v>Изменение 2031 г.спрямо 2027 г.</v>
      </c>
      <c r="AB33" s="4234" t="s">
        <v>1708</v>
      </c>
      <c r="AC33" s="3526" t="e">
        <f>'16. Необходими приходи'!#REF!</f>
        <v>#REF!</v>
      </c>
      <c r="AD33" s="3526">
        <f>'16. Необходими приходи'!D55</f>
        <v>48237</v>
      </c>
      <c r="AE33" s="3526">
        <f>'16. Необходими приходи'!E55</f>
        <v>49469</v>
      </c>
      <c r="AF33" s="3526">
        <f>'16. Необходими приходи'!F55</f>
        <v>49475</v>
      </c>
      <c r="AG33" s="3526">
        <f>'16. Необходими приходи'!G55</f>
        <v>49480</v>
      </c>
      <c r="AK33" s="1425" t="s">
        <v>608</v>
      </c>
      <c r="AL33" s="3492">
        <f>AR33</f>
        <v>4.524</v>
      </c>
      <c r="AM33" s="3492">
        <f t="shared" ref="AM33:AP33" si="73">AS33</f>
        <v>4.8719999999999999</v>
      </c>
      <c r="AN33" s="3492">
        <f t="shared" si="73"/>
        <v>5.3440000000000003</v>
      </c>
      <c r="AO33" s="3492">
        <f t="shared" si="73"/>
        <v>5.73</v>
      </c>
      <c r="AP33" s="3492">
        <f t="shared" si="73"/>
        <v>5.7489999999999997</v>
      </c>
      <c r="AR33" s="3492">
        <f>AL5</f>
        <v>4.524</v>
      </c>
      <c r="AS33" s="3492">
        <f>AM5</f>
        <v>4.8719999999999999</v>
      </c>
      <c r="AT33" s="3492">
        <f>AN5</f>
        <v>5.3440000000000003</v>
      </c>
      <c r="AU33" s="3492">
        <f>AO5</f>
        <v>5.73</v>
      </c>
      <c r="AV33" s="3492">
        <f>AP5</f>
        <v>5.7489999999999997</v>
      </c>
    </row>
    <row r="34" spans="1:48" ht="18.75" customHeight="1">
      <c r="A34" s="3383" t="s">
        <v>1547</v>
      </c>
      <c r="B34" s="3501" t="s">
        <v>170</v>
      </c>
      <c r="C34" s="3377">
        <f>'5. Персонал'!U63</f>
        <v>0</v>
      </c>
      <c r="D34" s="3377">
        <f>'5. Персонал'!V63</f>
        <v>0</v>
      </c>
      <c r="E34" s="3377">
        <f>'5. Персонал'!W63</f>
        <v>0</v>
      </c>
      <c r="F34" s="3377">
        <f>'5. Персонал'!X63</f>
        <v>0</v>
      </c>
      <c r="G34" s="3377">
        <f>'5. Персонал'!Y63</f>
        <v>0</v>
      </c>
      <c r="H34" s="3377">
        <f>'5. Персонал'!Z63</f>
        <v>0</v>
      </c>
      <c r="I34" s="3377">
        <f>'5. Персонал'!AA63</f>
        <v>0</v>
      </c>
      <c r="J34" s="3377">
        <f>'5. Персонал'!AB63</f>
        <v>0</v>
      </c>
      <c r="K34" s="3377">
        <f>'5. Персонал'!AC63</f>
        <v>0</v>
      </c>
      <c r="L34" s="3377">
        <f>'5. Персонал'!AD63</f>
        <v>0</v>
      </c>
      <c r="M34" s="3377">
        <f>'5. Персонал'!AE63</f>
        <v>0</v>
      </c>
      <c r="N34" s="3377">
        <f>'5. Персонал'!AF63</f>
        <v>0</v>
      </c>
      <c r="O34" s="4215">
        <f t="shared" si="50"/>
        <v>0</v>
      </c>
      <c r="P34" s="4215">
        <f t="shared" si="51"/>
        <v>0</v>
      </c>
      <c r="R34" s="4293" t="s">
        <v>1576</v>
      </c>
      <c r="S34" s="4292">
        <f>IFERROR('8. Ремонтна програма'!J41/'8. Ремонтна програма'!J$54,0)</f>
        <v>0</v>
      </c>
      <c r="T34" s="4292">
        <f>IFERROR('8. Ремонтна програма'!K41/'8. Ремонтна програма'!K$54,0)</f>
        <v>67.555626666666569</v>
      </c>
      <c r="U34" s="4292">
        <f>IFERROR('8. Ремонтна програма'!L41/'8. Ремонтна програма'!L$54,0)</f>
        <v>425.60044799999764</v>
      </c>
      <c r="V34" s="4292">
        <f>IFERROR('8. Ремонтна програма'!M41/'8. Ремонтна програма'!M$54,0)</f>
        <v>730.61410240000896</v>
      </c>
      <c r="W34" s="4292">
        <f>IFERROR('8. Ремонтна програма'!N41/'8. Ремонтна програма'!N$54,0)</f>
        <v>-1074.0027305280084</v>
      </c>
      <c r="X34" s="4292">
        <f>IFERROR('8. Ремонтна програма'!O41/'8. Ремонтна програма'!O$54,0)</f>
        <v>-515.52131065343997</v>
      </c>
      <c r="Y34" s="3505">
        <f t="shared" ref="Y34:Y45" si="74">IFERROR((T34-S34)/S34,0)</f>
        <v>0</v>
      </c>
      <c r="Z34" s="3505">
        <f t="shared" ref="Z34:Z55" si="75">IFERROR((X34-T34)/T34,0)</f>
        <v>-8.6310640000000092</v>
      </c>
      <c r="AB34" s="4234" t="s">
        <v>1709</v>
      </c>
      <c r="AC34" s="3526" t="e">
        <f>'16. Необходими приходи'!#REF!</f>
        <v>#REF!</v>
      </c>
      <c r="AD34" s="3526">
        <f>'16. Необходими приходи'!D56</f>
        <v>36000</v>
      </c>
      <c r="AE34" s="3526">
        <f>'16. Необходими приходи'!E56</f>
        <v>49678</v>
      </c>
      <c r="AF34" s="3526">
        <f>'16. Необходими приходи'!F56</f>
        <v>49684</v>
      </c>
      <c r="AG34" s="3526">
        <f>'16. Необходими приходи'!G56</f>
        <v>49689</v>
      </c>
      <c r="AK34" s="3394" t="s">
        <v>1928</v>
      </c>
      <c r="AL34" s="4301">
        <f>IFERROR(ROUND(AR34,5),"-")</f>
        <v>3.0324499999999999</v>
      </c>
      <c r="AM34" s="4301">
        <f t="shared" ref="AM34:AM39" si="76">IFERROR(ROUND(AS34,5),"-")</f>
        <v>3.30396</v>
      </c>
      <c r="AN34" s="4301">
        <f t="shared" ref="AN34:AN39" si="77">IFERROR(ROUND(AT34,5),"-")</f>
        <v>3.6754099999999998</v>
      </c>
      <c r="AO34" s="4301">
        <f t="shared" ref="AO34:AO39" si="78">IFERROR(ROUND(AU34,5),"-")</f>
        <v>4.0580100000000003</v>
      </c>
      <c r="AP34" s="4301">
        <f t="shared" ref="AP34:AP39" si="79">IFERROR(ROUND(AV34,5),"-")</f>
        <v>4.1738200000000001</v>
      </c>
      <c r="AR34" s="4301">
        <f>IFERROR(('12. Разходи'!D88-'12. Разходи'!D89)/'16. Необходими приходи'!D12,"-")</f>
        <v>3.0324528875741334</v>
      </c>
      <c r="AS34" s="4301">
        <f>IFERROR(('12. Разходи'!E88-'12. Разходи'!E89)/'16. Необходими приходи'!E12,"-")</f>
        <v>3.3039647369060243</v>
      </c>
      <c r="AT34" s="4301">
        <f>IFERROR(('12. Разходи'!F88-'12. Разходи'!F89)/'16. Необходими приходи'!F12,"-")</f>
        <v>3.6754094458853404</v>
      </c>
      <c r="AU34" s="4301">
        <f>IFERROR(('12. Разходи'!G88-'12. Разходи'!G89)/'16. Необходими приходи'!G12,"-")</f>
        <v>4.058005041532617</v>
      </c>
      <c r="AV34" s="4301">
        <f>IFERROR(('12. Разходи'!H88-'12. Разходи'!H89)/'16. Необходими приходи'!H12,"-")</f>
        <v>4.1738210779900866</v>
      </c>
    </row>
    <row r="35" spans="1:48" ht="14.25" customHeight="1">
      <c r="A35" s="5432" t="s">
        <v>2</v>
      </c>
      <c r="B35" s="5440" t="s">
        <v>1538</v>
      </c>
      <c r="C35" s="5442" t="s">
        <v>1539</v>
      </c>
      <c r="D35" s="5443"/>
      <c r="E35" s="5443"/>
      <c r="F35" s="5443"/>
      <c r="G35" s="5443"/>
      <c r="H35" s="5444"/>
      <c r="I35" s="5445" t="s">
        <v>1540</v>
      </c>
      <c r="J35" s="5446"/>
      <c r="K35" s="5446"/>
      <c r="L35" s="5446"/>
      <c r="M35" s="5446"/>
      <c r="N35" s="5447"/>
      <c r="O35" s="5432" t="str">
        <f>CONCATENATE("Изменение ", H36,"спрямо ",D36)</f>
        <v>Изменение 2031 г.спрямо 2027 г.</v>
      </c>
      <c r="P35" s="5432" t="str">
        <f>CONCATENATE("Изменение ", N36,"спрямо ",J36)</f>
        <v>Изменение 2031 г.спрямо 2027 г.</v>
      </c>
      <c r="R35" s="4291" t="s">
        <v>1575</v>
      </c>
      <c r="S35" s="4292">
        <f>IFERROR('8. Ремонтна програма'!J42/'8. Ремонтна програма'!J$54,0)</f>
        <v>0</v>
      </c>
      <c r="T35" s="4292">
        <f>IFERROR('8. Ремонтна програма'!K42/'8. Ремонтна програма'!K$54,0)</f>
        <v>15.839329999999977</v>
      </c>
      <c r="U35" s="4292">
        <f>IFERROR('8. Ремонтна програма'!L42/'8. Ремонтна програма'!L$54,0)</f>
        <v>99.787778999999432</v>
      </c>
      <c r="V35" s="4292">
        <f>IFERROR('8. Ремонтна програма'!M42/'8. Ремонтна програма'!M$54,0)</f>
        <v>171.3023539500021</v>
      </c>
      <c r="W35" s="4292">
        <f>IFERROR('8. Ремонтна програма'!N42/'8. Ремонтна програма'!N$54,0)</f>
        <v>-251.81446030650201</v>
      </c>
      <c r="X35" s="4292">
        <f>IFERROR('8. Ремонтна програма'!O42/'8. Ремонтна програма'!O$54,0)</f>
        <v>-120.87094094712</v>
      </c>
      <c r="Y35" s="3505">
        <f t="shared" si="74"/>
        <v>0</v>
      </c>
      <c r="Z35" s="3505">
        <f t="shared" si="75"/>
        <v>-8.6310640000000127</v>
      </c>
      <c r="AB35" s="4234" t="s">
        <v>1710</v>
      </c>
      <c r="AC35" s="3526" t="e">
        <f>'16. Необходими приходи'!#REF!</f>
        <v>#REF!</v>
      </c>
      <c r="AD35" s="3526">
        <f>'16. Необходими приходи'!D57</f>
        <v>39000</v>
      </c>
      <c r="AE35" s="3526">
        <f>'16. Необходими приходи'!E57</f>
        <v>74512</v>
      </c>
      <c r="AF35" s="3526">
        <f>'16. Необходими приходи'!F57</f>
        <v>74520</v>
      </c>
      <c r="AG35" s="3526">
        <f>'16. Необходими приходи'!G57</f>
        <v>74528</v>
      </c>
      <c r="AK35" s="3392" t="s">
        <v>1929</v>
      </c>
      <c r="AL35" s="4531">
        <f t="shared" ref="AL35:AL39" si="80">IFERROR(ROUND(AR35,5),"-")</f>
        <v>0.20741999999999999</v>
      </c>
      <c r="AM35" s="4531">
        <f t="shared" si="76"/>
        <v>0.22209999999999999</v>
      </c>
      <c r="AN35" s="4531">
        <f t="shared" si="77"/>
        <v>0.24934000000000001</v>
      </c>
      <c r="AO35" s="4531">
        <f t="shared" si="78"/>
        <v>0.31269999999999998</v>
      </c>
      <c r="AP35" s="4531">
        <f t="shared" si="79"/>
        <v>0.30651</v>
      </c>
      <c r="AR35" s="4531">
        <f>IFERROR('12. Разходи'!D55/'16. Необходими приходи'!D12,"-")</f>
        <v>0.20741589909318148</v>
      </c>
      <c r="AS35" s="4531">
        <f>IFERROR('12. Разходи'!E55/'16. Необходими приходи'!E12,"-")</f>
        <v>0.22209602509143533</v>
      </c>
      <c r="AT35" s="4531">
        <f>IFERROR('12. Разходи'!F55/'16. Необходими приходи'!F12,"-")</f>
        <v>0.24933938683152618</v>
      </c>
      <c r="AU35" s="4531">
        <f>IFERROR('12. Разходи'!G55/'16. Необходими приходи'!G12,"-")</f>
        <v>0.31269992926181711</v>
      </c>
      <c r="AV35" s="4531">
        <f>IFERROR('12. Разходи'!H55/'16. Необходими приходи'!H12,"-")</f>
        <v>0.30651275795151312</v>
      </c>
    </row>
    <row r="36" spans="1:48" ht="12.75" customHeight="1">
      <c r="A36" s="5433"/>
      <c r="B36" s="5441"/>
      <c r="C36" s="4287" t="str">
        <f>+'15. ОПП'!$B$7</f>
        <v>2024 г.</v>
      </c>
      <c r="D36" s="4287" t="str">
        <f>+'15. ОПП'!$C$7</f>
        <v>2027 г.</v>
      </c>
      <c r="E36" s="4287" t="str">
        <f>+'15. ОПП'!$D$7</f>
        <v>2028 г.</v>
      </c>
      <c r="F36" s="4287" t="str">
        <f>+'15. ОПП'!$E$7</f>
        <v>2029 г.</v>
      </c>
      <c r="G36" s="4287" t="str">
        <f>+'15. ОПП'!$F$7</f>
        <v>2030 г.</v>
      </c>
      <c r="H36" s="4287" t="str">
        <f>+'15. ОПП'!$G$7</f>
        <v>2031 г.</v>
      </c>
      <c r="I36" s="4287" t="str">
        <f>+'15. ОПП'!$B$7</f>
        <v>2024 г.</v>
      </c>
      <c r="J36" s="4287" t="str">
        <f>+'15. ОПП'!$C$7</f>
        <v>2027 г.</v>
      </c>
      <c r="K36" s="4287" t="str">
        <f>+'15. ОПП'!$D$7</f>
        <v>2028 г.</v>
      </c>
      <c r="L36" s="4287" t="str">
        <f>+'15. ОПП'!$E$7</f>
        <v>2029 г.</v>
      </c>
      <c r="M36" s="4287" t="str">
        <f>+'15. ОПП'!$F$7</f>
        <v>2030 г.</v>
      </c>
      <c r="N36" s="4287" t="str">
        <f>+'15. ОПП'!$G$7</f>
        <v>2031 г.</v>
      </c>
      <c r="O36" s="5433"/>
      <c r="P36" s="5433"/>
      <c r="R36" s="4291" t="s">
        <v>1577</v>
      </c>
      <c r="S36" s="4292">
        <f>IFERROR('8. Ремонтна програма'!J43/'8. Ремонтна програма'!J$54,0)</f>
        <v>0</v>
      </c>
      <c r="T36" s="4292">
        <f>IFERROR('8. Ремонтна програма'!K43/'8. Ремонтна програма'!K$54,0)</f>
        <v>109.87058333333317</v>
      </c>
      <c r="U36" s="4292">
        <f>IFERROR('8. Ремонтна програма'!L43/'8. Ремонтна програма'!L$54,0)</f>
        <v>692.1846749999961</v>
      </c>
      <c r="V36" s="4292">
        <f>IFERROR('8. Ремонтна програма'!M43/'8. Ремонтна програма'!M$54,0)</f>
        <v>1188.2503587500146</v>
      </c>
      <c r="W36" s="4292">
        <f>IFERROR('8. Ремонтна програма'!N43/'8. Ремонтна програма'!N$54,0)</f>
        <v>-1746.7280273625136</v>
      </c>
      <c r="X36" s="4292">
        <f>IFERROR('8. Ремонтна програма'!O43/'8. Ремонтна програма'!O$54,0)</f>
        <v>-838.4294531339998</v>
      </c>
      <c r="Y36" s="3505">
        <f t="shared" si="74"/>
        <v>0</v>
      </c>
      <c r="Z36" s="3505">
        <f t="shared" si="75"/>
        <v>-8.6310640000000092</v>
      </c>
      <c r="AB36" s="4302" t="s">
        <v>1711</v>
      </c>
      <c r="AC36" s="3644" t="e">
        <f>SUM(AC33:AC35)</f>
        <v>#REF!</v>
      </c>
      <c r="AD36" s="3644">
        <f t="shared" ref="AD36:AG36" si="81">SUM(AD33:AD35)</f>
        <v>123237</v>
      </c>
      <c r="AE36" s="3644">
        <f t="shared" si="81"/>
        <v>173659</v>
      </c>
      <c r="AF36" s="3644">
        <f t="shared" si="81"/>
        <v>173679</v>
      </c>
      <c r="AG36" s="3644">
        <f t="shared" si="81"/>
        <v>173697</v>
      </c>
      <c r="AK36" s="3392" t="s">
        <v>1930</v>
      </c>
      <c r="AL36" s="4531">
        <f t="shared" si="80"/>
        <v>2.2818700000000001</v>
      </c>
      <c r="AM36" s="4531">
        <f t="shared" si="76"/>
        <v>2.5193500000000002</v>
      </c>
      <c r="AN36" s="4531">
        <f t="shared" si="77"/>
        <v>2.84016</v>
      </c>
      <c r="AO36" s="4531">
        <f t="shared" si="78"/>
        <v>3.1709200000000002</v>
      </c>
      <c r="AP36" s="4531">
        <f t="shared" si="79"/>
        <v>3.3313199999999998</v>
      </c>
      <c r="AR36" s="4531">
        <f>IFERROR(('12. Разходи'!D59+'12. Разходи'!D63)/'16. Необходими приходи'!D12,"-")</f>
        <v>2.2818684784033674</v>
      </c>
      <c r="AS36" s="4531">
        <f>IFERROR(('12. Разходи'!E59+'12. Разходи'!E63)/'16. Необходими приходи'!E12,"-")</f>
        <v>2.5193533129709849</v>
      </c>
      <c r="AT36" s="4531">
        <f>IFERROR(('12. Разходи'!F59+'12. Разходи'!F63)/'16. Необходими приходи'!F12,"-")</f>
        <v>2.8401565098036068</v>
      </c>
      <c r="AU36" s="4531">
        <f>IFERROR(('12. Разходи'!G59+'12. Разходи'!G63)/'16. Необходими приходи'!G12,"-")</f>
        <v>3.17092383148072</v>
      </c>
      <c r="AV36" s="4531">
        <f>IFERROR(('12. Разходи'!H59+'12. Разходи'!H63)/'16. Необходими приходи'!H12,"-")</f>
        <v>3.3313223216116441</v>
      </c>
    </row>
    <row r="37" spans="1:48" ht="20.45" customHeight="1">
      <c r="A37" s="3382" t="s">
        <v>1543</v>
      </c>
      <c r="B37" s="3486" t="s">
        <v>676</v>
      </c>
      <c r="C37" s="3487">
        <f>C4+C26+I26</f>
        <v>512</v>
      </c>
      <c r="D37" s="3487">
        <f t="shared" ref="D37:H37" si="82">D4+D26+J26</f>
        <v>508</v>
      </c>
      <c r="E37" s="3487">
        <f t="shared" si="82"/>
        <v>508</v>
      </c>
      <c r="F37" s="3487">
        <f t="shared" si="82"/>
        <v>508</v>
      </c>
      <c r="G37" s="3487">
        <f t="shared" si="82"/>
        <v>518</v>
      </c>
      <c r="H37" s="3487">
        <f t="shared" si="82"/>
        <v>518</v>
      </c>
      <c r="I37" s="3487">
        <f>I4+C15</f>
        <v>61</v>
      </c>
      <c r="J37" s="3487">
        <f t="shared" ref="J37:N37" si="83">J4+D15</f>
        <v>58</v>
      </c>
      <c r="K37" s="3487">
        <f t="shared" si="83"/>
        <v>58</v>
      </c>
      <c r="L37" s="3487">
        <f t="shared" si="83"/>
        <v>58</v>
      </c>
      <c r="M37" s="3487">
        <f t="shared" si="83"/>
        <v>69</v>
      </c>
      <c r="N37" s="3487">
        <f t="shared" si="83"/>
        <v>69</v>
      </c>
      <c r="O37" s="4215">
        <f t="shared" ref="O37:O45" si="84">IFERROR((H37-D37)/D37,0)</f>
        <v>1.968503937007874E-2</v>
      </c>
      <c r="P37" s="4215">
        <f t="shared" ref="P37:P45" si="85">IFERROR((N37-J37)/J37,0)</f>
        <v>0.18965517241379309</v>
      </c>
      <c r="R37" s="4293" t="s">
        <v>1578</v>
      </c>
      <c r="S37" s="4292">
        <f>IFERROR('8. Ремонтна програма'!J44/'8. Ремонтна програма'!J$54,0)</f>
        <v>0</v>
      </c>
      <c r="T37" s="4292">
        <f>IFERROR('8. Ремонтна програма'!K44/'8. Ремонтна програма'!K$54,0)</f>
        <v>0.53858999999999924</v>
      </c>
      <c r="U37" s="4292">
        <f>IFERROR('8. Ремонтна програма'!L44/'8. Ремонтна програма'!L$54,0)</f>
        <v>3.3931169999999806</v>
      </c>
      <c r="V37" s="4292">
        <f>IFERROR('8. Ремонтна програма'!M44/'8. Ремонтна програма'!M$54,0)</f>
        <v>5.8248508500000709</v>
      </c>
      <c r="W37" s="4292">
        <f>IFERROR('8. Ремонтна програма'!N44/'8. Ремонтна програма'!N$54,0)</f>
        <v>-8.5625307495000662</v>
      </c>
      <c r="X37" s="4292">
        <f>IFERROR('8. Ремонтна програма'!O44/'8. Ремонтна програма'!O$54,0)</f>
        <v>-4.1100147597599985</v>
      </c>
      <c r="Y37" s="3505">
        <f t="shared" si="74"/>
        <v>0</v>
      </c>
      <c r="Z37" s="3505">
        <f t="shared" si="75"/>
        <v>-8.6310640000000074</v>
      </c>
      <c r="AK37" s="3394" t="s">
        <v>1931</v>
      </c>
      <c r="AL37" s="4301">
        <f t="shared" si="80"/>
        <v>1.26342</v>
      </c>
      <c r="AM37" s="4301">
        <f t="shared" si="76"/>
        <v>1.2513099999999999</v>
      </c>
      <c r="AN37" s="4301">
        <f t="shared" si="77"/>
        <v>1.2608999999999999</v>
      </c>
      <c r="AO37" s="4301">
        <f t="shared" si="78"/>
        <v>1.26702</v>
      </c>
      <c r="AP37" s="4301">
        <f t="shared" si="79"/>
        <v>1.1914</v>
      </c>
      <c r="AR37" s="4301">
        <f>IFERROR('12. Разходи'!D89/'16. Необходими приходи'!D12,"-")</f>
        <v>1.2634246431589344</v>
      </c>
      <c r="AS37" s="4301">
        <f>IFERROR('12. Разходи'!E89/'16. Необходими приходи'!E12,"-")</f>
        <v>1.2513085483967405</v>
      </c>
      <c r="AT37" s="4301">
        <f>IFERROR('12. Разходи'!F89/'16. Необходими приходи'!F12,"-")</f>
        <v>1.2608984913050407</v>
      </c>
      <c r="AU37" s="4301">
        <f>IFERROR('12. Разходи'!G89/'16. Необходими приходи'!G12,"-")</f>
        <v>1.2670246835342123</v>
      </c>
      <c r="AV37" s="4301">
        <f>IFERROR('12. Разходи'!H89/'16. Необходими приходи'!H12,"-")</f>
        <v>1.1913997869765314</v>
      </c>
    </row>
    <row r="38" spans="1:48" ht="21">
      <c r="A38" s="3379" t="s">
        <v>1536</v>
      </c>
      <c r="B38" s="3490" t="s">
        <v>1541</v>
      </c>
      <c r="C38" s="3487">
        <f>C5+C27+I27</f>
        <v>537</v>
      </c>
      <c r="D38" s="3487">
        <f t="shared" ref="D38:H38" si="86">D5+D27+J27</f>
        <v>532</v>
      </c>
      <c r="E38" s="3487">
        <f t="shared" si="86"/>
        <v>532</v>
      </c>
      <c r="F38" s="3487">
        <f t="shared" si="86"/>
        <v>532</v>
      </c>
      <c r="G38" s="3487">
        <f t="shared" si="86"/>
        <v>542</v>
      </c>
      <c r="H38" s="3487">
        <f t="shared" si="86"/>
        <v>542</v>
      </c>
      <c r="I38" s="3487">
        <f>I5+C16</f>
        <v>61</v>
      </c>
      <c r="J38" s="3487">
        <f t="shared" ref="J38:N38" si="87">J5+D16</f>
        <v>58</v>
      </c>
      <c r="K38" s="3487">
        <f t="shared" si="87"/>
        <v>58</v>
      </c>
      <c r="L38" s="3487">
        <f t="shared" si="87"/>
        <v>58</v>
      </c>
      <c r="M38" s="3487">
        <f t="shared" si="87"/>
        <v>69</v>
      </c>
      <c r="N38" s="3487">
        <f t="shared" si="87"/>
        <v>69</v>
      </c>
      <c r="O38" s="4215">
        <f t="shared" si="84"/>
        <v>1.8796992481203006E-2</v>
      </c>
      <c r="P38" s="4215">
        <f t="shared" si="85"/>
        <v>0.18965517241379309</v>
      </c>
      <c r="R38" s="4291" t="s">
        <v>1579</v>
      </c>
      <c r="S38" s="4292">
        <f>IFERROR('8. Ремонтна програма'!J45/'8. Ремонтна програма'!J$54,0)</f>
        <v>0</v>
      </c>
      <c r="T38" s="4292">
        <f>IFERROR('8. Ремонтна програма'!K45/'8. Ремонтна програма'!K$54,0)</f>
        <v>0</v>
      </c>
      <c r="U38" s="4292">
        <f>IFERROR('8. Ремонтна програма'!L45/'8. Ремонтна програма'!L$54,0)</f>
        <v>0</v>
      </c>
      <c r="V38" s="4292">
        <f>IFERROR('8. Ремонтна програма'!M45/'8. Ремонтна програма'!M$54,0)</f>
        <v>0</v>
      </c>
      <c r="W38" s="4292">
        <f>IFERROR('8. Ремонтна програма'!N45/'8. Ремонтна програма'!N$54,0)</f>
        <v>0</v>
      </c>
      <c r="X38" s="4292">
        <f>IFERROR('8. Ремонтна програма'!O45/'8. Ремонтна програма'!O$54,0)</f>
        <v>0</v>
      </c>
      <c r="Y38" s="3505">
        <f t="shared" si="74"/>
        <v>0</v>
      </c>
      <c r="Z38" s="3505">
        <f t="shared" si="75"/>
        <v>0</v>
      </c>
      <c r="AK38" s="3392" t="s">
        <v>1932</v>
      </c>
      <c r="AL38" s="4531">
        <f t="shared" si="80"/>
        <v>1.15025</v>
      </c>
      <c r="AM38" s="4531">
        <f t="shared" si="76"/>
        <v>1.13761</v>
      </c>
      <c r="AN38" s="4531">
        <f t="shared" si="77"/>
        <v>1.14466</v>
      </c>
      <c r="AO38" s="4531">
        <f t="shared" si="78"/>
        <v>1.15211</v>
      </c>
      <c r="AP38" s="4531">
        <f t="shared" si="79"/>
        <v>1.0817300000000001</v>
      </c>
      <c r="AR38" s="4531">
        <f>IFERROR('12. Разходи'!D17/'16. Необходими приходи'!D12,"-")</f>
        <v>1.1502477428648097</v>
      </c>
      <c r="AS38" s="4531">
        <f>IFERROR('12. Разходи'!E17/'16. Необходими приходи'!E12,"-")</f>
        <v>1.1376079663581555</v>
      </c>
      <c r="AT38" s="4531">
        <f>IFERROR('12. Разходи'!F17/'16. Необходими приходи'!F12,"-")</f>
        <v>1.1446628935823875</v>
      </c>
      <c r="AU38" s="4531">
        <f>IFERROR('12. Разходи'!G17/'16. Необходими приходи'!G12,"-")</f>
        <v>1.1521050997912685</v>
      </c>
      <c r="AV38" s="4531">
        <f>IFERROR('12. Разходи'!H17/'16. Необходими приходи'!H12,"-")</f>
        <v>1.0817345852719196</v>
      </c>
    </row>
    <row r="39" spans="1:48" ht="15" customHeight="1">
      <c r="A39" s="3385" t="s">
        <v>1546</v>
      </c>
      <c r="B39" s="3493" t="s">
        <v>170</v>
      </c>
      <c r="C39" s="3494"/>
      <c r="D39" s="3495">
        <f>IFERROR((D38-C38)/C38,0)</f>
        <v>-9.3109869646182501E-3</v>
      </c>
      <c r="E39" s="3495">
        <f t="shared" ref="E39" si="88">IFERROR((E38-D38)/D38,0)</f>
        <v>0</v>
      </c>
      <c r="F39" s="3495">
        <f t="shared" ref="F39" si="89">IFERROR((F38-E38)/E38,0)</f>
        <v>0</v>
      </c>
      <c r="G39" s="3495">
        <f t="shared" ref="G39" si="90">IFERROR((G38-F38)/F38,0)</f>
        <v>1.8796992481203006E-2</v>
      </c>
      <c r="H39" s="3495">
        <f t="shared" ref="H39" si="91">IFERROR((H38-G38)/G38,0)</f>
        <v>0</v>
      </c>
      <c r="I39" s="3494"/>
      <c r="J39" s="3496">
        <f>IFERROR((J38-I38)/I38,0)</f>
        <v>-4.9180327868852458E-2</v>
      </c>
      <c r="K39" s="3496">
        <f t="shared" ref="K39" si="92">IFERROR((K38-J38)/J38,0)</f>
        <v>0</v>
      </c>
      <c r="L39" s="3496">
        <f t="shared" ref="L39" si="93">IFERROR((L38-K38)/K38,0)</f>
        <v>0</v>
      </c>
      <c r="M39" s="3496">
        <f t="shared" ref="M39" si="94">IFERROR((M38-L38)/L38,0)</f>
        <v>0.18965517241379309</v>
      </c>
      <c r="N39" s="3496">
        <f t="shared" ref="N39" si="95">IFERROR((N38-M38)/M38,0)</f>
        <v>0</v>
      </c>
      <c r="O39" s="4215">
        <f t="shared" si="84"/>
        <v>-1</v>
      </c>
      <c r="P39" s="4215">
        <f t="shared" si="85"/>
        <v>-1</v>
      </c>
      <c r="R39" s="4291" t="s">
        <v>1580</v>
      </c>
      <c r="S39" s="4292">
        <f>IFERROR('8. Ремонтна програма'!J46/'8. Ремонтна програма'!J$54,0)</f>
        <v>0</v>
      </c>
      <c r="T39" s="4292">
        <f>IFERROR('8. Ремонтна програма'!K46/'8. Ремонтна програма'!K$54,0)</f>
        <v>105.76110999999986</v>
      </c>
      <c r="U39" s="4292">
        <f>IFERROR('8. Ремонтна програма'!L46/'8. Ремонтна програма'!L$54,0)</f>
        <v>666.29499299999623</v>
      </c>
      <c r="V39" s="4292">
        <f>IFERROR('8. Ремонтна програма'!M46/'8. Ремонтна програма'!M$54,0)</f>
        <v>1143.806404650014</v>
      </c>
      <c r="W39" s="4292">
        <f>IFERROR('8. Ремонтна програма'!N46/'8. Ремонтна програма'!N$54,0)</f>
        <v>-1681.3954148355133</v>
      </c>
      <c r="X39" s="4292">
        <f>IFERROR('8. Ремонтна програма'!O46/'8. Ремонтна програма'!O$54,0)</f>
        <v>-807.06979912103986</v>
      </c>
      <c r="Y39" s="3505">
        <f t="shared" si="74"/>
        <v>0</v>
      </c>
      <c r="Z39" s="3505">
        <f t="shared" si="75"/>
        <v>-8.6310640000000074</v>
      </c>
      <c r="AK39" s="3394" t="s">
        <v>1933</v>
      </c>
      <c r="AL39" s="4301">
        <f t="shared" si="80"/>
        <v>0.22847999999999999</v>
      </c>
      <c r="AM39" s="4532">
        <f t="shared" si="76"/>
        <v>0.31651000000000001</v>
      </c>
      <c r="AN39" s="4532">
        <f t="shared" si="77"/>
        <v>0.40776000000000001</v>
      </c>
      <c r="AO39" s="4532">
        <f t="shared" si="78"/>
        <v>0.40526000000000001</v>
      </c>
      <c r="AP39" s="4532">
        <f t="shared" si="79"/>
        <v>0.38422000000000001</v>
      </c>
      <c r="AR39" s="4301">
        <f>IFERROR('16. Необходими приходи'!D9/'16. Необходими приходи'!D12,"-")</f>
        <v>0.22848166487661054</v>
      </c>
      <c r="AS39" s="4532">
        <f>IFERROR('16. Необходими приходи'!E9/'16. Необходими приходи'!E12,"-")</f>
        <v>0.31651420748015624</v>
      </c>
      <c r="AT39" s="4532">
        <f>IFERROR('16. Необходими приходи'!F9/'16. Необходими приходи'!F12,"-")</f>
        <v>0.40776095392424216</v>
      </c>
      <c r="AU39" s="4532">
        <f>IFERROR('16. Необходими приходи'!G9/'16. Необходими приходи'!G12,"-")</f>
        <v>0.4052587551054645</v>
      </c>
      <c r="AV39" s="4532">
        <f>IFERROR('16. Необходими приходи'!H9/'16. Необходими приходи'!H12,"-")</f>
        <v>0.38421982548662759</v>
      </c>
    </row>
    <row r="40" spans="1:48">
      <c r="A40" s="3385" t="s">
        <v>1545</v>
      </c>
      <c r="B40" s="3493" t="s">
        <v>170</v>
      </c>
      <c r="C40" s="3494"/>
      <c r="D40" s="3495">
        <f>IFERROR((D38-$C$38)/$C$38,0)</f>
        <v>-9.3109869646182501E-3</v>
      </c>
      <c r="E40" s="3495">
        <f t="shared" ref="E40:H40" si="96">IFERROR((E38-$C$38)/$C$38,0)</f>
        <v>-9.3109869646182501E-3</v>
      </c>
      <c r="F40" s="3495">
        <f t="shared" si="96"/>
        <v>-9.3109869646182501E-3</v>
      </c>
      <c r="G40" s="3495">
        <f t="shared" si="96"/>
        <v>9.3109869646182501E-3</v>
      </c>
      <c r="H40" s="3495">
        <f t="shared" si="96"/>
        <v>9.3109869646182501E-3</v>
      </c>
      <c r="I40" s="3494"/>
      <c r="J40" s="3506">
        <f>IFERROR((J38-$I$38)/$I$38,0)</f>
        <v>-4.9180327868852458E-2</v>
      </c>
      <c r="K40" s="3496">
        <f t="shared" ref="K40:N40" si="97">IFERROR((K38-$I$38)/$I$38,0)</f>
        <v>-4.9180327868852458E-2</v>
      </c>
      <c r="L40" s="3495">
        <f t="shared" si="97"/>
        <v>-4.9180327868852458E-2</v>
      </c>
      <c r="M40" s="3495">
        <f t="shared" si="97"/>
        <v>0.13114754098360656</v>
      </c>
      <c r="N40" s="3495">
        <f t="shared" si="97"/>
        <v>0.13114754098360656</v>
      </c>
      <c r="O40" s="4215">
        <f t="shared" si="84"/>
        <v>-2</v>
      </c>
      <c r="P40" s="4215">
        <f t="shared" si="85"/>
        <v>-3.666666666666667</v>
      </c>
      <c r="R40" s="4291" t="s">
        <v>1581</v>
      </c>
      <c r="S40" s="4292">
        <f>IFERROR('8. Ремонтна програма'!J47/'8. Ремонтна програма'!J$54,0)</f>
        <v>0</v>
      </c>
      <c r="T40" s="4292">
        <f>IFERROR('8. Ремонтна програма'!K47/'8. Ремонтна програма'!K$54,0)</f>
        <v>1522.484599999998</v>
      </c>
      <c r="U40" s="4292">
        <f>IFERROR('8. Ремонтна програма'!L47/'8. Ремонтна програма'!L$54,0)</f>
        <v>9591.6529799999462</v>
      </c>
      <c r="V40" s="4292">
        <f>IFERROR('8. Ремонтна програма'!M47/'8. Ремонтна програма'!M$54,0)</f>
        <v>16465.670949000203</v>
      </c>
      <c r="W40" s="4292">
        <f>IFERROR('8. Ремонтна програма'!N47/'8. Ремонтна програма'!N$54,0)</f>
        <v>-24204.536295030193</v>
      </c>
      <c r="X40" s="4292">
        <f>IFERROR('8. Ремонтна програма'!O47/'8. Ремонтна програма'!O$54,0)</f>
        <v>-11618.1774216144</v>
      </c>
      <c r="Y40" s="3505">
        <f t="shared" si="74"/>
        <v>0</v>
      </c>
      <c r="Z40" s="3505">
        <f t="shared" si="75"/>
        <v>-8.6310640000000109</v>
      </c>
      <c r="AK40" s="5436" t="s">
        <v>174</v>
      </c>
      <c r="AL40" s="5437"/>
      <c r="AM40" s="5437"/>
      <c r="AN40" s="5437"/>
      <c r="AO40" s="5437"/>
      <c r="AP40" s="5438"/>
      <c r="AR40" s="4524"/>
      <c r="AS40" s="4524"/>
      <c r="AT40" s="4524"/>
      <c r="AU40" s="4524"/>
      <c r="AV40" s="4525"/>
    </row>
    <row r="41" spans="1:48" ht="31.5">
      <c r="A41" s="3380" t="s">
        <v>1537</v>
      </c>
      <c r="B41" s="3497" t="s">
        <v>1542</v>
      </c>
      <c r="C41" s="3498">
        <f>IFERROR(('5. Персонал'!C29+'5. Персонал'!U29+'5. Персонал'!AA29)/C38,0)</f>
        <v>16.385474860335197</v>
      </c>
      <c r="D41" s="3498">
        <f>IFERROR(('5. Персонал'!D29+'5. Персонал'!V29+'5. Персонал'!AB29)/D38,0)</f>
        <v>25.268796992481203</v>
      </c>
      <c r="E41" s="3498">
        <f>IFERROR(('5. Персонал'!E29+'5. Персонал'!W29+'5. Персонал'!AC29)/E38,0)</f>
        <v>28.301052631578951</v>
      </c>
      <c r="F41" s="3498">
        <f>IFERROR(('5. Персонал'!F29+'5. Персонал'!X29+'5. Персонал'!AD29)/F38,0)</f>
        <v>31.697178947368428</v>
      </c>
      <c r="G41" s="3498">
        <f>IFERROR(('5. Персонал'!G29+'5. Персонал'!Y29+'5. Персонал'!AE29)/G38,0)</f>
        <v>35.779214169741699</v>
      </c>
      <c r="H41" s="3498">
        <f>IFERROR(('5. Персонал'!H29+'5. Персонал'!Z29+'5. Персонал'!AF29)/H38,0)</f>
        <v>40.072719870110703</v>
      </c>
      <c r="I41" s="3498">
        <f>IFERROR(('5. Персонал'!I29+'5. Персонал'!O29)/I38,0)</f>
        <v>17.409836065573771</v>
      </c>
      <c r="J41" s="3498">
        <f>IFERROR(('5. Персонал'!J29+'5. Персонал'!P29)/J38,0)</f>
        <v>25.862068965517242</v>
      </c>
      <c r="K41" s="3498">
        <f>IFERROR(('5. Персонал'!K29+'5. Персонал'!Q29)/K38,0)</f>
        <v>28.965517241379313</v>
      </c>
      <c r="L41" s="3498">
        <f>IFERROR(('5. Персонал'!L29+'5. Персонал'!R29)/L38,0)</f>
        <v>32.441379310344836</v>
      </c>
      <c r="M41" s="3498">
        <f>IFERROR(('5. Персонал'!M29+'5. Персонал'!S29)/M38,0)</f>
        <v>31.09548521739131</v>
      </c>
      <c r="N41" s="3498">
        <f>IFERROR(('5. Персонал'!N29+'5. Персонал'!T29)/N38,0)</f>
        <v>34.826943443478264</v>
      </c>
      <c r="O41" s="4215">
        <f t="shared" si="84"/>
        <v>0.58585784206642078</v>
      </c>
      <c r="P41" s="4215">
        <f t="shared" si="85"/>
        <v>0.34664181314782616</v>
      </c>
      <c r="R41" s="4291" t="s">
        <v>1070</v>
      </c>
      <c r="S41" s="4292">
        <f>IFERROR('8. Ремонтна програма'!J48/'8. Ремонтна програма'!J$54,0)</f>
        <v>0</v>
      </c>
      <c r="T41" s="4292">
        <f>IFERROR('8. Ремонтна програма'!K48/'8. Ремонтна програма'!K$54,0)</f>
        <v>1522.484599999998</v>
      </c>
      <c r="U41" s="4292">
        <f>IFERROR('8. Ремонтна програма'!L48/'8. Ремонтна програма'!L$54,0)</f>
        <v>9591.6529799999462</v>
      </c>
      <c r="V41" s="4292">
        <f>IFERROR('8. Ремонтна програма'!M48/'8. Ремонтна програма'!M$54,0)</f>
        <v>16465.670949000203</v>
      </c>
      <c r="W41" s="4292">
        <f>IFERROR('8. Ремонтна програма'!N48/'8. Ремонтна програма'!N$54,0)</f>
        <v>-24204.536295030193</v>
      </c>
      <c r="X41" s="4292">
        <f>IFERROR('8. Ремонтна програма'!O48/'8. Ремонтна програма'!O$54,0)</f>
        <v>-11618.1774216144</v>
      </c>
      <c r="Y41" s="3505">
        <f t="shared" si="74"/>
        <v>0</v>
      </c>
      <c r="Z41" s="3505">
        <f t="shared" si="75"/>
        <v>-8.6310640000000109</v>
      </c>
      <c r="AK41" s="1425" t="s">
        <v>608</v>
      </c>
      <c r="AL41" s="3492">
        <f>AR41</f>
        <v>0.36099999999999999</v>
      </c>
      <c r="AM41" s="3492">
        <f t="shared" ref="AM41:AP41" si="98">AS41</f>
        <v>0.41799999999999998</v>
      </c>
      <c r="AN41" s="3492">
        <f t="shared" si="98"/>
        <v>0.434</v>
      </c>
      <c r="AO41" s="3492">
        <f t="shared" si="98"/>
        <v>0.48899999999999999</v>
      </c>
      <c r="AP41" s="3492">
        <f t="shared" si="98"/>
        <v>0.51700000000000002</v>
      </c>
      <c r="AR41" s="3492">
        <f>AL7</f>
        <v>0.36099999999999999</v>
      </c>
      <c r="AS41" s="3492">
        <f>AM7</f>
        <v>0.41799999999999998</v>
      </c>
      <c r="AT41" s="3492">
        <f>AN7</f>
        <v>0.434</v>
      </c>
      <c r="AU41" s="3492">
        <f>AO7</f>
        <v>0.48899999999999999</v>
      </c>
      <c r="AV41" s="3492">
        <f>AP7</f>
        <v>0.51700000000000002</v>
      </c>
    </row>
    <row r="42" spans="1:48" ht="15.75" customHeight="1">
      <c r="A42" s="3385" t="s">
        <v>1546</v>
      </c>
      <c r="B42" s="3493" t="s">
        <v>170</v>
      </c>
      <c r="C42" s="3494"/>
      <c r="D42" s="3495">
        <f>IFERROR((D41-C41)/C41,0)</f>
        <v>0.54214615126291676</v>
      </c>
      <c r="E42" s="3495">
        <f t="shared" ref="E42" si="99">IFERROR((E41-D41)/D41,0)</f>
        <v>0.12000000000000015</v>
      </c>
      <c r="F42" s="3495">
        <f t="shared" ref="F42" si="100">IFERROR((F41-E41)/E41,0)</f>
        <v>0.12000000000000011</v>
      </c>
      <c r="G42" s="3495">
        <f t="shared" ref="G42" si="101">IFERROR((G41-F41)/F41,0)</f>
        <v>0.12878228782287804</v>
      </c>
      <c r="H42" s="3495">
        <f t="shared" ref="H42" si="102">IFERROR((H41-G41)/G41,0)</f>
        <v>0.11999999999999998</v>
      </c>
      <c r="I42" s="3494"/>
      <c r="J42" s="3496">
        <f>IFERROR((J41-I41)/I41,0)</f>
        <v>0.48548607052406001</v>
      </c>
      <c r="K42" s="3496">
        <f t="shared" ref="K42" si="103">IFERROR((K41-J41)/J41,0)</f>
        <v>0.12000000000000008</v>
      </c>
      <c r="L42" s="3496">
        <f t="shared" ref="L42" si="104">IFERROR((L41-K41)/K41,0)</f>
        <v>0.12000000000000016</v>
      </c>
      <c r="M42" s="3496">
        <f t="shared" ref="M42" si="105">IFERROR((M41-L41)/L41,0)</f>
        <v>-4.1486956521739185E-2</v>
      </c>
      <c r="N42" s="3496">
        <f t="shared" ref="N42" si="106">IFERROR((N41-M41)/M41,0)</f>
        <v>0.11999999999999988</v>
      </c>
      <c r="O42" s="4215">
        <f t="shared" si="84"/>
        <v>-0.77865747138393804</v>
      </c>
      <c r="P42" s="4215">
        <f t="shared" si="85"/>
        <v>-0.75282504012841112</v>
      </c>
      <c r="R42" s="4291" t="s">
        <v>1072</v>
      </c>
      <c r="S42" s="4292">
        <f>IFERROR('8. Ремонтна програма'!J49/'8. Ремонтна програма'!J$54,0)</f>
        <v>0</v>
      </c>
      <c r="T42" s="4292">
        <f>IFERROR('8. Ремонтна програма'!K49/'8. Ремонтна програма'!K$54,0)</f>
        <v>0</v>
      </c>
      <c r="U42" s="4292">
        <f>IFERROR('8. Ремонтна програма'!L49/'8. Ремонтна програма'!L$54,0)</f>
        <v>0</v>
      </c>
      <c r="V42" s="4292">
        <f>IFERROR('8. Ремонтна програма'!M49/'8. Ремонтна програма'!M$54,0)</f>
        <v>0</v>
      </c>
      <c r="W42" s="4292">
        <f>IFERROR('8. Ремонтна програма'!N49/'8. Ремонтна програма'!N$54,0)</f>
        <v>0</v>
      </c>
      <c r="X42" s="4292">
        <f>IFERROR('8. Ремонтна програма'!O49/'8. Ремонтна програма'!O$54,0)</f>
        <v>0</v>
      </c>
      <c r="Y42" s="3505">
        <f t="shared" si="74"/>
        <v>0</v>
      </c>
      <c r="Z42" s="3505">
        <f t="shared" si="75"/>
        <v>0</v>
      </c>
      <c r="AK42" s="3394" t="s">
        <v>1928</v>
      </c>
      <c r="AL42" s="4301">
        <f>IFERROR(ROUND(AR42,5),"-")</f>
        <v>0.30114999999999997</v>
      </c>
      <c r="AM42" s="4301">
        <f t="shared" ref="AM42:AM47" si="107">IFERROR(ROUND(AS42,5),"-")</f>
        <v>0.32577</v>
      </c>
      <c r="AN42" s="4301">
        <f t="shared" ref="AN42:AN47" si="108">IFERROR(ROUND(AT42,5),"-")</f>
        <v>0.31170999999999999</v>
      </c>
      <c r="AO42" s="4301">
        <f t="shared" ref="AO42:AO47" si="109">IFERROR(ROUND(AU42,5),"-")</f>
        <v>0.35328999999999999</v>
      </c>
      <c r="AP42" s="4301">
        <f t="shared" ref="AP42:AP47" si="110">IFERROR(ROUND(AV42,5),"-")</f>
        <v>0.37734000000000001</v>
      </c>
      <c r="AR42" s="4301">
        <f>IFERROR(('12. Разходи'!L88-'12. Разходи'!L89)/'16. Необходими приходи'!D18,"-")</f>
        <v>0.30114905153448779</v>
      </c>
      <c r="AS42" s="4301">
        <f>IFERROR(('12. Разходи'!M88-'12. Разходи'!M89)/'16. Необходими приходи'!E18,"-")</f>
        <v>0.32576527572539499</v>
      </c>
      <c r="AT42" s="4301">
        <f>IFERROR(('12. Разходи'!N88-'12. Разходи'!N89)/'16. Необходими приходи'!F18,"-")</f>
        <v>0.31171110075442876</v>
      </c>
      <c r="AU42" s="4301">
        <f>IFERROR(('12. Разходи'!O88-'12. Разходи'!O89)/'16. Необходими приходи'!G18,"-")</f>
        <v>0.35329439774221866</v>
      </c>
      <c r="AV42" s="4301">
        <f>IFERROR(('12. Разходи'!P88-'12. Разходи'!P89)/'16. Необходими приходи'!H18,"-")</f>
        <v>0.37733622640561215</v>
      </c>
    </row>
    <row r="43" spans="1:48" ht="22.5">
      <c r="A43" s="3384" t="s">
        <v>1544</v>
      </c>
      <c r="B43" s="3493" t="s">
        <v>170</v>
      </c>
      <c r="C43" s="3494"/>
      <c r="D43" s="3495">
        <f>IFERROR((D41-$C$41)/$C$41,0)</f>
        <v>0.54214615126291676</v>
      </c>
      <c r="E43" s="3495">
        <f t="shared" ref="E43:H43" si="111">IFERROR((E41-$C$41)/$C$41,0)</f>
        <v>0.727203689414467</v>
      </c>
      <c r="F43" s="3495">
        <f t="shared" si="111"/>
        <v>0.93446813214420321</v>
      </c>
      <c r="G43" s="3495">
        <f t="shared" si="111"/>
        <v>1.1835933639221832</v>
      </c>
      <c r="H43" s="3495">
        <f t="shared" si="111"/>
        <v>1.4456245675928452</v>
      </c>
      <c r="I43" s="3494"/>
      <c r="J43" s="3495">
        <f>IFERROR((J41-$I$41)/$I$41,0)</f>
        <v>0.48548607052406001</v>
      </c>
      <c r="K43" s="3496">
        <f t="shared" ref="K43:N43" si="112">IFERROR((K41-$I$41)/$I$41,0)</f>
        <v>0.66374439898694737</v>
      </c>
      <c r="L43" s="3495">
        <f t="shared" si="112"/>
        <v>0.86339372686538129</v>
      </c>
      <c r="M43" s="3495">
        <f t="shared" si="112"/>
        <v>0.78608719233603574</v>
      </c>
      <c r="N43" s="3495">
        <f t="shared" si="112"/>
        <v>1.0004176554163597</v>
      </c>
      <c r="O43" s="4215">
        <f t="shared" si="84"/>
        <v>1.6664849768375125</v>
      </c>
      <c r="P43" s="4215">
        <f t="shared" si="85"/>
        <v>1.060651615269733</v>
      </c>
      <c r="R43" s="4291" t="s">
        <v>916</v>
      </c>
      <c r="S43" s="4292">
        <f>IFERROR('8. Ремонтна програма'!J50/'8. Ремонтна програма'!J$54,0)</f>
        <v>0</v>
      </c>
      <c r="T43" s="4292">
        <f>IFERROR('8. Ремонтна програма'!K50/'8. Ремонтна програма'!K$54,0)</f>
        <v>0</v>
      </c>
      <c r="U43" s="4292">
        <f>IFERROR('8. Ремонтна програма'!L50/'8. Ремонтна програма'!L$54,0)</f>
        <v>0</v>
      </c>
      <c r="V43" s="4292">
        <f>IFERROR('8. Ремонтна програма'!M50/'8. Ремонтна програма'!M$54,0)</f>
        <v>0</v>
      </c>
      <c r="W43" s="4292">
        <f>IFERROR('8. Ремонтна програма'!N50/'8. Ремонтна програма'!N$54,0)</f>
        <v>0</v>
      </c>
      <c r="X43" s="4292">
        <f>IFERROR('8. Ремонтна програма'!O50/'8. Ремонтна програма'!O$54,0)</f>
        <v>0</v>
      </c>
      <c r="Y43" s="3505">
        <f t="shared" si="74"/>
        <v>0</v>
      </c>
      <c r="Z43" s="3505">
        <f t="shared" si="75"/>
        <v>0</v>
      </c>
      <c r="AK43" s="3392" t="s">
        <v>1929</v>
      </c>
      <c r="AL43" s="4531">
        <f t="shared" ref="AL43:AL47" si="113">IFERROR(ROUND(AR43,5),"-")</f>
        <v>9.0440000000000006E-2</v>
      </c>
      <c r="AM43" s="4531">
        <f t="shared" si="107"/>
        <v>9.579E-2</v>
      </c>
      <c r="AN43" s="4531">
        <f t="shared" si="108"/>
        <v>6.2609999999999999E-2</v>
      </c>
      <c r="AO43" s="4531">
        <f t="shared" si="109"/>
        <v>8.7929999999999994E-2</v>
      </c>
      <c r="AP43" s="4531">
        <f t="shared" si="110"/>
        <v>9.5880000000000007E-2</v>
      </c>
      <c r="AR43" s="4531">
        <f>IFERROR('12. Разходи'!L55/'16. Необходими приходи'!D18,"-")</f>
        <v>9.0441429299986525E-2</v>
      </c>
      <c r="AS43" s="4531">
        <f>IFERROR('12. Разходи'!M55/'16. Необходими приходи'!E18,"-")</f>
        <v>9.5788122196865236E-2</v>
      </c>
      <c r="AT43" s="4531">
        <f>IFERROR('12. Разходи'!N55/'16. Необходими приходи'!F18,"-")</f>
        <v>6.2611272137469309E-2</v>
      </c>
      <c r="AU43" s="4531">
        <f>IFERROR('12. Разходи'!O55/'16. Необходими приходи'!G18,"-")</f>
        <v>8.7925759616023516E-2</v>
      </c>
      <c r="AV43" s="4531">
        <f>IFERROR('12. Разходи'!P55/'16. Необходими приходи'!H18,"-")</f>
        <v>9.588259760073492E-2</v>
      </c>
    </row>
    <row r="44" spans="1:48" ht="18.75" customHeight="1">
      <c r="A44" s="3383" t="s">
        <v>1548</v>
      </c>
      <c r="B44" s="3501" t="s">
        <v>170</v>
      </c>
      <c r="C44" s="3377">
        <f>IFERROR(('5. Персонал'!C42+'5. Персонал'!U42+'5. Персонал'!AA42)/('5. Персонал'!C29+'5. Персонал'!U29+'5. Персонал'!AA29),0)</f>
        <v>0.1909307875894988</v>
      </c>
      <c r="D44" s="3377">
        <f>IFERROR(('5. Персонал'!D42+'5. Персонал'!V42+'5. Персонал'!AB42)/('5. Персонал'!D29+'5. Персонал'!V29+'5. Персонал'!AB29),0)</f>
        <v>0.19489697240199361</v>
      </c>
      <c r="E44" s="3377">
        <f>IFERROR(('5. Персонал'!E42+'5. Персонал'!W42+'5. Персонал'!AC42)/('5. Персонал'!E29+'5. Персонал'!W29+'5. Персонал'!AC29),0)</f>
        <v>0.19489697240199358</v>
      </c>
      <c r="F44" s="3377">
        <f>IFERROR(('5. Персонал'!F42+'5. Персонал'!X42+'5. Персонал'!AD42)/('5. Персонал'!F29+'5. Персонал'!X29+'5. Персонал'!AD29),0)</f>
        <v>0.19489697240199358</v>
      </c>
      <c r="G44" s="3377">
        <f>IFERROR(('5. Персонал'!G42+'5. Персонал'!Y42+'5. Персонал'!AE42)/('5. Персонал'!G29+'5. Персонал'!Y29+'5. Персонал'!AE29),0)</f>
        <v>0.19489697240199361</v>
      </c>
      <c r="H44" s="3377">
        <f>IFERROR(('5. Персонал'!H42+'5. Персонал'!Z42+'5. Персонал'!AF42)/('5. Персонал'!H29+'5. Персонал'!Z29+'5. Персонал'!AF29),0)</f>
        <v>0.19489697240199363</v>
      </c>
      <c r="I44" s="3377">
        <f>IFERROR(('5. Персонал'!I42+'5. Персонал'!O42)/('5. Персонал'!I29+'5. Персонал'!O29),0)</f>
        <v>0.20150659133709981</v>
      </c>
      <c r="J44" s="3377">
        <f>IFERROR(('5. Персонал'!J42+'5. Персонал'!P42)/('5. Персонал'!J29+'5. Персонал'!P29),0)</f>
        <v>0.18666666666666668</v>
      </c>
      <c r="K44" s="3377">
        <f>IFERROR(('5. Персонал'!K42+'5. Персонал'!Q42)/('5. Персонал'!K29+'5. Персонал'!Q29),0)</f>
        <v>0.18666666666666665</v>
      </c>
      <c r="L44" s="3377">
        <f>IFERROR(('5. Персонал'!L42+'5. Персонал'!R42)/('5. Персонал'!L29+'5. Персонал'!R29),0)</f>
        <v>0.18666666666666668</v>
      </c>
      <c r="M44" s="3377">
        <f>IFERROR(('5. Персонал'!M42+'5. Персонал'!S42)/('5. Персонал'!M29+'5. Персонал'!S29),0)</f>
        <v>0.18676371715045748</v>
      </c>
      <c r="N44" s="3377">
        <f>IFERROR(('5. Персонал'!N42+'5. Персонал'!T42)/('5. Персонал'!N29+'5. Персонал'!T29),0)</f>
        <v>0.1867637171504575</v>
      </c>
      <c r="O44" s="4215">
        <f t="shared" si="84"/>
        <v>1.4241152786293873E-16</v>
      </c>
      <c r="P44" s="4215">
        <f t="shared" si="85"/>
        <v>5.1991330602229365E-4</v>
      </c>
      <c r="R44" s="4293" t="s">
        <v>1356</v>
      </c>
      <c r="S44" s="4292">
        <f>IFERROR('8. Ремонтна програма'!J51/'8. Ремонтна програма'!J$54,0)</f>
        <v>0</v>
      </c>
      <c r="T44" s="4292">
        <f>IFERROR('8. Ремонтна програма'!K51/'8. Ремонтна програма'!K$54,0)</f>
        <v>15.489846666666644</v>
      </c>
      <c r="U44" s="4292">
        <f>IFERROR('8. Ремонтна програма'!L51/'8. Ремонтна програма'!L$54,0)</f>
        <v>97.586033999999444</v>
      </c>
      <c r="V44" s="4292">
        <f>IFERROR('8. Ремонтна програма'!M51/'8. Ремонтна програма'!M$54,0)</f>
        <v>167.52269170000204</v>
      </c>
      <c r="W44" s="4292">
        <f>IFERROR('8. Ремонтна програма'!N51/'8. Ремонтна програма'!N$54,0)</f>
        <v>-246.25835679900194</v>
      </c>
      <c r="X44" s="4292">
        <f>IFERROR('8. Ремонтна програма'!O51/'8. Ремонтна програма'!O$54,0)</f>
        <v>-118.20401126351999</v>
      </c>
      <c r="Y44" s="3505">
        <f t="shared" si="74"/>
        <v>0</v>
      </c>
      <c r="Z44" s="3505">
        <f t="shared" si="75"/>
        <v>-8.6310640000000109</v>
      </c>
      <c r="AK44" s="3392" t="s">
        <v>1930</v>
      </c>
      <c r="AL44" s="4531">
        <f t="shared" si="113"/>
        <v>0.10667</v>
      </c>
      <c r="AM44" s="4531">
        <f t="shared" si="107"/>
        <v>0.11984</v>
      </c>
      <c r="AN44" s="4531">
        <f t="shared" si="108"/>
        <v>0.13447999999999999</v>
      </c>
      <c r="AO44" s="4531">
        <f t="shared" si="109"/>
        <v>0.15125</v>
      </c>
      <c r="AP44" s="4531">
        <f t="shared" si="110"/>
        <v>0.17000999999999999</v>
      </c>
      <c r="AR44" s="4531">
        <f>IFERROR(('12. Разходи'!L59+'12. Разходи'!L63)/'16. Необходими приходи'!D18,"-")</f>
        <v>0.10667099134079747</v>
      </c>
      <c r="AS44" s="4531">
        <f>IFERROR(('12. Разходи'!M59+'12. Разходи'!M63)/'16. Необходими приходи'!E18,"-")</f>
        <v>0.11984123952813017</v>
      </c>
      <c r="AT44" s="4531">
        <f>IFERROR(('12. Разходи'!N59+'12. Разходи'!N63)/'16. Необходими приходи'!F18,"-")</f>
        <v>0.13448192928861166</v>
      </c>
      <c r="AU44" s="4531">
        <f>IFERROR(('12. Разходи'!O59+'12. Разходи'!O63)/'16. Необходими приходи'!G18,"-")</f>
        <v>0.15125480346028822</v>
      </c>
      <c r="AV44" s="4531">
        <f>IFERROR(('12. Разходи'!P59+'12. Разходи'!P63)/'16. Необходими приходи'!H18,"-")</f>
        <v>0.17000946296437494</v>
      </c>
    </row>
    <row r="45" spans="1:48" ht="18" customHeight="1">
      <c r="A45" s="3383" t="s">
        <v>1547</v>
      </c>
      <c r="B45" s="3501" t="s">
        <v>170</v>
      </c>
      <c r="C45" s="3377">
        <f>IFERROR(('5. Персонал'!C46+'5. Персонал'!U46+'5. Персонал'!AA46)/('5. Персонал'!C29+'5. Персонал'!U29+'5. Персонал'!AA29),0)</f>
        <v>0.12728719172633254</v>
      </c>
      <c r="D45" s="3377">
        <f>IFERROR(('5. Персонал'!D46+'5. Персонал'!V46+'5. Персонал'!AB46)/('5. Персонал'!D29+'5. Персонал'!V29+'5. Персонал'!AB29),0)</f>
        <v>9.9680130923157029E-2</v>
      </c>
      <c r="E45" s="3377">
        <f>IFERROR(('5. Персонал'!E46+'5. Персонал'!W46+'5. Персонал'!AC46)/('5. Персонал'!E29+'5. Персонал'!W29+'5. Персонал'!AC29),0)</f>
        <v>8.9000116895675913E-2</v>
      </c>
      <c r="F45" s="3377">
        <f>IFERROR(('5. Персонал'!F46+'5. Персонал'!X46+'5. Персонал'!AD46)/('5. Персонал'!F29+'5. Персонал'!X29+'5. Персонал'!AD29),0)</f>
        <v>8.302249710417528E-2</v>
      </c>
      <c r="G45" s="3377">
        <f>IFERROR(('5. Персонал'!G46+'5. Персонал'!Y46+'5. Персонал'!AE46)/('5. Персонал'!G29+'5. Персонал'!Y29+'5. Персонал'!AE29),0)</f>
        <v>7.0285505312416729E-2</v>
      </c>
      <c r="H45" s="3377">
        <f>IFERROR(('5. Персонал'!H46+'5. Персонал'!Z46+'5. Персонал'!AF46)/('5. Персонал'!H29+'5. Персонал'!Z29+'5. Персонал'!AF29),0)</f>
        <v>6.2754915457514937E-2</v>
      </c>
      <c r="I45" s="3377">
        <f>IFERROR(('5. Персонал'!I46+'5. Персонал'!O46)/('5. Персонал'!I29+'5. Персонал'!O29),0)</f>
        <v>0.128060263653484</v>
      </c>
      <c r="J45" s="3377">
        <f>IFERROR(('5. Персонал'!J46+'5. Персонал'!P46)/('5. Персонал'!J29+'5. Персонал'!P29),0)</f>
        <v>0.10103157894736842</v>
      </c>
      <c r="K45" s="3377">
        <f>IFERROR(('5. Персонал'!K46+'5. Персонал'!Q46)/('5. Персонал'!K29+'5. Персонал'!Q29),0)</f>
        <v>9.047619047619046E-2</v>
      </c>
      <c r="L45" s="3377">
        <f>IFERROR(('5. Персонал'!L46+'5. Персонал'!R46)/('5. Персонал'!L29+'5. Персонал'!R29),0)</f>
        <v>8.0250850340136043E-2</v>
      </c>
      <c r="M45" s="3377">
        <f>IFERROR(('5. Персонал'!M46+'5. Персонал'!S46)/('5. Персонал'!M29+'5. Персонал'!S29),0)</f>
        <v>8.2494850084206262E-2</v>
      </c>
      <c r="N45" s="3377">
        <f>IFERROR(('5. Персонал'!N46+'5. Персонал'!T46)/('5. Персонал'!N29+'5. Персонал'!T29),0)</f>
        <v>7.365611614661273E-2</v>
      </c>
      <c r="O45" s="4215">
        <f t="shared" si="84"/>
        <v>-0.37043706828703482</v>
      </c>
      <c r="P45" s="4215">
        <f t="shared" si="85"/>
        <v>-0.27095946718814234</v>
      </c>
      <c r="R45" s="4293" t="s">
        <v>1582</v>
      </c>
      <c r="S45" s="4292">
        <f>IFERROR('8. Ремонтна програма'!J52/'8. Ремонтна програма'!J$54,0)</f>
        <v>0</v>
      </c>
      <c r="T45" s="4292">
        <f>IFERROR('8. Ремонтна програма'!K52/'8. Ремонтна програма'!K$54,0)</f>
        <v>7.1742233333333232</v>
      </c>
      <c r="U45" s="4292">
        <f>IFERROR('8. Ремонтна програма'!L52/'8. Ремонтна програма'!L$54,0)</f>
        <v>45.197606999999749</v>
      </c>
      <c r="V45" s="4292">
        <f>IFERROR('8. Ремонтна програма'!M52/'8. Ремонтна програма'!M$54,0)</f>
        <v>77.589225350000959</v>
      </c>
      <c r="W45" s="4292">
        <f>IFERROR('8. Ремонтна програма'!N52/'8. Ремонтна програма'!N$54,0)</f>
        <v>-114.05616126450091</v>
      </c>
      <c r="X45" s="4292">
        <f>IFERROR('8. Ремонтна програма'!O52/'8. Ремонтна програма'!O$54,0)</f>
        <v>-54.746957406959993</v>
      </c>
      <c r="Y45" s="3505">
        <f t="shared" si="74"/>
        <v>0</v>
      </c>
      <c r="Z45" s="3505">
        <f t="shared" si="75"/>
        <v>-8.6310640000000092</v>
      </c>
      <c r="AK45" s="3394" t="s">
        <v>1931</v>
      </c>
      <c r="AL45" s="4301">
        <f t="shared" si="113"/>
        <v>2.4070000000000001E-2</v>
      </c>
      <c r="AM45" s="4301">
        <f t="shared" si="107"/>
        <v>2.4410000000000001E-2</v>
      </c>
      <c r="AN45" s="4301">
        <f t="shared" si="108"/>
        <v>2.4760000000000001E-2</v>
      </c>
      <c r="AO45" s="4301">
        <f t="shared" si="109"/>
        <v>3.3180000000000001E-2</v>
      </c>
      <c r="AP45" s="4301">
        <f t="shared" si="110"/>
        <v>3.3599999999999998E-2</v>
      </c>
      <c r="AR45" s="4301">
        <f>IFERROR('12. Разходи'!L89/'16. Необходими приходи'!D18,"-")</f>
        <v>2.4065076543400312E-2</v>
      </c>
      <c r="AS45" s="4301">
        <f>IFERROR('12. Разходи'!M89/'16. Необходими приходи'!E18,"-")</f>
        <v>2.4407704381365056E-2</v>
      </c>
      <c r="AT45" s="4301">
        <f>IFERROR('12. Разходи'!N89/'16. Необходими приходи'!F18,"-")</f>
        <v>2.4760339078003606E-2</v>
      </c>
      <c r="AU45" s="4301">
        <f>IFERROR('12. Разходи'!O89/'16. Необходими приходи'!G18,"-")</f>
        <v>3.3184558661554925E-2</v>
      </c>
      <c r="AV45" s="4301">
        <f>IFERROR('12. Разходи'!P89/'16. Необходими приходи'!H18,"-")</f>
        <v>3.3597094326874952E-2</v>
      </c>
    </row>
    <row r="46" spans="1:48" ht="24.75" customHeight="1">
      <c r="R46" s="4289" t="s">
        <v>1861</v>
      </c>
      <c r="S46" s="4290" t="str">
        <f>+'15. ОПП'!$B$7</f>
        <v>2024 г.</v>
      </c>
      <c r="T46" s="4290" t="str">
        <f>+'15. ОПП'!$C$7</f>
        <v>2027 г.</v>
      </c>
      <c r="U46" s="4290" t="str">
        <f>+'15. ОПП'!$D$7</f>
        <v>2028 г.</v>
      </c>
      <c r="V46" s="4290" t="str">
        <f>+'15. ОПП'!$E$7</f>
        <v>2029 г.</v>
      </c>
      <c r="W46" s="4290" t="str">
        <f>+'15. ОПП'!$F$7</f>
        <v>2030 г.</v>
      </c>
      <c r="X46" s="4290" t="str">
        <f>+'15. ОПП'!$G$7</f>
        <v>2031 г.</v>
      </c>
      <c r="Y46" s="4290" t="str">
        <f>+Y33</f>
        <v>Изменение 2027 г.спрямо 2024 г.</v>
      </c>
      <c r="Z46" s="4290" t="str">
        <f>+Z33</f>
        <v>Изменение 2031 г.спрямо 2027 г.</v>
      </c>
      <c r="AK46" s="3392" t="s">
        <v>1932</v>
      </c>
      <c r="AL46" s="4531">
        <f t="shared" si="113"/>
        <v>2.0920000000000001E-2</v>
      </c>
      <c r="AM46" s="4531">
        <f t="shared" si="107"/>
        <v>2.1139999999999999E-2</v>
      </c>
      <c r="AN46" s="4531">
        <f t="shared" si="108"/>
        <v>2.1350000000000001E-2</v>
      </c>
      <c r="AO46" s="4531">
        <f t="shared" si="109"/>
        <v>2.964E-2</v>
      </c>
      <c r="AP46" s="4531">
        <f t="shared" si="110"/>
        <v>2.9909999999999999E-2</v>
      </c>
      <c r="AR46" s="4531">
        <f>IFERROR('12. Разходи'!L17/'16. Необходими приходи'!D18,"-")</f>
        <v>2.0920144862378125E-2</v>
      </c>
      <c r="AS46" s="4531">
        <f>IFERROR('12. Разходи'!M17/'16. Необходими приходи'!E18,"-")</f>
        <v>2.1135135547067415E-2</v>
      </c>
      <c r="AT46" s="4531">
        <f>IFERROR('12. Разходи'!N17/'16. Необходими приходи'!F18,"-")</f>
        <v>2.1354592926995552E-2</v>
      </c>
      <c r="AU46" s="4531">
        <f>IFERROR('12. Разходи'!O17/'16. Необходими приходи'!G18,"-")</f>
        <v>2.9639833353381342E-2</v>
      </c>
      <c r="AV46" s="4531">
        <f>IFERROR('12. Разходи'!P17/'16. Необходими приходи'!H18,"-")</f>
        <v>2.9912446476942526E-2</v>
      </c>
    </row>
    <row r="47" spans="1:48" ht="22.5">
      <c r="R47" s="4293" t="s">
        <v>1583</v>
      </c>
      <c r="S47" s="4292">
        <f>IFERROR('8. Ремонтна програма'!J71/'8. Ремонтна програма'!J$80,0)</f>
        <v>0</v>
      </c>
      <c r="T47" s="4292">
        <f>IFERROR('8. Ремонтна програма'!K71/'8. Ремонтна програма'!K$80,0)</f>
        <v>233.00333333333325</v>
      </c>
      <c r="U47" s="4292">
        <f>IFERROR('8. Ремонтна програма'!L71/'8. Ремонтна програма'!L$80,0)</f>
        <v>1467.9209999999971</v>
      </c>
      <c r="V47" s="4292">
        <f>IFERROR('8. Ремонтна програма'!M71/'8. Ремонтна програма'!M$80,0)</f>
        <v>2519.9310500000142</v>
      </c>
      <c r="W47" s="4292">
        <f>IFERROR('8. Ремонтна програма'!N71/'8. Ремонтна програма'!N$80,0)</f>
        <v>-3704.2986435000703</v>
      </c>
      <c r="X47" s="4292">
        <f>IFERROR('8. Ремонтна програма'!O71/'8. Ремонтна програма'!O$80,0)</f>
        <v>-1778.0633488799817</v>
      </c>
      <c r="Y47" s="3505">
        <f t="shared" ref="Y47:Y48" si="114">IFERROR((T47-S47)/S47,0)</f>
        <v>0</v>
      </c>
      <c r="Z47" s="3505">
        <f t="shared" si="75"/>
        <v>-8.6310639999999257</v>
      </c>
      <c r="AK47" s="3394" t="s">
        <v>1933</v>
      </c>
      <c r="AL47" s="4301">
        <f t="shared" si="113"/>
        <v>3.5729999999999998E-2</v>
      </c>
      <c r="AM47" s="4532">
        <f t="shared" si="107"/>
        <v>6.8040000000000003E-2</v>
      </c>
      <c r="AN47" s="4532">
        <f t="shared" si="108"/>
        <v>9.7909999999999997E-2</v>
      </c>
      <c r="AO47" s="4532">
        <f t="shared" si="109"/>
        <v>0.10206</v>
      </c>
      <c r="AP47" s="4532">
        <f t="shared" si="110"/>
        <v>0.10587000000000001</v>
      </c>
      <c r="AR47" s="4301">
        <f>IFERROR('16. Необходими приходи'!D15/'16. Необходими приходи'!D18,"-")</f>
        <v>3.5730679652294678E-2</v>
      </c>
      <c r="AS47" s="4532">
        <f>IFERROR('16. Необходими приходи'!E15/'16. Необходими приходи'!E18,"-")</f>
        <v>6.8044563904132493E-2</v>
      </c>
      <c r="AT47" s="4532">
        <f>IFERROR('16. Необходими приходи'!F15/'16. Необходими приходи'!F18,"-")</f>
        <v>9.7910642385253474E-2</v>
      </c>
      <c r="AU47" s="4532">
        <f>IFERROR('16. Необходими приходи'!G15/'16. Необходими приходи'!G18,"-")</f>
        <v>0.10205906961399687</v>
      </c>
      <c r="AV47" s="4532">
        <f>IFERROR('16. Необходими приходи'!H15/'16. Необходими приходи'!H18,"-")</f>
        <v>0.10586799821767472</v>
      </c>
    </row>
    <row r="48" spans="1:48" ht="14.25" customHeight="1">
      <c r="R48" s="4293" t="s">
        <v>1584</v>
      </c>
      <c r="S48" s="4292">
        <f>IFERROR('8. Ремонтна програма'!J72/'8. Ремонтна програма'!J$80,0)</f>
        <v>0</v>
      </c>
      <c r="T48" s="4292">
        <f>IFERROR('8. Ремонтна програма'!K72/'8. Ремонтна програма'!K$80,0)</f>
        <v>21.600453333333324</v>
      </c>
      <c r="U48" s="4292">
        <f>IFERROR('8. Ремонтна програма'!L72/'8. Ремонтна програма'!L$80,0)</f>
        <v>136.08285599999971</v>
      </c>
      <c r="V48" s="4292">
        <f>IFERROR('8. Ремонтна програма'!M72/'8. Ремонтна програма'!M$80,0)</f>
        <v>233.60890280000135</v>
      </c>
      <c r="W48" s="4292">
        <f>IFERROR('8. Ремонтна програма'!N72/'8. Ремонтна програма'!N$80,0)</f>
        <v>-343.40508711600648</v>
      </c>
      <c r="X48" s="4292">
        <f>IFERROR('8. Ремонтна програма'!O72/'8. Ремонтна програма'!O$80,0)</f>
        <v>-164.8344418156783</v>
      </c>
      <c r="Y48" s="3505">
        <f t="shared" si="114"/>
        <v>0</v>
      </c>
      <c r="Z48" s="3505">
        <f t="shared" si="75"/>
        <v>-8.6310639999999239</v>
      </c>
      <c r="AK48" s="5436" t="s">
        <v>184</v>
      </c>
      <c r="AL48" s="5437"/>
      <c r="AM48" s="5437"/>
      <c r="AN48" s="5437"/>
      <c r="AO48" s="5437"/>
      <c r="AP48" s="5438"/>
      <c r="AR48" s="4524"/>
      <c r="AS48" s="4524"/>
      <c r="AT48" s="4524"/>
      <c r="AU48" s="4524"/>
      <c r="AV48" s="4525"/>
    </row>
    <row r="49" spans="18:48" ht="22.5">
      <c r="R49" s="4293" t="s">
        <v>1585</v>
      </c>
      <c r="S49" s="4292">
        <f>IFERROR('8. Ремонтна програма'!J73/'8. Ремонтна програма'!J$80,0)</f>
        <v>0</v>
      </c>
      <c r="T49" s="4292">
        <f>IFERROR('8. Ремонтна програма'!K73/'8. Ремонтна програма'!K$80,0)</f>
        <v>3.5155899999999987</v>
      </c>
      <c r="U49" s="4292">
        <f>IFERROR('8. Ремонтна програма'!L73/'8. Ремонтна програма'!L$80,0)</f>
        <v>22.148216999999953</v>
      </c>
      <c r="V49" s="4292">
        <f>IFERROR('8. Ремонтна програма'!M73/'8. Ремонтна програма'!M$80,0)</f>
        <v>38.021105850000211</v>
      </c>
      <c r="W49" s="4292">
        <f>IFERROR('8. Ремонтна програма'!N73/'8. Ремонтна програма'!N$80,0)</f>
        <v>-55.891025599501049</v>
      </c>
      <c r="X49" s="4292">
        <f>IFERROR('8. Ремонтна програма'!O73/'8. Ремонтна програма'!O$80,0)</f>
        <v>-26.827692287759717</v>
      </c>
      <c r="Y49" s="3505">
        <f t="shared" ref="Y49:Y55" si="115">IFERROR((T49-S49)/S49,0)</f>
        <v>0</v>
      </c>
      <c r="Z49" s="3505">
        <f t="shared" si="75"/>
        <v>-8.6310639999999221</v>
      </c>
      <c r="AK49" s="1425" t="s">
        <v>608</v>
      </c>
      <c r="AL49" s="3492">
        <f>AR49</f>
        <v>0.72499999999999998</v>
      </c>
      <c r="AM49" s="3492">
        <f t="shared" ref="AM49:AP49" si="116">AS49</f>
        <v>0.81</v>
      </c>
      <c r="AN49" s="3492">
        <f t="shared" si="116"/>
        <v>0.88900000000000001</v>
      </c>
      <c r="AO49" s="3492">
        <f t="shared" si="116"/>
        <v>0.98499999999999999</v>
      </c>
      <c r="AP49" s="3492">
        <f t="shared" si="116"/>
        <v>1.042</v>
      </c>
      <c r="AR49" s="3492">
        <f>AL9</f>
        <v>0.72499999999999998</v>
      </c>
      <c r="AS49" s="3492">
        <f>AM9</f>
        <v>0.81</v>
      </c>
      <c r="AT49" s="3492">
        <f>AN9</f>
        <v>0.88900000000000001</v>
      </c>
      <c r="AU49" s="3492">
        <f>AO9</f>
        <v>0.98499999999999999</v>
      </c>
      <c r="AV49" s="3492">
        <f>AP9</f>
        <v>1.042</v>
      </c>
    </row>
    <row r="50" spans="18:48" ht="20.25" customHeight="1">
      <c r="R50" s="4293" t="s">
        <v>1586</v>
      </c>
      <c r="S50" s="4292">
        <f>IFERROR('8. Ремонтна програма'!J74/'8. Ремонтна програма'!J$80,0)</f>
        <v>0</v>
      </c>
      <c r="T50" s="4292">
        <f>IFERROR('8. Ремонтна програма'!K74/'8. Ремонтна програма'!K$80,0)</f>
        <v>13.586559999999995</v>
      </c>
      <c r="U50" s="4292">
        <f>IFERROR('8. Ремонтна програма'!L74/'8. Ремонтна програма'!L$80,0)</f>
        <v>85.595327999999824</v>
      </c>
      <c r="V50" s="4292">
        <f>IFERROR('8. Ремонтна програма'!M74/'8. Ремонтна програма'!M$80,0)</f>
        <v>146.93864640000083</v>
      </c>
      <c r="W50" s="4292">
        <f>IFERROR('8. Ремонтна програма'!N74/'8. Ремонтна програма'!N$80,0)</f>
        <v>-215.99981020800408</v>
      </c>
      <c r="X50" s="4292">
        <f>IFERROR('8. Ремонтна програма'!O74/'8. Ремонтна програма'!O$80,0)</f>
        <v>-103.67990889983892</v>
      </c>
      <c r="Y50" s="3505">
        <f t="shared" si="115"/>
        <v>0</v>
      </c>
      <c r="Z50" s="3505">
        <f t="shared" si="75"/>
        <v>-8.6310639999999239</v>
      </c>
      <c r="AK50" s="3394" t="s">
        <v>1928</v>
      </c>
      <c r="AL50" s="4301">
        <f>IFERROR(ROUND(AR50,5),"-")</f>
        <v>0.44869999999999999</v>
      </c>
      <c r="AM50" s="4301">
        <f t="shared" ref="AM50:AM55" si="117">IFERROR(ROUND(AS50,5),"-")</f>
        <v>0.49331999999999998</v>
      </c>
      <c r="AN50" s="4301">
        <f t="shared" ref="AN50:AN55" si="118">IFERROR(ROUND(AT50,5),"-")</f>
        <v>0.52590999999999999</v>
      </c>
      <c r="AO50" s="4301">
        <f t="shared" ref="AO50:AO55" si="119">IFERROR(ROUND(AU50,5),"-")</f>
        <v>0.60475999999999996</v>
      </c>
      <c r="AP50" s="4301">
        <f t="shared" ref="AP50:AP55" si="120">IFERROR(ROUND(AV50,5),"-")</f>
        <v>0.66659999999999997</v>
      </c>
      <c r="AR50" s="4301">
        <f>IFERROR(('12. Разходи'!T88-'12. Разходи'!T89)/AR57,"-")</f>
        <v>0.44870348846964803</v>
      </c>
      <c r="AS50" s="4301">
        <f>IFERROR(('12. Разходи'!U88-'12. Разходи'!U89)/AS57,"-")</f>
        <v>0.49332263093665291</v>
      </c>
      <c r="AT50" s="4301">
        <f>IFERROR(('12. Разходи'!V88-'12. Разходи'!V89)/AT57,"-")</f>
        <v>0.52591409706839742</v>
      </c>
      <c r="AU50" s="4301">
        <f>IFERROR(('12. Разходи'!W88-'12. Разходи'!W89)/AU57,"-")</f>
        <v>0.60475813560209057</v>
      </c>
      <c r="AV50" s="4301">
        <f>IFERROR(('12. Разходи'!X88-'12. Разходи'!X89)/AV57,"-")</f>
        <v>0.66660281209616912</v>
      </c>
    </row>
    <row r="51" spans="18:48" ht="22.5" customHeight="1">
      <c r="R51" s="4293" t="s">
        <v>1587</v>
      </c>
      <c r="S51" s="4292">
        <f>IFERROR('8. Ремонтна програма'!J75/'8. Ремонтна програма'!J$80,0)</f>
        <v>0</v>
      </c>
      <c r="T51" s="4292">
        <f>IFERROR('8. Ремонтна програма'!K75/'8. Ремонтна програма'!K$80,0)</f>
        <v>0</v>
      </c>
      <c r="U51" s="4292">
        <f>IFERROR('8. Ремонтна програма'!L75/'8. Ремонтна програма'!L$80,0)</f>
        <v>0</v>
      </c>
      <c r="V51" s="4292">
        <f>IFERROR('8. Ремонтна програма'!M75/'8. Ремонтна програма'!M$80,0)</f>
        <v>0</v>
      </c>
      <c r="W51" s="4292">
        <f>IFERROR('8. Ремонтна програма'!N75/'8. Ремонтна програма'!N$80,0)</f>
        <v>0</v>
      </c>
      <c r="X51" s="4292">
        <f>IFERROR('8. Ремонтна програма'!O75/'8. Ремонтна програма'!O$80,0)</f>
        <v>0</v>
      </c>
      <c r="Y51" s="3505">
        <f t="shared" si="115"/>
        <v>0</v>
      </c>
      <c r="Z51" s="3505">
        <f t="shared" si="75"/>
        <v>0</v>
      </c>
      <c r="AK51" s="3392" t="s">
        <v>1929</v>
      </c>
      <c r="AL51" s="4531">
        <f t="shared" ref="AL51:AL55" si="121">IFERROR(ROUND(AR51,5),"-")</f>
        <v>0.10154000000000001</v>
      </c>
      <c r="AM51" s="4531">
        <f t="shared" si="117"/>
        <v>0.11745999999999999</v>
      </c>
      <c r="AN51" s="4531">
        <f t="shared" si="118"/>
        <v>0.10761999999999999</v>
      </c>
      <c r="AO51" s="4531">
        <f t="shared" si="119"/>
        <v>0.12434000000000001</v>
      </c>
      <c r="AP51" s="4531">
        <f t="shared" si="120"/>
        <v>0.13361000000000001</v>
      </c>
      <c r="AR51" s="4531">
        <f>IFERROR('12. Разходи'!T55/AR57,"-")</f>
        <v>0.1015432565490054</v>
      </c>
      <c r="AS51" s="4531">
        <f>IFERROR('12. Разходи'!U55/AS57,"-")</f>
        <v>0.11746429361701316</v>
      </c>
      <c r="AT51" s="4531">
        <f>IFERROR('12. Разходи'!V55/AT57,"-")</f>
        <v>0.10762157118465522</v>
      </c>
      <c r="AU51" s="4531">
        <f>IFERROR('12. Разходи'!W55/AU57,"-")</f>
        <v>0.12434237039690772</v>
      </c>
      <c r="AV51" s="4531">
        <f>IFERROR('12. Разходи'!X55/AV57,"-")</f>
        <v>0.13361468836303148</v>
      </c>
    </row>
    <row r="52" spans="18:48" ht="22.5">
      <c r="R52" s="4293" t="s">
        <v>914</v>
      </c>
      <c r="S52" s="4292">
        <f>IFERROR('8. Ремонтна програма'!J76/'8. Ремонтна програма'!J$80,0)</f>
        <v>0</v>
      </c>
      <c r="T52" s="4292">
        <f>IFERROR('8. Ремонтна програма'!K76/'8. Ремонтна програма'!K$80,0)</f>
        <v>0</v>
      </c>
      <c r="U52" s="4292">
        <f>IFERROR('8. Ремонтна програма'!L76/'8. Ремонтна програма'!L$80,0)</f>
        <v>0</v>
      </c>
      <c r="V52" s="4292">
        <f>IFERROR('8. Ремонтна програма'!M76/'8. Ремонтна програма'!M$80,0)</f>
        <v>0</v>
      </c>
      <c r="W52" s="4292">
        <f>IFERROR('8. Ремонтна програма'!N76/'8. Ремонтна програма'!N$80,0)</f>
        <v>0</v>
      </c>
      <c r="X52" s="4292">
        <f>IFERROR('8. Ремонтна програма'!O76/'8. Ремонтна програма'!O$80,0)</f>
        <v>0</v>
      </c>
      <c r="Y52" s="3505">
        <f t="shared" si="115"/>
        <v>0</v>
      </c>
      <c r="Z52" s="3505">
        <f t="shared" si="75"/>
        <v>0</v>
      </c>
      <c r="AK52" s="3392" t="s">
        <v>1930</v>
      </c>
      <c r="AL52" s="4531">
        <f t="shared" si="121"/>
        <v>0.28627000000000002</v>
      </c>
      <c r="AM52" s="4531">
        <f t="shared" si="117"/>
        <v>0.31358000000000003</v>
      </c>
      <c r="AN52" s="4531">
        <f t="shared" si="118"/>
        <v>0.35326000000000002</v>
      </c>
      <c r="AO52" s="4531">
        <f t="shared" si="119"/>
        <v>0.41367999999999999</v>
      </c>
      <c r="AP52" s="4531">
        <f t="shared" si="120"/>
        <v>0.46503</v>
      </c>
      <c r="AR52" s="4531">
        <f>IFERROR(('12. Разходи'!T59+'12. Разходи'!T63)/AR57,"-")</f>
        <v>0.28626768168166489</v>
      </c>
      <c r="AS52" s="4531">
        <f>IFERROR(('12. Разходи'!U59+'12. Разходи'!U63)/AS57,"-")</f>
        <v>0.31357537014975517</v>
      </c>
      <c r="AT52" s="4531">
        <f>IFERROR(('12. Разходи'!V59+'12. Разходи'!V63)/AT57,"-")</f>
        <v>0.35325634873553408</v>
      </c>
      <c r="AU52" s="4531">
        <f>IFERROR(('12. Разходи'!W59+'12. Разходи'!W63)/AU57,"-")</f>
        <v>0.41368234226946293</v>
      </c>
      <c r="AV52" s="4531">
        <f>IFERROR(('12. Разходи'!X59+'12. Разходи'!X63)/AV57,"-")</f>
        <v>0.46502555725435124</v>
      </c>
    </row>
    <row r="53" spans="18:48" ht="33.75">
      <c r="R53" s="4293" t="s">
        <v>918</v>
      </c>
      <c r="S53" s="4292">
        <f>IFERROR('8. Ремонтна програма'!J77/'8. Ремонтна програма'!J$80,0)</f>
        <v>0</v>
      </c>
      <c r="T53" s="4292">
        <f>IFERROR('8. Ремонтна програма'!K77/'8. Ремонтна програма'!K$80,0)</f>
        <v>26.972789999999986</v>
      </c>
      <c r="U53" s="4292">
        <f>IFERROR('8. Ремонтна програма'!L77/'8. Ремонтна програма'!L$80,0)</f>
        <v>169.92857699999962</v>
      </c>
      <c r="V53" s="4292">
        <f>IFERROR('8. Ремонтна програма'!M77/'8. Ремонтна програма'!M$80,0)</f>
        <v>291.71072385000167</v>
      </c>
      <c r="W53" s="4292">
        <f>IFERROR('8. Ремонтна програма'!N77/'8. Ремонтна програма'!N$80,0)</f>
        <v>-428.81476405950809</v>
      </c>
      <c r="X53" s="4292">
        <f>IFERROR('8. Ремонтна програма'!O77/'8. Ремонтна програма'!O$80,0)</f>
        <v>-205.83108674855788</v>
      </c>
      <c r="Y53" s="3505">
        <f t="shared" si="115"/>
        <v>0</v>
      </c>
      <c r="Z53" s="3505">
        <f t="shared" si="75"/>
        <v>-8.6310639999999257</v>
      </c>
      <c r="AK53" s="3394" t="s">
        <v>1931</v>
      </c>
      <c r="AL53" s="4301">
        <f t="shared" si="121"/>
        <v>0.22408</v>
      </c>
      <c r="AM53" s="4301">
        <f t="shared" si="117"/>
        <v>0.22398000000000001</v>
      </c>
      <c r="AN53" s="4301">
        <f t="shared" si="118"/>
        <v>0.23014000000000001</v>
      </c>
      <c r="AO53" s="4301">
        <f t="shared" si="119"/>
        <v>0.24509</v>
      </c>
      <c r="AP53" s="4301">
        <f t="shared" si="120"/>
        <v>0.23882</v>
      </c>
      <c r="AR53" s="4301">
        <f>IFERROR('12. Разходи'!T89/AR57,"-")</f>
        <v>0.2240772699121904</v>
      </c>
      <c r="AS53" s="4301">
        <f>IFERROR('12. Разходи'!U89/AS57,"-")</f>
        <v>0.22397732314529928</v>
      </c>
      <c r="AT53" s="4301">
        <f>IFERROR('12. Разходи'!V89/AT57,"-")</f>
        <v>0.23013889096920681</v>
      </c>
      <c r="AU53" s="4301">
        <f>IFERROR('12. Разходи'!W89/AU57,"-")</f>
        <v>0.245088560198442</v>
      </c>
      <c r="AV53" s="4301">
        <f>IFERROR('12. Разходи'!X89/AV57,"-")</f>
        <v>0.23882084735865219</v>
      </c>
    </row>
    <row r="54" spans="18:48" ht="22.5">
      <c r="R54" s="4293" t="s">
        <v>1361</v>
      </c>
      <c r="S54" s="4292">
        <f>IFERROR('8. Ремонтна програма'!J78/'8. Ремонтна програма'!J$80,0)</f>
        <v>0</v>
      </c>
      <c r="T54" s="4292">
        <f>IFERROR('8. Ремонтна програма'!K78/'8. Ремонтна програма'!K$80,0)</f>
        <v>6.0877699999999972</v>
      </c>
      <c r="U54" s="4292">
        <f>IFERROR('8. Ремонтна програма'!L78/'8. Ремонтна програма'!L$80,0)</f>
        <v>38.352950999999919</v>
      </c>
      <c r="V54" s="4292">
        <f>IFERROR('8. Ремонтна програма'!M78/'8. Ремонтна програма'!M$80,0)</f>
        <v>65.839232550000375</v>
      </c>
      <c r="W54" s="4292">
        <f>IFERROR('8. Ремонтна програма'!N78/'8. Ремонтна програма'!N$80,0)</f>
        <v>-96.783671848501825</v>
      </c>
      <c r="X54" s="4292">
        <f>IFERROR('8. Ремонтна програма'!O78/'8. Ремонтна програма'!O$80,0)</f>
        <v>-46.456162487279521</v>
      </c>
      <c r="Y54" s="3505">
        <f t="shared" si="115"/>
        <v>0</v>
      </c>
      <c r="Z54" s="3505">
        <f t="shared" si="75"/>
        <v>-8.6310639999999257</v>
      </c>
      <c r="AK54" s="3392" t="s">
        <v>1932</v>
      </c>
      <c r="AL54" s="4531">
        <f t="shared" si="121"/>
        <v>0.14940000000000001</v>
      </c>
      <c r="AM54" s="4531">
        <f t="shared" si="117"/>
        <v>0.1474</v>
      </c>
      <c r="AN54" s="4531">
        <f t="shared" si="118"/>
        <v>0.14943000000000001</v>
      </c>
      <c r="AO54" s="4531">
        <f t="shared" si="119"/>
        <v>0.17584</v>
      </c>
      <c r="AP54" s="4531">
        <f t="shared" si="120"/>
        <v>0.17782999999999999</v>
      </c>
      <c r="AR54" s="4531">
        <f>IFERROR('12. Разходи'!T17/AR57,"-")</f>
        <v>0.1493955310570754</v>
      </c>
      <c r="AS54" s="4531">
        <f>IFERROR('12. Разходи'!U17/AS57,"-")</f>
        <v>0.14739617871600427</v>
      </c>
      <c r="AT54" s="4531">
        <f>IFERROR('12. Разходи'!V17/AT57,"-")</f>
        <v>0.14942893832840598</v>
      </c>
      <c r="AU54" s="4531">
        <f>IFERROR('12. Разходи'!W17/AU57,"-")</f>
        <v>0.17583888299556072</v>
      </c>
      <c r="AV54" s="4531">
        <f>IFERROR('12. Разходи'!X17/AV57,"-")</f>
        <v>0.17783358497294682</v>
      </c>
    </row>
    <row r="55" spans="18:48" ht="22.5">
      <c r="R55" s="4293" t="s">
        <v>1582</v>
      </c>
      <c r="S55" s="4292">
        <f>IFERROR('8. Ремонтна програма'!J79/'8. Ремонтна програма'!J$80,0)</f>
        <v>0</v>
      </c>
      <c r="T55" s="4292">
        <f>IFERROR('8. Ремонтна програма'!K79/'8. Ремонтна програма'!K$80,0)</f>
        <v>309.92840666666655</v>
      </c>
      <c r="U55" s="4292">
        <f>IFERROR('8. Ремонтна програма'!L79/'8. Ремонтна програма'!L$80,0)</f>
        <v>1952.548961999996</v>
      </c>
      <c r="V55" s="4292">
        <f>IFERROR('8. Ремонтна програма'!M79/'8. Ремонтна програма'!M$80,0)</f>
        <v>3351.8757181000187</v>
      </c>
      <c r="W55" s="4292">
        <f>IFERROR('8. Ремонтна програма'!N79/'8. Ремонтна програма'!N$80,0)</f>
        <v>-4927.2573056070942</v>
      </c>
      <c r="X55" s="4292">
        <f>IFERROR('8. Ремонтна програма'!O79/'8. Ремонтна програма'!O$80,0)</f>
        <v>-2365.0835066913355</v>
      </c>
      <c r="Y55" s="3505">
        <f t="shared" si="115"/>
        <v>0</v>
      </c>
      <c r="Z55" s="3505">
        <f t="shared" si="75"/>
        <v>-8.6310639999999239</v>
      </c>
      <c r="AK55" s="3394" t="s">
        <v>1933</v>
      </c>
      <c r="AL55" s="4301">
        <f t="shared" si="121"/>
        <v>5.1970000000000002E-2</v>
      </c>
      <c r="AM55" s="4532">
        <f t="shared" si="117"/>
        <v>9.2960000000000001E-2</v>
      </c>
      <c r="AN55" s="4532">
        <f t="shared" si="118"/>
        <v>0.13317000000000001</v>
      </c>
      <c r="AO55" s="4532">
        <f t="shared" si="119"/>
        <v>0.13541</v>
      </c>
      <c r="AP55" s="4532">
        <f t="shared" si="120"/>
        <v>0.13614000000000001</v>
      </c>
      <c r="AR55" s="4301">
        <f>IFERROR('16. Необходими приходи'!D23/AR57,"-")</f>
        <v>5.1966999281069737E-2</v>
      </c>
      <c r="AS55" s="4301">
        <f>IFERROR('16. Необходими приходи'!E23/AS57,"-")</f>
        <v>9.2959162405173157E-2</v>
      </c>
      <c r="AT55" s="4301">
        <f>IFERROR('16. Необходими приходи'!F23/AT57,"-")</f>
        <v>0.13317445640164438</v>
      </c>
      <c r="AU55" s="4301">
        <f>IFERROR('16. Необходими приходи'!G23/AU57,"-")</f>
        <v>0.13540599496124139</v>
      </c>
      <c r="AV55" s="4301">
        <f>IFERROR('16. Необходими приходи'!H23/AV57,"-")</f>
        <v>0.13614307884167814</v>
      </c>
    </row>
    <row r="56" spans="18:48">
      <c r="AK56" s="1295"/>
      <c r="AL56"/>
      <c r="AM56"/>
      <c r="AN56"/>
      <c r="AO56"/>
      <c r="AP56"/>
      <c r="AQ56"/>
      <c r="AR56"/>
      <c r="AS56"/>
      <c r="AT56"/>
      <c r="AU56"/>
      <c r="AV56"/>
    </row>
    <row r="57" spans="18:48">
      <c r="AK57" s="1"/>
      <c r="AL57" s="3112"/>
      <c r="AM57" s="3112"/>
      <c r="AN57" s="3112"/>
      <c r="AO57" s="3112"/>
      <c r="AP57" s="3112"/>
      <c r="AQ57" s="4526" t="s">
        <v>1934</v>
      </c>
      <c r="AR57" s="4527">
        <f>'16.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f>
        <v>4600.5891837435183</v>
      </c>
      <c r="AS57" s="4527">
        <f>'16.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f>
        <v>4662.9937781838316</v>
      </c>
      <c r="AT57" s="4527">
        <f>'16.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f>
        <v>4599.5606471503988</v>
      </c>
      <c r="AU57" s="4527">
        <f>'16.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f>
        <v>4540.918013794244</v>
      </c>
      <c r="AV57" s="4527">
        <f>'16.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f>
        <v>4489.984000724432</v>
      </c>
    </row>
    <row r="58" spans="18:48">
      <c r="AK58" s="1" t="s">
        <v>1935</v>
      </c>
      <c r="AL58" s="3112"/>
      <c r="AM58" s="3112"/>
      <c r="AN58" s="3112"/>
      <c r="AO58" s="3112"/>
      <c r="AP58" s="3112"/>
      <c r="AQ58" s="4528"/>
      <c r="AR58" s="3112"/>
      <c r="AS58" s="3112"/>
      <c r="AT58" s="3112"/>
      <c r="AU58" s="3112"/>
      <c r="AV58" s="3112"/>
    </row>
    <row r="59" spans="18:48">
      <c r="AK59" s="4529" t="s">
        <v>1936</v>
      </c>
      <c r="AL59" s="4530">
        <f>IFERROR(AL33-AL34-AL37-AL39,0)</f>
        <v>-3.4999999999982268E-4</v>
      </c>
      <c r="AM59" s="4530">
        <f t="shared" ref="AM59:AP59" si="122">IFERROR(AM33-AM34-AM37-AM39,0)</f>
        <v>2.1999999999994246E-4</v>
      </c>
      <c r="AN59" s="4530">
        <f t="shared" si="122"/>
        <v>-6.9999999999459384E-5</v>
      </c>
      <c r="AO59" s="4530">
        <f t="shared" si="122"/>
        <v>-2.8999999999995696E-4</v>
      </c>
      <c r="AP59" s="4530">
        <f t="shared" si="122"/>
        <v>-4.4000000000044004E-4</v>
      </c>
      <c r="AQ59" s="3112"/>
      <c r="AR59" s="3112"/>
      <c r="AS59" s="3112"/>
      <c r="AT59" s="3112"/>
      <c r="AU59" s="3112"/>
      <c r="AV59" s="3112"/>
    </row>
    <row r="60" spans="18:48">
      <c r="AK60" s="4529" t="s">
        <v>1937</v>
      </c>
      <c r="AL60" s="4530">
        <f>IFERROR(AL41-AL42-AL45-AL47,0)</f>
        <v>5.000000000001531E-5</v>
      </c>
      <c r="AM60" s="4530">
        <f t="shared" ref="AM60:AP60" si="123">IFERROR(AM41-AM42-AM45-AM47,0)</f>
        <v>-2.2000000000002573E-4</v>
      </c>
      <c r="AN60" s="4530">
        <f t="shared" si="123"/>
        <v>-3.7999999999999146E-4</v>
      </c>
      <c r="AO60" s="4530">
        <f t="shared" si="123"/>
        <v>4.699999999999982E-4</v>
      </c>
      <c r="AP60" s="4530">
        <f t="shared" si="123"/>
        <v>1.9000000000000961E-4</v>
      </c>
      <c r="AQ60" s="3112"/>
      <c r="AR60" s="3112"/>
      <c r="AS60" s="3112"/>
      <c r="AT60" s="3112"/>
      <c r="AU60" s="3112"/>
      <c r="AV60" s="3112"/>
    </row>
    <row r="61" spans="18:48">
      <c r="AK61" s="4529" t="s">
        <v>1938</v>
      </c>
      <c r="AL61" s="4530">
        <f>IFERROR(AL49-AL50-AL53-AL55,0)</f>
        <v>2.4999999999998634E-4</v>
      </c>
      <c r="AM61" s="4530">
        <f t="shared" ref="AM61:AP61" si="124">IFERROR(AM49-AM50-AM53-AM55,0)</f>
        <v>-2.5999999999994083E-4</v>
      </c>
      <c r="AN61" s="4530">
        <f t="shared" si="124"/>
        <v>-2.1999999999999797E-4</v>
      </c>
      <c r="AO61" s="4530">
        <f t="shared" si="124"/>
        <v>-2.5999999999998247E-4</v>
      </c>
      <c r="AP61" s="4530">
        <f t="shared" si="124"/>
        <v>4.4000000000005146E-4</v>
      </c>
      <c r="AQ61" s="3112"/>
      <c r="AR61" s="3112"/>
      <c r="AS61" s="3112"/>
      <c r="AT61" s="3112"/>
      <c r="AU61" s="3112"/>
      <c r="AV61" s="3112"/>
    </row>
  </sheetData>
  <mergeCells count="75">
    <mergeCell ref="AK40:AP40"/>
    <mergeCell ref="AK48:AP48"/>
    <mergeCell ref="AK32:AP32"/>
    <mergeCell ref="AV30:AV31"/>
    <mergeCell ref="AK30:AK31"/>
    <mergeCell ref="AR30:AR31"/>
    <mergeCell ref="AS30:AS31"/>
    <mergeCell ref="AT30:AT31"/>
    <mergeCell ref="AU30:AU31"/>
    <mergeCell ref="AL30:AL31"/>
    <mergeCell ref="AM30:AM31"/>
    <mergeCell ref="AN30:AN31"/>
    <mergeCell ref="AO30:AO31"/>
    <mergeCell ref="AP30:AP31"/>
    <mergeCell ref="O35:O36"/>
    <mergeCell ref="P35:P36"/>
    <mergeCell ref="O2:O3"/>
    <mergeCell ref="P2:P3"/>
    <mergeCell ref="O13:O14"/>
    <mergeCell ref="P13:P14"/>
    <mergeCell ref="O24:O25"/>
    <mergeCell ref="P24:P25"/>
    <mergeCell ref="R8:R9"/>
    <mergeCell ref="S8:X8"/>
    <mergeCell ref="Y8:Y9"/>
    <mergeCell ref="Z8:Z9"/>
    <mergeCell ref="R2:R3"/>
    <mergeCell ref="S2:X2"/>
    <mergeCell ref="Y2:Y3"/>
    <mergeCell ref="Z2:Z3"/>
    <mergeCell ref="A2:A3"/>
    <mergeCell ref="B2:B3"/>
    <mergeCell ref="C2:H2"/>
    <mergeCell ref="I2:N2"/>
    <mergeCell ref="A13:A14"/>
    <mergeCell ref="B13:B14"/>
    <mergeCell ref="C13:H13"/>
    <mergeCell ref="I13:N13"/>
    <mergeCell ref="A24:A25"/>
    <mergeCell ref="B24:B25"/>
    <mergeCell ref="C24:H24"/>
    <mergeCell ref="I24:N24"/>
    <mergeCell ref="A35:A36"/>
    <mergeCell ref="B35:B36"/>
    <mergeCell ref="C35:H35"/>
    <mergeCell ref="I35:N35"/>
    <mergeCell ref="AC18:AG18"/>
    <mergeCell ref="AB21:AB22"/>
    <mergeCell ref="AC21:AG21"/>
    <mergeCell ref="AK2:AK3"/>
    <mergeCell ref="AL2:AL3"/>
    <mergeCell ref="AK19:AK20"/>
    <mergeCell ref="AL19:AL20"/>
    <mergeCell ref="AK6:AP6"/>
    <mergeCell ref="AK8:AP8"/>
    <mergeCell ref="AK14:AP14"/>
    <mergeCell ref="AK16:AP16"/>
    <mergeCell ref="AM19:AN19"/>
    <mergeCell ref="AO19:AS19"/>
    <mergeCell ref="AB31:AB32"/>
    <mergeCell ref="AC31:AG31"/>
    <mergeCell ref="AM2:AM3"/>
    <mergeCell ref="AN2:AN3"/>
    <mergeCell ref="AO2:AO3"/>
    <mergeCell ref="AB25:AB26"/>
    <mergeCell ref="AC25:AG25"/>
    <mergeCell ref="AK4:AP4"/>
    <mergeCell ref="AB2:AB3"/>
    <mergeCell ref="AC2:AG2"/>
    <mergeCell ref="AB5:AB6"/>
    <mergeCell ref="AC5:AG5"/>
    <mergeCell ref="AB10:AB11"/>
    <mergeCell ref="AC10:AG10"/>
    <mergeCell ref="AP2:AP3"/>
    <mergeCell ref="AB18:AB19"/>
  </mergeCells>
  <conditionalFormatting sqref="S17:X30">
    <cfRule type="top10" dxfId="7" priority="9" rank="7"/>
  </conditionalFormatting>
  <conditionalFormatting sqref="S34:X45">
    <cfRule type="top10" dxfId="6" priority="6" rank="7"/>
  </conditionalFormatting>
  <conditionalFormatting sqref="S47:X55">
    <cfRule type="top10" dxfId="5" priority="3" rank="7"/>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5" id="{3B33B46F-49AB-4B66-823F-64CA0C418D1F}">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S34:X45</xm:sqref>
        </x14:conditionalFormatting>
        <x14:conditionalFormatting xmlns:xm="http://schemas.microsoft.com/office/excel/2006/main">
          <x14:cfRule type="iconSet" priority="2" id="{4B08CA2C-BFA3-4D22-96AA-463DC6F97126}">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S47:X55</xm:sqref>
        </x14:conditionalFormatting>
        <x14:conditionalFormatting xmlns:xm="http://schemas.microsoft.com/office/excel/2006/main">
          <x14:cfRule type="iconSet" priority="7" id="{A2384BB8-5CD9-496B-860D-680263816071}">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S17:Z30</xm:sqref>
        </x14:conditionalFormatting>
        <x14:conditionalFormatting xmlns:xm="http://schemas.microsoft.com/office/excel/2006/main">
          <x14:cfRule type="iconSet" priority="4" id="{4A1E654C-25EF-438E-A7C9-3A2B5928C4DB}">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Y34:Z45</xm:sqref>
        </x14:conditionalFormatting>
        <x14:conditionalFormatting xmlns:xm="http://schemas.microsoft.com/office/excel/2006/main">
          <x14:cfRule type="iconSet" priority="1" id="{A3B06CC4-4385-4742-B14F-086F01E9C3E5}">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Y47:Z55</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V61"/>
  <sheetViews>
    <sheetView zoomScaleNormal="100" workbookViewId="0">
      <selection activeCell="AL34" sqref="AL34"/>
    </sheetView>
  </sheetViews>
  <sheetFormatPr defaultColWidth="9.140625" defaultRowHeight="12.75"/>
  <cols>
    <col min="1" max="1" width="32" style="11" customWidth="1"/>
    <col min="2" max="2" width="4.85546875" style="4286" customWidth="1"/>
    <col min="3" max="10" width="5" style="11" customWidth="1"/>
    <col min="11" max="11" width="5" style="3381" customWidth="1"/>
    <col min="12" max="14" width="5" style="11" customWidth="1"/>
    <col min="15" max="15" width="6.85546875" style="11" customWidth="1"/>
    <col min="16" max="16" width="6.42578125" style="11" customWidth="1"/>
    <col min="17" max="17" width="4.5703125" style="11" customWidth="1"/>
    <col min="18" max="18" width="26.5703125" style="11" customWidth="1"/>
    <col min="19" max="24" width="6.5703125" style="11" customWidth="1"/>
    <col min="25" max="26" width="7" style="11" customWidth="1"/>
    <col min="27" max="27" width="4.42578125" style="11" customWidth="1"/>
    <col min="28" max="28" width="39.5703125" style="709" customWidth="1"/>
    <col min="29" max="35" width="9.140625" style="4216"/>
    <col min="36" max="36" width="5.42578125" style="11" customWidth="1"/>
    <col min="37" max="37" width="39.5703125" style="709" customWidth="1"/>
    <col min="38" max="16384" width="9.140625" style="11"/>
  </cols>
  <sheetData>
    <row r="1" spans="1:42" ht="15.75">
      <c r="A1" s="3430" t="s">
        <v>877</v>
      </c>
      <c r="R1" s="3430" t="s">
        <v>1403</v>
      </c>
      <c r="AB1" s="3485" t="s">
        <v>1700</v>
      </c>
      <c r="AK1" s="3485" t="s">
        <v>1701</v>
      </c>
      <c r="AL1" s="4216"/>
      <c r="AM1" s="4216"/>
      <c r="AN1" s="4216"/>
      <c r="AO1" s="4216"/>
      <c r="AP1" s="4216"/>
    </row>
    <row r="2" spans="1:42" ht="12.6" customHeight="1">
      <c r="A2" s="5432" t="s">
        <v>2</v>
      </c>
      <c r="B2" s="5440" t="s">
        <v>1538</v>
      </c>
      <c r="C2" s="5442" t="s">
        <v>207</v>
      </c>
      <c r="D2" s="5443"/>
      <c r="E2" s="5443"/>
      <c r="F2" s="5443"/>
      <c r="G2" s="5443"/>
      <c r="H2" s="5444"/>
      <c r="I2" s="5442" t="s">
        <v>208</v>
      </c>
      <c r="J2" s="5443"/>
      <c r="K2" s="5443"/>
      <c r="L2" s="5443"/>
      <c r="M2" s="5443"/>
      <c r="N2" s="5444"/>
      <c r="O2" s="5432" t="str">
        <f>CONCATENATE("Изменение ", H3,"спрямо ",D3)</f>
        <v>Изменение 2031 г.спрямо 2027 г.</v>
      </c>
      <c r="P2" s="5432" t="str">
        <f>CONCATENATE("Изменение ", N3,"спрямо ",J3)</f>
        <v>Изменение 2031 г.спрямо 2027 г.</v>
      </c>
      <c r="R2" s="5432" t="s">
        <v>1727</v>
      </c>
      <c r="S2" s="5448" t="s">
        <v>1563</v>
      </c>
      <c r="T2" s="5448"/>
      <c r="U2" s="5448"/>
      <c r="V2" s="5448"/>
      <c r="W2" s="5448"/>
      <c r="X2" s="5448"/>
      <c r="Y2" s="5432" t="str">
        <f>CONCATENATE("Изменение ", T3,"спрямо ",S3)</f>
        <v>Изменение 2027 г.спрямо 2024 г.</v>
      </c>
      <c r="Z2" s="5432" t="str">
        <f>CONCATENATE("Изменение ", X3,"спрямо ",T3)</f>
        <v>Изменение 2031 г.спрямо 2027 г.</v>
      </c>
      <c r="AB2" s="5431" t="s">
        <v>1705</v>
      </c>
      <c r="AC2" s="5431" t="s">
        <v>210</v>
      </c>
      <c r="AD2" s="5431"/>
      <c r="AE2" s="5431"/>
      <c r="AF2" s="5431"/>
      <c r="AG2" s="5431"/>
      <c r="AH2" s="11"/>
      <c r="AI2" s="11"/>
      <c r="AK2" s="5431" t="s">
        <v>1909</v>
      </c>
      <c r="AL2" s="5432" t="str">
        <f>+'15. ОПП'!$C$7</f>
        <v>2027 г.</v>
      </c>
      <c r="AM2" s="5432" t="str">
        <f>+'15. ОПП'!$D$7</f>
        <v>2028 г.</v>
      </c>
      <c r="AN2" s="5432" t="str">
        <f>+'15. ОПП'!$E$7</f>
        <v>2029 г.</v>
      </c>
      <c r="AO2" s="5432" t="str">
        <f>+'15. ОПП'!$F$7</f>
        <v>2030 г.</v>
      </c>
      <c r="AP2" s="5432" t="str">
        <f>+'15. ОПП'!$G$7</f>
        <v>2031 г.</v>
      </c>
    </row>
    <row r="3" spans="1:42" ht="27.75" customHeight="1">
      <c r="A3" s="5433"/>
      <c r="B3" s="5441"/>
      <c r="C3" s="4287" t="str">
        <f>+'15. ОПП'!$B$7</f>
        <v>2024 г.</v>
      </c>
      <c r="D3" s="4287" t="str">
        <f>+'15. ОПП'!$C$7</f>
        <v>2027 г.</v>
      </c>
      <c r="E3" s="4287" t="str">
        <f>+'15. ОПП'!$D$7</f>
        <v>2028 г.</v>
      </c>
      <c r="F3" s="4287" t="str">
        <f>+'15. ОПП'!$E$7</f>
        <v>2029 г.</v>
      </c>
      <c r="G3" s="4287" t="str">
        <f>+'15. ОПП'!$F$7</f>
        <v>2030 г.</v>
      </c>
      <c r="H3" s="4287" t="str">
        <f>+'15. ОПП'!$G$7</f>
        <v>2031 г.</v>
      </c>
      <c r="I3" s="4287" t="str">
        <f>+'15. ОПП'!$B$7</f>
        <v>2024 г.</v>
      </c>
      <c r="J3" s="4287" t="str">
        <f>+'15. ОПП'!$C$7</f>
        <v>2027 г.</v>
      </c>
      <c r="K3" s="4287" t="str">
        <f>+'15. ОПП'!$D$7</f>
        <v>2028 г.</v>
      </c>
      <c r="L3" s="4287" t="str">
        <f>+'15. ОПП'!$E$7</f>
        <v>2029 г.</v>
      </c>
      <c r="M3" s="4287" t="str">
        <f>+'15. ОПП'!$F$7</f>
        <v>2030 г.</v>
      </c>
      <c r="N3" s="4287" t="str">
        <f>+'15. ОПП'!$G$7</f>
        <v>2031 г.</v>
      </c>
      <c r="O3" s="5433"/>
      <c r="P3" s="5433"/>
      <c r="R3" s="5433"/>
      <c r="S3" s="4220" t="str">
        <f>+'15. ОПП'!$B$7</f>
        <v>2024 г.</v>
      </c>
      <c r="T3" s="4220" t="str">
        <f>+'15. ОПП'!$C$7</f>
        <v>2027 г.</v>
      </c>
      <c r="U3" s="4220" t="str">
        <f>+'15. ОПП'!$D$7</f>
        <v>2028 г.</v>
      </c>
      <c r="V3" s="4220" t="str">
        <f>+'15. ОПП'!$E$7</f>
        <v>2029 г.</v>
      </c>
      <c r="W3" s="4220" t="str">
        <f>+'15. ОПП'!$F$7</f>
        <v>2030 г.</v>
      </c>
      <c r="X3" s="4220" t="str">
        <f>+'15. ОПП'!$G$7</f>
        <v>2031 г.</v>
      </c>
      <c r="Y3" s="5433"/>
      <c r="Z3" s="5433"/>
      <c r="AB3" s="5431"/>
      <c r="AC3" s="4220" t="str">
        <f>+'15. ОПП'!$C$7</f>
        <v>2027 г.</v>
      </c>
      <c r="AD3" s="4220" t="str">
        <f>+'15. ОПП'!$D$7</f>
        <v>2028 г.</v>
      </c>
      <c r="AE3" s="4220" t="str">
        <f>+'15. ОПП'!$E$7</f>
        <v>2029 г.</v>
      </c>
      <c r="AF3" s="4220" t="str">
        <f>+'15. ОПП'!$F$7</f>
        <v>2030 г.</v>
      </c>
      <c r="AG3" s="4220" t="str">
        <f>+'15. ОПП'!$G$7</f>
        <v>2031 г.</v>
      </c>
      <c r="AH3" s="11"/>
      <c r="AI3" s="11"/>
      <c r="AK3" s="5431"/>
      <c r="AL3" s="5433" t="str">
        <f>+'15. ОПП'!$C$7</f>
        <v>2027 г.</v>
      </c>
      <c r="AM3" s="5433" t="str">
        <f>+'15. ОПП'!$D$7</f>
        <v>2028 г.</v>
      </c>
      <c r="AN3" s="5433" t="str">
        <f>+'15. ОПП'!$E$7</f>
        <v>2029 г.</v>
      </c>
      <c r="AO3" s="5433" t="str">
        <f>+'15. ОПП'!$F$7</f>
        <v>2030 г.</v>
      </c>
      <c r="AP3" s="5433" t="str">
        <f>+'15. ОПП'!$G$7</f>
        <v>2031 г.</v>
      </c>
    </row>
    <row r="4" spans="1:42" ht="15.95" customHeight="1">
      <c r="A4" s="3382" t="s">
        <v>1543</v>
      </c>
      <c r="B4" s="3486" t="s">
        <v>676</v>
      </c>
      <c r="C4" s="3487">
        <f>'5. Персонал'!C11</f>
        <v>512</v>
      </c>
      <c r="D4" s="3487">
        <f>'5. Персонал'!D11</f>
        <v>508</v>
      </c>
      <c r="E4" s="3487">
        <f>'5. Персонал'!E11</f>
        <v>508</v>
      </c>
      <c r="F4" s="3487">
        <f>'5. Персонал'!F11</f>
        <v>508</v>
      </c>
      <c r="G4" s="3487">
        <f>'5. Персонал'!G11</f>
        <v>518</v>
      </c>
      <c r="H4" s="3487">
        <f>'5. Персонал'!H11</f>
        <v>518</v>
      </c>
      <c r="I4" s="3487">
        <f>'5. Персонал'!I11</f>
        <v>19</v>
      </c>
      <c r="J4" s="3487">
        <f>'5. Персонал'!J11</f>
        <v>16</v>
      </c>
      <c r="K4" s="3487">
        <f>'5. Персонал'!K11</f>
        <v>16</v>
      </c>
      <c r="L4" s="3487">
        <f>'5. Персонал'!L11</f>
        <v>16</v>
      </c>
      <c r="M4" s="3487">
        <f>'5. Персонал'!M11</f>
        <v>16</v>
      </c>
      <c r="N4" s="3487">
        <f>'5. Персонал'!N11</f>
        <v>16</v>
      </c>
      <c r="O4" s="4215">
        <f>IFERROR((H4-D4)/D4,0)</f>
        <v>1.968503937007874E-2</v>
      </c>
      <c r="P4" s="4215">
        <f>IFERROR((N4-J4)/J4,0)</f>
        <v>0</v>
      </c>
      <c r="R4" s="4234" t="s">
        <v>207</v>
      </c>
      <c r="S4" s="3526">
        <f>'8. Ремонтна програма'!D24</f>
        <v>8266</v>
      </c>
      <c r="T4" s="3526">
        <f>'8. Ремонтна програма'!E24</f>
        <v>9092.6000000000022</v>
      </c>
      <c r="U4" s="3526">
        <f>'8. Ремонтна програма'!F24</f>
        <v>9547.23</v>
      </c>
      <c r="V4" s="3526">
        <f>'8. Ремонтна програма'!G24</f>
        <v>9833.6469000000016</v>
      </c>
      <c r="W4" s="3526">
        <f>'8. Ремонтна програма'!H24</f>
        <v>9341.9645549999987</v>
      </c>
      <c r="X4" s="3526">
        <f>'8. Ремонтна програма'!I24</f>
        <v>8968.2859727999985</v>
      </c>
      <c r="Y4" s="4288">
        <f>IFERROR((T4-S4)/S4,0)</f>
        <v>0.10000000000000027</v>
      </c>
      <c r="Z4" s="4227">
        <f>IFERROR((X4-T4)/T4,0)</f>
        <v>-1.3672000000000403E-2</v>
      </c>
      <c r="AB4" s="3488" t="s">
        <v>1707</v>
      </c>
      <c r="AC4" s="3489">
        <f>'4. Отчет и прогн. потребление'!E20/1000</f>
        <v>7626.6443333333327</v>
      </c>
      <c r="AD4" s="3489">
        <f>'4. Отчет и прогн. потребление'!F20/1000</f>
        <v>7672.8260252977134</v>
      </c>
      <c r="AE4" s="3489">
        <f>'4. Отчет и прогн. потребление'!G20/1000</f>
        <v>7587.4082529848583</v>
      </c>
      <c r="AF4" s="3489">
        <f>'4. Отчет и прогн. потребление'!H20/1000</f>
        <v>7737.4424578720045</v>
      </c>
      <c r="AG4" s="3489">
        <f>'4. Отчет и прогн. потребление'!I20/1000</f>
        <v>8199.5852979929332</v>
      </c>
      <c r="AH4" s="11"/>
      <c r="AI4" s="11"/>
      <c r="AK4" s="5436" t="s">
        <v>207</v>
      </c>
      <c r="AL4" s="5437"/>
      <c r="AM4" s="5437"/>
      <c r="AN4" s="5437"/>
      <c r="AO4" s="5437"/>
      <c r="AP4" s="5438"/>
    </row>
    <row r="5" spans="1:42" ht="14.1" customHeight="1">
      <c r="A5" s="3379" t="s">
        <v>1536</v>
      </c>
      <c r="B5" s="3490" t="s">
        <v>1541</v>
      </c>
      <c r="C5" s="3491">
        <f>'5. Персонал'!C14</f>
        <v>537</v>
      </c>
      <c r="D5" s="3491">
        <f>'5. Персонал'!D14</f>
        <v>532</v>
      </c>
      <c r="E5" s="3491">
        <f>'5. Персонал'!E14</f>
        <v>532</v>
      </c>
      <c r="F5" s="3491">
        <f>'5. Персонал'!F14</f>
        <v>532</v>
      </c>
      <c r="G5" s="3491">
        <f>'5. Персонал'!G14</f>
        <v>542</v>
      </c>
      <c r="H5" s="3491">
        <f>'5. Персонал'!H14</f>
        <v>542</v>
      </c>
      <c r="I5" s="3491">
        <f>'5. Персонал'!I14</f>
        <v>19</v>
      </c>
      <c r="J5" s="3491">
        <f>'5. Персонал'!J14</f>
        <v>16</v>
      </c>
      <c r="K5" s="3491">
        <f>'5. Персонал'!K14</f>
        <v>16</v>
      </c>
      <c r="L5" s="3491">
        <f>'5. Персонал'!L14</f>
        <v>16</v>
      </c>
      <c r="M5" s="3491">
        <f>'5. Персонал'!M14</f>
        <v>16</v>
      </c>
      <c r="N5" s="3491">
        <f>'5. Персонал'!N14</f>
        <v>16</v>
      </c>
      <c r="O5" s="4215">
        <f t="shared" ref="O5:O12" si="0">IFERROR((H5-D5)/D5,0)</f>
        <v>1.8796992481203006E-2</v>
      </c>
      <c r="P5" s="4215">
        <f t="shared" ref="P5:P12" si="1">IFERROR((N5-J5)/J5,0)</f>
        <v>0</v>
      </c>
      <c r="R5" s="4234" t="s">
        <v>174</v>
      </c>
      <c r="S5" s="3526">
        <f>'8. Ремонтна програма'!D53</f>
        <v>345</v>
      </c>
      <c r="T5" s="3526">
        <f>'8. Ремонтна програма'!E53</f>
        <v>379.50000000000006</v>
      </c>
      <c r="U5" s="3526">
        <f>'8. Ремонтна програма'!F53</f>
        <v>398.47500000000002</v>
      </c>
      <c r="V5" s="3526">
        <f>'8. Ремонтна програма'!G53</f>
        <v>410.42924999999997</v>
      </c>
      <c r="W5" s="3526">
        <f>'8. Ремонтна програма'!H53</f>
        <v>402.22066499999994</v>
      </c>
      <c r="X5" s="3526">
        <f>'8. Ремонтна програма'!I53</f>
        <v>386.13183839999999</v>
      </c>
      <c r="Y5" s="4288">
        <f t="shared" ref="Y5:Y7" si="2">IFERROR((T5-S5)/S5,0)</f>
        <v>0.10000000000000016</v>
      </c>
      <c r="Z5" s="4227">
        <f t="shared" ref="Z5:Z7" si="3">IFERROR((X5-T5)/T5,0)</f>
        <v>1.7475199999999826E-2</v>
      </c>
      <c r="AB5" s="5431" t="s">
        <v>1705</v>
      </c>
      <c r="AC5" s="5431" t="s">
        <v>174</v>
      </c>
      <c r="AD5" s="5431"/>
      <c r="AE5" s="5431"/>
      <c r="AF5" s="5431"/>
      <c r="AG5" s="5431"/>
      <c r="AH5" s="11"/>
      <c r="AI5" s="11"/>
      <c r="AK5" s="1425" t="s">
        <v>608</v>
      </c>
      <c r="AL5" s="3492">
        <f>'20.Цени '!J10</f>
        <v>2.3130000000000002</v>
      </c>
      <c r="AM5" s="3492">
        <f>'20.Цени '!K10</f>
        <v>2.4910000000000001</v>
      </c>
      <c r="AN5" s="3492">
        <f>'20.Цени '!L10</f>
        <v>2.7320000000000002</v>
      </c>
      <c r="AO5" s="3492">
        <f>'20.Цени '!M10</f>
        <v>2.93</v>
      </c>
      <c r="AP5" s="3492">
        <f>'20.Цени '!N10</f>
        <v>2.9390000000000001</v>
      </c>
    </row>
    <row r="6" spans="1:42" ht="17.25" customHeight="1">
      <c r="A6" s="3385" t="s">
        <v>1546</v>
      </c>
      <c r="B6" s="3493" t="s">
        <v>170</v>
      </c>
      <c r="C6" s="3494"/>
      <c r="D6" s="3495">
        <f>IFERROR((D5-C5)/C5,0)</f>
        <v>-9.3109869646182501E-3</v>
      </c>
      <c r="E6" s="3495">
        <f t="shared" ref="E6:H6" si="4">IFERROR((E5-D5)/D5,0)</f>
        <v>0</v>
      </c>
      <c r="F6" s="3495">
        <f t="shared" si="4"/>
        <v>0</v>
      </c>
      <c r="G6" s="3495">
        <f t="shared" si="4"/>
        <v>1.8796992481203006E-2</v>
      </c>
      <c r="H6" s="3495">
        <f t="shared" si="4"/>
        <v>0</v>
      </c>
      <c r="I6" s="3494"/>
      <c r="J6" s="3496">
        <f>IFERROR((J5-I5)/I5,0)</f>
        <v>-0.15789473684210525</v>
      </c>
      <c r="K6" s="3496">
        <f t="shared" ref="K6:N6" si="5">IFERROR((K5-J5)/J5,0)</f>
        <v>0</v>
      </c>
      <c r="L6" s="3496">
        <f t="shared" si="5"/>
        <v>0</v>
      </c>
      <c r="M6" s="3496">
        <f t="shared" si="5"/>
        <v>0</v>
      </c>
      <c r="N6" s="3496">
        <f t="shared" si="5"/>
        <v>0</v>
      </c>
      <c r="O6" s="4215">
        <f t="shared" si="0"/>
        <v>-1</v>
      </c>
      <c r="P6" s="4215">
        <f t="shared" si="1"/>
        <v>-1</v>
      </c>
      <c r="R6" s="4234" t="s">
        <v>184</v>
      </c>
      <c r="S6" s="3526">
        <f>'8. Ремонтна програма'!D79</f>
        <v>57</v>
      </c>
      <c r="T6" s="3526">
        <f>'8. Ремонтна програма'!E79</f>
        <v>74.099999999999994</v>
      </c>
      <c r="U6" s="3526">
        <f>'8. Ремонтна програма'!F79</f>
        <v>77.805000000000007</v>
      </c>
      <c r="V6" s="3526">
        <f>'8. Ремонтна програма'!G79</f>
        <v>80.139150000000015</v>
      </c>
      <c r="W6" s="3526">
        <f>'8. Ремонтна програма'!H79</f>
        <v>78.536367000000013</v>
      </c>
      <c r="X6" s="3526">
        <f>'8. Ремонтна програма'!I79</f>
        <v>75.394912320000003</v>
      </c>
      <c r="Y6" s="4288">
        <f t="shared" si="2"/>
        <v>0.29999999999999988</v>
      </c>
      <c r="Z6" s="4227">
        <f t="shared" si="3"/>
        <v>1.7475200000000121E-2</v>
      </c>
      <c r="AB6" s="5431"/>
      <c r="AC6" s="4220" t="str">
        <f>+'15. ОПП'!$C$7</f>
        <v>2027 г.</v>
      </c>
      <c r="AD6" s="4220" t="str">
        <f>+'15. ОПП'!$D$7</f>
        <v>2028 г.</v>
      </c>
      <c r="AE6" s="4220" t="str">
        <f>+'15. ОПП'!$E$7</f>
        <v>2029 г.</v>
      </c>
      <c r="AF6" s="4220" t="str">
        <f>+'15. ОПП'!$F$7</f>
        <v>2030 г.</v>
      </c>
      <c r="AG6" s="4220" t="str">
        <f>+'15. ОПП'!$G$7</f>
        <v>2031 г.</v>
      </c>
      <c r="AH6" s="11"/>
      <c r="AI6" s="11"/>
      <c r="AK6" s="5436" t="s">
        <v>174</v>
      </c>
      <c r="AL6" s="5437"/>
      <c r="AM6" s="5437"/>
      <c r="AN6" s="5437"/>
      <c r="AO6" s="5437"/>
      <c r="AP6" s="5438"/>
    </row>
    <row r="7" spans="1:42" ht="15" customHeight="1">
      <c r="A7" s="3385" t="s">
        <v>1545</v>
      </c>
      <c r="B7" s="3493" t="s">
        <v>170</v>
      </c>
      <c r="C7" s="3494"/>
      <c r="D7" s="3495">
        <f>IFERROR((D5-$C$5)/$C$5,0)</f>
        <v>-9.3109869646182501E-3</v>
      </c>
      <c r="E7" s="3495">
        <f t="shared" ref="E7:H7" si="6">IFERROR((E5-$C$5)/$C$5,0)</f>
        <v>-9.3109869646182501E-3</v>
      </c>
      <c r="F7" s="3495">
        <f t="shared" si="6"/>
        <v>-9.3109869646182501E-3</v>
      </c>
      <c r="G7" s="3495">
        <f t="shared" si="6"/>
        <v>9.3109869646182501E-3</v>
      </c>
      <c r="H7" s="3495">
        <f t="shared" si="6"/>
        <v>9.3109869646182501E-3</v>
      </c>
      <c r="I7" s="3494"/>
      <c r="J7" s="3496">
        <f>IFERROR((J5-$I$5)/$I$5,0)</f>
        <v>-0.15789473684210525</v>
      </c>
      <c r="K7" s="3496">
        <f t="shared" ref="K7:N7" si="7">IFERROR((K5-$I$5)/$I$5,0)</f>
        <v>-0.15789473684210525</v>
      </c>
      <c r="L7" s="3495">
        <f t="shared" si="7"/>
        <v>-0.15789473684210525</v>
      </c>
      <c r="M7" s="3495">
        <f t="shared" si="7"/>
        <v>-0.15789473684210525</v>
      </c>
      <c r="N7" s="3495">
        <f t="shared" si="7"/>
        <v>-0.15789473684210525</v>
      </c>
      <c r="O7" s="4215">
        <f t="shared" si="0"/>
        <v>-2</v>
      </c>
      <c r="P7" s="4215">
        <f t="shared" si="1"/>
        <v>0</v>
      </c>
      <c r="R7" s="3392" t="s">
        <v>1236</v>
      </c>
      <c r="S7" s="3526">
        <f>'8. Ремонтна програма'!D110</f>
        <v>0</v>
      </c>
      <c r="T7" s="3526">
        <f>'8. Ремонтна програма'!E110</f>
        <v>0</v>
      </c>
      <c r="U7" s="3526">
        <f>'8. Ремонтна програма'!F110</f>
        <v>0</v>
      </c>
      <c r="V7" s="3526">
        <f>'8. Ремонтна програма'!G110</f>
        <v>0</v>
      </c>
      <c r="W7" s="3526">
        <f>'8. Ремонтна програма'!H110</f>
        <v>0</v>
      </c>
      <c r="X7" s="3526">
        <f>'8. Ремонтна програма'!I110</f>
        <v>0</v>
      </c>
      <c r="Y7" s="4288">
        <f t="shared" si="2"/>
        <v>0</v>
      </c>
      <c r="Z7" s="4227">
        <f t="shared" si="3"/>
        <v>0</v>
      </c>
      <c r="AB7" s="3488" t="s">
        <v>1695</v>
      </c>
      <c r="AC7" s="3489">
        <f>AC8+AC9</f>
        <v>5761.1480000000001</v>
      </c>
      <c r="AD7" s="3489">
        <f t="shared" ref="AD7:AG7" si="8">AD8+AD9</f>
        <v>5702.5444887824824</v>
      </c>
      <c r="AE7" s="3489">
        <f t="shared" si="8"/>
        <v>5643.9404462371531</v>
      </c>
      <c r="AF7" s="3489">
        <f t="shared" si="8"/>
        <v>5585.3364036918265</v>
      </c>
      <c r="AG7" s="3489">
        <f t="shared" si="8"/>
        <v>5534.4333120866613</v>
      </c>
      <c r="AH7" s="11"/>
      <c r="AI7" s="11"/>
      <c r="AK7" s="1425" t="s">
        <v>608</v>
      </c>
      <c r="AL7" s="3492">
        <f>'20.Цени '!J12</f>
        <v>0.185</v>
      </c>
      <c r="AM7" s="3492">
        <f>'20.Цени '!K12</f>
        <v>0.214</v>
      </c>
      <c r="AN7" s="3492">
        <f>'20.Цени '!L12</f>
        <v>0.222</v>
      </c>
      <c r="AO7" s="3492">
        <f>'20.Цени '!M12</f>
        <v>0.25</v>
      </c>
      <c r="AP7" s="3492">
        <f>'20.Цени '!N12</f>
        <v>0.26400000000000001</v>
      </c>
    </row>
    <row r="8" spans="1:42" ht="21" customHeight="1">
      <c r="A8" s="3380" t="s">
        <v>1908</v>
      </c>
      <c r="B8" s="3497" t="s">
        <v>1905</v>
      </c>
      <c r="C8" s="3498">
        <f>'5. Персонал'!AZ50</f>
        <v>8.3777602656341283</v>
      </c>
      <c r="D8" s="3498">
        <f>'5. Персонал'!BA50</f>
        <v>12.919730749851063</v>
      </c>
      <c r="E8" s="3498">
        <f>'5. Персонал'!BB50</f>
        <v>14.470098439833192</v>
      </c>
      <c r="F8" s="3498">
        <f>'5. Персонал'!BC50</f>
        <v>16.206510252613178</v>
      </c>
      <c r="G8" s="3498">
        <f>'5. Персонал'!BD50</f>
        <v>18.293621720569629</v>
      </c>
      <c r="H8" s="3498">
        <f>'5. Персонал'!BE50</f>
        <v>20.488856327037986</v>
      </c>
      <c r="I8" s="3498">
        <f>'5. Персонал'!BF50</f>
        <v>9.8760063367901143</v>
      </c>
      <c r="J8" s="3498">
        <f>'5. Персонал'!BG50</f>
        <v>15.498535148760373</v>
      </c>
      <c r="K8" s="3498">
        <f>'5. Персонал'!BH50</f>
        <v>17.358359366611619</v>
      </c>
      <c r="L8" s="3498">
        <f>'5. Персонал'!BI50</f>
        <v>19.441362490605016</v>
      </c>
      <c r="M8" s="3498">
        <f>'5. Персонал'!BJ50</f>
        <v>21.774325989477621</v>
      </c>
      <c r="N8" s="3498">
        <f>'5. Персонал'!BK50</f>
        <v>24.387245108214934</v>
      </c>
      <c r="O8" s="4215">
        <f t="shared" si="0"/>
        <v>0.58585784206642078</v>
      </c>
      <c r="P8" s="4215">
        <f t="shared" si="1"/>
        <v>0.57351936000000048</v>
      </c>
      <c r="R8" s="5432" t="s">
        <v>1727</v>
      </c>
      <c r="S8" s="5445" t="s">
        <v>1907</v>
      </c>
      <c r="T8" s="5446"/>
      <c r="U8" s="5446"/>
      <c r="V8" s="5446"/>
      <c r="W8" s="5446"/>
      <c r="X8" s="5446"/>
      <c r="Y8" s="5432" t="str">
        <f>+Y2</f>
        <v>Изменение 2027 г.спрямо 2024 г.</v>
      </c>
      <c r="Z8" s="5432" t="str">
        <f>+Z2</f>
        <v>Изменение 2031 г.спрямо 2027 г.</v>
      </c>
      <c r="AB8" s="3499" t="s">
        <v>299</v>
      </c>
      <c r="AC8" s="3489">
        <f>'4. Отчет и прогн. потребление'!E50/1000</f>
        <v>4089.8493838810955</v>
      </c>
      <c r="AD8" s="3489">
        <f>'4. Отчет и прогн. потребление'!F50/1000</f>
        <v>4031.2104887824821</v>
      </c>
      <c r="AE8" s="3489">
        <f>'4. Отчет и прогн. потребление'!G50/1000</f>
        <v>3972.5714462371534</v>
      </c>
      <c r="AF8" s="3489">
        <f>'4. Отчет и прогн. потребление'!H50/1000</f>
        <v>3913.9324036918265</v>
      </c>
      <c r="AG8" s="3489">
        <f>'4. Отчет и прогн. потребление'!I50/1000</f>
        <v>3862.9943120866615</v>
      </c>
      <c r="AH8" s="11"/>
      <c r="AI8" s="11"/>
      <c r="AK8" s="5436" t="s">
        <v>184</v>
      </c>
      <c r="AL8" s="5437"/>
      <c r="AM8" s="5437"/>
      <c r="AN8" s="5437"/>
      <c r="AO8" s="5437"/>
      <c r="AP8" s="5438"/>
    </row>
    <row r="9" spans="1:42" ht="12.6" customHeight="1">
      <c r="A9" s="3385" t="s">
        <v>1546</v>
      </c>
      <c r="B9" s="3493" t="s">
        <v>170</v>
      </c>
      <c r="C9" s="3494"/>
      <c r="D9" s="3495">
        <f>IFERROR((D8-C8)/C8,0)</f>
        <v>0.54214615126291676</v>
      </c>
      <c r="E9" s="3495">
        <f t="shared" ref="E9:H9" si="9">IFERROR((E8-D8)/D8,0)</f>
        <v>0.12000000000000018</v>
      </c>
      <c r="F9" s="3495">
        <f t="shared" si="9"/>
        <v>0.12000000000000019</v>
      </c>
      <c r="G9" s="3495">
        <f t="shared" si="9"/>
        <v>0.12878228782287782</v>
      </c>
      <c r="H9" s="3495">
        <f t="shared" si="9"/>
        <v>0.12000000000000011</v>
      </c>
      <c r="I9" s="3494"/>
      <c r="J9" s="3495">
        <f>IFERROR((J8-I8)/I8,0)</f>
        <v>0.56931198910081759</v>
      </c>
      <c r="K9" s="3495">
        <f t="shared" ref="K9:N9" si="10">IFERROR((K8-J8)/J8,0)</f>
        <v>0.12000000000000008</v>
      </c>
      <c r="L9" s="3495">
        <f t="shared" si="10"/>
        <v>0.12000000000000013</v>
      </c>
      <c r="M9" s="3495">
        <f t="shared" si="10"/>
        <v>0.12000000000000015</v>
      </c>
      <c r="N9" s="3495">
        <f t="shared" si="10"/>
        <v>0.11999999999999994</v>
      </c>
      <c r="O9" s="4215">
        <f t="shared" si="0"/>
        <v>-0.77865747138393782</v>
      </c>
      <c r="P9" s="4215">
        <f t="shared" si="1"/>
        <v>-0.78921926413401156</v>
      </c>
      <c r="R9" s="5433"/>
      <c r="S9" s="4220" t="str">
        <f>+'15. ОПП'!$B$7</f>
        <v>2024 г.</v>
      </c>
      <c r="T9" s="4220" t="str">
        <f>+'15. ОПП'!$C$7</f>
        <v>2027 г.</v>
      </c>
      <c r="U9" s="4220" t="str">
        <f>+'15. ОПП'!$D$7</f>
        <v>2028 г.</v>
      </c>
      <c r="V9" s="4220" t="str">
        <f>+'15. ОПП'!$E$7</f>
        <v>2029 г.</v>
      </c>
      <c r="W9" s="4220" t="str">
        <f>+'15. ОПП'!$F$7</f>
        <v>2030 г.</v>
      </c>
      <c r="X9" s="4220" t="str">
        <f>+'15. ОПП'!$G$7</f>
        <v>2031 г.</v>
      </c>
      <c r="Y9" s="5433"/>
      <c r="Z9" s="5433"/>
      <c r="AB9" s="1230" t="s">
        <v>300</v>
      </c>
      <c r="AC9" s="3489">
        <f>'4. Отчет и прогн. потребление'!E51/1000</f>
        <v>1671.2986161189049</v>
      </c>
      <c r="AD9" s="3489">
        <f>'4. Отчет и прогн. потребление'!F51/1000</f>
        <v>1671.3340000000001</v>
      </c>
      <c r="AE9" s="3489">
        <f>'4. Отчет и прогн. потребление'!G51/1000</f>
        <v>1671.3689999999999</v>
      </c>
      <c r="AF9" s="3489">
        <f>'4. Отчет и прогн. потребление'!H51/1000</f>
        <v>1671.404</v>
      </c>
      <c r="AG9" s="3489">
        <f>'4. Отчет и прогн. потребление'!I51/1000</f>
        <v>1671.4390000000001</v>
      </c>
      <c r="AH9" s="11"/>
      <c r="AI9" s="11"/>
      <c r="AK9" s="1425" t="s">
        <v>608</v>
      </c>
      <c r="AL9" s="3492">
        <f>'20.Цени '!J14</f>
        <v>0.371</v>
      </c>
      <c r="AM9" s="3492">
        <f>'20.Цени '!K14</f>
        <v>0.41399999999999998</v>
      </c>
      <c r="AN9" s="3492">
        <f>'20.Цени '!L14</f>
        <v>0.45500000000000002</v>
      </c>
      <c r="AO9" s="3492">
        <f>'20.Цени '!M14</f>
        <v>0.504</v>
      </c>
      <c r="AP9" s="3492">
        <f>'20.Цени '!N14</f>
        <v>0.53300000000000003</v>
      </c>
    </row>
    <row r="10" spans="1:42">
      <c r="A10" s="3384" t="s">
        <v>1544</v>
      </c>
      <c r="B10" s="3493" t="s">
        <v>170</v>
      </c>
      <c r="C10" s="3494"/>
      <c r="D10" s="3495">
        <f>IFERROR((D8-$C$8)/$C$8,0)</f>
        <v>0.54214615126291676</v>
      </c>
      <c r="E10" s="3495">
        <f>IFERROR((E8-$C$8)/$C$8,0)</f>
        <v>0.72720368941446711</v>
      </c>
      <c r="F10" s="3495">
        <f>IFERROR((F8-$C$8)/$C$8,0)</f>
        <v>0.93446813214420343</v>
      </c>
      <c r="G10" s="3495">
        <f>IFERROR((G8-$C$8)/$C$8,0)</f>
        <v>1.1835933639221832</v>
      </c>
      <c r="H10" s="3495">
        <f>IFERROR((H8-$C$8)/$C$8,0)</f>
        <v>1.4456245675928454</v>
      </c>
      <c r="I10" s="3494"/>
      <c r="J10" s="3495">
        <f>IFERROR((J8-$I$8)/$I$8,0)</f>
        <v>0.56931198910081759</v>
      </c>
      <c r="K10" s="3496">
        <f>IFERROR((K8-$I$8)/$I$8,0)</f>
        <v>0.75762942779291587</v>
      </c>
      <c r="L10" s="3495">
        <f>IFERROR((L8-$I$8)/$I$8,0)</f>
        <v>0.96854495912806593</v>
      </c>
      <c r="M10" s="3495">
        <f>IFERROR((M8-$I$8)/$I$8,0)</f>
        <v>1.2047703542234343</v>
      </c>
      <c r="N10" s="3495">
        <f>IFERROR((N8-$I$8)/$I$8,0)</f>
        <v>1.4693427967302461</v>
      </c>
      <c r="O10" s="4215">
        <f t="shared" si="0"/>
        <v>1.666484976837513</v>
      </c>
      <c r="P10" s="4215">
        <f t="shared" si="1"/>
        <v>1.5809096327849246</v>
      </c>
      <c r="R10" s="4234" t="s">
        <v>207</v>
      </c>
      <c r="S10" s="3526">
        <f>'8. Ремонтна програма'!X24</f>
        <v>1424.4192746813376</v>
      </c>
      <c r="T10" s="3526">
        <f>'8. Ремонтна програма'!Y24</f>
        <v>1851.7450570857386</v>
      </c>
      <c r="U10" s="3526">
        <f>'8. Ремонтна програма'!Z24</f>
        <v>1944.3323099400254</v>
      </c>
      <c r="V10" s="3526">
        <f>'8. Ремонтна програма'!AA24</f>
        <v>2002.6622792382263</v>
      </c>
      <c r="W10" s="3526">
        <f>'8. Ремонтна програма'!AB24</f>
        <v>1902.5291652763146</v>
      </c>
      <c r="X10" s="3526">
        <f>'8. Ремонтна програма'!AC24</f>
        <v>1826.4279986652623</v>
      </c>
      <c r="Y10" s="3505">
        <f t="shared" ref="Y10:Y14" si="11">IFERROR((T10-S10)/S10,0)</f>
        <v>0.29999999999999982</v>
      </c>
      <c r="Z10" s="4227">
        <f t="shared" ref="Z10:Z14" si="12">IFERROR((X10-T10)/T10,0)</f>
        <v>-1.3672000000000052E-2</v>
      </c>
      <c r="AB10" s="5431" t="s">
        <v>1705</v>
      </c>
      <c r="AC10" s="5431" t="s">
        <v>184</v>
      </c>
      <c r="AD10" s="5431"/>
      <c r="AE10" s="5431"/>
      <c r="AF10" s="5431"/>
      <c r="AG10" s="5431"/>
      <c r="AH10" s="11"/>
      <c r="AI10" s="11"/>
      <c r="AK10" s="1425" t="s">
        <v>179</v>
      </c>
      <c r="AL10" s="3500"/>
      <c r="AM10" s="3500"/>
      <c r="AN10" s="3500"/>
      <c r="AO10" s="3500"/>
      <c r="AP10" s="3500"/>
    </row>
    <row r="11" spans="1:42" ht="18.75" customHeight="1">
      <c r="A11" s="3383" t="s">
        <v>1548</v>
      </c>
      <c r="B11" s="3501" t="s">
        <v>170</v>
      </c>
      <c r="C11" s="3377">
        <f>'5. Персонал'!C62</f>
        <v>0.1909307875894988</v>
      </c>
      <c r="D11" s="3377">
        <f>'5. Персонал'!D62</f>
        <v>0.19489697240199361</v>
      </c>
      <c r="E11" s="3377">
        <f>'5. Персонал'!E62</f>
        <v>0.19489697240199358</v>
      </c>
      <c r="F11" s="3377">
        <f>'5. Персонал'!F62</f>
        <v>0.19489697240199358</v>
      </c>
      <c r="G11" s="3377">
        <f>'5. Персонал'!G62</f>
        <v>0.19489697240199361</v>
      </c>
      <c r="H11" s="3377">
        <f>'5. Персонал'!H62</f>
        <v>0.19489697240199363</v>
      </c>
      <c r="I11" s="3377">
        <f>'5. Персонал'!I62</f>
        <v>0.22615803814713897</v>
      </c>
      <c r="J11" s="3377">
        <f>'5. Персонал'!J62</f>
        <v>0.17525773195876287</v>
      </c>
      <c r="K11" s="3377">
        <f>'5. Персонал'!K62</f>
        <v>0.17525773195876287</v>
      </c>
      <c r="L11" s="3377">
        <f>'5. Персонал'!L62</f>
        <v>0.17525773195876287</v>
      </c>
      <c r="M11" s="3377">
        <f>'5. Персонал'!M62</f>
        <v>0.17525773195876285</v>
      </c>
      <c r="N11" s="3377">
        <f>'5. Персонал'!N62</f>
        <v>0.17525773195876285</v>
      </c>
      <c r="O11" s="4215">
        <f t="shared" si="0"/>
        <v>1.4241152786293873E-16</v>
      </c>
      <c r="P11" s="4215">
        <f t="shared" si="1"/>
        <v>-1.5837004910094145E-16</v>
      </c>
      <c r="R11" s="4234" t="s">
        <v>174</v>
      </c>
      <c r="S11" s="3526">
        <f>'8. Ремонтна програма'!X53</f>
        <v>217.65859507216882</v>
      </c>
      <c r="T11" s="3526">
        <f>'8. Ремонтна програма'!Y53</f>
        <v>282.95617359381959</v>
      </c>
      <c r="U11" s="3526">
        <f>'8. Ремонтна програма'!Z53</f>
        <v>297.10398227351061</v>
      </c>
      <c r="V11" s="3526">
        <f>'8. Ремонтна програма'!AA53</f>
        <v>306.01710174171586</v>
      </c>
      <c r="W11" s="3526">
        <f>'8. Ремонтна програма'!AB53</f>
        <v>299.8967597068816</v>
      </c>
      <c r="X11" s="3526">
        <f>'8. Ремонтна програма'!AC53</f>
        <v>287.90088931860629</v>
      </c>
      <c r="Y11" s="3505">
        <f t="shared" si="11"/>
        <v>0.30000000000000054</v>
      </c>
      <c r="Z11" s="4227">
        <f t="shared" si="12"/>
        <v>1.7475199999999958E-2</v>
      </c>
      <c r="AB11" s="5431"/>
      <c r="AC11" s="4220" t="str">
        <f>+'15. ОПП'!$C$7</f>
        <v>2027 г.</v>
      </c>
      <c r="AD11" s="4220" t="str">
        <f>+'15. ОПП'!$D$7</f>
        <v>2028 г.</v>
      </c>
      <c r="AE11" s="4220" t="str">
        <f>+'15. ОПП'!$E$7</f>
        <v>2029 г.</v>
      </c>
      <c r="AF11" s="4220" t="str">
        <f>+'15. ОПП'!$F$7</f>
        <v>2030 г.</v>
      </c>
      <c r="AG11" s="4220" t="str">
        <f>+'15. ОПП'!$G$7</f>
        <v>2031 г.</v>
      </c>
      <c r="AH11" s="11"/>
      <c r="AI11" s="11"/>
      <c r="AK11" s="3502" t="s">
        <v>180</v>
      </c>
      <c r="AL11" s="3503">
        <f>'20.Цени '!J16</f>
        <v>0.48</v>
      </c>
      <c r="AM11" s="3503">
        <f>'20.Цени '!K16</f>
        <v>0.53700000000000003</v>
      </c>
      <c r="AN11" s="3503">
        <f>'20.Цени '!L16</f>
        <v>0.56499999999999995</v>
      </c>
      <c r="AO11" s="3503">
        <f>'20.Цени '!M16</f>
        <v>0.626</v>
      </c>
      <c r="AP11" s="3503">
        <f>'20.Цени '!N16</f>
        <v>0.66200000000000003</v>
      </c>
    </row>
    <row r="12" spans="1:42" ht="21.75" customHeight="1">
      <c r="A12" s="3383" t="s">
        <v>1547</v>
      </c>
      <c r="B12" s="3501" t="s">
        <v>170</v>
      </c>
      <c r="C12" s="3377">
        <f>'5. Персонал'!C63</f>
        <v>0.12728719172633254</v>
      </c>
      <c r="D12" s="3377">
        <f>'5. Персонал'!D63</f>
        <v>9.9680130923157029E-2</v>
      </c>
      <c r="E12" s="3377">
        <f>'5. Персонал'!E63</f>
        <v>8.9000116895675913E-2</v>
      </c>
      <c r="F12" s="3377">
        <f>'5. Персонал'!F63</f>
        <v>8.302249710417528E-2</v>
      </c>
      <c r="G12" s="3377">
        <f>'5. Персонал'!G63</f>
        <v>7.0285505312416729E-2</v>
      </c>
      <c r="H12" s="3377">
        <f>'5. Персонал'!H63</f>
        <v>6.2754915457514937E-2</v>
      </c>
      <c r="I12" s="3377">
        <f>'5. Персонал'!I63</f>
        <v>0.12534059945504086</v>
      </c>
      <c r="J12" s="3377">
        <f>'5. Персонал'!J63</f>
        <v>9.1850244167118816E-2</v>
      </c>
      <c r="K12" s="3377">
        <f>'5. Персонал'!K63</f>
        <v>8.2842415316642118E-2</v>
      </c>
      <c r="L12" s="3377">
        <f>'5. Персонал'!L63</f>
        <v>7.2322743530401842E-2</v>
      </c>
      <c r="M12" s="3377">
        <f>'5. Персонал'!M63</f>
        <v>6.4573878152144493E-2</v>
      </c>
      <c r="N12" s="3377">
        <f>'5. Персонал'!N63</f>
        <v>5.7655248350129008E-2</v>
      </c>
      <c r="O12" s="4215">
        <f t="shared" si="0"/>
        <v>-0.37043706828703482</v>
      </c>
      <c r="P12" s="4215">
        <f t="shared" si="1"/>
        <v>-0.37229074486479341</v>
      </c>
      <c r="R12" s="4234" t="s">
        <v>184</v>
      </c>
      <c r="S12" s="3526">
        <f>'8. Ремонтна програма'!X79</f>
        <v>36.568587249403066</v>
      </c>
      <c r="T12" s="3526">
        <f>'8. Ремонтна програма'!Y79</f>
        <v>47.539163424223993</v>
      </c>
      <c r="U12" s="3526">
        <f>'8. Ремонтна програма'!Z79</f>
        <v>49.9161215954352</v>
      </c>
      <c r="V12" s="3526">
        <f>'8. Ремонтна програма'!AA79</f>
        <v>51.41360524329825</v>
      </c>
      <c r="W12" s="3526">
        <f>'8. Ремонтна програма'!AB79</f>
        <v>50.385333138432301</v>
      </c>
      <c r="X12" s="3526">
        <f>'8. Ремонтна програма'!AC79</f>
        <v>48.369919812894992</v>
      </c>
      <c r="Y12" s="3505">
        <f t="shared" si="11"/>
        <v>0.30000000000000021</v>
      </c>
      <c r="Z12" s="4227">
        <f t="shared" si="12"/>
        <v>1.7475199999999989E-2</v>
      </c>
      <c r="AB12" s="3488" t="s">
        <v>1696</v>
      </c>
      <c r="AC12" s="3489">
        <f>AC13+AC14</f>
        <v>4464.8603333333331</v>
      </c>
      <c r="AD12" s="3489">
        <f t="shared" ref="AD12:AG12" si="13">AD13+AD14</f>
        <v>4468.5776961832571</v>
      </c>
      <c r="AE12" s="3489">
        <f t="shared" si="13"/>
        <v>4409.9143923665142</v>
      </c>
      <c r="AF12" s="3489">
        <f t="shared" si="13"/>
        <v>4351.2510885497713</v>
      </c>
      <c r="AG12" s="3489">
        <f t="shared" si="13"/>
        <v>4300.2965068105614</v>
      </c>
      <c r="AH12" s="11"/>
      <c r="AI12" s="11"/>
      <c r="AK12" s="3502" t="s">
        <v>181</v>
      </c>
      <c r="AL12" s="3503">
        <f>'20.Цени '!J17</f>
        <v>0.63700000000000001</v>
      </c>
      <c r="AM12" s="3503">
        <f>'20.Цени '!K17</f>
        <v>0.71099999999999997</v>
      </c>
      <c r="AN12" s="3503">
        <f>'20.Цени '!L17</f>
        <v>0.77900000000000003</v>
      </c>
      <c r="AO12" s="3503">
        <f>'20.Цени '!M17</f>
        <v>0.86399999999999999</v>
      </c>
      <c r="AP12" s="3503">
        <f>'20.Цени '!N17</f>
        <v>0.91300000000000003</v>
      </c>
    </row>
    <row r="13" spans="1:42" ht="14.25" customHeight="1">
      <c r="A13" s="5432" t="s">
        <v>2</v>
      </c>
      <c r="B13" s="5440" t="s">
        <v>1538</v>
      </c>
      <c r="C13" s="5442" t="s">
        <v>184</v>
      </c>
      <c r="D13" s="5443"/>
      <c r="E13" s="5443"/>
      <c r="F13" s="5443"/>
      <c r="G13" s="5443"/>
      <c r="H13" s="5444"/>
      <c r="I13" s="5445" t="s">
        <v>1028</v>
      </c>
      <c r="J13" s="5446"/>
      <c r="K13" s="5446"/>
      <c r="L13" s="5446"/>
      <c r="M13" s="5446"/>
      <c r="N13" s="5447"/>
      <c r="O13" s="5432" t="str">
        <f>CONCATENATE("Изменение ", H14,"спрямо ",D14)</f>
        <v>Изменение 2031 г.спрямо 2027 г.</v>
      </c>
      <c r="P13" s="5432" t="str">
        <f>CONCATENATE("Изменение ", N14,"спрямо ",J14)</f>
        <v>Изменение 2031 г.спрямо 2027 г.</v>
      </c>
      <c r="R13" s="3392" t="s">
        <v>1236</v>
      </c>
      <c r="S13" s="3526">
        <f>'8. Ремонтна програма'!X110</f>
        <v>0</v>
      </c>
      <c r="T13" s="3526">
        <f>'8. Ремонтна програма'!Y110</f>
        <v>0</v>
      </c>
      <c r="U13" s="3526">
        <f>'8. Ремонтна програма'!Z110</f>
        <v>0</v>
      </c>
      <c r="V13" s="3526">
        <f>'8. Ремонтна програма'!AA110</f>
        <v>0</v>
      </c>
      <c r="W13" s="3526">
        <f>'8. Ремонтна програма'!AB110</f>
        <v>0</v>
      </c>
      <c r="X13" s="3526">
        <f>'8. Ремонтна програма'!AC110</f>
        <v>0</v>
      </c>
      <c r="Y13" s="3505">
        <f t="shared" si="11"/>
        <v>0</v>
      </c>
      <c r="Z13" s="4227">
        <f t="shared" si="12"/>
        <v>0</v>
      </c>
      <c r="AB13" s="3499" t="s">
        <v>299</v>
      </c>
      <c r="AC13" s="3489">
        <f>'4. Отчет и прогн. потребление'!E55/1000</f>
        <v>4205.0703333333331</v>
      </c>
      <c r="AD13" s="3489">
        <f>'4. Отчет и прогн. потребление'!F55/1000</f>
        <v>4146.371696183257</v>
      </c>
      <c r="AE13" s="3489">
        <f>'4. Отчет и прогн. потребление'!G55/1000</f>
        <v>4087.6733923665138</v>
      </c>
      <c r="AF13" s="3489">
        <f>'4. Отчет и прогн. потребление'!H55/1000</f>
        <v>4028.9750885497715</v>
      </c>
      <c r="AG13" s="3489">
        <f>'4. Отчет и прогн. потребление'!I55/1000</f>
        <v>3977.9855068105612</v>
      </c>
      <c r="AH13" s="11"/>
      <c r="AI13" s="11"/>
      <c r="AK13" s="3502" t="s">
        <v>182</v>
      </c>
      <c r="AL13" s="3503">
        <f>'20.Цени '!J18</f>
        <v>0.8</v>
      </c>
      <c r="AM13" s="3503">
        <f>'20.Цени '!K18</f>
        <v>0.89400000000000002</v>
      </c>
      <c r="AN13" s="3503">
        <f>'20.Цени '!L18</f>
        <v>1.0069999999999999</v>
      </c>
      <c r="AO13" s="3503">
        <f>'20.Цени '!M18</f>
        <v>1.115</v>
      </c>
      <c r="AP13" s="3503">
        <f>'20.Цени '!N18</f>
        <v>1.18</v>
      </c>
    </row>
    <row r="14" spans="1:42" ht="14.25" customHeight="1">
      <c r="A14" s="5433"/>
      <c r="B14" s="5441"/>
      <c r="C14" s="4287" t="str">
        <f>+'15. ОПП'!$B$7</f>
        <v>2024 г.</v>
      </c>
      <c r="D14" s="4287" t="str">
        <f>+'15. ОПП'!$C$7</f>
        <v>2027 г.</v>
      </c>
      <c r="E14" s="4287" t="str">
        <f>+'15. ОПП'!$D$7</f>
        <v>2028 г.</v>
      </c>
      <c r="F14" s="4287" t="str">
        <f>+'15. ОПП'!$E$7</f>
        <v>2029 г.</v>
      </c>
      <c r="G14" s="4287" t="str">
        <f>+'15. ОПП'!$F$7</f>
        <v>2030 г.</v>
      </c>
      <c r="H14" s="4287" t="str">
        <f>+'15. ОПП'!$G$7</f>
        <v>2031 г.</v>
      </c>
      <c r="I14" s="4287" t="str">
        <f>+'15. ОПП'!$B$7</f>
        <v>2024 г.</v>
      </c>
      <c r="J14" s="4287" t="str">
        <f>+'15. ОПП'!$C$7</f>
        <v>2027 г.</v>
      </c>
      <c r="K14" s="4287" t="str">
        <f>+'15. ОПП'!$D$7</f>
        <v>2028 г.</v>
      </c>
      <c r="L14" s="4287" t="str">
        <f>+'15. ОПП'!$E$7</f>
        <v>2029 г.</v>
      </c>
      <c r="M14" s="4287" t="str">
        <f>+'15. ОПП'!$F$7</f>
        <v>2030 г.</v>
      </c>
      <c r="N14" s="4287" t="str">
        <f>+'15. ОПП'!$G$7</f>
        <v>2031 г.</v>
      </c>
      <c r="O14" s="5433"/>
      <c r="P14" s="5433"/>
      <c r="R14" s="3392" t="s">
        <v>1092</v>
      </c>
      <c r="S14" s="3526">
        <f>'8. Ремонтна програма'!X141</f>
        <v>0</v>
      </c>
      <c r="T14" s="3526">
        <f>'8. Ремонтна програма'!Y141</f>
        <v>0</v>
      </c>
      <c r="U14" s="3526">
        <f>'8. Ремонтна програма'!Z141</f>
        <v>0</v>
      </c>
      <c r="V14" s="3526">
        <f>'8. Ремонтна програма'!AA141</f>
        <v>0</v>
      </c>
      <c r="W14" s="3526">
        <f>'8. Ремонтна програма'!AB141</f>
        <v>0</v>
      </c>
      <c r="X14" s="3526">
        <f>'8. Ремонтна програма'!AC141</f>
        <v>0</v>
      </c>
      <c r="Y14" s="3505">
        <f t="shared" si="11"/>
        <v>0</v>
      </c>
      <c r="Z14" s="4227">
        <f t="shared" si="12"/>
        <v>0</v>
      </c>
      <c r="AB14" s="1230" t="s">
        <v>300</v>
      </c>
      <c r="AC14" s="3489">
        <f>SUM(AC15:AC17)</f>
        <v>259.78999999999996</v>
      </c>
      <c r="AD14" s="3489">
        <f t="shared" ref="AD14:AG14" si="14">SUM(AD15:AD17)</f>
        <v>322.20600000000002</v>
      </c>
      <c r="AE14" s="3489">
        <f t="shared" si="14"/>
        <v>322.24100000000004</v>
      </c>
      <c r="AF14" s="3489">
        <f t="shared" si="14"/>
        <v>322.27600000000001</v>
      </c>
      <c r="AG14" s="3489">
        <f t="shared" si="14"/>
        <v>322.31100000000004</v>
      </c>
      <c r="AH14" s="11"/>
      <c r="AI14" s="11"/>
      <c r="AK14" s="5436" t="str">
        <f>AC18</f>
        <v>Доставяне вода с непитейни качества</v>
      </c>
      <c r="AL14" s="5437"/>
      <c r="AM14" s="5437"/>
      <c r="AN14" s="5437"/>
      <c r="AO14" s="5437"/>
      <c r="AP14" s="5438"/>
    </row>
    <row r="15" spans="1:42" ht="20.100000000000001" customHeight="1">
      <c r="A15" s="3382" t="s">
        <v>1543</v>
      </c>
      <c r="B15" s="3486" t="s">
        <v>676</v>
      </c>
      <c r="C15" s="3487">
        <f>'5. Персонал'!O11</f>
        <v>42</v>
      </c>
      <c r="D15" s="3487">
        <f>'5. Персонал'!P11</f>
        <v>42</v>
      </c>
      <c r="E15" s="3487">
        <f>'5. Персонал'!Q11</f>
        <v>42</v>
      </c>
      <c r="F15" s="3487">
        <f>'5. Персонал'!R11</f>
        <v>42</v>
      </c>
      <c r="G15" s="3487">
        <f>'5. Персонал'!S11</f>
        <v>53</v>
      </c>
      <c r="H15" s="3487">
        <f>'5. Персонал'!T11</f>
        <v>53</v>
      </c>
      <c r="I15" s="3487">
        <f>C4+I4+C15</f>
        <v>573</v>
      </c>
      <c r="J15" s="3487">
        <f t="shared" ref="J15:N16" si="15">D4+J4+D15</f>
        <v>566</v>
      </c>
      <c r="K15" s="3487">
        <f t="shared" si="15"/>
        <v>566</v>
      </c>
      <c r="L15" s="3487">
        <f t="shared" si="15"/>
        <v>566</v>
      </c>
      <c r="M15" s="3487">
        <f t="shared" si="15"/>
        <v>587</v>
      </c>
      <c r="N15" s="3487">
        <f t="shared" si="15"/>
        <v>587</v>
      </c>
      <c r="O15" s="4215">
        <f t="shared" ref="O15:O23" si="16">IFERROR((H15-D15)/D15,0)</f>
        <v>0.26190476190476192</v>
      </c>
      <c r="P15" s="4215">
        <f t="shared" ref="P15:P23" si="17">IFERROR((N15-J15)/J15,0)</f>
        <v>3.7102473498233215E-2</v>
      </c>
      <c r="R15" s="4258"/>
      <c r="S15" s="4275"/>
      <c r="T15" s="4275"/>
      <c r="U15" s="4275"/>
      <c r="V15" s="4275"/>
      <c r="W15" s="4275"/>
      <c r="X15" s="4275"/>
      <c r="Y15" s="4251"/>
      <c r="Z15" s="4276"/>
      <c r="AB15" s="3504" t="s">
        <v>997</v>
      </c>
      <c r="AC15" s="3489">
        <f>'4. Отчет и прогн. потребление'!E58/1000</f>
        <v>160.79</v>
      </c>
      <c r="AD15" s="3489">
        <f>'4. Отчет и прогн. потребление'!F58/1000</f>
        <v>164.89754152296223</v>
      </c>
      <c r="AE15" s="3489">
        <f>'4. Отчет и прогн. потребление'!G58/1000</f>
        <v>164.91545370943081</v>
      </c>
      <c r="AF15" s="3489">
        <f>'4. Отчет и прогн. потребление'!H58/1000</f>
        <v>164.93336589589941</v>
      </c>
      <c r="AG15" s="3489">
        <f>'4. Отчет и прогн. потребление'!I58/1000</f>
        <v>164.95127808236802</v>
      </c>
      <c r="AH15" s="11"/>
      <c r="AI15" s="11"/>
      <c r="AK15" s="1425"/>
      <c r="AL15" s="3492">
        <f>'20.Цени '!J19</f>
        <v>0</v>
      </c>
      <c r="AM15" s="3492">
        <f>'20.Цени '!K19</f>
        <v>0</v>
      </c>
      <c r="AN15" s="3492">
        <f>'20.Цени '!L19</f>
        <v>0</v>
      </c>
      <c r="AO15" s="3492">
        <f>'20.Цени '!M19</f>
        <v>0</v>
      </c>
      <c r="AP15" s="3492">
        <f>'20.Цени '!N19</f>
        <v>0</v>
      </c>
    </row>
    <row r="16" spans="1:42" ht="24" customHeight="1">
      <c r="A16" s="3379" t="s">
        <v>1536</v>
      </c>
      <c r="B16" s="3490" t="s">
        <v>1541</v>
      </c>
      <c r="C16" s="3491">
        <f>'5. Персонал'!O14</f>
        <v>42</v>
      </c>
      <c r="D16" s="3491">
        <f>'5. Персонал'!P14</f>
        <v>42</v>
      </c>
      <c r="E16" s="3491">
        <f>'5. Персонал'!Q14</f>
        <v>42</v>
      </c>
      <c r="F16" s="3491">
        <f>'5. Персонал'!R14</f>
        <v>42</v>
      </c>
      <c r="G16" s="3491">
        <f>'5. Персонал'!S14</f>
        <v>53</v>
      </c>
      <c r="H16" s="3491">
        <f>'5. Персонал'!T14</f>
        <v>53</v>
      </c>
      <c r="I16" s="3487">
        <f>C5+I5+C16</f>
        <v>598</v>
      </c>
      <c r="J16" s="3487">
        <f t="shared" si="15"/>
        <v>590</v>
      </c>
      <c r="K16" s="3487">
        <f t="shared" si="15"/>
        <v>590</v>
      </c>
      <c r="L16" s="3487">
        <f t="shared" si="15"/>
        <v>590</v>
      </c>
      <c r="M16" s="3487">
        <f t="shared" si="15"/>
        <v>611</v>
      </c>
      <c r="N16" s="3487">
        <f t="shared" si="15"/>
        <v>611</v>
      </c>
      <c r="O16" s="4215">
        <f t="shared" si="16"/>
        <v>0.26190476190476192</v>
      </c>
      <c r="P16" s="4215">
        <f t="shared" si="17"/>
        <v>3.5593220338983052E-2</v>
      </c>
      <c r="R16" s="4289" t="s">
        <v>1859</v>
      </c>
      <c r="S16" s="4290" t="str">
        <f>+'15. ОПП'!$B$7</f>
        <v>2024 г.</v>
      </c>
      <c r="T16" s="4290" t="str">
        <f>+'15. ОПП'!$C$7</f>
        <v>2027 г.</v>
      </c>
      <c r="U16" s="4290" t="str">
        <f>+'15. ОПП'!$D$7</f>
        <v>2028 г.</v>
      </c>
      <c r="V16" s="4290" t="str">
        <f>+'15. ОПП'!$E$7</f>
        <v>2029 г.</v>
      </c>
      <c r="W16" s="4290" t="str">
        <f>+'15. ОПП'!$F$7</f>
        <v>2030 г.</v>
      </c>
      <c r="X16" s="4290" t="str">
        <f>+'15. ОПП'!$G$7</f>
        <v>2031 г.</v>
      </c>
      <c r="Y16" s="4290" t="str">
        <f>+Y8</f>
        <v>Изменение 2027 г.спрямо 2024 г.</v>
      </c>
      <c r="Z16" s="4290" t="str">
        <f>+Z8</f>
        <v>Изменение 2031 г.спрямо 2027 г.</v>
      </c>
      <c r="AB16" s="3504" t="s">
        <v>998</v>
      </c>
      <c r="AC16" s="3489">
        <f>'4. Отчет и прогн. потребление'!E59/1000</f>
        <v>60</v>
      </c>
      <c r="AD16" s="3489">
        <f>'4. Отчет и прогн. потребление'!F59/1000</f>
        <v>82.796736596517448</v>
      </c>
      <c r="AE16" s="3489">
        <f>'4. Отчет и прогн. потребление'!G59/1000</f>
        <v>82.805730487943691</v>
      </c>
      <c r="AF16" s="3489">
        <f>'4. Отчет и прогн. потребление'!H59/1000</f>
        <v>82.814724379369906</v>
      </c>
      <c r="AG16" s="3489">
        <f>'4. Отчет и прогн. потребление'!I59/1000</f>
        <v>82.823718270796135</v>
      </c>
      <c r="AH16" s="11"/>
      <c r="AI16" s="11"/>
      <c r="AK16" s="5436" t="str">
        <f>AC21</f>
        <v>Доставяне вода на друг ВиК оператор</v>
      </c>
      <c r="AL16" s="5437"/>
      <c r="AM16" s="5437"/>
      <c r="AN16" s="5437"/>
      <c r="AO16" s="5437"/>
      <c r="AP16" s="5438"/>
    </row>
    <row r="17" spans="1:48" ht="14.25" customHeight="1">
      <c r="A17" s="3385" t="s">
        <v>1546</v>
      </c>
      <c r="B17" s="3493" t="s">
        <v>170</v>
      </c>
      <c r="C17" s="3494"/>
      <c r="D17" s="3495">
        <f>IFERROR((D16-C16)/C16,0)</f>
        <v>0</v>
      </c>
      <c r="E17" s="3495">
        <f t="shared" ref="E17:H17" si="18">IFERROR((E16-D16)/D16,0)</f>
        <v>0</v>
      </c>
      <c r="F17" s="3495">
        <f t="shared" si="18"/>
        <v>0</v>
      </c>
      <c r="G17" s="3495">
        <f t="shared" si="18"/>
        <v>0.26190476190476192</v>
      </c>
      <c r="H17" s="3495">
        <f t="shared" si="18"/>
        <v>0</v>
      </c>
      <c r="I17" s="3494"/>
      <c r="J17" s="3496">
        <f>IFERROR((J16-I16)/I16,0)</f>
        <v>-1.3377926421404682E-2</v>
      </c>
      <c r="K17" s="3496">
        <f t="shared" ref="K17:N17" si="19">IFERROR((K16-J16)/J16,0)</f>
        <v>0</v>
      </c>
      <c r="L17" s="3496">
        <f t="shared" si="19"/>
        <v>0</v>
      </c>
      <c r="M17" s="3496">
        <f t="shared" si="19"/>
        <v>3.5593220338983052E-2</v>
      </c>
      <c r="N17" s="3496">
        <f t="shared" si="19"/>
        <v>0</v>
      </c>
      <c r="O17" s="4215">
        <f t="shared" si="16"/>
        <v>0</v>
      </c>
      <c r="P17" s="4215">
        <f t="shared" si="17"/>
        <v>-1</v>
      </c>
      <c r="R17" s="4291" t="s">
        <v>1565</v>
      </c>
      <c r="S17" s="4292">
        <f>IFERROR('8. Ремонтна програма'!J10/'8. Ремонтна програма'!J$24,0)</f>
        <v>1.0885301363162739E-3</v>
      </c>
      <c r="T17" s="4292">
        <f>IFERROR('8. Ремонтна програма'!K10/'8. Ремонтна програма'!K$24,0)</f>
        <v>1.0885301363162741E-3</v>
      </c>
      <c r="U17" s="4292">
        <f>IFERROR('8. Ремонтна програма'!L10/'8. Ремонтна програма'!L$24,0)</f>
        <v>1.0885301363162741E-3</v>
      </c>
      <c r="V17" s="4292">
        <f>IFERROR('8. Ремонтна програма'!M10/'8. Ремонтна програма'!M$24,0)</f>
        <v>1.0885301363162743E-3</v>
      </c>
      <c r="W17" s="4292">
        <f>IFERROR('8. Ремонтна програма'!N10/'8. Ремонтна програма'!N$24,0)</f>
        <v>1.0885301363162743E-3</v>
      </c>
      <c r="X17" s="4292">
        <f>IFERROR('8. Ремонтна програма'!O10/'8. Ремонтна програма'!O$24,0)</f>
        <v>1.0885301363162741E-3</v>
      </c>
      <c r="Y17" s="3505">
        <f>IFERROR((T17-S17)/S17,0)</f>
        <v>1.9920480587787568E-16</v>
      </c>
      <c r="Z17" s="3505">
        <f t="shared" ref="Z17:Z30" si="20">IFERROR((X17-T17)/T17,0)</f>
        <v>0</v>
      </c>
      <c r="AB17" s="3504" t="s">
        <v>999</v>
      </c>
      <c r="AC17" s="3489">
        <f>'4. Отчет и прогн. потребление'!E60/1000</f>
        <v>39</v>
      </c>
      <c r="AD17" s="3489">
        <f>'4. Отчет и прогн. потребление'!F60/1000</f>
        <v>74.511721880520341</v>
      </c>
      <c r="AE17" s="3489">
        <f>'4. Отчет и прогн. потребление'!G60/1000</f>
        <v>74.51981580262553</v>
      </c>
      <c r="AF17" s="3489">
        <f>'4. Отчет и прогн. потребление'!H60/1000</f>
        <v>74.527909724730691</v>
      </c>
      <c r="AG17" s="3489">
        <f>'4. Отчет и прогн. потребление'!I60/1000</f>
        <v>74.536003646835866</v>
      </c>
      <c r="AH17" s="11"/>
      <c r="AI17" s="11"/>
      <c r="AK17" s="1425"/>
      <c r="AL17" s="3492">
        <f>'20.Цени '!J20</f>
        <v>0</v>
      </c>
      <c r="AM17" s="3492">
        <f>'20.Цени '!K20</f>
        <v>0</v>
      </c>
      <c r="AN17" s="3492">
        <f>'20.Цени '!L20</f>
        <v>0</v>
      </c>
      <c r="AO17" s="3492">
        <f>'20.Цени '!M20</f>
        <v>0</v>
      </c>
      <c r="AP17" s="3492">
        <f>'20.Цени '!N20</f>
        <v>0</v>
      </c>
    </row>
    <row r="18" spans="1:48">
      <c r="A18" s="3385" t="s">
        <v>1545</v>
      </c>
      <c r="B18" s="3493" t="s">
        <v>170</v>
      </c>
      <c r="C18" s="3494"/>
      <c r="D18" s="3495">
        <f>IFERROR((D16-$C$16)/$C$16,0)</f>
        <v>0</v>
      </c>
      <c r="E18" s="3495">
        <f t="shared" ref="E18:H18" si="21">IFERROR((E16-$C$16)/$C$16,0)</f>
        <v>0</v>
      </c>
      <c r="F18" s="3495">
        <f t="shared" si="21"/>
        <v>0</v>
      </c>
      <c r="G18" s="3495">
        <f t="shared" si="21"/>
        <v>0.26190476190476192</v>
      </c>
      <c r="H18" s="3495">
        <f t="shared" si="21"/>
        <v>0.26190476190476192</v>
      </c>
      <c r="I18" s="3494"/>
      <c r="J18" s="3506">
        <f>IFERROR((J16-$I$16)/$I$16,0)</f>
        <v>-1.3377926421404682E-2</v>
      </c>
      <c r="K18" s="3496">
        <f t="shared" ref="K18:N18" si="22">IFERROR((K16-$I$16)/$I$16,0)</f>
        <v>-1.3377926421404682E-2</v>
      </c>
      <c r="L18" s="3495">
        <f t="shared" si="22"/>
        <v>-1.3377926421404682E-2</v>
      </c>
      <c r="M18" s="3495">
        <f t="shared" si="22"/>
        <v>2.1739130434782608E-2</v>
      </c>
      <c r="N18" s="3495">
        <f t="shared" si="22"/>
        <v>2.1739130434782608E-2</v>
      </c>
      <c r="O18" s="4215">
        <f t="shared" si="16"/>
        <v>0</v>
      </c>
      <c r="P18" s="4215">
        <f t="shared" si="17"/>
        <v>-2.625</v>
      </c>
      <c r="R18" s="4291" t="s">
        <v>1566</v>
      </c>
      <c r="S18" s="4292">
        <f>IFERROR('8. Ремонтна програма'!J11/'8. Ремонтна програма'!J$24,0)</f>
        <v>0.16403519129457303</v>
      </c>
      <c r="T18" s="4292">
        <f>IFERROR('8. Ремонтна програма'!K11/'8. Ремонтна програма'!K$24,0)</f>
        <v>0.16403519129457306</v>
      </c>
      <c r="U18" s="4292">
        <f>IFERROR('8. Ремонтна програма'!L11/'8. Ремонтна програма'!L$24,0)</f>
        <v>0.16403519129457306</v>
      </c>
      <c r="V18" s="4292">
        <f>IFERROR('8. Ремонтна програма'!M11/'8. Ремонтна програма'!M$24,0)</f>
        <v>0.16403519129457306</v>
      </c>
      <c r="W18" s="4292">
        <f>IFERROR('8. Ремонтна програма'!N11/'8. Ремонтна програма'!N$24,0)</f>
        <v>0.16403519129457309</v>
      </c>
      <c r="X18" s="4292">
        <f>IFERROR('8. Ремонтна програма'!O11/'8. Ремонтна програма'!O$24,0)</f>
        <v>0.16403519129457306</v>
      </c>
      <c r="Y18" s="3505">
        <f t="shared" ref="Y18:Y30" si="23">IFERROR((T18-S18)/S18,0)</f>
        <v>1.6920500653902784E-16</v>
      </c>
      <c r="Z18" s="3505">
        <f t="shared" si="20"/>
        <v>0</v>
      </c>
      <c r="AB18" s="5431" t="s">
        <v>1706</v>
      </c>
      <c r="AC18" s="5439" t="str">
        <f>C24</f>
        <v>Доставяне вода с непитейни качества</v>
      </c>
      <c r="AD18" s="5431"/>
      <c r="AE18" s="5431"/>
      <c r="AF18" s="5431"/>
      <c r="AG18" s="5431"/>
      <c r="AH18" s="11"/>
      <c r="AI18" s="11"/>
      <c r="AK18" s="11"/>
    </row>
    <row r="19" spans="1:48" ht="21.75" customHeight="1">
      <c r="A19" s="3380" t="s">
        <v>1908</v>
      </c>
      <c r="B19" s="3497" t="s">
        <v>1906</v>
      </c>
      <c r="C19" s="3498">
        <f>'5. Персонал'!BL50</f>
        <v>8.4606632721755197</v>
      </c>
      <c r="D19" s="3498">
        <f>'5. Персонал'!BM50</f>
        <v>12.356220462241948</v>
      </c>
      <c r="E19" s="3498">
        <f>'5. Персонал'!BN50</f>
        <v>13.838966917710982</v>
      </c>
      <c r="F19" s="3498">
        <f>'5. Персонал'!BO50</f>
        <v>15.4996429478363</v>
      </c>
      <c r="G19" s="3498">
        <f>'5. Персонал'!BP50</f>
        <v>14.125146309065912</v>
      </c>
      <c r="H19" s="3498">
        <f>'5. Персонал'!BQ50</f>
        <v>15.820163866153822</v>
      </c>
      <c r="I19" s="3498">
        <f>IFERROR(('5. Персонал'!AZ29+'5. Персонал'!BF29+'5. Персонал'!BL29)/I16,0)</f>
        <v>8.4311860208627269</v>
      </c>
      <c r="J19" s="3498">
        <f>IFERROR(('5. Персонал'!BA29+'5. Персонал'!BG29+'5. Персонал'!BM29)/J16,0)</f>
        <v>12.949550136805243</v>
      </c>
      <c r="K19" s="3498">
        <f>IFERROR(('5. Персонал'!BB29+'5. Персонал'!BH29+'5. Персонал'!BN29)/K16,0)</f>
        <v>14.503496153221873</v>
      </c>
      <c r="L19" s="3498">
        <f>IFERROR(('5. Персонал'!BC29+'5. Персонал'!BI29+'5. Персонал'!BO29)/L16,0)</f>
        <v>16.2439156916085</v>
      </c>
      <c r="M19" s="3498">
        <f>IFERROR(('5. Персонал'!BD29+'5. Персонал'!BJ29+'5. Персонал'!BP29)/M16,0)</f>
        <v>18.02318321237459</v>
      </c>
      <c r="N19" s="3498">
        <f>IFERROR(('5. Персонал'!BE29+'5. Персонал'!BK29+'5. Персонал'!BQ29)/N16,0)</f>
        <v>20.185965197859542</v>
      </c>
      <c r="O19" s="4215">
        <f t="shared" si="16"/>
        <v>0.28034004528301898</v>
      </c>
      <c r="P19" s="4215">
        <f t="shared" si="17"/>
        <v>0.55881594222234343</v>
      </c>
      <c r="R19" s="4293" t="s">
        <v>1567</v>
      </c>
      <c r="S19" s="4292">
        <f>IFERROR('8. Ремонтна програма'!J12/'8. Ремонтна програма'!J$24,0)</f>
        <v>0.31147291473833283</v>
      </c>
      <c r="T19" s="4292">
        <f>IFERROR('8. Ремонтна програма'!K12/'8. Ремонтна програма'!K$24,0)</f>
        <v>0.31147291473833288</v>
      </c>
      <c r="U19" s="4292">
        <f>IFERROR('8. Ремонтна програма'!L12/'8. Ремонтна програма'!L$24,0)</f>
        <v>0.31147291473833288</v>
      </c>
      <c r="V19" s="4292">
        <f>IFERROR('8. Ремонтна програма'!M12/'8. Ремонтна програма'!M$24,0)</f>
        <v>0.31147291473833288</v>
      </c>
      <c r="W19" s="4292">
        <f>IFERROR('8. Ремонтна програма'!N12/'8. Ремонтна програма'!N$24,0)</f>
        <v>0.31147291473833294</v>
      </c>
      <c r="X19" s="4292">
        <f>IFERROR('8. Ремонтна програма'!O12/'8. Ремонтна програма'!O$24,0)</f>
        <v>0.31147291473833288</v>
      </c>
      <c r="Y19" s="3505">
        <f t="shared" si="23"/>
        <v>1.7822143950427448E-16</v>
      </c>
      <c r="Z19" s="3505">
        <f t="shared" si="20"/>
        <v>0</v>
      </c>
      <c r="AB19" s="5431"/>
      <c r="AC19" s="4220" t="str">
        <f>+'15. ОПП'!$C$7</f>
        <v>2027 г.</v>
      </c>
      <c r="AD19" s="4220" t="str">
        <f>+'15. ОПП'!$D$7</f>
        <v>2028 г.</v>
      </c>
      <c r="AE19" s="4220" t="str">
        <f>+'15. ОПП'!$E$7</f>
        <v>2029 г.</v>
      </c>
      <c r="AF19" s="4220" t="str">
        <f>+'15. ОПП'!$F$7</f>
        <v>2030 г.</v>
      </c>
      <c r="AG19" s="4220" t="str">
        <f>+'15. ОПП'!$G$7</f>
        <v>2031 г.</v>
      </c>
      <c r="AH19" s="11"/>
      <c r="AI19" s="11"/>
      <c r="AK19" s="5404" t="s">
        <v>279</v>
      </c>
      <c r="AL19" s="5404" t="s">
        <v>280</v>
      </c>
      <c r="AM19" s="5404" t="s">
        <v>192</v>
      </c>
      <c r="AN19" s="5404"/>
      <c r="AO19" s="5404" t="s">
        <v>193</v>
      </c>
      <c r="AP19" s="5404"/>
      <c r="AQ19" s="5404"/>
      <c r="AR19" s="5404"/>
      <c r="AS19" s="5404"/>
    </row>
    <row r="20" spans="1:48" ht="15.75" customHeight="1">
      <c r="A20" s="3385" t="s">
        <v>1546</v>
      </c>
      <c r="B20" s="3493" t="s">
        <v>170</v>
      </c>
      <c r="C20" s="3494"/>
      <c r="D20" s="3495">
        <f>IFERROR((D19-C19)/C19,0)</f>
        <v>0.46043165467625924</v>
      </c>
      <c r="E20" s="3495">
        <f t="shared" ref="E20:H20" si="24">IFERROR((E19-D19)/D19,0)</f>
        <v>0.12</v>
      </c>
      <c r="F20" s="3495">
        <f t="shared" si="24"/>
        <v>0.12</v>
      </c>
      <c r="G20" s="3495">
        <f t="shared" si="24"/>
        <v>-8.8679245283018834E-2</v>
      </c>
      <c r="H20" s="3495">
        <f t="shared" si="24"/>
        <v>0.12000000000000005</v>
      </c>
      <c r="I20" s="3494"/>
      <c r="J20" s="3496">
        <f>IFERROR((J19-I19)/I19,0)</f>
        <v>0.5359108558110276</v>
      </c>
      <c r="K20" s="3496">
        <f t="shared" ref="K20:N20" si="25">IFERROR((K19-J19)/J19,0)</f>
        <v>0.12000000000000004</v>
      </c>
      <c r="L20" s="3496">
        <f t="shared" si="25"/>
        <v>0.12000000000000016</v>
      </c>
      <c r="M20" s="3496">
        <f t="shared" si="25"/>
        <v>0.1095343976505153</v>
      </c>
      <c r="N20" s="3496">
        <f t="shared" si="25"/>
        <v>0.12000000000000002</v>
      </c>
      <c r="O20" s="4215">
        <f t="shared" si="16"/>
        <v>-0.739375</v>
      </c>
      <c r="P20" s="4215">
        <f t="shared" si="17"/>
        <v>-0.77608216236187932</v>
      </c>
      <c r="R20" s="4291" t="s">
        <v>1568</v>
      </c>
      <c r="S20" s="4292">
        <f>IFERROR('8. Ремонтна програма'!J13/'8. Ремонтна програма'!J$24,0)</f>
        <v>0.10369533145033011</v>
      </c>
      <c r="T20" s="4292">
        <f>IFERROR('8. Ремонтна програма'!K13/'8. Ремонтна програма'!K$24,0)</f>
        <v>0.10369533145033012</v>
      </c>
      <c r="U20" s="4292">
        <f>IFERROR('8. Ремонтна програма'!L13/'8. Ремонтна програма'!L$24,0)</f>
        <v>0.10369533145033014</v>
      </c>
      <c r="V20" s="4292">
        <f>IFERROR('8. Ремонтна програма'!M13/'8. Ремонтна програма'!M$24,0)</f>
        <v>0.10369533145033014</v>
      </c>
      <c r="W20" s="4292">
        <f>IFERROR('8. Ремонтна програма'!N13/'8. Ремонтна програма'!N$24,0)</f>
        <v>0.10369533145033015</v>
      </c>
      <c r="X20" s="4292">
        <f>IFERROR('8. Ремонтна програма'!O13/'8. Ремонтна програма'!O$24,0)</f>
        <v>0.10369533145033012</v>
      </c>
      <c r="Y20" s="3505">
        <f t="shared" si="23"/>
        <v>1.338323299006175E-16</v>
      </c>
      <c r="Z20" s="3505">
        <f t="shared" si="20"/>
        <v>0</v>
      </c>
      <c r="AB20" s="3488" t="s">
        <v>340</v>
      </c>
      <c r="AC20" s="3489">
        <f>'4. Отчет и прогн. потребление'!E69/1000</f>
        <v>0</v>
      </c>
      <c r="AD20" s="3489">
        <f>'4. Отчет и прогн. потребление'!F69/1000</f>
        <v>0</v>
      </c>
      <c r="AE20" s="3489">
        <f>'4. Отчет и прогн. потребление'!G69/1000</f>
        <v>0</v>
      </c>
      <c r="AF20" s="3489">
        <f>'4. Отчет и прогн. потребление'!H69/1000</f>
        <v>0</v>
      </c>
      <c r="AG20" s="3489">
        <f>'4. Отчет и прогн. потребление'!I69/1000</f>
        <v>0</v>
      </c>
      <c r="AH20" s="11"/>
      <c r="AI20" s="11"/>
      <c r="AK20" s="5404"/>
      <c r="AL20" s="5404"/>
      <c r="AM20" s="4294" t="str">
        <f>+'9.Инвестиционна програма'!G9</f>
        <v>2025 г.</v>
      </c>
      <c r="AN20" s="4294" t="str">
        <f>+'9.Инвестиционна програма'!H9</f>
        <v>2026 г.</v>
      </c>
      <c r="AO20" s="4294" t="str">
        <f>+'9.Инвестиционна програма'!I9</f>
        <v>2027 г.</v>
      </c>
      <c r="AP20" s="4294" t="str">
        <f>+'9.Инвестиционна програма'!J9</f>
        <v>2028 г.</v>
      </c>
      <c r="AQ20" s="4294" t="str">
        <f>+'9.Инвестиционна програма'!K9</f>
        <v>2029 г.</v>
      </c>
      <c r="AR20" s="4294" t="str">
        <f>+'9.Инвестиционна програма'!L9</f>
        <v>2030 г.</v>
      </c>
      <c r="AS20" s="4294" t="str">
        <f>+'9.Инвестиционна програма'!M9</f>
        <v>2031 г.</v>
      </c>
    </row>
    <row r="21" spans="1:48" ht="22.5">
      <c r="A21" s="3384" t="s">
        <v>1544</v>
      </c>
      <c r="B21" s="3493" t="s">
        <v>170</v>
      </c>
      <c r="C21" s="3494"/>
      <c r="D21" s="3495">
        <f>IFERROR((D19-$C$19)/$C$19,0)</f>
        <v>0.46043165467625924</v>
      </c>
      <c r="E21" s="3495">
        <f t="shared" ref="E21:H21" si="26">IFERROR((E19-$C$19)/$C$19,0)</f>
        <v>0.63568345323741038</v>
      </c>
      <c r="F21" s="3495">
        <f t="shared" si="26"/>
        <v>0.83196546762589962</v>
      </c>
      <c r="G21" s="3495">
        <f t="shared" si="26"/>
        <v>0.66950815257228213</v>
      </c>
      <c r="H21" s="3495">
        <f t="shared" si="26"/>
        <v>0.86984913088095606</v>
      </c>
      <c r="I21" s="3494"/>
      <c r="J21" s="3495">
        <f>IFERROR((J19-$I$19)/$I$19,0)</f>
        <v>0.5359108558110276</v>
      </c>
      <c r="K21" s="3496">
        <f t="shared" ref="K21:N21" si="27">IFERROR((K19-$I$19)/$I$19,0)</f>
        <v>0.72022015850835097</v>
      </c>
      <c r="L21" s="3495">
        <f t="shared" si="27"/>
        <v>0.92664657752935331</v>
      </c>
      <c r="M21" s="3495">
        <f t="shared" si="27"/>
        <v>1.1376806498844578</v>
      </c>
      <c r="N21" s="3495">
        <f t="shared" si="27"/>
        <v>1.3942023278705928</v>
      </c>
      <c r="O21" s="4215">
        <f t="shared" si="16"/>
        <v>0.88920358113207543</v>
      </c>
      <c r="P21" s="4215">
        <f t="shared" si="17"/>
        <v>1.601556420723478</v>
      </c>
      <c r="R21" s="4291" t="s">
        <v>1569</v>
      </c>
      <c r="S21" s="4292">
        <f>IFERROR('8. Ремонтна програма'!J14/'8. Ремонтна програма'!J$24,0)</f>
        <v>4.1672308874266921E-3</v>
      </c>
      <c r="T21" s="4292">
        <f>IFERROR('8. Ремонтна програма'!K14/'8. Ремонтна програма'!K$24,0)</f>
        <v>4.1672308874266921E-3</v>
      </c>
      <c r="U21" s="4292">
        <f>IFERROR('8. Ремонтна програма'!L14/'8. Ремонтна програма'!L$24,0)</f>
        <v>4.167230887426693E-3</v>
      </c>
      <c r="V21" s="4292">
        <f>IFERROR('8. Ремонтна програма'!M14/'8. Ремонтна програма'!M$24,0)</f>
        <v>4.167230887426693E-3</v>
      </c>
      <c r="W21" s="4292">
        <f>IFERROR('8. Ремонтна програма'!N14/'8. Ремонтна програма'!N$24,0)</f>
        <v>4.1672308874266938E-3</v>
      </c>
      <c r="X21" s="4292">
        <f>IFERROR('8. Ремонтна програма'!O14/'8. Ремонтна програма'!O$24,0)</f>
        <v>4.167230887426693E-3</v>
      </c>
      <c r="Y21" s="3505">
        <f t="shared" si="23"/>
        <v>0</v>
      </c>
      <c r="Z21" s="3505">
        <f t="shared" si="20"/>
        <v>2.0813863244424365E-16</v>
      </c>
      <c r="AB21" s="5431" t="s">
        <v>1705</v>
      </c>
      <c r="AC21" s="5431" t="str">
        <f>I24</f>
        <v>Доставяне вода на друг ВиК оператор</v>
      </c>
      <c r="AD21" s="5431"/>
      <c r="AE21" s="5431"/>
      <c r="AF21" s="5431"/>
      <c r="AG21" s="5431"/>
      <c r="AH21" s="11"/>
      <c r="AI21" s="11"/>
      <c r="AK21" s="3392" t="s">
        <v>286</v>
      </c>
      <c r="AL21" s="3386" t="s">
        <v>1730</v>
      </c>
      <c r="AM21" s="4295">
        <f>'13. Соц. поносимост'!C12</f>
        <v>2.8</v>
      </c>
      <c r="AN21" s="4295">
        <f>'13. Соц. поносимост'!D12</f>
        <v>2.8</v>
      </c>
      <c r="AO21" s="4295">
        <f>'13. Соц. поносимост'!E12</f>
        <v>2.8</v>
      </c>
      <c r="AP21" s="4295">
        <f>'13. Соц. поносимост'!F12</f>
        <v>2.8</v>
      </c>
      <c r="AQ21" s="4295">
        <f>'13. Соц. поносимост'!G12</f>
        <v>2.8</v>
      </c>
      <c r="AR21" s="4295">
        <f>'13. Соц. поносимост'!H12</f>
        <v>2.8</v>
      </c>
      <c r="AS21" s="4295">
        <f>'13. Соц. поносимост'!I12</f>
        <v>2.8</v>
      </c>
    </row>
    <row r="22" spans="1:48" ht="21" customHeight="1">
      <c r="A22" s="3383" t="s">
        <v>1548</v>
      </c>
      <c r="B22" s="3501" t="s">
        <v>170</v>
      </c>
      <c r="C22" s="3377">
        <f>'5. Персонал'!O62</f>
        <v>0.18848920863309351</v>
      </c>
      <c r="D22" s="3377">
        <f>'5. Персонал'!P62</f>
        <v>0.19211822660098521</v>
      </c>
      <c r="E22" s="3377">
        <f>'5. Персонал'!Q62</f>
        <v>0.19211822660098521</v>
      </c>
      <c r="F22" s="3377">
        <f>'5. Персонал'!R62</f>
        <v>0.19211822660098526</v>
      </c>
      <c r="G22" s="3377">
        <f>'5. Персонал'!S62</f>
        <v>0.19211822660098521</v>
      </c>
      <c r="H22" s="3377">
        <f>'5. Персонал'!T62</f>
        <v>0.19211822660098524</v>
      </c>
      <c r="I22" s="3377">
        <f>IFERROR(('5. Персонал'!C42+'5. Персонал'!I42+'5. Персонал'!O42)/('5. Персонал'!C29+'5. Персонал'!I29+'5. Персонал'!O29),0)</f>
        <v>0.19206976980022311</v>
      </c>
      <c r="J22" s="3377">
        <f>IFERROR(('5. Персонал'!D42+'5. Персонал'!J42+'5. Персонал'!P42)/('5. Персонал'!D29+'5. Персонал'!J29+'5. Персонал'!P29),0)</f>
        <v>0.19407080238238641</v>
      </c>
      <c r="K22" s="3377">
        <f>IFERROR(('5. Персонал'!E42+'5. Персонал'!K42+'5. Персонал'!Q42)/('5. Персонал'!E29+'5. Персонал'!K29+'5. Персонал'!Q29),0)</f>
        <v>0.19407080238238636</v>
      </c>
      <c r="L22" s="3377">
        <f>IFERROR(('5. Персонал'!F42+'5. Персонал'!L42+'5. Персонал'!R42)/('5. Персонал'!F29+'5. Персонал'!L29+'5. Персонал'!R29),0)</f>
        <v>0.19407080238238636</v>
      </c>
      <c r="M22" s="3377">
        <f>IFERROR(('5. Персонал'!G42+'5. Персонал'!M42+'5. Персонал'!S42)/('5. Персонал'!G29+'5. Персонал'!M29+'5. Персонал'!S29),0)</f>
        <v>0.19408674482670255</v>
      </c>
      <c r="N22" s="3377">
        <f>IFERROR(('5. Персонал'!H42+'5. Персонал'!N42+'5. Персонал'!T42)/('5. Персонал'!H29+'5. Персонал'!N29+'5. Персонал'!T29),0)</f>
        <v>0.19408674482670257</v>
      </c>
      <c r="O22" s="4215">
        <f t="shared" si="16"/>
        <v>1.4447132948647871E-16</v>
      </c>
      <c r="P22" s="4215">
        <f t="shared" si="17"/>
        <v>8.2147567384949013E-5</v>
      </c>
      <c r="R22" s="4293" t="s">
        <v>1570</v>
      </c>
      <c r="S22" s="4292">
        <f>IFERROR('8. Ремонтна програма'!J15/'8. Ремонтна програма'!J$24,0)</f>
        <v>0.11887758736385272</v>
      </c>
      <c r="T22" s="4292">
        <f>IFERROR('8. Ремонтна програма'!K15/'8. Ремонтна програма'!K$24,0)</f>
        <v>0.11887758736385273</v>
      </c>
      <c r="U22" s="4292">
        <f>IFERROR('8. Ремонтна програма'!L15/'8. Ремонтна програма'!L$24,0)</f>
        <v>0.11887758736385275</v>
      </c>
      <c r="V22" s="4292">
        <f>IFERROR('8. Ремонтна програма'!M15/'8. Ремонтна програма'!M$24,0)</f>
        <v>0.11887758736385275</v>
      </c>
      <c r="W22" s="4292">
        <f>IFERROR('8. Ремонтна програма'!N15/'8. Ремонтна програма'!N$24,0)</f>
        <v>0.11887758736385276</v>
      </c>
      <c r="X22" s="4292">
        <f>IFERROR('8. Ремонтна програма'!O15/'8. Ремонтна програма'!O$24,0)</f>
        <v>0.11887758736385275</v>
      </c>
      <c r="Y22" s="3505">
        <f t="shared" si="23"/>
        <v>1.1674015359462364E-16</v>
      </c>
      <c r="Z22" s="3505">
        <f t="shared" si="20"/>
        <v>1.1674015359462364E-16</v>
      </c>
      <c r="AB22" s="5431"/>
      <c r="AC22" s="4220" t="str">
        <f>+'15. ОПП'!$C$7</f>
        <v>2027 г.</v>
      </c>
      <c r="AD22" s="4220" t="str">
        <f>+'15. ОПП'!$D$7</f>
        <v>2028 г.</v>
      </c>
      <c r="AE22" s="4220" t="str">
        <f>+'15. ОПП'!$E$7</f>
        <v>2029 г.</v>
      </c>
      <c r="AF22" s="4220" t="str">
        <f>+'15. ОПП'!$F$7</f>
        <v>2030 г.</v>
      </c>
      <c r="AG22" s="4220" t="str">
        <f>+'15. ОПП'!$G$7</f>
        <v>2031 г.</v>
      </c>
      <c r="AH22" s="11"/>
      <c r="AI22" s="11"/>
      <c r="AK22" s="3392" t="s">
        <v>339</v>
      </c>
      <c r="AL22" s="4296" t="s">
        <v>1874</v>
      </c>
      <c r="AM22" s="4295">
        <f>'13. Соц. поносимост'!L13</f>
        <v>7.1775563315830091</v>
      </c>
      <c r="AN22" s="4295">
        <f>'13. Соц. поносимост'!M13</f>
        <v>7.5829903416963624</v>
      </c>
      <c r="AO22" s="4295">
        <f>'13. Соц. поносимост'!N13</f>
        <v>9.6376474437962383</v>
      </c>
      <c r="AP22" s="4295">
        <f>'13. Соц. поносимост'!O13</f>
        <v>10.479438396997693</v>
      </c>
      <c r="AQ22" s="4295">
        <f>'13. Соц. поносимост'!P13</f>
        <v>11.453510785702235</v>
      </c>
      <c r="AR22" s="4295">
        <f>'13. Соц. поносимост'!Q13</f>
        <v>12.376044952782195</v>
      </c>
      <c r="AS22" s="4295">
        <f>'13. Соц. поносимост'!R13</f>
        <v>12.554710787747398</v>
      </c>
    </row>
    <row r="23" spans="1:48" ht="19.5" customHeight="1">
      <c r="A23" s="3383" t="s">
        <v>1547</v>
      </c>
      <c r="B23" s="3501" t="s">
        <v>170</v>
      </c>
      <c r="C23" s="3377">
        <f>'5. Персонал'!O63</f>
        <v>0.12949640287769784</v>
      </c>
      <c r="D23" s="3377">
        <f>'5. Персонал'!P63</f>
        <v>0.10541871921182266</v>
      </c>
      <c r="E23" s="3377">
        <f>'5. Персонал'!Q63</f>
        <v>9.4123856439127365E-2</v>
      </c>
      <c r="F23" s="3377">
        <f>'5. Персонал'!R63</f>
        <v>8.4039157534935155E-2</v>
      </c>
      <c r="G23" s="3377">
        <f>'5. Персонал'!S63</f>
        <v>9.0834684698467075E-2</v>
      </c>
      <c r="H23" s="3377">
        <f>'5. Персонал'!T63</f>
        <v>8.1102397052202749E-2</v>
      </c>
      <c r="I23" s="3377">
        <f>IFERROR(('5. Персонал'!C46+'5. Персонал'!I46+'5. Персонал'!O46)/('5. Персонал'!C29+'5. Персонал'!I29+'5. Персонал'!O29),0)</f>
        <v>0.12737044924449853</v>
      </c>
      <c r="J23" s="3377">
        <f>IFERROR(('5. Персонал'!D46+'5. Персонал'!J46+'5. Персонал'!P46)/('5. Персонал'!D29+'5. Персонал'!J29+'5. Персонал'!P29),0)</f>
        <v>9.9815791234762266E-2</v>
      </c>
      <c r="K23" s="3377">
        <f>IFERROR(('5. Персонал'!E46+'5. Персонал'!K46+'5. Персонал'!Q46)/('5. Персонал'!E29+'5. Персонал'!K29+'5. Персонал'!Q29),0)</f>
        <v>8.9148287301268614E-2</v>
      </c>
      <c r="L23" s="3377">
        <f>IFERROR(('5. Персонал'!F46+'5. Персонал'!L46+'5. Персонал'!R46)/('5. Персонал'!F29+'5. Персонал'!L29+'5. Персонал'!R29),0)</f>
        <v>8.2744275184476496E-2</v>
      </c>
      <c r="M23" s="3377">
        <f>IFERROR(('5. Персонал'!G46+'5. Персонал'!M46+'5. Персонал'!S46)/('5. Персонал'!G29+'5. Персонал'!M29+'5. Персонал'!S29),0)</f>
        <v>7.1501789260774454E-2</v>
      </c>
      <c r="N23" s="3377">
        <f>IFERROR(('5. Персонал'!H46+'5. Персонал'!N46+'5. Персонал'!T46)/('5. Персонал'!H29+'5. Персонал'!N29+'5. Персонал'!T29),0)</f>
        <v>6.3840883268548629E-2</v>
      </c>
      <c r="O23" s="4215">
        <f t="shared" si="16"/>
        <v>-0.23066417749545995</v>
      </c>
      <c r="P23" s="4215">
        <f t="shared" si="17"/>
        <v>-0.36041299198442728</v>
      </c>
      <c r="R23" s="4293" t="s">
        <v>1571</v>
      </c>
      <c r="S23" s="4292">
        <f>IFERROR('8. Ремонтна програма'!J16/'8. Ремонтна програма'!J$24,0)</f>
        <v>8.9633415609507647E-3</v>
      </c>
      <c r="T23" s="4292">
        <f>IFERROR('8. Ремонтна програма'!K16/'8. Ремонтна програма'!K$24,0)</f>
        <v>8.9633415609507664E-3</v>
      </c>
      <c r="U23" s="4292">
        <f>IFERROR('8. Ремонтна програма'!L16/'8. Ремонтна програма'!L$24,0)</f>
        <v>8.9633415609507681E-3</v>
      </c>
      <c r="V23" s="4292">
        <f>IFERROR('8. Ремонтна програма'!M16/'8. Ремонтна програма'!M$24,0)</f>
        <v>8.9633415609507664E-3</v>
      </c>
      <c r="W23" s="4292">
        <f>IFERROR('8. Ремонтна програма'!N16/'8. Ремонтна програма'!N$24,0)</f>
        <v>8.9633415609507681E-3</v>
      </c>
      <c r="X23" s="4292">
        <f>IFERROR('8. Ремонтна програма'!O16/'8. Ремонтна програма'!O$24,0)</f>
        <v>8.9633415609507664E-3</v>
      </c>
      <c r="Y23" s="3505">
        <f t="shared" si="23"/>
        <v>1.935353533256185E-16</v>
      </c>
      <c r="Z23" s="3505">
        <f t="shared" si="20"/>
        <v>0</v>
      </c>
      <c r="AB23" s="3488" t="s">
        <v>340</v>
      </c>
      <c r="AC23" s="3489">
        <f>'4. Отчет и прогн. потребление'!E100/1000</f>
        <v>0</v>
      </c>
      <c r="AD23" s="3489">
        <f>'4. Отчет и прогн. потребление'!F100/1000</f>
        <v>0</v>
      </c>
      <c r="AE23" s="3489">
        <f>'4. Отчет и прогн. потребление'!G100/1000</f>
        <v>0</v>
      </c>
      <c r="AF23" s="3489">
        <f>'4. Отчет и прогн. потребление'!H100/1000</f>
        <v>0</v>
      </c>
      <c r="AG23" s="3489">
        <f>'4. Отчет и прогн. потребление'!I100/1000</f>
        <v>0</v>
      </c>
      <c r="AH23" s="11"/>
      <c r="AI23" s="11"/>
      <c r="AK23" s="3392" t="s">
        <v>289</v>
      </c>
      <c r="AL23" s="4296" t="s">
        <v>1895</v>
      </c>
      <c r="AM23" s="3526">
        <f>'13. Соц. поносимост'!L14</f>
        <v>429.99647208601976</v>
      </c>
      <c r="AN23" s="3526">
        <f>'13. Соц. поносимост'!M14</f>
        <v>439.45639447191223</v>
      </c>
      <c r="AO23" s="3526">
        <f>'13. Соц. поносимост'!N14</f>
        <v>453.07954270054148</v>
      </c>
      <c r="AP23" s="3526">
        <f>'13. Соц. поносимост'!O14</f>
        <v>467.12500852425819</v>
      </c>
      <c r="AQ23" s="3526">
        <f>'13. Соц. поносимост'!P14</f>
        <v>481.60588378851014</v>
      </c>
      <c r="AR23" s="3526">
        <f>'13. Соц. поносимост'!Q14</f>
        <v>496.53566618595391</v>
      </c>
      <c r="AS23" s="3526">
        <f>'13. Соц. поносимост'!R14</f>
        <v>511.92827183771851</v>
      </c>
    </row>
    <row r="24" spans="1:48" ht="12.6" customHeight="1">
      <c r="A24" s="5432" t="s">
        <v>2</v>
      </c>
      <c r="B24" s="5440" t="s">
        <v>1538</v>
      </c>
      <c r="C24" s="5442" t="s">
        <v>1236</v>
      </c>
      <c r="D24" s="5443"/>
      <c r="E24" s="5443"/>
      <c r="F24" s="5443"/>
      <c r="G24" s="5443"/>
      <c r="H24" s="5444"/>
      <c r="I24" s="5445" t="s">
        <v>1237</v>
      </c>
      <c r="J24" s="5446"/>
      <c r="K24" s="5446"/>
      <c r="L24" s="5446"/>
      <c r="M24" s="5446"/>
      <c r="N24" s="5447"/>
      <c r="O24" s="5432" t="str">
        <f>CONCATENATE("Изменение ", H25,"спрямо ",D25)</f>
        <v>Изменение 2031 г.спрямо 2027 г.</v>
      </c>
      <c r="P24" s="5432" t="str">
        <f>CONCATENATE("Изменение ", N25,"спрямо ",J25)</f>
        <v>Изменение 2031 г.спрямо 2027 г.</v>
      </c>
      <c r="R24" s="4291" t="s">
        <v>1572</v>
      </c>
      <c r="S24" s="4292">
        <f>IFERROR('8. Ремонтна програма'!J17/'8. Ремонтна програма'!J$24,0)</f>
        <v>1.2838245522276744E-2</v>
      </c>
      <c r="T24" s="4292">
        <f>IFERROR('8. Ремонтна програма'!K17/'8. Ремонтна програма'!K$24,0)</f>
        <v>1.2838245522276748E-2</v>
      </c>
      <c r="U24" s="4292">
        <f>IFERROR('8. Ремонтна програма'!L17/'8. Ремонтна програма'!L$24,0)</f>
        <v>1.2838245522276748E-2</v>
      </c>
      <c r="V24" s="4292">
        <f>IFERROR('8. Ремонтна програма'!M17/'8. Ремонтна програма'!M$24,0)</f>
        <v>1.2838245522276748E-2</v>
      </c>
      <c r="W24" s="4292">
        <f>IFERROR('8. Ремонтна програма'!N17/'8. Ремонтна програма'!N$24,0)</f>
        <v>1.2838245522276748E-2</v>
      </c>
      <c r="X24" s="4292">
        <f>IFERROR('8. Ремонтна програма'!O17/'8. Ремонтна програма'!O$24,0)</f>
        <v>1.2838245522276746E-2</v>
      </c>
      <c r="Y24" s="3505">
        <f t="shared" si="23"/>
        <v>2.7024307534339319E-16</v>
      </c>
      <c r="Z24" s="3505">
        <f t="shared" si="20"/>
        <v>-1.3512153767169655E-16</v>
      </c>
      <c r="AB24" s="1686"/>
      <c r="AC24" s="3507"/>
      <c r="AD24" s="3507"/>
      <c r="AE24" s="3507"/>
      <c r="AF24" s="3507"/>
      <c r="AG24" s="3507"/>
      <c r="AH24" s="11"/>
      <c r="AI24" s="11"/>
      <c r="AK24" s="3392" t="s">
        <v>1787</v>
      </c>
      <c r="AL24" s="4296" t="s">
        <v>170</v>
      </c>
      <c r="AM24" s="4297"/>
      <c r="AN24" s="4298">
        <f>'13. Соц. поносимост'!D15</f>
        <v>2.1999999999999999E-2</v>
      </c>
      <c r="AO24" s="4298">
        <f>'13. Соц. поносимост'!E15</f>
        <v>3.1E-2</v>
      </c>
      <c r="AP24" s="4298">
        <f>'13. Соц. поносимост'!F15</f>
        <v>3.1E-2</v>
      </c>
      <c r="AQ24" s="4298">
        <f>'13. Соц. поносимост'!G15</f>
        <v>3.1E-2</v>
      </c>
      <c r="AR24" s="4298">
        <f>'13. Соц. поносимост'!H15</f>
        <v>3.1E-2</v>
      </c>
      <c r="AS24" s="4298">
        <f>'13. Соц. поносимост'!I15</f>
        <v>3.1E-2</v>
      </c>
    </row>
    <row r="25" spans="1:48" ht="14.25" customHeight="1">
      <c r="A25" s="5433"/>
      <c r="B25" s="5441"/>
      <c r="C25" s="4287" t="str">
        <f>+'15. ОПП'!$B$7</f>
        <v>2024 г.</v>
      </c>
      <c r="D25" s="4287" t="str">
        <f>+'15. ОПП'!$C$7</f>
        <v>2027 г.</v>
      </c>
      <c r="E25" s="4287" t="str">
        <f>+'15. ОПП'!$D$7</f>
        <v>2028 г.</v>
      </c>
      <c r="F25" s="4287" t="str">
        <f>+'15. ОПП'!$E$7</f>
        <v>2029 г.</v>
      </c>
      <c r="G25" s="4287" t="str">
        <f>+'15. ОПП'!$F$7</f>
        <v>2030 г.</v>
      </c>
      <c r="H25" s="4287" t="str">
        <f>+'15. ОПП'!$G$7</f>
        <v>2031 г.</v>
      </c>
      <c r="I25" s="4287" t="str">
        <f>+'15. ОПП'!$B$7</f>
        <v>2024 г.</v>
      </c>
      <c r="J25" s="4287" t="str">
        <f>+'15. ОПП'!$C$7</f>
        <v>2027 г.</v>
      </c>
      <c r="K25" s="4287" t="str">
        <f>+'15. ОПП'!$D$7</f>
        <v>2028 г.</v>
      </c>
      <c r="L25" s="4287" t="str">
        <f>+'15. ОПП'!$E$7</f>
        <v>2029 г.</v>
      </c>
      <c r="M25" s="4287" t="str">
        <f>+'15. ОПП'!$F$7</f>
        <v>2030 г.</v>
      </c>
      <c r="N25" s="4287" t="str">
        <f>+'15. ОПП'!$G$7</f>
        <v>2031 г.</v>
      </c>
      <c r="O25" s="5433"/>
      <c r="P25" s="5433"/>
      <c r="R25" s="4293" t="s">
        <v>1574</v>
      </c>
      <c r="S25" s="4292">
        <f>IFERROR('8. Ремонтна програма'!J18/'8. Ремонтна програма'!J$24,0)</f>
        <v>8.9704882076829164E-3</v>
      </c>
      <c r="T25" s="4292">
        <f>IFERROR('8. Ремонтна програма'!K18/'8. Ремонтна програма'!K$24,0)</f>
        <v>8.9704882076829182E-3</v>
      </c>
      <c r="U25" s="4292">
        <f>IFERROR('8. Ремонтна програма'!L18/'8. Ремонтна програма'!L$24,0)</f>
        <v>8.9704882076829199E-3</v>
      </c>
      <c r="V25" s="4292">
        <f>IFERROR('8. Ремонтна програма'!M18/'8. Ремонтна програма'!M$24,0)</f>
        <v>8.9704882076829199E-3</v>
      </c>
      <c r="W25" s="4292">
        <f>IFERROR('8. Ремонтна програма'!N18/'8. Ремонтна програма'!N$24,0)</f>
        <v>8.9704882076829216E-3</v>
      </c>
      <c r="X25" s="4292">
        <f>IFERROR('8. Ремонтна програма'!O18/'8. Ремонтна програма'!O$24,0)</f>
        <v>8.9704882076829216E-3</v>
      </c>
      <c r="Y25" s="3505">
        <f t="shared" si="23"/>
        <v>1.9338116675646212E-16</v>
      </c>
      <c r="Z25" s="3505">
        <f t="shared" si="20"/>
        <v>3.867623335129242E-16</v>
      </c>
      <c r="AB25" s="5434" t="s">
        <v>1697</v>
      </c>
      <c r="AC25" s="5431" t="s">
        <v>184</v>
      </c>
      <c r="AD25" s="5431"/>
      <c r="AE25" s="5431"/>
      <c r="AF25" s="5431"/>
      <c r="AG25" s="5431"/>
      <c r="AH25" s="11"/>
      <c r="AI25" s="11"/>
      <c r="AK25" s="3392" t="s">
        <v>740</v>
      </c>
      <c r="AL25" s="4296" t="s">
        <v>1874</v>
      </c>
      <c r="AM25" s="4295">
        <f>'13. Соц. поносимост'!L16</f>
        <v>10.749911802150494</v>
      </c>
      <c r="AN25" s="4295">
        <f>'13. Соц. поносимост'!M16</f>
        <v>10.986409861797807</v>
      </c>
      <c r="AO25" s="4295">
        <f>'13. Соц. поносимост'!N16</f>
        <v>11.326988567513538</v>
      </c>
      <c r="AP25" s="4295">
        <f>'13. Соц. поносимост'!O16</f>
        <v>11.678125213106457</v>
      </c>
      <c r="AQ25" s="4295">
        <f>'13. Соц. поносимост'!P16</f>
        <v>12.040147094712754</v>
      </c>
      <c r="AR25" s="4295">
        <f>'13. Соц. поносимост'!Q16</f>
        <v>12.413391654648848</v>
      </c>
      <c r="AS25" s="4295">
        <f>'13. Соц. поносимост'!R16</f>
        <v>12.798206795942964</v>
      </c>
    </row>
    <row r="26" spans="1:48" ht="20.45" customHeight="1">
      <c r="A26" s="3382" t="s">
        <v>1543</v>
      </c>
      <c r="B26" s="3486" t="s">
        <v>676</v>
      </c>
      <c r="C26" s="3487">
        <f>'5. Персонал'!U11</f>
        <v>0</v>
      </c>
      <c r="D26" s="3487">
        <f>'5. Персонал'!V11</f>
        <v>0</v>
      </c>
      <c r="E26" s="3487">
        <f>'5. Персонал'!W11</f>
        <v>0</v>
      </c>
      <c r="F26" s="3487">
        <f>'5. Персонал'!X11</f>
        <v>0</v>
      </c>
      <c r="G26" s="3487">
        <f>'5. Персонал'!Y11</f>
        <v>0</v>
      </c>
      <c r="H26" s="3487">
        <f>'5. Персонал'!Z11</f>
        <v>0</v>
      </c>
      <c r="I26" s="3487">
        <f>'5. Персонал'!AA11</f>
        <v>0</v>
      </c>
      <c r="J26" s="3487">
        <f>'5. Персонал'!AB11</f>
        <v>0</v>
      </c>
      <c r="K26" s="3487">
        <f>'5. Персонал'!AC11</f>
        <v>0</v>
      </c>
      <c r="L26" s="3487">
        <f>'5. Персонал'!AD11</f>
        <v>0</v>
      </c>
      <c r="M26" s="3487">
        <f>'5. Персонал'!AE11</f>
        <v>0</v>
      </c>
      <c r="N26" s="3487">
        <f>'5. Персонал'!AF11</f>
        <v>0</v>
      </c>
      <c r="O26" s="4215">
        <f t="shared" ref="O26:O34" si="28">IFERROR((H26-D26)/D26,0)</f>
        <v>0</v>
      </c>
      <c r="P26" s="4215">
        <f t="shared" ref="P26:P34" si="29">IFERROR((N26-J26)/J26,0)</f>
        <v>0</v>
      </c>
      <c r="R26" s="4293" t="s">
        <v>1573</v>
      </c>
      <c r="S26" s="4292">
        <f>IFERROR('8. Ремонтна програма'!J19/'8. Ремонтна програма'!J$24,0)</f>
        <v>0.11656809337390087</v>
      </c>
      <c r="T26" s="4292">
        <f>IFERROR('8. Ремонтна програма'!K19/'8. Ремонтна програма'!K$24,0)</f>
        <v>0.11656809337390088</v>
      </c>
      <c r="U26" s="4292">
        <f>IFERROR('8. Ремонтна програма'!L19/'8. Ремонтна програма'!L$24,0)</f>
        <v>0.11656809337390089</v>
      </c>
      <c r="V26" s="4292">
        <f>IFERROR('8. Ремонтна програма'!M19/'8. Ремонтна програма'!M$24,0)</f>
        <v>0.11656809337390089</v>
      </c>
      <c r="W26" s="4292">
        <f>IFERROR('8. Ремонтна програма'!N19/'8. Ремонтна програма'!N$24,0)</f>
        <v>0.11656809337390091</v>
      </c>
      <c r="X26" s="4292">
        <f>IFERROR('8. Ремонтна програма'!O19/'8. Ремонтна програма'!O$24,0)</f>
        <v>0.11656809337390089</v>
      </c>
      <c r="Y26" s="3505">
        <f t="shared" si="23"/>
        <v>1.1905305651093061E-16</v>
      </c>
      <c r="Z26" s="3505">
        <f t="shared" si="20"/>
        <v>1.1905305651093061E-16</v>
      </c>
      <c r="AB26" s="5435"/>
      <c r="AC26" s="4220" t="str">
        <f>+'15. ОПП'!$C$7</f>
        <v>2027 г.</v>
      </c>
      <c r="AD26" s="4220" t="str">
        <f>+'15. ОПП'!$D$7</f>
        <v>2028 г.</v>
      </c>
      <c r="AE26" s="4220" t="str">
        <f>+'15. ОПП'!$E$7</f>
        <v>2029 г.</v>
      </c>
      <c r="AF26" s="4220" t="str">
        <f>+'15. ОПП'!$F$7</f>
        <v>2030 г.</v>
      </c>
      <c r="AG26" s="4220" t="str">
        <f>+'15. ОПП'!$G$7</f>
        <v>2031 г.</v>
      </c>
      <c r="AH26" s="11"/>
      <c r="AI26" s="11"/>
      <c r="AK26" s="3394" t="s">
        <v>1731</v>
      </c>
      <c r="AL26" s="4296" t="s">
        <v>1910</v>
      </c>
      <c r="AM26" s="4523">
        <f>'13. Соц. поносимост'!L17</f>
        <v>3.8392542150537485</v>
      </c>
      <c r="AN26" s="4523">
        <f>'13. Соц. поносимост'!M17</f>
        <v>3.9237178077849308</v>
      </c>
      <c r="AO26" s="4523">
        <f>'13. Соц. поносимост'!N17</f>
        <v>4.0453530598262644</v>
      </c>
      <c r="AP26" s="4523">
        <f>'13. Соц. поносимост'!O17</f>
        <v>4.1707590046808773</v>
      </c>
      <c r="AQ26" s="4523">
        <f>'13. Соц. поносимост'!P17</f>
        <v>4.3000525338259834</v>
      </c>
      <c r="AR26" s="4523">
        <f>'13. Соц. поносимост'!Q17</f>
        <v>4.4333541623745898</v>
      </c>
      <c r="AS26" s="4523">
        <f>'13. Соц. поносимост'!R17</f>
        <v>4.570788141408201</v>
      </c>
    </row>
    <row r="27" spans="1:48" ht="22.5" customHeight="1">
      <c r="A27" s="3379" t="s">
        <v>1536</v>
      </c>
      <c r="B27" s="3490" t="s">
        <v>1541</v>
      </c>
      <c r="C27" s="3491">
        <f>'5. Персонал'!U14</f>
        <v>0</v>
      </c>
      <c r="D27" s="3491">
        <f>'5. Персонал'!V14</f>
        <v>0</v>
      </c>
      <c r="E27" s="3491">
        <f>'5. Персонал'!W14</f>
        <v>0</v>
      </c>
      <c r="F27" s="3491">
        <f>'5. Персонал'!X14</f>
        <v>0</v>
      </c>
      <c r="G27" s="3491">
        <f>'5. Персонал'!Y14</f>
        <v>0</v>
      </c>
      <c r="H27" s="3491">
        <f>'5. Персонал'!Z14</f>
        <v>0</v>
      </c>
      <c r="I27" s="3491">
        <f>'5. Персонал'!AA14</f>
        <v>0</v>
      </c>
      <c r="J27" s="3491">
        <f>'5. Персонал'!AB14</f>
        <v>0</v>
      </c>
      <c r="K27" s="3491">
        <f>'5. Персонал'!AC14</f>
        <v>0</v>
      </c>
      <c r="L27" s="3491">
        <f>'5. Персонал'!AD14</f>
        <v>0</v>
      </c>
      <c r="M27" s="3491">
        <f>'5. Персонал'!AE14</f>
        <v>0</v>
      </c>
      <c r="N27" s="3491">
        <f>'5. Персонал'!AF14</f>
        <v>0</v>
      </c>
      <c r="O27" s="4215">
        <f t="shared" si="28"/>
        <v>0</v>
      </c>
      <c r="P27" s="4215">
        <f t="shared" si="29"/>
        <v>0</v>
      </c>
      <c r="R27" s="4293" t="s">
        <v>914</v>
      </c>
      <c r="S27" s="4292">
        <f>IFERROR('8. Ремонтна програма'!J20/'8. Ремонтна програма'!J$24,0)</f>
        <v>6.1038465201797903E-3</v>
      </c>
      <c r="T27" s="4292">
        <f>IFERROR('8. Ремонтна програма'!K20/'8. Ремонтна програма'!K$24,0)</f>
        <v>6.103846520179792E-3</v>
      </c>
      <c r="U27" s="4292">
        <f>IFERROR('8. Ремонтна програма'!L20/'8. Ремонтна програма'!L$24,0)</f>
        <v>6.103846520179792E-3</v>
      </c>
      <c r="V27" s="4292">
        <f>IFERROR('8. Ремонтна програма'!M20/'8. Ремонтна програма'!M$24,0)</f>
        <v>6.1038465201797912E-3</v>
      </c>
      <c r="W27" s="4292">
        <f>IFERROR('8. Ремонтна програма'!N20/'8. Ремонтна програма'!N$24,0)</f>
        <v>6.103846520179792E-3</v>
      </c>
      <c r="X27" s="4292">
        <f>IFERROR('8. Ремонтна програма'!O20/'8. Ремонтна програма'!O$24,0)</f>
        <v>6.1038465201797912E-3</v>
      </c>
      <c r="Y27" s="3505">
        <f t="shared" si="23"/>
        <v>2.8420168663181105E-16</v>
      </c>
      <c r="Z27" s="3505">
        <f t="shared" si="20"/>
        <v>-1.4210084331590548E-16</v>
      </c>
      <c r="AB27" s="3508" t="s">
        <v>302</v>
      </c>
      <c r="AC27" s="3412">
        <f>'16. Необходими приходи'!D49</f>
        <v>1.2957082694320701</v>
      </c>
      <c r="AD27" s="3412">
        <f>'16. Необходими приходи'!E49</f>
        <v>1.2957082694320701</v>
      </c>
      <c r="AE27" s="3412">
        <f>'16. Необходими приходи'!F49</f>
        <v>1.242431431713876</v>
      </c>
      <c r="AF27" s="3412">
        <f>'16. Необходими приходи'!G49</f>
        <v>1.2424323032721285</v>
      </c>
      <c r="AG27" s="3412">
        <f>'16. Необходими приходи'!H49</f>
        <v>1.2424319360725862</v>
      </c>
      <c r="AH27" s="11"/>
      <c r="AI27" s="11"/>
      <c r="AK27" s="3394" t="s">
        <v>1732</v>
      </c>
      <c r="AL27" s="4296" t="s">
        <v>1911</v>
      </c>
      <c r="AM27" s="3523"/>
      <c r="AN27" s="4300"/>
      <c r="AO27" s="4301">
        <f>(AL5+AL7+AL9)*1.2</f>
        <v>3.4428000000000001</v>
      </c>
      <c r="AP27" s="4301">
        <f t="shared" ref="AP27:AS27" si="30">(AM5+AM7+AM9)*1.2</f>
        <v>3.7427999999999999</v>
      </c>
      <c r="AQ27" s="4301">
        <f t="shared" si="30"/>
        <v>4.0907999999999998</v>
      </c>
      <c r="AR27" s="4301">
        <f t="shared" si="30"/>
        <v>4.4207999999999998</v>
      </c>
      <c r="AS27" s="4301">
        <f t="shared" si="30"/>
        <v>4.4832000000000001</v>
      </c>
    </row>
    <row r="28" spans="1:48" ht="16.5" customHeight="1">
      <c r="A28" s="3385" t="s">
        <v>1546</v>
      </c>
      <c r="B28" s="3493" t="s">
        <v>170</v>
      </c>
      <c r="C28" s="3494"/>
      <c r="D28" s="3495">
        <f>IFERROR((D27-C27)/C27,0)</f>
        <v>0</v>
      </c>
      <c r="E28" s="3495">
        <f t="shared" ref="E28:H28" si="31">IFERROR((E27-D27)/D27,0)</f>
        <v>0</v>
      </c>
      <c r="F28" s="3495">
        <f t="shared" si="31"/>
        <v>0</v>
      </c>
      <c r="G28" s="3495">
        <f t="shared" si="31"/>
        <v>0</v>
      </c>
      <c r="H28" s="3495">
        <f t="shared" si="31"/>
        <v>0</v>
      </c>
      <c r="I28" s="3494"/>
      <c r="J28" s="3496">
        <f>IFERROR((J27-I27)/I27,0)</f>
        <v>0</v>
      </c>
      <c r="K28" s="3496">
        <f t="shared" ref="K28:N28" si="32">IFERROR((K27-J27)/J27,0)</f>
        <v>0</v>
      </c>
      <c r="L28" s="3496">
        <f t="shared" si="32"/>
        <v>0</v>
      </c>
      <c r="M28" s="3496">
        <f t="shared" si="32"/>
        <v>0</v>
      </c>
      <c r="N28" s="3496">
        <f t="shared" si="32"/>
        <v>0</v>
      </c>
      <c r="O28" s="4215">
        <f t="shared" si="28"/>
        <v>0</v>
      </c>
      <c r="P28" s="4215">
        <f t="shared" si="29"/>
        <v>0</v>
      </c>
      <c r="R28" s="4291" t="s">
        <v>915</v>
      </c>
      <c r="S28" s="4292">
        <f>IFERROR('8. Ремонтна програма'!J21/'8. Ремонтна програма'!J$24,0)</f>
        <v>9.9972086439822902E-2</v>
      </c>
      <c r="T28" s="4292">
        <f>IFERROR('8. Ремонтна програма'!K21/'8. Ремонтна програма'!K$24,0)</f>
        <v>9.9972086439822916E-2</v>
      </c>
      <c r="U28" s="4292">
        <f>IFERROR('8. Ремонтна програма'!L21/'8. Ремонтна програма'!L$24,0)</f>
        <v>9.9972086439822916E-2</v>
      </c>
      <c r="V28" s="4292">
        <f>IFERROR('8. Ремонтна програма'!M21/'8. Ремонтна програма'!M$24,0)</f>
        <v>9.9972086439822916E-2</v>
      </c>
      <c r="W28" s="4292">
        <f>IFERROR('8. Ремонтна програма'!N21/'8. Ремонтна програма'!N$24,0)</f>
        <v>9.9972086439822916E-2</v>
      </c>
      <c r="X28" s="4292">
        <f>IFERROR('8. Ремонтна програма'!O21/'8. Ремонтна програма'!O$24,0)</f>
        <v>9.9972086439822902E-2</v>
      </c>
      <c r="Y28" s="3505">
        <f t="shared" si="23"/>
        <v>1.3881662674078567E-16</v>
      </c>
      <c r="Z28" s="3505">
        <f t="shared" si="20"/>
        <v>-1.3881662674078567E-16</v>
      </c>
      <c r="AB28" s="3508" t="s">
        <v>303</v>
      </c>
      <c r="AC28" s="3412">
        <f>'16. Необходими приходи'!D50</f>
        <v>1.7168480245380853</v>
      </c>
      <c r="AD28" s="3412">
        <f>'16. Необходими приходи'!E50</f>
        <v>1.7168480245380853</v>
      </c>
      <c r="AE28" s="3412">
        <f>'16. Необходими приходи'!F50</f>
        <v>1.7144265485808394</v>
      </c>
      <c r="AF28" s="3412">
        <f>'16. Необходими приходи'!G50</f>
        <v>1.7144271903914694</v>
      </c>
      <c r="AG28" s="3412">
        <f>'16. Необходими приходи'!H50</f>
        <v>1.7144268467503756</v>
      </c>
      <c r="AH28" s="11"/>
      <c r="AI28" s="11"/>
      <c r="AK28" s="11"/>
    </row>
    <row r="29" spans="1:48">
      <c r="A29" s="3385" t="s">
        <v>1545</v>
      </c>
      <c r="B29" s="3493" t="s">
        <v>170</v>
      </c>
      <c r="C29" s="3494"/>
      <c r="D29" s="3495">
        <f>IFERROR((D27-$C$27)/$C$27,0)</f>
        <v>0</v>
      </c>
      <c r="E29" s="3495">
        <f t="shared" ref="E29:H29" si="33">IFERROR((E27-$C$27)/$C$27,0)</f>
        <v>0</v>
      </c>
      <c r="F29" s="3495">
        <f t="shared" si="33"/>
        <v>0</v>
      </c>
      <c r="G29" s="3495">
        <f t="shared" si="33"/>
        <v>0</v>
      </c>
      <c r="H29" s="3495">
        <f t="shared" si="33"/>
        <v>0</v>
      </c>
      <c r="I29" s="3494"/>
      <c r="J29" s="3506">
        <f>IFERROR((J27-$I$27)/$I$27,0)</f>
        <v>0</v>
      </c>
      <c r="K29" s="3496">
        <f t="shared" ref="K29:N29" si="34">IFERROR((K27-$I$27)/$I$27,0)</f>
        <v>0</v>
      </c>
      <c r="L29" s="3495">
        <f t="shared" si="34"/>
        <v>0</v>
      </c>
      <c r="M29" s="3495">
        <f t="shared" si="34"/>
        <v>0</v>
      </c>
      <c r="N29" s="3495">
        <f t="shared" si="34"/>
        <v>0</v>
      </c>
      <c r="O29" s="4215">
        <f t="shared" si="28"/>
        <v>0</v>
      </c>
      <c r="P29" s="4215">
        <f t="shared" si="29"/>
        <v>0</v>
      </c>
      <c r="R29" s="4291" t="s">
        <v>1350</v>
      </c>
      <c r="S29" s="4292">
        <f>IFERROR('8. Ремонтна програма'!J22/'8. Ремонтна програма'!J$24,0)</f>
        <v>2.4868726132115795E-2</v>
      </c>
      <c r="T29" s="4292">
        <f>IFERROR('8. Ремонтна програма'!K22/'8. Ремонтна програма'!K$24,0)</f>
        <v>2.4868726132115798E-2</v>
      </c>
      <c r="U29" s="4292">
        <f>IFERROR('8. Ремонтна програма'!L22/'8. Ремонтна програма'!L$24,0)</f>
        <v>2.4868726132115802E-2</v>
      </c>
      <c r="V29" s="4292">
        <f>IFERROR('8. Ремонтна програма'!M22/'8. Ремонтна програма'!M$24,0)</f>
        <v>2.4868726132115802E-2</v>
      </c>
      <c r="W29" s="4292">
        <f>IFERROR('8. Ремонтна програма'!N22/'8. Ремонтна програма'!N$24,0)</f>
        <v>2.4868726132115805E-2</v>
      </c>
      <c r="X29" s="4292">
        <f>IFERROR('8. Ремонтна програма'!O22/'8. Ремонтна програма'!O$24,0)</f>
        <v>2.4868726132115802E-2</v>
      </c>
      <c r="Y29" s="3505">
        <f t="shared" si="23"/>
        <v>1.3951044108661142E-16</v>
      </c>
      <c r="Z29" s="3505">
        <f t="shared" si="20"/>
        <v>1.3951044108661139E-16</v>
      </c>
      <c r="AB29" s="3508" t="s">
        <v>304</v>
      </c>
      <c r="AC29" s="3412">
        <f>'16. Необходими приходи'!D51</f>
        <v>2.1582316998953237</v>
      </c>
      <c r="AD29" s="3412">
        <f>'16. Необходими приходи'!E51</f>
        <v>2.1582316998953237</v>
      </c>
      <c r="AE29" s="3412">
        <f>'16. Необходими приходи'!F51</f>
        <v>2.2145353825600744</v>
      </c>
      <c r="AF29" s="3412">
        <f>'16. Необходими приходи'!G51</f>
        <v>2.2145337087385348</v>
      </c>
      <c r="AG29" s="3412">
        <f>'16. Необходими приходи'!H51</f>
        <v>2.2145345054894441</v>
      </c>
      <c r="AH29" s="11"/>
      <c r="AI29" s="11"/>
      <c r="AK29" s="11"/>
    </row>
    <row r="30" spans="1:48" ht="19.5" customHeight="1">
      <c r="A30" s="3380" t="s">
        <v>1908</v>
      </c>
      <c r="B30" s="3497" t="s">
        <v>1905</v>
      </c>
      <c r="C30" s="3498">
        <f>'5. Персонал'!BR50</f>
        <v>0</v>
      </c>
      <c r="D30" s="3498">
        <f>'5. Персонал'!BS50</f>
        <v>0</v>
      </c>
      <c r="E30" s="3498">
        <f>'5. Персонал'!BT50</f>
        <v>0</v>
      </c>
      <c r="F30" s="3498">
        <f>'5. Персонал'!BU50</f>
        <v>0</v>
      </c>
      <c r="G30" s="3498">
        <f>'5. Персонал'!BV50</f>
        <v>0</v>
      </c>
      <c r="H30" s="3498">
        <f>'5. Персонал'!BW50</f>
        <v>0</v>
      </c>
      <c r="I30" s="3498">
        <f>'5. Персонал'!BX50</f>
        <v>0</v>
      </c>
      <c r="J30" s="3498">
        <f>'5. Персонал'!BY50</f>
        <v>0</v>
      </c>
      <c r="K30" s="3498">
        <f>'5. Персонал'!BZ50</f>
        <v>0</v>
      </c>
      <c r="L30" s="3498">
        <f>'5. Персонал'!CA50</f>
        <v>0</v>
      </c>
      <c r="M30" s="3498">
        <f>'5. Персонал'!CB50</f>
        <v>0</v>
      </c>
      <c r="N30" s="3498">
        <f>'5. Персонал'!CC50</f>
        <v>0</v>
      </c>
      <c r="O30" s="4215">
        <f t="shared" si="28"/>
        <v>0</v>
      </c>
      <c r="P30" s="4215">
        <f t="shared" si="29"/>
        <v>0</v>
      </c>
      <c r="R30" s="4291" t="s">
        <v>1564</v>
      </c>
      <c r="S30" s="4292">
        <f>IFERROR('8. Ремонтна програма'!J23/'8. Ремонтна програма'!J$24,0)</f>
        <v>1.8378386372238459E-2</v>
      </c>
      <c r="T30" s="4292">
        <f>IFERROR('8. Ремонтна програма'!K23/'8. Ремонтна програма'!K$24,0)</f>
        <v>1.8378386372238462E-2</v>
      </c>
      <c r="U30" s="4292">
        <f>IFERROR('8. Ремонтна програма'!L23/'8. Ремонтна програма'!L$24,0)</f>
        <v>1.8378386372238466E-2</v>
      </c>
      <c r="V30" s="4292">
        <f>IFERROR('8. Ремонтна програма'!M23/'8. Ремонтна програма'!M$24,0)</f>
        <v>1.8378386372238462E-2</v>
      </c>
      <c r="W30" s="4292">
        <f>IFERROR('8. Ремонтна програма'!N23/'8. Ремонтна програма'!N$24,0)</f>
        <v>1.8378386372238462E-2</v>
      </c>
      <c r="X30" s="4292">
        <f>IFERROR('8. Ремонтна програма'!O23/'8. Ремонтна програма'!O$24,0)</f>
        <v>1.8378386372238459E-2</v>
      </c>
      <c r="Y30" s="3505">
        <f t="shared" si="23"/>
        <v>1.8877864909807317E-16</v>
      </c>
      <c r="Z30" s="3505">
        <f t="shared" si="20"/>
        <v>-1.8877864909807314E-16</v>
      </c>
      <c r="AB30" s="3509" t="s">
        <v>1712</v>
      </c>
      <c r="AC30" s="3507"/>
      <c r="AD30" s="3507"/>
      <c r="AE30" s="3507"/>
      <c r="AF30" s="3507"/>
      <c r="AG30" s="3507"/>
      <c r="AH30" s="11"/>
      <c r="AI30" s="11"/>
      <c r="AK30" s="5431" t="s">
        <v>1909</v>
      </c>
      <c r="AL30" s="5432" t="str">
        <f>+'15. ОПП'!$C$7</f>
        <v>2027 г.</v>
      </c>
      <c r="AM30" s="5432" t="str">
        <f>+'15. ОПП'!$D$7</f>
        <v>2028 г.</v>
      </c>
      <c r="AN30" s="5432" t="str">
        <f>+'15. ОПП'!$E$7</f>
        <v>2029 г.</v>
      </c>
      <c r="AO30" s="5432" t="str">
        <f>+'15. ОПП'!$F$7</f>
        <v>2030 г.</v>
      </c>
      <c r="AP30" s="5432" t="str">
        <f>+'15. ОПП'!$G$7</f>
        <v>2031 г.</v>
      </c>
      <c r="AR30" s="5432" t="str">
        <f>+'15. ОПП'!$C$7</f>
        <v>2027 г.</v>
      </c>
      <c r="AS30" s="5432" t="str">
        <f>+'15. ОПП'!$D$7</f>
        <v>2028 г.</v>
      </c>
      <c r="AT30" s="5432" t="str">
        <f>+'15. ОПП'!$E$7</f>
        <v>2029 г.</v>
      </c>
      <c r="AU30" s="5432" t="str">
        <f>+'15. ОПП'!$F$7</f>
        <v>2030 г.</v>
      </c>
      <c r="AV30" s="5432" t="str">
        <f>+'15. ОПП'!$G$7</f>
        <v>2031 г.</v>
      </c>
    </row>
    <row r="31" spans="1:48" ht="13.5" customHeight="1">
      <c r="A31" s="3385" t="s">
        <v>1546</v>
      </c>
      <c r="B31" s="3493" t="s">
        <v>170</v>
      </c>
      <c r="C31" s="3494"/>
      <c r="D31" s="3495">
        <f>IFERROR((D30-C30)/C30,0)</f>
        <v>0</v>
      </c>
      <c r="E31" s="3495">
        <f t="shared" ref="E31:H31" si="35">IFERROR((E30-D30)/D30,0)</f>
        <v>0</v>
      </c>
      <c r="F31" s="3495">
        <f t="shared" si="35"/>
        <v>0</v>
      </c>
      <c r="G31" s="3495">
        <f t="shared" si="35"/>
        <v>0</v>
      </c>
      <c r="H31" s="3495">
        <f t="shared" si="35"/>
        <v>0</v>
      </c>
      <c r="I31" s="3494"/>
      <c r="J31" s="3496">
        <f>IFERROR((J30-I30)/I30,0)</f>
        <v>0</v>
      </c>
      <c r="K31" s="3496">
        <f t="shared" ref="K31:N31" si="36">IFERROR((K30-J30)/J30,0)</f>
        <v>0</v>
      </c>
      <c r="L31" s="3496">
        <f t="shared" si="36"/>
        <v>0</v>
      </c>
      <c r="M31" s="3496">
        <f t="shared" si="36"/>
        <v>0</v>
      </c>
      <c r="N31" s="3496">
        <f t="shared" si="36"/>
        <v>0</v>
      </c>
      <c r="O31" s="4215">
        <f t="shared" si="28"/>
        <v>0</v>
      </c>
      <c r="P31" s="4215">
        <f t="shared" si="29"/>
        <v>0</v>
      </c>
      <c r="AB31" s="5430" t="s">
        <v>1725</v>
      </c>
      <c r="AC31" s="5431" t="s">
        <v>184</v>
      </c>
      <c r="AD31" s="5431"/>
      <c r="AE31" s="5431"/>
      <c r="AF31" s="5431"/>
      <c r="AG31" s="5431"/>
      <c r="AK31" s="5431"/>
      <c r="AL31" s="5433" t="str">
        <f>+'15. ОПП'!$C$7</f>
        <v>2027 г.</v>
      </c>
      <c r="AM31" s="5433" t="str">
        <f>+'15. ОПП'!$D$7</f>
        <v>2028 г.</v>
      </c>
      <c r="AN31" s="5433" t="str">
        <f>+'15. ОПП'!$E$7</f>
        <v>2029 г.</v>
      </c>
      <c r="AO31" s="5433" t="str">
        <f>+'15. ОПП'!$F$7</f>
        <v>2030 г.</v>
      </c>
      <c r="AP31" s="5433" t="str">
        <f>+'15. ОПП'!$G$7</f>
        <v>2031 г.</v>
      </c>
      <c r="AR31" s="5433" t="str">
        <f>+'15. ОПП'!$C$7</f>
        <v>2027 г.</v>
      </c>
      <c r="AS31" s="5433" t="str">
        <f>+'15. ОПП'!$D$7</f>
        <v>2028 г.</v>
      </c>
      <c r="AT31" s="5433" t="str">
        <f>+'15. ОПП'!$E$7</f>
        <v>2029 г.</v>
      </c>
      <c r="AU31" s="5433" t="str">
        <f>+'15. ОПП'!$F$7</f>
        <v>2030 г.</v>
      </c>
      <c r="AV31" s="5433" t="str">
        <f>+'15. ОПП'!$G$7</f>
        <v>2031 г.</v>
      </c>
    </row>
    <row r="32" spans="1:48">
      <c r="A32" s="3384" t="s">
        <v>1544</v>
      </c>
      <c r="B32" s="3493" t="s">
        <v>170</v>
      </c>
      <c r="C32" s="3494"/>
      <c r="D32" s="3495">
        <f>IFERROR((D30-$C$30)/$C$30,0)</f>
        <v>0</v>
      </c>
      <c r="E32" s="3495">
        <f t="shared" ref="E32:H32" si="37">IFERROR((E30-$C$30)/$C$30,0)</f>
        <v>0</v>
      </c>
      <c r="F32" s="3495">
        <f t="shared" si="37"/>
        <v>0</v>
      </c>
      <c r="G32" s="3495">
        <f t="shared" si="37"/>
        <v>0</v>
      </c>
      <c r="H32" s="3495">
        <f t="shared" si="37"/>
        <v>0</v>
      </c>
      <c r="I32" s="3494"/>
      <c r="J32" s="3495">
        <f>IFERROR((J30-$I$30)/$I$30,0)</f>
        <v>0</v>
      </c>
      <c r="K32" s="3496">
        <f t="shared" ref="K32:N32" si="38">IFERROR((K30-$I$30)/$I$30,0)</f>
        <v>0</v>
      </c>
      <c r="L32" s="3495">
        <f t="shared" si="38"/>
        <v>0</v>
      </c>
      <c r="M32" s="3495">
        <f t="shared" si="38"/>
        <v>0</v>
      </c>
      <c r="N32" s="3495">
        <f t="shared" si="38"/>
        <v>0</v>
      </c>
      <c r="O32" s="4215">
        <f t="shared" si="28"/>
        <v>0</v>
      </c>
      <c r="P32" s="4215">
        <f t="shared" si="29"/>
        <v>0</v>
      </c>
      <c r="AB32" s="5430"/>
      <c r="AC32" s="4220" t="str">
        <f>+'15. ОПП'!$C$7</f>
        <v>2027 г.</v>
      </c>
      <c r="AD32" s="4220" t="str">
        <f>+'15. ОПП'!$D$7</f>
        <v>2028 г.</v>
      </c>
      <c r="AE32" s="4220" t="str">
        <f>+'15. ОПП'!$E$7</f>
        <v>2029 г.</v>
      </c>
      <c r="AF32" s="4220" t="str">
        <f>+'15. ОПП'!$F$7</f>
        <v>2030 г.</v>
      </c>
      <c r="AG32" s="4220" t="str">
        <f>+'15. ОПП'!$G$7</f>
        <v>2031 г.</v>
      </c>
      <c r="AK32" s="5436" t="s">
        <v>207</v>
      </c>
      <c r="AL32" s="5437"/>
      <c r="AM32" s="5437"/>
      <c r="AN32" s="5437"/>
      <c r="AO32" s="5437"/>
      <c r="AP32" s="5438"/>
      <c r="AR32" s="4524"/>
      <c r="AS32" s="4524"/>
      <c r="AT32" s="4524"/>
      <c r="AU32" s="4524"/>
      <c r="AV32" s="4525"/>
    </row>
    <row r="33" spans="1:48" ht="21" customHeight="1">
      <c r="A33" s="3383" t="s">
        <v>1548</v>
      </c>
      <c r="B33" s="3501" t="s">
        <v>170</v>
      </c>
      <c r="C33" s="3377">
        <f>'5. Персонал'!U62</f>
        <v>0</v>
      </c>
      <c r="D33" s="3377">
        <f>'5. Персонал'!V62</f>
        <v>0</v>
      </c>
      <c r="E33" s="3377">
        <f>'5. Персонал'!W62</f>
        <v>0</v>
      </c>
      <c r="F33" s="3377">
        <f>'5. Персонал'!X62</f>
        <v>0</v>
      </c>
      <c r="G33" s="3377">
        <f>'5. Персонал'!Y62</f>
        <v>0</v>
      </c>
      <c r="H33" s="3377">
        <f>'5. Персонал'!Z62</f>
        <v>0</v>
      </c>
      <c r="I33" s="3377">
        <f>'5. Персонал'!AA62</f>
        <v>0</v>
      </c>
      <c r="J33" s="3377">
        <f>'5. Персонал'!AB62</f>
        <v>0</v>
      </c>
      <c r="K33" s="3377">
        <f>'5. Персонал'!AC62</f>
        <v>0</v>
      </c>
      <c r="L33" s="3377">
        <f>'5. Персонал'!AD62</f>
        <v>0</v>
      </c>
      <c r="M33" s="3377">
        <f>'5. Персонал'!AE62</f>
        <v>0</v>
      </c>
      <c r="N33" s="3377">
        <f>'5. Персонал'!AF62</f>
        <v>0</v>
      </c>
      <c r="O33" s="4215">
        <f t="shared" si="28"/>
        <v>0</v>
      </c>
      <c r="P33" s="4215">
        <f t="shared" si="29"/>
        <v>0</v>
      </c>
      <c r="R33" s="4289" t="s">
        <v>1860</v>
      </c>
      <c r="S33" s="4290" t="str">
        <f>+'15. ОПП'!$B$7</f>
        <v>2024 г.</v>
      </c>
      <c r="T33" s="4290" t="str">
        <f>+'15. ОПП'!$C$7</f>
        <v>2027 г.</v>
      </c>
      <c r="U33" s="4290" t="str">
        <f>+'15. ОПП'!$D$7</f>
        <v>2028 г.</v>
      </c>
      <c r="V33" s="4290" t="str">
        <f>+'15. ОПП'!$E$7</f>
        <v>2029 г.</v>
      </c>
      <c r="W33" s="4290" t="str">
        <f>+'15. ОПП'!$F$7</f>
        <v>2030 г.</v>
      </c>
      <c r="X33" s="4290" t="str">
        <f>+'15. ОПП'!$G$7</f>
        <v>2031 г.</v>
      </c>
      <c r="Y33" s="4290" t="str">
        <f>+Y16</f>
        <v>Изменение 2027 г.спрямо 2024 г.</v>
      </c>
      <c r="Z33" s="4290" t="str">
        <f>+Z16</f>
        <v>Изменение 2031 г.спрямо 2027 г.</v>
      </c>
      <c r="AB33" s="4234" t="s">
        <v>1708</v>
      </c>
      <c r="AC33" s="3526" t="e">
        <f>'16. Необходими приходи'!#REF!</f>
        <v>#REF!</v>
      </c>
      <c r="AD33" s="3526">
        <f>'16. Необходими приходи'!D55</f>
        <v>48237</v>
      </c>
      <c r="AE33" s="3526">
        <f>'16. Необходими приходи'!E55</f>
        <v>49469</v>
      </c>
      <c r="AF33" s="3526">
        <f>'16. Необходими приходи'!F55</f>
        <v>49475</v>
      </c>
      <c r="AG33" s="3526">
        <f>'16. Необходими приходи'!G55</f>
        <v>49480</v>
      </c>
      <c r="AK33" s="1425" t="s">
        <v>608</v>
      </c>
      <c r="AL33" s="3492">
        <f>AR33</f>
        <v>2.3130000000000002</v>
      </c>
      <c r="AM33" s="3492">
        <f t="shared" ref="AM33:AP33" si="39">AS33</f>
        <v>2.4910000000000001</v>
      </c>
      <c r="AN33" s="3492">
        <f t="shared" si="39"/>
        <v>2.7320000000000002</v>
      </c>
      <c r="AO33" s="3492">
        <f t="shared" si="39"/>
        <v>2.93</v>
      </c>
      <c r="AP33" s="3492">
        <f t="shared" si="39"/>
        <v>2.9390000000000001</v>
      </c>
      <c r="AR33" s="3492">
        <f>AL5</f>
        <v>2.3130000000000002</v>
      </c>
      <c r="AS33" s="3492">
        <f>AM5</f>
        <v>2.4910000000000001</v>
      </c>
      <c r="AT33" s="3492">
        <f>AN5</f>
        <v>2.7320000000000002</v>
      </c>
      <c r="AU33" s="3492">
        <f>AO5</f>
        <v>2.93</v>
      </c>
      <c r="AV33" s="3492">
        <f>AP5</f>
        <v>2.9390000000000001</v>
      </c>
    </row>
    <row r="34" spans="1:48" ht="18.75" customHeight="1">
      <c r="A34" s="3383" t="s">
        <v>1547</v>
      </c>
      <c r="B34" s="3501" t="s">
        <v>170</v>
      </c>
      <c r="C34" s="3377">
        <f>'5. Персонал'!U63</f>
        <v>0</v>
      </c>
      <c r="D34" s="3377">
        <f>'5. Персонал'!V63</f>
        <v>0</v>
      </c>
      <c r="E34" s="3377">
        <f>'5. Персонал'!W63</f>
        <v>0</v>
      </c>
      <c r="F34" s="3377">
        <f>'5. Персонал'!X63</f>
        <v>0</v>
      </c>
      <c r="G34" s="3377">
        <f>'5. Персонал'!Y63</f>
        <v>0</v>
      </c>
      <c r="H34" s="3377">
        <f>'5. Персонал'!Z63</f>
        <v>0</v>
      </c>
      <c r="I34" s="3377">
        <f>'5. Персонал'!AA63</f>
        <v>0</v>
      </c>
      <c r="J34" s="3377">
        <f>'5. Персонал'!AB63</f>
        <v>0</v>
      </c>
      <c r="K34" s="3377">
        <f>'5. Персонал'!AC63</f>
        <v>0</v>
      </c>
      <c r="L34" s="3377">
        <f>'5. Персонал'!AD63</f>
        <v>0</v>
      </c>
      <c r="M34" s="3377">
        <f>'5. Персонал'!AE63</f>
        <v>0</v>
      </c>
      <c r="N34" s="3377">
        <f>'5. Персонал'!AF63</f>
        <v>0</v>
      </c>
      <c r="O34" s="4215">
        <f t="shared" si="28"/>
        <v>0</v>
      </c>
      <c r="P34" s="4215">
        <f t="shared" si="29"/>
        <v>0</v>
      </c>
      <c r="R34" s="4293" t="s">
        <v>1576</v>
      </c>
      <c r="S34" s="4292">
        <f>IFERROR('8. Ремонтна програма'!J41/'8. Ремонтна програма'!J$54,0)</f>
        <v>0</v>
      </c>
      <c r="T34" s="4292">
        <f>IFERROR('8. Ремонтна програма'!K41/'8. Ремонтна програма'!K$54,0)</f>
        <v>67.555626666666569</v>
      </c>
      <c r="U34" s="4292">
        <f>IFERROR('8. Ремонтна програма'!L41/'8. Ремонтна програма'!L$54,0)</f>
        <v>425.60044799999764</v>
      </c>
      <c r="V34" s="4292">
        <f>IFERROR('8. Ремонтна програма'!M41/'8. Ремонтна програма'!M$54,0)</f>
        <v>730.61410240000896</v>
      </c>
      <c r="W34" s="4292">
        <f>IFERROR('8. Ремонтна програма'!N41/'8. Ремонтна програма'!N$54,0)</f>
        <v>-1074.0027305280084</v>
      </c>
      <c r="X34" s="4292">
        <f>IFERROR('8. Ремонтна програма'!O41/'8. Ремонтна програма'!O$54,0)</f>
        <v>-515.52131065343997</v>
      </c>
      <c r="Y34" s="3505">
        <f t="shared" ref="Y34:Y45" si="40">IFERROR((T34-S34)/S34,0)</f>
        <v>0</v>
      </c>
      <c r="Z34" s="3505">
        <f t="shared" ref="Z34:Z55" si="41">IFERROR((X34-T34)/T34,0)</f>
        <v>-8.6310640000000092</v>
      </c>
      <c r="AB34" s="4234" t="s">
        <v>1709</v>
      </c>
      <c r="AC34" s="3526" t="e">
        <f>'16. Необходими приходи'!#REF!</f>
        <v>#REF!</v>
      </c>
      <c r="AD34" s="3526">
        <f>'16. Необходими приходи'!D56</f>
        <v>36000</v>
      </c>
      <c r="AE34" s="3526">
        <f>'16. Необходими приходи'!E56</f>
        <v>49678</v>
      </c>
      <c r="AF34" s="3526">
        <f>'16. Необходими приходи'!F56</f>
        <v>49684</v>
      </c>
      <c r="AG34" s="3526">
        <f>'16. Необходими приходи'!G56</f>
        <v>49689</v>
      </c>
      <c r="AK34" s="3394" t="s">
        <v>1928</v>
      </c>
      <c r="AL34" s="4301">
        <f>IFERROR(ROUND(AR34,5),"-")</f>
        <v>1.55047</v>
      </c>
      <c r="AM34" s="4532">
        <f t="shared" ref="AM34:AM39" si="42">IFERROR(ROUND(AS34,5),"-")</f>
        <v>1.54114</v>
      </c>
      <c r="AN34" s="4532">
        <f t="shared" ref="AN34:AN39" si="43">IFERROR(ROUND(AT34,5),"-")</f>
        <v>1.70831</v>
      </c>
      <c r="AO34" s="4532">
        <f t="shared" ref="AO34:AO39" si="44">IFERROR(ROUND(AU34,5),"-")</f>
        <v>1.84277</v>
      </c>
      <c r="AP34" s="4532">
        <f t="shared" ref="AP34:AP39" si="45">IFERROR(ROUND(AV34,5),"-")</f>
        <v>1.9578800000000001</v>
      </c>
      <c r="AR34" s="4301">
        <f>IFERROR(('12. Разходи'!BK88-'12. Разходи'!BK89)/'16. Необходими приходи'!D12,"-")</f>
        <v>1.5504685415266835</v>
      </c>
      <c r="AS34" s="4532">
        <f>IFERROR(('12. Разходи'!BK88-'12. Разходи'!BK89)/'16. Необходими приходи'!E12,"-")</f>
        <v>1.541136518518728</v>
      </c>
      <c r="AT34" s="4532">
        <f>IFERROR(('12. Разходи'!BL88-'12. Разходи'!BL89)/'16. Необходими приходи'!F12,"-")</f>
        <v>1.7083081027615328</v>
      </c>
      <c r="AU34" s="4532">
        <f>IFERROR(('12. Разходи'!BM88-'12. Разходи'!BM89)/'16. Необходими приходи'!G12,"-")</f>
        <v>1.8427679012666245</v>
      </c>
      <c r="AV34" s="4532">
        <f>IFERROR(('12. Разходи'!BN88-'12. Разходи'!BN89)/'16. Необходими приходи'!H12,"-")</f>
        <v>1.9578842935993368</v>
      </c>
    </row>
    <row r="35" spans="1:48" ht="14.25" customHeight="1">
      <c r="A35" s="5432" t="s">
        <v>2</v>
      </c>
      <c r="B35" s="5440" t="s">
        <v>1538</v>
      </c>
      <c r="C35" s="5442" t="s">
        <v>1539</v>
      </c>
      <c r="D35" s="5443"/>
      <c r="E35" s="5443"/>
      <c r="F35" s="5443"/>
      <c r="G35" s="5443"/>
      <c r="H35" s="5444"/>
      <c r="I35" s="5445" t="s">
        <v>1540</v>
      </c>
      <c r="J35" s="5446"/>
      <c r="K35" s="5446"/>
      <c r="L35" s="5446"/>
      <c r="M35" s="5446"/>
      <c r="N35" s="5447"/>
      <c r="O35" s="5432" t="str">
        <f>CONCATENATE("Изменение ", H36,"спрямо ",D36)</f>
        <v>Изменение 2031 г.спрямо 2027 г.</v>
      </c>
      <c r="P35" s="5432" t="str">
        <f>CONCATENATE("Изменение ", N36,"спрямо ",J36)</f>
        <v>Изменение 2031 г.спрямо 2027 г.</v>
      </c>
      <c r="R35" s="4291" t="s">
        <v>1575</v>
      </c>
      <c r="S35" s="4292">
        <f>IFERROR('8. Ремонтна програма'!J42/'8. Ремонтна програма'!J$54,0)</f>
        <v>0</v>
      </c>
      <c r="T35" s="4292">
        <f>IFERROR('8. Ремонтна програма'!K42/'8. Ремонтна програма'!K$54,0)</f>
        <v>15.839329999999977</v>
      </c>
      <c r="U35" s="4292">
        <f>IFERROR('8. Ремонтна програма'!L42/'8. Ремонтна програма'!L$54,0)</f>
        <v>99.787778999999432</v>
      </c>
      <c r="V35" s="4292">
        <f>IFERROR('8. Ремонтна програма'!M42/'8. Ремонтна програма'!M$54,0)</f>
        <v>171.3023539500021</v>
      </c>
      <c r="W35" s="4292">
        <f>IFERROR('8. Ремонтна програма'!N42/'8. Ремонтна програма'!N$54,0)</f>
        <v>-251.81446030650201</v>
      </c>
      <c r="X35" s="4292">
        <f>IFERROR('8. Ремонтна програма'!O42/'8. Ремонтна програма'!O$54,0)</f>
        <v>-120.87094094712</v>
      </c>
      <c r="Y35" s="3505">
        <f t="shared" si="40"/>
        <v>0</v>
      </c>
      <c r="Z35" s="3505">
        <f t="shared" si="41"/>
        <v>-8.6310640000000127</v>
      </c>
      <c r="AB35" s="4234" t="s">
        <v>1710</v>
      </c>
      <c r="AC35" s="3526" t="e">
        <f>'16. Необходими приходи'!#REF!</f>
        <v>#REF!</v>
      </c>
      <c r="AD35" s="3526">
        <f>'16. Необходими приходи'!D57</f>
        <v>39000</v>
      </c>
      <c r="AE35" s="3526">
        <f>'16. Необходими приходи'!E57</f>
        <v>74512</v>
      </c>
      <c r="AF35" s="3526">
        <f>'16. Необходими приходи'!F57</f>
        <v>74520</v>
      </c>
      <c r="AG35" s="3526">
        <f>'16. Необходими приходи'!G57</f>
        <v>74528</v>
      </c>
      <c r="AK35" s="3392" t="s">
        <v>1929</v>
      </c>
      <c r="AL35" s="4531">
        <f t="shared" ref="AL35:AL39" si="46">IFERROR(ROUND(AR35,5),"-")</f>
        <v>0.10605000000000001</v>
      </c>
      <c r="AM35" s="4533">
        <f t="shared" si="42"/>
        <v>0.11355999999999999</v>
      </c>
      <c r="AN35" s="4533">
        <f t="shared" si="43"/>
        <v>0.12748999999999999</v>
      </c>
      <c r="AO35" s="4533">
        <f t="shared" si="44"/>
        <v>0.15987999999999999</v>
      </c>
      <c r="AP35" s="4533">
        <f t="shared" si="45"/>
        <v>0.15672</v>
      </c>
      <c r="AR35" s="4531">
        <f>IFERROR('12. Разходи'!BK55/'16. Необходими приходи'!D12,"-")</f>
        <v>0.10605006523735779</v>
      </c>
      <c r="AS35" s="4533">
        <f>IFERROR('12. Разходи'!BL55/'16. Необходими приходи'!E12,"-")</f>
        <v>0.11355589447520252</v>
      </c>
      <c r="AT35" s="4533">
        <f>IFERROR('12. Разходи'!BM55/'16. Необходими приходи'!F12,"-")</f>
        <v>0.12748520414940265</v>
      </c>
      <c r="AU35" s="4533">
        <f>IFERROR('12. Разходи'!BN55/'16. Необходими приходи'!G12,"-")</f>
        <v>0.15988093508219892</v>
      </c>
      <c r="AV35" s="4533">
        <f>IFERROR('12. Разходи'!BO55/'16. Необходими приходи'!H12,"-")</f>
        <v>0.1567174846236703</v>
      </c>
    </row>
    <row r="36" spans="1:48" ht="12.75" customHeight="1">
      <c r="A36" s="5433"/>
      <c r="B36" s="5441"/>
      <c r="C36" s="4287" t="str">
        <f>+'15. ОПП'!$B$7</f>
        <v>2024 г.</v>
      </c>
      <c r="D36" s="4287" t="str">
        <f>+'15. ОПП'!$C$7</f>
        <v>2027 г.</v>
      </c>
      <c r="E36" s="4287" t="str">
        <f>+'15. ОПП'!$D$7</f>
        <v>2028 г.</v>
      </c>
      <c r="F36" s="4287" t="str">
        <f>+'15. ОПП'!$E$7</f>
        <v>2029 г.</v>
      </c>
      <c r="G36" s="4287" t="str">
        <f>+'15. ОПП'!$F$7</f>
        <v>2030 г.</v>
      </c>
      <c r="H36" s="4287" t="str">
        <f>+'15. ОПП'!$G$7</f>
        <v>2031 г.</v>
      </c>
      <c r="I36" s="4287" t="str">
        <f>+'15. ОПП'!$B$7</f>
        <v>2024 г.</v>
      </c>
      <c r="J36" s="4287" t="str">
        <f>+'15. ОПП'!$C$7</f>
        <v>2027 г.</v>
      </c>
      <c r="K36" s="4287" t="str">
        <f>+'15. ОПП'!$D$7</f>
        <v>2028 г.</v>
      </c>
      <c r="L36" s="4287" t="str">
        <f>+'15. ОПП'!$E$7</f>
        <v>2029 г.</v>
      </c>
      <c r="M36" s="4287" t="str">
        <f>+'15. ОПП'!$F$7</f>
        <v>2030 г.</v>
      </c>
      <c r="N36" s="4287" t="str">
        <f>+'15. ОПП'!$G$7</f>
        <v>2031 г.</v>
      </c>
      <c r="O36" s="5433"/>
      <c r="P36" s="5433"/>
      <c r="R36" s="4291" t="s">
        <v>1577</v>
      </c>
      <c r="S36" s="4292">
        <f>IFERROR('8. Ремонтна програма'!J43/'8. Ремонтна програма'!J$54,0)</f>
        <v>0</v>
      </c>
      <c r="T36" s="4292">
        <f>IFERROR('8. Ремонтна програма'!K43/'8. Ремонтна програма'!K$54,0)</f>
        <v>109.87058333333317</v>
      </c>
      <c r="U36" s="4292">
        <f>IFERROR('8. Ремонтна програма'!L43/'8. Ремонтна програма'!L$54,0)</f>
        <v>692.1846749999961</v>
      </c>
      <c r="V36" s="4292">
        <f>IFERROR('8. Ремонтна програма'!M43/'8. Ремонтна програма'!M$54,0)</f>
        <v>1188.2503587500146</v>
      </c>
      <c r="W36" s="4292">
        <f>IFERROR('8. Ремонтна програма'!N43/'8. Ремонтна програма'!N$54,0)</f>
        <v>-1746.7280273625136</v>
      </c>
      <c r="X36" s="4292">
        <f>IFERROR('8. Ремонтна програма'!O43/'8. Ремонтна програма'!O$54,0)</f>
        <v>-838.4294531339998</v>
      </c>
      <c r="Y36" s="3505">
        <f t="shared" si="40"/>
        <v>0</v>
      </c>
      <c r="Z36" s="3505">
        <f t="shared" si="41"/>
        <v>-8.6310640000000092</v>
      </c>
      <c r="AB36" s="4302" t="s">
        <v>1711</v>
      </c>
      <c r="AC36" s="3644" t="e">
        <f>SUM(AC33:AC35)</f>
        <v>#REF!</v>
      </c>
      <c r="AD36" s="3644">
        <f t="shared" ref="AD36:AG36" si="47">SUM(AD33:AD35)</f>
        <v>123237</v>
      </c>
      <c r="AE36" s="3644">
        <f t="shared" si="47"/>
        <v>173659</v>
      </c>
      <c r="AF36" s="3644">
        <f t="shared" si="47"/>
        <v>173679</v>
      </c>
      <c r="AG36" s="3644">
        <f t="shared" si="47"/>
        <v>173697</v>
      </c>
      <c r="AK36" s="3392" t="s">
        <v>1930</v>
      </c>
      <c r="AL36" s="4531">
        <f t="shared" si="46"/>
        <v>1.1667000000000001</v>
      </c>
      <c r="AM36" s="4533">
        <f t="shared" si="42"/>
        <v>1.2881199999999999</v>
      </c>
      <c r="AN36" s="4533">
        <f t="shared" si="43"/>
        <v>1.4521500000000001</v>
      </c>
      <c r="AO36" s="4533">
        <f t="shared" si="44"/>
        <v>1.62127</v>
      </c>
      <c r="AP36" s="4533">
        <f t="shared" si="45"/>
        <v>1.7032799999999999</v>
      </c>
      <c r="AR36" s="4531">
        <f>IFERROR(('12. Разходи'!BK59+'12. Разходи'!BK63)/'16. Необходими приходи'!D12,"-")</f>
        <v>1.1667008269652106</v>
      </c>
      <c r="AS36" s="4533">
        <f>IFERROR(('12. Разходи'!BL59+'12. Разходи'!BL63)/'16. Необходими приходи'!E12,"-")</f>
        <v>1.2881248947868602</v>
      </c>
      <c r="AT36" s="4533">
        <f>IFERROR(('12. Разходи'!BM59+'12. Разходи'!BM63)/'16. Необходими приходи'!F12,"-")</f>
        <v>1.4521489647891723</v>
      </c>
      <c r="AU36" s="4533">
        <f>IFERROR(('12. Разходи'!BN59+'12. Разходи'!BN63)/'16. Необходими приходи'!G12,"-")</f>
        <v>1.6212676109276982</v>
      </c>
      <c r="AV36" s="4533">
        <f>IFERROR(('12. Разходи'!BO59+'12. Разходи'!BO63)/'16. Необходими приходи'!H12,"-")</f>
        <v>1.7032780566877714</v>
      </c>
    </row>
    <row r="37" spans="1:48" ht="15" customHeight="1">
      <c r="A37" s="3382" t="s">
        <v>1543</v>
      </c>
      <c r="B37" s="3486" t="s">
        <v>676</v>
      </c>
      <c r="C37" s="3487">
        <f>C4+C26+I26</f>
        <v>512</v>
      </c>
      <c r="D37" s="3487">
        <f t="shared" ref="D37:H38" si="48">D4+D26+J26</f>
        <v>508</v>
      </c>
      <c r="E37" s="3487">
        <f t="shared" si="48"/>
        <v>508</v>
      </c>
      <c r="F37" s="3487">
        <f t="shared" si="48"/>
        <v>508</v>
      </c>
      <c r="G37" s="3487">
        <f t="shared" si="48"/>
        <v>518</v>
      </c>
      <c r="H37" s="3487">
        <f t="shared" si="48"/>
        <v>518</v>
      </c>
      <c r="I37" s="3487">
        <f>I4+C15</f>
        <v>61</v>
      </c>
      <c r="J37" s="3487">
        <f t="shared" ref="J37:N38" si="49">J4+D15</f>
        <v>58</v>
      </c>
      <c r="K37" s="3487">
        <f t="shared" si="49"/>
        <v>58</v>
      </c>
      <c r="L37" s="3487">
        <f t="shared" si="49"/>
        <v>58</v>
      </c>
      <c r="M37" s="3487">
        <f t="shared" si="49"/>
        <v>69</v>
      </c>
      <c r="N37" s="3487">
        <f t="shared" si="49"/>
        <v>69</v>
      </c>
      <c r="O37" s="4215">
        <f t="shared" ref="O37:O45" si="50">IFERROR((H37-D37)/D37,0)</f>
        <v>1.968503937007874E-2</v>
      </c>
      <c r="P37" s="4215">
        <f t="shared" ref="P37:P45" si="51">IFERROR((N37-J37)/J37,0)</f>
        <v>0.18965517241379309</v>
      </c>
      <c r="R37" s="4293" t="s">
        <v>1578</v>
      </c>
      <c r="S37" s="4292">
        <f>IFERROR('8. Ремонтна програма'!J44/'8. Ремонтна програма'!J$54,0)</f>
        <v>0</v>
      </c>
      <c r="T37" s="4292">
        <f>IFERROR('8. Ремонтна програма'!K44/'8. Ремонтна програма'!K$54,0)</f>
        <v>0.53858999999999924</v>
      </c>
      <c r="U37" s="4292">
        <f>IFERROR('8. Ремонтна програма'!L44/'8. Ремонтна програма'!L$54,0)</f>
        <v>3.3931169999999806</v>
      </c>
      <c r="V37" s="4292">
        <f>IFERROR('8. Ремонтна програма'!M44/'8. Ремонтна програма'!M$54,0)</f>
        <v>5.8248508500000709</v>
      </c>
      <c r="W37" s="4292">
        <f>IFERROR('8. Ремонтна програма'!N44/'8. Ремонтна програма'!N$54,0)</f>
        <v>-8.5625307495000662</v>
      </c>
      <c r="X37" s="4292">
        <f>IFERROR('8. Ремонтна програма'!O44/'8. Ремонтна програма'!O$54,0)</f>
        <v>-4.1100147597599985</v>
      </c>
      <c r="Y37" s="3505">
        <f t="shared" si="40"/>
        <v>0</v>
      </c>
      <c r="Z37" s="3505">
        <f t="shared" si="41"/>
        <v>-8.6310640000000074</v>
      </c>
      <c r="AK37" s="3394" t="s">
        <v>1931</v>
      </c>
      <c r="AL37" s="4301">
        <f t="shared" si="46"/>
        <v>0.64598</v>
      </c>
      <c r="AM37" s="4532">
        <f t="shared" si="42"/>
        <v>0.63978000000000002</v>
      </c>
      <c r="AN37" s="4532">
        <f t="shared" si="43"/>
        <v>0.64468999999999999</v>
      </c>
      <c r="AO37" s="4532">
        <f t="shared" si="44"/>
        <v>0.64781999999999995</v>
      </c>
      <c r="AP37" s="4532">
        <f t="shared" si="45"/>
        <v>0.60914999999999997</v>
      </c>
      <c r="AR37" s="4301">
        <f>IFERROR('12. Разходи'!BK89/'16. Необходими приходи'!D12,"-")</f>
        <v>0.64597876255039266</v>
      </c>
      <c r="AS37" s="4532">
        <f>IFERROR('12. Разходи'!BL89/'16. Необходими приходи'!E12,"-")</f>
        <v>0.63978390166667887</v>
      </c>
      <c r="AT37" s="4532">
        <f>IFERROR('12. Разходи'!BM89/'16. Необходими приходи'!F12,"-")</f>
        <v>0.64468716161682804</v>
      </c>
      <c r="AU37" s="4532">
        <f>IFERROR('12. Разходи'!BN89/'16. Необходими приходи'!G12,"-")</f>
        <v>0.64781943396625075</v>
      </c>
      <c r="AV37" s="4532">
        <f>IFERROR('12. Разходи'!BO89/'16. Необходими приходи'!H12,"-")</f>
        <v>0.60915303834000467</v>
      </c>
    </row>
    <row r="38" spans="1:48" ht="15" customHeight="1">
      <c r="A38" s="3379" t="s">
        <v>1536</v>
      </c>
      <c r="B38" s="3490" t="s">
        <v>1541</v>
      </c>
      <c r="C38" s="3487">
        <f>C5+C27+I27</f>
        <v>537</v>
      </c>
      <c r="D38" s="3487">
        <f t="shared" si="48"/>
        <v>532</v>
      </c>
      <c r="E38" s="3487">
        <f t="shared" si="48"/>
        <v>532</v>
      </c>
      <c r="F38" s="3487">
        <f t="shared" si="48"/>
        <v>532</v>
      </c>
      <c r="G38" s="3487">
        <f t="shared" si="48"/>
        <v>542</v>
      </c>
      <c r="H38" s="3487">
        <f t="shared" si="48"/>
        <v>542</v>
      </c>
      <c r="I38" s="3487">
        <f>I5+C16</f>
        <v>61</v>
      </c>
      <c r="J38" s="3487">
        <f t="shared" si="49"/>
        <v>58</v>
      </c>
      <c r="K38" s="3487">
        <f t="shared" si="49"/>
        <v>58</v>
      </c>
      <c r="L38" s="3487">
        <f t="shared" si="49"/>
        <v>58</v>
      </c>
      <c r="M38" s="3487">
        <f t="shared" si="49"/>
        <v>69</v>
      </c>
      <c r="N38" s="3487">
        <f t="shared" si="49"/>
        <v>69</v>
      </c>
      <c r="O38" s="4215">
        <f t="shared" si="50"/>
        <v>1.8796992481203006E-2</v>
      </c>
      <c r="P38" s="4215">
        <f t="shared" si="51"/>
        <v>0.18965517241379309</v>
      </c>
      <c r="R38" s="4291" t="s">
        <v>1579</v>
      </c>
      <c r="S38" s="4292">
        <f>IFERROR('8. Ремонтна програма'!J45/'8. Ремонтна програма'!J$54,0)</f>
        <v>0</v>
      </c>
      <c r="T38" s="4292">
        <f>IFERROR('8. Ремонтна програма'!K45/'8. Ремонтна програма'!K$54,0)</f>
        <v>0</v>
      </c>
      <c r="U38" s="4292">
        <f>IFERROR('8. Ремонтна програма'!L45/'8. Ремонтна програма'!L$54,0)</f>
        <v>0</v>
      </c>
      <c r="V38" s="4292">
        <f>IFERROR('8. Ремонтна програма'!M45/'8. Ремонтна програма'!M$54,0)</f>
        <v>0</v>
      </c>
      <c r="W38" s="4292">
        <f>IFERROR('8. Ремонтна програма'!N45/'8. Ремонтна програма'!N$54,0)</f>
        <v>0</v>
      </c>
      <c r="X38" s="4292">
        <f>IFERROR('8. Ремонтна програма'!O45/'8. Ремонтна програма'!O$54,0)</f>
        <v>0</v>
      </c>
      <c r="Y38" s="3505">
        <f t="shared" si="40"/>
        <v>0</v>
      </c>
      <c r="Z38" s="3505">
        <f t="shared" si="41"/>
        <v>0</v>
      </c>
      <c r="AK38" s="3392" t="s">
        <v>1932</v>
      </c>
      <c r="AL38" s="4531">
        <f t="shared" si="46"/>
        <v>0.58811000000000002</v>
      </c>
      <c r="AM38" s="4533">
        <f t="shared" si="42"/>
        <v>0.58165</v>
      </c>
      <c r="AN38" s="4533">
        <f t="shared" si="43"/>
        <v>0.58526</v>
      </c>
      <c r="AO38" s="4533">
        <f t="shared" si="44"/>
        <v>0.58906000000000003</v>
      </c>
      <c r="AP38" s="4533">
        <f t="shared" si="45"/>
        <v>0.55308000000000002</v>
      </c>
      <c r="AR38" s="4531">
        <f>IFERROR('12. Разходи'!BK17/'16. Необходими приходи'!D12,"-")</f>
        <v>0.58811233229105275</v>
      </c>
      <c r="AS38" s="4533">
        <f>IFERROR('12. Разходи'!BL17/'16. Необходими приходи'!E12,"-")</f>
        <v>0.5816497171830658</v>
      </c>
      <c r="AT38" s="4533">
        <f>IFERROR('12. Разходи'!BM17/'16. Необходими приходи'!F12,"-")</f>
        <v>0.58525684419524582</v>
      </c>
      <c r="AU38" s="4533">
        <f>IFERROR('12. Разходи'!BN17/'16. Необходими приходи'!G12,"-")</f>
        <v>0.58906198380803476</v>
      </c>
      <c r="AV38" s="4533">
        <f>IFERROR('12. Разходи'!BO17/'16. Необходими приходи'!H12,"-")</f>
        <v>0.55308211105869098</v>
      </c>
    </row>
    <row r="39" spans="1:48" ht="15" customHeight="1">
      <c r="A39" s="3385" t="s">
        <v>1546</v>
      </c>
      <c r="B39" s="3493" t="s">
        <v>170</v>
      </c>
      <c r="C39" s="3494"/>
      <c r="D39" s="3495">
        <f>IFERROR((D38-C38)/C38,0)</f>
        <v>-9.3109869646182501E-3</v>
      </c>
      <c r="E39" s="3495">
        <f t="shared" ref="E39:H39" si="52">IFERROR((E38-D38)/D38,0)</f>
        <v>0</v>
      </c>
      <c r="F39" s="3495">
        <f t="shared" si="52"/>
        <v>0</v>
      </c>
      <c r="G39" s="3495">
        <f t="shared" si="52"/>
        <v>1.8796992481203006E-2</v>
      </c>
      <c r="H39" s="3495">
        <f t="shared" si="52"/>
        <v>0</v>
      </c>
      <c r="I39" s="3494"/>
      <c r="J39" s="3496">
        <f>IFERROR((J38-I38)/I38,0)</f>
        <v>-4.9180327868852458E-2</v>
      </c>
      <c r="K39" s="3496">
        <f t="shared" ref="K39:N39" si="53">IFERROR((K38-J38)/J38,0)</f>
        <v>0</v>
      </c>
      <c r="L39" s="3496">
        <f t="shared" si="53"/>
        <v>0</v>
      </c>
      <c r="M39" s="3496">
        <f t="shared" si="53"/>
        <v>0.18965517241379309</v>
      </c>
      <c r="N39" s="3496">
        <f t="shared" si="53"/>
        <v>0</v>
      </c>
      <c r="O39" s="4215">
        <f t="shared" si="50"/>
        <v>-1</v>
      </c>
      <c r="P39" s="4215">
        <f t="shared" si="51"/>
        <v>-1</v>
      </c>
      <c r="R39" s="4291" t="s">
        <v>1580</v>
      </c>
      <c r="S39" s="4292">
        <f>IFERROR('8. Ремонтна програма'!J46/'8. Ремонтна програма'!J$54,0)</f>
        <v>0</v>
      </c>
      <c r="T39" s="4292">
        <f>IFERROR('8. Ремонтна програма'!K46/'8. Ремонтна програма'!K$54,0)</f>
        <v>105.76110999999986</v>
      </c>
      <c r="U39" s="4292">
        <f>IFERROR('8. Ремонтна програма'!L46/'8. Ремонтна програма'!L$54,0)</f>
        <v>666.29499299999623</v>
      </c>
      <c r="V39" s="4292">
        <f>IFERROR('8. Ремонтна програма'!M46/'8. Ремонтна програма'!M$54,0)</f>
        <v>1143.806404650014</v>
      </c>
      <c r="W39" s="4292">
        <f>IFERROR('8. Ремонтна програма'!N46/'8. Ремонтна програма'!N$54,0)</f>
        <v>-1681.3954148355133</v>
      </c>
      <c r="X39" s="4292">
        <f>IFERROR('8. Ремонтна програма'!O46/'8. Ремонтна програма'!O$54,0)</f>
        <v>-807.06979912103986</v>
      </c>
      <c r="Y39" s="3505">
        <f t="shared" si="40"/>
        <v>0</v>
      </c>
      <c r="Z39" s="3505">
        <f t="shared" si="41"/>
        <v>-8.6310640000000074</v>
      </c>
      <c r="AK39" s="3394" t="s">
        <v>1933</v>
      </c>
      <c r="AL39" s="4301">
        <f t="shared" si="46"/>
        <v>0.22847999999999999</v>
      </c>
      <c r="AM39" s="4532">
        <f t="shared" si="42"/>
        <v>0.31651000000000001</v>
      </c>
      <c r="AN39" s="4532">
        <f t="shared" si="43"/>
        <v>0.40776000000000001</v>
      </c>
      <c r="AO39" s="4532">
        <f t="shared" si="44"/>
        <v>0.40526000000000001</v>
      </c>
      <c r="AP39" s="4532">
        <f t="shared" si="45"/>
        <v>0.38422000000000001</v>
      </c>
      <c r="AR39" s="4301">
        <f>IFERROR('16. Необходими приходи'!D9/'16. Необходими приходи'!D12,"-")</f>
        <v>0.22848166487661054</v>
      </c>
      <c r="AS39" s="4532">
        <f>IFERROR('16. Необходими приходи'!E9/'16. Необходими приходи'!E12,"-")</f>
        <v>0.31651420748015624</v>
      </c>
      <c r="AT39" s="4532">
        <f>IFERROR('16. Необходими приходи'!F9/'16. Необходими приходи'!F12,"-")</f>
        <v>0.40776095392424216</v>
      </c>
      <c r="AU39" s="4532">
        <f>IFERROR('16. Необходими приходи'!G9/'16. Необходими приходи'!G12,"-")</f>
        <v>0.4052587551054645</v>
      </c>
      <c r="AV39" s="4532">
        <f>IFERROR('16. Необходими приходи'!H9/'16. Необходими приходи'!H12,"-")</f>
        <v>0.38421982548662759</v>
      </c>
    </row>
    <row r="40" spans="1:48">
      <c r="A40" s="3385" t="s">
        <v>1545</v>
      </c>
      <c r="B40" s="3493" t="s">
        <v>170</v>
      </c>
      <c r="C40" s="3494"/>
      <c r="D40" s="3495">
        <f>IFERROR((D38-$C$38)/$C$38,0)</f>
        <v>-9.3109869646182501E-3</v>
      </c>
      <c r="E40" s="3495">
        <f t="shared" ref="E40:H40" si="54">IFERROR((E38-$C$38)/$C$38,0)</f>
        <v>-9.3109869646182501E-3</v>
      </c>
      <c r="F40" s="3495">
        <f t="shared" si="54"/>
        <v>-9.3109869646182501E-3</v>
      </c>
      <c r="G40" s="3495">
        <f t="shared" si="54"/>
        <v>9.3109869646182501E-3</v>
      </c>
      <c r="H40" s="3495">
        <f t="shared" si="54"/>
        <v>9.3109869646182501E-3</v>
      </c>
      <c r="I40" s="3494"/>
      <c r="J40" s="3506">
        <f>IFERROR((J38-$I$38)/$I$38,0)</f>
        <v>-4.9180327868852458E-2</v>
      </c>
      <c r="K40" s="3496">
        <f t="shared" ref="K40:N40" si="55">IFERROR((K38-$I$38)/$I$38,0)</f>
        <v>-4.9180327868852458E-2</v>
      </c>
      <c r="L40" s="3495">
        <f t="shared" si="55"/>
        <v>-4.9180327868852458E-2</v>
      </c>
      <c r="M40" s="3495">
        <f t="shared" si="55"/>
        <v>0.13114754098360656</v>
      </c>
      <c r="N40" s="3495">
        <f t="shared" si="55"/>
        <v>0.13114754098360656</v>
      </c>
      <c r="O40" s="4215">
        <f t="shared" si="50"/>
        <v>-2</v>
      </c>
      <c r="P40" s="4215">
        <f t="shared" si="51"/>
        <v>-3.666666666666667</v>
      </c>
      <c r="R40" s="4291" t="s">
        <v>1581</v>
      </c>
      <c r="S40" s="4292">
        <f>IFERROR('8. Ремонтна програма'!J47/'8. Ремонтна програма'!J$54,0)</f>
        <v>0</v>
      </c>
      <c r="T40" s="4292">
        <f>IFERROR('8. Ремонтна програма'!K47/'8. Ремонтна програма'!K$54,0)</f>
        <v>1522.484599999998</v>
      </c>
      <c r="U40" s="4292">
        <f>IFERROR('8. Ремонтна програма'!L47/'8. Ремонтна програма'!L$54,0)</f>
        <v>9591.6529799999462</v>
      </c>
      <c r="V40" s="4292">
        <f>IFERROR('8. Ремонтна програма'!M47/'8. Ремонтна програма'!M$54,0)</f>
        <v>16465.670949000203</v>
      </c>
      <c r="W40" s="4292">
        <f>IFERROR('8. Ремонтна програма'!N47/'8. Ремонтна програма'!N$54,0)</f>
        <v>-24204.536295030193</v>
      </c>
      <c r="X40" s="4292">
        <f>IFERROR('8. Ремонтна програма'!O47/'8. Ремонтна програма'!O$54,0)</f>
        <v>-11618.1774216144</v>
      </c>
      <c r="Y40" s="3505">
        <f t="shared" si="40"/>
        <v>0</v>
      </c>
      <c r="Z40" s="3505">
        <f t="shared" si="41"/>
        <v>-8.6310640000000109</v>
      </c>
      <c r="AK40" s="5436" t="s">
        <v>174</v>
      </c>
      <c r="AL40" s="5437"/>
      <c r="AM40" s="5437"/>
      <c r="AN40" s="5437"/>
      <c r="AO40" s="5437"/>
      <c r="AP40" s="5438"/>
      <c r="AR40" s="4524"/>
      <c r="AS40" s="4524"/>
      <c r="AT40" s="4524"/>
      <c r="AU40" s="4524"/>
      <c r="AV40" s="4525"/>
    </row>
    <row r="41" spans="1:48" ht="15" customHeight="1">
      <c r="A41" s="3380" t="s">
        <v>1908</v>
      </c>
      <c r="B41" s="3497" t="s">
        <v>1906</v>
      </c>
      <c r="C41" s="3498">
        <f>IFERROR(('5. Персонал'!AZ29+'5. Персонал'!BR29+'5. Персонал'!BX29)/C38,0)</f>
        <v>8.3777602656341266</v>
      </c>
      <c r="D41" s="3498">
        <f>IFERROR(('5. Персонал'!BA29+'5. Персонал'!BS29+'5. Персонал'!BY29)/D38,0)</f>
        <v>12.919730749851063</v>
      </c>
      <c r="E41" s="3498">
        <f>IFERROR(('5. Персонал'!BB29+'5. Персонал'!BT29+'5. Персонал'!BZ29)/E38,0)</f>
        <v>14.470098439833192</v>
      </c>
      <c r="F41" s="3498">
        <f>IFERROR(('5. Персонал'!BC29+'5. Персонал'!BU29+'5. Персонал'!CA29)/F38,0)</f>
        <v>16.206510252613178</v>
      </c>
      <c r="G41" s="3498">
        <f>IFERROR(('5. Персонал'!BD29+'5. Персонал'!BV29+'5. Персонал'!CB29)/G38,0)</f>
        <v>18.293621720569629</v>
      </c>
      <c r="H41" s="3498">
        <f>IFERROR(('5. Персонал'!BE29+'5. Персонал'!BW29+'5. Персонал'!CC29)/H38,0)</f>
        <v>20.488856327037986</v>
      </c>
      <c r="I41" s="3498">
        <f>IFERROR(('5. Персонал'!BF29+'5. Персонал'!BL29)/I38,0)</f>
        <v>8.9015078332849846</v>
      </c>
      <c r="J41" s="3498">
        <f>IFERROR(('5. Персонал'!BG29+'5. Персонал'!BM29)/J38,0)</f>
        <v>13.223065893005652</v>
      </c>
      <c r="K41" s="3498">
        <f>IFERROR(('5. Персонал'!BH29+'5. Персонал'!BN29)/K38,0)</f>
        <v>14.809833800166329</v>
      </c>
      <c r="L41" s="3498">
        <f>IFERROR(('5. Персонал'!BI29+'5. Персонал'!BO29)/L38,0)</f>
        <v>16.587013856186289</v>
      </c>
      <c r="M41" s="3498">
        <f>IFERROR(('5. Персонал'!BJ29+'5. Персонал'!BP29)/M38,0)</f>
        <v>15.898869133509208</v>
      </c>
      <c r="N41" s="3498">
        <f>IFERROR(('5. Персонал'!BK29+'5. Персонал'!BQ29)/N38,0)</f>
        <v>17.806733429530311</v>
      </c>
      <c r="O41" s="4215">
        <f t="shared" si="50"/>
        <v>0.58585784206642078</v>
      </c>
      <c r="P41" s="4215">
        <f t="shared" si="51"/>
        <v>0.34664181314782627</v>
      </c>
      <c r="R41" s="4291" t="s">
        <v>1070</v>
      </c>
      <c r="S41" s="4292">
        <f>IFERROR('8. Ремонтна програма'!J48/'8. Ремонтна програма'!J$54,0)</f>
        <v>0</v>
      </c>
      <c r="T41" s="4292">
        <f>IFERROR('8. Ремонтна програма'!K48/'8. Ремонтна програма'!K$54,0)</f>
        <v>1522.484599999998</v>
      </c>
      <c r="U41" s="4292">
        <f>IFERROR('8. Ремонтна програма'!L48/'8. Ремонтна програма'!L$54,0)</f>
        <v>9591.6529799999462</v>
      </c>
      <c r="V41" s="4292">
        <f>IFERROR('8. Ремонтна програма'!M48/'8. Ремонтна програма'!M$54,0)</f>
        <v>16465.670949000203</v>
      </c>
      <c r="W41" s="4292">
        <f>IFERROR('8. Ремонтна програма'!N48/'8. Ремонтна програма'!N$54,0)</f>
        <v>-24204.536295030193</v>
      </c>
      <c r="X41" s="4292">
        <f>IFERROR('8. Ремонтна програма'!O48/'8. Ремонтна програма'!O$54,0)</f>
        <v>-11618.1774216144</v>
      </c>
      <c r="Y41" s="3505">
        <f t="shared" si="40"/>
        <v>0</v>
      </c>
      <c r="Z41" s="3505">
        <f t="shared" si="41"/>
        <v>-8.6310640000000109</v>
      </c>
      <c r="AK41" s="1425" t="s">
        <v>608</v>
      </c>
      <c r="AL41" s="3492">
        <f>AR41</f>
        <v>0.185</v>
      </c>
      <c r="AM41" s="3492">
        <f t="shared" ref="AM41:AP41" si="56">AS41</f>
        <v>0.214</v>
      </c>
      <c r="AN41" s="3492">
        <f t="shared" si="56"/>
        <v>0.222</v>
      </c>
      <c r="AO41" s="3492">
        <f t="shared" si="56"/>
        <v>0.25</v>
      </c>
      <c r="AP41" s="3492">
        <f t="shared" si="56"/>
        <v>0.26400000000000001</v>
      </c>
      <c r="AR41" s="3492">
        <f>AL7</f>
        <v>0.185</v>
      </c>
      <c r="AS41" s="3492">
        <f>AM7</f>
        <v>0.214</v>
      </c>
      <c r="AT41" s="3492">
        <f>AN7</f>
        <v>0.222</v>
      </c>
      <c r="AU41" s="3492">
        <f>AO7</f>
        <v>0.25</v>
      </c>
      <c r="AV41" s="3492">
        <f>AP7</f>
        <v>0.26400000000000001</v>
      </c>
    </row>
    <row r="42" spans="1:48" ht="15" customHeight="1">
      <c r="A42" s="3385" t="s">
        <v>1546</v>
      </c>
      <c r="B42" s="3493" t="s">
        <v>170</v>
      </c>
      <c r="C42" s="3494"/>
      <c r="D42" s="3495">
        <f>IFERROR((D41-C41)/C41,0)</f>
        <v>0.5421461512629171</v>
      </c>
      <c r="E42" s="3495">
        <f t="shared" ref="E42:H42" si="57">IFERROR((E41-D41)/D41,0)</f>
        <v>0.12000000000000018</v>
      </c>
      <c r="F42" s="3495">
        <f t="shared" si="57"/>
        <v>0.12000000000000019</v>
      </c>
      <c r="G42" s="3495">
        <f t="shared" si="57"/>
        <v>0.12878228782287782</v>
      </c>
      <c r="H42" s="3495">
        <f t="shared" si="57"/>
        <v>0.12000000000000011</v>
      </c>
      <c r="I42" s="3494"/>
      <c r="J42" s="3496">
        <f>IFERROR((J41-I41)/I41,0)</f>
        <v>0.48548607052406006</v>
      </c>
      <c r="K42" s="3496">
        <f t="shared" ref="K42:N42" si="58">IFERROR((K41-J41)/J41,0)</f>
        <v>0.11999999999999993</v>
      </c>
      <c r="L42" s="3496">
        <f t="shared" si="58"/>
        <v>0.12000000000000002</v>
      </c>
      <c r="M42" s="3496">
        <f t="shared" si="58"/>
        <v>-4.1486956521738838E-2</v>
      </c>
      <c r="N42" s="3496">
        <f t="shared" si="58"/>
        <v>0.11999999999999986</v>
      </c>
      <c r="O42" s="4215">
        <f t="shared" si="50"/>
        <v>-0.77865747138393804</v>
      </c>
      <c r="P42" s="4215">
        <f t="shared" si="51"/>
        <v>-0.75282504012841134</v>
      </c>
      <c r="R42" s="4291" t="s">
        <v>1072</v>
      </c>
      <c r="S42" s="4292">
        <f>IFERROR('8. Ремонтна програма'!J49/'8. Ремонтна програма'!J$54,0)</f>
        <v>0</v>
      </c>
      <c r="T42" s="4292">
        <f>IFERROR('8. Ремонтна програма'!K49/'8. Ремонтна програма'!K$54,0)</f>
        <v>0</v>
      </c>
      <c r="U42" s="4292">
        <f>IFERROR('8. Ремонтна програма'!L49/'8. Ремонтна програма'!L$54,0)</f>
        <v>0</v>
      </c>
      <c r="V42" s="4292">
        <f>IFERROR('8. Ремонтна програма'!M49/'8. Ремонтна програма'!M$54,0)</f>
        <v>0</v>
      </c>
      <c r="W42" s="4292">
        <f>IFERROR('8. Ремонтна програма'!N49/'8. Ремонтна програма'!N$54,0)</f>
        <v>0</v>
      </c>
      <c r="X42" s="4292">
        <f>IFERROR('8. Ремонтна програма'!O49/'8. Ремонтна програма'!O$54,0)</f>
        <v>0</v>
      </c>
      <c r="Y42" s="3505">
        <f t="shared" si="40"/>
        <v>0</v>
      </c>
      <c r="Z42" s="3505">
        <f t="shared" si="41"/>
        <v>0</v>
      </c>
      <c r="AK42" s="3394" t="s">
        <v>1928</v>
      </c>
      <c r="AL42" s="4301">
        <f>IFERROR(ROUND(AR42,5),"-")</f>
        <v>0.15398000000000001</v>
      </c>
      <c r="AM42" s="4532">
        <f t="shared" ref="AM42:AM47" si="59">IFERROR(ROUND(AS42,5),"-")</f>
        <v>0.16656000000000001</v>
      </c>
      <c r="AN42" s="4532">
        <f t="shared" ref="AN42:AN47" si="60">IFERROR(ROUND(AT42,5),"-")</f>
        <v>0.15937999999999999</v>
      </c>
      <c r="AO42" s="4532">
        <f t="shared" ref="AO42:AO47" si="61">IFERROR(ROUND(AU42,5),"-")</f>
        <v>0.18064</v>
      </c>
      <c r="AP42" s="4532">
        <f t="shared" ref="AP42:AP47" si="62">IFERROR(ROUND(AV42,5),"-")</f>
        <v>0.19292999999999999</v>
      </c>
      <c r="AR42" s="4301">
        <f>IFERROR(('12. Разходи'!BR88-'12. Разходи'!BR89)/'16. Необходими приходи'!D18,"-")</f>
        <v>0.15397506507952521</v>
      </c>
      <c r="AS42" s="4532">
        <f>IFERROR(('12. Разходи'!BS88-'12. Разходи'!BS89)/'16. Необходими приходи'!E18,"-")</f>
        <v>0.16656114065404201</v>
      </c>
      <c r="AT42" s="4532">
        <f>IFERROR(('12. Разходи'!BT88-'12. Разходи'!BT89)/'16. Необходими приходи'!F18,"-")</f>
        <v>0.15937535509447587</v>
      </c>
      <c r="AU42" s="4532">
        <f>IFERROR(('12. Разходи'!BU88-'12. Разходи'!BU89)/'16. Необходими приходи'!G18,"-")</f>
        <v>0.18063655723770403</v>
      </c>
      <c r="AV42" s="4532">
        <f>IFERROR(('12. Разходи'!BV88-'12. Разходи'!BV89)/'16. Необходими приходи'!H18,"-")</f>
        <v>0.1929289490424077</v>
      </c>
    </row>
    <row r="43" spans="1:48" ht="15" customHeight="1">
      <c r="A43" s="3384" t="s">
        <v>1544</v>
      </c>
      <c r="B43" s="3493" t="s">
        <v>170</v>
      </c>
      <c r="C43" s="3494"/>
      <c r="D43" s="3495">
        <f>IFERROR((D41-$C$41)/$C$41,0)</f>
        <v>0.5421461512629171</v>
      </c>
      <c r="E43" s="3495">
        <f t="shared" ref="E43:H43" si="63">IFERROR((E41-$C$41)/$C$41,0)</f>
        <v>0.72720368941446745</v>
      </c>
      <c r="F43" s="3495">
        <f t="shared" si="63"/>
        <v>0.93446813214420388</v>
      </c>
      <c r="G43" s="3495">
        <f t="shared" si="63"/>
        <v>1.1835933639221836</v>
      </c>
      <c r="H43" s="3495">
        <f t="shared" si="63"/>
        <v>1.4456245675928459</v>
      </c>
      <c r="I43" s="3494"/>
      <c r="J43" s="3495">
        <f>IFERROR((J41-$I$41)/$I$41,0)</f>
        <v>0.48548607052406006</v>
      </c>
      <c r="K43" s="3496">
        <f t="shared" ref="K43:N43" si="64">IFERROR((K41-$I$41)/$I$41,0)</f>
        <v>0.66374439898694715</v>
      </c>
      <c r="L43" s="3495">
        <f t="shared" si="64"/>
        <v>0.86339372686538085</v>
      </c>
      <c r="M43" s="3495">
        <f t="shared" si="64"/>
        <v>0.78608719233603586</v>
      </c>
      <c r="N43" s="3495">
        <f t="shared" si="64"/>
        <v>1.00041765541636</v>
      </c>
      <c r="O43" s="4215">
        <f t="shared" si="50"/>
        <v>1.6664849768375121</v>
      </c>
      <c r="P43" s="4215">
        <f t="shared" si="51"/>
        <v>1.0606516152697332</v>
      </c>
      <c r="R43" s="4291" t="s">
        <v>916</v>
      </c>
      <c r="S43" s="4292">
        <f>IFERROR('8. Ремонтна програма'!J50/'8. Ремонтна програма'!J$54,0)</f>
        <v>0</v>
      </c>
      <c r="T43" s="4292">
        <f>IFERROR('8. Ремонтна програма'!K50/'8. Ремонтна програма'!K$54,0)</f>
        <v>0</v>
      </c>
      <c r="U43" s="4292">
        <f>IFERROR('8. Ремонтна програма'!L50/'8. Ремонтна програма'!L$54,0)</f>
        <v>0</v>
      </c>
      <c r="V43" s="4292">
        <f>IFERROR('8. Ремонтна програма'!M50/'8. Ремонтна програма'!M$54,0)</f>
        <v>0</v>
      </c>
      <c r="W43" s="4292">
        <f>IFERROR('8. Ремонтна програма'!N50/'8. Ремонтна програма'!N$54,0)</f>
        <v>0</v>
      </c>
      <c r="X43" s="4292">
        <f>IFERROR('8. Ремонтна програма'!O50/'8. Ремонтна програма'!O$54,0)</f>
        <v>0</v>
      </c>
      <c r="Y43" s="3505">
        <f t="shared" si="40"/>
        <v>0</v>
      </c>
      <c r="Z43" s="3505">
        <f t="shared" si="41"/>
        <v>0</v>
      </c>
      <c r="AK43" s="3392" t="s">
        <v>1929</v>
      </c>
      <c r="AL43" s="4531">
        <f t="shared" ref="AL43:AL47" si="65">IFERROR(ROUND(AR43,5),"-")</f>
        <v>4.6240000000000003E-2</v>
      </c>
      <c r="AM43" s="4533">
        <f t="shared" si="59"/>
        <v>4.8980000000000003E-2</v>
      </c>
      <c r="AN43" s="4533">
        <f t="shared" si="60"/>
        <v>3.2009999999999997E-2</v>
      </c>
      <c r="AO43" s="4533">
        <f t="shared" si="61"/>
        <v>4.496E-2</v>
      </c>
      <c r="AP43" s="4533">
        <f t="shared" si="62"/>
        <v>4.9020000000000001E-2</v>
      </c>
      <c r="AR43" s="4531">
        <f>IFERROR('12. Разходи'!BR55/'16. Необходими приходи'!D18,"-")</f>
        <v>4.6241968524864896E-2</v>
      </c>
      <c r="AS43" s="4533">
        <f>IFERROR('12. Разходи'!BS55/'16. Необходими приходи'!E18,"-")</f>
        <v>4.8975689194288484E-2</v>
      </c>
      <c r="AT43" s="4533">
        <f>IFERROR('12. Разходи'!BT55/'16. Необходими приходи'!F18,"-")</f>
        <v>3.2012635115255067E-2</v>
      </c>
      <c r="AU43" s="4533">
        <f>IFERROR('12. Разходи'!BU55/'16. Необходими приходи'!G18,"-")</f>
        <v>4.495572703968316E-2</v>
      </c>
      <c r="AV43" s="4533">
        <f>IFERROR('12. Разходи'!BV55/'16. Необходими приходи'!H18,"-")</f>
        <v>4.9023993701259788E-2</v>
      </c>
    </row>
    <row r="44" spans="1:48" ht="15" customHeight="1">
      <c r="A44" s="3383" t="s">
        <v>1548</v>
      </c>
      <c r="B44" s="3501" t="s">
        <v>170</v>
      </c>
      <c r="C44" s="3377">
        <f>IFERROR(('5. Персонал'!C42+'5. Персонал'!U42+'5. Персонал'!AA42)/('5. Персонал'!C29+'5. Персонал'!U29+'5. Персонал'!AA29),0)</f>
        <v>0.1909307875894988</v>
      </c>
      <c r="D44" s="3377">
        <f>IFERROR(('5. Персонал'!D42+'5. Персонал'!V42+'5. Персонал'!AB42)/('5. Персонал'!D29+'5. Персонал'!V29+'5. Персонал'!AB29),0)</f>
        <v>0.19489697240199361</v>
      </c>
      <c r="E44" s="3377">
        <f>IFERROR(('5. Персонал'!E42+'5. Персонал'!W42+'5. Персонал'!AC42)/('5. Персонал'!E29+'5. Персонал'!W29+'5. Персонал'!AC29),0)</f>
        <v>0.19489697240199358</v>
      </c>
      <c r="F44" s="3377">
        <f>IFERROR(('5. Персонал'!F42+'5. Персонал'!X42+'5. Персонал'!AD42)/('5. Персонал'!F29+'5. Персонал'!X29+'5. Персонал'!AD29),0)</f>
        <v>0.19489697240199358</v>
      </c>
      <c r="G44" s="3377">
        <f>IFERROR(('5. Персонал'!G42+'5. Персонал'!Y42+'5. Персонал'!AE42)/('5. Персонал'!G29+'5. Персонал'!Y29+'5. Персонал'!AE29),0)</f>
        <v>0.19489697240199361</v>
      </c>
      <c r="H44" s="3377">
        <f>IFERROR(('5. Персонал'!H42+'5. Персонал'!Z42+'5. Персонал'!AF42)/('5. Персонал'!H29+'5. Персонал'!Z29+'5. Персонал'!AF29),0)</f>
        <v>0.19489697240199363</v>
      </c>
      <c r="I44" s="3377">
        <f>IFERROR(('5. Персонал'!I42+'5. Персонал'!O42)/('5. Персонал'!I29+'5. Персонал'!O29),0)</f>
        <v>0.20150659133709981</v>
      </c>
      <c r="J44" s="3377">
        <f>IFERROR(('5. Персонал'!J42+'5. Персонал'!P42)/('5. Персонал'!J29+'5. Персонал'!P29),0)</f>
        <v>0.18666666666666668</v>
      </c>
      <c r="K44" s="3377">
        <f>IFERROR(('5. Персонал'!K42+'5. Персонал'!Q42)/('5. Персонал'!K29+'5. Персонал'!Q29),0)</f>
        <v>0.18666666666666665</v>
      </c>
      <c r="L44" s="3377">
        <f>IFERROR(('5. Персонал'!L42+'5. Персонал'!R42)/('5. Персонал'!L29+'5. Персонал'!R29),0)</f>
        <v>0.18666666666666668</v>
      </c>
      <c r="M44" s="3377">
        <f>IFERROR(('5. Персонал'!M42+'5. Персонал'!S42)/('5. Персонал'!M29+'5. Персонал'!S29),0)</f>
        <v>0.18676371715045748</v>
      </c>
      <c r="N44" s="3377">
        <f>IFERROR(('5. Персонал'!N42+'5. Персонал'!T42)/('5. Персонал'!N29+'5. Персонал'!T29),0)</f>
        <v>0.1867637171504575</v>
      </c>
      <c r="O44" s="4215">
        <f t="shared" si="50"/>
        <v>1.4241152786293873E-16</v>
      </c>
      <c r="P44" s="4215">
        <f t="shared" si="51"/>
        <v>5.1991330602229365E-4</v>
      </c>
      <c r="R44" s="4293" t="s">
        <v>1356</v>
      </c>
      <c r="S44" s="4292">
        <f>IFERROR('8. Ремонтна програма'!J51/'8. Ремонтна програма'!J$54,0)</f>
        <v>0</v>
      </c>
      <c r="T44" s="4292">
        <f>IFERROR('8. Ремонтна програма'!K51/'8. Ремонтна програма'!K$54,0)</f>
        <v>15.489846666666644</v>
      </c>
      <c r="U44" s="4292">
        <f>IFERROR('8. Ремонтна програма'!L51/'8. Ремонтна програма'!L$54,0)</f>
        <v>97.586033999999444</v>
      </c>
      <c r="V44" s="4292">
        <f>IFERROR('8. Ремонтна програма'!M51/'8. Ремонтна програма'!M$54,0)</f>
        <v>167.52269170000204</v>
      </c>
      <c r="W44" s="4292">
        <f>IFERROR('8. Ремонтна програма'!N51/'8. Ремонтна програма'!N$54,0)</f>
        <v>-246.25835679900194</v>
      </c>
      <c r="X44" s="4292">
        <f>IFERROR('8. Ремонтна програма'!O51/'8. Ремонтна програма'!O$54,0)</f>
        <v>-118.20401126351999</v>
      </c>
      <c r="Y44" s="3505">
        <f t="shared" si="40"/>
        <v>0</v>
      </c>
      <c r="Z44" s="3505">
        <f t="shared" si="41"/>
        <v>-8.6310640000000109</v>
      </c>
      <c r="AK44" s="3392" t="s">
        <v>1930</v>
      </c>
      <c r="AL44" s="4531">
        <f t="shared" si="65"/>
        <v>5.4539999999999998E-2</v>
      </c>
      <c r="AM44" s="4533">
        <f t="shared" si="59"/>
        <v>6.1269999999999998E-2</v>
      </c>
      <c r="AN44" s="4533">
        <f t="shared" si="60"/>
        <v>6.8760000000000002E-2</v>
      </c>
      <c r="AO44" s="4533">
        <f t="shared" si="61"/>
        <v>7.7340000000000006E-2</v>
      </c>
      <c r="AP44" s="4533">
        <f t="shared" si="62"/>
        <v>8.6919999999999997E-2</v>
      </c>
      <c r="AR44" s="4531">
        <f>IFERROR(('12. Разходи'!BR59+'12. Разходи'!BR63)/'16. Необходими приходи'!D18,"-")</f>
        <v>5.4540011831701866E-2</v>
      </c>
      <c r="AS44" s="4533">
        <f>IFERROR(('12. Разходи'!BS59+'12. Разходи'!BS63)/'16. Необходими приходи'!E18,"-")</f>
        <v>6.1273852803224289E-2</v>
      </c>
      <c r="AT44" s="4533">
        <f>IFERROR(('12. Разходи'!BT59+'12. Разходи'!BT63)/'16. Необходими приходи'!F18,"-")</f>
        <v>6.8759518612871093E-2</v>
      </c>
      <c r="AU44" s="4533">
        <f>IFERROR(('12. Разходи'!BU59+'12. Разходи'!BU63)/'16. Необходими приходи'!G18,"-")</f>
        <v>7.7335353001175069E-2</v>
      </c>
      <c r="AV44" s="4533">
        <f>IFERROR(('12. Разходи'!BV59+'12. Разходи'!BV63)/'16. Необходими приходи'!H18,"-")</f>
        <v>8.69244581402141E-2</v>
      </c>
    </row>
    <row r="45" spans="1:48" ht="15" customHeight="1">
      <c r="A45" s="3383" t="s">
        <v>1547</v>
      </c>
      <c r="B45" s="3501" t="s">
        <v>170</v>
      </c>
      <c r="C45" s="3377">
        <f>IFERROR(('5. Персонал'!C46+'5. Персонал'!U46+'5. Персонал'!AA46)/('5. Персонал'!C29+'5. Персонал'!U29+'5. Персонал'!AA29),0)</f>
        <v>0.12728719172633254</v>
      </c>
      <c r="D45" s="3377">
        <f>IFERROR(('5. Персонал'!D46+'5. Персонал'!V46+'5. Персонал'!AB46)/('5. Персонал'!D29+'5. Персонал'!V29+'5. Персонал'!AB29),0)</f>
        <v>9.9680130923157029E-2</v>
      </c>
      <c r="E45" s="3377">
        <f>IFERROR(('5. Персонал'!E46+'5. Персонал'!W46+'5. Персонал'!AC46)/('5. Персонал'!E29+'5. Персонал'!W29+'5. Персонал'!AC29),0)</f>
        <v>8.9000116895675913E-2</v>
      </c>
      <c r="F45" s="3377">
        <f>IFERROR(('5. Персонал'!F46+'5. Персонал'!X46+'5. Персонал'!AD46)/('5. Персонал'!F29+'5. Персонал'!X29+'5. Персонал'!AD29),0)</f>
        <v>8.302249710417528E-2</v>
      </c>
      <c r="G45" s="3377">
        <f>IFERROR(('5. Персонал'!G46+'5. Персонал'!Y46+'5. Персонал'!AE46)/('5. Персонал'!G29+'5. Персонал'!Y29+'5. Персонал'!AE29),0)</f>
        <v>7.0285505312416729E-2</v>
      </c>
      <c r="H45" s="3377">
        <f>IFERROR(('5. Персонал'!H46+'5. Персонал'!Z46+'5. Персонал'!AF46)/('5. Персонал'!H29+'5. Персонал'!Z29+'5. Персонал'!AF29),0)</f>
        <v>6.2754915457514937E-2</v>
      </c>
      <c r="I45" s="3377">
        <f>IFERROR(('5. Персонал'!I46+'5. Персонал'!O46)/('5. Персонал'!I29+'5. Персонал'!O29),0)</f>
        <v>0.128060263653484</v>
      </c>
      <c r="J45" s="3377">
        <f>IFERROR(('5. Персонал'!J46+'5. Персонал'!P46)/('5. Персонал'!J29+'5. Персонал'!P29),0)</f>
        <v>0.10103157894736842</v>
      </c>
      <c r="K45" s="3377">
        <f>IFERROR(('5. Персонал'!K46+'5. Персонал'!Q46)/('5. Персонал'!K29+'5. Персонал'!Q29),0)</f>
        <v>9.047619047619046E-2</v>
      </c>
      <c r="L45" s="3377">
        <f>IFERROR(('5. Персонал'!L46+'5. Персонал'!R46)/('5. Персонал'!L29+'5. Персонал'!R29),0)</f>
        <v>8.0250850340136043E-2</v>
      </c>
      <c r="M45" s="3377">
        <f>IFERROR(('5. Персонал'!M46+'5. Персонал'!S46)/('5. Персонал'!M29+'5. Персонал'!S29),0)</f>
        <v>8.2494850084206262E-2</v>
      </c>
      <c r="N45" s="3377">
        <f>IFERROR(('5. Персонал'!N46+'5. Персонал'!T46)/('5. Персонал'!N29+'5. Персонал'!T29),0)</f>
        <v>7.365611614661273E-2</v>
      </c>
      <c r="O45" s="4215">
        <f t="shared" si="50"/>
        <v>-0.37043706828703482</v>
      </c>
      <c r="P45" s="4215">
        <f t="shared" si="51"/>
        <v>-0.27095946718814234</v>
      </c>
      <c r="R45" s="4293" t="s">
        <v>1582</v>
      </c>
      <c r="S45" s="4292">
        <f>IFERROR('8. Ремонтна програма'!J52/'8. Ремонтна програма'!J$54,0)</f>
        <v>0</v>
      </c>
      <c r="T45" s="4292">
        <f>IFERROR('8. Ремонтна програма'!K52/'8. Ремонтна програма'!K$54,0)</f>
        <v>7.1742233333333232</v>
      </c>
      <c r="U45" s="4292">
        <f>IFERROR('8. Ремонтна програма'!L52/'8. Ремонтна програма'!L$54,0)</f>
        <v>45.197606999999749</v>
      </c>
      <c r="V45" s="4292">
        <f>IFERROR('8. Ремонтна програма'!M52/'8. Ремонтна програма'!M$54,0)</f>
        <v>77.589225350000959</v>
      </c>
      <c r="W45" s="4292">
        <f>IFERROR('8. Ремонтна програма'!N52/'8. Ремонтна програма'!N$54,0)</f>
        <v>-114.05616126450091</v>
      </c>
      <c r="X45" s="4292">
        <f>IFERROR('8. Ремонтна програма'!O52/'8. Ремонтна програма'!O$54,0)</f>
        <v>-54.746957406959993</v>
      </c>
      <c r="Y45" s="3505">
        <f t="shared" si="40"/>
        <v>0</v>
      </c>
      <c r="Z45" s="3505">
        <f t="shared" si="41"/>
        <v>-8.6310640000000092</v>
      </c>
      <c r="AK45" s="3394" t="s">
        <v>1931</v>
      </c>
      <c r="AL45" s="4301">
        <f t="shared" si="65"/>
        <v>1.23E-2</v>
      </c>
      <c r="AM45" s="4532">
        <f t="shared" si="59"/>
        <v>1.248E-2</v>
      </c>
      <c r="AN45" s="4532">
        <f t="shared" si="60"/>
        <v>1.2659999999999999E-2</v>
      </c>
      <c r="AO45" s="4532">
        <f t="shared" si="61"/>
        <v>1.6969999999999999E-2</v>
      </c>
      <c r="AP45" s="4532">
        <f t="shared" si="62"/>
        <v>1.7180000000000001E-2</v>
      </c>
      <c r="AR45" s="4301">
        <f>IFERROR('12. Разходи'!BR89/'16. Необходими приходи'!D18,"-")</f>
        <v>1.2304278257006137E-2</v>
      </c>
      <c r="AS45" s="4532">
        <f>IFERROR('12. Разходи'!BS89/'16. Необходими приходи'!E18,"-")</f>
        <v>1.2479461088829323E-2</v>
      </c>
      <c r="AT45" s="4532">
        <f>IFERROR('12. Разходи'!BT89/'16. Необходими приходи'!F18,"-")</f>
        <v>1.2659760346248706E-2</v>
      </c>
      <c r="AU45" s="4532">
        <f>IFERROR('12. Разходи'!BU89/'16. Необходими приходи'!G18,"-")</f>
        <v>1.6966995424732685E-2</v>
      </c>
      <c r="AV45" s="4532">
        <f>IFERROR('12. Разходи'!BV89/'16. Необходими приходи'!H18,"-")</f>
        <v>1.7177921561114692E-2</v>
      </c>
    </row>
    <row r="46" spans="1:48" ht="15" customHeight="1">
      <c r="R46" s="4289" t="s">
        <v>1861</v>
      </c>
      <c r="S46" s="4290" t="str">
        <f>+'15. ОПП'!$B$7</f>
        <v>2024 г.</v>
      </c>
      <c r="T46" s="4290" t="str">
        <f>+'15. ОПП'!$C$7</f>
        <v>2027 г.</v>
      </c>
      <c r="U46" s="4290" t="str">
        <f>+'15. ОПП'!$D$7</f>
        <v>2028 г.</v>
      </c>
      <c r="V46" s="4290" t="str">
        <f>+'15. ОПП'!$E$7</f>
        <v>2029 г.</v>
      </c>
      <c r="W46" s="4290" t="str">
        <f>+'15. ОПП'!$F$7</f>
        <v>2030 г.</v>
      </c>
      <c r="X46" s="4290" t="str">
        <f>+'15. ОПП'!$G$7</f>
        <v>2031 г.</v>
      </c>
      <c r="Y46" s="4290" t="str">
        <f>+Y33</f>
        <v>Изменение 2027 г.спрямо 2024 г.</v>
      </c>
      <c r="Z46" s="4290" t="str">
        <f>+Z33</f>
        <v>Изменение 2031 г.спрямо 2027 г.</v>
      </c>
      <c r="AK46" s="3392" t="s">
        <v>1932</v>
      </c>
      <c r="AL46" s="4531">
        <f t="shared" si="65"/>
        <v>1.0699999999999999E-2</v>
      </c>
      <c r="AM46" s="4533">
        <f t="shared" si="59"/>
        <v>1.081E-2</v>
      </c>
      <c r="AN46" s="4533">
        <f t="shared" si="60"/>
        <v>1.0919999999999999E-2</v>
      </c>
      <c r="AO46" s="4533">
        <f t="shared" si="61"/>
        <v>1.515E-2</v>
      </c>
      <c r="AP46" s="4533">
        <f t="shared" si="62"/>
        <v>1.529E-2</v>
      </c>
      <c r="AR46" s="4531">
        <f>IFERROR('12. Разходи'!BR17/'16. Необходими приходи'!D18,"-")</f>
        <v>1.0696300221582718E-2</v>
      </c>
      <c r="AS46" s="4533">
        <f>IFERROR('12. Разходи'!BS17/'16. Необходими приходи'!E18,"-")</f>
        <v>1.0806223213197167E-2</v>
      </c>
      <c r="AT46" s="4533">
        <f>IFERROR('12. Разходи'!BT17/'16. Необходими приходи'!F18,"-")</f>
        <v>1.0918429989823017E-2</v>
      </c>
      <c r="AU46" s="4533">
        <f>IFERROR('12. Разходи'!BU17/'16. Необходими приходи'!G18,"-")</f>
        <v>1.5154606153592768E-2</v>
      </c>
      <c r="AV46" s="4533">
        <f>IFERROR('12. Разходи'!BV17/'16. Необходими приходи'!H18,"-")</f>
        <v>1.5293991030377142E-2</v>
      </c>
    </row>
    <row r="47" spans="1:48" ht="15" customHeight="1">
      <c r="R47" s="4293" t="s">
        <v>1583</v>
      </c>
      <c r="S47" s="4292">
        <f>IFERROR('8. Ремонтна програма'!J71/'8. Ремонтна програма'!J$80,0)</f>
        <v>0</v>
      </c>
      <c r="T47" s="4292">
        <f>IFERROR('8. Ремонтна програма'!K71/'8. Ремонтна програма'!K$80,0)</f>
        <v>233.00333333333325</v>
      </c>
      <c r="U47" s="4292">
        <f>IFERROR('8. Ремонтна програма'!L71/'8. Ремонтна програма'!L$80,0)</f>
        <v>1467.9209999999971</v>
      </c>
      <c r="V47" s="4292">
        <f>IFERROR('8. Ремонтна програма'!M71/'8. Ремонтна програма'!M$80,0)</f>
        <v>2519.9310500000142</v>
      </c>
      <c r="W47" s="4292">
        <f>IFERROR('8. Ремонтна програма'!N71/'8. Ремонтна програма'!N$80,0)</f>
        <v>-3704.2986435000703</v>
      </c>
      <c r="X47" s="4292">
        <f>IFERROR('8. Ремонтна програма'!O71/'8. Ремонтна програма'!O$80,0)</f>
        <v>-1778.0633488799817</v>
      </c>
      <c r="Y47" s="3505">
        <f t="shared" ref="Y47:Y55" si="66">IFERROR((T47-S47)/S47,0)</f>
        <v>0</v>
      </c>
      <c r="Z47" s="3505">
        <f t="shared" si="41"/>
        <v>-8.6310639999999257</v>
      </c>
      <c r="AK47" s="3394" t="s">
        <v>1933</v>
      </c>
      <c r="AL47" s="4301">
        <f t="shared" si="65"/>
        <v>3.5729999999999998E-2</v>
      </c>
      <c r="AM47" s="4532">
        <f t="shared" si="59"/>
        <v>6.8040000000000003E-2</v>
      </c>
      <c r="AN47" s="4532">
        <f t="shared" si="60"/>
        <v>9.7909999999999997E-2</v>
      </c>
      <c r="AO47" s="4532">
        <f t="shared" si="61"/>
        <v>0.10206</v>
      </c>
      <c r="AP47" s="4532">
        <f t="shared" si="62"/>
        <v>0.10587000000000001</v>
      </c>
      <c r="AR47" s="4301">
        <f>IFERROR('16. Необходими приходи'!D15/'16. Необходими приходи'!D18,"-")</f>
        <v>3.5730679652294678E-2</v>
      </c>
      <c r="AS47" s="4532">
        <f>IFERROR('16. Необходими приходи'!E15/'16. Необходими приходи'!E18,"-")</f>
        <v>6.8044563904132493E-2</v>
      </c>
      <c r="AT47" s="4532">
        <f>IFERROR('16. Необходими приходи'!F15/'16. Необходими приходи'!F18,"-")</f>
        <v>9.7910642385253474E-2</v>
      </c>
      <c r="AU47" s="4532">
        <f>IFERROR('16. Необходими приходи'!G15/'16. Необходими приходи'!G18,"-")</f>
        <v>0.10205906961399687</v>
      </c>
      <c r="AV47" s="4532">
        <f>IFERROR('16. Необходими приходи'!H15/'16. Необходими приходи'!H18,"-")</f>
        <v>0.10586799821767472</v>
      </c>
    </row>
    <row r="48" spans="1:48" ht="15" customHeight="1">
      <c r="R48" s="4293" t="s">
        <v>1584</v>
      </c>
      <c r="S48" s="4292">
        <f>IFERROR('8. Ремонтна програма'!J72/'8. Ремонтна програма'!J$80,0)</f>
        <v>0</v>
      </c>
      <c r="T48" s="4292">
        <f>IFERROR('8. Ремонтна програма'!K72/'8. Ремонтна програма'!K$80,0)</f>
        <v>21.600453333333324</v>
      </c>
      <c r="U48" s="4292">
        <f>IFERROR('8. Ремонтна програма'!L72/'8. Ремонтна програма'!L$80,0)</f>
        <v>136.08285599999971</v>
      </c>
      <c r="V48" s="4292">
        <f>IFERROR('8. Ремонтна програма'!M72/'8. Ремонтна програма'!M$80,0)</f>
        <v>233.60890280000135</v>
      </c>
      <c r="W48" s="4292">
        <f>IFERROR('8. Ремонтна програма'!N72/'8. Ремонтна програма'!N$80,0)</f>
        <v>-343.40508711600648</v>
      </c>
      <c r="X48" s="4292">
        <f>IFERROR('8. Ремонтна програма'!O72/'8. Ремонтна програма'!O$80,0)</f>
        <v>-164.8344418156783</v>
      </c>
      <c r="Y48" s="3505">
        <f t="shared" si="66"/>
        <v>0</v>
      </c>
      <c r="Z48" s="3505">
        <f t="shared" si="41"/>
        <v>-8.6310639999999239</v>
      </c>
      <c r="AK48" s="5436" t="s">
        <v>184</v>
      </c>
      <c r="AL48" s="5437"/>
      <c r="AM48" s="5437"/>
      <c r="AN48" s="5437"/>
      <c r="AO48" s="5437"/>
      <c r="AP48" s="5438"/>
      <c r="AR48" s="4524"/>
      <c r="AS48" s="4524"/>
      <c r="AT48" s="4524"/>
      <c r="AU48" s="4524"/>
      <c r="AV48" s="4525"/>
    </row>
    <row r="49" spans="18:48" ht="15" customHeight="1">
      <c r="R49" s="4293" t="s">
        <v>1585</v>
      </c>
      <c r="S49" s="4292">
        <f>IFERROR('8. Ремонтна програма'!J73/'8. Ремонтна програма'!J$80,0)</f>
        <v>0</v>
      </c>
      <c r="T49" s="4292">
        <f>IFERROR('8. Ремонтна програма'!K73/'8. Ремонтна програма'!K$80,0)</f>
        <v>3.5155899999999987</v>
      </c>
      <c r="U49" s="4292">
        <f>IFERROR('8. Ремонтна програма'!L73/'8. Ремонтна програма'!L$80,0)</f>
        <v>22.148216999999953</v>
      </c>
      <c r="V49" s="4292">
        <f>IFERROR('8. Ремонтна програма'!M73/'8. Ремонтна програма'!M$80,0)</f>
        <v>38.021105850000211</v>
      </c>
      <c r="W49" s="4292">
        <f>IFERROR('8. Ремонтна програма'!N73/'8. Ремонтна програма'!N$80,0)</f>
        <v>-55.891025599501049</v>
      </c>
      <c r="X49" s="4292">
        <f>IFERROR('8. Ремонтна програма'!O73/'8. Ремонтна програма'!O$80,0)</f>
        <v>-26.827692287759717</v>
      </c>
      <c r="Y49" s="3505">
        <f t="shared" si="66"/>
        <v>0</v>
      </c>
      <c r="Z49" s="3505">
        <f t="shared" si="41"/>
        <v>-8.6310639999999221</v>
      </c>
      <c r="AK49" s="1425" t="s">
        <v>608</v>
      </c>
      <c r="AL49" s="3492">
        <f>AR49</f>
        <v>0.371</v>
      </c>
      <c r="AM49" s="3492">
        <f t="shared" ref="AM49:AP49" si="67">AS49</f>
        <v>0.41399999999999998</v>
      </c>
      <c r="AN49" s="3492">
        <f t="shared" si="67"/>
        <v>0.45500000000000002</v>
      </c>
      <c r="AO49" s="3492">
        <f t="shared" si="67"/>
        <v>0.504</v>
      </c>
      <c r="AP49" s="3492">
        <f t="shared" si="67"/>
        <v>0.53300000000000003</v>
      </c>
      <c r="AR49" s="3492">
        <f>AL9</f>
        <v>0.371</v>
      </c>
      <c r="AS49" s="3492">
        <f>AM9</f>
        <v>0.41399999999999998</v>
      </c>
      <c r="AT49" s="3492">
        <f>AN9</f>
        <v>0.45500000000000002</v>
      </c>
      <c r="AU49" s="3492">
        <f>AO9</f>
        <v>0.504</v>
      </c>
      <c r="AV49" s="3492">
        <f>AP9</f>
        <v>0.53300000000000003</v>
      </c>
    </row>
    <row r="50" spans="18:48" ht="15" customHeight="1">
      <c r="R50" s="4293" t="s">
        <v>1586</v>
      </c>
      <c r="S50" s="4292">
        <f>IFERROR('8. Ремонтна програма'!J74/'8. Ремонтна програма'!J$80,0)</f>
        <v>0</v>
      </c>
      <c r="T50" s="4292">
        <f>IFERROR('8. Ремонтна програма'!K74/'8. Ремонтна програма'!K$80,0)</f>
        <v>13.586559999999995</v>
      </c>
      <c r="U50" s="4292">
        <f>IFERROR('8. Ремонтна програма'!L74/'8. Ремонтна програма'!L$80,0)</f>
        <v>85.595327999999824</v>
      </c>
      <c r="V50" s="4292">
        <f>IFERROR('8. Ремонтна програма'!M74/'8. Ремонтна програма'!M$80,0)</f>
        <v>146.93864640000083</v>
      </c>
      <c r="W50" s="4292">
        <f>IFERROR('8. Ремонтна програма'!N74/'8. Ремонтна програма'!N$80,0)</f>
        <v>-215.99981020800408</v>
      </c>
      <c r="X50" s="4292">
        <f>IFERROR('8. Ремонтна програма'!O74/'8. Ремонтна програма'!O$80,0)</f>
        <v>-103.67990889983892</v>
      </c>
      <c r="Y50" s="3505">
        <f t="shared" si="66"/>
        <v>0</v>
      </c>
      <c r="Z50" s="3505">
        <f t="shared" si="41"/>
        <v>-8.6310639999999239</v>
      </c>
      <c r="AK50" s="3394" t="s">
        <v>1928</v>
      </c>
      <c r="AL50" s="4301">
        <f>IFERROR(ROUND(AR50,5),"-")</f>
        <v>0.22942000000000001</v>
      </c>
      <c r="AM50" s="4532">
        <f t="shared" ref="AM50:AM55" si="68">IFERROR(ROUND(AS50,5),"-")</f>
        <v>0.25223000000000001</v>
      </c>
      <c r="AN50" s="4532">
        <f t="shared" ref="AN50:AN55" si="69">IFERROR(ROUND(AT50,5),"-")</f>
        <v>0.26889999999999997</v>
      </c>
      <c r="AO50" s="4532">
        <f t="shared" ref="AO50:AO55" si="70">IFERROR(ROUND(AU50,5),"-")</f>
        <v>0.30920999999999998</v>
      </c>
      <c r="AP50" s="4532">
        <f t="shared" ref="AP50:AP55" si="71">IFERROR(ROUND(AV50,5),"-")</f>
        <v>0.34083000000000002</v>
      </c>
      <c r="AR50" s="4301">
        <f>IFERROR(('12. Разходи'!BY88-'12. Разходи'!BY89)/AR57,"-")</f>
        <v>0.22941845071895209</v>
      </c>
      <c r="AS50" s="4301">
        <f>IFERROR(('12. Разходи'!BZ88-'12. Разходи'!BZ89)/AS57,"-")</f>
        <v>0.25223185600826908</v>
      </c>
      <c r="AT50" s="4301">
        <f>IFERROR(('12. Разходи'!CA88-'12. Разходи'!CA89)/AT57,"-")</f>
        <v>0.26889560803771156</v>
      </c>
      <c r="AU50" s="4301">
        <f>IFERROR(('12. Разходи'!CB88-'12. Разходи'!CB89)/AU57,"-")</f>
        <v>0.30920792482071063</v>
      </c>
      <c r="AV50" s="4301">
        <f>IFERROR(('12. Разходи'!CC88-'12. Разходи'!CC89)/AV57,"-")</f>
        <v>0.34082860580733965</v>
      </c>
    </row>
    <row r="51" spans="18:48" ht="15" customHeight="1">
      <c r="R51" s="4293" t="s">
        <v>1587</v>
      </c>
      <c r="S51" s="4292">
        <f>IFERROR('8. Ремонтна програма'!J75/'8. Ремонтна програма'!J$80,0)</f>
        <v>0</v>
      </c>
      <c r="T51" s="4292">
        <f>IFERROR('8. Ремонтна програма'!K75/'8. Ремонтна програма'!K$80,0)</f>
        <v>0</v>
      </c>
      <c r="U51" s="4292">
        <f>IFERROR('8. Ремонтна програма'!L75/'8. Ремонтна програма'!L$80,0)</f>
        <v>0</v>
      </c>
      <c r="V51" s="4292">
        <f>IFERROR('8. Ремонтна програма'!M75/'8. Ремонтна програма'!M$80,0)</f>
        <v>0</v>
      </c>
      <c r="W51" s="4292">
        <f>IFERROR('8. Ремонтна програма'!N75/'8. Ремонтна програма'!N$80,0)</f>
        <v>0</v>
      </c>
      <c r="X51" s="4292">
        <f>IFERROR('8. Ремонтна програма'!O75/'8. Ремонтна програма'!O$80,0)</f>
        <v>0</v>
      </c>
      <c r="Y51" s="3505">
        <f t="shared" si="66"/>
        <v>0</v>
      </c>
      <c r="Z51" s="3505">
        <f t="shared" si="41"/>
        <v>0</v>
      </c>
      <c r="AK51" s="3392" t="s">
        <v>1929</v>
      </c>
      <c r="AL51" s="4531">
        <f t="shared" ref="AL51:AL55" si="72">IFERROR(ROUND(AR51,5),"-")</f>
        <v>5.1920000000000001E-2</v>
      </c>
      <c r="AM51" s="4533">
        <f t="shared" si="68"/>
        <v>6.0060000000000002E-2</v>
      </c>
      <c r="AN51" s="4533">
        <f t="shared" si="69"/>
        <v>5.5030000000000003E-2</v>
      </c>
      <c r="AO51" s="4533">
        <f t="shared" si="70"/>
        <v>6.3579999999999998E-2</v>
      </c>
      <c r="AP51" s="4533">
        <f t="shared" si="71"/>
        <v>6.8320000000000006E-2</v>
      </c>
      <c r="AR51" s="4531">
        <f>IFERROR('12. Разходи'!BY55/AR57,"-")</f>
        <v>5.1918242663731205E-2</v>
      </c>
      <c r="AS51" s="4531">
        <f>IFERROR('12. Разходи'!BZ55/AS57,"-")</f>
        <v>6.0058539656827628E-2</v>
      </c>
      <c r="AT51" s="4531">
        <f>IFERROR('12. Разходи'!CA55/AT57,"-")</f>
        <v>5.5026035588295108E-2</v>
      </c>
      <c r="AU51" s="4531">
        <f>IFERROR('12. Разходи'!CB55/AU57,"-")</f>
        <v>6.3575244472631937E-2</v>
      </c>
      <c r="AV51" s="4531">
        <f>IFERROR('12. Разходи'!CC55/AV57,"-")</f>
        <v>6.8316105368580848E-2</v>
      </c>
    </row>
    <row r="52" spans="18:48" ht="15" customHeight="1">
      <c r="R52" s="4293" t="s">
        <v>914</v>
      </c>
      <c r="S52" s="4292">
        <f>IFERROR('8. Ремонтна програма'!J76/'8. Ремонтна програма'!J$80,0)</f>
        <v>0</v>
      </c>
      <c r="T52" s="4292">
        <f>IFERROR('8. Ремонтна програма'!K76/'8. Ремонтна програма'!K$80,0)</f>
        <v>0</v>
      </c>
      <c r="U52" s="4292">
        <f>IFERROR('8. Ремонтна програма'!L76/'8. Ремонтна програма'!L$80,0)</f>
        <v>0</v>
      </c>
      <c r="V52" s="4292">
        <f>IFERROR('8. Ремонтна програма'!M76/'8. Ремонтна програма'!M$80,0)</f>
        <v>0</v>
      </c>
      <c r="W52" s="4292">
        <f>IFERROR('8. Ремонтна програма'!N76/'8. Ремонтна програма'!N$80,0)</f>
        <v>0</v>
      </c>
      <c r="X52" s="4292">
        <f>IFERROR('8. Ремонтна програма'!O76/'8. Ремонтна програма'!O$80,0)</f>
        <v>0</v>
      </c>
      <c r="Y52" s="3505">
        <f t="shared" si="66"/>
        <v>0</v>
      </c>
      <c r="Z52" s="3505">
        <f t="shared" si="41"/>
        <v>0</v>
      </c>
      <c r="AK52" s="3392" t="s">
        <v>1930</v>
      </c>
      <c r="AL52" s="4531">
        <f t="shared" si="72"/>
        <v>0.14637</v>
      </c>
      <c r="AM52" s="4533">
        <f t="shared" si="68"/>
        <v>0.16033</v>
      </c>
      <c r="AN52" s="4533">
        <f t="shared" si="69"/>
        <v>0.18062</v>
      </c>
      <c r="AO52" s="4533">
        <f t="shared" si="70"/>
        <v>0.21151</v>
      </c>
      <c r="AP52" s="4533">
        <f t="shared" si="71"/>
        <v>0.23776</v>
      </c>
      <c r="AR52" s="4531">
        <f>IFERROR(('12. Разходи'!BY59+'12. Разходи'!BY63)/AR57,"-")</f>
        <v>0.1463663414926987</v>
      </c>
      <c r="AS52" s="4531">
        <f>IFERROR(('12. Разходи'!BZ59+'12. Разходи'!BZ63)/AS57,"-")</f>
        <v>0.16032854090066884</v>
      </c>
      <c r="AT52" s="4531">
        <f>IFERROR(('12. Разходи'!CA59+'12. Разходи'!CA63)/AT57,"-")</f>
        <v>0.18061710308949863</v>
      </c>
      <c r="AU52" s="4531">
        <f>IFERROR(('12. Разходи'!CB59+'12. Разходи'!CB63)/AU57,"-")</f>
        <v>0.21151242299661166</v>
      </c>
      <c r="AV52" s="4531">
        <f>IFERROR(('12. Разходи'!CC59+'12. Разходи'!CC63)/AV57,"-")</f>
        <v>0.23776379197289704</v>
      </c>
    </row>
    <row r="53" spans="18:48" ht="15" customHeight="1">
      <c r="R53" s="4293" t="s">
        <v>918</v>
      </c>
      <c r="S53" s="4292">
        <f>IFERROR('8. Ремонтна програма'!J77/'8. Ремонтна програма'!J$80,0)</f>
        <v>0</v>
      </c>
      <c r="T53" s="4292">
        <f>IFERROR('8. Ремонтна програма'!K77/'8. Ремонтна програма'!K$80,0)</f>
        <v>26.972789999999986</v>
      </c>
      <c r="U53" s="4292">
        <f>IFERROR('8. Ремонтна програма'!L77/'8. Ремонтна програма'!L$80,0)</f>
        <v>169.92857699999962</v>
      </c>
      <c r="V53" s="4292">
        <f>IFERROR('8. Ремонтна програма'!M77/'8. Ремонтна програма'!M$80,0)</f>
        <v>291.71072385000167</v>
      </c>
      <c r="W53" s="4292">
        <f>IFERROR('8. Ремонтна програма'!N77/'8. Ремонтна програма'!N$80,0)</f>
        <v>-428.81476405950809</v>
      </c>
      <c r="X53" s="4292">
        <f>IFERROR('8. Ремонтна програма'!O77/'8. Ремонтна програма'!O$80,0)</f>
        <v>-205.83108674855788</v>
      </c>
      <c r="Y53" s="3505">
        <f t="shared" si="66"/>
        <v>0</v>
      </c>
      <c r="Z53" s="3505">
        <f t="shared" si="41"/>
        <v>-8.6310639999999257</v>
      </c>
      <c r="AK53" s="3394" t="s">
        <v>1931</v>
      </c>
      <c r="AL53" s="4301">
        <f t="shared" si="72"/>
        <v>0.11457000000000001</v>
      </c>
      <c r="AM53" s="4532">
        <f t="shared" si="68"/>
        <v>0.11452</v>
      </c>
      <c r="AN53" s="4532">
        <f t="shared" si="69"/>
        <v>0.11767</v>
      </c>
      <c r="AO53" s="4532">
        <f t="shared" si="70"/>
        <v>0.12531</v>
      </c>
      <c r="AP53" s="4532">
        <f t="shared" si="71"/>
        <v>0.12211</v>
      </c>
      <c r="AR53" s="4301">
        <f>IFERROR('12. Разходи'!BY89/AR57,"-")</f>
        <v>0.11456888886671664</v>
      </c>
      <c r="AS53" s="4301">
        <f>IFERROR('12. Разходи'!BZ89/AS57,"-")</f>
        <v>0.11451778689625339</v>
      </c>
      <c r="AT53" s="4301">
        <f>IFERROR('12. Разходи'!CA89/AT57,"-")</f>
        <v>0.11766814650005718</v>
      </c>
      <c r="AU53" s="4301">
        <f>IFERROR('12. Разходи'!CB89/AU57,"-")</f>
        <v>0.12531179100353407</v>
      </c>
      <c r="AV53" s="4301">
        <f>IFERROR('12. Разходи'!CC89/AV57,"-")</f>
        <v>0.12210716031488024</v>
      </c>
    </row>
    <row r="54" spans="18:48" ht="15" customHeight="1">
      <c r="R54" s="4293" t="s">
        <v>1361</v>
      </c>
      <c r="S54" s="4292">
        <f>IFERROR('8. Ремонтна програма'!J78/'8. Ремонтна програма'!J$80,0)</f>
        <v>0</v>
      </c>
      <c r="T54" s="4292">
        <f>IFERROR('8. Ремонтна програма'!K78/'8. Ремонтна програма'!K$80,0)</f>
        <v>6.0877699999999972</v>
      </c>
      <c r="U54" s="4292">
        <f>IFERROR('8. Ремонтна програма'!L78/'8. Ремонтна програма'!L$80,0)</f>
        <v>38.352950999999919</v>
      </c>
      <c r="V54" s="4292">
        <f>IFERROR('8. Ремонтна програма'!M78/'8. Ремонтна програма'!M$80,0)</f>
        <v>65.839232550000375</v>
      </c>
      <c r="W54" s="4292">
        <f>IFERROR('8. Ремонтна програма'!N78/'8. Ремонтна програма'!N$80,0)</f>
        <v>-96.783671848501825</v>
      </c>
      <c r="X54" s="4292">
        <f>IFERROR('8. Ремонтна програма'!O78/'8. Ремонтна програма'!O$80,0)</f>
        <v>-46.456162487279521</v>
      </c>
      <c r="Y54" s="3505">
        <f t="shared" si="66"/>
        <v>0</v>
      </c>
      <c r="Z54" s="3505">
        <f t="shared" si="41"/>
        <v>-8.6310639999999257</v>
      </c>
      <c r="AK54" s="3392" t="s">
        <v>1932</v>
      </c>
      <c r="AL54" s="4531">
        <f t="shared" si="72"/>
        <v>7.6380000000000003E-2</v>
      </c>
      <c r="AM54" s="4533">
        <f t="shared" si="68"/>
        <v>7.5359999999999996E-2</v>
      </c>
      <c r="AN54" s="4533">
        <f t="shared" si="69"/>
        <v>7.6399999999999996E-2</v>
      </c>
      <c r="AO54" s="4533">
        <f t="shared" si="70"/>
        <v>8.9899999999999994E-2</v>
      </c>
      <c r="AP54" s="4533">
        <f t="shared" si="71"/>
        <v>9.0920000000000001E-2</v>
      </c>
      <c r="AR54" s="4531">
        <f>IFERROR('12. Разходи'!BY17/AR57,"-")</f>
        <v>7.6384722116480161E-2</v>
      </c>
      <c r="AS54" s="4531">
        <f>IFERROR('12. Разходи'!BZ17/AS57,"-")</f>
        <v>7.5362469496839835E-2</v>
      </c>
      <c r="AT54" s="4531">
        <f>IFERROR('12. Разходи'!CA17/AT57,"-")</f>
        <v>7.6401802983084396E-2</v>
      </c>
      <c r="AU54" s="4531">
        <f>IFERROR('12. Разходи'!CB17/AU57,"-")</f>
        <v>8.9904993274242007E-2</v>
      </c>
      <c r="AV54" s="4531">
        <f>IFERROR('12. Разходи'!CC17/AV57,"-")</f>
        <v>9.0924868200685557E-2</v>
      </c>
    </row>
    <row r="55" spans="18:48" ht="15" customHeight="1">
      <c r="R55" s="4293" t="s">
        <v>1582</v>
      </c>
      <c r="S55" s="4292">
        <f>IFERROR('8. Ремонтна програма'!J79/'8. Ремонтна програма'!J$80,0)</f>
        <v>0</v>
      </c>
      <c r="T55" s="4292">
        <f>IFERROR('8. Ремонтна програма'!K79/'8. Ремонтна програма'!K$80,0)</f>
        <v>309.92840666666655</v>
      </c>
      <c r="U55" s="4292">
        <f>IFERROR('8. Ремонтна програма'!L79/'8. Ремонтна програма'!L$80,0)</f>
        <v>1952.548961999996</v>
      </c>
      <c r="V55" s="4292">
        <f>IFERROR('8. Ремонтна програма'!M79/'8. Ремонтна програма'!M$80,0)</f>
        <v>3351.8757181000187</v>
      </c>
      <c r="W55" s="4292">
        <f>IFERROR('8. Ремонтна програма'!N79/'8. Ремонтна програма'!N$80,0)</f>
        <v>-4927.2573056070942</v>
      </c>
      <c r="X55" s="4292">
        <f>IFERROR('8. Ремонтна програма'!O79/'8. Ремонтна програма'!O$80,0)</f>
        <v>-2365.0835066913355</v>
      </c>
      <c r="Y55" s="3505">
        <f t="shared" si="66"/>
        <v>0</v>
      </c>
      <c r="Z55" s="3505">
        <f t="shared" si="41"/>
        <v>-8.6310639999999239</v>
      </c>
      <c r="AK55" s="3394" t="s">
        <v>1933</v>
      </c>
      <c r="AL55" s="4301">
        <f t="shared" si="72"/>
        <v>5.1970000000000002E-2</v>
      </c>
      <c r="AM55" s="4532">
        <f t="shared" si="68"/>
        <v>9.2960000000000001E-2</v>
      </c>
      <c r="AN55" s="4532">
        <f t="shared" si="69"/>
        <v>0.13317000000000001</v>
      </c>
      <c r="AO55" s="4532">
        <f t="shared" si="70"/>
        <v>0.13541</v>
      </c>
      <c r="AP55" s="4532">
        <f t="shared" si="71"/>
        <v>0.13614000000000001</v>
      </c>
      <c r="AR55" s="4301">
        <f>IFERROR('16. Необходими приходи'!D23/AR57,"-")</f>
        <v>5.1966999281069737E-2</v>
      </c>
      <c r="AS55" s="4301">
        <f>IFERROR('16. Необходими приходи'!E23/AS57,"-")</f>
        <v>9.2959162405173157E-2</v>
      </c>
      <c r="AT55" s="4301">
        <f>IFERROR('16. Необходими приходи'!F23/AT57,"-")</f>
        <v>0.13317445640164438</v>
      </c>
      <c r="AU55" s="4301">
        <f>IFERROR('16. Необходими приходи'!G23/AU57,"-")</f>
        <v>0.13540599496124139</v>
      </c>
      <c r="AV55" s="4301">
        <f>IFERROR('16. Необходими приходи'!H23/AV57,"-")</f>
        <v>0.13614307884167814</v>
      </c>
    </row>
    <row r="56" spans="18:48">
      <c r="AK56" s="1295"/>
      <c r="AL56"/>
      <c r="AM56"/>
      <c r="AN56"/>
      <c r="AO56"/>
      <c r="AP56"/>
      <c r="AQ56"/>
      <c r="AR56"/>
      <c r="AS56"/>
      <c r="AT56"/>
      <c r="AU56"/>
      <c r="AV56"/>
    </row>
    <row r="57" spans="18:48">
      <c r="AK57" s="1"/>
      <c r="AL57" s="3112"/>
      <c r="AM57" s="3112"/>
      <c r="AN57" s="3112"/>
      <c r="AO57" s="3112"/>
      <c r="AP57" s="3112"/>
      <c r="AQ57" s="4526" t="s">
        <v>1934</v>
      </c>
      <c r="AR57" s="4527">
        <f>'16.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f>
        <v>4600.5891837435183</v>
      </c>
      <c r="AS57" s="4527">
        <f>'16.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f>
        <v>4662.9937781838316</v>
      </c>
      <c r="AT57" s="4527">
        <f>'16.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f>
        <v>4599.5606471503988</v>
      </c>
      <c r="AU57" s="4527">
        <f>'16.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f>
        <v>4540.918013794244</v>
      </c>
      <c r="AV57" s="4527">
        <f>'16.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f>
        <v>4489.984000724432</v>
      </c>
    </row>
    <row r="58" spans="18:48">
      <c r="AK58" s="1" t="s">
        <v>1935</v>
      </c>
      <c r="AL58" s="3112"/>
      <c r="AM58" s="3112"/>
      <c r="AN58" s="3112"/>
      <c r="AO58" s="3112"/>
      <c r="AP58" s="3112"/>
      <c r="AQ58" s="4528"/>
      <c r="AR58" s="3112"/>
      <c r="AS58" s="3112"/>
      <c r="AT58" s="3112"/>
      <c r="AU58" s="3112"/>
      <c r="AV58" s="3112"/>
    </row>
    <row r="59" spans="18:48">
      <c r="AK59" s="4529" t="s">
        <v>1936</v>
      </c>
      <c r="AL59" s="4530">
        <f>IFERROR(AL33-AL34-AL37-AL39,0)</f>
        <v>-0.11192999999999984</v>
      </c>
      <c r="AM59" s="4530">
        <f t="shared" ref="AM59:AP59" si="73">IFERROR(AM33-AM34-AM37-AM39,0)</f>
        <v>-6.4299999999998803E-3</v>
      </c>
      <c r="AN59" s="4530">
        <f t="shared" si="73"/>
        <v>-2.8759999999999786E-2</v>
      </c>
      <c r="AO59" s="4530">
        <f t="shared" si="73"/>
        <v>3.415000000000018E-2</v>
      </c>
      <c r="AP59" s="4530">
        <f t="shared" si="73"/>
        <v>-1.2249999999999983E-2</v>
      </c>
      <c r="AQ59" s="3112"/>
      <c r="AR59" s="3112"/>
      <c r="AS59" s="3112"/>
      <c r="AT59" s="3112"/>
      <c r="AU59" s="3112"/>
      <c r="AV59" s="3112"/>
    </row>
    <row r="60" spans="18:48">
      <c r="AK60" s="4529" t="s">
        <v>1937</v>
      </c>
      <c r="AL60" s="4530">
        <f>IFERROR(AL41-AL42-AL45-AL47,0)</f>
        <v>-1.7010000000000004E-2</v>
      </c>
      <c r="AM60" s="4530">
        <f t="shared" ref="AM60:AP60" si="74">IFERROR(AM41-AM42-AM45-AM47,0)</f>
        <v>-3.3080000000000019E-2</v>
      </c>
      <c r="AN60" s="4530">
        <f t="shared" si="74"/>
        <v>-4.7949999999999986E-2</v>
      </c>
      <c r="AO60" s="4530">
        <f t="shared" si="74"/>
        <v>-4.9669999999999992E-2</v>
      </c>
      <c r="AP60" s="4530">
        <f t="shared" si="74"/>
        <v>-5.1979999999999985E-2</v>
      </c>
      <c r="AQ60" s="3112"/>
      <c r="AR60" s="3112"/>
      <c r="AS60" s="3112"/>
      <c r="AT60" s="3112"/>
      <c r="AU60" s="3112"/>
      <c r="AV60" s="3112"/>
    </row>
    <row r="61" spans="18:48">
      <c r="AK61" s="4529" t="s">
        <v>1938</v>
      </c>
      <c r="AL61" s="4530">
        <f>IFERROR(AL49-AL50-AL53-AL55,0)</f>
        <v>-2.4960000000000024E-2</v>
      </c>
      <c r="AM61" s="4530">
        <f t="shared" ref="AM61:AP61" si="75">IFERROR(AM49-AM50-AM53-AM55,0)</f>
        <v>-4.5710000000000028E-2</v>
      </c>
      <c r="AN61" s="4530">
        <f t="shared" si="75"/>
        <v>-6.4739999999999964E-2</v>
      </c>
      <c r="AO61" s="4530">
        <f t="shared" si="75"/>
        <v>-6.5929999999999989E-2</v>
      </c>
      <c r="AP61" s="4530">
        <f t="shared" si="75"/>
        <v>-6.608E-2</v>
      </c>
      <c r="AQ61" s="3112"/>
      <c r="AR61" s="3112"/>
      <c r="AS61" s="3112"/>
      <c r="AT61" s="3112"/>
      <c r="AU61" s="3112"/>
      <c r="AV61" s="3112"/>
    </row>
  </sheetData>
  <mergeCells count="75">
    <mergeCell ref="AK32:AP32"/>
    <mergeCell ref="AK40:AP40"/>
    <mergeCell ref="AK48:AP48"/>
    <mergeCell ref="AB31:AB32"/>
    <mergeCell ref="AC31:AG31"/>
    <mergeCell ref="AL30:AL31"/>
    <mergeCell ref="AM30:AM31"/>
    <mergeCell ref="AN30:AN31"/>
    <mergeCell ref="AO30:AO31"/>
    <mergeCell ref="AP30:AP31"/>
    <mergeCell ref="P35:P36"/>
    <mergeCell ref="AB21:AB22"/>
    <mergeCell ref="AC21:AG21"/>
    <mergeCell ref="A24:A25"/>
    <mergeCell ref="B24:B25"/>
    <mergeCell ref="C24:H24"/>
    <mergeCell ref="I24:N24"/>
    <mergeCell ref="O24:O25"/>
    <mergeCell ref="P24:P25"/>
    <mergeCell ref="AB25:AB26"/>
    <mergeCell ref="AC25:AG25"/>
    <mergeCell ref="A35:A36"/>
    <mergeCell ref="B35:B36"/>
    <mergeCell ref="C35:H35"/>
    <mergeCell ref="I35:N35"/>
    <mergeCell ref="O35:O36"/>
    <mergeCell ref="P13:P14"/>
    <mergeCell ref="AK14:AP14"/>
    <mergeCell ref="AK16:AP16"/>
    <mergeCell ref="AB18:AB19"/>
    <mergeCell ref="AC18:AG18"/>
    <mergeCell ref="AK19:AK20"/>
    <mergeCell ref="AL19:AL20"/>
    <mergeCell ref="AM19:AN19"/>
    <mergeCell ref="AO19:AS19"/>
    <mergeCell ref="A13:A14"/>
    <mergeCell ref="B13:B14"/>
    <mergeCell ref="C13:H13"/>
    <mergeCell ref="I13:N13"/>
    <mergeCell ref="O13:O14"/>
    <mergeCell ref="AP2:AP3"/>
    <mergeCell ref="R2:R3"/>
    <mergeCell ref="S2:X2"/>
    <mergeCell ref="Y2:Y3"/>
    <mergeCell ref="Z2:Z3"/>
    <mergeCell ref="AB2:AB3"/>
    <mergeCell ref="AC2:AG2"/>
    <mergeCell ref="AK2:AK3"/>
    <mergeCell ref="AL2:AL3"/>
    <mergeCell ref="AM2:AM3"/>
    <mergeCell ref="AN2:AN3"/>
    <mergeCell ref="AO2:AO3"/>
    <mergeCell ref="AB10:AB11"/>
    <mergeCell ref="AC10:AG10"/>
    <mergeCell ref="A2:A3"/>
    <mergeCell ref="B2:B3"/>
    <mergeCell ref="C2:H2"/>
    <mergeCell ref="I2:N2"/>
    <mergeCell ref="O2:O3"/>
    <mergeCell ref="AU30:AU31"/>
    <mergeCell ref="AV30:AV31"/>
    <mergeCell ref="P2:P3"/>
    <mergeCell ref="AK30:AK31"/>
    <mergeCell ref="AR30:AR31"/>
    <mergeCell ref="AS30:AS31"/>
    <mergeCell ref="AT30:AT31"/>
    <mergeCell ref="AK4:AP4"/>
    <mergeCell ref="AB5:AB6"/>
    <mergeCell ref="AC5:AG5"/>
    <mergeCell ref="AK6:AP6"/>
    <mergeCell ref="R8:R9"/>
    <mergeCell ref="S8:X8"/>
    <mergeCell ref="Y8:Y9"/>
    <mergeCell ref="Z8:Z9"/>
    <mergeCell ref="AK8:AP8"/>
  </mergeCells>
  <conditionalFormatting sqref="S17:X30">
    <cfRule type="top10" dxfId="4" priority="8" rank="7"/>
  </conditionalFormatting>
  <conditionalFormatting sqref="S34:X45">
    <cfRule type="top10" dxfId="3" priority="6" rank="7"/>
  </conditionalFormatting>
  <conditionalFormatting sqref="S47:X55">
    <cfRule type="top10" dxfId="2" priority="3" rank="7"/>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5" id="{0FE66AD7-21CB-458E-93B5-B438028F66BE}">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S34:X45</xm:sqref>
        </x14:conditionalFormatting>
        <x14:conditionalFormatting xmlns:xm="http://schemas.microsoft.com/office/excel/2006/main">
          <x14:cfRule type="iconSet" priority="2" id="{91CC5EE5-E5E2-46CF-A5F2-51F1C59EE624}">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S47:X55</xm:sqref>
        </x14:conditionalFormatting>
        <x14:conditionalFormatting xmlns:xm="http://schemas.microsoft.com/office/excel/2006/main">
          <x14:cfRule type="iconSet" priority="7" id="{9C1B025A-D370-4637-B513-80219B400AA3}">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S17:Z30</xm:sqref>
        </x14:conditionalFormatting>
        <x14:conditionalFormatting xmlns:xm="http://schemas.microsoft.com/office/excel/2006/main">
          <x14:cfRule type="iconSet" priority="4" id="{3E02B569-1DAC-47A8-8A64-26420C1FDE43}">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Y34:Z45</xm:sqref>
        </x14:conditionalFormatting>
        <x14:conditionalFormatting xmlns:xm="http://schemas.microsoft.com/office/excel/2006/main">
          <x14:cfRule type="iconSet" priority="1" id="{0E38F90B-9FAE-4C1D-9796-8B4C8D9ECD3D}">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Y47:Z55</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W179"/>
  <sheetViews>
    <sheetView topLeftCell="A109" zoomScaleNormal="100" workbookViewId="0">
      <selection activeCell="I116" sqref="I116"/>
    </sheetView>
  </sheetViews>
  <sheetFormatPr defaultColWidth="9.140625" defaultRowHeight="15.75" customHeight="1"/>
  <cols>
    <col min="1" max="1" width="37.5703125" style="11" customWidth="1"/>
    <col min="2" max="7" width="9.140625" style="4216"/>
    <col min="8" max="8" width="3.5703125" style="11" customWidth="1"/>
    <col min="9" max="9" width="37.5703125" style="11" customWidth="1"/>
    <col min="10" max="17" width="9.140625" style="11"/>
    <col min="18" max="18" width="4.5703125" style="11" customWidth="1"/>
    <col min="19" max="19" width="37.5703125" style="709" customWidth="1"/>
    <col min="20" max="27" width="9.140625" style="4216"/>
    <col min="28" max="28" width="3.5703125" style="11" customWidth="1"/>
    <col min="29" max="29" width="37.5703125" style="11" customWidth="1"/>
    <col min="30" max="30" width="9" style="3294" customWidth="1"/>
    <col min="31" max="35" width="9.140625" style="11"/>
    <col min="36" max="36" width="4.140625" style="11" customWidth="1"/>
    <col min="37" max="37" width="37.5703125" style="11" customWidth="1"/>
    <col min="38" max="42" width="9.140625" style="4216"/>
    <col min="43" max="43" width="9.140625" style="11"/>
    <col min="44" max="44" width="37.5703125" style="11" customWidth="1"/>
    <col min="45" max="16384" width="9.140625" style="11"/>
  </cols>
  <sheetData>
    <row r="1" spans="1:49" ht="15.75" customHeight="1">
      <c r="A1" s="3430" t="s">
        <v>1657</v>
      </c>
      <c r="I1" s="3430" t="s">
        <v>1009</v>
      </c>
      <c r="S1" s="3485" t="s">
        <v>1673</v>
      </c>
      <c r="AC1" s="3485" t="s">
        <v>1690</v>
      </c>
      <c r="AD1" s="3510"/>
      <c r="AK1" s="3485" t="s">
        <v>1694</v>
      </c>
    </row>
    <row r="2" spans="1:49" ht="15.75" customHeight="1">
      <c r="A2" s="2" t="s">
        <v>207</v>
      </c>
      <c r="G2" s="3393" t="s">
        <v>1636</v>
      </c>
      <c r="I2" s="1301" t="s">
        <v>1634</v>
      </c>
      <c r="O2" s="3393" t="s">
        <v>1636</v>
      </c>
      <c r="S2" s="2" t="s">
        <v>1681</v>
      </c>
      <c r="AA2" s="3393"/>
      <c r="AK2" s="2" t="s">
        <v>305</v>
      </c>
      <c r="AR2" s="2" t="s">
        <v>1699</v>
      </c>
      <c r="AS2" s="4216"/>
      <c r="AT2" s="4216"/>
      <c r="AU2" s="4216"/>
      <c r="AV2" s="4216"/>
      <c r="AW2" s="4216"/>
    </row>
    <row r="3" spans="1:49" ht="12.75" customHeight="1">
      <c r="A3" s="5467" t="s">
        <v>87</v>
      </c>
      <c r="B3" s="5460" t="s">
        <v>210</v>
      </c>
      <c r="C3" s="5460"/>
      <c r="D3" s="5460"/>
      <c r="E3" s="5460"/>
      <c r="F3" s="5460"/>
      <c r="G3" s="5460"/>
      <c r="I3" s="4217" t="s">
        <v>1495</v>
      </c>
      <c r="J3" s="4218" t="str">
        <f>+'15. ОПП'!$C$7</f>
        <v>2027 г.</v>
      </c>
      <c r="K3" s="4218" t="str">
        <f>+'15. ОПП'!$D$7</f>
        <v>2028 г.</v>
      </c>
      <c r="L3" s="4218" t="str">
        <f>+'15. ОПП'!$E$7</f>
        <v>2029 г.</v>
      </c>
      <c r="M3" s="4218" t="str">
        <f>+'15. ОПП'!$F$7</f>
        <v>2030 г.</v>
      </c>
      <c r="N3" s="4218" t="str">
        <f>+'15. ОПП'!$G$7</f>
        <v>2031 г.</v>
      </c>
      <c r="O3" s="4219" t="s">
        <v>1595</v>
      </c>
      <c r="S3" s="5460" t="s">
        <v>1668</v>
      </c>
      <c r="T3" s="5460" t="s">
        <v>207</v>
      </c>
      <c r="U3" s="5460"/>
      <c r="V3" s="5460"/>
      <c r="W3" s="5460"/>
      <c r="X3" s="5460"/>
      <c r="Y3" s="5460"/>
      <c r="Z3" s="5404" t="str">
        <f>+"Изменение "&amp;U4&amp;" спр. "&amp;T4</f>
        <v>Изменение 2027 г. спр. 2024 г.</v>
      </c>
      <c r="AA3" s="5404" t="str">
        <f>+"Изменение "&amp;Y4&amp;" спр. "&amp;U4</f>
        <v>Изменение 2031 г. спр. 2027 г.</v>
      </c>
      <c r="AC3" s="3511" t="s">
        <v>1685</v>
      </c>
      <c r="AD3" s="4220" t="s">
        <v>1065</v>
      </c>
      <c r="AE3" s="4221" t="s">
        <v>1778</v>
      </c>
      <c r="AF3" s="4221" t="s">
        <v>1779</v>
      </c>
      <c r="AG3" s="4221" t="s">
        <v>1780</v>
      </c>
      <c r="AH3" s="4221" t="s">
        <v>1781</v>
      </c>
      <c r="AI3" s="4221" t="s">
        <v>1782</v>
      </c>
      <c r="AK3" s="5449" t="s">
        <v>1692</v>
      </c>
      <c r="AL3" s="5450" t="str">
        <f>T3</f>
        <v>Доставяне на вода на потребителите</v>
      </c>
      <c r="AM3" s="5451"/>
      <c r="AN3" s="5451"/>
      <c r="AO3" s="5451"/>
      <c r="AP3" s="5451"/>
      <c r="AR3" s="5452" t="s">
        <v>1693</v>
      </c>
      <c r="AS3" s="5454" t="s">
        <v>210</v>
      </c>
      <c r="AT3" s="5455"/>
      <c r="AU3" s="5455"/>
      <c r="AV3" s="5455"/>
      <c r="AW3" s="5456"/>
    </row>
    <row r="4" spans="1:49" ht="15.75" customHeight="1">
      <c r="A4" s="5467"/>
      <c r="B4" s="4218" t="str">
        <f>+'15. ОПП'!$B$7</f>
        <v>2024 г.</v>
      </c>
      <c r="C4" s="4218" t="str">
        <f>+'15. ОПП'!$C$7</f>
        <v>2027 г.</v>
      </c>
      <c r="D4" s="4218" t="str">
        <f>+'15. ОПП'!$D$7</f>
        <v>2028 г.</v>
      </c>
      <c r="E4" s="4218" t="str">
        <f>+'15. ОПП'!$E$7</f>
        <v>2029 г.</v>
      </c>
      <c r="F4" s="4218" t="str">
        <f>+'15. ОПП'!$F$7</f>
        <v>2030 г.</v>
      </c>
      <c r="G4" s="4218" t="str">
        <f>+'15. ОПП'!$G$7</f>
        <v>2031 г.</v>
      </c>
      <c r="I4" s="4222" t="str">
        <f>I27</f>
        <v>Доставяне на вода на потребителите</v>
      </c>
      <c r="J4" s="4223"/>
      <c r="K4" s="4223"/>
      <c r="L4" s="4223"/>
      <c r="M4" s="4223"/>
      <c r="N4" s="4223"/>
      <c r="O4" s="3644">
        <f>SUM(J4:N4)</f>
        <v>0</v>
      </c>
      <c r="S4" s="5460"/>
      <c r="T4" s="4218" t="str">
        <f>+'15. ОПП'!$B$7</f>
        <v>2024 г.</v>
      </c>
      <c r="U4" s="4218" t="str">
        <f>+'15. ОПП'!$C$7</f>
        <v>2027 г.</v>
      </c>
      <c r="V4" s="4218" t="str">
        <f>+'15. ОПП'!$D$7</f>
        <v>2028 г.</v>
      </c>
      <c r="W4" s="4218" t="str">
        <f>+'15. ОПП'!$E$7</f>
        <v>2029 г.</v>
      </c>
      <c r="X4" s="4218" t="str">
        <f>+'15. ОПП'!$F$7</f>
        <v>2030 г.</v>
      </c>
      <c r="Y4" s="4218" t="str">
        <f>+'15. ОПП'!$G$7</f>
        <v>2031 г.</v>
      </c>
      <c r="Z4" s="5404"/>
      <c r="AA4" s="5404"/>
      <c r="AC4" s="3512" t="s">
        <v>1686</v>
      </c>
      <c r="AD4" s="3513">
        <f>'14. ОПР'!B9</f>
        <v>36450.790666352725</v>
      </c>
      <c r="AE4" s="3513">
        <f>'14. ОПР'!C9</f>
        <v>49021.706734642743</v>
      </c>
      <c r="AF4" s="3513">
        <f>'14. ОПР'!D9</f>
        <v>58749.123426500992</v>
      </c>
      <c r="AG4" s="3513">
        <f>'14. ОПР'!E9</f>
        <v>62022.922604701082</v>
      </c>
      <c r="AH4" s="3513">
        <f>'14. ОПР'!F9</f>
        <v>54670.579371635322</v>
      </c>
      <c r="AI4" s="3513">
        <f>'14. ОПР'!G9</f>
        <v>57820.850995407076</v>
      </c>
      <c r="AK4" s="5449"/>
      <c r="AL4" s="4224" t="s">
        <v>1778</v>
      </c>
      <c r="AM4" s="4224" t="s">
        <v>1779</v>
      </c>
      <c r="AN4" s="4224" t="s">
        <v>1780</v>
      </c>
      <c r="AO4" s="4224" t="s">
        <v>1781</v>
      </c>
      <c r="AP4" s="4224" t="s">
        <v>1782</v>
      </c>
      <c r="AR4" s="5453"/>
      <c r="AS4" s="4224" t="s">
        <v>1778</v>
      </c>
      <c r="AT4" s="4224" t="s">
        <v>1779</v>
      </c>
      <c r="AU4" s="4224" t="s">
        <v>1780</v>
      </c>
      <c r="AV4" s="4224" t="s">
        <v>1781</v>
      </c>
      <c r="AW4" s="4224" t="s">
        <v>1782</v>
      </c>
    </row>
    <row r="5" spans="1:49" ht="15.75" customHeight="1">
      <c r="A5" s="5466" t="s">
        <v>1658</v>
      </c>
      <c r="B5" s="5466"/>
      <c r="C5" s="5466"/>
      <c r="D5" s="5466"/>
      <c r="E5" s="5466"/>
      <c r="F5" s="5466"/>
      <c r="G5" s="5466"/>
      <c r="I5" s="4222" t="str">
        <f>I30</f>
        <v>Отвеждане на отпадъчните води</v>
      </c>
      <c r="J5" s="4223"/>
      <c r="K5" s="4223"/>
      <c r="L5" s="4223"/>
      <c r="M5" s="4223"/>
      <c r="N5" s="4223"/>
      <c r="O5" s="3644">
        <f>SUM(J5:N5)</f>
        <v>0</v>
      </c>
      <c r="S5" s="4225" t="s">
        <v>226</v>
      </c>
      <c r="T5" s="4226">
        <f>'12. Разходи'!C11</f>
        <v>9326.6180571463156</v>
      </c>
      <c r="U5" s="4226">
        <f>'12. Разходи'!D11</f>
        <v>10951.330331791998</v>
      </c>
      <c r="V5" s="4226">
        <f>'12. Разходи'!E11</f>
        <v>11004.188287817002</v>
      </c>
      <c r="W5" s="4226">
        <f>'12. Разходи'!F11</f>
        <v>11028.810519775501</v>
      </c>
      <c r="X5" s="4226">
        <f>'12. Разходи'!G11</f>
        <v>11241.114986514633</v>
      </c>
      <c r="Y5" s="4226">
        <f>'12. Разходи'!H11</f>
        <v>11150.027435232185</v>
      </c>
      <c r="Z5" s="4227">
        <f>IFERROR((U5-T5)/T5,0)</f>
        <v>0.17420165216273464</v>
      </c>
      <c r="AA5" s="4227">
        <f>IFERROR((Y5-U5)/U5,0)</f>
        <v>1.8143649896429831E-2</v>
      </c>
      <c r="AC5" s="3402" t="s">
        <v>494</v>
      </c>
      <c r="AD5" s="3406">
        <f>'14. ОПР'!B16</f>
        <v>0</v>
      </c>
      <c r="AE5" s="3406">
        <f>'14. ОПР'!C16</f>
        <v>0</v>
      </c>
      <c r="AF5" s="3406">
        <f>'14. ОПР'!D16</f>
        <v>0</v>
      </c>
      <c r="AG5" s="3406">
        <f>'14. ОПР'!E16</f>
        <v>0</v>
      </c>
      <c r="AH5" s="3406">
        <f>'14. ОПР'!F16</f>
        <v>0</v>
      </c>
      <c r="AI5" s="3406">
        <f>'14. ОПР'!G16</f>
        <v>0</v>
      </c>
      <c r="AK5" s="3407" t="s">
        <v>547</v>
      </c>
      <c r="AL5" s="3514">
        <f>'17. РБА'!C10</f>
        <v>19048.666666666672</v>
      </c>
      <c r="AM5" s="3514">
        <f>'17. РБА'!D10</f>
        <v>25029.812536666668</v>
      </c>
      <c r="AN5" s="3514">
        <f>'17. РБА'!E10</f>
        <v>34499.10427666668</v>
      </c>
      <c r="AO5" s="3514">
        <f>'17. РБА'!F10</f>
        <v>43967.729350000009</v>
      </c>
      <c r="AP5" s="3514">
        <f>'17. РБА'!G10</f>
        <v>45666.129350000003</v>
      </c>
      <c r="AR5" s="3515" t="s">
        <v>294</v>
      </c>
      <c r="AS5" s="3252">
        <f>'16. Необходими приходи'!D9</f>
        <v>1742.5484647694782</v>
      </c>
      <c r="AT5" s="3252">
        <f>'16. Необходими приходи'!E9</f>
        <v>2428.5584904057778</v>
      </c>
      <c r="AU5" s="3252">
        <f>'16. Необходими приходи'!F9</f>
        <v>3093.8488640545456</v>
      </c>
      <c r="AV5" s="3252">
        <f>'16. Необходими приходи'!G9</f>
        <v>3135.6663743007402</v>
      </c>
      <c r="AW5" s="3252">
        <f>'16. Необходими приходи'!H9</f>
        <v>3150.4433132735612</v>
      </c>
    </row>
    <row r="6" spans="1:49" ht="15.75" customHeight="1">
      <c r="A6" s="4228" t="s">
        <v>334</v>
      </c>
      <c r="B6" s="3644">
        <f>'11. Амортиз. план'!E10</f>
        <v>11324</v>
      </c>
      <c r="C6" s="3644">
        <f>'11. Амортиз. план'!G10</f>
        <v>12662.333333333336</v>
      </c>
      <c r="D6" s="3644">
        <f>'11. Амортиз. план'!H10</f>
        <v>13206.000000000007</v>
      </c>
      <c r="E6" s="3644">
        <f>'11. Амортиз. план'!I10</f>
        <v>13749.666666666672</v>
      </c>
      <c r="F6" s="3644">
        <f>'11. Амортиз. план'!J10</f>
        <v>14293.333333333336</v>
      </c>
      <c r="G6" s="3644">
        <f>'11. Амортиз. план'!K10</f>
        <v>14837.000000000007</v>
      </c>
      <c r="I6" s="4222" t="str">
        <f>I33</f>
        <v>Пречистване на отпадъчните води</v>
      </c>
      <c r="J6" s="4223"/>
      <c r="K6" s="4223"/>
      <c r="L6" s="4223"/>
      <c r="M6" s="4223"/>
      <c r="N6" s="4223"/>
      <c r="O6" s="3644">
        <f>SUM(J6:N6)</f>
        <v>0</v>
      </c>
      <c r="S6" s="4229" t="s">
        <v>239</v>
      </c>
      <c r="T6" s="3526">
        <f>'12. Разходи'!C29</f>
        <v>1783.3258900000001</v>
      </c>
      <c r="U6" s="3526">
        <f>'12. Разходи'!D29</f>
        <v>2066.473657</v>
      </c>
      <c r="V6" s="3526">
        <f>'12. Разходи'!E29</f>
        <v>2146.3643398500003</v>
      </c>
      <c r="W6" s="3526">
        <f>'12. Разходи'!F29</f>
        <v>2210.7552700455003</v>
      </c>
      <c r="X6" s="3526">
        <f>'12. Разходи'!G29</f>
        <v>2227.16821503459</v>
      </c>
      <c r="Y6" s="3526">
        <f>'12. Разходи'!H29</f>
        <v>2227.5954890315065</v>
      </c>
      <c r="Z6" s="4227">
        <f t="shared" ref="Z6:Z21" si="0">IFERROR((U6-T6)/T6,0)</f>
        <v>0.15877511148565218</v>
      </c>
      <c r="AA6" s="4227">
        <f t="shared" ref="AA6:AA15" si="1">IFERROR((Y6-U6)/U6,0)</f>
        <v>7.7969458495500452E-2</v>
      </c>
      <c r="AC6" s="3516" t="s">
        <v>489</v>
      </c>
      <c r="AD6" s="3517">
        <f t="shared" ref="AD6:AI6" si="2">AD4+AD5</f>
        <v>36450.790666352725</v>
      </c>
      <c r="AE6" s="3517">
        <f t="shared" si="2"/>
        <v>49021.706734642743</v>
      </c>
      <c r="AF6" s="3517">
        <f t="shared" si="2"/>
        <v>58749.123426500992</v>
      </c>
      <c r="AG6" s="3517">
        <f t="shared" si="2"/>
        <v>62022.922604701082</v>
      </c>
      <c r="AH6" s="3517">
        <f t="shared" si="2"/>
        <v>54670.579371635322</v>
      </c>
      <c r="AI6" s="3517">
        <f t="shared" si="2"/>
        <v>57820.850995407076</v>
      </c>
      <c r="AK6" s="3407" t="s">
        <v>548</v>
      </c>
      <c r="AL6" s="3518">
        <f>'17. РБА'!C13</f>
        <v>8038.4112109374964</v>
      </c>
      <c r="AM6" s="3518">
        <f>'17. РБА'!D13</f>
        <v>9041.7485660072925</v>
      </c>
      <c r="AN6" s="3518">
        <f>'17. РБА'!E13</f>
        <v>10370.352756827848</v>
      </c>
      <c r="AO6" s="3518">
        <f>'17. РБА'!F13</f>
        <v>12056.942500895386</v>
      </c>
      <c r="AP6" s="3518">
        <f>'17. РБА'!G13</f>
        <v>13980.140268876557</v>
      </c>
      <c r="AR6" s="3515" t="s">
        <v>296</v>
      </c>
      <c r="AS6" s="3252">
        <f>'16. Необходими приходи'!D10</f>
        <v>32763.131343861791</v>
      </c>
      <c r="AT6" s="3252">
        <f>'16. Необходими приходи'!E10</f>
        <v>34951.82001848756</v>
      </c>
      <c r="AU6" s="3252">
        <f>'16. Необходими приходи'!F10</f>
        <v>37453.784029888542</v>
      </c>
      <c r="AV6" s="3252">
        <f>'16. Необходими приходи'!G10</f>
        <v>41202.112084410401</v>
      </c>
      <c r="AW6" s="3252">
        <f>'16. Необходими приходи'!H10</f>
        <v>43992.587256167397</v>
      </c>
    </row>
    <row r="7" spans="1:49" ht="15.75" customHeight="1">
      <c r="A7" s="4230" t="s">
        <v>218</v>
      </c>
      <c r="B7" s="4231">
        <f>'11. Амортиз. план'!E35</f>
        <v>341</v>
      </c>
      <c r="C7" s="4231">
        <f>'11. Амортиз. план'!G35</f>
        <v>445.55350990362297</v>
      </c>
      <c r="D7" s="4231">
        <f>'11. Амортиз. план'!H35</f>
        <v>500.76902917739545</v>
      </c>
      <c r="E7" s="4231">
        <f>'11. Амортиз. план'!I35</f>
        <v>537.17051184677211</v>
      </c>
      <c r="F7" s="4231">
        <f>'11. Амортиз. план'!J35</f>
        <v>567.11976345772121</v>
      </c>
      <c r="G7" s="4231">
        <f>'11. Амортиз. план'!K35</f>
        <v>586.12238888054344</v>
      </c>
      <c r="I7" s="4232" t="s">
        <v>1028</v>
      </c>
      <c r="J7" s="4233">
        <f t="shared" ref="J7:O7" si="3">SUM(J4:J6)</f>
        <v>0</v>
      </c>
      <c r="K7" s="4233">
        <f t="shared" si="3"/>
        <v>0</v>
      </c>
      <c r="L7" s="4233">
        <f t="shared" si="3"/>
        <v>0</v>
      </c>
      <c r="M7" s="4233">
        <f t="shared" si="3"/>
        <v>0</v>
      </c>
      <c r="N7" s="4233">
        <f t="shared" si="3"/>
        <v>0</v>
      </c>
      <c r="O7" s="4233">
        <f t="shared" si="3"/>
        <v>0</v>
      </c>
      <c r="S7" s="4229" t="s">
        <v>446</v>
      </c>
      <c r="T7" s="3526">
        <f>'12. Разходи'!C55</f>
        <v>2275.6666666666665</v>
      </c>
      <c r="U7" s="3526">
        <f>'12. Разходи'!D55</f>
        <v>1581.8873550697936</v>
      </c>
      <c r="V7" s="3526">
        <f>'12. Разходи'!E55</f>
        <v>1704.1041908205518</v>
      </c>
      <c r="W7" s="3526">
        <f>'12. Разходи'!F55</f>
        <v>1891.8397440675399</v>
      </c>
      <c r="X7" s="3526">
        <f>'12. Разходи'!G55</f>
        <v>2419.4977679811727</v>
      </c>
      <c r="Y7" s="3526">
        <f>'12. Разходи'!H55</f>
        <v>2513.2775683773002</v>
      </c>
      <c r="Z7" s="4227">
        <f t="shared" si="0"/>
        <v>-0.30486860037946667</v>
      </c>
      <c r="AA7" s="4227">
        <f t="shared" si="1"/>
        <v>0.58878415730582367</v>
      </c>
      <c r="AC7" s="3512" t="s">
        <v>1687</v>
      </c>
      <c r="AD7" s="3513">
        <f>'14. ОПР'!B22</f>
        <v>35954.66496310314</v>
      </c>
      <c r="AE7" s="3513">
        <f>'14. ОПР'!C22</f>
        <v>49500.229721451709</v>
      </c>
      <c r="AF7" s="3513">
        <f>'14. ОПР'!D22</f>
        <v>57955.069787291592</v>
      </c>
      <c r="AG7" s="3513">
        <f>'14. ОПР'!E22</f>
        <v>59922.9279171007</v>
      </c>
      <c r="AH7" s="3513">
        <f>'14. ОПР'!F22</f>
        <v>52307.011238797371</v>
      </c>
      <c r="AI7" s="3513">
        <f>'14. ОПР'!G22</f>
        <v>55141.208060305173</v>
      </c>
      <c r="AK7" s="3407" t="s">
        <v>549</v>
      </c>
      <c r="AL7" s="3514">
        <f>'17. РБА'!C16</f>
        <v>103</v>
      </c>
      <c r="AM7" s="3514">
        <f>'17. РБА'!D16</f>
        <v>45</v>
      </c>
      <c r="AN7" s="3514">
        <f>'17. РБА'!E16</f>
        <v>8</v>
      </c>
      <c r="AO7" s="3514">
        <f>'17. РБА'!F16</f>
        <v>0</v>
      </c>
      <c r="AP7" s="3514">
        <f>'17. РБА'!G16</f>
        <v>0</v>
      </c>
      <c r="AR7" s="3515" t="s">
        <v>1788</v>
      </c>
      <c r="AS7" s="3252">
        <f>'12. Разходи'!D17</f>
        <v>8772.5307827919987</v>
      </c>
      <c r="AT7" s="3252">
        <f>'12. Разходи'!E17</f>
        <v>8728.6681613670007</v>
      </c>
      <c r="AU7" s="3252">
        <f>'12. Разходи'!F17</f>
        <v>8685.0247895320008</v>
      </c>
      <c r="AV7" s="3252">
        <f>'12. Разходи'!G17</f>
        <v>8914.3471314660001</v>
      </c>
      <c r="AW7" s="3252">
        <f>'12. Разходи'!H17</f>
        <v>8869.7752298189989</v>
      </c>
    </row>
    <row r="8" spans="1:49" ht="15.75" customHeight="1">
      <c r="A8" s="4234" t="s">
        <v>220</v>
      </c>
      <c r="B8" s="3526">
        <f>'11. Амортиз. план'!E60</f>
        <v>6161</v>
      </c>
      <c r="C8" s="3526">
        <f>'11. Амортиз. план'!G60</f>
        <v>7000.005267716122</v>
      </c>
      <c r="D8" s="3526">
        <f>'11. Амортиз. план'!H60</f>
        <v>7500.7742968935199</v>
      </c>
      <c r="E8" s="3526">
        <f>'11. Амортиз. план'!I60</f>
        <v>8037.9448087402907</v>
      </c>
      <c r="F8" s="3526">
        <f>'11. Амортиз. план'!J60</f>
        <v>8605.0645721980109</v>
      </c>
      <c r="G8" s="3526">
        <f>'11. Амортиз. план'!K60</f>
        <v>9191.1869610785579</v>
      </c>
      <c r="I8" s="1300" t="s">
        <v>1735</v>
      </c>
      <c r="J8" s="1300"/>
      <c r="K8" s="1300"/>
      <c r="L8" s="1300"/>
      <c r="M8" s="1300"/>
      <c r="N8" s="1300"/>
      <c r="O8" s="3393" t="s">
        <v>1636</v>
      </c>
      <c r="S8" s="4235" t="s">
        <v>447</v>
      </c>
      <c r="T8" s="4231">
        <f>'12. Разходи'!C56</f>
        <v>219</v>
      </c>
      <c r="U8" s="4231">
        <f>'12. Разходи'!D56</f>
        <v>445.55350990362297</v>
      </c>
      <c r="V8" s="4231">
        <f>'12. Разходи'!E56</f>
        <v>500.76902917739545</v>
      </c>
      <c r="W8" s="4231">
        <f>'12. Разходи'!F56</f>
        <v>537.17051184677211</v>
      </c>
      <c r="X8" s="4231">
        <f>'12. Разходи'!G56</f>
        <v>567.11976345772121</v>
      </c>
      <c r="Y8" s="4231">
        <f>'12. Разходи'!H56</f>
        <v>586.12238888054344</v>
      </c>
      <c r="Z8" s="4227">
        <f t="shared" si="0"/>
        <v>1.0344909128019313</v>
      </c>
      <c r="AA8" s="4227">
        <f t="shared" si="1"/>
        <v>0.31549269807643693</v>
      </c>
      <c r="AC8" s="3403" t="s">
        <v>508</v>
      </c>
      <c r="AD8" s="3406">
        <f>'14. ОПР'!B34</f>
        <v>429</v>
      </c>
      <c r="AE8" s="3406">
        <f>'14. ОПР'!C34</f>
        <v>1251</v>
      </c>
      <c r="AF8" s="3406">
        <f>'14. ОПР'!D34</f>
        <v>1247</v>
      </c>
      <c r="AG8" s="3406">
        <f>'14. ОПР'!E34</f>
        <v>1245</v>
      </c>
      <c r="AH8" s="3406">
        <f>'14. ОПР'!F34</f>
        <v>1221</v>
      </c>
      <c r="AI8" s="3406">
        <f>'14. ОПР'!G34</f>
        <v>1156</v>
      </c>
      <c r="AK8" s="3407" t="s">
        <v>329</v>
      </c>
      <c r="AL8" s="3514">
        <f>'17. РБА'!C19</f>
        <v>5981.1458700000003</v>
      </c>
      <c r="AM8" s="3514">
        <f>'17. РБА'!D19</f>
        <v>9469.2917400000006</v>
      </c>
      <c r="AN8" s="3514">
        <f>'17. РБА'!E19</f>
        <v>9468.6250733333345</v>
      </c>
      <c r="AO8" s="3514">
        <f>'17. РБА'!F19</f>
        <v>1698.4</v>
      </c>
      <c r="AP8" s="3514">
        <f>'17. РБА'!G19</f>
        <v>1668.3333333333333</v>
      </c>
      <c r="AR8" s="3488" t="s">
        <v>297</v>
      </c>
      <c r="AS8" s="3489">
        <f>AS5+AS6</f>
        <v>34505.67980863127</v>
      </c>
      <c r="AT8" s="3489">
        <f>AT5+AT6</f>
        <v>37380.378508893336</v>
      </c>
      <c r="AU8" s="3489">
        <f>AU5+AU6</f>
        <v>40547.63289394309</v>
      </c>
      <c r="AV8" s="3489">
        <f>AV5+AV6</f>
        <v>44337.778458711138</v>
      </c>
      <c r="AW8" s="3489">
        <f>AW5+AW6</f>
        <v>47143.030569440962</v>
      </c>
    </row>
    <row r="9" spans="1:49" ht="15.75" customHeight="1">
      <c r="A9" s="4234" t="s">
        <v>222</v>
      </c>
      <c r="B9" s="3526">
        <f>'11. Амортиз. план'!E85</f>
        <v>5163</v>
      </c>
      <c r="C9" s="3526">
        <f>'11. Амортиз. план'!G85</f>
        <v>5662.3280656172101</v>
      </c>
      <c r="D9" s="3526">
        <f>'11. Амортиз. план'!H85</f>
        <v>5705.2257031064801</v>
      </c>
      <c r="E9" s="3526">
        <f>'11. Амортиз. план'!I85</f>
        <v>5711.7218579263736</v>
      </c>
      <c r="F9" s="3526">
        <f>'11. Амортиз. план'!J85</f>
        <v>5688.2687611353213</v>
      </c>
      <c r="G9" s="3526">
        <f>'11. Амортиз. план'!K85</f>
        <v>5645.8130389214439</v>
      </c>
      <c r="I9" s="4217" t="s">
        <v>1495</v>
      </c>
      <c r="J9" s="4218" t="str">
        <f>+'15. ОПП'!$C$7</f>
        <v>2027 г.</v>
      </c>
      <c r="K9" s="4218" t="str">
        <f>+'15. ОПП'!$D$7</f>
        <v>2028 г.</v>
      </c>
      <c r="L9" s="4218" t="str">
        <f>+'15. ОПП'!$E$7</f>
        <v>2029 г.</v>
      </c>
      <c r="M9" s="4218" t="str">
        <f>+'15. ОПП'!$F$7</f>
        <v>2030 г.</v>
      </c>
      <c r="N9" s="4218" t="str">
        <f>+'15. ОПП'!$G$7</f>
        <v>2031 г.</v>
      </c>
      <c r="O9" s="4219" t="s">
        <v>1595</v>
      </c>
      <c r="S9" s="4235" t="s">
        <v>736</v>
      </c>
      <c r="T9" s="4231">
        <f>'12. Разходи'!C57</f>
        <v>230</v>
      </c>
      <c r="U9" s="4231">
        <f>'12. Разходи'!D57</f>
        <v>557.78384516617064</v>
      </c>
      <c r="V9" s="4231">
        <f>'12. Разходи'!E57</f>
        <v>827.83516164315643</v>
      </c>
      <c r="W9" s="4231">
        <f>'12. Разходи'!F57</f>
        <v>1149.4192322207678</v>
      </c>
      <c r="X9" s="4231">
        <f>'12. Разходи'!G57</f>
        <v>1356.0780045234512</v>
      </c>
      <c r="Y9" s="4231">
        <f>'12. Разходи'!H57</f>
        <v>1461.0951794967566</v>
      </c>
      <c r="Z9" s="4227">
        <f t="shared" si="0"/>
        <v>1.4251471528963942</v>
      </c>
      <c r="AA9" s="4227">
        <f t="shared" si="1"/>
        <v>1.6194648557121234</v>
      </c>
      <c r="AC9" s="3516" t="s">
        <v>499</v>
      </c>
      <c r="AD9" s="3517">
        <f t="shared" ref="AD9:AI9" si="4">AD7+AD8</f>
        <v>36383.66496310314</v>
      </c>
      <c r="AE9" s="3517">
        <f t="shared" si="4"/>
        <v>50751.229721451709</v>
      </c>
      <c r="AF9" s="3517">
        <f t="shared" si="4"/>
        <v>59202.069787291592</v>
      </c>
      <c r="AG9" s="3517">
        <f t="shared" si="4"/>
        <v>61167.9279171007</v>
      </c>
      <c r="AH9" s="3517">
        <f t="shared" si="4"/>
        <v>53528.011238797371</v>
      </c>
      <c r="AI9" s="3517">
        <f t="shared" si="4"/>
        <v>56297.208060305173</v>
      </c>
      <c r="AK9" s="3407" t="s">
        <v>306</v>
      </c>
      <c r="AL9" s="3514">
        <f>'17. РБА'!C20</f>
        <v>5125.6839433630685</v>
      </c>
      <c r="AM9" s="3514">
        <f>'17. РБА'!D20</f>
        <v>5465.3779442740288</v>
      </c>
      <c r="AN9" s="3514">
        <f>'17. РБА'!E20</f>
        <v>5845.7990606829044</v>
      </c>
      <c r="AO9" s="3514">
        <f>'17. РБА'!F20</f>
        <v>6375.2242711938461</v>
      </c>
      <c r="AP9" s="3514">
        <f>'17. РБА'!G20</f>
        <v>6818.5166610065917</v>
      </c>
      <c r="AR9" s="5452" t="s">
        <v>1693</v>
      </c>
      <c r="AS9" s="5454" t="s">
        <v>174</v>
      </c>
      <c r="AT9" s="5455"/>
      <c r="AU9" s="5455"/>
      <c r="AV9" s="5455"/>
      <c r="AW9" s="5456"/>
    </row>
    <row r="10" spans="1:49" ht="15.75" customHeight="1">
      <c r="A10" s="5466" t="s">
        <v>1659</v>
      </c>
      <c r="B10" s="5466"/>
      <c r="C10" s="5466"/>
      <c r="D10" s="5466"/>
      <c r="E10" s="5466"/>
      <c r="F10" s="5466"/>
      <c r="G10" s="5466"/>
      <c r="I10" s="4222" t="s">
        <v>207</v>
      </c>
      <c r="J10" s="4223">
        <f>J28</f>
        <v>4968.4792033333333</v>
      </c>
      <c r="K10" s="4223">
        <f t="shared" ref="K10:N10" si="5">K28</f>
        <v>8925.6250733333345</v>
      </c>
      <c r="L10" s="4223">
        <f t="shared" si="5"/>
        <v>8924.9584066666685</v>
      </c>
      <c r="M10" s="4223">
        <f t="shared" si="5"/>
        <v>1154.7333333333336</v>
      </c>
      <c r="N10" s="4223">
        <f t="shared" si="5"/>
        <v>1124.6666666666665</v>
      </c>
      <c r="O10" s="3644">
        <f>SUM(J10:N10)</f>
        <v>25098.462683333339</v>
      </c>
      <c r="S10" s="4235" t="s">
        <v>737</v>
      </c>
      <c r="T10" s="4231">
        <f>'12. Разходи'!C58</f>
        <v>1826.6666666666665</v>
      </c>
      <c r="U10" s="4231">
        <f>'12. Разходи'!D58</f>
        <v>578.54999999999995</v>
      </c>
      <c r="V10" s="4231">
        <f>'12. Разходи'!E58</f>
        <v>375.5</v>
      </c>
      <c r="W10" s="4231">
        <f>'12. Разходи'!F58</f>
        <v>205.25</v>
      </c>
      <c r="X10" s="4231">
        <f>'12. Разходи'!G58</f>
        <v>496.3</v>
      </c>
      <c r="Y10" s="4231">
        <f>'12. Разходи'!H58</f>
        <v>466.06</v>
      </c>
      <c r="Z10" s="4227">
        <f t="shared" si="0"/>
        <v>-0.68327554744525543</v>
      </c>
      <c r="AA10" s="4227">
        <f t="shared" si="1"/>
        <v>-0.1944343617664851</v>
      </c>
      <c r="AC10" s="3402" t="s">
        <v>513</v>
      </c>
      <c r="AD10" s="3513">
        <f t="shared" ref="AD10:AI10" si="6">AD4-AD7</f>
        <v>496.12570324958506</v>
      </c>
      <c r="AE10" s="3513">
        <f t="shared" si="6"/>
        <v>-478.52298680896638</v>
      </c>
      <c r="AF10" s="3513">
        <f t="shared" si="6"/>
        <v>794.05363920939999</v>
      </c>
      <c r="AG10" s="3513">
        <f t="shared" si="6"/>
        <v>2099.9946876003814</v>
      </c>
      <c r="AH10" s="3513">
        <f t="shared" si="6"/>
        <v>2363.5681328379505</v>
      </c>
      <c r="AI10" s="3513">
        <f t="shared" si="6"/>
        <v>2679.6429351019033</v>
      </c>
      <c r="AK10" s="3408" t="s">
        <v>305</v>
      </c>
      <c r="AL10" s="3409">
        <f t="shared" ref="AL10:AP10" si="7">AL5-AL6+AL7+AL8+AL9</f>
        <v>22220.08526909224</v>
      </c>
      <c r="AM10" s="3409">
        <f t="shared" si="7"/>
        <v>30967.733654933407</v>
      </c>
      <c r="AN10" s="3409">
        <f t="shared" si="7"/>
        <v>39451.175653855069</v>
      </c>
      <c r="AO10" s="3409">
        <f t="shared" si="7"/>
        <v>39984.411120298471</v>
      </c>
      <c r="AP10" s="3409">
        <f t="shared" si="7"/>
        <v>40172.839075463373</v>
      </c>
      <c r="AR10" s="5453"/>
      <c r="AS10" s="4224" t="s">
        <v>1778</v>
      </c>
      <c r="AT10" s="4224" t="s">
        <v>1779</v>
      </c>
      <c r="AU10" s="4224" t="s">
        <v>1780</v>
      </c>
      <c r="AV10" s="4224" t="s">
        <v>1781</v>
      </c>
      <c r="AW10" s="4224" t="s">
        <v>1782</v>
      </c>
    </row>
    <row r="11" spans="1:49" ht="15.75" customHeight="1">
      <c r="A11" s="4228" t="s">
        <v>334</v>
      </c>
      <c r="B11" s="3644">
        <f>'11. Амортиз. план'!E111</f>
        <v>6040</v>
      </c>
      <c r="C11" s="3644">
        <f>'11. Амортиз. план'!G111</f>
        <v>12367.479203333332</v>
      </c>
      <c r="D11" s="3644">
        <f>'11. Амортиз. план'!H111</f>
        <v>21293.104276666669</v>
      </c>
      <c r="E11" s="3644">
        <f>'11. Амортиз. план'!I111</f>
        <v>30218.062683333337</v>
      </c>
      <c r="F11" s="3644">
        <f>'11. Амортиз. план'!J111</f>
        <v>31372.796016666667</v>
      </c>
      <c r="G11" s="3644">
        <f>'11. Амортиз. план'!K111</f>
        <v>32497.462683333335</v>
      </c>
      <c r="I11" s="4222" t="s">
        <v>208</v>
      </c>
      <c r="J11" s="4223">
        <f>J31</f>
        <v>1426.6016933333333</v>
      </c>
      <c r="K11" s="4223">
        <f t="shared" ref="K11:N11" si="8">K31</f>
        <v>2413.8700533333335</v>
      </c>
      <c r="L11" s="4223">
        <f t="shared" si="8"/>
        <v>2232.203386666667</v>
      </c>
      <c r="M11" s="4223">
        <f t="shared" si="8"/>
        <v>331.73333333333329</v>
      </c>
      <c r="N11" s="4223">
        <f t="shared" si="8"/>
        <v>345.66666666666663</v>
      </c>
      <c r="O11" s="3644">
        <f>SUM(J11:N11)</f>
        <v>6750.0751333333346</v>
      </c>
      <c r="S11" s="4229" t="s">
        <v>448</v>
      </c>
      <c r="T11" s="3526">
        <f>'12. Разходи'!C59</f>
        <v>8799</v>
      </c>
      <c r="U11" s="3526">
        <f>'12. Разходи'!D59</f>
        <v>13443</v>
      </c>
      <c r="V11" s="3526">
        <f>'12. Разходи'!E59</f>
        <v>15056.160000000002</v>
      </c>
      <c r="W11" s="3526">
        <f>'12. Разходи'!F59</f>
        <v>16862.899200000003</v>
      </c>
      <c r="X11" s="3526">
        <f>'12. Разходи'!G59</f>
        <v>19392.334080000001</v>
      </c>
      <c r="Y11" s="3526">
        <f>'12. Разходи'!H59</f>
        <v>21719.414169600001</v>
      </c>
      <c r="Z11" s="4227">
        <f t="shared" si="0"/>
        <v>0.5277872485509717</v>
      </c>
      <c r="AA11" s="4227">
        <f t="shared" si="1"/>
        <v>0.61566720000000008</v>
      </c>
      <c r="AC11" s="3402" t="s">
        <v>514</v>
      </c>
      <c r="AD11" s="3513">
        <f t="shared" ref="AD11:AI11" si="9">AD6-AD9</f>
        <v>67.125703249585058</v>
      </c>
      <c r="AE11" s="3513">
        <f t="shared" si="9"/>
        <v>-1729.5229868089664</v>
      </c>
      <c r="AF11" s="3513">
        <f t="shared" si="9"/>
        <v>-452.94636079060001</v>
      </c>
      <c r="AG11" s="3513">
        <f t="shared" si="9"/>
        <v>854.99468760038144</v>
      </c>
      <c r="AH11" s="3513">
        <f t="shared" si="9"/>
        <v>1142.5681328379505</v>
      </c>
      <c r="AI11" s="3513">
        <f t="shared" si="9"/>
        <v>1523.6429351019033</v>
      </c>
      <c r="AK11" s="5449" t="s">
        <v>1692</v>
      </c>
      <c r="AL11" s="5450" t="str">
        <f>T24</f>
        <v>Отвеждане на отпадъчните води</v>
      </c>
      <c r="AM11" s="5451"/>
      <c r="AN11" s="5451"/>
      <c r="AO11" s="5451"/>
      <c r="AP11" s="5451"/>
      <c r="AR11" s="3515" t="s">
        <v>294</v>
      </c>
      <c r="AS11" s="3252">
        <f>'16. Необходими приходи'!D15</f>
        <v>205.84973361745818</v>
      </c>
      <c r="AT11" s="3252">
        <f>'16. Необходими приходи'!E15</f>
        <v>388.02715288311822</v>
      </c>
      <c r="AU11" s="3252">
        <f>'16. Необходими приходи'!F15</f>
        <v>552.6018346751938</v>
      </c>
      <c r="AV11" s="3252">
        <f>'16. Необходими приходи'!G15</f>
        <v>570.03423684197503</v>
      </c>
      <c r="AW11" s="3252">
        <f>'16. Необходими приходи'!H15</f>
        <v>585.91937601983022</v>
      </c>
    </row>
    <row r="12" spans="1:49" ht="15.75" customHeight="1">
      <c r="A12" s="4230" t="s">
        <v>218</v>
      </c>
      <c r="B12" s="4231">
        <f>'11. Амортиз. план'!E131</f>
        <v>306</v>
      </c>
      <c r="C12" s="4231">
        <f>'11. Амортиз. план'!G131</f>
        <v>557.78384516617064</v>
      </c>
      <c r="D12" s="4231">
        <f>'11. Амортиз. план'!H131</f>
        <v>827.83516164315643</v>
      </c>
      <c r="E12" s="4231">
        <f>'11. Амортиз. план'!I131</f>
        <v>1149.4192322207678</v>
      </c>
      <c r="F12" s="4231">
        <f>'11. Амортиз. план'!J131</f>
        <v>1356.0780045234512</v>
      </c>
      <c r="G12" s="4231">
        <f>'11. Амортиз. план'!K131</f>
        <v>1461.0951794967566</v>
      </c>
      <c r="I12" s="4222" t="s">
        <v>209</v>
      </c>
      <c r="J12" s="4223">
        <f>J34</f>
        <v>1457.2228773333331</v>
      </c>
      <c r="K12" s="4223">
        <f t="shared" ref="K12:N12" si="10">K34</f>
        <v>2586.1124213333333</v>
      </c>
      <c r="L12" s="4223">
        <f t="shared" si="10"/>
        <v>2476.4457546666667</v>
      </c>
      <c r="M12" s="4223">
        <f t="shared" si="10"/>
        <v>313.73333333333329</v>
      </c>
      <c r="N12" s="4223">
        <f t="shared" si="10"/>
        <v>320.66666666666663</v>
      </c>
      <c r="O12" s="3644">
        <f>SUM(J12:N12)</f>
        <v>7154.1810533333337</v>
      </c>
      <c r="S12" s="4229" t="s">
        <v>449</v>
      </c>
      <c r="T12" s="3526">
        <f>'12. Разходи'!C63</f>
        <v>2800</v>
      </c>
      <c r="U12" s="3526">
        <f>'12. Разходи'!D63</f>
        <v>3960</v>
      </c>
      <c r="V12" s="3526">
        <f>'12. Разходи'!E63</f>
        <v>4274.3999999999996</v>
      </c>
      <c r="W12" s="3526">
        <f>'12. Разходи'!F63</f>
        <v>4686.5280000000002</v>
      </c>
      <c r="X12" s="3526">
        <f>'12. Разходи'!G63</f>
        <v>5142.5071999999991</v>
      </c>
      <c r="Y12" s="3526">
        <f>'12. Разходи'!H63</f>
        <v>5596.0480640000014</v>
      </c>
      <c r="Z12" s="4227">
        <f t="shared" si="0"/>
        <v>0.41428571428571431</v>
      </c>
      <c r="AA12" s="4227">
        <f t="shared" si="1"/>
        <v>0.41314345050505086</v>
      </c>
      <c r="AC12" s="3404"/>
      <c r="AD12" s="3405"/>
      <c r="AE12" s="3520"/>
      <c r="AF12" s="3520"/>
      <c r="AG12" s="3520"/>
      <c r="AH12" s="3520"/>
      <c r="AI12" s="3520"/>
      <c r="AK12" s="5449"/>
      <c r="AL12" s="4224" t="s">
        <v>1778</v>
      </c>
      <c r="AM12" s="4224" t="s">
        <v>1779</v>
      </c>
      <c r="AN12" s="4224" t="s">
        <v>1780</v>
      </c>
      <c r="AO12" s="4224" t="s">
        <v>1781</v>
      </c>
      <c r="AP12" s="4224" t="s">
        <v>1782</v>
      </c>
      <c r="AR12" s="3515" t="s">
        <v>296</v>
      </c>
      <c r="AS12" s="3252">
        <f>'16. Необходими приходи'!D16</f>
        <v>1873.6067235476689</v>
      </c>
      <c r="AT12" s="3252">
        <f>'16. Необходими приходи'!E16</f>
        <v>1996.8769978283422</v>
      </c>
      <c r="AU12" s="3252">
        <f>'16. Необходими приходи'!F16</f>
        <v>1899.0247682739155</v>
      </c>
      <c r="AV12" s="3252">
        <f>'16. Необходими приходи'!G16</f>
        <v>2158.614984462823</v>
      </c>
      <c r="AW12" s="3252">
        <f>'16. Необходими приходи'!H16</f>
        <v>2274.283059308269</v>
      </c>
    </row>
    <row r="13" spans="1:49" ht="15.75" customHeight="1">
      <c r="A13" s="4234" t="s">
        <v>220</v>
      </c>
      <c r="B13" s="3526">
        <f>'11. Амортиз. план'!E151</f>
        <v>1088</v>
      </c>
      <c r="C13" s="3526">
        <f>'11. Амортиз. план'!G151</f>
        <v>2041.7432982911705</v>
      </c>
      <c r="D13" s="3526">
        <f>'11. Амортиз. план'!H151</f>
        <v>2869.5784599343269</v>
      </c>
      <c r="E13" s="3526">
        <f>'11. Амортиз. план'!I151</f>
        <v>4018.9976921550951</v>
      </c>
      <c r="F13" s="3526">
        <f>'11. Амортиз. план'!J151</f>
        <v>5375.0756966785466</v>
      </c>
      <c r="G13" s="3526">
        <f>'11. Амортиз. план'!K151</f>
        <v>6836.1708761753016</v>
      </c>
      <c r="I13" s="4222" t="s">
        <v>1029</v>
      </c>
      <c r="J13" s="4223">
        <f>J37</f>
        <v>0</v>
      </c>
      <c r="K13" s="4223">
        <f t="shared" ref="K13:N13" si="11">K37</f>
        <v>0</v>
      </c>
      <c r="L13" s="4223">
        <f t="shared" si="11"/>
        <v>0</v>
      </c>
      <c r="M13" s="4223">
        <f t="shared" si="11"/>
        <v>0</v>
      </c>
      <c r="N13" s="4223">
        <f t="shared" si="11"/>
        <v>0</v>
      </c>
      <c r="O13" s="3644">
        <f t="shared" ref="O13:O14" si="12">SUM(J13:N13)</f>
        <v>0</v>
      </c>
      <c r="S13" s="4229" t="s">
        <v>450</v>
      </c>
      <c r="T13" s="3526">
        <f>'12. Разходи'!C70</f>
        <v>665.75099999999998</v>
      </c>
      <c r="U13" s="3526">
        <f>'12. Разходи'!D70</f>
        <v>673.77</v>
      </c>
      <c r="V13" s="3526">
        <f>'12. Разходи'!E70</f>
        <v>677.33310000000006</v>
      </c>
      <c r="W13" s="3526">
        <f>'12. Разходи'!F70</f>
        <v>681.00309299999992</v>
      </c>
      <c r="X13" s="3526">
        <f>'12. Разходи'!G70</f>
        <v>684.78318578999995</v>
      </c>
      <c r="Y13" s="3526">
        <f>'12. Разходи'!H70</f>
        <v>688.67668136370003</v>
      </c>
      <c r="Z13" s="4227">
        <f t="shared" si="0"/>
        <v>1.2045043867752367E-2</v>
      </c>
      <c r="AA13" s="4227">
        <f t="shared" si="1"/>
        <v>2.2124287759472883E-2</v>
      </c>
      <c r="AC13" s="3511" t="s">
        <v>1688</v>
      </c>
      <c r="AD13" s="4220" t="s">
        <v>1065</v>
      </c>
      <c r="AE13" s="4221" t="s">
        <v>1778</v>
      </c>
      <c r="AF13" s="4221" t="s">
        <v>1779</v>
      </c>
      <c r="AG13" s="4221" t="s">
        <v>1780</v>
      </c>
      <c r="AH13" s="4221" t="s">
        <v>1781</v>
      </c>
      <c r="AI13" s="4221" t="s">
        <v>1782</v>
      </c>
      <c r="AK13" s="3407" t="s">
        <v>547</v>
      </c>
      <c r="AL13" s="3514">
        <f>'17. РБА'!C24</f>
        <v>2795.6666666666665</v>
      </c>
      <c r="AM13" s="3514">
        <f>'17. РБА'!D24</f>
        <v>4248.9350266666661</v>
      </c>
      <c r="AN13" s="3514">
        <f>'17. РБА'!E24</f>
        <v>6670.4717466666661</v>
      </c>
      <c r="AO13" s="3514">
        <f>'17. РБА'!F24</f>
        <v>8910.3418000000001</v>
      </c>
      <c r="AP13" s="3514">
        <f>'17. РБА'!G24</f>
        <v>9249.7417999999998</v>
      </c>
      <c r="AR13" s="3515" t="s">
        <v>1788</v>
      </c>
      <c r="AS13" s="3252">
        <f>'12. Разходи'!L17</f>
        <v>120.52405073360002</v>
      </c>
      <c r="AT13" s="3252">
        <f>'12. Разходи'!M17</f>
        <v>120.52405073360002</v>
      </c>
      <c r="AU13" s="3252">
        <f>'12. Разходи'!N17</f>
        <v>120.52405073360002</v>
      </c>
      <c r="AV13" s="3252">
        <f>'12. Разходи'!O17</f>
        <v>165.548440228</v>
      </c>
      <c r="AW13" s="3252">
        <f>'12. Разходи'!P17</f>
        <v>165.548440228</v>
      </c>
    </row>
    <row r="14" spans="1:49" ht="15.75" customHeight="1">
      <c r="A14" s="4234" t="s">
        <v>222</v>
      </c>
      <c r="B14" s="3526">
        <f>'11. Амортиз. план'!E171</f>
        <v>4952</v>
      </c>
      <c r="C14" s="3526">
        <f>'11. Амортиз. план'!G171</f>
        <v>10325.735905042164</v>
      </c>
      <c r="D14" s="3526">
        <f>'11. Амортиз. план'!H171</f>
        <v>18423.525816732341</v>
      </c>
      <c r="E14" s="3526">
        <f>'11. Амортиз. план'!I171</f>
        <v>26199.064991178242</v>
      </c>
      <c r="F14" s="3526">
        <f>'11. Амортиз. план'!J171</f>
        <v>25997.720319988122</v>
      </c>
      <c r="G14" s="3526">
        <f>'11. Амортиз. план'!K171</f>
        <v>25661.291807158032</v>
      </c>
      <c r="I14" s="4222" t="s">
        <v>1092</v>
      </c>
      <c r="J14" s="4223">
        <f>J40</f>
        <v>0</v>
      </c>
      <c r="K14" s="4223">
        <f t="shared" ref="K14:N14" si="13">K40</f>
        <v>0</v>
      </c>
      <c r="L14" s="4223">
        <f t="shared" si="13"/>
        <v>0</v>
      </c>
      <c r="M14" s="4223">
        <f t="shared" si="13"/>
        <v>0</v>
      </c>
      <c r="N14" s="4223">
        <f t="shared" si="13"/>
        <v>0</v>
      </c>
      <c r="O14" s="3644">
        <f t="shared" si="12"/>
        <v>0</v>
      </c>
      <c r="S14" s="4229" t="s">
        <v>267</v>
      </c>
      <c r="T14" s="3526">
        <f>'12. Разходи'!C76</f>
        <v>83</v>
      </c>
      <c r="U14" s="3526">
        <f>'12. Разходи'!D76</f>
        <v>86.67</v>
      </c>
      <c r="V14" s="3526">
        <f>'12. Разходи'!E76</f>
        <v>89.270099999999999</v>
      </c>
      <c r="W14" s="3526">
        <f>'12. Разходи'!F76</f>
        <v>91.948203000000007</v>
      </c>
      <c r="X14" s="3526">
        <f>'12. Разходи'!G76</f>
        <v>94.706649090000013</v>
      </c>
      <c r="Y14" s="3526">
        <f>'12. Разходи'!H76</f>
        <v>97.547848562700011</v>
      </c>
      <c r="Z14" s="4227">
        <f t="shared" si="0"/>
        <v>4.4216867469879538E-2</v>
      </c>
      <c r="AA14" s="4227">
        <f t="shared" si="1"/>
        <v>0.12550881000000011</v>
      </c>
      <c r="AC14" s="4236" t="s">
        <v>1689</v>
      </c>
      <c r="AD14" s="3523">
        <f>IFERROR(AD10/AD7,0)</f>
        <v>1.3798646260748412E-2</v>
      </c>
      <c r="AE14" s="3523">
        <f t="shared" ref="AE14:AI14" si="14">IFERROR(AE10/AE7,0)</f>
        <v>-9.6670861832705967E-3</v>
      </c>
      <c r="AF14" s="3523">
        <f t="shared" si="14"/>
        <v>1.3701193737213312E-2</v>
      </c>
      <c r="AG14" s="3523">
        <f t="shared" si="14"/>
        <v>3.5044927886460776E-2</v>
      </c>
      <c r="AH14" s="3523">
        <f t="shared" si="14"/>
        <v>4.5186449710298782E-2</v>
      </c>
      <c r="AI14" s="3523">
        <f t="shared" si="14"/>
        <v>4.8596014294269942E-2</v>
      </c>
      <c r="AK14" s="3407" t="s">
        <v>548</v>
      </c>
      <c r="AL14" s="3518">
        <f>'17. РБА'!C27</f>
        <v>1846.3833593749998</v>
      </c>
      <c r="AM14" s="3518">
        <f>'17. РБА'!D27</f>
        <v>1961.009818903759</v>
      </c>
      <c r="AN14" s="3518">
        <f>'17. РБА'!E27</f>
        <v>2117.9258472283154</v>
      </c>
      <c r="AO14" s="3518">
        <f>'17. РБА'!F27</f>
        <v>2255.0701384353406</v>
      </c>
      <c r="AP14" s="3518">
        <f>'17. РБА'!G27</f>
        <v>2418.3550844409733</v>
      </c>
      <c r="AR14" s="3488" t="s">
        <v>297</v>
      </c>
      <c r="AS14" s="3489">
        <f>AS11+AS12</f>
        <v>2079.4564571651272</v>
      </c>
      <c r="AT14" s="3489">
        <f>AT11+AT12</f>
        <v>2384.9041507114603</v>
      </c>
      <c r="AU14" s="3489">
        <f>AU11+AU12</f>
        <v>2451.6266029491094</v>
      </c>
      <c r="AV14" s="3489">
        <f>AV11+AV12</f>
        <v>2728.6492213047982</v>
      </c>
      <c r="AW14" s="3489">
        <f>AW11+AW12</f>
        <v>2860.2024353280995</v>
      </c>
    </row>
    <row r="15" spans="1:49" ht="15.75" customHeight="1">
      <c r="A15" s="5466" t="s">
        <v>1660</v>
      </c>
      <c r="B15" s="5466"/>
      <c r="C15" s="5466"/>
      <c r="D15" s="5466"/>
      <c r="E15" s="5466"/>
      <c r="F15" s="5466"/>
      <c r="G15" s="5466"/>
      <c r="I15" s="4232" t="s">
        <v>1028</v>
      </c>
      <c r="J15" s="4233">
        <f>SUM(J10:J14)</f>
        <v>7852.303774</v>
      </c>
      <c r="K15" s="4233">
        <f t="shared" ref="K15:O15" si="15">SUM(K10:K14)</f>
        <v>13925.607548000002</v>
      </c>
      <c r="L15" s="4233">
        <f t="shared" si="15"/>
        <v>13633.607548000004</v>
      </c>
      <c r="M15" s="4233">
        <f t="shared" si="15"/>
        <v>1800.2000000000003</v>
      </c>
      <c r="N15" s="4233">
        <f t="shared" si="15"/>
        <v>1790.9999999999995</v>
      </c>
      <c r="O15" s="4233">
        <f t="shared" si="15"/>
        <v>39002.718870000012</v>
      </c>
      <c r="S15" s="4237" t="s">
        <v>277</v>
      </c>
      <c r="T15" s="4238">
        <f>SUM(T5:T7,T11:T14)</f>
        <v>25733.361613812984</v>
      </c>
      <c r="U15" s="4238">
        <f t="shared" ref="U15:Y15" si="16">SUM(U5:U7,U11:U14)</f>
        <v>32763.131343861791</v>
      </c>
      <c r="V15" s="4238">
        <f t="shared" si="16"/>
        <v>34951.82001848756</v>
      </c>
      <c r="W15" s="4238">
        <f t="shared" si="16"/>
        <v>37453.784029888542</v>
      </c>
      <c r="X15" s="4238">
        <f t="shared" si="16"/>
        <v>41202.112084410401</v>
      </c>
      <c r="Y15" s="4238">
        <f t="shared" si="16"/>
        <v>43992.587256167397</v>
      </c>
      <c r="Z15" s="4239">
        <f t="shared" si="0"/>
        <v>0.27317727996622926</v>
      </c>
      <c r="AA15" s="4227">
        <f t="shared" si="1"/>
        <v>0.34274672327403949</v>
      </c>
      <c r="AC15" s="2" t="s">
        <v>1691</v>
      </c>
      <c r="AD15" s="4240"/>
      <c r="AE15" s="4241"/>
      <c r="AF15" s="4241"/>
      <c r="AG15" s="4241"/>
      <c r="AH15" s="4241"/>
      <c r="AI15" s="4241"/>
      <c r="AK15" s="3407" t="s">
        <v>549</v>
      </c>
      <c r="AL15" s="3514">
        <f>'17. РБА'!C30</f>
        <v>0</v>
      </c>
      <c r="AM15" s="3514">
        <f>'17. РБА'!D30</f>
        <v>0</v>
      </c>
      <c r="AN15" s="3514">
        <f>'17. РБА'!E30</f>
        <v>0</v>
      </c>
      <c r="AO15" s="3514">
        <f>'17. РБА'!F30</f>
        <v>0</v>
      </c>
      <c r="AP15" s="3514">
        <f>'17. РБА'!G30</f>
        <v>0</v>
      </c>
      <c r="AR15" s="5452" t="s">
        <v>1693</v>
      </c>
      <c r="AS15" s="5454" t="s">
        <v>184</v>
      </c>
      <c r="AT15" s="5455"/>
      <c r="AU15" s="5455"/>
      <c r="AV15" s="5455"/>
      <c r="AW15" s="5456"/>
    </row>
    <row r="16" spans="1:49" ht="15.75" customHeight="1">
      <c r="A16" s="4228" t="s">
        <v>334</v>
      </c>
      <c r="B16" s="3644">
        <f>'11. Амортиз. план'!E192</f>
        <v>96830</v>
      </c>
      <c r="C16" s="3644">
        <f>'11. Амортиз. план'!G192</f>
        <v>96830</v>
      </c>
      <c r="D16" s="3644">
        <f>'11. Амортиз. план'!H192</f>
        <v>96830</v>
      </c>
      <c r="E16" s="3644">
        <f>'11. Амортиз. план'!I192</f>
        <v>96830</v>
      </c>
      <c r="F16" s="3644">
        <f>'11. Амортиз. план'!J192</f>
        <v>96830</v>
      </c>
      <c r="G16" s="3644">
        <f>'11. Амортиз. план'!K192</f>
        <v>96830</v>
      </c>
      <c r="I16" s="4242" t="s">
        <v>1434</v>
      </c>
      <c r="J16" s="4243">
        <f>J7-J15</f>
        <v>-7852.303774</v>
      </c>
      <c r="K16" s="4243">
        <f t="shared" ref="K16:O16" si="17">K7-K15</f>
        <v>-13925.607548000002</v>
      </c>
      <c r="L16" s="4243">
        <f t="shared" si="17"/>
        <v>-13633.607548000004</v>
      </c>
      <c r="M16" s="4243">
        <f t="shared" si="17"/>
        <v>-1800.2000000000003</v>
      </c>
      <c r="N16" s="4243">
        <f t="shared" si="17"/>
        <v>-1790.9999999999995</v>
      </c>
      <c r="O16" s="4243">
        <f t="shared" si="17"/>
        <v>-39002.718870000012</v>
      </c>
      <c r="P16" s="4244"/>
      <c r="Q16" s="4244"/>
      <c r="S16" s="4245" t="str">
        <f>CONCATENATE("Спестявания и увеличения спрямо ",T4," - нето:")</f>
        <v>Спестявания и увеличения спрямо 2024 г. - нето:</v>
      </c>
      <c r="T16" s="4246"/>
      <c r="U16" s="4245">
        <f>U15-$T15</f>
        <v>7029.7697300488071</v>
      </c>
      <c r="V16" s="4245">
        <f t="shared" ref="V16:Y16" si="18">V15-$T15</f>
        <v>9218.4584046745767</v>
      </c>
      <c r="W16" s="4245">
        <f t="shared" si="18"/>
        <v>11720.422416075558</v>
      </c>
      <c r="X16" s="4245">
        <f t="shared" si="18"/>
        <v>15468.750470597417</v>
      </c>
      <c r="Y16" s="4245">
        <f t="shared" si="18"/>
        <v>18259.225642354413</v>
      </c>
      <c r="Z16" s="4246"/>
      <c r="AA16" s="4246"/>
      <c r="AC16" s="3511" t="s">
        <v>1688</v>
      </c>
      <c r="AD16" s="4220" t="s">
        <v>1065</v>
      </c>
      <c r="AE16" s="4221" t="s">
        <v>1778</v>
      </c>
      <c r="AF16" s="4221" t="s">
        <v>1779</v>
      </c>
      <c r="AG16" s="4221" t="s">
        <v>1780</v>
      </c>
      <c r="AH16" s="4221" t="s">
        <v>1781</v>
      </c>
      <c r="AI16" s="4221" t="s">
        <v>1782</v>
      </c>
      <c r="AK16" s="3407" t="s">
        <v>329</v>
      </c>
      <c r="AL16" s="3514">
        <f>'17. РБА'!C33</f>
        <v>1453.26836</v>
      </c>
      <c r="AM16" s="3514">
        <f>'17. РБА'!D33</f>
        <v>2421.5367200000001</v>
      </c>
      <c r="AN16" s="3514">
        <f>'17. РБА'!E33</f>
        <v>2239.8700533333335</v>
      </c>
      <c r="AO16" s="3514">
        <f>'17. РБА'!F33</f>
        <v>339.4</v>
      </c>
      <c r="AP16" s="3514">
        <f>'17. РБА'!G33</f>
        <v>353.33333333333331</v>
      </c>
      <c r="AR16" s="5453"/>
      <c r="AS16" s="4224" t="s">
        <v>1778</v>
      </c>
      <c r="AT16" s="4224" t="s">
        <v>1779</v>
      </c>
      <c r="AU16" s="4224" t="s">
        <v>1780</v>
      </c>
      <c r="AV16" s="4224" t="s">
        <v>1781</v>
      </c>
      <c r="AW16" s="4224" t="s">
        <v>1782</v>
      </c>
    </row>
    <row r="17" spans="1:49" ht="15.75" customHeight="1">
      <c r="A17" s="4230" t="s">
        <v>218</v>
      </c>
      <c r="B17" s="4231">
        <f>'11. Амортиз. план'!E214</f>
        <v>2232</v>
      </c>
      <c r="C17" s="4231">
        <f>'11. Амортиз. план'!G214</f>
        <v>2229</v>
      </c>
      <c r="D17" s="4231">
        <f>'11. Амортиз. план'!H214</f>
        <v>2225.21</v>
      </c>
      <c r="E17" s="4231">
        <f>'11. Амортиз. план'!I214</f>
        <v>2210.5700000000002</v>
      </c>
      <c r="F17" s="4231">
        <f>'11. Амортиз. план'!J214</f>
        <v>2207.77</v>
      </c>
      <c r="G17" s="4231">
        <f>'11. Амортиз. план'!K214</f>
        <v>2207.77</v>
      </c>
      <c r="I17" s="1300" t="s">
        <v>1736</v>
      </c>
      <c r="J17" s="4243"/>
      <c r="K17" s="4243"/>
      <c r="L17" s="4243"/>
      <c r="M17" s="4243"/>
      <c r="N17" s="4243"/>
      <c r="O17" s="4243"/>
      <c r="P17" s="4244"/>
      <c r="Q17" s="3393" t="s">
        <v>1636</v>
      </c>
      <c r="S17" s="4229" t="s">
        <v>1670</v>
      </c>
      <c r="T17" s="3526">
        <f>'12. Разходи'!C92</f>
        <v>19778</v>
      </c>
      <c r="U17" s="3526">
        <f>'12. Разходи'!D92</f>
        <v>26289.993326277414</v>
      </c>
      <c r="V17" s="3526">
        <f>'12. Разходи'!E92</f>
        <v>28032.307740432672</v>
      </c>
      <c r="W17" s="3526">
        <f>'12. Разходи'!F92</f>
        <v>29983.514393451998</v>
      </c>
      <c r="X17" s="3526">
        <f>'12. Разходи'!G92</f>
        <v>32698.973521422224</v>
      </c>
      <c r="Y17" s="3526">
        <f>'12. Разходи'!H92</f>
        <v>34972.651356134782</v>
      </c>
      <c r="Z17" s="4227">
        <f t="shared" si="0"/>
        <v>0.32925439004335189</v>
      </c>
      <c r="AA17" s="4227">
        <f t="shared" ref="AA17:AA21" si="19">IFERROR((Y17-U17)/U17,0)</f>
        <v>0.3302647483435785</v>
      </c>
      <c r="AC17" s="4247" t="s">
        <v>545</v>
      </c>
      <c r="AD17" s="3487">
        <f>'15. ОПП'!B45</f>
        <v>1125</v>
      </c>
      <c r="AE17" s="3487">
        <f>'15. ОПП'!C45</f>
        <v>500</v>
      </c>
      <c r="AF17" s="3487">
        <f>'15. ОПП'!D45</f>
        <v>2437.5696355510299</v>
      </c>
      <c r="AG17" s="3487">
        <f>'15. ОПП'!E45</f>
        <v>5749.6510628813267</v>
      </c>
      <c r="AH17" s="3487">
        <f>'15. ОПП'!F45</f>
        <v>9862.6663654407712</v>
      </c>
      <c r="AI17" s="3487">
        <f>'15. ОПП'!G45</f>
        <v>13813.756253118681</v>
      </c>
      <c r="AK17" s="3407" t="s">
        <v>306</v>
      </c>
      <c r="AL17" s="3514">
        <f>'17. РБА'!C34</f>
        <v>222.33867353735511</v>
      </c>
      <c r="AM17" s="3514">
        <f>'17. РБА'!D34</f>
        <v>238.46152923349896</v>
      </c>
      <c r="AN17" s="3514">
        <f>'17. РБА'!E34</f>
        <v>254.07953047674926</v>
      </c>
      <c r="AO17" s="3514">
        <f>'17. РБА'!F34</f>
        <v>274.11288303405865</v>
      </c>
      <c r="AP17" s="3514">
        <f>'17. РБА'!G34</f>
        <v>286.62365212559365</v>
      </c>
      <c r="AR17" s="3515" t="s">
        <v>294</v>
      </c>
      <c r="AS17" s="3252">
        <f>'16. Необходими приходи'!D23</f>
        <v>239.07881480409662</v>
      </c>
      <c r="AT17" s="3252">
        <f>'16. Необходими приходи'!E23</f>
        <v>433.4679959205028</v>
      </c>
      <c r="AU17" s="3252">
        <f>'16. Необходими приходи'!F23</f>
        <v>612.54398887064997</v>
      </c>
      <c r="AV17" s="3252">
        <f>'16. Необходими приходи'!G23</f>
        <v>614.86752169523368</v>
      </c>
      <c r="AW17" s="3252">
        <f>'16. Необходими приходи'!H23</f>
        <v>611.28024580849979</v>
      </c>
    </row>
    <row r="18" spans="1:49" ht="15.75" customHeight="1">
      <c r="A18" s="4234" t="s">
        <v>220</v>
      </c>
      <c r="B18" s="3526">
        <f>'11. Амортиз. план'!E236</f>
        <v>26448</v>
      </c>
      <c r="C18" s="3526">
        <f>'11. Амортиз. план'!G236</f>
        <v>30906</v>
      </c>
      <c r="D18" s="3526">
        <f>'11. Амортиз. план'!H236</f>
        <v>33131.21</v>
      </c>
      <c r="E18" s="3526">
        <f>'11. Амортиз. план'!I236</f>
        <v>35341.78</v>
      </c>
      <c r="F18" s="3526">
        <f>'11. Амортиз. план'!J236</f>
        <v>37549.550000000003</v>
      </c>
      <c r="G18" s="3526">
        <f>'11. Амортиз. план'!K236</f>
        <v>39757.320000000007</v>
      </c>
      <c r="I18" s="4217" t="s">
        <v>1495</v>
      </c>
      <c r="J18" s="4218" t="str">
        <f>+'15. ОПП'!$C$7</f>
        <v>2027 г.</v>
      </c>
      <c r="K18" s="4218" t="str">
        <f>+'15. ОПП'!$D$7</f>
        <v>2028 г.</v>
      </c>
      <c r="L18" s="4218" t="str">
        <f>+'15. ОПП'!$E$7</f>
        <v>2029 г.</v>
      </c>
      <c r="M18" s="4218" t="str">
        <f>+'15. ОПП'!$F$7</f>
        <v>2030 г.</v>
      </c>
      <c r="N18" s="4218" t="str">
        <f>+'15. ОПП'!$G$7</f>
        <v>2031 г.</v>
      </c>
      <c r="O18" s="4219" t="s">
        <v>1595</v>
      </c>
      <c r="P18" s="3433" t="s">
        <v>1733</v>
      </c>
      <c r="Q18" s="3433" t="s">
        <v>1734</v>
      </c>
      <c r="S18" s="4229" t="s">
        <v>1672</v>
      </c>
      <c r="T18" s="3526">
        <f>'12. Разходи'!C93</f>
        <v>3679.6949471463158</v>
      </c>
      <c r="U18" s="3526">
        <f>'12. Разходи'!D93</f>
        <v>4891.2506625145834</v>
      </c>
      <c r="V18" s="3526">
        <f>'12. Разходи'!E93</f>
        <v>5215.4080872343366</v>
      </c>
      <c r="W18" s="3526">
        <f>'12. Разходи'!F93</f>
        <v>5578.4298923690039</v>
      </c>
      <c r="X18" s="3526">
        <f>'12. Разходи'!G93</f>
        <v>6083.6407950070061</v>
      </c>
      <c r="Y18" s="3526">
        <f>'12. Разходи'!H93</f>
        <v>6506.6583316553151</v>
      </c>
      <c r="Z18" s="4227">
        <f t="shared" si="0"/>
        <v>0.32925439004335283</v>
      </c>
      <c r="AA18" s="4227">
        <f t="shared" si="19"/>
        <v>0.33026474834357672</v>
      </c>
      <c r="AC18" s="4247" t="s">
        <v>546</v>
      </c>
      <c r="AD18" s="3487">
        <f>'15. ОПП'!B46</f>
        <v>1079.1257032495814</v>
      </c>
      <c r="AE18" s="3487">
        <f>'15. ОПП'!C46</f>
        <v>2437.5696355510299</v>
      </c>
      <c r="AF18" s="3487">
        <f>'15. ОПП'!D46</f>
        <v>5749.6510628813267</v>
      </c>
      <c r="AG18" s="3487">
        <f>'15. ОПП'!E46</f>
        <v>9862.6663654407712</v>
      </c>
      <c r="AH18" s="3487">
        <f>'15. ОПП'!F46</f>
        <v>13813.756253118681</v>
      </c>
      <c r="AI18" s="3487">
        <f>'15. ОПП'!G46</f>
        <v>18213.503598536794</v>
      </c>
      <c r="AK18" s="3408" t="s">
        <v>305</v>
      </c>
      <c r="AL18" s="3409">
        <f t="shared" ref="AL18:AP18" si="20">AL13-AL14+AL15+AL16+AL17</f>
        <v>2624.8903408290216</v>
      </c>
      <c r="AM18" s="3409">
        <f t="shared" si="20"/>
        <v>4947.9234569964065</v>
      </c>
      <c r="AN18" s="3409">
        <f t="shared" si="20"/>
        <v>7046.4954832484327</v>
      </c>
      <c r="AO18" s="3409">
        <f t="shared" si="20"/>
        <v>7268.7845445987177</v>
      </c>
      <c r="AP18" s="3409">
        <f t="shared" si="20"/>
        <v>7471.3437010179532</v>
      </c>
      <c r="AR18" s="3515" t="s">
        <v>296</v>
      </c>
      <c r="AS18" s="3252">
        <f>'16. Необходими приходи'!D24</f>
        <v>3095.1878800422473</v>
      </c>
      <c r="AT18" s="3252">
        <f>'16. Необходими приходи'!E24</f>
        <v>3344.7652229756914</v>
      </c>
      <c r="AU18" s="3252">
        <f>'16. Необходими приходи'!F24</f>
        <v>3477.5115709382358</v>
      </c>
      <c r="AV18" s="3252">
        <f>'16. Необходими приходи'!G24</f>
        <v>3859.084169924155</v>
      </c>
      <c r="AW18" s="3252">
        <f>'16. Необходими приходи'!H24</f>
        <v>4065.3377448295141</v>
      </c>
    </row>
    <row r="19" spans="1:49" ht="15.75" customHeight="1">
      <c r="A19" s="4234" t="s">
        <v>222</v>
      </c>
      <c r="B19" s="3526">
        <f>'11. Амортиз. план'!E258</f>
        <v>70382</v>
      </c>
      <c r="C19" s="3526">
        <f>'11. Амортиз. план'!G258</f>
        <v>65924</v>
      </c>
      <c r="D19" s="3526">
        <f>'11. Амортиз. план'!H258</f>
        <v>63698.79</v>
      </c>
      <c r="E19" s="3526">
        <f>'11. Амортиз. план'!I258</f>
        <v>61488.22</v>
      </c>
      <c r="F19" s="3526">
        <f>'11. Амортиз. план'!J258</f>
        <v>59280.45</v>
      </c>
      <c r="G19" s="3526">
        <f>'11. Амортиз. план'!K258</f>
        <v>57072.68</v>
      </c>
      <c r="I19" s="4222" t="s">
        <v>207</v>
      </c>
      <c r="J19" s="4223">
        <f>J27</f>
        <v>5981.1458700000003</v>
      </c>
      <c r="K19" s="4223">
        <f t="shared" ref="K19:N19" si="21">K27</f>
        <v>9469.2917400000006</v>
      </c>
      <c r="L19" s="4223">
        <f t="shared" si="21"/>
        <v>9468.6250733333345</v>
      </c>
      <c r="M19" s="4223">
        <f t="shared" si="21"/>
        <v>1698.4</v>
      </c>
      <c r="N19" s="4223">
        <f t="shared" si="21"/>
        <v>1668.333333333333</v>
      </c>
      <c r="O19" s="3644">
        <f>SUM(J19:N19)</f>
        <v>28285.796016666671</v>
      </c>
      <c r="P19" s="3526">
        <f>O28</f>
        <v>25098.462683333339</v>
      </c>
      <c r="Q19" s="3526">
        <f>O29</f>
        <v>3187.333333333333</v>
      </c>
      <c r="S19" s="4248" t="s">
        <v>1671</v>
      </c>
      <c r="T19" s="4231">
        <f>'12. Разходи'!C94</f>
        <v>1216</v>
      </c>
      <c r="U19" s="4231">
        <f>'12. Разходи'!D94</f>
        <v>1616.3733382927169</v>
      </c>
      <c r="V19" s="4231">
        <f>'12. Разходи'!E94</f>
        <v>0</v>
      </c>
      <c r="W19" s="4231">
        <f>'12. Разходи'!F94</f>
        <v>0</v>
      </c>
      <c r="X19" s="4231">
        <f>'12. Разходи'!G94</f>
        <v>0</v>
      </c>
      <c r="Y19" s="4231">
        <f>'12. Разходи'!H94</f>
        <v>0</v>
      </c>
      <c r="Z19" s="4227">
        <f t="shared" si="0"/>
        <v>0.32925439004335272</v>
      </c>
      <c r="AA19" s="4227">
        <f t="shared" si="19"/>
        <v>-1</v>
      </c>
      <c r="AK19" s="5449" t="s">
        <v>1692</v>
      </c>
      <c r="AL19" s="5450" t="str">
        <f>T45</f>
        <v>Пречистване на отпадъчните води</v>
      </c>
      <c r="AM19" s="5451"/>
      <c r="AN19" s="5451"/>
      <c r="AO19" s="5451"/>
      <c r="AP19" s="5451"/>
      <c r="AR19" s="3515" t="s">
        <v>1788</v>
      </c>
      <c r="AS19" s="3252">
        <f>'12. Разходи'!T17</f>
        <v>687.30746428079999</v>
      </c>
      <c r="AT19" s="3252">
        <f>'12. Разходи'!U17</f>
        <v>687.30746428079999</v>
      </c>
      <c r="AU19" s="3252">
        <f>'12. Разходи'!V17</f>
        <v>687.30746428079999</v>
      </c>
      <c r="AV19" s="3252">
        <f>'12. Разходи'!W17</f>
        <v>798.46995132000006</v>
      </c>
      <c r="AW19" s="3252">
        <f>'12. Разходи'!X17</f>
        <v>798.46995132000006</v>
      </c>
    </row>
    <row r="20" spans="1:49" ht="15.75" customHeight="1">
      <c r="A20" s="2" t="s">
        <v>174</v>
      </c>
      <c r="B20" s="11"/>
      <c r="C20" s="11"/>
      <c r="D20" s="11"/>
      <c r="E20" s="11"/>
      <c r="F20" s="11"/>
      <c r="G20" s="3393" t="s">
        <v>1636</v>
      </c>
      <c r="I20" s="4222" t="s">
        <v>208</v>
      </c>
      <c r="J20" s="4223">
        <f>J30</f>
        <v>1453.26836</v>
      </c>
      <c r="K20" s="4223">
        <f t="shared" ref="K20:N20" si="22">K30</f>
        <v>2421.5367200000001</v>
      </c>
      <c r="L20" s="4223">
        <f t="shared" si="22"/>
        <v>2239.8700533333335</v>
      </c>
      <c r="M20" s="4223">
        <f t="shared" si="22"/>
        <v>339.4</v>
      </c>
      <c r="N20" s="4223">
        <f t="shared" si="22"/>
        <v>353.33333333333331</v>
      </c>
      <c r="O20" s="3644">
        <f>SUM(J20:N20)</f>
        <v>6807.4084666666668</v>
      </c>
      <c r="P20" s="3526">
        <f>O31</f>
        <v>6750.0751333333346</v>
      </c>
      <c r="Q20" s="3526">
        <f>O32</f>
        <v>57.333333333333321</v>
      </c>
      <c r="S20" s="4229" t="s">
        <v>1674</v>
      </c>
      <c r="T20" s="3526">
        <f>'12. Разходи'!C90</f>
        <v>2785.9219500000004</v>
      </c>
      <c r="U20" s="3526">
        <f>'12. Разходи'!D90</f>
        <v>3621.698535</v>
      </c>
      <c r="V20" s="3526">
        <f>'12. Разходи'!E90</f>
        <v>3802.7834617499993</v>
      </c>
      <c r="W20" s="3526">
        <f>'12. Разходи'!F90</f>
        <v>3916.8669656024999</v>
      </c>
      <c r="X20" s="3526">
        <f>'12. Разходи'!G90</f>
        <v>3721.0236173223748</v>
      </c>
      <c r="Y20" s="3526">
        <f>'12. Разходи'!H90</f>
        <v>3572.1826726294803</v>
      </c>
      <c r="Z20" s="4227">
        <f t="shared" si="0"/>
        <v>0.29999999999999982</v>
      </c>
      <c r="AA20" s="4227">
        <f t="shared" si="19"/>
        <v>-1.3671999999999917E-2</v>
      </c>
      <c r="AK20" s="5449"/>
      <c r="AL20" s="4224" t="s">
        <v>1778</v>
      </c>
      <c r="AM20" s="4224" t="s">
        <v>1779</v>
      </c>
      <c r="AN20" s="4224" t="s">
        <v>1780</v>
      </c>
      <c r="AO20" s="4224" t="s">
        <v>1781</v>
      </c>
      <c r="AP20" s="4224" t="s">
        <v>1782</v>
      </c>
      <c r="AR20" s="3488" t="s">
        <v>297</v>
      </c>
      <c r="AS20" s="3489">
        <f>AS17+AS18</f>
        <v>3334.2666948463439</v>
      </c>
      <c r="AT20" s="3489">
        <f>AT17+AT18</f>
        <v>3778.2332188961941</v>
      </c>
      <c r="AU20" s="3489">
        <f>AU17+AU18</f>
        <v>4090.0555598088858</v>
      </c>
      <c r="AV20" s="3489">
        <f>AV17+AV18</f>
        <v>4473.9516916193888</v>
      </c>
      <c r="AW20" s="3489">
        <f>AW17+AW18</f>
        <v>4676.6179906380139</v>
      </c>
    </row>
    <row r="21" spans="1:49" ht="15.75" customHeight="1">
      <c r="A21" s="5467" t="s">
        <v>87</v>
      </c>
      <c r="B21" s="5460" t="s">
        <v>174</v>
      </c>
      <c r="C21" s="5460"/>
      <c r="D21" s="5460"/>
      <c r="E21" s="5460"/>
      <c r="F21" s="5460"/>
      <c r="G21" s="5460"/>
      <c r="I21" s="4222" t="s">
        <v>209</v>
      </c>
      <c r="J21" s="4223">
        <f>J33</f>
        <v>1479.8895439999999</v>
      </c>
      <c r="K21" s="4223">
        <f t="shared" ref="K21:N21" si="23">K33</f>
        <v>2593.7790879999998</v>
      </c>
      <c r="L21" s="4223">
        <f t="shared" si="23"/>
        <v>2484.1124213333333</v>
      </c>
      <c r="M21" s="4223">
        <f t="shared" si="23"/>
        <v>321.39999999999998</v>
      </c>
      <c r="N21" s="4223">
        <f t="shared" si="23"/>
        <v>328.33333333333331</v>
      </c>
      <c r="O21" s="3644">
        <f>SUM(J21:N21)</f>
        <v>7207.5143866666658</v>
      </c>
      <c r="P21" s="3526">
        <f>O34</f>
        <v>7154.1810533333337</v>
      </c>
      <c r="Q21" s="3526">
        <f>O35</f>
        <v>53.333333333333321</v>
      </c>
      <c r="S21" s="4229" t="s">
        <v>1232</v>
      </c>
      <c r="T21" s="3526">
        <f>'12. Разходи'!C89</f>
        <v>8392.3463271463152</v>
      </c>
      <c r="U21" s="3526">
        <f>'12. Разходи'!D89</f>
        <v>9635.6907827920004</v>
      </c>
      <c r="V21" s="3526">
        <f>'12. Разходи'!E89</f>
        <v>9601.072961367001</v>
      </c>
      <c r="W21" s="3526">
        <f>'12. Разходи'!F89</f>
        <v>9566.9517335320015</v>
      </c>
      <c r="X21" s="3526">
        <f>'12. Разходи'!G89</f>
        <v>9803.5308195460002</v>
      </c>
      <c r="Y21" s="3526">
        <f>'12. Разходи'!H89</f>
        <v>9768.9844285413983</v>
      </c>
      <c r="Z21" s="4227">
        <f t="shared" si="0"/>
        <v>0.14815218619182804</v>
      </c>
      <c r="AA21" s="4227">
        <f t="shared" si="19"/>
        <v>1.3833325368580918E-2</v>
      </c>
      <c r="AK21" s="3407" t="s">
        <v>547</v>
      </c>
      <c r="AL21" s="3514">
        <f>'17. РБА'!C38</f>
        <v>2446.666666666667</v>
      </c>
      <c r="AM21" s="3514">
        <f>'17. РБА'!D38</f>
        <v>3926.5562106666666</v>
      </c>
      <c r="AN21" s="3514">
        <f>'17. РБА'!E38</f>
        <v>6520.3352986666669</v>
      </c>
      <c r="AO21" s="3514">
        <f>'17. РБА'!F38</f>
        <v>9004.4477200000001</v>
      </c>
      <c r="AP21" s="3514">
        <f>'17. РБА'!G38</f>
        <v>9325.8477199999998</v>
      </c>
      <c r="AR21" s="5452" t="s">
        <v>1693</v>
      </c>
      <c r="AS21" s="5457" t="str">
        <f>AL27</f>
        <v>Доставяне на вода с непитейни качества</v>
      </c>
      <c r="AT21" s="5458"/>
      <c r="AU21" s="5458"/>
      <c r="AV21" s="5458"/>
      <c r="AW21" s="5459"/>
    </row>
    <row r="22" spans="1:49" ht="15.75" customHeight="1">
      <c r="A22" s="5467"/>
      <c r="B22" s="4218" t="str">
        <f>+'15. ОПП'!$B$7</f>
        <v>2024 г.</v>
      </c>
      <c r="C22" s="4218" t="str">
        <f>+'15. ОПП'!$C$7</f>
        <v>2027 г.</v>
      </c>
      <c r="D22" s="4218" t="str">
        <f>+'15. ОПП'!$D$7</f>
        <v>2028 г.</v>
      </c>
      <c r="E22" s="4218" t="str">
        <f>+'15. ОПП'!$E$7</f>
        <v>2029 г.</v>
      </c>
      <c r="F22" s="4218" t="str">
        <f>+'15. ОПП'!$F$7</f>
        <v>2030 г.</v>
      </c>
      <c r="G22" s="4218" t="str">
        <f>+'15. ОПП'!$G$7</f>
        <v>2031 г.</v>
      </c>
      <c r="I22" s="4222" t="s">
        <v>1029</v>
      </c>
      <c r="J22" s="4223">
        <f>J36</f>
        <v>0</v>
      </c>
      <c r="K22" s="4223">
        <f t="shared" ref="K22:N22" si="24">K36</f>
        <v>0</v>
      </c>
      <c r="L22" s="4223">
        <f t="shared" si="24"/>
        <v>0</v>
      </c>
      <c r="M22" s="4223">
        <f t="shared" si="24"/>
        <v>0</v>
      </c>
      <c r="N22" s="4223">
        <f t="shared" si="24"/>
        <v>0</v>
      </c>
      <c r="O22" s="3644">
        <f t="shared" ref="O22:O23" si="25">SUM(J22:N22)</f>
        <v>0</v>
      </c>
      <c r="P22" s="3526">
        <f>O37</f>
        <v>0</v>
      </c>
      <c r="Q22" s="3526">
        <f>O38</f>
        <v>0</v>
      </c>
      <c r="T22" s="11"/>
      <c r="U22" s="11"/>
      <c r="V22" s="11"/>
      <c r="W22" s="11"/>
      <c r="X22" s="11"/>
      <c r="Y22" s="11"/>
      <c r="Z22" s="11"/>
      <c r="AA22" s="11"/>
      <c r="AK22" s="3407" t="s">
        <v>548</v>
      </c>
      <c r="AL22" s="3514">
        <f>'17. РБА'!C41</f>
        <v>1309.9504296875</v>
      </c>
      <c r="AM22" s="3514">
        <f>'17. РБА'!D41</f>
        <v>1452.7592374489473</v>
      </c>
      <c r="AN22" s="3514">
        <f>'17. РБА'!E41</f>
        <v>1683.8745077438384</v>
      </c>
      <c r="AO22" s="3514">
        <f>'17. РБА'!F41</f>
        <v>2026.9264513492742</v>
      </c>
      <c r="AP22" s="3514">
        <f>'17. РБА'!G41</f>
        <v>2429.1049609624688</v>
      </c>
      <c r="AR22" s="5453"/>
      <c r="AS22" s="4224" t="s">
        <v>1778</v>
      </c>
      <c r="AT22" s="4224" t="s">
        <v>1779</v>
      </c>
      <c r="AU22" s="4224" t="s">
        <v>1780</v>
      </c>
      <c r="AV22" s="4224" t="s">
        <v>1781</v>
      </c>
      <c r="AW22" s="4224" t="s">
        <v>1782</v>
      </c>
    </row>
    <row r="23" spans="1:49" ht="15.75" customHeight="1">
      <c r="A23" s="5466" t="s">
        <v>1658</v>
      </c>
      <c r="B23" s="5466"/>
      <c r="C23" s="5466"/>
      <c r="D23" s="5466"/>
      <c r="E23" s="5466"/>
      <c r="F23" s="5466"/>
      <c r="G23" s="5466"/>
      <c r="I23" s="4222" t="s">
        <v>1092</v>
      </c>
      <c r="J23" s="4223">
        <f>J39</f>
        <v>0</v>
      </c>
      <c r="K23" s="4223">
        <f t="shared" ref="K23:N23" si="26">K39</f>
        <v>0</v>
      </c>
      <c r="L23" s="4223">
        <f t="shared" si="26"/>
        <v>0</v>
      </c>
      <c r="M23" s="4223">
        <f t="shared" si="26"/>
        <v>0</v>
      </c>
      <c r="N23" s="4223">
        <f t="shared" si="26"/>
        <v>0</v>
      </c>
      <c r="O23" s="3644">
        <f t="shared" si="25"/>
        <v>0</v>
      </c>
      <c r="P23" s="3526">
        <f>O40</f>
        <v>0</v>
      </c>
      <c r="Q23" s="3526">
        <f>O41</f>
        <v>0</v>
      </c>
      <c r="S23" s="2" t="s">
        <v>1682</v>
      </c>
      <c r="T23" s="11"/>
      <c r="U23" s="11"/>
      <c r="V23" s="11"/>
      <c r="W23" s="11"/>
      <c r="X23" s="11"/>
      <c r="Y23" s="11"/>
      <c r="Z23" s="11"/>
      <c r="AA23" s="11"/>
      <c r="AK23" s="3407" t="s">
        <v>549</v>
      </c>
      <c r="AL23" s="3514">
        <f>'17. РБА'!C44</f>
        <v>0</v>
      </c>
      <c r="AM23" s="3514">
        <f>'17. РБА'!D44</f>
        <v>0</v>
      </c>
      <c r="AN23" s="3514">
        <f>'17. РБА'!E44</f>
        <v>0</v>
      </c>
      <c r="AO23" s="3514">
        <f>'17. РБА'!F44</f>
        <v>0</v>
      </c>
      <c r="AP23" s="3514">
        <f>'17. РБА'!G44</f>
        <v>0</v>
      </c>
      <c r="AR23" s="3515" t="s">
        <v>294</v>
      </c>
      <c r="AS23" s="3252">
        <f>'16. Необходими приходи'!D34</f>
        <v>0</v>
      </c>
      <c r="AT23" s="3252">
        <f>'16. Необходими приходи'!E34</f>
        <v>0</v>
      </c>
      <c r="AU23" s="3252">
        <f>'16. Необходими приходи'!F34</f>
        <v>0</v>
      </c>
      <c r="AV23" s="3252">
        <f>'16. Необходими приходи'!G34</f>
        <v>0</v>
      </c>
      <c r="AW23" s="3252">
        <f>'16. Необходими приходи'!H34</f>
        <v>0</v>
      </c>
    </row>
    <row r="24" spans="1:49" ht="15.75" customHeight="1">
      <c r="A24" s="4228" t="s">
        <v>334</v>
      </c>
      <c r="B24" s="3644">
        <f>'11. Амортиз. план'!L10</f>
        <v>2035</v>
      </c>
      <c r="C24" s="3644">
        <f>'11. Амортиз. план'!N10</f>
        <v>2318.333333333333</v>
      </c>
      <c r="D24" s="3644">
        <f>'11. Амортиз. план'!O10</f>
        <v>2325.9999999999995</v>
      </c>
      <c r="E24" s="3644">
        <f>'11. Амортиз. план'!P10</f>
        <v>2333.6666666666665</v>
      </c>
      <c r="F24" s="3644">
        <f>'11. Амортиз. план'!Q10</f>
        <v>2341.333333333333</v>
      </c>
      <c r="G24" s="3644">
        <f>'11. Амортиз. план'!R10</f>
        <v>2348.9999999999995</v>
      </c>
      <c r="I24" s="4232" t="s">
        <v>1028</v>
      </c>
      <c r="J24" s="4233">
        <f>SUM(J19:J23)</f>
        <v>8914.303774</v>
      </c>
      <c r="K24" s="4233">
        <f t="shared" ref="K24" si="27">SUM(K19:K23)</f>
        <v>14484.607548</v>
      </c>
      <c r="L24" s="4233">
        <f t="shared" ref="L24" si="28">SUM(L19:L23)</f>
        <v>14192.607548000002</v>
      </c>
      <c r="M24" s="4233">
        <f t="shared" ref="M24" si="29">SUM(M19:M23)</f>
        <v>2359.2000000000003</v>
      </c>
      <c r="N24" s="4233">
        <f t="shared" ref="N24" si="30">SUM(N19:N23)</f>
        <v>2349.9999999999995</v>
      </c>
      <c r="O24" s="4233">
        <f t="shared" ref="O24" si="31">SUM(O19:O23)</f>
        <v>42300.718869999997</v>
      </c>
      <c r="P24" s="3644">
        <f>O43</f>
        <v>39002.718870000012</v>
      </c>
      <c r="Q24" s="3644">
        <f>O44</f>
        <v>3298</v>
      </c>
      <c r="S24" s="5460" t="s">
        <v>1668</v>
      </c>
      <c r="T24" s="5460" t="s">
        <v>208</v>
      </c>
      <c r="U24" s="5460"/>
      <c r="V24" s="5460"/>
      <c r="W24" s="5460"/>
      <c r="X24" s="5460"/>
      <c r="Y24" s="5460"/>
      <c r="Z24" s="5404" t="str">
        <f>+Z3</f>
        <v>Изменение 2027 г. спр. 2024 г.</v>
      </c>
      <c r="AA24" s="5404" t="str">
        <f>+AA3</f>
        <v>Изменение 2031 г. спр. 2027 г.</v>
      </c>
      <c r="AK24" s="3407" t="s">
        <v>329</v>
      </c>
      <c r="AL24" s="3521">
        <f>'17. РБА'!C47</f>
        <v>1479.8895439999999</v>
      </c>
      <c r="AM24" s="3521">
        <f>'17. РБА'!D47</f>
        <v>2593.7790879999998</v>
      </c>
      <c r="AN24" s="3521">
        <f>'17. РБА'!E47</f>
        <v>2484.1124213333333</v>
      </c>
      <c r="AO24" s="3521">
        <f>'17. РБА'!F47</f>
        <v>321.39999999999998</v>
      </c>
      <c r="AP24" s="3521">
        <f>'17. РБА'!G47</f>
        <v>328.33333333333331</v>
      </c>
      <c r="AR24" s="3515" t="s">
        <v>296</v>
      </c>
      <c r="AS24" s="3252">
        <f>'16. Необходими приходи'!D35</f>
        <v>0</v>
      </c>
      <c r="AT24" s="3252">
        <f>'16. Необходими приходи'!E35</f>
        <v>0</v>
      </c>
      <c r="AU24" s="3252">
        <f>'16. Необходими приходи'!F35</f>
        <v>0</v>
      </c>
      <c r="AV24" s="3252">
        <f>'16. Необходими приходи'!G35</f>
        <v>0</v>
      </c>
      <c r="AW24" s="3252">
        <f>'16. Необходими приходи'!H35</f>
        <v>0</v>
      </c>
    </row>
    <row r="25" spans="1:49" ht="15.75" customHeight="1">
      <c r="A25" s="4230" t="s">
        <v>218</v>
      </c>
      <c r="B25" s="4231">
        <f>'11. Амортиз. план'!L35</f>
        <v>32</v>
      </c>
      <c r="C25" s="4231">
        <f>'11. Амортиз. план'!N35</f>
        <v>56.708742648501243</v>
      </c>
      <c r="D25" s="4231">
        <f>'11. Амортиз. план'!O35</f>
        <v>56.906983477187197</v>
      </c>
      <c r="E25" s="4231">
        <f>'11. Амортиз. план'!P35</f>
        <v>-12.295318230304865</v>
      </c>
      <c r="F25" s="4231">
        <f>'11. Амортиз. план'!Q35</f>
        <v>-12.841088004749871</v>
      </c>
      <c r="G25" s="4231">
        <f>'11. Амортиз. план'!R35</f>
        <v>-13.097535492124287</v>
      </c>
      <c r="I25" s="1301" t="s">
        <v>1635</v>
      </c>
      <c r="J25" s="4249"/>
      <c r="K25" s="4249"/>
      <c r="L25" s="4249"/>
      <c r="M25" s="4249"/>
      <c r="N25" s="4249"/>
      <c r="O25" s="4249"/>
      <c r="P25" s="3393" t="s">
        <v>1636</v>
      </c>
      <c r="Q25" s="3393"/>
      <c r="S25" s="5460"/>
      <c r="T25" s="4214" t="str">
        <f t="shared" ref="T25:Y25" si="32">T4</f>
        <v>2024 г.</v>
      </c>
      <c r="U25" s="4214" t="str">
        <f t="shared" si="32"/>
        <v>2027 г.</v>
      </c>
      <c r="V25" s="4214" t="str">
        <f t="shared" si="32"/>
        <v>2028 г.</v>
      </c>
      <c r="W25" s="4214" t="str">
        <f t="shared" si="32"/>
        <v>2029 г.</v>
      </c>
      <c r="X25" s="4214" t="str">
        <f t="shared" si="32"/>
        <v>2030 г.</v>
      </c>
      <c r="Y25" s="4214" t="str">
        <f t="shared" si="32"/>
        <v>2031 г.</v>
      </c>
      <c r="Z25" s="5404"/>
      <c r="AA25" s="5404"/>
      <c r="AK25" s="3407" t="s">
        <v>306</v>
      </c>
      <c r="AL25" s="3514">
        <f>'17. РБА'!C48</f>
        <v>432.00477900506303</v>
      </c>
      <c r="AM25" s="3514">
        <f>'17. РБА'!D48</f>
        <v>459.785745646159</v>
      </c>
      <c r="AN25" s="3514">
        <f>'17. РБА'!E48</f>
        <v>490.27391134237814</v>
      </c>
      <c r="AO25" s="3514">
        <f>'17. РБА'!F48</f>
        <v>541.55435511960991</v>
      </c>
      <c r="AP25" s="3514">
        <f>'17. РБА'!G48</f>
        <v>569.65642714811872</v>
      </c>
      <c r="AR25" s="3515" t="s">
        <v>1788</v>
      </c>
      <c r="AS25" s="3252">
        <f>'12. Разходи'!AB17</f>
        <v>0</v>
      </c>
      <c r="AT25" s="3252">
        <f>'12. Разходи'!AC17</f>
        <v>0</v>
      </c>
      <c r="AU25" s="3252">
        <f>'12. Разходи'!AD17</f>
        <v>0</v>
      </c>
      <c r="AV25" s="3252">
        <f>'12. Разходи'!AE17</f>
        <v>0</v>
      </c>
      <c r="AW25" s="3252">
        <f>'12. Разходи'!AF17</f>
        <v>0</v>
      </c>
    </row>
    <row r="26" spans="1:49" ht="15.75" customHeight="1">
      <c r="A26" s="4234" t="s">
        <v>220</v>
      </c>
      <c r="B26" s="3526">
        <f>'11. Амортиз. план'!L60</f>
        <v>1686</v>
      </c>
      <c r="C26" s="3526">
        <f>'11. Амортиз. план'!N60</f>
        <v>1787.7200707735014</v>
      </c>
      <c r="D26" s="3526">
        <f>'11. Амортиз. план'!O60</f>
        <v>1844.6270542506884</v>
      </c>
      <c r="E26" s="3526">
        <f>'11. Амортиз. план'!P60</f>
        <v>1832.3317360203839</v>
      </c>
      <c r="F26" s="3526">
        <f>'11. Амортиз. план'!Q60</f>
        <v>1819.490648015634</v>
      </c>
      <c r="G26" s="3526">
        <f>'11. Амортиз. план'!R60</f>
        <v>1806.3931125235085</v>
      </c>
      <c r="I26" s="4250" t="s">
        <v>1495</v>
      </c>
      <c r="J26" s="4218" t="str">
        <f>+'15. ОПП'!$C$7</f>
        <v>2027 г.</v>
      </c>
      <c r="K26" s="4218" t="str">
        <f>+'15. ОПП'!$D$7</f>
        <v>2028 г.</v>
      </c>
      <c r="L26" s="4218" t="str">
        <f>+'15. ОПП'!$E$7</f>
        <v>2029 г.</v>
      </c>
      <c r="M26" s="4218" t="str">
        <f>+'15. ОПП'!$F$7</f>
        <v>2030 г.</v>
      </c>
      <c r="N26" s="4218" t="str">
        <f>+'15. ОПП'!$G$7</f>
        <v>2031 г.</v>
      </c>
      <c r="O26" s="4218" t="s">
        <v>1595</v>
      </c>
      <c r="P26" s="4218" t="s">
        <v>1596</v>
      </c>
      <c r="Q26" s="4244"/>
      <c r="S26" s="4229" t="s">
        <v>226</v>
      </c>
      <c r="T26" s="3526">
        <f>'12. Разходи'!K11</f>
        <v>127.40172983080001</v>
      </c>
      <c r="U26" s="3526">
        <f>'12. Разходи'!L11</f>
        <v>150.14156773359997</v>
      </c>
      <c r="V26" s="3526">
        <f>'12. Разходи'!M11</f>
        <v>151.45124358359999</v>
      </c>
      <c r="W26" s="3526">
        <f>'12. Разходи'!N11</f>
        <v>152.37905936910008</v>
      </c>
      <c r="X26" s="3526">
        <f>'12. Разходи'!O11</f>
        <v>197.22041389078998</v>
      </c>
      <c r="Y26" s="3526">
        <f>'12. Разходи'!P11</f>
        <v>196.60829696267839</v>
      </c>
      <c r="Z26" s="4227">
        <f>IFERROR((U26-T26)/T26,0)</f>
        <v>0.17848923976935274</v>
      </c>
      <c r="AA26" s="4227">
        <f t="shared" ref="AA26:AA36" si="33">IFERROR((Y26-U26)/U26,0)</f>
        <v>0.30948610654929043</v>
      </c>
      <c r="AK26" s="3408" t="s">
        <v>305</v>
      </c>
      <c r="AL26" s="3409">
        <f t="shared" ref="AL26:AP26" si="34">AL21-AL22+AL23+AL24+AL25</f>
        <v>3048.6105599842299</v>
      </c>
      <c r="AM26" s="3409">
        <f t="shared" si="34"/>
        <v>5527.361806863878</v>
      </c>
      <c r="AN26" s="3409">
        <f t="shared" si="34"/>
        <v>7810.8471235985398</v>
      </c>
      <c r="AO26" s="3409">
        <f t="shared" si="34"/>
        <v>7840.475623770335</v>
      </c>
      <c r="AP26" s="3409">
        <f t="shared" si="34"/>
        <v>7794.7325195189824</v>
      </c>
      <c r="AR26" s="3488" t="s">
        <v>297</v>
      </c>
      <c r="AS26" s="3489">
        <f>AS23+AS24</f>
        <v>0</v>
      </c>
      <c r="AT26" s="3489">
        <f>AT23+AT24</f>
        <v>0</v>
      </c>
      <c r="AU26" s="3489">
        <f>AU23+AU24</f>
        <v>0</v>
      </c>
      <c r="AV26" s="3489">
        <f>AV23+AV24</f>
        <v>0</v>
      </c>
      <c r="AW26" s="3489">
        <f>AW23+AW24</f>
        <v>0</v>
      </c>
    </row>
    <row r="27" spans="1:49" ht="15.75" customHeight="1">
      <c r="A27" s="4234" t="s">
        <v>222</v>
      </c>
      <c r="B27" s="3526">
        <f>'11. Амортиз. план'!L85</f>
        <v>349</v>
      </c>
      <c r="C27" s="3526">
        <f>'11. Амортиз. план'!N85</f>
        <v>530.61326255983215</v>
      </c>
      <c r="D27" s="3526">
        <f>'11. Амортиз. план'!O85</f>
        <v>481.37294574931167</v>
      </c>
      <c r="E27" s="3526">
        <f>'11. Амортиз. план'!P85</f>
        <v>501.33493064628317</v>
      </c>
      <c r="F27" s="3526">
        <f>'11. Амортиз. план'!Q85</f>
        <v>521.84268531769976</v>
      </c>
      <c r="G27" s="3526">
        <f>'11. Амортиз. план'!R85</f>
        <v>542.60688747649078</v>
      </c>
      <c r="I27" s="3519" t="str">
        <f>'9.Инвестиционна програма'!E140</f>
        <v>Доставяне на вода на потребителите</v>
      </c>
      <c r="J27" s="3644">
        <f>SUM(J28:J29)</f>
        <v>5981.1458700000003</v>
      </c>
      <c r="K27" s="3644">
        <f t="shared" ref="K27:N27" si="35">SUM(K28:K29)</f>
        <v>9469.2917400000006</v>
      </c>
      <c r="L27" s="3644">
        <f t="shared" si="35"/>
        <v>9468.6250733333345</v>
      </c>
      <c r="M27" s="3644">
        <f t="shared" si="35"/>
        <v>1698.4</v>
      </c>
      <c r="N27" s="3644">
        <f t="shared" si="35"/>
        <v>1668.333333333333</v>
      </c>
      <c r="O27" s="3644">
        <f>SUM(J27:N27)</f>
        <v>28285.796016666671</v>
      </c>
      <c r="P27" s="3505">
        <f t="shared" ref="P27:P44" si="36">IFERROR(O27/$O$42,0)</f>
        <v>0.66868357730741024</v>
      </c>
      <c r="Q27" s="4251"/>
      <c r="S27" s="4229" t="s">
        <v>239</v>
      </c>
      <c r="T27" s="3526">
        <f>'12. Разходи'!K29</f>
        <v>443.47147000000001</v>
      </c>
      <c r="U27" s="3526">
        <f>'12. Разходи'!L29</f>
        <v>565.47291100000007</v>
      </c>
      <c r="V27" s="3526">
        <f>'12. Разходи'!M29</f>
        <v>592.71935655000004</v>
      </c>
      <c r="W27" s="3526">
        <f>'12. Разходи'!N29</f>
        <v>610.50093724649992</v>
      </c>
      <c r="X27" s="3526">
        <f>'12. Разходи'!O29</f>
        <v>601.01530970157</v>
      </c>
      <c r="Y27" s="3526">
        <f>'12. Разходи'!P29</f>
        <v>580.90326942390732</v>
      </c>
      <c r="Z27" s="4227">
        <f t="shared" ref="Z27:Z42" si="37">IFERROR((U27-T27)/T27,0)</f>
        <v>0.27510550114982607</v>
      </c>
      <c r="AA27" s="4227">
        <f t="shared" si="33"/>
        <v>2.728752894036908E-2</v>
      </c>
      <c r="AK27" s="5449" t="s">
        <v>1692</v>
      </c>
      <c r="AL27" s="5450" t="str">
        <f>T76</f>
        <v>Доставяне на вода с непитейни качества</v>
      </c>
      <c r="AM27" s="5451"/>
      <c r="AN27" s="5451"/>
      <c r="AO27" s="5451"/>
      <c r="AP27" s="5451"/>
      <c r="AR27" s="5452" t="s">
        <v>1693</v>
      </c>
      <c r="AS27" s="5457" t="str">
        <f>AL35</f>
        <v>Доставяне на вода на друг ВиК оператор</v>
      </c>
      <c r="AT27" s="5458"/>
      <c r="AU27" s="5458"/>
      <c r="AV27" s="5458"/>
      <c r="AW27" s="5459"/>
    </row>
    <row r="28" spans="1:49" ht="15.75" customHeight="1">
      <c r="A28" s="5466" t="s">
        <v>1659</v>
      </c>
      <c r="B28" s="5466"/>
      <c r="C28" s="5466"/>
      <c r="D28" s="5466"/>
      <c r="E28" s="5466"/>
      <c r="F28" s="5466"/>
      <c r="G28" s="5466"/>
      <c r="I28" s="4252" t="s">
        <v>1617</v>
      </c>
      <c r="J28" s="4248">
        <f>'9.Инвестиционна програма'!I153</f>
        <v>4968.4792033333333</v>
      </c>
      <c r="K28" s="4248">
        <f>'9.Инвестиционна програма'!J153</f>
        <v>8925.6250733333345</v>
      </c>
      <c r="L28" s="4248">
        <f>'9.Инвестиционна програма'!K153</f>
        <v>8924.9584066666685</v>
      </c>
      <c r="M28" s="4248">
        <f>'9.Инвестиционна програма'!L153</f>
        <v>1154.7333333333336</v>
      </c>
      <c r="N28" s="4248">
        <f>'9.Инвестиционна програма'!M153</f>
        <v>1124.6666666666665</v>
      </c>
      <c r="O28" s="4248">
        <f t="shared" ref="O28:O41" si="38">SUM(J28:N28)</f>
        <v>25098.462683333339</v>
      </c>
      <c r="P28" s="4253">
        <f t="shared" si="36"/>
        <v>0.59333418801857207</v>
      </c>
      <c r="Q28" s="4254"/>
      <c r="S28" s="4229" t="s">
        <v>446</v>
      </c>
      <c r="T28" s="3526">
        <f>'12. Разходи'!K55</f>
        <v>176.66666666666669</v>
      </c>
      <c r="U28" s="3526">
        <f>'12. Разходи'!L55</f>
        <v>521.04645952875876</v>
      </c>
      <c r="V28" s="3526">
        <f>'12. Разходи'!M55</f>
        <v>546.23602832455686</v>
      </c>
      <c r="W28" s="3526">
        <f>'12. Разходи'!N55</f>
        <v>353.37429120702438</v>
      </c>
      <c r="X28" s="3526">
        <f>'12. Разходи'!O55</f>
        <v>491.09494600563283</v>
      </c>
      <c r="Y28" s="3526">
        <f>'12. Разходи'!P55</f>
        <v>530.65584221090796</v>
      </c>
      <c r="Z28" s="4227">
        <f t="shared" si="37"/>
        <v>1.9493195822382567</v>
      </c>
      <c r="AA28" s="4227">
        <f t="shared" si="33"/>
        <v>1.8442468049471163E-2</v>
      </c>
      <c r="AK28" s="5449"/>
      <c r="AL28" s="4224" t="s">
        <v>1778</v>
      </c>
      <c r="AM28" s="4224" t="s">
        <v>1779</v>
      </c>
      <c r="AN28" s="4224" t="s">
        <v>1780</v>
      </c>
      <c r="AO28" s="4224" t="s">
        <v>1781</v>
      </c>
      <c r="AP28" s="4224" t="s">
        <v>1782</v>
      </c>
      <c r="AR28" s="5453"/>
      <c r="AS28" s="4224" t="s">
        <v>1778</v>
      </c>
      <c r="AT28" s="4224" t="s">
        <v>1779</v>
      </c>
      <c r="AU28" s="4224" t="s">
        <v>1780</v>
      </c>
      <c r="AV28" s="4224" t="s">
        <v>1781</v>
      </c>
      <c r="AW28" s="4224" t="s">
        <v>1782</v>
      </c>
    </row>
    <row r="29" spans="1:49" ht="15.75" customHeight="1">
      <c r="A29" s="4228" t="s">
        <v>334</v>
      </c>
      <c r="B29" s="3644">
        <f>'11. Амортиз. план'!L111</f>
        <v>368</v>
      </c>
      <c r="C29" s="3644">
        <f>'11. Амортиз. план'!N111</f>
        <v>1930.6016933333333</v>
      </c>
      <c r="D29" s="3644">
        <f>'11. Амортиз. план'!O111</f>
        <v>4344.4717466666661</v>
      </c>
      <c r="E29" s="3644">
        <f>'11. Амортиз. план'!P111</f>
        <v>6576.6751333333332</v>
      </c>
      <c r="F29" s="3644">
        <f>'11. Амортиз. план'!Q111</f>
        <v>6908.4084666666668</v>
      </c>
      <c r="G29" s="3644">
        <f>'11. Амортиз. план'!R111</f>
        <v>7254.0751333333337</v>
      </c>
      <c r="I29" s="4252" t="s">
        <v>1618</v>
      </c>
      <c r="J29" s="4248">
        <f>'9.Инвестиционна програма'!I147</f>
        <v>1012.6666666666666</v>
      </c>
      <c r="K29" s="4248">
        <f>'9.Инвестиционна програма'!J147</f>
        <v>543.66666666666663</v>
      </c>
      <c r="L29" s="4248">
        <f>'9.Инвестиционна програма'!K147</f>
        <v>543.66666666666663</v>
      </c>
      <c r="M29" s="4248">
        <f>'9.Инвестиционна програма'!L147</f>
        <v>543.66666666666663</v>
      </c>
      <c r="N29" s="4248">
        <f>'9.Инвестиционна програма'!M147</f>
        <v>543.66666666666663</v>
      </c>
      <c r="O29" s="4248">
        <f t="shared" si="38"/>
        <v>3187.333333333333</v>
      </c>
      <c r="P29" s="4253">
        <f t="shared" si="36"/>
        <v>7.5349389288838178E-2</v>
      </c>
      <c r="Q29" s="4254"/>
      <c r="S29" s="4235" t="s">
        <v>447</v>
      </c>
      <c r="T29" s="4231">
        <f>'12. Разходи'!K56</f>
        <v>59</v>
      </c>
      <c r="U29" s="4231">
        <f>'12. Разходи'!L56</f>
        <v>56.708742648501243</v>
      </c>
      <c r="V29" s="4231">
        <f>'12. Разходи'!M56</f>
        <v>56.906983477187197</v>
      </c>
      <c r="W29" s="4231">
        <f>'12. Разходи'!N56</f>
        <v>-12.295318230304865</v>
      </c>
      <c r="X29" s="4231">
        <f>'12. Разходи'!O56</f>
        <v>-12.841088004749871</v>
      </c>
      <c r="Y29" s="4231">
        <f>'12. Разходи'!P56</f>
        <v>-13.097535492124287</v>
      </c>
      <c r="Z29" s="4227">
        <f t="shared" si="37"/>
        <v>-3.8834870364385717E-2</v>
      </c>
      <c r="AA29" s="4227">
        <f t="shared" si="33"/>
        <v>-1.2309614863674012</v>
      </c>
      <c r="AK29" s="3407" t="s">
        <v>547</v>
      </c>
      <c r="AL29" s="3514">
        <f>'17. РБА'!C52</f>
        <v>0</v>
      </c>
      <c r="AM29" s="3514">
        <f>'17. РБА'!D52</f>
        <v>0</v>
      </c>
      <c r="AN29" s="3514">
        <f>'17. РБА'!E52</f>
        <v>0</v>
      </c>
      <c r="AO29" s="3514">
        <f>'17. РБА'!F52</f>
        <v>0</v>
      </c>
      <c r="AP29" s="3514">
        <f>'17. РБА'!G52</f>
        <v>0</v>
      </c>
      <c r="AR29" s="3515" t="s">
        <v>294</v>
      </c>
      <c r="AS29" s="3252">
        <f>'16. Необходими приходи'!D40</f>
        <v>0</v>
      </c>
      <c r="AT29" s="3252">
        <f>'16. Необходими приходи'!E40</f>
        <v>0</v>
      </c>
      <c r="AU29" s="3252">
        <f>'16. Необходими приходи'!F40</f>
        <v>0</v>
      </c>
      <c r="AV29" s="3252">
        <f>'16. Необходими приходи'!G40</f>
        <v>0</v>
      </c>
      <c r="AW29" s="3252">
        <f>'16. Необходими приходи'!H40</f>
        <v>0</v>
      </c>
    </row>
    <row r="30" spans="1:49" ht="15.75" customHeight="1">
      <c r="A30" s="4230" t="s">
        <v>218</v>
      </c>
      <c r="B30" s="4231">
        <f>'11. Амортиз. план'!L131</f>
        <v>26</v>
      </c>
      <c r="C30" s="4231">
        <f>'11. Амортиз. план'!N131</f>
        <v>57.917716880257544</v>
      </c>
      <c r="D30" s="4231">
        <f>'11. Амортиз. план'!O131</f>
        <v>100.00904484736972</v>
      </c>
      <c r="E30" s="4231">
        <f>'11. Амортиз. план'!P131</f>
        <v>149.43960943732924</v>
      </c>
      <c r="F30" s="4231">
        <f>'11. Амортиз. план'!Q131</f>
        <v>176.12603401038271</v>
      </c>
      <c r="G30" s="4231">
        <f>'11. Амортиз. план'!R131</f>
        <v>180.12337770303222</v>
      </c>
      <c r="I30" s="3519" t="str">
        <f>'9.Инвестиционна програма'!E141</f>
        <v>Отвеждане на отпадъчните води</v>
      </c>
      <c r="J30" s="3644">
        <f>SUM(J31:J32)</f>
        <v>1453.26836</v>
      </c>
      <c r="K30" s="3644">
        <f t="shared" ref="K30" si="39">SUM(K31:K32)</f>
        <v>2421.5367200000001</v>
      </c>
      <c r="L30" s="3644">
        <f t="shared" ref="L30" si="40">SUM(L31:L32)</f>
        <v>2239.8700533333335</v>
      </c>
      <c r="M30" s="3644">
        <f t="shared" ref="M30" si="41">SUM(M31:M32)</f>
        <v>339.4</v>
      </c>
      <c r="N30" s="3644">
        <f t="shared" ref="N30" si="42">SUM(N31:N32)</f>
        <v>353.33333333333331</v>
      </c>
      <c r="O30" s="3644">
        <f t="shared" ref="O30:O39" si="43">SUM(J30:N30)</f>
        <v>6807.4084666666668</v>
      </c>
      <c r="P30" s="3505">
        <f t="shared" si="36"/>
        <v>0.16092890732158538</v>
      </c>
      <c r="Q30" s="4251"/>
      <c r="S30" s="4235" t="s">
        <v>736</v>
      </c>
      <c r="T30" s="4231">
        <f>'12. Разходи'!K57</f>
        <v>15</v>
      </c>
      <c r="U30" s="4231">
        <f>'12. Разходи'!L57</f>
        <v>57.917716880257544</v>
      </c>
      <c r="V30" s="4231">
        <f>'12. Разходи'!M57</f>
        <v>100.00904484736972</v>
      </c>
      <c r="W30" s="4231">
        <f>'12. Разходи'!N57</f>
        <v>149.43960943732924</v>
      </c>
      <c r="X30" s="4231">
        <f>'12. Разходи'!O57</f>
        <v>176.12603401038271</v>
      </c>
      <c r="Y30" s="4231">
        <f>'12. Разходи'!P57</f>
        <v>180.12337770303222</v>
      </c>
      <c r="Z30" s="4227">
        <f t="shared" si="37"/>
        <v>2.8611811253505031</v>
      </c>
      <c r="AA30" s="4227">
        <f t="shared" si="33"/>
        <v>2.1099875375859476</v>
      </c>
      <c r="AK30" s="3407" t="s">
        <v>548</v>
      </c>
      <c r="AL30" s="3514">
        <f>'17. РБА'!C55</f>
        <v>0</v>
      </c>
      <c r="AM30" s="3514">
        <f>'17. РБА'!D55</f>
        <v>0</v>
      </c>
      <c r="AN30" s="3514">
        <f>'17. РБА'!E55</f>
        <v>0</v>
      </c>
      <c r="AO30" s="3514">
        <f>'17. РБА'!F55</f>
        <v>0</v>
      </c>
      <c r="AP30" s="3514">
        <f>'17. РБА'!G55</f>
        <v>0</v>
      </c>
      <c r="AR30" s="3515" t="s">
        <v>296</v>
      </c>
      <c r="AS30" s="3252">
        <f>'16. Необходими приходи'!D41</f>
        <v>0</v>
      </c>
      <c r="AT30" s="3252">
        <f>'16. Необходими приходи'!E41</f>
        <v>0</v>
      </c>
      <c r="AU30" s="3252">
        <f>'16. Необходими приходи'!F41</f>
        <v>0</v>
      </c>
      <c r="AV30" s="3252">
        <f>'16. Необходими приходи'!G41</f>
        <v>0</v>
      </c>
      <c r="AW30" s="3252">
        <f>'16. Необходими приходи'!H41</f>
        <v>0</v>
      </c>
    </row>
    <row r="31" spans="1:49" ht="18.75" customHeight="1">
      <c r="A31" s="4234" t="s">
        <v>220</v>
      </c>
      <c r="B31" s="3526">
        <f>'11. Амортиз. план'!L151</f>
        <v>80</v>
      </c>
      <c r="C31" s="3526">
        <f>'11. Амортиз. план'!N151</f>
        <v>173.28974813025758</v>
      </c>
      <c r="D31" s="3526">
        <f>'11. Амортиз. план'!O151</f>
        <v>273.29879297762727</v>
      </c>
      <c r="E31" s="3526">
        <f>'11. Амортиз. план'!P151</f>
        <v>422.73840241495651</v>
      </c>
      <c r="F31" s="3526">
        <f>'11. Амортиз. план'!Q151</f>
        <v>598.86443642533925</v>
      </c>
      <c r="G31" s="3526">
        <f>'11. Амортиз. план'!R151</f>
        <v>778.98781412837138</v>
      </c>
      <c r="I31" s="4252" t="s">
        <v>1617</v>
      </c>
      <c r="J31" s="4248">
        <f>'9.Инвестиционна програма'!I154</f>
        <v>1426.6016933333333</v>
      </c>
      <c r="K31" s="4248">
        <f>'9.Инвестиционна програма'!J154</f>
        <v>2413.8700533333335</v>
      </c>
      <c r="L31" s="4248">
        <f>'9.Инвестиционна програма'!K154</f>
        <v>2232.203386666667</v>
      </c>
      <c r="M31" s="4248">
        <f>'9.Инвестиционна програма'!L154</f>
        <v>331.73333333333329</v>
      </c>
      <c r="N31" s="4248">
        <f>'9.Инвестиционна програма'!M154</f>
        <v>345.66666666666663</v>
      </c>
      <c r="O31" s="4248">
        <f t="shared" si="38"/>
        <v>6750.0751333333346</v>
      </c>
      <c r="P31" s="4253">
        <f t="shared" si="36"/>
        <v>0.15957353240444672</v>
      </c>
      <c r="Q31" s="4254"/>
      <c r="S31" s="4235" t="s">
        <v>737</v>
      </c>
      <c r="T31" s="4231">
        <f>'12. Разходи'!K58</f>
        <v>102.66666666666667</v>
      </c>
      <c r="U31" s="4231">
        <f>'12. Разходи'!L58</f>
        <v>406.42</v>
      </c>
      <c r="V31" s="4231">
        <f>'12. Разходи'!M58</f>
        <v>389.32</v>
      </c>
      <c r="W31" s="4231">
        <f>'12. Разходи'!N58</f>
        <v>216.23</v>
      </c>
      <c r="X31" s="4231">
        <f>'12. Разходи'!O58</f>
        <v>327.81</v>
      </c>
      <c r="Y31" s="4231">
        <f>'12. Разходи'!P58</f>
        <v>363.63</v>
      </c>
      <c r="Z31" s="4227">
        <f t="shared" si="37"/>
        <v>2.9586363636363635</v>
      </c>
      <c r="AA31" s="4227">
        <f t="shared" si="33"/>
        <v>-0.10528517297377102</v>
      </c>
      <c r="AK31" s="3407" t="s">
        <v>549</v>
      </c>
      <c r="AL31" s="3514">
        <f>'17. РБА'!C58</f>
        <v>0</v>
      </c>
      <c r="AM31" s="3514">
        <f>'17. РБА'!D58</f>
        <v>0</v>
      </c>
      <c r="AN31" s="3514">
        <f>'17. РБА'!E58</f>
        <v>0</v>
      </c>
      <c r="AO31" s="3514">
        <f>'17. РБА'!F58</f>
        <v>0</v>
      </c>
      <c r="AP31" s="3514">
        <f>'17. РБА'!G58</f>
        <v>0</v>
      </c>
      <c r="AR31" s="3515" t="s">
        <v>1788</v>
      </c>
      <c r="AS31" s="3252">
        <f>'12. Разходи'!AJ17</f>
        <v>0</v>
      </c>
      <c r="AT31" s="3252">
        <f>'12. Разходи'!AK17</f>
        <v>0</v>
      </c>
      <c r="AU31" s="3252">
        <f>'12. Разходи'!AL17</f>
        <v>0</v>
      </c>
      <c r="AV31" s="3252">
        <f>'12. Разходи'!AM17</f>
        <v>0</v>
      </c>
      <c r="AW31" s="3252">
        <f>'12. Разходи'!AN17</f>
        <v>0</v>
      </c>
    </row>
    <row r="32" spans="1:49" ht="15.75" customHeight="1">
      <c r="A32" s="4234" t="s">
        <v>222</v>
      </c>
      <c r="B32" s="3526">
        <f>'11. Амортиз. план'!L171</f>
        <v>288</v>
      </c>
      <c r="C32" s="3526">
        <f>'11. Амортиз. план'!N171</f>
        <v>1757.3119452030755</v>
      </c>
      <c r="D32" s="3526">
        <f>'11. Амортиз. план'!O171</f>
        <v>4071.1729536890393</v>
      </c>
      <c r="E32" s="3526">
        <f>'11. Амортиз. план'!P171</f>
        <v>6153.9367309183772</v>
      </c>
      <c r="F32" s="3526">
        <f>'11. Амортиз. план'!Q171</f>
        <v>6309.5440302413272</v>
      </c>
      <c r="G32" s="3526">
        <f>'11. Амортиз. план'!R171</f>
        <v>6475.0873192049621</v>
      </c>
      <c r="I32" s="4252" t="s">
        <v>1618</v>
      </c>
      <c r="J32" s="4248">
        <f>'9.Инвестиционна програма'!I148</f>
        <v>26.666666666666664</v>
      </c>
      <c r="K32" s="4248">
        <f>'9.Инвестиционна програма'!J148</f>
        <v>7.6666666666666661</v>
      </c>
      <c r="L32" s="4248">
        <f>'9.Инвестиционна програма'!K148</f>
        <v>7.6666666666666661</v>
      </c>
      <c r="M32" s="4248">
        <f>'9.Инвестиционна програма'!L148</f>
        <v>7.6666666666666661</v>
      </c>
      <c r="N32" s="4248">
        <f>'9.Инвестиционна програма'!M148</f>
        <v>7.6666666666666661</v>
      </c>
      <c r="O32" s="4248">
        <f t="shared" si="38"/>
        <v>57.333333333333321</v>
      </c>
      <c r="P32" s="4253">
        <f t="shared" si="36"/>
        <v>1.3553749171386913E-3</v>
      </c>
      <c r="Q32" s="4254"/>
      <c r="S32" s="4229" t="s">
        <v>448</v>
      </c>
      <c r="T32" s="3526">
        <f>'12. Разходи'!K59</f>
        <v>367</v>
      </c>
      <c r="U32" s="3526">
        <f>'12. Разходи'!L59</f>
        <v>485</v>
      </c>
      <c r="V32" s="3526">
        <f>'12. Разходи'!M59</f>
        <v>543.20000000000005</v>
      </c>
      <c r="W32" s="3526">
        <f>'12. Разходи'!N59</f>
        <v>608.38400000000013</v>
      </c>
      <c r="X32" s="3526">
        <f>'12. Разходи'!O59</f>
        <v>681.39008000000024</v>
      </c>
      <c r="Y32" s="3526">
        <f>'12. Разходи'!P59</f>
        <v>763.15688960000023</v>
      </c>
      <c r="Z32" s="4227">
        <f t="shared" si="37"/>
        <v>0.32152588555858308</v>
      </c>
      <c r="AA32" s="4227">
        <f t="shared" si="33"/>
        <v>0.57351936000000048</v>
      </c>
      <c r="AK32" s="3407" t="s">
        <v>329</v>
      </c>
      <c r="AL32" s="3521">
        <f>'17. РБА'!C61</f>
        <v>0</v>
      </c>
      <c r="AM32" s="3521">
        <f>'17. РБА'!D61</f>
        <v>0</v>
      </c>
      <c r="AN32" s="3521">
        <f>'17. РБА'!E61</f>
        <v>0</v>
      </c>
      <c r="AO32" s="3521">
        <f>'17. РБА'!F61</f>
        <v>0</v>
      </c>
      <c r="AP32" s="3521">
        <f>'17. РБА'!G61</f>
        <v>0</v>
      </c>
      <c r="AR32" s="3488" t="s">
        <v>297</v>
      </c>
      <c r="AS32" s="3489">
        <f>AS29+AS30</f>
        <v>0</v>
      </c>
      <c r="AT32" s="3489">
        <f>AT29+AT30</f>
        <v>0</v>
      </c>
      <c r="AU32" s="3489">
        <f>AU29+AU30</f>
        <v>0</v>
      </c>
      <c r="AV32" s="3489">
        <f>AV29+AV30</f>
        <v>0</v>
      </c>
      <c r="AW32" s="3489">
        <f>AW29+AW30</f>
        <v>0</v>
      </c>
    </row>
    <row r="33" spans="1:44" ht="15.75" customHeight="1">
      <c r="A33" s="5466" t="s">
        <v>1660</v>
      </c>
      <c r="B33" s="5466"/>
      <c r="C33" s="5466"/>
      <c r="D33" s="5466"/>
      <c r="E33" s="5466"/>
      <c r="F33" s="5466"/>
      <c r="G33" s="5466"/>
      <c r="I33" s="3519" t="str">
        <f>'9.Инвестиционна програма'!E142</f>
        <v>Пречистване на отпадъчните води</v>
      </c>
      <c r="J33" s="3644">
        <f>SUM(J34:J35)</f>
        <v>1479.8895439999999</v>
      </c>
      <c r="K33" s="3644">
        <f t="shared" ref="K33" si="44">SUM(K34:K35)</f>
        <v>2593.7790879999998</v>
      </c>
      <c r="L33" s="3644">
        <f t="shared" ref="L33" si="45">SUM(L34:L35)</f>
        <v>2484.1124213333333</v>
      </c>
      <c r="M33" s="3644">
        <f t="shared" ref="M33" si="46">SUM(M34:M35)</f>
        <v>321.39999999999998</v>
      </c>
      <c r="N33" s="3644">
        <f t="shared" ref="N33" si="47">SUM(N34:N35)</f>
        <v>328.33333333333331</v>
      </c>
      <c r="O33" s="3644">
        <f t="shared" si="43"/>
        <v>7207.5143866666658</v>
      </c>
      <c r="P33" s="3505">
        <f t="shared" si="36"/>
        <v>0.17038751537100452</v>
      </c>
      <c r="Q33" s="4251"/>
      <c r="S33" s="4229" t="s">
        <v>449</v>
      </c>
      <c r="T33" s="3526">
        <f>'12. Разходи'!K63</f>
        <v>129</v>
      </c>
      <c r="U33" s="3526">
        <f>'12. Разходи'!L63</f>
        <v>129.54736842105262</v>
      </c>
      <c r="V33" s="3526">
        <f>'12. Разходи'!M63</f>
        <v>140.19999999999999</v>
      </c>
      <c r="W33" s="3526">
        <f>'12. Разходи'!N63</f>
        <v>150.62400000000002</v>
      </c>
      <c r="X33" s="3526">
        <f>'12. Разходи'!O63</f>
        <v>163.41888</v>
      </c>
      <c r="Y33" s="3526">
        <f>'12. Разходи'!P63</f>
        <v>177.74914560000002</v>
      </c>
      <c r="Z33" s="4227">
        <f t="shared" si="37"/>
        <v>4.2431660546715074E-3</v>
      </c>
      <c r="AA33" s="4227">
        <f t="shared" si="33"/>
        <v>0.37207839700983203</v>
      </c>
      <c r="AK33" s="3407" t="s">
        <v>306</v>
      </c>
      <c r="AL33" s="3514">
        <f>'17. РБА'!C62</f>
        <v>0</v>
      </c>
      <c r="AM33" s="3514">
        <f>'17. РБА'!D62</f>
        <v>0</v>
      </c>
      <c r="AN33" s="3514">
        <f>'17. РБА'!E62</f>
        <v>0</v>
      </c>
      <c r="AO33" s="3514">
        <f>'17. РБА'!F62</f>
        <v>0</v>
      </c>
      <c r="AP33" s="3514">
        <f>'17. РБА'!G62</f>
        <v>0</v>
      </c>
      <c r="AR33" s="4216"/>
    </row>
    <row r="34" spans="1:44" ht="12.75" customHeight="1">
      <c r="A34" s="4228" t="s">
        <v>334</v>
      </c>
      <c r="B34" s="3644">
        <f>'11. Амортиз. план'!L192</f>
        <v>98840</v>
      </c>
      <c r="C34" s="3644">
        <f>'11. Амортиз. план'!N192</f>
        <v>98840</v>
      </c>
      <c r="D34" s="3644">
        <f>'11. Амортиз. план'!O192</f>
        <v>98840</v>
      </c>
      <c r="E34" s="3644">
        <f>'11. Амортиз. план'!P192</f>
        <v>98840</v>
      </c>
      <c r="F34" s="3644">
        <f>'11. Амортиз. план'!Q192</f>
        <v>98840</v>
      </c>
      <c r="G34" s="3644">
        <f>'11. Амортиз. план'!R192</f>
        <v>98840</v>
      </c>
      <c r="I34" s="4252" t="s">
        <v>1617</v>
      </c>
      <c r="J34" s="4248">
        <f>'9.Инвестиционна програма'!I155</f>
        <v>1457.2228773333331</v>
      </c>
      <c r="K34" s="4248">
        <f>'9.Инвестиционна програма'!J155</f>
        <v>2586.1124213333333</v>
      </c>
      <c r="L34" s="4248">
        <f>'9.Инвестиционна програма'!K155</f>
        <v>2476.4457546666667</v>
      </c>
      <c r="M34" s="4248">
        <f>'9.Инвестиционна програма'!L155</f>
        <v>313.73333333333329</v>
      </c>
      <c r="N34" s="4248">
        <f>'9.Инвестиционна програма'!M155</f>
        <v>320.66666666666663</v>
      </c>
      <c r="O34" s="4248">
        <f t="shared" si="38"/>
        <v>7154.1810533333337</v>
      </c>
      <c r="P34" s="4253">
        <f t="shared" si="36"/>
        <v>0.16912670149459647</v>
      </c>
      <c r="Q34" s="4254"/>
      <c r="S34" s="4229" t="s">
        <v>450</v>
      </c>
      <c r="T34" s="3526">
        <f>'12. Разходи'!K70</f>
        <v>17.933099873137945</v>
      </c>
      <c r="U34" s="3526">
        <f>'12. Разходи'!L70</f>
        <v>19.188416864257601</v>
      </c>
      <c r="V34" s="3526">
        <f>'12. Разходи'!M70</f>
        <v>19.764069370185329</v>
      </c>
      <c r="W34" s="3526">
        <f>'12. Разходи'!N70</f>
        <v>20.356991451290888</v>
      </c>
      <c r="X34" s="3526">
        <f>'12. Разходи'!O70</f>
        <v>20.967701194829615</v>
      </c>
      <c r="Y34" s="3526">
        <f>'12. Разходи'!P70</f>
        <v>21.596732230674505</v>
      </c>
      <c r="Z34" s="4227">
        <f t="shared" si="37"/>
        <v>7.0000000000000007E-2</v>
      </c>
      <c r="AA34" s="4227">
        <f t="shared" si="33"/>
        <v>0.12550881000000005</v>
      </c>
      <c r="AK34" s="3408" t="s">
        <v>305</v>
      </c>
      <c r="AL34" s="3409">
        <f t="shared" ref="AL34:AP34" si="48">AL29-AL30+AL31+AL32+AL33</f>
        <v>0</v>
      </c>
      <c r="AM34" s="3409">
        <f t="shared" si="48"/>
        <v>0</v>
      </c>
      <c r="AN34" s="3409">
        <f t="shared" si="48"/>
        <v>0</v>
      </c>
      <c r="AO34" s="3409">
        <f t="shared" si="48"/>
        <v>0</v>
      </c>
      <c r="AP34" s="3409">
        <f t="shared" si="48"/>
        <v>0</v>
      </c>
      <c r="AR34" s="4216"/>
    </row>
    <row r="35" spans="1:44" ht="15.75" customHeight="1">
      <c r="A35" s="4230" t="s">
        <v>218</v>
      </c>
      <c r="B35" s="4231">
        <f>'11. Амортиз. план'!L214</f>
        <v>1940</v>
      </c>
      <c r="C35" s="4231">
        <f>'11. Амортиз. план'!N214</f>
        <v>1940</v>
      </c>
      <c r="D35" s="4231">
        <f>'11. Амортиз. план'!O214</f>
        <v>1940</v>
      </c>
      <c r="E35" s="4231">
        <f>'11. Амортиз. план'!P214</f>
        <v>1940</v>
      </c>
      <c r="F35" s="4231">
        <f>'11. Амортиз. план'!Q214</f>
        <v>1940</v>
      </c>
      <c r="G35" s="4231">
        <f>'11. Амортиз. план'!R214</f>
        <v>1940</v>
      </c>
      <c r="I35" s="4252" t="s">
        <v>1618</v>
      </c>
      <c r="J35" s="4248">
        <f>'9.Инвестиционна програма'!I149</f>
        <v>22.666666666666664</v>
      </c>
      <c r="K35" s="4248">
        <f>'9.Инвестиционна програма'!J149</f>
        <v>7.6666666666666661</v>
      </c>
      <c r="L35" s="4248">
        <f>'9.Инвестиционна програма'!K149</f>
        <v>7.6666666666666661</v>
      </c>
      <c r="M35" s="4248">
        <f>'9.Инвестиционна програма'!L149</f>
        <v>7.6666666666666661</v>
      </c>
      <c r="N35" s="4248">
        <f>'9.Инвестиционна програма'!M149</f>
        <v>7.6666666666666661</v>
      </c>
      <c r="O35" s="4248">
        <f t="shared" si="38"/>
        <v>53.333333333333321</v>
      </c>
      <c r="P35" s="4253">
        <f t="shared" si="36"/>
        <v>1.2608138764080849E-3</v>
      </c>
      <c r="Q35" s="4254"/>
      <c r="S35" s="4229" t="s">
        <v>267</v>
      </c>
      <c r="T35" s="3526">
        <f>'12. Разходи'!K76</f>
        <v>3</v>
      </c>
      <c r="U35" s="3526">
        <f>'12. Разходи'!L76</f>
        <v>3.21</v>
      </c>
      <c r="V35" s="3526">
        <f>'12. Разходи'!M76</f>
        <v>3.3063000000000002</v>
      </c>
      <c r="W35" s="3526">
        <f>'12. Разходи'!N76</f>
        <v>3.4054890000000002</v>
      </c>
      <c r="X35" s="3526">
        <f>'12. Разходи'!O76</f>
        <v>3.5076536700000003</v>
      </c>
      <c r="Y35" s="3526">
        <f>'12. Разходи'!P76</f>
        <v>3.6128832801000006</v>
      </c>
      <c r="Z35" s="4227">
        <f t="shared" si="37"/>
        <v>6.9999999999999993E-2</v>
      </c>
      <c r="AA35" s="4227">
        <f t="shared" si="33"/>
        <v>0.12550881000000019</v>
      </c>
      <c r="AK35" s="5449" t="s">
        <v>1692</v>
      </c>
      <c r="AL35" s="5450" t="str">
        <f>T100</f>
        <v>Доставяне на вода на друг ВиК оператор</v>
      </c>
      <c r="AM35" s="5451"/>
      <c r="AN35" s="5451"/>
      <c r="AO35" s="5451"/>
      <c r="AP35" s="5451"/>
      <c r="AR35" s="4216"/>
    </row>
    <row r="36" spans="1:44" ht="15.75" customHeight="1">
      <c r="A36" s="4234" t="s">
        <v>220</v>
      </c>
      <c r="B36" s="3526">
        <f>'11. Амортиз. план'!L236</f>
        <v>15847</v>
      </c>
      <c r="C36" s="3526">
        <f>'11. Амортиз. план'!N236</f>
        <v>19727</v>
      </c>
      <c r="D36" s="3526">
        <f>'11. Амортиз. план'!O236</f>
        <v>21667</v>
      </c>
      <c r="E36" s="3526">
        <f>'11. Амортиз. план'!P236</f>
        <v>23607</v>
      </c>
      <c r="F36" s="3526">
        <f>'11. Амортиз. план'!Q236</f>
        <v>25547</v>
      </c>
      <c r="G36" s="3526">
        <f>'11. Амортиз. план'!R236</f>
        <v>27487</v>
      </c>
      <c r="I36" s="3519" t="str">
        <f>'9.Инвестиционна програма'!E143</f>
        <v>Доставяне на вода с непитейни качества</v>
      </c>
      <c r="J36" s="3644">
        <f>SUM(J37:J38)</f>
        <v>0</v>
      </c>
      <c r="K36" s="3644">
        <f t="shared" ref="K36" si="49">SUM(K37:K38)</f>
        <v>0</v>
      </c>
      <c r="L36" s="3644">
        <f t="shared" ref="L36" si="50">SUM(L37:L38)</f>
        <v>0</v>
      </c>
      <c r="M36" s="3644">
        <f t="shared" ref="M36" si="51">SUM(M37:M38)</f>
        <v>0</v>
      </c>
      <c r="N36" s="3644">
        <f t="shared" ref="N36" si="52">SUM(N37:N38)</f>
        <v>0</v>
      </c>
      <c r="O36" s="3644">
        <f t="shared" si="43"/>
        <v>0</v>
      </c>
      <c r="P36" s="3505">
        <f t="shared" si="36"/>
        <v>0</v>
      </c>
      <c r="Q36" s="4251"/>
      <c r="S36" s="4237" t="s">
        <v>277</v>
      </c>
      <c r="T36" s="4238">
        <f>SUM(T26:T28,T32:T35)</f>
        <v>1264.4729663706046</v>
      </c>
      <c r="U36" s="4238">
        <f t="shared" ref="U36" si="53">SUM(U26:U28,U32:U35)</f>
        <v>1873.6067235476689</v>
      </c>
      <c r="V36" s="4238">
        <f t="shared" ref="V36" si="54">SUM(V26:V28,V32:V35)</f>
        <v>1996.8769978283422</v>
      </c>
      <c r="W36" s="4238">
        <f t="shared" ref="W36" si="55">SUM(W26:W28,W32:W35)</f>
        <v>1899.0247682739155</v>
      </c>
      <c r="X36" s="4238">
        <f t="shared" ref="X36" si="56">SUM(X26:X28,X32:X35)</f>
        <v>2158.614984462823</v>
      </c>
      <c r="Y36" s="4238">
        <f t="shared" ref="Y36" si="57">SUM(Y26:Y28,Y32:Y35)</f>
        <v>2274.283059308269</v>
      </c>
      <c r="Z36" s="4239">
        <f t="shared" si="37"/>
        <v>0.48172936344020917</v>
      </c>
      <c r="AA36" s="4239">
        <f t="shared" si="33"/>
        <v>0.2138529557589976</v>
      </c>
      <c r="AK36" s="5449"/>
      <c r="AL36" s="4224" t="s">
        <v>1778</v>
      </c>
      <c r="AM36" s="4224" t="s">
        <v>1779</v>
      </c>
      <c r="AN36" s="4224" t="s">
        <v>1780</v>
      </c>
      <c r="AO36" s="4224" t="s">
        <v>1781</v>
      </c>
      <c r="AP36" s="4224" t="s">
        <v>1782</v>
      </c>
      <c r="AR36" s="4216"/>
    </row>
    <row r="37" spans="1:44" ht="15.75" customHeight="1">
      <c r="A37" s="4234" t="s">
        <v>222</v>
      </c>
      <c r="B37" s="3526">
        <f>'11. Амортиз. план'!L258</f>
        <v>82993</v>
      </c>
      <c r="C37" s="3526">
        <f>'11. Амортиз. план'!N258</f>
        <v>79113</v>
      </c>
      <c r="D37" s="3526">
        <f>'11. Амортиз. план'!O258</f>
        <v>77173</v>
      </c>
      <c r="E37" s="3526">
        <f>'11. Амортиз. план'!P258</f>
        <v>75233</v>
      </c>
      <c r="F37" s="3526">
        <f>'11. Амортиз. план'!Q258</f>
        <v>73293</v>
      </c>
      <c r="G37" s="3526">
        <f>'11. Амортиз. план'!R258</f>
        <v>71353</v>
      </c>
      <c r="I37" s="4252" t="s">
        <v>1617</v>
      </c>
      <c r="J37" s="4248">
        <f>'9.Инвестиционна програма'!I156</f>
        <v>0</v>
      </c>
      <c r="K37" s="4248">
        <f>'9.Инвестиционна програма'!J156</f>
        <v>0</v>
      </c>
      <c r="L37" s="4248">
        <f>'9.Инвестиционна програма'!K156</f>
        <v>0</v>
      </c>
      <c r="M37" s="4248">
        <f>'9.Инвестиционна програма'!L156</f>
        <v>0</v>
      </c>
      <c r="N37" s="4248">
        <f>'9.Инвестиционна програма'!M156</f>
        <v>0</v>
      </c>
      <c r="O37" s="4248">
        <f t="shared" si="38"/>
        <v>0</v>
      </c>
      <c r="P37" s="4253">
        <f t="shared" si="36"/>
        <v>0</v>
      </c>
      <c r="Q37" s="4254"/>
      <c r="S37" s="4245" t="str">
        <f>CONCATENATE("Спестявания и увеличения спрямо ",T25," - нето:")</f>
        <v>Спестявания и увеличения спрямо 2024 г. - нето:</v>
      </c>
      <c r="T37" s="4246"/>
      <c r="U37" s="4245">
        <f>U36-$T36</f>
        <v>609.13375717706435</v>
      </c>
      <c r="V37" s="4245">
        <f t="shared" ref="V37" si="58">V36-$T36</f>
        <v>732.40403145773757</v>
      </c>
      <c r="W37" s="4245">
        <f t="shared" ref="W37" si="59">W36-$T36</f>
        <v>634.55180190331089</v>
      </c>
      <c r="X37" s="4245">
        <f t="shared" ref="X37" si="60">X36-$T36</f>
        <v>894.14201809221845</v>
      </c>
      <c r="Y37" s="4245">
        <f t="shared" ref="Y37" si="61">Y36-$T36</f>
        <v>1009.8100929376644</v>
      </c>
      <c r="Z37" s="4246"/>
      <c r="AA37" s="4246"/>
      <c r="AK37" s="3407" t="s">
        <v>547</v>
      </c>
      <c r="AL37" s="3514">
        <f>'17. РБА'!C66</f>
        <v>0</v>
      </c>
      <c r="AM37" s="3514">
        <f>'17. РБА'!D66</f>
        <v>0</v>
      </c>
      <c r="AN37" s="3514">
        <f>'17. РБА'!E66</f>
        <v>0</v>
      </c>
      <c r="AO37" s="3514">
        <f>'17. РБА'!F66</f>
        <v>0</v>
      </c>
      <c r="AP37" s="3514">
        <f>'17. РБА'!G66</f>
        <v>0</v>
      </c>
      <c r="AR37" s="4216"/>
    </row>
    <row r="38" spans="1:44" ht="15.75" customHeight="1">
      <c r="A38" s="2" t="s">
        <v>184</v>
      </c>
      <c r="B38" s="11"/>
      <c r="C38" s="11"/>
      <c r="D38" s="11"/>
      <c r="E38" s="11"/>
      <c r="F38" s="11"/>
      <c r="G38" s="3393" t="s">
        <v>1636</v>
      </c>
      <c r="I38" s="4252" t="s">
        <v>1618</v>
      </c>
      <c r="J38" s="4248">
        <f>'9.Инвестиционна програма'!I150</f>
        <v>0</v>
      </c>
      <c r="K38" s="4248">
        <f>'9.Инвестиционна програма'!J150</f>
        <v>0</v>
      </c>
      <c r="L38" s="4248">
        <f>'9.Инвестиционна програма'!K150</f>
        <v>0</v>
      </c>
      <c r="M38" s="4248">
        <f>'9.Инвестиционна програма'!L150</f>
        <v>0</v>
      </c>
      <c r="N38" s="4248">
        <f>'9.Инвестиционна програма'!M150</f>
        <v>0</v>
      </c>
      <c r="O38" s="4248">
        <f t="shared" si="38"/>
        <v>0</v>
      </c>
      <c r="P38" s="4253">
        <f t="shared" si="36"/>
        <v>0</v>
      </c>
      <c r="Q38" s="4254"/>
      <c r="S38" s="4229" t="s">
        <v>1670</v>
      </c>
      <c r="T38" s="3526">
        <f>'12. Разходи'!K92</f>
        <v>917</v>
      </c>
      <c r="U38" s="3526">
        <f>'12. Разходи'!L92</f>
        <v>0</v>
      </c>
      <c r="V38" s="3526">
        <f>'12. Разходи'!M92</f>
        <v>0</v>
      </c>
      <c r="W38" s="3526">
        <f>'12. Разходи'!N92</f>
        <v>0</v>
      </c>
      <c r="X38" s="3526">
        <f>'12. Разходи'!O92</f>
        <v>0</v>
      </c>
      <c r="Y38" s="3526">
        <f>'12. Разходи'!P92</f>
        <v>0</v>
      </c>
      <c r="Z38" s="4227">
        <f t="shared" si="37"/>
        <v>-1</v>
      </c>
      <c r="AA38" s="4227">
        <f t="shared" ref="AA38:AA42" si="62">IFERROR((Y38-U38)/U38,0)</f>
        <v>0</v>
      </c>
      <c r="AK38" s="3407" t="s">
        <v>548</v>
      </c>
      <c r="AL38" s="3514">
        <f>'17. РБА'!C69</f>
        <v>0</v>
      </c>
      <c r="AM38" s="3514">
        <f>'17. РБА'!D69</f>
        <v>0</v>
      </c>
      <c r="AN38" s="3514">
        <f>'17. РБА'!E69</f>
        <v>0</v>
      </c>
      <c r="AO38" s="3514">
        <f>'17. РБА'!F69</f>
        <v>0</v>
      </c>
      <c r="AP38" s="3514">
        <f>'17. РБА'!G69</f>
        <v>0</v>
      </c>
      <c r="AR38" s="4216"/>
    </row>
    <row r="39" spans="1:44" ht="15.75" customHeight="1">
      <c r="A39" s="5467" t="s">
        <v>87</v>
      </c>
      <c r="B39" s="5460" t="s">
        <v>184</v>
      </c>
      <c r="C39" s="5460"/>
      <c r="D39" s="5460"/>
      <c r="E39" s="5460"/>
      <c r="F39" s="5460"/>
      <c r="G39" s="5460"/>
      <c r="I39" s="3519" t="str">
        <f>'9.Инвестиционна програма'!E144</f>
        <v>Доставяне на вода на друг ВиК оператор</v>
      </c>
      <c r="J39" s="3644">
        <f>SUM(J40:J41)</f>
        <v>0</v>
      </c>
      <c r="K39" s="3644">
        <f t="shared" ref="K39" si="63">SUM(K40:K41)</f>
        <v>0</v>
      </c>
      <c r="L39" s="3644">
        <f t="shared" ref="L39" si="64">SUM(L40:L41)</f>
        <v>0</v>
      </c>
      <c r="M39" s="3644">
        <f t="shared" ref="M39" si="65">SUM(M40:M41)</f>
        <v>0</v>
      </c>
      <c r="N39" s="3644">
        <f t="shared" ref="N39" si="66">SUM(N40:N41)</f>
        <v>0</v>
      </c>
      <c r="O39" s="3644">
        <f t="shared" si="43"/>
        <v>0</v>
      </c>
      <c r="P39" s="3505">
        <f t="shared" si="36"/>
        <v>0</v>
      </c>
      <c r="Q39" s="4251"/>
      <c r="S39" s="4229" t="s">
        <v>1672</v>
      </c>
      <c r="T39" s="3526">
        <f>'12. Разходи'!K93</f>
        <v>170.80629970393784</v>
      </c>
      <c r="U39" s="3526">
        <f>'12. Разходи'!L93</f>
        <v>1352.5602640189102</v>
      </c>
      <c r="V39" s="3526">
        <f>'12. Разходи'!M93</f>
        <v>1450.6409695037853</v>
      </c>
      <c r="W39" s="3526">
        <f>'12. Разходи'!N93</f>
        <v>1545.6504770668912</v>
      </c>
      <c r="X39" s="3526">
        <f>'12. Разходи'!O93</f>
        <v>1667.5200384571901</v>
      </c>
      <c r="Y39" s="3526">
        <f>'12. Разходи'!P93</f>
        <v>1743.6272170973612</v>
      </c>
      <c r="Z39" s="4227">
        <f t="shared" si="37"/>
        <v>6.9186790321160956</v>
      </c>
      <c r="AA39" s="4227">
        <f t="shared" si="62"/>
        <v>0.28913089012127258</v>
      </c>
      <c r="AK39" s="3407" t="s">
        <v>549</v>
      </c>
      <c r="AL39" s="3514">
        <f>'17. РБА'!C72</f>
        <v>0</v>
      </c>
      <c r="AM39" s="3514">
        <f>'17. РБА'!D72</f>
        <v>0</v>
      </c>
      <c r="AN39" s="3514">
        <f>'17. РБА'!E72</f>
        <v>0</v>
      </c>
      <c r="AO39" s="3514">
        <f>'17. РБА'!F72</f>
        <v>0</v>
      </c>
      <c r="AP39" s="3514">
        <f>'17. РБА'!G72</f>
        <v>0</v>
      </c>
      <c r="AR39" s="4216"/>
    </row>
    <row r="40" spans="1:44" ht="13.5" customHeight="1">
      <c r="A40" s="5467"/>
      <c r="B40" s="4218" t="str">
        <f>+'15. ОПП'!$B$7</f>
        <v>2024 г.</v>
      </c>
      <c r="C40" s="4218" t="str">
        <f>+'15. ОПП'!$C$7</f>
        <v>2027 г.</v>
      </c>
      <c r="D40" s="4218" t="str">
        <f>+'15. ОПП'!$D$7</f>
        <v>2028 г.</v>
      </c>
      <c r="E40" s="4218" t="str">
        <f>+'15. ОПП'!$E$7</f>
        <v>2029 г.</v>
      </c>
      <c r="F40" s="4218" t="str">
        <f>+'15. ОПП'!$F$7</f>
        <v>2030 г.</v>
      </c>
      <c r="G40" s="4218" t="str">
        <f>+'15. ОПП'!$G$7</f>
        <v>2031 г.</v>
      </c>
      <c r="I40" s="4252" t="s">
        <v>1617</v>
      </c>
      <c r="J40" s="4248">
        <f>'9.Инвестиционна програма'!I157</f>
        <v>0</v>
      </c>
      <c r="K40" s="4248">
        <f>'9.Инвестиционна програма'!J157</f>
        <v>0</v>
      </c>
      <c r="L40" s="4248">
        <f>'9.Инвестиционна програма'!K157</f>
        <v>0</v>
      </c>
      <c r="M40" s="4248">
        <f>'9.Инвестиционна програма'!L157</f>
        <v>0</v>
      </c>
      <c r="N40" s="4248">
        <f>'9.Инвестиционна програма'!M157</f>
        <v>0</v>
      </c>
      <c r="O40" s="4248">
        <f t="shared" si="38"/>
        <v>0</v>
      </c>
      <c r="P40" s="4253">
        <f t="shared" si="36"/>
        <v>0</v>
      </c>
      <c r="Q40" s="4254"/>
      <c r="S40" s="4248" t="s">
        <v>1671</v>
      </c>
      <c r="T40" s="3526">
        <f>'12. Разходи'!K94</f>
        <v>56</v>
      </c>
      <c r="U40" s="3526">
        <f>'12. Разходи'!L94</f>
        <v>0</v>
      </c>
      <c r="V40" s="3526">
        <f>'12. Разходи'!M94</f>
        <v>0</v>
      </c>
      <c r="W40" s="3526">
        <f>'12. Разходи'!N94</f>
        <v>0</v>
      </c>
      <c r="X40" s="3526">
        <f>'12. Разходи'!O94</f>
        <v>0</v>
      </c>
      <c r="Y40" s="3526">
        <f>'12. Разходи'!P94</f>
        <v>0</v>
      </c>
      <c r="Z40" s="4227">
        <f t="shared" si="37"/>
        <v>-1</v>
      </c>
      <c r="AA40" s="4227">
        <f t="shared" si="62"/>
        <v>0</v>
      </c>
      <c r="AK40" s="3407" t="s">
        <v>329</v>
      </c>
      <c r="AL40" s="3521">
        <f>'17. РБА'!C75</f>
        <v>0</v>
      </c>
      <c r="AM40" s="3521">
        <f>'17. РБА'!D75</f>
        <v>0</v>
      </c>
      <c r="AN40" s="3521">
        <f>'17. РБА'!E75</f>
        <v>0</v>
      </c>
      <c r="AO40" s="3521">
        <f>'17. РБА'!F75</f>
        <v>0</v>
      </c>
      <c r="AP40" s="3521">
        <f>'17. РБА'!G75</f>
        <v>0</v>
      </c>
      <c r="AR40" s="4216"/>
    </row>
    <row r="41" spans="1:44" ht="15.75" customHeight="1">
      <c r="A41" s="5468" t="s">
        <v>1658</v>
      </c>
      <c r="B41" s="5469"/>
      <c r="C41" s="5469"/>
      <c r="D41" s="5469"/>
      <c r="E41" s="5469"/>
      <c r="F41" s="5469"/>
      <c r="G41" s="5470"/>
      <c r="I41" s="4252" t="s">
        <v>1618</v>
      </c>
      <c r="J41" s="4248">
        <f>'9.Инвестиционна програма'!I151</f>
        <v>0</v>
      </c>
      <c r="K41" s="4248">
        <f>'9.Инвестиционна програма'!J151</f>
        <v>0</v>
      </c>
      <c r="L41" s="4248">
        <f>'9.Инвестиционна програма'!K151</f>
        <v>0</v>
      </c>
      <c r="M41" s="4248">
        <f>'9.Инвестиционна програма'!L151</f>
        <v>0</v>
      </c>
      <c r="N41" s="4248">
        <f>'9.Инвестиционна програма'!M151</f>
        <v>0</v>
      </c>
      <c r="O41" s="4248">
        <f t="shared" si="38"/>
        <v>0</v>
      </c>
      <c r="P41" s="4253">
        <f t="shared" si="36"/>
        <v>0</v>
      </c>
      <c r="Q41" s="4254"/>
      <c r="S41" s="4229" t="s">
        <v>1674</v>
      </c>
      <c r="T41" s="3526">
        <f>'12. Разходи'!K90</f>
        <v>425.70320999999996</v>
      </c>
      <c r="U41" s="3526">
        <f>'12. Разходи'!L90</f>
        <v>553.41417300000001</v>
      </c>
      <c r="V41" s="3526">
        <f>'12. Разходи'!M90</f>
        <v>581.08488165000028</v>
      </c>
      <c r="W41" s="3526">
        <f>'12. Разходи'!N90</f>
        <v>598.51742809950008</v>
      </c>
      <c r="X41" s="3526">
        <f>'12. Разходи'!O90</f>
        <v>586.54707953751017</v>
      </c>
      <c r="Y41" s="3526">
        <f>'12. Разходи'!P90</f>
        <v>563.08519635600976</v>
      </c>
      <c r="Z41" s="4227">
        <f t="shared" si="37"/>
        <v>0.30000000000000016</v>
      </c>
      <c r="AA41" s="4227">
        <f t="shared" si="62"/>
        <v>1.7475200000000281E-2</v>
      </c>
      <c r="AK41" s="3407" t="s">
        <v>306</v>
      </c>
      <c r="AL41" s="3514">
        <f>'17. РБА'!C76</f>
        <v>0</v>
      </c>
      <c r="AM41" s="3514">
        <f>'17. РБА'!D76</f>
        <v>0</v>
      </c>
      <c r="AN41" s="3514">
        <f>'17. РБА'!E76</f>
        <v>0</v>
      </c>
      <c r="AO41" s="3514">
        <f>'17. РБА'!F76</f>
        <v>0</v>
      </c>
      <c r="AP41" s="3514">
        <f>'17. РБА'!G76</f>
        <v>0</v>
      </c>
      <c r="AR41" s="4216"/>
    </row>
    <row r="42" spans="1:44" ht="15.75" customHeight="1">
      <c r="A42" s="4228" t="s">
        <v>334</v>
      </c>
      <c r="B42" s="3644">
        <f>'11. Амортиз. план'!S10</f>
        <v>1664</v>
      </c>
      <c r="C42" s="3644">
        <f>'11. Амортиз. план'!U10</f>
        <v>1754.3333333333333</v>
      </c>
      <c r="D42" s="3644">
        <f>'11. Амортиз. план'!V10</f>
        <v>1762.0000000000002</v>
      </c>
      <c r="E42" s="3644">
        <f>'11. Амортиз. план'!W10</f>
        <v>1769.6666666666665</v>
      </c>
      <c r="F42" s="3644">
        <f>'11. Амортиз. план'!X10</f>
        <v>1777.3333333333333</v>
      </c>
      <c r="G42" s="3644">
        <f>'11. Амортиз. план'!Y10</f>
        <v>1785.0000000000002</v>
      </c>
      <c r="I42" s="4232" t="s">
        <v>1028</v>
      </c>
      <c r="J42" s="4233">
        <f>SUM(J27,J30,J33,J36,J39)</f>
        <v>8914.303774</v>
      </c>
      <c r="K42" s="4233">
        <f t="shared" ref="K42:N42" si="67">SUM(K27,K30,K33,K36,K39)</f>
        <v>14484.607548</v>
      </c>
      <c r="L42" s="4233">
        <f t="shared" si="67"/>
        <v>14192.607548000002</v>
      </c>
      <c r="M42" s="4233">
        <f t="shared" si="67"/>
        <v>2359.2000000000003</v>
      </c>
      <c r="N42" s="4233">
        <f t="shared" si="67"/>
        <v>2349.9999999999995</v>
      </c>
      <c r="O42" s="4233">
        <f>SUM(O27,O30,O33,O36,O39)</f>
        <v>42300.718869999997</v>
      </c>
      <c r="P42" s="3505">
        <f t="shared" si="36"/>
        <v>1</v>
      </c>
      <c r="Q42" s="4251"/>
      <c r="S42" s="4229" t="s">
        <v>1232</v>
      </c>
      <c r="T42" s="3526">
        <f>'12. Разходи'!K89</f>
        <v>120.13673970393796</v>
      </c>
      <c r="U42" s="3526">
        <f>'12. Разходи'!L89</f>
        <v>138.64246759785763</v>
      </c>
      <c r="V42" s="3526">
        <f>'12. Разходи'!M89</f>
        <v>139.18602010378535</v>
      </c>
      <c r="W42" s="3526">
        <f>'12. Разходи'!N89</f>
        <v>139.7458791848909</v>
      </c>
      <c r="X42" s="3526">
        <f>'12. Разходи'!O89</f>
        <v>185.34692353282963</v>
      </c>
      <c r="Y42" s="3526">
        <f>'12. Разходи'!P89</f>
        <v>185.94087803197451</v>
      </c>
      <c r="Z42" s="4227">
        <f t="shared" si="37"/>
        <v>0.15403887220116619</v>
      </c>
      <c r="AA42" s="4227">
        <f t="shared" si="62"/>
        <v>0.34115384163032419</v>
      </c>
      <c r="AK42" s="3408" t="s">
        <v>305</v>
      </c>
      <c r="AL42" s="3409">
        <f t="shared" ref="AL42:AP42" si="68">AL37-AL38+AL39+AL40+AL41</f>
        <v>0</v>
      </c>
      <c r="AM42" s="3409">
        <f t="shared" si="68"/>
        <v>0</v>
      </c>
      <c r="AN42" s="3409">
        <f t="shared" si="68"/>
        <v>0</v>
      </c>
      <c r="AO42" s="3409">
        <f t="shared" si="68"/>
        <v>0</v>
      </c>
      <c r="AP42" s="3409">
        <f t="shared" si="68"/>
        <v>0</v>
      </c>
      <c r="AR42" s="4216"/>
    </row>
    <row r="43" spans="1:44" ht="13.5" customHeight="1">
      <c r="A43" s="4230" t="s">
        <v>218</v>
      </c>
      <c r="B43" s="4231">
        <f>'11. Амортиз. план'!S35</f>
        <v>54</v>
      </c>
      <c r="C43" s="4231">
        <f>'11. Амортиз. план'!U35</f>
        <v>59.827747447875652</v>
      </c>
      <c r="D43" s="4231">
        <f>'11. Амортиз. план'!V35</f>
        <v>61.403987345417235</v>
      </c>
      <c r="E43" s="4231">
        <f>'11. Амортиз. план'!W35</f>
        <v>62.344806383532394</v>
      </c>
      <c r="F43" s="4231">
        <f>'11. Амортиз. план'!X35</f>
        <v>62.741324547028569</v>
      </c>
      <c r="G43" s="4231">
        <f>'11. Амортиз. план'!Y35</f>
        <v>62.835146611581031</v>
      </c>
      <c r="I43" s="4252" t="s">
        <v>1617</v>
      </c>
      <c r="J43" s="4255">
        <f>SUM(J28,J31,J34,J37,J40)</f>
        <v>7852.303774</v>
      </c>
      <c r="K43" s="4255">
        <f t="shared" ref="K43:N43" si="69">SUM(K28,K31,K34,K37,K40)</f>
        <v>13925.607548000002</v>
      </c>
      <c r="L43" s="4255">
        <f t="shared" si="69"/>
        <v>13633.607548000004</v>
      </c>
      <c r="M43" s="4255">
        <f t="shared" si="69"/>
        <v>1800.2000000000003</v>
      </c>
      <c r="N43" s="4255">
        <f t="shared" si="69"/>
        <v>1790.9999999999995</v>
      </c>
      <c r="O43" s="4255">
        <f t="shared" ref="O43:O44" si="70">SUM(O28,O31,O34,O37,O40)</f>
        <v>39002.718870000012</v>
      </c>
      <c r="P43" s="4256">
        <f t="shared" si="36"/>
        <v>0.92203442191761542</v>
      </c>
      <c r="Q43" s="4257"/>
      <c r="T43" s="11"/>
      <c r="U43" s="11"/>
      <c r="V43" s="11"/>
      <c r="W43" s="11"/>
      <c r="X43" s="11"/>
      <c r="Y43" s="11"/>
      <c r="Z43" s="11"/>
      <c r="AA43" s="11"/>
      <c r="AK43" s="3294"/>
      <c r="AL43" s="3294"/>
      <c r="AM43" s="3294"/>
      <c r="AN43" s="3294"/>
      <c r="AO43" s="3294"/>
      <c r="AP43" s="3294"/>
      <c r="AQ43" s="3294"/>
      <c r="AR43" s="4216"/>
    </row>
    <row r="44" spans="1:44" ht="15.75" customHeight="1">
      <c r="A44" s="4234" t="s">
        <v>220</v>
      </c>
      <c r="B44" s="3526">
        <f>'11. Амортиз. план'!S60</f>
        <v>1073</v>
      </c>
      <c r="C44" s="3526">
        <f>'11. Амортиз. план'!U60</f>
        <v>1190.1646615103755</v>
      </c>
      <c r="D44" s="3526">
        <f>'11. Амортиз. план'!V60</f>
        <v>1251.5686488557928</v>
      </c>
      <c r="E44" s="3526">
        <f>'11. Амортиз. план'!W60</f>
        <v>1313.9134552393255</v>
      </c>
      <c r="F44" s="3526">
        <f>'11. Амортиз. план'!X60</f>
        <v>1376.6547797863541</v>
      </c>
      <c r="G44" s="3526">
        <f>'11. Амортиз. план'!Y60</f>
        <v>1439.4899263979351</v>
      </c>
      <c r="I44" s="4252" t="s">
        <v>1618</v>
      </c>
      <c r="J44" s="4255">
        <f>SUM(J29,J32,J35,J38,J41)</f>
        <v>1062</v>
      </c>
      <c r="K44" s="4255">
        <f t="shared" ref="K44:N44" si="71">SUM(K29,K32,K35,K38,K41)</f>
        <v>558.99999999999989</v>
      </c>
      <c r="L44" s="4255">
        <f t="shared" si="71"/>
        <v>558.99999999999989</v>
      </c>
      <c r="M44" s="4255">
        <f t="shared" si="71"/>
        <v>558.99999999999989</v>
      </c>
      <c r="N44" s="4255">
        <f t="shared" si="71"/>
        <v>558.99999999999989</v>
      </c>
      <c r="O44" s="4255">
        <f t="shared" si="70"/>
        <v>3298</v>
      </c>
      <c r="P44" s="4256">
        <f t="shared" si="36"/>
        <v>7.7965578082384968E-2</v>
      </c>
      <c r="Q44" s="4257"/>
      <c r="S44" s="2" t="s">
        <v>1683</v>
      </c>
      <c r="T44" s="11"/>
      <c r="U44" s="11"/>
      <c r="V44" s="11"/>
      <c r="W44" s="11"/>
      <c r="X44" s="11"/>
      <c r="Y44" s="11"/>
      <c r="Z44" s="11"/>
      <c r="AA44" s="11"/>
      <c r="AK44" s="3294"/>
      <c r="AL44" s="3294"/>
      <c r="AM44" s="3294"/>
      <c r="AN44" s="3294"/>
      <c r="AO44" s="3294"/>
      <c r="AP44" s="3294"/>
      <c r="AQ44" s="3294"/>
      <c r="AR44" s="4216"/>
    </row>
    <row r="45" spans="1:44" ht="15.75" customHeight="1">
      <c r="A45" s="4234" t="s">
        <v>222</v>
      </c>
      <c r="B45" s="3526">
        <f>'11. Амортиз. план'!S85</f>
        <v>591</v>
      </c>
      <c r="C45" s="3526">
        <f>'11. Амортиз. план'!U85</f>
        <v>564.16867182295755</v>
      </c>
      <c r="D45" s="3526">
        <f>'11. Амортиз. план'!V85</f>
        <v>510.43135114420704</v>
      </c>
      <c r="E45" s="3526">
        <f>'11. Амортиз. план'!W85</f>
        <v>455.75321142734117</v>
      </c>
      <c r="F45" s="3526">
        <f>'11. Амортиз. план'!X85</f>
        <v>400.67855354697923</v>
      </c>
      <c r="G45" s="3526">
        <f>'11. Амортиз. план'!Y85</f>
        <v>345.51007360206484</v>
      </c>
      <c r="S45" s="5460" t="s">
        <v>1668</v>
      </c>
      <c r="T45" s="5460" t="s">
        <v>209</v>
      </c>
      <c r="U45" s="5460"/>
      <c r="V45" s="5460"/>
      <c r="W45" s="5460"/>
      <c r="X45" s="5460"/>
      <c r="Y45" s="5460"/>
      <c r="Z45" s="5404" t="str">
        <f>+Z24</f>
        <v>Изменение 2027 г. спр. 2024 г.</v>
      </c>
      <c r="AA45" s="5404" t="str">
        <f>+AA24</f>
        <v>Изменение 2031 г. спр. 2027 г.</v>
      </c>
      <c r="AK45" s="2" t="s">
        <v>1013</v>
      </c>
      <c r="AR45" s="4216"/>
    </row>
    <row r="46" spans="1:44" ht="15.75" customHeight="1">
      <c r="A46" s="5468" t="s">
        <v>1659</v>
      </c>
      <c r="B46" s="5469"/>
      <c r="C46" s="5469"/>
      <c r="D46" s="5469"/>
      <c r="E46" s="5469"/>
      <c r="F46" s="5469"/>
      <c r="G46" s="5470"/>
      <c r="I46" s="1301" t="s">
        <v>1637</v>
      </c>
      <c r="J46" s="4258"/>
      <c r="K46" s="1300"/>
      <c r="L46" s="1300"/>
      <c r="M46" s="1300"/>
      <c r="N46" s="1300"/>
      <c r="O46" s="1300"/>
      <c r="P46" s="3393" t="s">
        <v>1636</v>
      </c>
      <c r="Q46" s="3393"/>
      <c r="S46" s="5460"/>
      <c r="T46" s="4214" t="str">
        <f t="shared" ref="T46:Y46" si="72">T25</f>
        <v>2024 г.</v>
      </c>
      <c r="U46" s="4214" t="str">
        <f t="shared" si="72"/>
        <v>2027 г.</v>
      </c>
      <c r="V46" s="4214" t="str">
        <f t="shared" si="72"/>
        <v>2028 г.</v>
      </c>
      <c r="W46" s="4214" t="str">
        <f t="shared" si="72"/>
        <v>2029 г.</v>
      </c>
      <c r="X46" s="4214" t="str">
        <f t="shared" si="72"/>
        <v>2030 г.</v>
      </c>
      <c r="Y46" s="4214" t="str">
        <f t="shared" si="72"/>
        <v>2031 г.</v>
      </c>
      <c r="Z46" s="5404"/>
      <c r="AA46" s="5404"/>
      <c r="AK46" s="3433" t="s">
        <v>87</v>
      </c>
      <c r="AL46" s="3431" t="s">
        <v>166</v>
      </c>
      <c r="AM46" s="4224" t="s">
        <v>1778</v>
      </c>
      <c r="AN46" s="4224" t="s">
        <v>1779</v>
      </c>
      <c r="AO46" s="4224" t="s">
        <v>1780</v>
      </c>
      <c r="AP46" s="4224" t="s">
        <v>1781</v>
      </c>
      <c r="AQ46" s="4224" t="s">
        <v>1782</v>
      </c>
      <c r="AR46" s="4216"/>
    </row>
    <row r="47" spans="1:44" ht="15.75" customHeight="1">
      <c r="A47" s="4228" t="s">
        <v>334</v>
      </c>
      <c r="B47" s="3644">
        <f>'11. Амортиз. план'!S111</f>
        <v>611</v>
      </c>
      <c r="C47" s="3644">
        <f>'11. Амортиз. план'!U111</f>
        <v>2172.2228773333331</v>
      </c>
      <c r="D47" s="3644">
        <f>'11. Амортиз. план'!V111</f>
        <v>4758.3352986666669</v>
      </c>
      <c r="E47" s="3644">
        <f>'11. Амортиз. план'!W111</f>
        <v>7234.7810533333331</v>
      </c>
      <c r="F47" s="3644">
        <f>'11. Амортиз. план'!X111</f>
        <v>7548.5143866666667</v>
      </c>
      <c r="G47" s="3644">
        <f>'11. Амортиз. план'!Y111</f>
        <v>7869.1810533333337</v>
      </c>
      <c r="I47" s="4218" t="s">
        <v>1495</v>
      </c>
      <c r="J47" s="4218" t="str">
        <f>+'15. ОПП'!$C$7</f>
        <v>2027 г.</v>
      </c>
      <c r="K47" s="4218" t="str">
        <f>+'15. ОПП'!$D$7</f>
        <v>2028 г.</v>
      </c>
      <c r="L47" s="4218" t="str">
        <f>+'15. ОПП'!$E$7</f>
        <v>2029 г.</v>
      </c>
      <c r="M47" s="4218" t="str">
        <f>+'15. ОПП'!$F$7</f>
        <v>2030 г.</v>
      </c>
      <c r="N47" s="4218" t="str">
        <f>+'15. ОПП'!$G$7</f>
        <v>2031 г.</v>
      </c>
      <c r="O47" s="4219" t="s">
        <v>1595</v>
      </c>
      <c r="P47" s="4218" t="s">
        <v>1596</v>
      </c>
      <c r="Q47" s="4244"/>
      <c r="S47" s="4229" t="s">
        <v>226</v>
      </c>
      <c r="T47" s="3526">
        <f>'12. Разходи'!S11</f>
        <v>709.40380443079994</v>
      </c>
      <c r="U47" s="3526">
        <f>'12. Разходи'!T11</f>
        <v>820.05378428080007</v>
      </c>
      <c r="V47" s="3526">
        <f>'12. Разходи'!U11</f>
        <v>824.42270028080009</v>
      </c>
      <c r="W47" s="3526">
        <f>'12. Разходи'!V11</f>
        <v>828.53615736079996</v>
      </c>
      <c r="X47" s="3526">
        <f>'12. Разходи'!W11</f>
        <v>942.89043443840046</v>
      </c>
      <c r="Y47" s="3526">
        <f>'12. Разходи'!X11</f>
        <v>945.78921185746424</v>
      </c>
      <c r="Z47" s="4227">
        <f>IFERROR((U47-T47)/T47,0)</f>
        <v>0.15597601698623775</v>
      </c>
      <c r="AA47" s="4227">
        <f t="shared" ref="AA47:AA57" si="73">IFERROR((Y47-U47)/U47,0)</f>
        <v>0.15332583055748727</v>
      </c>
      <c r="AK47" s="3394" t="s">
        <v>324</v>
      </c>
      <c r="AL47" s="3458" t="s">
        <v>170</v>
      </c>
      <c r="AM47" s="3468">
        <f>'19. HB'!D11</f>
        <v>0.1</v>
      </c>
      <c r="AN47" s="3468">
        <f>'19. HB'!E11</f>
        <v>0.1</v>
      </c>
      <c r="AO47" s="3468">
        <f>'19. HB'!F11</f>
        <v>0.1</v>
      </c>
      <c r="AP47" s="3468">
        <f>'19. HB'!G11</f>
        <v>0.1</v>
      </c>
      <c r="AQ47" s="3468">
        <f>'19. HB'!H11</f>
        <v>0.1</v>
      </c>
      <c r="AR47" s="4216"/>
    </row>
    <row r="48" spans="1:44" ht="15.75" customHeight="1">
      <c r="A48" s="4230" t="s">
        <v>218</v>
      </c>
      <c r="B48" s="4231">
        <f>'11. Амортиз. план'!S131</f>
        <v>44</v>
      </c>
      <c r="C48" s="4231">
        <f>'11. Амортиз. план'!U131</f>
        <v>82.981060313571732</v>
      </c>
      <c r="D48" s="4231">
        <f>'11. Амортиз. план'!V131</f>
        <v>169.71128294947394</v>
      </c>
      <c r="E48" s="4231">
        <f>'11. Амортиз. план'!W131</f>
        <v>280.70713722190305</v>
      </c>
      <c r="F48" s="4231">
        <f>'11. Амортиз. план'!X131</f>
        <v>339.43718506616591</v>
      </c>
      <c r="G48" s="4231">
        <f>'11. Амортиз. план'!Y131</f>
        <v>349.97266640021132</v>
      </c>
      <c r="I48" s="4234" t="s">
        <v>1638</v>
      </c>
      <c r="J48" s="3526">
        <f>SUM('9.Инвестиционна програма'!I12:I15)</f>
        <v>15</v>
      </c>
      <c r="K48" s="3526">
        <f>SUM('9.Инвестиционна програма'!J12:J15)</f>
        <v>0</v>
      </c>
      <c r="L48" s="3526">
        <f>SUM('9.Инвестиционна програма'!K12:K15)</f>
        <v>0</v>
      </c>
      <c r="M48" s="3526">
        <f>SUM('9.Инвестиционна програма'!L12:L15)</f>
        <v>2</v>
      </c>
      <c r="N48" s="3526">
        <f>SUM('9.Инвестиционна програма'!M12:M15)</f>
        <v>26</v>
      </c>
      <c r="O48" s="3644">
        <f>SUM(J48:N48)</f>
        <v>43</v>
      </c>
      <c r="P48" s="4259">
        <f t="shared" ref="P48:P88" si="74">IFERROR(O48/$O$88,0)</f>
        <v>1.0165311878540188E-3</v>
      </c>
      <c r="Q48" s="4260"/>
      <c r="S48" s="4229" t="s">
        <v>239</v>
      </c>
      <c r="T48" s="3526">
        <f>'12. Разходи'!S29</f>
        <v>281.67176000000001</v>
      </c>
      <c r="U48" s="3526">
        <f>'12. Разходи'!T29</f>
        <v>431.22528799999998</v>
      </c>
      <c r="V48" s="3526">
        <f>'12. Разходи'!U29</f>
        <v>449.8547524</v>
      </c>
      <c r="W48" s="3526">
        <f>'12. Разходи'!V29</f>
        <v>467.76039497200003</v>
      </c>
      <c r="X48" s="3526">
        <f>'12. Разходи'!W29</f>
        <v>410.83717862256003</v>
      </c>
      <c r="Y48" s="3526">
        <f>'12. Разходи'!X29</f>
        <v>368.55604729275763</v>
      </c>
      <c r="Z48" s="4227">
        <f t="shared" ref="Z48:Z63" si="75">IFERROR((U48-T48)/T48,0)</f>
        <v>0.53094966992786197</v>
      </c>
      <c r="AA48" s="4227">
        <f t="shared" si="73"/>
        <v>-0.14532830622688889</v>
      </c>
      <c r="AK48" s="3394" t="s">
        <v>923</v>
      </c>
      <c r="AL48" s="3458" t="s">
        <v>170</v>
      </c>
      <c r="AM48" s="3439">
        <f>'19. HB'!D12</f>
        <v>0.1057</v>
      </c>
      <c r="AN48" s="3439">
        <f>'19. HB'!E12</f>
        <v>0.1057</v>
      </c>
      <c r="AO48" s="3439">
        <f>'19. HB'!F12</f>
        <v>0.1057</v>
      </c>
      <c r="AP48" s="3439">
        <f>'19. HB'!G12</f>
        <v>0.1057</v>
      </c>
      <c r="AQ48" s="3439">
        <f>'19. HB'!H12</f>
        <v>0.1057</v>
      </c>
      <c r="AR48" s="4216"/>
    </row>
    <row r="49" spans="1:44" ht="15.75" customHeight="1">
      <c r="A49" s="4234" t="s">
        <v>220</v>
      </c>
      <c r="B49" s="3526">
        <f>'11. Амортиз. план'!S151</f>
        <v>126</v>
      </c>
      <c r="C49" s="3526">
        <f>'11. Амортиз. план'!U151</f>
        <v>262.59457593857172</v>
      </c>
      <c r="D49" s="3526">
        <f>'11. Амортиз. план'!V151</f>
        <v>432.30585888804569</v>
      </c>
      <c r="E49" s="3526">
        <f>'11. Амортиз. план'!W151</f>
        <v>713.01299610994874</v>
      </c>
      <c r="F49" s="3526">
        <f>'11. Амортиз. план'!X151</f>
        <v>1052.4501811761147</v>
      </c>
      <c r="G49" s="3526">
        <f>'11. Амортиз. план'!Y151</f>
        <v>1402.4228475763261</v>
      </c>
      <c r="I49" s="4234" t="s">
        <v>357</v>
      </c>
      <c r="J49" s="3526">
        <f>'9.Инвестиционна програма'!I16</f>
        <v>1021.859236</v>
      </c>
      <c r="K49" s="3526">
        <f>'9.Инвестиционна програма'!J16</f>
        <v>1745.718472</v>
      </c>
      <c r="L49" s="3526">
        <f>'9.Инвестиционна програма'!K16</f>
        <v>1783.718472</v>
      </c>
      <c r="M49" s="3526">
        <f>'9.Инвестиционна програма'!L16</f>
        <v>300</v>
      </c>
      <c r="N49" s="3526">
        <f>'9.Инвестиционна програма'!M16</f>
        <v>300</v>
      </c>
      <c r="O49" s="3644">
        <f t="shared" ref="O49:O72" si="76">SUM(J49:N49)</f>
        <v>5151.2961799999994</v>
      </c>
      <c r="P49" s="4259">
        <f t="shared" si="74"/>
        <v>0.12177798197309926</v>
      </c>
      <c r="Q49" s="4260"/>
      <c r="S49" s="4229" t="s">
        <v>446</v>
      </c>
      <c r="T49" s="3526">
        <f>'12. Разходи'!S55</f>
        <v>148.66666666666669</v>
      </c>
      <c r="U49" s="3526">
        <f>'12. Разходи'!T55</f>
        <v>467.15880776144741</v>
      </c>
      <c r="V49" s="3526">
        <f>'12. Разходи'!U55</f>
        <v>547.73527029489117</v>
      </c>
      <c r="W49" s="3526">
        <f>'12. Разходи'!V55</f>
        <v>495.01194360543548</v>
      </c>
      <c r="X49" s="3526">
        <f>'12. Разходи'!W55</f>
        <v>564.62850961319441</v>
      </c>
      <c r="Y49" s="3526">
        <f>'12. Разходи'!X55</f>
        <v>599.9278130117923</v>
      </c>
      <c r="Z49" s="4227">
        <f t="shared" si="75"/>
        <v>2.1423238190231886</v>
      </c>
      <c r="AA49" s="4227">
        <f t="shared" si="73"/>
        <v>0.28420529174340814</v>
      </c>
      <c r="AK49" s="3394" t="s">
        <v>1702</v>
      </c>
      <c r="AL49" s="3458" t="s">
        <v>170</v>
      </c>
      <c r="AM49" s="3439">
        <f>'19. HB'!D13</f>
        <v>3.9399999999999998E-2</v>
      </c>
      <c r="AN49" s="3439">
        <f>'19. HB'!E13</f>
        <v>3.9399999999999998E-2</v>
      </c>
      <c r="AO49" s="3439">
        <f>'19. HB'!F13</f>
        <v>3.9399999999999998E-2</v>
      </c>
      <c r="AP49" s="3439">
        <f>'19. HB'!G13</f>
        <v>3.9399999999999998E-2</v>
      </c>
      <c r="AQ49" s="3439">
        <f>'19. HB'!H13</f>
        <v>3.9399999999999998E-2</v>
      </c>
      <c r="AR49" s="4216"/>
    </row>
    <row r="50" spans="1:44" ht="15.75" customHeight="1">
      <c r="A50" s="4234" t="s">
        <v>222</v>
      </c>
      <c r="B50" s="3526">
        <f>'11. Амортиз. план'!S171</f>
        <v>485</v>
      </c>
      <c r="C50" s="3526">
        <f>'11. Амортиз. план'!U171</f>
        <v>1909.6283013947614</v>
      </c>
      <c r="D50" s="3526">
        <f>'11. Амортиз. план'!V171</f>
        <v>4326.0294397786201</v>
      </c>
      <c r="E50" s="3526">
        <f>'11. Амортиз. план'!W171</f>
        <v>6521.7680572233849</v>
      </c>
      <c r="F50" s="3526">
        <f>'11. Амортиз. план'!X171</f>
        <v>6496.064205490552</v>
      </c>
      <c r="G50" s="3526">
        <f>'11. Амортиз. план'!Y171</f>
        <v>6466.7582057570071</v>
      </c>
      <c r="I50" s="4234" t="s">
        <v>1597</v>
      </c>
      <c r="J50" s="3526">
        <f>'9.Инвестиционна програма'!I17</f>
        <v>1710.5689179999999</v>
      </c>
      <c r="K50" s="3526">
        <f>'9.Инвестиционна програма'!J17</f>
        <v>3421.1378359999999</v>
      </c>
      <c r="L50" s="3526">
        <f>'9.Инвестиционна програма'!K17</f>
        <v>3227.1378359999999</v>
      </c>
      <c r="M50" s="3526">
        <f>'9.Инвестиционна програма'!L17</f>
        <v>0</v>
      </c>
      <c r="N50" s="3526">
        <f>'9.Инвестиционна програма'!M17</f>
        <v>0</v>
      </c>
      <c r="O50" s="3644">
        <f t="shared" si="76"/>
        <v>8358.8445900000006</v>
      </c>
      <c r="P50" s="4259">
        <f t="shared" si="74"/>
        <v>0.19760526093394973</v>
      </c>
      <c r="Q50" s="4260"/>
      <c r="S50" s="4235" t="s">
        <v>447</v>
      </c>
      <c r="T50" s="4231">
        <f>'12. Разходи'!S56</f>
        <v>52</v>
      </c>
      <c r="U50" s="4231">
        <f>'12. Разходи'!T56</f>
        <v>59.827747447875652</v>
      </c>
      <c r="V50" s="4231">
        <f>'12. Разходи'!U56</f>
        <v>61.403987345417235</v>
      </c>
      <c r="W50" s="4231">
        <f>'12. Разходи'!V56</f>
        <v>62.344806383532394</v>
      </c>
      <c r="X50" s="4231">
        <f>'12. Разходи'!W56</f>
        <v>62.741324547028569</v>
      </c>
      <c r="Y50" s="4231">
        <f>'12. Разходи'!X56</f>
        <v>62.835146611581031</v>
      </c>
      <c r="Z50" s="4227">
        <f t="shared" si="75"/>
        <v>0.15053360476683947</v>
      </c>
      <c r="AA50" s="4227">
        <f t="shared" si="73"/>
        <v>5.0267631525414642E-2</v>
      </c>
      <c r="AK50" s="3394" t="s">
        <v>325</v>
      </c>
      <c r="AL50" s="3458" t="s">
        <v>170</v>
      </c>
      <c r="AM50" s="3523">
        <f>'19. HB'!D14</f>
        <v>0.5</v>
      </c>
      <c r="AN50" s="3523">
        <f>'19. HB'!E14</f>
        <v>0.5</v>
      </c>
      <c r="AO50" s="3523">
        <f>'19. HB'!F14</f>
        <v>0.5</v>
      </c>
      <c r="AP50" s="3523">
        <f>'19. HB'!G14</f>
        <v>0.5</v>
      </c>
      <c r="AQ50" s="3523">
        <f>'19. HB'!H14</f>
        <v>0.5</v>
      </c>
      <c r="AR50" s="4216"/>
    </row>
    <row r="51" spans="1:44" ht="15.75" customHeight="1">
      <c r="A51" s="5468" t="s">
        <v>1660</v>
      </c>
      <c r="B51" s="5469"/>
      <c r="C51" s="5469"/>
      <c r="D51" s="5469"/>
      <c r="E51" s="5469"/>
      <c r="F51" s="5469"/>
      <c r="G51" s="5469"/>
      <c r="I51" s="4234" t="s">
        <v>1598</v>
      </c>
      <c r="J51" s="3526">
        <f>SUM('9.Инвестиционна програма'!I18:I21)</f>
        <v>131</v>
      </c>
      <c r="K51" s="3526">
        <f>SUM('9.Инвестиционна програма'!J18:J21)</f>
        <v>51</v>
      </c>
      <c r="L51" s="3526">
        <f>SUM('9.Инвестиционна програма'!K18:K21)</f>
        <v>139</v>
      </c>
      <c r="M51" s="3526">
        <f>SUM('9.Инвестиционна програма'!L18:L21)</f>
        <v>149</v>
      </c>
      <c r="N51" s="3526">
        <f>SUM('9.Инвестиционна програма'!M18:M21)</f>
        <v>142</v>
      </c>
      <c r="O51" s="3644">
        <f t="shared" si="76"/>
        <v>612</v>
      </c>
      <c r="P51" s="4259">
        <f t="shared" si="74"/>
        <v>1.4467839231782778E-2</v>
      </c>
      <c r="Q51" s="4260"/>
      <c r="S51" s="4235" t="s">
        <v>736</v>
      </c>
      <c r="T51" s="4231">
        <f>'12. Разходи'!S57</f>
        <v>28</v>
      </c>
      <c r="U51" s="4231">
        <f>'12. Разходи'!T57</f>
        <v>82.981060313571732</v>
      </c>
      <c r="V51" s="4231">
        <f>'12. Разходи'!U57</f>
        <v>169.71128294947394</v>
      </c>
      <c r="W51" s="4231">
        <f>'12. Разходи'!V57</f>
        <v>280.70713722190305</v>
      </c>
      <c r="X51" s="4231">
        <f>'12. Разходи'!W57</f>
        <v>339.43718506616591</v>
      </c>
      <c r="Y51" s="4231">
        <f>'12. Разходи'!X57</f>
        <v>349.97266640021132</v>
      </c>
      <c r="Z51" s="4227">
        <f t="shared" si="75"/>
        <v>1.9636092969132761</v>
      </c>
      <c r="AA51" s="4227">
        <f t="shared" si="73"/>
        <v>3.2175005366010314</v>
      </c>
      <c r="AK51" s="3394" t="s">
        <v>326</v>
      </c>
      <c r="AL51" s="3458" t="s">
        <v>170</v>
      </c>
      <c r="AM51" s="3523">
        <f>'19. HB'!D15</f>
        <v>0.5</v>
      </c>
      <c r="AN51" s="3523">
        <f>'19. HB'!E15</f>
        <v>0.5</v>
      </c>
      <c r="AO51" s="3523">
        <f>'19. HB'!F15</f>
        <v>0.5</v>
      </c>
      <c r="AP51" s="3523">
        <f>'19. HB'!G15</f>
        <v>0.5</v>
      </c>
      <c r="AQ51" s="3523">
        <f>'19. HB'!H15</f>
        <v>0.5</v>
      </c>
      <c r="AR51" s="4216"/>
    </row>
    <row r="52" spans="1:44" ht="13.5" customHeight="1">
      <c r="A52" s="4228" t="s">
        <v>334</v>
      </c>
      <c r="B52" s="3644">
        <f>'11. Амортиз. план'!S192</f>
        <v>72316</v>
      </c>
      <c r="C52" s="3644">
        <f>'11. Амортиз. план'!U192</f>
        <v>72316</v>
      </c>
      <c r="D52" s="3644">
        <f>'11. Амортиз. план'!V192</f>
        <v>72316</v>
      </c>
      <c r="E52" s="3644">
        <f>'11. Амортиз. план'!W192</f>
        <v>72316</v>
      </c>
      <c r="F52" s="3644">
        <f>'11. Амортиз. план'!X192</f>
        <v>72316</v>
      </c>
      <c r="G52" s="3644">
        <f>'11. Амортиз. план'!Y192</f>
        <v>72316</v>
      </c>
      <c r="I52" s="4234" t="s">
        <v>1599</v>
      </c>
      <c r="J52" s="3526">
        <f>'9.Инвестиционна програма'!I22</f>
        <v>1630.7177160000001</v>
      </c>
      <c r="K52" s="3526">
        <f>'9.Инвестиционна програма'!J22</f>
        <v>3142.4354320000002</v>
      </c>
      <c r="L52" s="3526">
        <f>'9.Инвестиционна програма'!K22</f>
        <v>3317.4354320000002</v>
      </c>
      <c r="M52" s="3526">
        <f>'9.Инвестиционна програма'!L22</f>
        <v>200</v>
      </c>
      <c r="N52" s="3526">
        <f>'9.Инвестиционна програма'!M22</f>
        <v>200</v>
      </c>
      <c r="O52" s="3644">
        <f t="shared" si="76"/>
        <v>8490.5885799999996</v>
      </c>
      <c r="P52" s="4259">
        <f t="shared" si="74"/>
        <v>0.20071972313505035</v>
      </c>
      <c r="Q52" s="4260"/>
      <c r="S52" s="4235" t="s">
        <v>737</v>
      </c>
      <c r="T52" s="4231">
        <f>'12. Разходи'!S58</f>
        <v>68.666666666666671</v>
      </c>
      <c r="U52" s="4231">
        <f>'12. Разходи'!T58</f>
        <v>324.35000000000002</v>
      </c>
      <c r="V52" s="4231">
        <f>'12. Разходи'!U58</f>
        <v>316.62</v>
      </c>
      <c r="W52" s="4231">
        <f>'12. Разходи'!V58</f>
        <v>151.96</v>
      </c>
      <c r="X52" s="4231">
        <f>'12. Разходи'!W58</f>
        <v>162.44999999999999</v>
      </c>
      <c r="Y52" s="4231">
        <f>'12. Разходи'!X58</f>
        <v>187.12</v>
      </c>
      <c r="Z52" s="4227">
        <f t="shared" si="75"/>
        <v>3.7235436893203882</v>
      </c>
      <c r="AA52" s="4227">
        <f t="shared" si="73"/>
        <v>-0.42309233852320027</v>
      </c>
      <c r="AK52" s="3400" t="s">
        <v>694</v>
      </c>
      <c r="AL52" s="3524" t="s">
        <v>170</v>
      </c>
      <c r="AM52" s="3525">
        <f>'19. HB'!D16</f>
        <v>7.8422222222222226E-2</v>
      </c>
      <c r="AN52" s="3525">
        <f>'19. HB'!E16</f>
        <v>7.8422222222222226E-2</v>
      </c>
      <c r="AO52" s="3525">
        <f>'19. HB'!F16</f>
        <v>7.8422222222222226E-2</v>
      </c>
      <c r="AP52" s="3525">
        <f>'19. HB'!G16</f>
        <v>7.8422222222222226E-2</v>
      </c>
      <c r="AQ52" s="3525">
        <f>'19. HB'!H16</f>
        <v>7.8422222222222226E-2</v>
      </c>
      <c r="AR52" s="4216"/>
    </row>
    <row r="53" spans="1:44" ht="15.75" customHeight="1">
      <c r="A53" s="4230" t="s">
        <v>218</v>
      </c>
      <c r="B53" s="4231">
        <f>'11. Амортиз. план'!S214</f>
        <v>3835</v>
      </c>
      <c r="C53" s="4231">
        <f>'11. Амортиз. план'!U214</f>
        <v>3835</v>
      </c>
      <c r="D53" s="4231">
        <f>'11. Амортиз. план'!V214</f>
        <v>3835</v>
      </c>
      <c r="E53" s="4231">
        <f>'11. Амортиз. план'!W214</f>
        <v>3835</v>
      </c>
      <c r="F53" s="4231">
        <f>'11. Амортиз. план'!X214</f>
        <v>3835</v>
      </c>
      <c r="G53" s="4231">
        <f>'11. Амортиз. план'!Y214</f>
        <v>3835</v>
      </c>
      <c r="I53" s="4234" t="s">
        <v>1600</v>
      </c>
      <c r="J53" s="3526">
        <f>SUM('9.Инвестиционна програма'!I23:I24)</f>
        <v>47</v>
      </c>
      <c r="K53" s="3526">
        <f>SUM('9.Инвестиционна програма'!J23:J24)</f>
        <v>42</v>
      </c>
      <c r="L53" s="3526">
        <f>SUM('9.Инвестиционна програма'!K23:K24)</f>
        <v>43</v>
      </c>
      <c r="M53" s="3526">
        <f>SUM('9.Инвестиционна програма'!L23:L24)</f>
        <v>42</v>
      </c>
      <c r="N53" s="3526">
        <f>SUM('9.Инвестиционна програма'!M23:M24)</f>
        <v>44</v>
      </c>
      <c r="O53" s="3644">
        <f t="shared" si="76"/>
        <v>218</v>
      </c>
      <c r="P53" s="4259">
        <f t="shared" si="74"/>
        <v>5.153576719818048E-3</v>
      </c>
      <c r="Q53" s="4260"/>
      <c r="S53" s="4229" t="s">
        <v>448</v>
      </c>
      <c r="T53" s="3526">
        <f>'12. Разходи'!S59</f>
        <v>695</v>
      </c>
      <c r="U53" s="3526">
        <f>'12. Разходи'!T59</f>
        <v>1015</v>
      </c>
      <c r="V53" s="3526">
        <f>'12. Разходи'!U59</f>
        <v>1136.8000000000002</v>
      </c>
      <c r="W53" s="3526">
        <f>'12. Разходи'!V59</f>
        <v>1273.2160000000001</v>
      </c>
      <c r="X53" s="3526">
        <f>'12. Разходи'!W59</f>
        <v>1464.1984000000002</v>
      </c>
      <c r="Y53" s="3526">
        <f>'12. Разходи'!X59</f>
        <v>1639.9022080000002</v>
      </c>
      <c r="Z53" s="4227">
        <f t="shared" si="75"/>
        <v>0.46043165467625902</v>
      </c>
      <c r="AA53" s="4227">
        <f t="shared" si="73"/>
        <v>0.61566720000000019</v>
      </c>
      <c r="AK53" s="3392" t="s">
        <v>1703</v>
      </c>
      <c r="AL53" s="3386" t="s">
        <v>323</v>
      </c>
      <c r="AM53" s="3526">
        <f>'19. HB'!D17</f>
        <v>1742.5484647694782</v>
      </c>
      <c r="AN53" s="3526">
        <f>'19. HB'!E17</f>
        <v>2428.5584904057778</v>
      </c>
      <c r="AO53" s="3526">
        <f>'19. HB'!F17</f>
        <v>3093.8488640545456</v>
      </c>
      <c r="AP53" s="3526">
        <f>'19. HB'!G17</f>
        <v>3135.6663743007402</v>
      </c>
      <c r="AQ53" s="3526">
        <f>'19. HB'!H17</f>
        <v>3150.4433132735612</v>
      </c>
      <c r="AR53" s="4216"/>
    </row>
    <row r="54" spans="1:44" ht="15.75" customHeight="1">
      <c r="A54" s="4234" t="s">
        <v>220</v>
      </c>
      <c r="B54" s="3526">
        <f>'11. Амортиз. план'!S236</f>
        <v>26724</v>
      </c>
      <c r="C54" s="3526">
        <f>'11. Амортиз. план'!U236</f>
        <v>34394</v>
      </c>
      <c r="D54" s="3526">
        <f>'11. Амортиз. план'!V236</f>
        <v>38229</v>
      </c>
      <c r="E54" s="3526">
        <f>'11. Амортиз. план'!W236</f>
        <v>42064</v>
      </c>
      <c r="F54" s="3526">
        <f>'11. Амортиз. план'!X236</f>
        <v>45899</v>
      </c>
      <c r="G54" s="3526">
        <f>'11. Амортиз. план'!Y236</f>
        <v>49734</v>
      </c>
      <c r="I54" s="4234" t="s">
        <v>1601</v>
      </c>
      <c r="J54" s="3526">
        <f>SUM('9.Инвестиционна програма'!I25:I26)</f>
        <v>4</v>
      </c>
      <c r="K54" s="3526">
        <f>SUM('9.Инвестиционна програма'!J25:J26)</f>
        <v>7</v>
      </c>
      <c r="L54" s="3526">
        <f>SUM('9.Инвестиционна програма'!K25:K26)</f>
        <v>18</v>
      </c>
      <c r="M54" s="3526">
        <f>SUM('9.Инвестиционна програма'!L25:L26)</f>
        <v>17</v>
      </c>
      <c r="N54" s="3526">
        <f>SUM('9.Инвестиционна програма'!M25:M26)</f>
        <v>24</v>
      </c>
      <c r="O54" s="3644">
        <f t="shared" si="76"/>
        <v>70</v>
      </c>
      <c r="P54" s="4259">
        <f t="shared" si="74"/>
        <v>1.6548182127856118E-3</v>
      </c>
      <c r="Q54" s="4260"/>
      <c r="S54" s="4229" t="s">
        <v>449</v>
      </c>
      <c r="T54" s="3526">
        <f>'12. Разходи'!S63</f>
        <v>221</v>
      </c>
      <c r="U54" s="3526">
        <f>'12. Разходи'!T63</f>
        <v>302</v>
      </c>
      <c r="V54" s="3526">
        <f>'12. Разходи'!U63</f>
        <v>325.40000000000003</v>
      </c>
      <c r="W54" s="3526">
        <f>'12. Разходи'!V63</f>
        <v>351.60800000000006</v>
      </c>
      <c r="X54" s="3526">
        <f>'12. Разходи'!W63</f>
        <v>414.29920000000004</v>
      </c>
      <c r="Y54" s="3526">
        <f>'12. Разходи'!X63</f>
        <v>448.05510400000009</v>
      </c>
      <c r="Z54" s="4227">
        <f t="shared" si="75"/>
        <v>0.36651583710407237</v>
      </c>
      <c r="AA54" s="4227">
        <f t="shared" si="73"/>
        <v>0.48362617218543075</v>
      </c>
      <c r="AK54" s="3392" t="s">
        <v>1399</v>
      </c>
      <c r="AL54" s="3386" t="s">
        <v>323</v>
      </c>
      <c r="AM54" s="3526">
        <f>'19. HB'!D18</f>
        <v>205.84973361745818</v>
      </c>
      <c r="AN54" s="3526">
        <f>'19. HB'!E18</f>
        <v>388.02715288311822</v>
      </c>
      <c r="AO54" s="3526">
        <f>'19. HB'!F18</f>
        <v>552.6018346751938</v>
      </c>
      <c r="AP54" s="3526">
        <f>'19. HB'!G18</f>
        <v>570.03423684197503</v>
      </c>
      <c r="AQ54" s="3526">
        <f>'19. HB'!H18</f>
        <v>585.91937601983022</v>
      </c>
      <c r="AR54" s="4216"/>
    </row>
    <row r="55" spans="1:44" ht="15.75" customHeight="1">
      <c r="A55" s="4234" t="s">
        <v>222</v>
      </c>
      <c r="B55" s="3526">
        <f>'11. Амортиз. план'!S258</f>
        <v>45592</v>
      </c>
      <c r="C55" s="3526">
        <f>'11. Амортиз. план'!U258</f>
        <v>37922</v>
      </c>
      <c r="D55" s="3526">
        <f>'11. Амортиз. план'!V258</f>
        <v>34087</v>
      </c>
      <c r="E55" s="3526">
        <f>'11. Амортиз. план'!W258</f>
        <v>30252</v>
      </c>
      <c r="F55" s="3526">
        <f>'11. Амортиз. план'!X258</f>
        <v>26417</v>
      </c>
      <c r="G55" s="3526">
        <f>'11. Амортиз. план'!Y258</f>
        <v>22582</v>
      </c>
      <c r="I55" s="4234" t="s">
        <v>1602</v>
      </c>
      <c r="J55" s="3526">
        <f>SUM('9.Инвестиционна програма'!I27:I28)</f>
        <v>1</v>
      </c>
      <c r="K55" s="3526">
        <f>SUM('9.Инвестиционна програма'!J27:J28)</f>
        <v>0</v>
      </c>
      <c r="L55" s="3526">
        <f>SUM('9.Инвестиционна програма'!K27:K28)</f>
        <v>35</v>
      </c>
      <c r="M55" s="3526">
        <f>SUM('9.Инвестиционна програма'!L27:L28)</f>
        <v>45</v>
      </c>
      <c r="N55" s="3526">
        <f>SUM('9.Инвестиционна програма'!M27:M28)</f>
        <v>52</v>
      </c>
      <c r="O55" s="3644">
        <f t="shared" si="76"/>
        <v>133</v>
      </c>
      <c r="P55" s="4259">
        <f t="shared" si="74"/>
        <v>3.1441546042926625E-3</v>
      </c>
      <c r="Q55" s="4260"/>
      <c r="S55" s="4229" t="s">
        <v>450</v>
      </c>
      <c r="T55" s="3526">
        <f>'12. Разходи'!S70</f>
        <v>54.088151822085202</v>
      </c>
      <c r="U55" s="3526">
        <f>'12. Разходи'!T70</f>
        <v>55.470000000000006</v>
      </c>
      <c r="V55" s="3526">
        <f>'12. Разходи'!U70</f>
        <v>56.144100000000002</v>
      </c>
      <c r="W55" s="3526">
        <f>'12. Разходи'!V70</f>
        <v>56.838422999999999</v>
      </c>
      <c r="X55" s="3526">
        <f>'12. Разходи'!W70</f>
        <v>57.553575690000002</v>
      </c>
      <c r="Y55" s="3526">
        <f>'12. Разходи'!X70</f>
        <v>58.290182960700008</v>
      </c>
      <c r="Z55" s="4227">
        <f t="shared" si="75"/>
        <v>2.5548075343010148E-2</v>
      </c>
      <c r="AA55" s="4227">
        <f t="shared" si="73"/>
        <v>5.0841589340183915E-2</v>
      </c>
      <c r="AK55" s="3392" t="s">
        <v>1400</v>
      </c>
      <c r="AL55" s="3386" t="s">
        <v>323</v>
      </c>
      <c r="AM55" s="3526">
        <f>'19. HB'!D19</f>
        <v>239.07881480409662</v>
      </c>
      <c r="AN55" s="3526">
        <f>'19. HB'!E19</f>
        <v>433.4679959205028</v>
      </c>
      <c r="AO55" s="3526">
        <f>'19. HB'!F19</f>
        <v>612.54398887064997</v>
      </c>
      <c r="AP55" s="3526">
        <f>'19. HB'!G19</f>
        <v>614.86752169523368</v>
      </c>
      <c r="AQ55" s="3526">
        <f>'19. HB'!H19</f>
        <v>611.28024580849979</v>
      </c>
      <c r="AR55" s="4216"/>
    </row>
    <row r="56" spans="1:44" ht="15.75" customHeight="1">
      <c r="A56" s="2" t="s">
        <v>1667</v>
      </c>
      <c r="B56" s="11"/>
      <c r="C56" s="11"/>
      <c r="D56" s="11"/>
      <c r="E56" s="11"/>
      <c r="F56" s="11"/>
      <c r="G56" s="3393" t="s">
        <v>1636</v>
      </c>
      <c r="I56" s="4234" t="s">
        <v>1603</v>
      </c>
      <c r="J56" s="3526">
        <f>'9.Инвестиционна програма'!I29</f>
        <v>2</v>
      </c>
      <c r="K56" s="3526">
        <f>'9.Инвестиционна програма'!J29</f>
        <v>30</v>
      </c>
      <c r="L56" s="3526">
        <f>'9.Инвестиционна програма'!K29</f>
        <v>2</v>
      </c>
      <c r="M56" s="3526">
        <f>'9.Инвестиционна програма'!L29</f>
        <v>88</v>
      </c>
      <c r="N56" s="3526">
        <f>'9.Инвестиционна програма'!M29</f>
        <v>16</v>
      </c>
      <c r="O56" s="3644">
        <f t="shared" si="76"/>
        <v>138</v>
      </c>
      <c r="P56" s="4259">
        <f t="shared" si="74"/>
        <v>3.2623559052059204E-3</v>
      </c>
      <c r="Q56" s="4260"/>
      <c r="S56" s="4229" t="s">
        <v>267</v>
      </c>
      <c r="T56" s="3526">
        <f>'12. Разходи'!S76</f>
        <v>4</v>
      </c>
      <c r="U56" s="3526">
        <f>'12. Разходи'!T76</f>
        <v>4.28</v>
      </c>
      <c r="V56" s="3526">
        <f>'12. Разходи'!U76</f>
        <v>4.4084000000000003</v>
      </c>
      <c r="W56" s="3526">
        <f>'12. Разходи'!V76</f>
        <v>4.5406520000000006</v>
      </c>
      <c r="X56" s="3526">
        <f>'12. Разходи'!W76</f>
        <v>4.6768715600000004</v>
      </c>
      <c r="Y56" s="3526">
        <f>'12. Разходи'!X76</f>
        <v>4.8171777068000008</v>
      </c>
      <c r="Z56" s="4227">
        <f t="shared" si="75"/>
        <v>7.0000000000000062E-2</v>
      </c>
      <c r="AA56" s="4227">
        <f t="shared" si="73"/>
        <v>0.12550881000000011</v>
      </c>
      <c r="AK56" s="3392" t="s">
        <v>1238</v>
      </c>
      <c r="AL56" s="3386" t="s">
        <v>323</v>
      </c>
      <c r="AM56" s="3526">
        <f>'19. HB'!D20</f>
        <v>0</v>
      </c>
      <c r="AN56" s="3526">
        <f>'19. HB'!E20</f>
        <v>0</v>
      </c>
      <c r="AO56" s="3526">
        <f>'19. HB'!F20</f>
        <v>0</v>
      </c>
      <c r="AP56" s="3526">
        <f>'19. HB'!G20</f>
        <v>0</v>
      </c>
      <c r="AQ56" s="3526">
        <f>'19. HB'!H20</f>
        <v>0</v>
      </c>
      <c r="AR56" s="4216"/>
    </row>
    <row r="57" spans="1:44" ht="12.75" customHeight="1">
      <c r="A57" s="5467" t="s">
        <v>87</v>
      </c>
      <c r="B57" s="5460" t="s">
        <v>1029</v>
      </c>
      <c r="C57" s="5460"/>
      <c r="D57" s="5460"/>
      <c r="E57" s="5460"/>
      <c r="F57" s="5460"/>
      <c r="G57" s="5460"/>
      <c r="I57" s="4230" t="s">
        <v>1604</v>
      </c>
      <c r="J57" s="4231">
        <f>SUM(J48:J56)</f>
        <v>4563.1458700000003</v>
      </c>
      <c r="K57" s="4231">
        <f>SUM(K48:K56)</f>
        <v>8439.2917400000006</v>
      </c>
      <c r="L57" s="4231">
        <f>SUM(L48:L56)</f>
        <v>8565.2917400000006</v>
      </c>
      <c r="M57" s="4231">
        <f>SUM(M48:M56)</f>
        <v>843</v>
      </c>
      <c r="N57" s="4231">
        <f>SUM(N48:N56)</f>
        <v>804</v>
      </c>
      <c r="O57" s="3644">
        <f t="shared" si="76"/>
        <v>23214.729350000001</v>
      </c>
      <c r="P57" s="4261">
        <f t="shared" si="74"/>
        <v>0.54880224190383842</v>
      </c>
      <c r="Q57" s="4262"/>
      <c r="S57" s="4237" t="s">
        <v>277</v>
      </c>
      <c r="T57" s="4238">
        <f>SUM(T47:T49,T53:T56)</f>
        <v>2113.830382919552</v>
      </c>
      <c r="U57" s="4238">
        <f t="shared" ref="U57" si="77">SUM(U47:U49,U53:U56)</f>
        <v>3095.1878800422473</v>
      </c>
      <c r="V57" s="4238">
        <f t="shared" ref="V57" si="78">SUM(V47:V49,V53:V56)</f>
        <v>3344.7652229756914</v>
      </c>
      <c r="W57" s="4238">
        <f t="shared" ref="W57" si="79">SUM(W47:W49,W53:W56)</f>
        <v>3477.5115709382358</v>
      </c>
      <c r="X57" s="4238">
        <f t="shared" ref="X57" si="80">SUM(X47:X49,X53:X56)</f>
        <v>3859.084169924155</v>
      </c>
      <c r="Y57" s="4238">
        <f t="shared" ref="Y57" si="81">SUM(Y47:Y49,Y53:Y56)</f>
        <v>4065.3377448295141</v>
      </c>
      <c r="Z57" s="4239">
        <f t="shared" si="75"/>
        <v>0.46425555477506059</v>
      </c>
      <c r="AA57" s="4239">
        <f t="shared" si="73"/>
        <v>0.31343811826183066</v>
      </c>
      <c r="AK57" s="3392" t="s">
        <v>1704</v>
      </c>
      <c r="AL57" s="3386" t="s">
        <v>323</v>
      </c>
      <c r="AM57" s="3526">
        <f>'19. HB'!D21</f>
        <v>0</v>
      </c>
      <c r="AN57" s="3526">
        <f>'19. HB'!E21</f>
        <v>0</v>
      </c>
      <c r="AO57" s="3526">
        <f>'19. HB'!F21</f>
        <v>0</v>
      </c>
      <c r="AP57" s="3526">
        <f>'19. HB'!G21</f>
        <v>0</v>
      </c>
      <c r="AQ57" s="3526">
        <f>'19. HB'!H21</f>
        <v>0</v>
      </c>
      <c r="AR57" s="4216"/>
    </row>
    <row r="58" spans="1:44" ht="12.75" customHeight="1">
      <c r="A58" s="5467"/>
      <c r="B58" s="4218" t="str">
        <f>+'15. ОПП'!$B$7</f>
        <v>2024 г.</v>
      </c>
      <c r="C58" s="4218" t="str">
        <f>+'15. ОПП'!$C$7</f>
        <v>2027 г.</v>
      </c>
      <c r="D58" s="4218" t="str">
        <f>+'15. ОПП'!$D$7</f>
        <v>2028 г.</v>
      </c>
      <c r="E58" s="4218" t="str">
        <f>+'15. ОПП'!$E$7</f>
        <v>2029 г.</v>
      </c>
      <c r="F58" s="4218" t="str">
        <f>+'15. ОПП'!$F$7</f>
        <v>2030 г.</v>
      </c>
      <c r="G58" s="4218" t="str">
        <f>+'15. ОПП'!$G$7</f>
        <v>2031 г.</v>
      </c>
      <c r="I58" s="4230" t="s">
        <v>1605</v>
      </c>
      <c r="J58" s="4231">
        <f>SUM('9.Инвестиционна програма'!I30:I35)</f>
        <v>990</v>
      </c>
      <c r="K58" s="4231">
        <f>SUM('9.Инвестиционна програма'!J30:J35)</f>
        <v>536</v>
      </c>
      <c r="L58" s="4231">
        <f>SUM('9.Инвестиционна програма'!K30:K35)</f>
        <v>536</v>
      </c>
      <c r="M58" s="4231">
        <f>SUM('9.Инвестиционна програма'!L30:L35)</f>
        <v>536</v>
      </c>
      <c r="N58" s="4231">
        <f>SUM('9.Инвестиционна програма'!M30:M35)</f>
        <v>536</v>
      </c>
      <c r="O58" s="3644">
        <f t="shared" si="76"/>
        <v>3134</v>
      </c>
      <c r="P58" s="4261">
        <f t="shared" si="74"/>
        <v>7.4088575412430108E-2</v>
      </c>
      <c r="Q58" s="4262"/>
      <c r="S58" s="4245" t="str">
        <f>CONCATENATE("Спестявания и увеличения спрямо ",T46," - нето:")</f>
        <v>Спестявания и увеличения спрямо 2024 г. - нето:</v>
      </c>
      <c r="T58" s="4246"/>
      <c r="U58" s="4245">
        <f>U57-$T57</f>
        <v>981.35749712269535</v>
      </c>
      <c r="V58" s="4245">
        <f t="shared" ref="V58" si="82">V57-$T57</f>
        <v>1230.9348400561394</v>
      </c>
      <c r="W58" s="4245">
        <f t="shared" ref="W58" si="83">W57-$T57</f>
        <v>1363.6811880186838</v>
      </c>
      <c r="X58" s="4245">
        <f t="shared" ref="X58" si="84">X57-$T57</f>
        <v>1745.2537870046031</v>
      </c>
      <c r="Y58" s="4245">
        <f t="shared" ref="Y58" si="85">Y57-$T57</f>
        <v>1951.5073619099621</v>
      </c>
      <c r="Z58" s="4246"/>
      <c r="AA58" s="4246"/>
      <c r="AK58" s="3394" t="s">
        <v>327</v>
      </c>
      <c r="AL58" s="3458" t="s">
        <v>323</v>
      </c>
      <c r="AM58" s="3644">
        <f>SUM(AM53:AM57)</f>
        <v>2187.4770131910332</v>
      </c>
      <c r="AN58" s="3644">
        <f t="shared" ref="AN58:AQ58" si="86">SUM(AN53:AN57)</f>
        <v>3250.0536392093986</v>
      </c>
      <c r="AO58" s="3644">
        <f t="shared" si="86"/>
        <v>4258.9946876003896</v>
      </c>
      <c r="AP58" s="3644">
        <f t="shared" si="86"/>
        <v>4320.5681328379487</v>
      </c>
      <c r="AQ58" s="3644">
        <f t="shared" si="86"/>
        <v>4347.6429351018915</v>
      </c>
      <c r="AR58" s="4216"/>
    </row>
    <row r="59" spans="1:44" ht="15.75" customHeight="1">
      <c r="A59" s="5466" t="s">
        <v>1658</v>
      </c>
      <c r="B59" s="5466"/>
      <c r="C59" s="5466"/>
      <c r="D59" s="5466"/>
      <c r="E59" s="5466"/>
      <c r="F59" s="5466"/>
      <c r="G59" s="5466"/>
      <c r="I59" s="3522" t="s">
        <v>207</v>
      </c>
      <c r="J59" s="4238">
        <f>J57+J58</f>
        <v>5553.1458700000003</v>
      </c>
      <c r="K59" s="4238">
        <f>K57+K58</f>
        <v>8975.2917400000006</v>
      </c>
      <c r="L59" s="4238">
        <f>L57+L58</f>
        <v>9101.2917400000006</v>
      </c>
      <c r="M59" s="4238">
        <f>M57+M58</f>
        <v>1379</v>
      </c>
      <c r="N59" s="4238">
        <f>N57+N58</f>
        <v>1340</v>
      </c>
      <c r="O59" s="4238">
        <f>SUM(J59:N59)</f>
        <v>26348.729350000001</v>
      </c>
      <c r="P59" s="4239">
        <f t="shared" si="74"/>
        <v>0.6228908173162685</v>
      </c>
      <c r="Q59" s="4244"/>
      <c r="S59" s="4229" t="s">
        <v>1670</v>
      </c>
      <c r="T59" s="3644">
        <f>'12. Разходи'!S92</f>
        <v>1655</v>
      </c>
      <c r="U59" s="3644">
        <f>'12. Разходи'!T92</f>
        <v>0</v>
      </c>
      <c r="V59" s="3644">
        <f>'12. Разходи'!U92</f>
        <v>0</v>
      </c>
      <c r="W59" s="3644">
        <f>'12. Разходи'!V92</f>
        <v>0</v>
      </c>
      <c r="X59" s="3644">
        <f>'12. Разходи'!W92</f>
        <v>0</v>
      </c>
      <c r="Y59" s="3644">
        <f>'12. Разходи'!X92</f>
        <v>0</v>
      </c>
      <c r="Z59" s="4227">
        <f t="shared" si="75"/>
        <v>-1</v>
      </c>
      <c r="AA59" s="4227">
        <f t="shared" ref="AA59:AA63" si="87">IFERROR((Y59-U59)/U59,0)</f>
        <v>0</v>
      </c>
      <c r="AR59" s="4216"/>
    </row>
    <row r="60" spans="1:44" ht="15.75" customHeight="1">
      <c r="A60" s="4228" t="s">
        <v>334</v>
      </c>
      <c r="B60" s="3644">
        <f>'11. Амортиз. план'!Z10</f>
        <v>0</v>
      </c>
      <c r="C60" s="3644">
        <f>'11. Амортиз. план'!AB10</f>
        <v>0</v>
      </c>
      <c r="D60" s="3644">
        <f>'11. Амортиз. план'!AC10</f>
        <v>0</v>
      </c>
      <c r="E60" s="3644">
        <f>'11. Амортиз. план'!AD10</f>
        <v>0</v>
      </c>
      <c r="F60" s="3644">
        <f>'11. Амортиз. план'!AE10</f>
        <v>0</v>
      </c>
      <c r="G60" s="3644">
        <f>'11. Амортиз. план'!AF10</f>
        <v>0</v>
      </c>
      <c r="I60" s="4234" t="s">
        <v>1606</v>
      </c>
      <c r="J60" s="3526">
        <f>'9.Инвестиционна програма'!I37</f>
        <v>55</v>
      </c>
      <c r="K60" s="3526">
        <f>'9.Инвестиционна програма'!J37</f>
        <v>0</v>
      </c>
      <c r="L60" s="3526">
        <f>'9.Инвестиционна програма'!K37</f>
        <v>0</v>
      </c>
      <c r="M60" s="3526">
        <f>'9.Инвестиционна програма'!L37</f>
        <v>0</v>
      </c>
      <c r="N60" s="3526">
        <f>'9.Инвестиционна програма'!M37</f>
        <v>0</v>
      </c>
      <c r="O60" s="3644">
        <f t="shared" si="76"/>
        <v>55</v>
      </c>
      <c r="P60" s="4259">
        <f t="shared" si="74"/>
        <v>1.3002143100458378E-3</v>
      </c>
      <c r="Q60" s="4260"/>
      <c r="S60" s="4229" t="s">
        <v>1672</v>
      </c>
      <c r="T60" s="3644">
        <f>'12. Разходи'!S93</f>
        <v>310.16371625288525</v>
      </c>
      <c r="U60" s="3644">
        <f>'12. Разходи'!T93</f>
        <v>2628.0290722807999</v>
      </c>
      <c r="V60" s="3644">
        <f>'12. Разходи'!U93</f>
        <v>2797.0299526808003</v>
      </c>
      <c r="W60" s="3644">
        <f>'12. Разходи'!V93</f>
        <v>2982.4996273328002</v>
      </c>
      <c r="X60" s="3644">
        <f>'12. Разходи'!W93</f>
        <v>3294.4556603109604</v>
      </c>
      <c r="Y60" s="3644">
        <f>'12. Разходи'!X93</f>
        <v>3465.4099318177218</v>
      </c>
      <c r="Z60" s="4227">
        <f t="shared" si="75"/>
        <v>7.4730383812466741</v>
      </c>
      <c r="AA60" s="4227">
        <f t="shared" si="87"/>
        <v>0.3186345495067831</v>
      </c>
      <c r="AR60" s="4216"/>
    </row>
    <row r="61" spans="1:44" ht="15.75" customHeight="1">
      <c r="A61" s="4230" t="s">
        <v>218</v>
      </c>
      <c r="B61" s="4231">
        <f>'11. Амортиз. план'!Z35</f>
        <v>0</v>
      </c>
      <c r="C61" s="4231">
        <f>'11. Амортиз. план'!AB35</f>
        <v>0</v>
      </c>
      <c r="D61" s="4231">
        <f>'11. Амортиз. план'!AC35</f>
        <v>0</v>
      </c>
      <c r="E61" s="4231">
        <f>'11. Амортиз. план'!AD35</f>
        <v>0</v>
      </c>
      <c r="F61" s="4231">
        <f>'11. Амортиз. план'!AE35</f>
        <v>0</v>
      </c>
      <c r="G61" s="4231">
        <f>'11. Амортиз. план'!AF35</f>
        <v>0</v>
      </c>
      <c r="I61" s="4234" t="s">
        <v>1607</v>
      </c>
      <c r="J61" s="3526">
        <f>'9.Инвестиционна програма'!I38</f>
        <v>962.26836000000003</v>
      </c>
      <c r="K61" s="3526">
        <f>'9.Инвестиционна програма'!J38</f>
        <v>1924.5367200000001</v>
      </c>
      <c r="L61" s="3526">
        <f>'9.Инвестиционна програма'!K38</f>
        <v>1866.5367200000001</v>
      </c>
      <c r="M61" s="3526">
        <f>'9.Инвестиционна програма'!L38</f>
        <v>0</v>
      </c>
      <c r="N61" s="3526">
        <f>'9.Инвестиционна програма'!M38</f>
        <v>0</v>
      </c>
      <c r="O61" s="3644">
        <f t="shared" si="76"/>
        <v>4753.3418000000001</v>
      </c>
      <c r="P61" s="4259">
        <f t="shared" si="74"/>
        <v>0.11237023688907348</v>
      </c>
      <c r="Q61" s="4260"/>
      <c r="S61" s="4248" t="s">
        <v>1671</v>
      </c>
      <c r="T61" s="3526">
        <f>'12. Разходи'!S94</f>
        <v>102</v>
      </c>
      <c r="U61" s="3526">
        <f>'12. Разходи'!T94</f>
        <v>0</v>
      </c>
      <c r="V61" s="3526">
        <f>'12. Разходи'!U94</f>
        <v>0</v>
      </c>
      <c r="W61" s="3526">
        <f>'12. Разходи'!V94</f>
        <v>0</v>
      </c>
      <c r="X61" s="3526">
        <f>'12. Разходи'!W94</f>
        <v>0</v>
      </c>
      <c r="Y61" s="3526">
        <f>'12. Разходи'!X94</f>
        <v>0</v>
      </c>
      <c r="Z61" s="4227">
        <f t="shared" si="75"/>
        <v>-1</v>
      </c>
      <c r="AA61" s="4227">
        <f t="shared" si="87"/>
        <v>0</v>
      </c>
      <c r="AR61" s="4216"/>
    </row>
    <row r="62" spans="1:44" ht="15.75" customHeight="1">
      <c r="A62" s="4234" t="s">
        <v>220</v>
      </c>
      <c r="B62" s="3526">
        <f>'11. Амортиз. план'!Z60</f>
        <v>0</v>
      </c>
      <c r="C62" s="3526">
        <f>'11. Амортиз. план'!AB60</f>
        <v>0</v>
      </c>
      <c r="D62" s="3526">
        <f>'11. Амортиз. план'!AC60</f>
        <v>0</v>
      </c>
      <c r="E62" s="3526">
        <f>'11. Амортиз. план'!AD60</f>
        <v>0</v>
      </c>
      <c r="F62" s="3526">
        <f>'11. Амортиз. план'!AE60</f>
        <v>0</v>
      </c>
      <c r="G62" s="3526">
        <f>'11. Амортиз. план'!AF60</f>
        <v>0</v>
      </c>
      <c r="I62" s="4234" t="s">
        <v>1608</v>
      </c>
      <c r="J62" s="3526">
        <f>'9.Инвестиционна програма'!I39</f>
        <v>4</v>
      </c>
      <c r="K62" s="3526">
        <f>'9.Инвестиционна програма'!J39</f>
        <v>3</v>
      </c>
      <c r="L62" s="3526">
        <f>'9.Инвестиционна програма'!K39</f>
        <v>6</v>
      </c>
      <c r="M62" s="3526">
        <f>'9.Инвестиционна програма'!L39</f>
        <v>20</v>
      </c>
      <c r="N62" s="3526">
        <f>'9.Инвестиционна програма'!M39</f>
        <v>25</v>
      </c>
      <c r="O62" s="3644">
        <f t="shared" si="76"/>
        <v>58</v>
      </c>
      <c r="P62" s="4259">
        <f t="shared" si="74"/>
        <v>1.3711350905937926E-3</v>
      </c>
      <c r="Q62" s="4244"/>
      <c r="S62" s="4229" t="s">
        <v>1674</v>
      </c>
      <c r="T62" s="3526">
        <f>'12. Разходи'!S90</f>
        <v>71.521940000000001</v>
      </c>
      <c r="U62" s="3526">
        <f>'12. Разходи'!T90</f>
        <v>92.978522000000012</v>
      </c>
      <c r="V62" s="3526">
        <f>'12. Разходи'!U90</f>
        <v>97.627448100000024</v>
      </c>
      <c r="W62" s="3526">
        <f>'12. Разходи'!V90</f>
        <v>100.55627154300001</v>
      </c>
      <c r="X62" s="3526">
        <f>'12. Разходи'!W90</f>
        <v>98.545146112140046</v>
      </c>
      <c r="Y62" s="3526">
        <f>'12. Разходи'!X90</f>
        <v>94.603340267654403</v>
      </c>
      <c r="Z62" s="4227">
        <f t="shared" si="75"/>
        <v>0.30000000000000016</v>
      </c>
      <c r="AA62" s="4227">
        <f t="shared" si="87"/>
        <v>1.7475199999999896E-2</v>
      </c>
      <c r="AR62" s="4216"/>
    </row>
    <row r="63" spans="1:44" ht="14.25" customHeight="1">
      <c r="A63" s="4234" t="s">
        <v>222</v>
      </c>
      <c r="B63" s="3526">
        <f>'11. Амортиз. план'!Z85</f>
        <v>0</v>
      </c>
      <c r="C63" s="3526">
        <f>'11. Амортиз. план'!AB85</f>
        <v>0</v>
      </c>
      <c r="D63" s="3526">
        <f>'11. Амортиз. план'!AC85</f>
        <v>0</v>
      </c>
      <c r="E63" s="3526">
        <f>'11. Амортиз. план'!AD85</f>
        <v>0</v>
      </c>
      <c r="F63" s="3526">
        <f>'11. Амортиз. план'!AE85</f>
        <v>0</v>
      </c>
      <c r="G63" s="3526">
        <f>'11. Амортиз. план'!AF85</f>
        <v>0</v>
      </c>
      <c r="I63" s="4234" t="s">
        <v>1575</v>
      </c>
      <c r="J63" s="3526">
        <f>'9.Инвестиционна програма'!I40</f>
        <v>0</v>
      </c>
      <c r="K63" s="3526">
        <f>'9.Инвестиционна програма'!J40</f>
        <v>0</v>
      </c>
      <c r="L63" s="3526">
        <f>'9.Инвестиционна програма'!K40</f>
        <v>0</v>
      </c>
      <c r="M63" s="3526">
        <f>'9.Инвестиционна програма'!L40</f>
        <v>0</v>
      </c>
      <c r="N63" s="3526">
        <f>'9.Инвестиционна програма'!M40</f>
        <v>0</v>
      </c>
      <c r="O63" s="3644">
        <f t="shared" si="76"/>
        <v>0</v>
      </c>
      <c r="P63" s="4259">
        <f t="shared" si="74"/>
        <v>0</v>
      </c>
      <c r="Q63" s="4244"/>
      <c r="S63" s="4229" t="s">
        <v>1232</v>
      </c>
      <c r="T63" s="3526">
        <f>'12. Разходи'!S89</f>
        <v>802.88555625288518</v>
      </c>
      <c r="U63" s="3526">
        <f>'12. Разходи'!T89</f>
        <v>1030.8874642808</v>
      </c>
      <c r="V63" s="3526">
        <f>'12. Разходи'!U89</f>
        <v>1044.4048642808</v>
      </c>
      <c r="W63" s="3526">
        <f>'12. Разходи'!V89</f>
        <v>1058.5377862808</v>
      </c>
      <c r="X63" s="3526">
        <f>'12. Разходи'!W89</f>
        <v>1112.9270579800002</v>
      </c>
      <c r="Y63" s="3526">
        <f>'12. Разходи'!X89</f>
        <v>1072.3017836798001</v>
      </c>
      <c r="Z63" s="4227">
        <f t="shared" si="75"/>
        <v>0.28397809158756493</v>
      </c>
      <c r="AA63" s="4227">
        <f t="shared" si="87"/>
        <v>4.0173462995684819E-2</v>
      </c>
      <c r="AR63" s="4216"/>
    </row>
    <row r="64" spans="1:44" ht="20.25" customHeight="1">
      <c r="A64" s="5466" t="s">
        <v>1659</v>
      </c>
      <c r="B64" s="5466"/>
      <c r="C64" s="5466"/>
      <c r="D64" s="5466"/>
      <c r="E64" s="5466"/>
      <c r="F64" s="5466"/>
      <c r="G64" s="5466"/>
      <c r="I64" s="4234" t="s">
        <v>1609</v>
      </c>
      <c r="J64" s="3526">
        <f>'9.Инвестиционна програма'!I42</f>
        <v>0</v>
      </c>
      <c r="K64" s="3526">
        <f>'9.Инвестиционна програма'!J42</f>
        <v>0</v>
      </c>
      <c r="L64" s="3526">
        <f>'9.Инвестиционна програма'!K42</f>
        <v>0</v>
      </c>
      <c r="M64" s="3526">
        <f>'9.Инвестиционна програма'!L42</f>
        <v>0</v>
      </c>
      <c r="N64" s="3526">
        <f>'9.Инвестиционна програма'!M42</f>
        <v>0</v>
      </c>
      <c r="O64" s="3644">
        <f t="shared" si="76"/>
        <v>0</v>
      </c>
      <c r="P64" s="4259">
        <f t="shared" si="74"/>
        <v>0</v>
      </c>
      <c r="Q64" s="4244"/>
      <c r="T64" s="11"/>
      <c r="U64" s="11"/>
      <c r="V64" s="11"/>
      <c r="W64" s="11"/>
      <c r="X64" s="11"/>
      <c r="Y64" s="11"/>
      <c r="Z64" s="11"/>
      <c r="AA64" s="11"/>
      <c r="AR64" s="4216"/>
    </row>
    <row r="65" spans="1:44" ht="15.75" customHeight="1">
      <c r="A65" s="4228" t="s">
        <v>334</v>
      </c>
      <c r="B65" s="3644">
        <f>'11. Амортиз. план'!Z111</f>
        <v>0</v>
      </c>
      <c r="C65" s="3644">
        <f>'11. Амортиз. план'!AB111</f>
        <v>0</v>
      </c>
      <c r="D65" s="3644">
        <f>'11. Амортиз. план'!AC111</f>
        <v>0</v>
      </c>
      <c r="E65" s="3644">
        <f>'11. Амортиз. план'!AD111</f>
        <v>0</v>
      </c>
      <c r="F65" s="3644">
        <f>'11. Амортиз. план'!AE111</f>
        <v>0</v>
      </c>
      <c r="G65" s="3644">
        <f>'11. Амортиз. план'!AF111</f>
        <v>0</v>
      </c>
      <c r="I65" s="4234" t="s">
        <v>1603</v>
      </c>
      <c r="J65" s="3526">
        <f>'9.Инвестиционна програма'!I41</f>
        <v>0</v>
      </c>
      <c r="K65" s="3526">
        <f>'9.Инвестиционна програма'!J41</f>
        <v>0</v>
      </c>
      <c r="L65" s="3526">
        <f>'9.Инвестиционна програма'!K41</f>
        <v>0</v>
      </c>
      <c r="M65" s="3526">
        <f>'9.Инвестиционна програма'!L41</f>
        <v>0</v>
      </c>
      <c r="N65" s="3526">
        <f>'9.Инвестиционна програма'!M41</f>
        <v>0</v>
      </c>
      <c r="O65" s="3644">
        <f t="shared" si="76"/>
        <v>0</v>
      </c>
      <c r="P65" s="4259">
        <f t="shared" si="74"/>
        <v>0</v>
      </c>
      <c r="Q65" s="4244"/>
      <c r="T65" s="11"/>
      <c r="U65" s="11"/>
      <c r="V65" s="11"/>
      <c r="W65" s="11"/>
      <c r="X65" s="11"/>
      <c r="Y65" s="11"/>
      <c r="Z65" s="11"/>
      <c r="AA65" s="11"/>
      <c r="AR65" s="4216"/>
    </row>
    <row r="66" spans="1:44" ht="15" customHeight="1">
      <c r="A66" s="4230" t="s">
        <v>218</v>
      </c>
      <c r="B66" s="4231">
        <f>'11. Амортиз. план'!Z131</f>
        <v>0</v>
      </c>
      <c r="C66" s="4231">
        <f>'11. Амортиз. план'!AB131</f>
        <v>0</v>
      </c>
      <c r="D66" s="4231">
        <f>'11. Амортиз. план'!AC131</f>
        <v>0</v>
      </c>
      <c r="E66" s="4231">
        <f>'11. Амортиз. план'!AD131</f>
        <v>0</v>
      </c>
      <c r="F66" s="4231">
        <f>'11. Амортиз. план'!AE131</f>
        <v>0</v>
      </c>
      <c r="G66" s="4231">
        <f>'11. Амортиз. план'!AF131</f>
        <v>0</v>
      </c>
      <c r="I66" s="4230" t="s">
        <v>1610</v>
      </c>
      <c r="J66" s="4231">
        <f>SUM(J60:J65)</f>
        <v>1021.26836</v>
      </c>
      <c r="K66" s="4231">
        <f t="shared" ref="K66:N66" si="88">SUM(K60:K65)</f>
        <v>1927.5367200000001</v>
      </c>
      <c r="L66" s="4231">
        <f t="shared" si="88"/>
        <v>1872.5367200000001</v>
      </c>
      <c r="M66" s="4231">
        <f t="shared" si="88"/>
        <v>20</v>
      </c>
      <c r="N66" s="4231">
        <f t="shared" si="88"/>
        <v>25</v>
      </c>
      <c r="O66" s="4263">
        <f t="shared" si="76"/>
        <v>4866.3418000000001</v>
      </c>
      <c r="P66" s="4261">
        <f t="shared" si="74"/>
        <v>0.1150415862897131</v>
      </c>
      <c r="Q66" s="4244"/>
      <c r="T66" s="11"/>
      <c r="U66" s="11"/>
      <c r="V66" s="11"/>
      <c r="W66" s="11"/>
      <c r="X66" s="11"/>
      <c r="Y66" s="11"/>
      <c r="Z66" s="11"/>
      <c r="AA66" s="11"/>
      <c r="AR66" s="4216"/>
    </row>
    <row r="67" spans="1:44" ht="20.25" customHeight="1">
      <c r="A67" s="4234" t="s">
        <v>220</v>
      </c>
      <c r="B67" s="3526">
        <f>'11. Амортиз. план'!Z151</f>
        <v>0</v>
      </c>
      <c r="C67" s="3526">
        <f>'11. Амортиз. план'!AB151</f>
        <v>0</v>
      </c>
      <c r="D67" s="3526">
        <f>'11. Амортиз. план'!AC151</f>
        <v>0</v>
      </c>
      <c r="E67" s="3526">
        <f>'11. Амортиз. план'!AD151</f>
        <v>0</v>
      </c>
      <c r="F67" s="3526">
        <f>'11. Амортиз. план'!AE151</f>
        <v>0</v>
      </c>
      <c r="G67" s="3526">
        <f>'11. Амортиз. план'!AF151</f>
        <v>0</v>
      </c>
      <c r="I67" s="4230" t="s">
        <v>1605</v>
      </c>
      <c r="J67" s="4231">
        <f>SUM('9.Инвестиционна програма'!I43:I47)</f>
        <v>4</v>
      </c>
      <c r="K67" s="4231">
        <f>SUM('9.Инвестиционна програма'!J43:J47)</f>
        <v>0</v>
      </c>
      <c r="L67" s="4231">
        <f>SUM('9.Инвестиционна програма'!K43:K47)</f>
        <v>0</v>
      </c>
      <c r="M67" s="4231">
        <f>SUM('9.Инвестиционна програма'!L43:L47)</f>
        <v>0</v>
      </c>
      <c r="N67" s="4231">
        <f>SUM('9.Инвестиционна програма'!M43:M47)</f>
        <v>0</v>
      </c>
      <c r="O67" s="4263">
        <f t="shared" si="76"/>
        <v>4</v>
      </c>
      <c r="P67" s="4261">
        <f t="shared" si="74"/>
        <v>9.4561040730606393E-5</v>
      </c>
      <c r="Q67" s="4244"/>
      <c r="T67" s="11"/>
      <c r="U67" s="11"/>
      <c r="V67" s="11"/>
      <c r="W67" s="11"/>
      <c r="X67" s="11"/>
      <c r="Y67" s="11"/>
      <c r="Z67" s="11"/>
      <c r="AA67" s="11"/>
      <c r="AR67" s="4216"/>
    </row>
    <row r="68" spans="1:44" ht="20.25" customHeight="1">
      <c r="A68" s="4234" t="s">
        <v>222</v>
      </c>
      <c r="B68" s="3526">
        <f>'11. Амортиз. план'!Z171</f>
        <v>0</v>
      </c>
      <c r="C68" s="3526">
        <f>'11. Амортиз. план'!AB171</f>
        <v>0</v>
      </c>
      <c r="D68" s="3526">
        <f>'11. Амортиз. план'!AC171</f>
        <v>0</v>
      </c>
      <c r="E68" s="3526">
        <f>'11. Амортиз. план'!AD171</f>
        <v>0</v>
      </c>
      <c r="F68" s="3526">
        <f>'11. Амортиз. план'!AE171</f>
        <v>0</v>
      </c>
      <c r="G68" s="3526">
        <f>'11. Амортиз. план'!AF171</f>
        <v>0</v>
      </c>
      <c r="I68" s="3522" t="s">
        <v>208</v>
      </c>
      <c r="J68" s="4238">
        <f>J66+J67</f>
        <v>1025.26836</v>
      </c>
      <c r="K68" s="4238">
        <f t="shared" ref="K68:N68" si="89">K66+K67</f>
        <v>1927.5367200000001</v>
      </c>
      <c r="L68" s="4238">
        <f t="shared" si="89"/>
        <v>1872.5367200000001</v>
      </c>
      <c r="M68" s="4238">
        <f t="shared" si="89"/>
        <v>20</v>
      </c>
      <c r="N68" s="4238">
        <f t="shared" si="89"/>
        <v>25</v>
      </c>
      <c r="O68" s="4238">
        <f t="shared" ref="O68" si="90">SUM(J68:N68)</f>
        <v>4870.3418000000001</v>
      </c>
      <c r="P68" s="4239">
        <f t="shared" si="74"/>
        <v>0.11513614733044371</v>
      </c>
      <c r="Q68" s="4244"/>
      <c r="T68" s="11"/>
      <c r="U68" s="11"/>
      <c r="V68" s="11"/>
      <c r="W68" s="11"/>
      <c r="X68" s="11"/>
      <c r="Y68" s="11"/>
      <c r="Z68" s="11"/>
      <c r="AA68" s="11"/>
      <c r="AR68" s="4216"/>
    </row>
    <row r="69" spans="1:44" ht="14.25" customHeight="1">
      <c r="A69" s="5466" t="s">
        <v>1660</v>
      </c>
      <c r="B69" s="5466"/>
      <c r="C69" s="5466"/>
      <c r="D69" s="5466"/>
      <c r="E69" s="5466"/>
      <c r="F69" s="5466"/>
      <c r="G69" s="5466"/>
      <c r="I69" s="4234" t="s">
        <v>1611</v>
      </c>
      <c r="J69" s="3526">
        <f>'9.Инвестиционна програма'!I49</f>
        <v>1051.8895439999999</v>
      </c>
      <c r="K69" s="3526">
        <f>'9.Инвестиционна програма'!J49</f>
        <v>2099.7790879999998</v>
      </c>
      <c r="L69" s="3526">
        <f>'9.Инвестиционна програма'!K49</f>
        <v>2116.7790879999998</v>
      </c>
      <c r="M69" s="3526">
        <f>'9.Инвестиционна програма'!L49</f>
        <v>2</v>
      </c>
      <c r="N69" s="3526">
        <f>'9.Инвестиционна програма'!M49</f>
        <v>0</v>
      </c>
      <c r="O69" s="4264">
        <f t="shared" si="76"/>
        <v>5270.4477200000001</v>
      </c>
      <c r="P69" s="4259">
        <f t="shared" si="74"/>
        <v>0.12459475537986289</v>
      </c>
      <c r="Q69" s="4244"/>
      <c r="T69" s="11"/>
      <c r="U69" s="11"/>
      <c r="V69" s="11"/>
      <c r="W69" s="11"/>
      <c r="X69" s="11"/>
      <c r="Y69" s="11"/>
      <c r="Z69" s="11"/>
      <c r="AA69" s="11"/>
      <c r="AR69" s="4216"/>
    </row>
    <row r="70" spans="1:44" ht="14.25" customHeight="1">
      <c r="A70" s="4228" t="s">
        <v>334</v>
      </c>
      <c r="B70" s="3644">
        <f>'11. Амортиз. план'!Z192</f>
        <v>0</v>
      </c>
      <c r="C70" s="3644">
        <f>'11. Амортиз. план'!AB192</f>
        <v>0</v>
      </c>
      <c r="D70" s="3644">
        <f>'11. Амортиз. план'!AC192</f>
        <v>0</v>
      </c>
      <c r="E70" s="3644">
        <f>'11. Амортиз. план'!AD192</f>
        <v>0</v>
      </c>
      <c r="F70" s="3644">
        <f>'11. Амортиз. план'!AE192</f>
        <v>0</v>
      </c>
      <c r="G70" s="3644">
        <f>'11. Амортиз. план'!AF192</f>
        <v>0</v>
      </c>
      <c r="I70" s="4234" t="s">
        <v>1603</v>
      </c>
      <c r="J70" s="3526">
        <f>'9.Инвестиционна програма'!I51</f>
        <v>0</v>
      </c>
      <c r="K70" s="3526">
        <f>'9.Инвестиционна програма'!J51</f>
        <v>0</v>
      </c>
      <c r="L70" s="3526">
        <f>'9.Инвестиционна програма'!K51</f>
        <v>0</v>
      </c>
      <c r="M70" s="3526">
        <f>'9.Инвестиционна програма'!L51</f>
        <v>0</v>
      </c>
      <c r="N70" s="3526">
        <f>'9.Инвестиционна програма'!M51</f>
        <v>0</v>
      </c>
      <c r="O70" s="4264">
        <f t="shared" si="76"/>
        <v>0</v>
      </c>
      <c r="P70" s="4259">
        <f t="shared" si="74"/>
        <v>0</v>
      </c>
      <c r="Q70" s="4244"/>
      <c r="T70" s="11"/>
      <c r="U70" s="11"/>
      <c r="V70" s="11"/>
      <c r="W70" s="11"/>
      <c r="X70" s="11"/>
      <c r="Y70" s="11"/>
      <c r="Z70" s="11"/>
      <c r="AA70" s="11"/>
      <c r="AR70" s="4216"/>
    </row>
    <row r="71" spans="1:44" ht="12.75" customHeight="1">
      <c r="A71" s="4230" t="s">
        <v>218</v>
      </c>
      <c r="B71" s="4231">
        <f>'11. Амортиз. план'!Z214</f>
        <v>0</v>
      </c>
      <c r="C71" s="4231">
        <f>'11. Амортиз. план'!AB214</f>
        <v>0</v>
      </c>
      <c r="D71" s="4231">
        <f>'11. Амортиз. план'!AC214</f>
        <v>0</v>
      </c>
      <c r="E71" s="4231">
        <f>'11. Амортиз. план'!AD214</f>
        <v>0</v>
      </c>
      <c r="F71" s="4231">
        <f>'11. Амортиз. план'!AE214</f>
        <v>0</v>
      </c>
      <c r="G71" s="4231">
        <f>'11. Амортиз. план'!AF214</f>
        <v>0</v>
      </c>
      <c r="I71" s="4230" t="s">
        <v>1612</v>
      </c>
      <c r="J71" s="4231">
        <f>SUM(J69:J70)</f>
        <v>1051.8895439999999</v>
      </c>
      <c r="K71" s="4231">
        <f>SUM(K69:K70)</f>
        <v>2099.7790879999998</v>
      </c>
      <c r="L71" s="4231">
        <f>SUM(L69:L70)</f>
        <v>2116.7790879999998</v>
      </c>
      <c r="M71" s="4231">
        <f>SUM(M69:M70)</f>
        <v>2</v>
      </c>
      <c r="N71" s="4231">
        <f>SUM(N69:N70)</f>
        <v>0</v>
      </c>
      <c r="O71" s="4264">
        <f t="shared" si="76"/>
        <v>5270.4477200000001</v>
      </c>
      <c r="P71" s="4261">
        <f t="shared" si="74"/>
        <v>0.12459475537986289</v>
      </c>
      <c r="Q71" s="4244"/>
      <c r="T71" s="11"/>
      <c r="U71" s="11"/>
      <c r="V71" s="11"/>
      <c r="W71" s="11"/>
      <c r="X71" s="11"/>
      <c r="Y71" s="11"/>
      <c r="Z71" s="11"/>
      <c r="AA71" s="11"/>
    </row>
    <row r="72" spans="1:44" ht="15.75" customHeight="1">
      <c r="A72" s="4234" t="s">
        <v>220</v>
      </c>
      <c r="B72" s="3526">
        <f>'11. Амортиз. план'!Z236</f>
        <v>0</v>
      </c>
      <c r="C72" s="3526">
        <f>'11. Амортиз. план'!AB236</f>
        <v>0</v>
      </c>
      <c r="D72" s="3526">
        <f>'11. Амортиз. план'!AC236</f>
        <v>0</v>
      </c>
      <c r="E72" s="3526">
        <f>'11. Амортиз. план'!AD236</f>
        <v>0</v>
      </c>
      <c r="F72" s="3526">
        <f>'11. Амортиз. план'!AE236</f>
        <v>0</v>
      </c>
      <c r="G72" s="3526">
        <f>'11. Амортиз. план'!AF236</f>
        <v>0</v>
      </c>
      <c r="I72" s="4230" t="s">
        <v>1605</v>
      </c>
      <c r="J72" s="4231">
        <f>SUM('9.Инвестиционна програма'!I52:I56,'9.Инвестиционна програма'!I50)</f>
        <v>0</v>
      </c>
      <c r="K72" s="4231">
        <f>SUM('9.Инвестиционна програма'!J52:J56,'9.Инвестиционна програма'!J50)</f>
        <v>0</v>
      </c>
      <c r="L72" s="4231">
        <f>SUM('9.Инвестиционна програма'!K52:K56,'9.Инвестиционна програма'!K50)</f>
        <v>0</v>
      </c>
      <c r="M72" s="4231">
        <f>SUM('9.Инвестиционна програма'!L52:L56,'9.Инвестиционна програма'!L50)</f>
        <v>0</v>
      </c>
      <c r="N72" s="4231">
        <f>SUM('9.Инвестиционна програма'!M52:M56,'9.Инвестиционна програма'!M50)</f>
        <v>0</v>
      </c>
      <c r="O72" s="3644">
        <f t="shared" si="76"/>
        <v>0</v>
      </c>
      <c r="P72" s="4261">
        <f t="shared" si="74"/>
        <v>0</v>
      </c>
      <c r="Q72" s="4244"/>
      <c r="T72" s="11"/>
      <c r="U72" s="11"/>
      <c r="V72" s="11"/>
      <c r="W72" s="11"/>
      <c r="X72" s="11"/>
      <c r="Y72" s="11"/>
      <c r="Z72" s="11"/>
      <c r="AA72" s="11"/>
    </row>
    <row r="73" spans="1:44" ht="15.75" customHeight="1">
      <c r="A73" s="4234" t="s">
        <v>222</v>
      </c>
      <c r="B73" s="3526">
        <f>'11. Амортиз. план'!Z258</f>
        <v>0</v>
      </c>
      <c r="C73" s="3526">
        <f>'11. Амортиз. план'!AB258</f>
        <v>0</v>
      </c>
      <c r="D73" s="3526">
        <f>'11. Амортиз. план'!AC258</f>
        <v>0</v>
      </c>
      <c r="E73" s="3526">
        <f>'11. Амортиз. план'!AD258</f>
        <v>0</v>
      </c>
      <c r="F73" s="3526">
        <f>'11. Амортиз. план'!AE258</f>
        <v>0</v>
      </c>
      <c r="G73" s="3526">
        <f>'11. Амортиз. план'!AF258</f>
        <v>0</v>
      </c>
      <c r="I73" s="3522" t="s">
        <v>209</v>
      </c>
      <c r="J73" s="4238">
        <f>J71+J72</f>
        <v>1051.8895439999999</v>
      </c>
      <c r="K73" s="4238">
        <f t="shared" ref="K73:N73" si="91">K71+K72</f>
        <v>2099.7790879999998</v>
      </c>
      <c r="L73" s="4238">
        <f t="shared" si="91"/>
        <v>2116.7790879999998</v>
      </c>
      <c r="M73" s="4238">
        <f t="shared" si="91"/>
        <v>2</v>
      </c>
      <c r="N73" s="4238">
        <f t="shared" si="91"/>
        <v>0</v>
      </c>
      <c r="O73" s="4238">
        <f t="shared" ref="O73:O88" si="92">SUM(J73:N73)</f>
        <v>5270.4477200000001</v>
      </c>
      <c r="P73" s="4239">
        <f t="shared" si="74"/>
        <v>0.12459475537986289</v>
      </c>
      <c r="Q73" s="4244"/>
      <c r="T73" s="11"/>
      <c r="U73" s="11"/>
      <c r="V73" s="11"/>
      <c r="W73" s="11"/>
      <c r="X73" s="11"/>
      <c r="Y73" s="11"/>
      <c r="Z73" s="11"/>
      <c r="AA73" s="11"/>
    </row>
    <row r="74" spans="1:44" ht="20.25" customHeight="1">
      <c r="B74" s="11"/>
      <c r="C74" s="11"/>
      <c r="D74" s="11"/>
      <c r="E74" s="11"/>
      <c r="F74" s="11"/>
      <c r="G74" s="11"/>
      <c r="I74" s="4265" t="s">
        <v>1613</v>
      </c>
      <c r="J74" s="4238">
        <f>'9.Инвестиционна програма'!I57</f>
        <v>1216</v>
      </c>
      <c r="K74" s="4238">
        <f>'9.Инвестиционна програма'!J57</f>
        <v>1459</v>
      </c>
      <c r="L74" s="4238">
        <f>'9.Инвестиционна програма'!K57</f>
        <v>1079</v>
      </c>
      <c r="M74" s="4238">
        <f>'9.Инвестиционна програма'!L57</f>
        <v>935.2</v>
      </c>
      <c r="N74" s="4238">
        <f>'9.Инвестиционна програма'!M57</f>
        <v>962</v>
      </c>
      <c r="O74" s="4238">
        <f t="shared" si="92"/>
        <v>5651.2</v>
      </c>
      <c r="P74" s="4239">
        <f t="shared" si="74"/>
        <v>0.13359583834420069</v>
      </c>
      <c r="Q74" s="4244"/>
      <c r="T74" s="11"/>
      <c r="U74" s="11"/>
      <c r="V74" s="11"/>
      <c r="W74" s="11"/>
      <c r="X74" s="11"/>
      <c r="Y74" s="11"/>
      <c r="Z74" s="11"/>
      <c r="AA74" s="11"/>
    </row>
    <row r="75" spans="1:44" ht="17.25" customHeight="1">
      <c r="B75" s="11"/>
      <c r="C75" s="11"/>
      <c r="D75" s="11"/>
      <c r="E75" s="11"/>
      <c r="F75" s="11"/>
      <c r="G75" s="11"/>
      <c r="I75" s="4234" t="s">
        <v>659</v>
      </c>
      <c r="J75" s="3526">
        <f>'9.Инвестиционна програма'!I70</f>
        <v>0</v>
      </c>
      <c r="K75" s="3526">
        <f>'9.Инвестиционна програма'!J70</f>
        <v>0</v>
      </c>
      <c r="L75" s="3526">
        <f>'9.Инвестиционна програма'!K70</f>
        <v>0</v>
      </c>
      <c r="M75" s="3526">
        <f>'9.Инвестиционна програма'!L70</f>
        <v>0</v>
      </c>
      <c r="N75" s="3526">
        <f>'9.Инвестиционна програма'!M70</f>
        <v>0</v>
      </c>
      <c r="O75" s="3644">
        <f t="shared" ref="O75:O81" si="93">SUM(J75:N75)</f>
        <v>0</v>
      </c>
      <c r="P75" s="4259">
        <f t="shared" si="74"/>
        <v>0</v>
      </c>
      <c r="Q75" s="4244"/>
      <c r="S75" s="2" t="s">
        <v>1667</v>
      </c>
      <c r="T75" s="11"/>
      <c r="U75" s="11"/>
      <c r="V75" s="11"/>
      <c r="W75" s="11"/>
      <c r="X75" s="11"/>
      <c r="Y75" s="11"/>
      <c r="Z75" s="11"/>
      <c r="AA75" s="11"/>
    </row>
    <row r="76" spans="1:44" ht="27.75" customHeight="1">
      <c r="B76" s="11"/>
      <c r="C76" s="11"/>
      <c r="D76" s="11"/>
      <c r="E76" s="11"/>
      <c r="F76" s="11"/>
      <c r="G76" s="11"/>
      <c r="I76" s="4234" t="s">
        <v>985</v>
      </c>
      <c r="J76" s="3526">
        <f>'9.Инвестиционна програма'!I69</f>
        <v>0</v>
      </c>
      <c r="K76" s="3526">
        <f>'9.Инвестиционна програма'!J69</f>
        <v>0</v>
      </c>
      <c r="L76" s="3526">
        <f>'9.Инвестиционна програма'!K69</f>
        <v>0</v>
      </c>
      <c r="M76" s="3526">
        <f>'9.Инвестиционна програма'!L69</f>
        <v>0</v>
      </c>
      <c r="N76" s="3526">
        <f>'9.Инвестиционна програма'!M69</f>
        <v>0</v>
      </c>
      <c r="O76" s="3644">
        <f t="shared" si="93"/>
        <v>0</v>
      </c>
      <c r="P76" s="4259">
        <f t="shared" si="74"/>
        <v>0</v>
      </c>
      <c r="Q76" s="4244"/>
      <c r="S76" s="5460" t="s">
        <v>1668</v>
      </c>
      <c r="T76" s="5460" t="s">
        <v>1029</v>
      </c>
      <c r="U76" s="5460"/>
      <c r="V76" s="5460"/>
      <c r="W76" s="5460"/>
      <c r="X76" s="5460"/>
      <c r="Y76" s="5460"/>
      <c r="Z76" s="5404" t="str">
        <f>+"Изменение "&amp;U77&amp;" спр. "&amp;T77</f>
        <v>Изменение 2027 г. спр. 2024 г.</v>
      </c>
      <c r="AA76" s="5404" t="str">
        <f>+"Изменение "&amp;Y77&amp;" спр. "&amp;T77</f>
        <v>Изменение 2031 г. спр. 2024 г.</v>
      </c>
    </row>
    <row r="77" spans="1:44" ht="15.75" customHeight="1">
      <c r="B77" s="11"/>
      <c r="C77" s="11"/>
      <c r="D77" s="11"/>
      <c r="E77" s="11"/>
      <c r="F77" s="11"/>
      <c r="G77" s="11"/>
      <c r="I77" s="4234" t="s">
        <v>1614</v>
      </c>
      <c r="J77" s="3526">
        <f>SUM('9.Инвестиционна програма'!I68,'9.Инвестиционна програма'!I71)</f>
        <v>0</v>
      </c>
      <c r="K77" s="3526">
        <f>SUM('9.Инвестиционна програма'!J68,'9.Инвестиционна програма'!J71)</f>
        <v>0</v>
      </c>
      <c r="L77" s="3526">
        <f>SUM('9.Инвестиционна програма'!K68,'9.Инвестиционна програма'!K71)</f>
        <v>0</v>
      </c>
      <c r="M77" s="3526">
        <f>SUM('9.Инвестиционна програма'!L68,'9.Инвестиционна програма'!L71)</f>
        <v>0</v>
      </c>
      <c r="N77" s="3526">
        <f>SUM('9.Инвестиционна програма'!M68,'9.Инвестиционна програма'!M71)</f>
        <v>0</v>
      </c>
      <c r="O77" s="3644">
        <f t="shared" si="93"/>
        <v>0</v>
      </c>
      <c r="P77" s="4259">
        <f t="shared" si="74"/>
        <v>0</v>
      </c>
      <c r="Q77" s="4244"/>
      <c r="S77" s="5460"/>
      <c r="T77" s="4214" t="str">
        <f t="shared" ref="T77:Y77" si="94">T46</f>
        <v>2024 г.</v>
      </c>
      <c r="U77" s="4214" t="str">
        <f t="shared" si="94"/>
        <v>2027 г.</v>
      </c>
      <c r="V77" s="4214" t="str">
        <f t="shared" si="94"/>
        <v>2028 г.</v>
      </c>
      <c r="W77" s="4214" t="str">
        <f t="shared" si="94"/>
        <v>2029 г.</v>
      </c>
      <c r="X77" s="4214" t="str">
        <f t="shared" si="94"/>
        <v>2030 г.</v>
      </c>
      <c r="Y77" s="4214" t="str">
        <f t="shared" si="94"/>
        <v>2031 г.</v>
      </c>
      <c r="Z77" s="5404"/>
      <c r="AA77" s="5404"/>
    </row>
    <row r="78" spans="1:44" ht="15.75" customHeight="1">
      <c r="B78" s="11"/>
      <c r="C78" s="11"/>
      <c r="D78" s="11"/>
      <c r="E78" s="11"/>
      <c r="F78" s="11"/>
      <c r="G78" s="11"/>
      <c r="I78" s="4234" t="s">
        <v>1615</v>
      </c>
      <c r="J78" s="3526">
        <f>SUM('9.Инвестиционна програма'!I61:I67)</f>
        <v>68</v>
      </c>
      <c r="K78" s="3526">
        <f>SUM('9.Инвестиционна програма'!J61:J67)</f>
        <v>23</v>
      </c>
      <c r="L78" s="3526">
        <f>SUM('9.Инвестиционна програма'!K61:K67)</f>
        <v>23</v>
      </c>
      <c r="M78" s="3526">
        <f>SUM('9.Инвестиционна програма'!L61:L67)</f>
        <v>23</v>
      </c>
      <c r="N78" s="3526">
        <f>SUM('9.Инвестиционна програма'!M61:M67)</f>
        <v>23</v>
      </c>
      <c r="O78" s="3644">
        <f t="shared" si="93"/>
        <v>160</v>
      </c>
      <c r="P78" s="4259">
        <f t="shared" si="74"/>
        <v>3.7824416292242557E-3</v>
      </c>
      <c r="Q78" s="4244"/>
      <c r="S78" s="4229" t="s">
        <v>226</v>
      </c>
      <c r="T78" s="3526">
        <f>'12. Разходи'!AA11</f>
        <v>0</v>
      </c>
      <c r="U78" s="3526">
        <f>'12. Разходи'!AB11</f>
        <v>0</v>
      </c>
      <c r="V78" s="3526">
        <f>'12. Разходи'!AC11</f>
        <v>0</v>
      </c>
      <c r="W78" s="3526">
        <f>'12. Разходи'!AD11</f>
        <v>0</v>
      </c>
      <c r="X78" s="3526">
        <f>'12. Разходи'!AE11</f>
        <v>0</v>
      </c>
      <c r="Y78" s="3526">
        <f>'12. Разходи'!AF11</f>
        <v>0</v>
      </c>
      <c r="Z78" s="4227">
        <f>IFERROR((U78-T78)/T78,0)</f>
        <v>0</v>
      </c>
      <c r="AA78" s="4227">
        <f>IFERROR((Y78-T78)/T78,0)</f>
        <v>0</v>
      </c>
    </row>
    <row r="79" spans="1:44" ht="15.75" customHeight="1">
      <c r="B79" s="11"/>
      <c r="C79" s="11"/>
      <c r="D79" s="11"/>
      <c r="E79" s="11"/>
      <c r="F79" s="11"/>
      <c r="G79" s="11"/>
      <c r="I79" s="4265" t="s">
        <v>1616</v>
      </c>
      <c r="J79" s="4238">
        <f>J75+J76+J77+J78</f>
        <v>68</v>
      </c>
      <c r="K79" s="4238">
        <f t="shared" ref="K79:N79" si="95">K75+K76+K77+K78</f>
        <v>23</v>
      </c>
      <c r="L79" s="4238">
        <f t="shared" si="95"/>
        <v>23</v>
      </c>
      <c r="M79" s="4238">
        <f t="shared" si="95"/>
        <v>23</v>
      </c>
      <c r="N79" s="4238">
        <f t="shared" si="95"/>
        <v>23</v>
      </c>
      <c r="O79" s="4238">
        <f t="shared" si="93"/>
        <v>160</v>
      </c>
      <c r="P79" s="4239">
        <f t="shared" si="74"/>
        <v>3.7824416292242557E-3</v>
      </c>
      <c r="Q79" s="4244"/>
      <c r="S79" s="4229" t="s">
        <v>239</v>
      </c>
      <c r="T79" s="3526">
        <f>'12. Разходи'!AA29</f>
        <v>0</v>
      </c>
      <c r="U79" s="3526">
        <f>'12. Разходи'!AB29</f>
        <v>0</v>
      </c>
      <c r="V79" s="3526">
        <f>'12. Разходи'!AC29</f>
        <v>0</v>
      </c>
      <c r="W79" s="3526">
        <f>'12. Разходи'!AD29</f>
        <v>0</v>
      </c>
      <c r="X79" s="3526">
        <f>'12. Разходи'!AE29</f>
        <v>0</v>
      </c>
      <c r="Y79" s="3526">
        <f>'12. Разходи'!AF29</f>
        <v>0</v>
      </c>
      <c r="Z79" s="4227">
        <f t="shared" ref="Z79:Z94" si="96">IFERROR((U79-T79)/T79,0)</f>
        <v>0</v>
      </c>
      <c r="AA79" s="4227">
        <f t="shared" ref="AA79:AA94" si="97">IFERROR((Y79-T79)/T79,0)</f>
        <v>0</v>
      </c>
    </row>
    <row r="80" spans="1:44" ht="15.75" customHeight="1">
      <c r="A80" s="2" t="s">
        <v>1666</v>
      </c>
      <c r="B80" s="11"/>
      <c r="C80" s="11"/>
      <c r="D80" s="11"/>
      <c r="E80" s="11"/>
      <c r="F80" s="11"/>
      <c r="G80" s="3393" t="s">
        <v>1636</v>
      </c>
      <c r="I80" s="4266" t="s">
        <v>1641</v>
      </c>
      <c r="J80" s="3487">
        <f>SUM('9.Инвестиционна програма'!I74:I91)</f>
        <v>0</v>
      </c>
      <c r="K80" s="3487">
        <f>SUM('9.Инвестиционна програма'!J74:J91)</f>
        <v>0</v>
      </c>
      <c r="L80" s="3487">
        <f>SUM('9.Инвестиционна програма'!K74:K91)</f>
        <v>0</v>
      </c>
      <c r="M80" s="3487">
        <f>SUM('9.Инвестиционна програма'!L74:L91)</f>
        <v>0</v>
      </c>
      <c r="N80" s="3487">
        <f>SUM('9.Инвестиционна програма'!M74:M91)</f>
        <v>0</v>
      </c>
      <c r="O80" s="3491">
        <f t="shared" si="93"/>
        <v>0</v>
      </c>
      <c r="P80" s="4267">
        <f t="shared" si="74"/>
        <v>0</v>
      </c>
      <c r="Q80" s="4244"/>
      <c r="S80" s="4229" t="s">
        <v>446</v>
      </c>
      <c r="T80" s="3526">
        <f>'12. Разходи'!AA55</f>
        <v>0</v>
      </c>
      <c r="U80" s="3526">
        <f>'12. Разходи'!AB55</f>
        <v>0</v>
      </c>
      <c r="V80" s="3526">
        <f>'12. Разходи'!AC55</f>
        <v>0</v>
      </c>
      <c r="W80" s="3526">
        <f>'12. Разходи'!AD55</f>
        <v>0</v>
      </c>
      <c r="X80" s="3526">
        <f>'12. Разходи'!AE55</f>
        <v>0</v>
      </c>
      <c r="Y80" s="3526">
        <f>'12. Разходи'!AF55</f>
        <v>0</v>
      </c>
      <c r="Z80" s="4227">
        <f t="shared" si="96"/>
        <v>0</v>
      </c>
      <c r="AA80" s="4227">
        <f t="shared" si="97"/>
        <v>0</v>
      </c>
    </row>
    <row r="81" spans="1:27" ht="17.25" customHeight="1">
      <c r="A81" s="5467" t="s">
        <v>87</v>
      </c>
      <c r="B81" s="5460" t="s">
        <v>1092</v>
      </c>
      <c r="C81" s="5460"/>
      <c r="D81" s="5460"/>
      <c r="E81" s="5460"/>
      <c r="F81" s="5460"/>
      <c r="G81" s="5460"/>
      <c r="I81" s="4266" t="s">
        <v>1640</v>
      </c>
      <c r="J81" s="3487">
        <f>SUM('9.Инвестиционна програма'!I92:I97)</f>
        <v>0</v>
      </c>
      <c r="K81" s="3487">
        <f>SUM('9.Инвестиционна програма'!J92:J97)</f>
        <v>0</v>
      </c>
      <c r="L81" s="3487">
        <f>SUM('9.Инвестиционна програма'!K92:K97)</f>
        <v>0</v>
      </c>
      <c r="M81" s="3487">
        <f>SUM('9.Инвестиционна програма'!L92:L97)</f>
        <v>0</v>
      </c>
      <c r="N81" s="3487">
        <f>SUM('9.Инвестиционна програма'!M92:M97)</f>
        <v>0</v>
      </c>
      <c r="O81" s="3491">
        <f t="shared" si="93"/>
        <v>0</v>
      </c>
      <c r="P81" s="4267">
        <f t="shared" si="74"/>
        <v>0</v>
      </c>
      <c r="Q81" s="4244"/>
      <c r="S81" s="4235" t="s">
        <v>447</v>
      </c>
      <c r="T81" s="4231">
        <f>'12. Разходи'!AA56</f>
        <v>0</v>
      </c>
      <c r="U81" s="4231">
        <f>'12. Разходи'!AB56</f>
        <v>0</v>
      </c>
      <c r="V81" s="4231">
        <f>'12. Разходи'!AC56</f>
        <v>0</v>
      </c>
      <c r="W81" s="4231">
        <f>'12. Разходи'!AD56</f>
        <v>0</v>
      </c>
      <c r="X81" s="4231">
        <f>'12. Разходи'!AE56</f>
        <v>0</v>
      </c>
      <c r="Y81" s="4231">
        <f>'12. Разходи'!AF56</f>
        <v>0</v>
      </c>
      <c r="Z81" s="4227">
        <f t="shared" si="96"/>
        <v>0</v>
      </c>
      <c r="AA81" s="4227">
        <f t="shared" si="97"/>
        <v>0</v>
      </c>
    </row>
    <row r="82" spans="1:27" ht="15.75" customHeight="1">
      <c r="A82" s="5467"/>
      <c r="B82" s="4268" t="str">
        <f>B22</f>
        <v>2024 г.</v>
      </c>
      <c r="C82" s="4268" t="str">
        <f>C58</f>
        <v>2027 г.</v>
      </c>
      <c r="D82" s="4268" t="str">
        <f>D22</f>
        <v>2028 г.</v>
      </c>
      <c r="E82" s="4268" t="str">
        <f>E22</f>
        <v>2029 г.</v>
      </c>
      <c r="F82" s="4268" t="str">
        <f>F22</f>
        <v>2030 г.</v>
      </c>
      <c r="G82" s="4268" t="str">
        <f>G22</f>
        <v>2031 г.</v>
      </c>
      <c r="I82" s="3522" t="s">
        <v>1029</v>
      </c>
      <c r="J82" s="4269">
        <f>J80+J81</f>
        <v>0</v>
      </c>
      <c r="K82" s="4269">
        <f>K80+K81</f>
        <v>0</v>
      </c>
      <c r="L82" s="4269">
        <f>L80+L81</f>
        <v>0</v>
      </c>
      <c r="M82" s="4269">
        <f>M80+M81</f>
        <v>0</v>
      </c>
      <c r="N82" s="4269">
        <f>N80+N81</f>
        <v>0</v>
      </c>
      <c r="O82" s="4238">
        <f t="shared" si="92"/>
        <v>0</v>
      </c>
      <c r="P82" s="4239">
        <f t="shared" si="74"/>
        <v>0</v>
      </c>
      <c r="Q82" s="4244"/>
      <c r="S82" s="4235" t="s">
        <v>736</v>
      </c>
      <c r="T82" s="4231">
        <f>'12. Разходи'!AA57</f>
        <v>0</v>
      </c>
      <c r="U82" s="4231">
        <f>'12. Разходи'!AB57</f>
        <v>0</v>
      </c>
      <c r="V82" s="4231">
        <f>'12. Разходи'!AC57</f>
        <v>0</v>
      </c>
      <c r="W82" s="4231">
        <f>'12. Разходи'!AD57</f>
        <v>0</v>
      </c>
      <c r="X82" s="4231">
        <f>'12. Разходи'!AE57</f>
        <v>0</v>
      </c>
      <c r="Y82" s="4231">
        <f>'12. Разходи'!AF57</f>
        <v>0</v>
      </c>
      <c r="Z82" s="4227">
        <f t="shared" si="96"/>
        <v>0</v>
      </c>
      <c r="AA82" s="4227">
        <f t="shared" si="97"/>
        <v>0</v>
      </c>
    </row>
    <row r="83" spans="1:27" ht="15.75" customHeight="1">
      <c r="A83" s="5466" t="s">
        <v>1658</v>
      </c>
      <c r="B83" s="5466"/>
      <c r="C83" s="5466"/>
      <c r="D83" s="5466"/>
      <c r="E83" s="5466"/>
      <c r="F83" s="5466"/>
      <c r="G83" s="5466"/>
      <c r="I83" s="4266" t="s">
        <v>1642</v>
      </c>
      <c r="J83" s="3487">
        <f>SUM('9.Инвестиционна програма'!I100:I117)</f>
        <v>0</v>
      </c>
      <c r="K83" s="3487">
        <f>SUM('9.Инвестиционна програма'!J100:J117)</f>
        <v>0</v>
      </c>
      <c r="L83" s="3487">
        <f>SUM('9.Инвестиционна програма'!K100:K117)</f>
        <v>0</v>
      </c>
      <c r="M83" s="3487">
        <f>SUM('9.Инвестиционна програма'!L100:L117)</f>
        <v>0</v>
      </c>
      <c r="N83" s="3487">
        <f>SUM('9.Инвестиционна програма'!M100:M117)</f>
        <v>0</v>
      </c>
      <c r="O83" s="3491">
        <f t="shared" ref="O83:O84" si="98">SUM(J83:N83)</f>
        <v>0</v>
      </c>
      <c r="P83" s="4267">
        <f t="shared" si="74"/>
        <v>0</v>
      </c>
      <c r="Q83" s="4244"/>
      <c r="S83" s="4235" t="s">
        <v>737</v>
      </c>
      <c r="T83" s="4231">
        <f>'12. Разходи'!AA58</f>
        <v>0</v>
      </c>
      <c r="U83" s="4231">
        <f>'12. Разходи'!AB58</f>
        <v>0</v>
      </c>
      <c r="V83" s="4231">
        <f>'12. Разходи'!AC58</f>
        <v>0</v>
      </c>
      <c r="W83" s="4231">
        <f>'12. Разходи'!AD58</f>
        <v>0</v>
      </c>
      <c r="X83" s="4231">
        <f>'12. Разходи'!AE58</f>
        <v>0</v>
      </c>
      <c r="Y83" s="4231">
        <f>'12. Разходи'!AF58</f>
        <v>0</v>
      </c>
      <c r="Z83" s="4227">
        <f t="shared" si="96"/>
        <v>0</v>
      </c>
      <c r="AA83" s="4227">
        <f t="shared" si="97"/>
        <v>0</v>
      </c>
    </row>
    <row r="84" spans="1:27" ht="15.75" customHeight="1">
      <c r="A84" s="4228" t="s">
        <v>334</v>
      </c>
      <c r="B84" s="3644">
        <f>'11. Амортиз. план'!AG10</f>
        <v>0</v>
      </c>
      <c r="C84" s="3644">
        <f>'11. Амортиз. план'!AI10</f>
        <v>0</v>
      </c>
      <c r="D84" s="3644">
        <f>'11. Амортиз. план'!AJ10</f>
        <v>0</v>
      </c>
      <c r="E84" s="3644">
        <f>'11. Амортиз. план'!AK10</f>
        <v>0</v>
      </c>
      <c r="F84" s="3644">
        <f>'11. Амортиз. план'!AL10</f>
        <v>0</v>
      </c>
      <c r="G84" s="3644">
        <f>'11. Амортиз. план'!AM10</f>
        <v>0</v>
      </c>
      <c r="I84" s="4266" t="s">
        <v>1643</v>
      </c>
      <c r="J84" s="3487">
        <f>SUM('9.Инвестиционна програма'!I118:I123)</f>
        <v>0</v>
      </c>
      <c r="K84" s="3487">
        <f>SUM('9.Инвестиционна програма'!J118:J123)</f>
        <v>0</v>
      </c>
      <c r="L84" s="3487">
        <f>SUM('9.Инвестиционна програма'!K118:K123)</f>
        <v>0</v>
      </c>
      <c r="M84" s="3487">
        <f>SUM('9.Инвестиционна програма'!L118:L123)</f>
        <v>0</v>
      </c>
      <c r="N84" s="3487">
        <f>SUM('9.Инвестиционна програма'!M118:M123)</f>
        <v>0</v>
      </c>
      <c r="O84" s="3491">
        <f t="shared" si="98"/>
        <v>0</v>
      </c>
      <c r="P84" s="4267">
        <f t="shared" si="74"/>
        <v>0</v>
      </c>
      <c r="Q84" s="4244"/>
      <c r="S84" s="4229" t="s">
        <v>448</v>
      </c>
      <c r="T84" s="3526">
        <f>'12. Разходи'!AA59</f>
        <v>0</v>
      </c>
      <c r="U84" s="3526">
        <f>'12. Разходи'!AB59</f>
        <v>0</v>
      </c>
      <c r="V84" s="3526">
        <f>'12. Разходи'!AC59</f>
        <v>0</v>
      </c>
      <c r="W84" s="3526">
        <f>'12. Разходи'!AD59</f>
        <v>0</v>
      </c>
      <c r="X84" s="3526">
        <f>'12. Разходи'!AE59</f>
        <v>0</v>
      </c>
      <c r="Y84" s="3526">
        <f>'12. Разходи'!AF59</f>
        <v>0</v>
      </c>
      <c r="Z84" s="4227">
        <f t="shared" si="96"/>
        <v>0</v>
      </c>
      <c r="AA84" s="4227">
        <f t="shared" si="97"/>
        <v>0</v>
      </c>
    </row>
    <row r="85" spans="1:27" ht="15.75" customHeight="1">
      <c r="A85" s="4230" t="s">
        <v>218</v>
      </c>
      <c r="B85" s="4231">
        <f>'11. Амортиз. план'!AG35</f>
        <v>0</v>
      </c>
      <c r="C85" s="4231">
        <f>'11. Амортиз. план'!AI35</f>
        <v>0</v>
      </c>
      <c r="D85" s="4231">
        <f>'11. Амортиз. план'!AJ35</f>
        <v>0</v>
      </c>
      <c r="E85" s="4231">
        <f>'11. Амортиз. план'!AK35</f>
        <v>0</v>
      </c>
      <c r="F85" s="4231">
        <f>'11. Амортиз. план'!AL35</f>
        <v>0</v>
      </c>
      <c r="G85" s="4231">
        <f>'11. Амортиз. план'!AM35</f>
        <v>0</v>
      </c>
      <c r="I85" s="3522" t="s">
        <v>1092</v>
      </c>
      <c r="J85" s="4238">
        <f>J83+J84</f>
        <v>0</v>
      </c>
      <c r="K85" s="4238">
        <f>K83+K84</f>
        <v>0</v>
      </c>
      <c r="L85" s="4238">
        <f>L83+L84</f>
        <v>0</v>
      </c>
      <c r="M85" s="4238">
        <f>M83+M84</f>
        <v>0</v>
      </c>
      <c r="N85" s="4238">
        <f>N83+N84</f>
        <v>0</v>
      </c>
      <c r="O85" s="4238">
        <f t="shared" ref="O85" si="99">SUM(J85:N85)</f>
        <v>0</v>
      </c>
      <c r="P85" s="4239">
        <f t="shared" si="74"/>
        <v>0</v>
      </c>
      <c r="Q85" s="4244"/>
      <c r="S85" s="4229" t="s">
        <v>449</v>
      </c>
      <c r="T85" s="3526">
        <f>'12. Разходи'!AA63</f>
        <v>0</v>
      </c>
      <c r="U85" s="3526">
        <f>'12. Разходи'!AB63</f>
        <v>0</v>
      </c>
      <c r="V85" s="3526">
        <f>'12. Разходи'!AC63</f>
        <v>0</v>
      </c>
      <c r="W85" s="3526">
        <f>'12. Разходи'!AD63</f>
        <v>0</v>
      </c>
      <c r="X85" s="3526">
        <f>'12. Разходи'!AE63</f>
        <v>0</v>
      </c>
      <c r="Y85" s="3526">
        <f>'12. Разходи'!AF63</f>
        <v>0</v>
      </c>
      <c r="Z85" s="4227">
        <f t="shared" si="96"/>
        <v>0</v>
      </c>
      <c r="AA85" s="4227">
        <f t="shared" si="97"/>
        <v>0</v>
      </c>
    </row>
    <row r="86" spans="1:27" ht="15.75" customHeight="1">
      <c r="A86" s="4234" t="s">
        <v>220</v>
      </c>
      <c r="B86" s="3526">
        <f>'11. Амортиз. план'!AG60</f>
        <v>0</v>
      </c>
      <c r="C86" s="3526">
        <f>'11. Амортиз. план'!AI60</f>
        <v>0</v>
      </c>
      <c r="D86" s="3526">
        <f>'11. Амортиз. план'!AJ60</f>
        <v>0</v>
      </c>
      <c r="E86" s="3526">
        <f>'11. Амортиз. план'!AK60</f>
        <v>0</v>
      </c>
      <c r="F86" s="3526">
        <f>'11. Амортиз. план'!AL60</f>
        <v>0</v>
      </c>
      <c r="G86" s="3526">
        <f>'11. Амортиз. план'!AM60</f>
        <v>0</v>
      </c>
      <c r="I86" s="4228" t="s">
        <v>1617</v>
      </c>
      <c r="J86" s="3644">
        <f>J57+J66+J71+J74+J75+J76+J80+J83</f>
        <v>7852.303774</v>
      </c>
      <c r="K86" s="3644">
        <f t="shared" ref="K86:O86" si="100">K57+K66+K71+K74+K75+K76+K80+K83</f>
        <v>13925.607548</v>
      </c>
      <c r="L86" s="3644">
        <f t="shared" si="100"/>
        <v>13633.607548</v>
      </c>
      <c r="M86" s="3644">
        <f t="shared" si="100"/>
        <v>1800.2</v>
      </c>
      <c r="N86" s="3644">
        <f t="shared" si="100"/>
        <v>1791</v>
      </c>
      <c r="O86" s="3644">
        <f t="shared" si="100"/>
        <v>39002.718869999997</v>
      </c>
      <c r="P86" s="4227">
        <f t="shared" si="74"/>
        <v>0.92203442191761498</v>
      </c>
      <c r="Q86" s="4244"/>
      <c r="S86" s="4229" t="s">
        <v>450</v>
      </c>
      <c r="T86" s="3526">
        <f>'12. Разходи'!AA70</f>
        <v>0</v>
      </c>
      <c r="U86" s="3526">
        <f>'12. Разходи'!AB70</f>
        <v>0</v>
      </c>
      <c r="V86" s="3526">
        <f>'12. Разходи'!AC70</f>
        <v>0</v>
      </c>
      <c r="W86" s="3526">
        <f>'12. Разходи'!AD70</f>
        <v>0</v>
      </c>
      <c r="X86" s="3526">
        <f>'12. Разходи'!AE70</f>
        <v>0</v>
      </c>
      <c r="Y86" s="3526">
        <f>'12. Разходи'!AF70</f>
        <v>0</v>
      </c>
      <c r="Z86" s="4227">
        <f t="shared" si="96"/>
        <v>0</v>
      </c>
      <c r="AA86" s="4227">
        <f t="shared" si="97"/>
        <v>0</v>
      </c>
    </row>
    <row r="87" spans="1:27" ht="15.75" customHeight="1">
      <c r="A87" s="4234" t="s">
        <v>222</v>
      </c>
      <c r="B87" s="3526">
        <f>'11. Амортиз. план'!AG85</f>
        <v>0</v>
      </c>
      <c r="C87" s="3526">
        <f>'11. Амортиз. план'!AI85</f>
        <v>0</v>
      </c>
      <c r="D87" s="3526">
        <f>'11. Амортиз. план'!AJ85</f>
        <v>0</v>
      </c>
      <c r="E87" s="3526">
        <f>'11. Амортиз. план'!AK85</f>
        <v>0</v>
      </c>
      <c r="F87" s="3526">
        <f>'11. Амортиз. план'!AL85</f>
        <v>0</v>
      </c>
      <c r="G87" s="3526">
        <f>'11. Амортиз. план'!AM85</f>
        <v>0</v>
      </c>
      <c r="I87" s="4228" t="s">
        <v>1618</v>
      </c>
      <c r="J87" s="3644">
        <f>J58+J67+J72+J77+J78+J81+J84</f>
        <v>1062</v>
      </c>
      <c r="K87" s="3644">
        <f t="shared" ref="K87:O87" si="101">K58+K67+K72+K77+K78+K81+K84</f>
        <v>559</v>
      </c>
      <c r="L87" s="3644">
        <f t="shared" si="101"/>
        <v>559</v>
      </c>
      <c r="M87" s="3644">
        <f t="shared" si="101"/>
        <v>559</v>
      </c>
      <c r="N87" s="3644">
        <f t="shared" si="101"/>
        <v>559</v>
      </c>
      <c r="O87" s="3644">
        <f t="shared" si="101"/>
        <v>3298</v>
      </c>
      <c r="P87" s="4227">
        <f t="shared" si="74"/>
        <v>7.7965578082384968E-2</v>
      </c>
      <c r="Q87" s="4244"/>
      <c r="S87" s="4229" t="s">
        <v>267</v>
      </c>
      <c r="T87" s="3526">
        <f>'12. Разходи'!AA76</f>
        <v>0</v>
      </c>
      <c r="U87" s="3526">
        <f>'12. Разходи'!AB76</f>
        <v>0</v>
      </c>
      <c r="V87" s="3526">
        <f>'12. Разходи'!AC76</f>
        <v>0</v>
      </c>
      <c r="W87" s="3526">
        <f>'12. Разходи'!AD76</f>
        <v>0</v>
      </c>
      <c r="X87" s="3526">
        <f>'12. Разходи'!AE76</f>
        <v>0</v>
      </c>
      <c r="Y87" s="3526">
        <f>'12. Разходи'!AF76</f>
        <v>0</v>
      </c>
      <c r="Z87" s="4227">
        <f t="shared" si="96"/>
        <v>0</v>
      </c>
      <c r="AA87" s="4227">
        <f t="shared" si="97"/>
        <v>0</v>
      </c>
    </row>
    <row r="88" spans="1:27" ht="18" customHeight="1">
      <c r="A88" s="5466" t="s">
        <v>1659</v>
      </c>
      <c r="B88" s="5466"/>
      <c r="C88" s="5466"/>
      <c r="D88" s="5466"/>
      <c r="E88" s="5466"/>
      <c r="F88" s="5466"/>
      <c r="G88" s="5466"/>
      <c r="I88" s="4270" t="s">
        <v>1619</v>
      </c>
      <c r="J88" s="4271">
        <f>J86+J87</f>
        <v>8914.303774</v>
      </c>
      <c r="K88" s="4271">
        <f>K86+K87</f>
        <v>14484.607548</v>
      </c>
      <c r="L88" s="4271">
        <f>L86+L87</f>
        <v>14192.607548</v>
      </c>
      <c r="M88" s="4271">
        <f>M86+M87</f>
        <v>2359.1999999999998</v>
      </c>
      <c r="N88" s="4271">
        <f>N86+N87</f>
        <v>2350</v>
      </c>
      <c r="O88" s="4271">
        <f t="shared" si="92"/>
        <v>42300.718869999997</v>
      </c>
      <c r="P88" s="4272">
        <f t="shared" si="74"/>
        <v>1</v>
      </c>
      <c r="Q88" s="4244"/>
      <c r="S88" s="4237" t="s">
        <v>277</v>
      </c>
      <c r="T88" s="4238">
        <f>SUM(T78:T80,T84:T87)</f>
        <v>0</v>
      </c>
      <c r="U88" s="4238">
        <f t="shared" ref="U88" si="102">SUM(U78:U80,U84:U87)</f>
        <v>0</v>
      </c>
      <c r="V88" s="4238">
        <f t="shared" ref="V88" si="103">SUM(V78:V80,V84:V87)</f>
        <v>0</v>
      </c>
      <c r="W88" s="4238">
        <f t="shared" ref="W88" si="104">SUM(W78:W80,W84:W87)</f>
        <v>0</v>
      </c>
      <c r="X88" s="4238">
        <f t="shared" ref="X88" si="105">SUM(X78:X80,X84:X87)</f>
        <v>0</v>
      </c>
      <c r="Y88" s="4238">
        <f t="shared" ref="Y88" si="106">SUM(Y78:Y80,Y84:Y87)</f>
        <v>0</v>
      </c>
      <c r="Z88" s="4239">
        <f t="shared" si="96"/>
        <v>0</v>
      </c>
      <c r="AA88" s="4239">
        <f t="shared" si="97"/>
        <v>0</v>
      </c>
    </row>
    <row r="89" spans="1:27" ht="15.75" customHeight="1">
      <c r="A89" s="4228" t="s">
        <v>334</v>
      </c>
      <c r="B89" s="3644">
        <f>'11. Амортиз. план'!AG111</f>
        <v>0</v>
      </c>
      <c r="C89" s="3644">
        <f>'11. Амортиз. план'!AI111</f>
        <v>0</v>
      </c>
      <c r="D89" s="3644">
        <f>'11. Амортиз. план'!AJ111</f>
        <v>0</v>
      </c>
      <c r="E89" s="3644">
        <f>'11. Амортиз. план'!AK111</f>
        <v>0</v>
      </c>
      <c r="F89" s="3644">
        <f>'11. Амортиз. план'!AL111</f>
        <v>0</v>
      </c>
      <c r="G89" s="3644">
        <f>'11. Амортиз. план'!AM111</f>
        <v>0</v>
      </c>
      <c r="I89" s="1300"/>
      <c r="J89" s="1300"/>
      <c r="K89" s="1300"/>
      <c r="L89" s="1300"/>
      <c r="M89" s="1300"/>
      <c r="N89" s="1300"/>
      <c r="O89" s="1300"/>
      <c r="P89" s="1300"/>
      <c r="Q89" s="4244"/>
      <c r="S89" s="4245" t="str">
        <f>CONCATENATE("Спестявания и увеличения спрямо ",T77," - нето:")</f>
        <v>Спестявания и увеличения спрямо 2024 г. - нето:</v>
      </c>
      <c r="T89" s="4246"/>
      <c r="U89" s="4245">
        <f>U88-$T88</f>
        <v>0</v>
      </c>
      <c r="V89" s="4245">
        <f t="shared" ref="V89" si="107">V88-$T88</f>
        <v>0</v>
      </c>
      <c r="W89" s="4245">
        <f t="shared" ref="W89" si="108">W88-$T88</f>
        <v>0</v>
      </c>
      <c r="X89" s="4245">
        <f t="shared" ref="X89" si="109">X88-$T88</f>
        <v>0</v>
      </c>
      <c r="Y89" s="4245">
        <f t="shared" ref="Y89" si="110">Y88-$T88</f>
        <v>0</v>
      </c>
      <c r="Z89" s="4246"/>
      <c r="AA89" s="4246"/>
    </row>
    <row r="90" spans="1:27" ht="15.75" customHeight="1">
      <c r="A90" s="4230" t="s">
        <v>218</v>
      </c>
      <c r="B90" s="4231">
        <f>'11. Амортиз. план'!AG131</f>
        <v>0</v>
      </c>
      <c r="C90" s="4231">
        <f>'11. Амортиз. план'!AI131</f>
        <v>0</v>
      </c>
      <c r="D90" s="4231">
        <f>'11. Амортиз. план'!AJ131</f>
        <v>0</v>
      </c>
      <c r="E90" s="4231">
        <f>'11. Амортиз. план'!AK131</f>
        <v>0</v>
      </c>
      <c r="F90" s="4231">
        <f>'11. Амортиз. план'!AL131</f>
        <v>0</v>
      </c>
      <c r="G90" s="4231">
        <f>'11. Амортиз. план'!AM131</f>
        <v>0</v>
      </c>
      <c r="I90" s="4217" t="s">
        <v>82</v>
      </c>
      <c r="J90" s="4218" t="str">
        <f>+'15. ОПП'!$C$7</f>
        <v>2027 г.</v>
      </c>
      <c r="K90" s="4218" t="str">
        <f>+'15. ОПП'!$D$7</f>
        <v>2028 г.</v>
      </c>
      <c r="L90" s="4218" t="str">
        <f>+'15. ОПП'!$E$7</f>
        <v>2029 г.</v>
      </c>
      <c r="M90" s="4218" t="str">
        <f>+'15. ОПП'!$F$7</f>
        <v>2030 г.</v>
      </c>
      <c r="N90" s="4218" t="str">
        <f>+'15. ОПП'!$G$7</f>
        <v>2031 г.</v>
      </c>
      <c r="O90" s="4218" t="s">
        <v>1620</v>
      </c>
      <c r="Q90" s="4244"/>
      <c r="S90" s="4229" t="s">
        <v>1670</v>
      </c>
      <c r="T90" s="3526">
        <f>+'12. Разходи'!AA92</f>
        <v>0</v>
      </c>
      <c r="U90" s="3526">
        <f>+'12. Разходи'!AB92</f>
        <v>0</v>
      </c>
      <c r="V90" s="3526">
        <f>+'12. Разходи'!AC92</f>
        <v>0</v>
      </c>
      <c r="W90" s="3526">
        <f>+'12. Разходи'!AD92</f>
        <v>0</v>
      </c>
      <c r="X90" s="3526">
        <f>+'12. Разходи'!AE92</f>
        <v>0</v>
      </c>
      <c r="Y90" s="3526">
        <f>+'12. Разходи'!AF92</f>
        <v>0</v>
      </c>
      <c r="Z90" s="4227">
        <f t="shared" ref="Z90:Z91" si="111">IFERROR((U90-T90)/T90,0)</f>
        <v>0</v>
      </c>
      <c r="AA90" s="4227">
        <f t="shared" ref="AA90:AA91" si="112">IFERROR((Y90-T90)/T90,0)</f>
        <v>0</v>
      </c>
    </row>
    <row r="91" spans="1:27" ht="15.75" customHeight="1">
      <c r="A91" s="4234" t="s">
        <v>220</v>
      </c>
      <c r="B91" s="3526">
        <f>'11. Амортиз. план'!AG151</f>
        <v>0</v>
      </c>
      <c r="C91" s="3526">
        <f>'11. Амортиз. план'!AI151</f>
        <v>0</v>
      </c>
      <c r="D91" s="3526">
        <f>'11. Амортиз. план'!AJ151</f>
        <v>0</v>
      </c>
      <c r="E91" s="3526">
        <f>'11. Амортиз. план'!AK151</f>
        <v>0</v>
      </c>
      <c r="F91" s="3526">
        <f>'11. Амортиз. план'!AL151</f>
        <v>0</v>
      </c>
      <c r="G91" s="3526">
        <f>'11. Амортиз. план'!AM151</f>
        <v>0</v>
      </c>
      <c r="I91" s="3392" t="s">
        <v>1645</v>
      </c>
      <c r="J91" s="3526">
        <f>'2. Променливи'!F10</f>
        <v>191730</v>
      </c>
      <c r="K91" s="3526">
        <f>'2. Променливи'!G10</f>
        <v>188943.39655278841</v>
      </c>
      <c r="L91" s="3526">
        <f>'2. Променливи'!H10</f>
        <v>186285.10735546594</v>
      </c>
      <c r="M91" s="3526">
        <f>'2. Променливи'!I10</f>
        <v>183626.81815814349</v>
      </c>
      <c r="N91" s="3526">
        <f>'2. Променливи'!J10</f>
        <v>181334.16705569168</v>
      </c>
      <c r="O91" s="3644">
        <f>AVERAGE(J91:N91)</f>
        <v>186383.89782441792</v>
      </c>
      <c r="Q91" s="4244"/>
      <c r="S91" s="4229" t="s">
        <v>1672</v>
      </c>
      <c r="T91" s="3526">
        <f>+'12. Разходи'!AA93</f>
        <v>0</v>
      </c>
      <c r="U91" s="3526">
        <f>+'12. Разходи'!AB93</f>
        <v>0</v>
      </c>
      <c r="V91" s="3526">
        <f>+'12. Разходи'!AC93</f>
        <v>0</v>
      </c>
      <c r="W91" s="3526">
        <f>+'12. Разходи'!AD93</f>
        <v>0</v>
      </c>
      <c r="X91" s="3526">
        <f>+'12. Разходи'!AE93</f>
        <v>0</v>
      </c>
      <c r="Y91" s="3526">
        <f>+'12. Разходи'!AF93</f>
        <v>0</v>
      </c>
      <c r="Z91" s="4227">
        <f t="shared" si="111"/>
        <v>0</v>
      </c>
      <c r="AA91" s="4227">
        <f t="shared" si="112"/>
        <v>0</v>
      </c>
    </row>
    <row r="92" spans="1:27" ht="15.75" customHeight="1">
      <c r="A92" s="4234" t="s">
        <v>222</v>
      </c>
      <c r="B92" s="3526">
        <f>'11. Амортиз. план'!AG171</f>
        <v>0</v>
      </c>
      <c r="C92" s="3526">
        <f>'11. Амортиз. план'!AI171</f>
        <v>0</v>
      </c>
      <c r="D92" s="3526">
        <f>'11. Амортиз. план'!AJ171</f>
        <v>0</v>
      </c>
      <c r="E92" s="3526">
        <f>'11. Амортиз. план'!AK171</f>
        <v>0</v>
      </c>
      <c r="F92" s="3526">
        <f>'11. Амортиз. план'!AL171</f>
        <v>0</v>
      </c>
      <c r="G92" s="3526">
        <f>'11. Амортиз. план'!AM171</f>
        <v>0</v>
      </c>
      <c r="I92" s="3392" t="s">
        <v>1644</v>
      </c>
      <c r="J92" s="3526">
        <f>J59+J68+J73+J74+J79</f>
        <v>8914.303774</v>
      </c>
      <c r="K92" s="3526">
        <f>K59+K68+K73+K74+K79</f>
        <v>14484.607548</v>
      </c>
      <c r="L92" s="3526">
        <f>L59+L68+L73+L74+L79</f>
        <v>14192.607548</v>
      </c>
      <c r="M92" s="3526">
        <f>M59+M68+M73+M74+M79</f>
        <v>2359.1999999999998</v>
      </c>
      <c r="N92" s="3526">
        <f>N59+N68+N73+N74+N79</f>
        <v>2350</v>
      </c>
      <c r="O92" s="3644">
        <f>AVERAGE(J92:N92)</f>
        <v>8460.1437740000001</v>
      </c>
      <c r="Q92" s="4244"/>
      <c r="S92" s="4248" t="s">
        <v>1671</v>
      </c>
      <c r="T92" s="3526">
        <f>+'12. Разходи'!AA94</f>
        <v>0</v>
      </c>
      <c r="U92" s="3526">
        <f>+'12. Разходи'!AB94</f>
        <v>0</v>
      </c>
      <c r="V92" s="3526">
        <f>+'12. Разходи'!AC94</f>
        <v>0</v>
      </c>
      <c r="W92" s="3526">
        <f>+'12. Разходи'!AD94</f>
        <v>0</v>
      </c>
      <c r="X92" s="3526">
        <f>+'12. Разходи'!AE94</f>
        <v>0</v>
      </c>
      <c r="Y92" s="3526">
        <f>+'12. Разходи'!AF94</f>
        <v>0</v>
      </c>
      <c r="Z92" s="4227">
        <f t="shared" ref="Z92" si="113">IFERROR((U92-T92)/T92,0)</f>
        <v>0</v>
      </c>
      <c r="AA92" s="4227">
        <f t="shared" ref="AA92" si="114">IFERROR((Y92-T92)/T92,0)</f>
        <v>0</v>
      </c>
    </row>
    <row r="93" spans="1:27" ht="18" customHeight="1">
      <c r="A93" s="5466" t="s">
        <v>1660</v>
      </c>
      <c r="B93" s="5466"/>
      <c r="C93" s="5466"/>
      <c r="D93" s="5466"/>
      <c r="E93" s="5466"/>
      <c r="F93" s="5466"/>
      <c r="G93" s="5466"/>
      <c r="I93" s="4234" t="s">
        <v>1621</v>
      </c>
      <c r="J93" s="4273">
        <f>IFERROR((J92*1000)/J91,0)</f>
        <v>46.49404774422365</v>
      </c>
      <c r="K93" s="4273">
        <f t="shared" ref="K93:O93" si="115">IFERROR((K92*1000)/K91,0)</f>
        <v>76.661094339717678</v>
      </c>
      <c r="L93" s="4273">
        <f t="shared" si="115"/>
        <v>76.187558680780199</v>
      </c>
      <c r="M93" s="4273">
        <f t="shared" si="115"/>
        <v>12.8477965455362</v>
      </c>
      <c r="N93" s="4273">
        <f t="shared" si="115"/>
        <v>12.959499239204401</v>
      </c>
      <c r="O93" s="4273">
        <f t="shared" si="115"/>
        <v>45.390958514934802</v>
      </c>
      <c r="Q93" s="4244"/>
      <c r="S93" s="4229" t="s">
        <v>1674</v>
      </c>
      <c r="T93" s="3526">
        <f>'12. Разходи'!AA90</f>
        <v>0</v>
      </c>
      <c r="U93" s="3526">
        <f>'12. Разходи'!AB90</f>
        <v>0</v>
      </c>
      <c r="V93" s="3526">
        <f>'12. Разходи'!AC90</f>
        <v>0</v>
      </c>
      <c r="W93" s="3526">
        <f>'12. Разходи'!AD90</f>
        <v>0</v>
      </c>
      <c r="X93" s="3526">
        <f>'12. Разходи'!AE90</f>
        <v>0</v>
      </c>
      <c r="Y93" s="3526">
        <f>'12. Разходи'!AF90</f>
        <v>0</v>
      </c>
      <c r="Z93" s="4227">
        <f t="shared" si="96"/>
        <v>0</v>
      </c>
      <c r="AA93" s="4227">
        <f t="shared" si="97"/>
        <v>0</v>
      </c>
    </row>
    <row r="94" spans="1:27" ht="15.75" customHeight="1">
      <c r="A94" s="4228" t="s">
        <v>334</v>
      </c>
      <c r="B94" s="3644">
        <f>'11. Амортиз. план'!AG192</f>
        <v>0</v>
      </c>
      <c r="C94" s="3644">
        <f>'11. Амортиз. план'!AI192</f>
        <v>0</v>
      </c>
      <c r="D94" s="3644">
        <f>'11. Амортиз. план'!AJ192</f>
        <v>0</v>
      </c>
      <c r="E94" s="3644">
        <f>'11. Амортиз. план'!AK192</f>
        <v>0</v>
      </c>
      <c r="F94" s="3644">
        <f>'11. Амортиз. план'!AL192</f>
        <v>0</v>
      </c>
      <c r="G94" s="3644">
        <f>'11. Амортиз. план'!AM192</f>
        <v>0</v>
      </c>
      <c r="I94" s="1301"/>
      <c r="J94" s="1300"/>
      <c r="K94" s="1300"/>
      <c r="L94" s="1300"/>
      <c r="M94" s="1300"/>
      <c r="N94" s="1300"/>
      <c r="O94" s="1300"/>
      <c r="Q94" s="4244"/>
      <c r="S94" s="4229" t="s">
        <v>1232</v>
      </c>
      <c r="T94" s="3526">
        <f>'12. Разходи'!AA89</f>
        <v>0</v>
      </c>
      <c r="U94" s="3526">
        <f>'12. Разходи'!AB89</f>
        <v>0</v>
      </c>
      <c r="V94" s="3526">
        <f>'12. Разходи'!AC89</f>
        <v>0</v>
      </c>
      <c r="W94" s="3526">
        <f>'12. Разходи'!AD89</f>
        <v>0</v>
      </c>
      <c r="X94" s="3526">
        <f>'12. Разходи'!AE89</f>
        <v>0</v>
      </c>
      <c r="Y94" s="3526">
        <f>'12. Разходи'!AF89</f>
        <v>0</v>
      </c>
      <c r="Z94" s="4227">
        <f t="shared" si="96"/>
        <v>0</v>
      </c>
      <c r="AA94" s="4227">
        <f t="shared" si="97"/>
        <v>0</v>
      </c>
    </row>
    <row r="95" spans="1:27" ht="15.75" customHeight="1">
      <c r="A95" s="4230" t="s">
        <v>218</v>
      </c>
      <c r="B95" s="4231">
        <f>'11. Амортиз. план'!AG214</f>
        <v>0</v>
      </c>
      <c r="C95" s="4231">
        <f>'11. Амортиз. план'!AI214</f>
        <v>0</v>
      </c>
      <c r="D95" s="4231">
        <f>'11. Амортиз. план'!AJ214</f>
        <v>0</v>
      </c>
      <c r="E95" s="4231">
        <f>'11. Амортиз. план'!AK214</f>
        <v>0</v>
      </c>
      <c r="F95" s="4231">
        <f>'11. Амортиз. план'!AL214</f>
        <v>0</v>
      </c>
      <c r="G95" s="4231">
        <f>'11. Амортиз. план'!AM214</f>
        <v>0</v>
      </c>
      <c r="I95" s="1301" t="s">
        <v>1646</v>
      </c>
      <c r="J95" s="1300"/>
      <c r="K95" s="1300"/>
      <c r="L95" s="1300"/>
      <c r="M95" s="1300"/>
      <c r="N95" s="1300"/>
      <c r="O95" s="1300"/>
      <c r="Q95" s="4244"/>
      <c r="S95" s="4274"/>
      <c r="T95" s="4275"/>
      <c r="U95" s="4275"/>
      <c r="V95" s="4275"/>
      <c r="W95" s="4275"/>
      <c r="X95" s="4275"/>
      <c r="Y95" s="4275"/>
      <c r="Z95" s="4276"/>
      <c r="AA95" s="4276"/>
    </row>
    <row r="96" spans="1:27" ht="16.5" customHeight="1">
      <c r="A96" s="4234" t="s">
        <v>220</v>
      </c>
      <c r="B96" s="3526">
        <f>'11. Амортиз. план'!AG236</f>
        <v>0</v>
      </c>
      <c r="C96" s="3526">
        <f>'11. Амортиз. план'!AI236</f>
        <v>0</v>
      </c>
      <c r="D96" s="3526">
        <f>'11. Амортиз. план'!AJ236</f>
        <v>0</v>
      </c>
      <c r="E96" s="3526">
        <f>'11. Амортиз. план'!AK236</f>
        <v>0</v>
      </c>
      <c r="F96" s="3526">
        <f>'11. Амортиз. план'!AL236</f>
        <v>0</v>
      </c>
      <c r="G96" s="3526">
        <f>'11. Амортиз. план'!AM236</f>
        <v>0</v>
      </c>
      <c r="I96" s="1301" t="s">
        <v>948</v>
      </c>
      <c r="J96" s="1300"/>
      <c r="K96" s="1300"/>
      <c r="L96" s="1300"/>
      <c r="M96" s="1300"/>
      <c r="N96" s="1300"/>
      <c r="O96" s="1300"/>
      <c r="Q96" s="4244"/>
      <c r="S96" s="4274"/>
      <c r="T96" s="4275"/>
      <c r="U96" s="4275"/>
      <c r="V96" s="4275"/>
      <c r="W96" s="4275"/>
      <c r="X96" s="4275"/>
      <c r="Y96" s="4275"/>
      <c r="Z96" s="4276"/>
      <c r="AA96" s="4276"/>
    </row>
    <row r="97" spans="1:27" ht="15.75" customHeight="1">
      <c r="A97" s="4234" t="s">
        <v>222</v>
      </c>
      <c r="B97" s="3526">
        <f>'11. Амортиз. план'!AG258</f>
        <v>0</v>
      </c>
      <c r="C97" s="3526">
        <f>'11. Амортиз. план'!AI258</f>
        <v>0</v>
      </c>
      <c r="D97" s="3526">
        <f>'11. Амортиз. план'!AJ258</f>
        <v>0</v>
      </c>
      <c r="E97" s="3526">
        <f>'11. Амортиз. план'!AK258</f>
        <v>0</v>
      </c>
      <c r="F97" s="3526">
        <f>'11. Амортиз. план'!AL258</f>
        <v>0</v>
      </c>
      <c r="G97" s="3526">
        <f>'11. Амортиз. план'!AM258</f>
        <v>0</v>
      </c>
      <c r="I97" s="4217" t="s">
        <v>1622</v>
      </c>
      <c r="J97" s="4218" t="str">
        <f>+'15. ОПП'!$C$7</f>
        <v>2027 г.</v>
      </c>
      <c r="K97" s="4218" t="str">
        <f>+'15. ОПП'!$D$7</f>
        <v>2028 г.</v>
      </c>
      <c r="L97" s="4218" t="str">
        <f>+'15. ОПП'!$E$7</f>
        <v>2029 г.</v>
      </c>
      <c r="M97" s="4218" t="str">
        <f>+'15. ОПП'!$F$7</f>
        <v>2030 г.</v>
      </c>
      <c r="N97" s="4218" t="str">
        <f>+'15. ОПП'!$G$7</f>
        <v>2031 г.</v>
      </c>
      <c r="O97" s="4218" t="s">
        <v>1623</v>
      </c>
      <c r="Q97" s="4244"/>
      <c r="S97" s="4274"/>
      <c r="T97" s="4275"/>
      <c r="U97" s="4275"/>
      <c r="V97" s="4275"/>
      <c r="W97" s="4275"/>
      <c r="X97" s="4275"/>
      <c r="Y97" s="4275"/>
      <c r="Z97" s="4276"/>
      <c r="AA97" s="4276"/>
    </row>
    <row r="98" spans="1:27" ht="15.75" customHeight="1">
      <c r="A98" s="2" t="s">
        <v>1665</v>
      </c>
      <c r="B98" s="11"/>
      <c r="C98" s="11"/>
      <c r="D98" s="11"/>
      <c r="E98" s="11"/>
      <c r="F98" s="11"/>
      <c r="G98" s="3393" t="s">
        <v>1636</v>
      </c>
      <c r="I98" s="4265" t="s">
        <v>1618</v>
      </c>
      <c r="J98" s="4238">
        <f>'9.Инвестиционна програма'!I146</f>
        <v>1062</v>
      </c>
      <c r="K98" s="4238">
        <f>'9.Инвестиционна програма'!J146</f>
        <v>558.99999999999989</v>
      </c>
      <c r="L98" s="4238">
        <f>'9.Инвестиционна програма'!K146</f>
        <v>558.99999999999989</v>
      </c>
      <c r="M98" s="4238">
        <f>'9.Инвестиционна програма'!L146</f>
        <v>558.99999999999989</v>
      </c>
      <c r="N98" s="4238">
        <f>'9.Инвестиционна програма'!M146</f>
        <v>558.99999999999989</v>
      </c>
      <c r="O98" s="4238">
        <f t="shared" ref="O98:O101" si="116">SUM(J98:N98)</f>
        <v>3298</v>
      </c>
      <c r="Q98" s="4244"/>
      <c r="S98" s="4274"/>
      <c r="T98" s="4275"/>
      <c r="U98" s="4275"/>
      <c r="V98" s="4275"/>
      <c r="W98" s="4275"/>
      <c r="X98" s="4275"/>
      <c r="Y98" s="4275"/>
      <c r="Z98" s="4276"/>
      <c r="AA98" s="4276"/>
    </row>
    <row r="99" spans="1:27" ht="16.5" customHeight="1">
      <c r="A99" s="5467" t="s">
        <v>87</v>
      </c>
      <c r="B99" s="5460" t="s">
        <v>1661</v>
      </c>
      <c r="C99" s="5460"/>
      <c r="D99" s="5460"/>
      <c r="E99" s="5460"/>
      <c r="F99" s="5460"/>
      <c r="G99" s="5460"/>
      <c r="I99" s="4230" t="s">
        <v>1624</v>
      </c>
      <c r="J99" s="4231">
        <f>'10. Финансиране на ИП'!AT15</f>
        <v>72</v>
      </c>
      <c r="K99" s="4231">
        <f>'10. Финансиране на ИП'!AU15</f>
        <v>23</v>
      </c>
      <c r="L99" s="4231">
        <f>'10. Финансиране на ИП'!AV15</f>
        <v>23</v>
      </c>
      <c r="M99" s="4231">
        <f>'10. Финансиране на ИП'!AW15</f>
        <v>23</v>
      </c>
      <c r="N99" s="4231">
        <f>'10. Финансиране на ИП'!AX15</f>
        <v>23</v>
      </c>
      <c r="O99" s="4263">
        <f t="shared" si="116"/>
        <v>164</v>
      </c>
      <c r="Q99" s="4244"/>
      <c r="S99" s="3401" t="s">
        <v>1092</v>
      </c>
      <c r="T99" s="11"/>
      <c r="U99" s="11"/>
      <c r="V99" s="11"/>
      <c r="W99" s="11"/>
      <c r="X99" s="11"/>
      <c r="Y99" s="11"/>
      <c r="Z99" s="11"/>
      <c r="AA99" s="11"/>
    </row>
    <row r="100" spans="1:27" ht="19.5" customHeight="1">
      <c r="A100" s="5467"/>
      <c r="B100" s="4268" t="str">
        <f>B40</f>
        <v>2024 г.</v>
      </c>
      <c r="C100" s="4268" t="str">
        <f>C82</f>
        <v>2027 г.</v>
      </c>
      <c r="D100" s="4268" t="str">
        <f>D40</f>
        <v>2028 г.</v>
      </c>
      <c r="E100" s="4268" t="str">
        <f>E40</f>
        <v>2029 г.</v>
      </c>
      <c r="F100" s="4268" t="str">
        <f>F40</f>
        <v>2030 г.</v>
      </c>
      <c r="G100" s="4268" t="str">
        <f>G40</f>
        <v>2031 г.</v>
      </c>
      <c r="I100" s="4230" t="s">
        <v>1647</v>
      </c>
      <c r="J100" s="4231">
        <f>'10. Финансиране на ИП'!AT16</f>
        <v>990</v>
      </c>
      <c r="K100" s="4231">
        <f>'10. Финансиране на ИП'!AU16</f>
        <v>536</v>
      </c>
      <c r="L100" s="4231">
        <f>'10. Финансиране на ИП'!AV16</f>
        <v>536</v>
      </c>
      <c r="M100" s="4231">
        <f>'10. Финансиране на ИП'!AW16</f>
        <v>536</v>
      </c>
      <c r="N100" s="4231">
        <f>'10. Финансиране на ИП'!AX16</f>
        <v>536</v>
      </c>
      <c r="O100" s="4263">
        <f t="shared" si="116"/>
        <v>3134</v>
      </c>
      <c r="Q100" s="4244"/>
      <c r="S100" s="5460" t="s">
        <v>1668</v>
      </c>
      <c r="T100" s="5460" t="str">
        <f>S99</f>
        <v>Доставяне на вода на друг ВиК оператор</v>
      </c>
      <c r="U100" s="5460"/>
      <c r="V100" s="5460"/>
      <c r="W100" s="5460"/>
      <c r="X100" s="5460"/>
      <c r="Y100" s="5460"/>
      <c r="Z100" s="5404" t="str">
        <f>+"Изменение "&amp;U101&amp;" спр. "&amp;T101</f>
        <v>Изменение 2027 г. спр. 2024 г.</v>
      </c>
      <c r="AA100" s="5404" t="str">
        <f>+"Изменение "&amp;Y101&amp;" спр. "&amp;T101</f>
        <v>Изменение 2031 г. спр. 2024 г.</v>
      </c>
    </row>
    <row r="101" spans="1:27" ht="21" customHeight="1">
      <c r="A101" s="5466" t="s">
        <v>1658</v>
      </c>
      <c r="B101" s="5466"/>
      <c r="C101" s="5466"/>
      <c r="D101" s="5466"/>
      <c r="E101" s="5466"/>
      <c r="F101" s="5466"/>
      <c r="G101" s="5466"/>
      <c r="I101" s="4265" t="s">
        <v>1625</v>
      </c>
      <c r="J101" s="4238">
        <f>'12. Разходи'!AX56</f>
        <v>562.08999999999992</v>
      </c>
      <c r="K101" s="4238">
        <f>'12. Разходи'!AY56</f>
        <v>619.07999999999993</v>
      </c>
      <c r="L101" s="4238">
        <f>'12. Разходи'!AZ56</f>
        <v>587.21999999999969</v>
      </c>
      <c r="M101" s="4238">
        <f>'12. Разходи'!BA56</f>
        <v>617.02</v>
      </c>
      <c r="N101" s="4238">
        <f>'12. Разходи'!BB56</f>
        <v>635.86000000000024</v>
      </c>
      <c r="O101" s="4238">
        <f t="shared" si="116"/>
        <v>3021.2699999999995</v>
      </c>
      <c r="Q101" s="4244"/>
      <c r="S101" s="5460"/>
      <c r="T101" s="4214" t="str">
        <f t="shared" ref="T101:Y101" si="117">T77</f>
        <v>2024 г.</v>
      </c>
      <c r="U101" s="4214" t="str">
        <f t="shared" si="117"/>
        <v>2027 г.</v>
      </c>
      <c r="V101" s="4214" t="str">
        <f t="shared" si="117"/>
        <v>2028 г.</v>
      </c>
      <c r="W101" s="4214" t="str">
        <f t="shared" si="117"/>
        <v>2029 г.</v>
      </c>
      <c r="X101" s="4214" t="str">
        <f t="shared" si="117"/>
        <v>2030 г.</v>
      </c>
      <c r="Y101" s="4214" t="str">
        <f t="shared" si="117"/>
        <v>2031 г.</v>
      </c>
      <c r="Z101" s="5404"/>
      <c r="AA101" s="5404"/>
    </row>
    <row r="102" spans="1:27" ht="16.5" customHeight="1">
      <c r="A102" s="4228" t="s">
        <v>334</v>
      </c>
      <c r="B102" s="3644">
        <f t="shared" ref="B102:G105" si="118">B6+B24+B42+B60+B84</f>
        <v>15023</v>
      </c>
      <c r="C102" s="3644">
        <f t="shared" si="118"/>
        <v>16735</v>
      </c>
      <c r="D102" s="3644">
        <f t="shared" si="118"/>
        <v>17294.000000000007</v>
      </c>
      <c r="E102" s="3644">
        <f t="shared" si="118"/>
        <v>17853.000000000004</v>
      </c>
      <c r="F102" s="3644">
        <f t="shared" si="118"/>
        <v>18412</v>
      </c>
      <c r="G102" s="3644">
        <f t="shared" si="118"/>
        <v>18971.000000000007</v>
      </c>
      <c r="I102" s="4277" t="s">
        <v>1626</v>
      </c>
      <c r="J102" s="4278">
        <f>J101-J99</f>
        <v>490.08999999999992</v>
      </c>
      <c r="K102" s="4278">
        <f t="shared" ref="K102:O102" si="119">K101-K99</f>
        <v>596.07999999999993</v>
      </c>
      <c r="L102" s="4278">
        <f t="shared" si="119"/>
        <v>564.21999999999969</v>
      </c>
      <c r="M102" s="4278">
        <f t="shared" si="119"/>
        <v>594.02</v>
      </c>
      <c r="N102" s="4278">
        <f t="shared" si="119"/>
        <v>612.86000000000024</v>
      </c>
      <c r="O102" s="4278">
        <f t="shared" si="119"/>
        <v>2857.2699999999995</v>
      </c>
      <c r="Q102" s="4244"/>
      <c r="S102" s="4229" t="s">
        <v>226</v>
      </c>
      <c r="T102" s="3526">
        <f>'12. Разходи'!AI11</f>
        <v>0</v>
      </c>
      <c r="U102" s="3526">
        <f>'12. Разходи'!AJ11</f>
        <v>0</v>
      </c>
      <c r="V102" s="3526">
        <f>'12. Разходи'!AK11</f>
        <v>0</v>
      </c>
      <c r="W102" s="3526">
        <f>'12. Разходи'!AL11</f>
        <v>0</v>
      </c>
      <c r="X102" s="3526">
        <f>'12. Разходи'!AM11</f>
        <v>0</v>
      </c>
      <c r="Y102" s="3526">
        <f>'12. Разходи'!AN11</f>
        <v>0</v>
      </c>
      <c r="Z102" s="4227">
        <f>IFERROR((U102-T102)/T102,0)</f>
        <v>0</v>
      </c>
      <c r="AA102" s="4227">
        <f>IFERROR((Y102-T102)/T102,0)</f>
        <v>0</v>
      </c>
    </row>
    <row r="103" spans="1:27" ht="15.75" customHeight="1">
      <c r="A103" s="4230" t="s">
        <v>218</v>
      </c>
      <c r="B103" s="3526">
        <f t="shared" si="118"/>
        <v>427</v>
      </c>
      <c r="C103" s="3526">
        <f t="shared" si="118"/>
        <v>562.08999999999992</v>
      </c>
      <c r="D103" s="3526">
        <f t="shared" si="118"/>
        <v>619.07999999999993</v>
      </c>
      <c r="E103" s="3526">
        <f t="shared" si="118"/>
        <v>587.21999999999969</v>
      </c>
      <c r="F103" s="3526">
        <f t="shared" si="118"/>
        <v>617.02</v>
      </c>
      <c r="G103" s="3526">
        <f t="shared" si="118"/>
        <v>635.86000000000024</v>
      </c>
      <c r="I103" s="4279"/>
      <c r="J103" s="4280"/>
      <c r="K103" s="4280"/>
      <c r="L103" s="4280"/>
      <c r="M103" s="4280"/>
      <c r="N103" s="4280"/>
      <c r="O103" s="4280"/>
      <c r="Q103" s="4244"/>
      <c r="S103" s="4229" t="s">
        <v>239</v>
      </c>
      <c r="T103" s="3526">
        <f>'12. Разходи'!AI29</f>
        <v>0</v>
      </c>
      <c r="U103" s="3526">
        <f>'12. Разходи'!AJ29</f>
        <v>0</v>
      </c>
      <c r="V103" s="3526">
        <f>'12. Разходи'!AK29</f>
        <v>0</v>
      </c>
      <c r="W103" s="3526">
        <f>'12. Разходи'!AL29</f>
        <v>0</v>
      </c>
      <c r="X103" s="3526">
        <f>'12. Разходи'!AM29</f>
        <v>0</v>
      </c>
      <c r="Y103" s="3526">
        <f>'12. Разходи'!AN29</f>
        <v>0</v>
      </c>
      <c r="Z103" s="4227">
        <f t="shared" ref="Z103:Z118" si="120">IFERROR((U103-T103)/T103,0)</f>
        <v>0</v>
      </c>
      <c r="AA103" s="4227">
        <f t="shared" ref="AA103:AA118" si="121">IFERROR((Y103-T103)/T103,0)</f>
        <v>0</v>
      </c>
    </row>
    <row r="104" spans="1:27" ht="21" customHeight="1">
      <c r="A104" s="4234" t="s">
        <v>220</v>
      </c>
      <c r="B104" s="3526">
        <f t="shared" si="118"/>
        <v>8920</v>
      </c>
      <c r="C104" s="3526">
        <f t="shared" si="118"/>
        <v>9977.89</v>
      </c>
      <c r="D104" s="3526">
        <f t="shared" si="118"/>
        <v>10596.970000000001</v>
      </c>
      <c r="E104" s="3526">
        <f t="shared" si="118"/>
        <v>11184.19</v>
      </c>
      <c r="F104" s="3526">
        <f t="shared" si="118"/>
        <v>11801.21</v>
      </c>
      <c r="G104" s="3526">
        <f t="shared" si="118"/>
        <v>12437.070000000002</v>
      </c>
      <c r="I104" s="3399" t="s">
        <v>1729</v>
      </c>
      <c r="J104" s="4218" t="str">
        <f>+'15. ОПП'!$C$7</f>
        <v>2027 г.</v>
      </c>
      <c r="K104" s="4218" t="str">
        <f>+'15. ОПП'!$D$7</f>
        <v>2028 г.</v>
      </c>
      <c r="L104" s="4218" t="str">
        <f>+'15. ОПП'!$E$7</f>
        <v>2029 г.</v>
      </c>
      <c r="M104" s="4218" t="str">
        <f>+'15. ОПП'!$F$7</f>
        <v>2030 г.</v>
      </c>
      <c r="N104" s="4218" t="str">
        <f>+'15. ОПП'!$G$7</f>
        <v>2031 г.</v>
      </c>
      <c r="Q104" s="4244"/>
      <c r="S104" s="4229" t="s">
        <v>446</v>
      </c>
      <c r="T104" s="3526">
        <f>'12. Разходи'!AI55</f>
        <v>0</v>
      </c>
      <c r="U104" s="3526">
        <f>'12. Разходи'!AJ55</f>
        <v>0</v>
      </c>
      <c r="V104" s="3526">
        <f>'12. Разходи'!AK55</f>
        <v>0</v>
      </c>
      <c r="W104" s="3526">
        <f>'12. Разходи'!AL55</f>
        <v>0</v>
      </c>
      <c r="X104" s="3526">
        <f>'12. Разходи'!AM55</f>
        <v>0</v>
      </c>
      <c r="Y104" s="3526">
        <f>'12. Разходи'!AN55</f>
        <v>0</v>
      </c>
      <c r="Z104" s="4227">
        <f t="shared" si="120"/>
        <v>0</v>
      </c>
      <c r="AA104" s="4227">
        <f t="shared" si="121"/>
        <v>0</v>
      </c>
    </row>
    <row r="105" spans="1:27" ht="15.75" customHeight="1">
      <c r="A105" s="4234" t="s">
        <v>222</v>
      </c>
      <c r="B105" s="3526">
        <f t="shared" si="118"/>
        <v>6103</v>
      </c>
      <c r="C105" s="3526">
        <f t="shared" si="118"/>
        <v>6757.11</v>
      </c>
      <c r="D105" s="3526">
        <f t="shared" si="118"/>
        <v>6697.0299999999988</v>
      </c>
      <c r="E105" s="3526">
        <f t="shared" si="118"/>
        <v>6668.8099999999977</v>
      </c>
      <c r="F105" s="3526">
        <f t="shared" si="118"/>
        <v>6610.79</v>
      </c>
      <c r="G105" s="3526">
        <f t="shared" si="118"/>
        <v>6533.9299999999994</v>
      </c>
      <c r="I105" s="3392" t="s">
        <v>1656</v>
      </c>
      <c r="J105" s="3397">
        <f>'10. Финансиране на ИП'!AT59*'10. Финансиране на ИП'!AT66</f>
        <v>0</v>
      </c>
      <c r="K105" s="3397">
        <f>'10. Финансиране на ИП'!AU59*'10. Финансиране на ИП'!AU66</f>
        <v>990</v>
      </c>
      <c r="L105" s="3397">
        <f>'10. Финансиране на ИП'!AV59*'10. Финансиране на ИП'!AV66</f>
        <v>1526</v>
      </c>
      <c r="M105" s="3397">
        <f>'10. Финансиране на ИП'!AW59*'10. Финансиране на ИП'!AW66</f>
        <v>2062</v>
      </c>
      <c r="N105" s="3397">
        <f>'10. Финансиране на ИП'!AX59*'10. Финансиране на ИП'!AX66</f>
        <v>2598</v>
      </c>
      <c r="Q105" s="4244"/>
      <c r="S105" s="4235" t="s">
        <v>447</v>
      </c>
      <c r="T105" s="3526">
        <f>'12. Разходи'!AI56</f>
        <v>0</v>
      </c>
      <c r="U105" s="3526">
        <f>'12. Разходи'!AJ56</f>
        <v>0</v>
      </c>
      <c r="V105" s="3526">
        <f>'12. Разходи'!AK56</f>
        <v>0</v>
      </c>
      <c r="W105" s="3526">
        <f>'12. Разходи'!AL56</f>
        <v>0</v>
      </c>
      <c r="X105" s="3526">
        <f>'12. Разходи'!AM56</f>
        <v>0</v>
      </c>
      <c r="Y105" s="3526">
        <f>'12. Разходи'!AN56</f>
        <v>0</v>
      </c>
      <c r="Z105" s="4227">
        <f t="shared" si="120"/>
        <v>0</v>
      </c>
      <c r="AA105" s="4227">
        <f t="shared" si="121"/>
        <v>0</v>
      </c>
    </row>
    <row r="106" spans="1:27" ht="15.75" customHeight="1">
      <c r="A106" s="5466" t="s">
        <v>1659</v>
      </c>
      <c r="B106" s="5466"/>
      <c r="C106" s="5466"/>
      <c r="D106" s="5466"/>
      <c r="E106" s="5466"/>
      <c r="F106" s="5466"/>
      <c r="G106" s="5466"/>
      <c r="I106" s="3394" t="s">
        <v>1651</v>
      </c>
      <c r="J106" s="3395">
        <f>'10. Финансиране на ИП'!AT60*'10. Финансиране на ИП'!AT66</f>
        <v>990</v>
      </c>
      <c r="K106" s="3395">
        <f>'10. Финансиране на ИП'!AU60*'10. Финансиране на ИП'!AU66</f>
        <v>536</v>
      </c>
      <c r="L106" s="3395">
        <f>'10. Финансиране на ИП'!AV60*'10. Финансиране на ИП'!AV66</f>
        <v>536</v>
      </c>
      <c r="M106" s="3395">
        <f>'10. Финансиране на ИП'!AW60*'10. Финансиране на ИП'!AW66</f>
        <v>536</v>
      </c>
      <c r="N106" s="3395">
        <f>'10. Финансиране на ИП'!AX60*'10. Финансиране на ИП'!AX66</f>
        <v>536</v>
      </c>
      <c r="Q106" s="4244"/>
      <c r="S106" s="4235" t="s">
        <v>736</v>
      </c>
      <c r="T106" s="3526">
        <f>'12. Разходи'!AI57</f>
        <v>0</v>
      </c>
      <c r="U106" s="3526">
        <f>'12. Разходи'!AJ57</f>
        <v>0</v>
      </c>
      <c r="V106" s="3526">
        <f>'12. Разходи'!AK57</f>
        <v>0</v>
      </c>
      <c r="W106" s="3526">
        <f>'12. Разходи'!AL57</f>
        <v>0</v>
      </c>
      <c r="X106" s="3526">
        <f>'12. Разходи'!AM57</f>
        <v>0</v>
      </c>
      <c r="Y106" s="3526">
        <f>'12. Разходи'!AN57</f>
        <v>0</v>
      </c>
      <c r="Z106" s="4227">
        <f t="shared" si="120"/>
        <v>0</v>
      </c>
      <c r="AA106" s="4227">
        <f t="shared" si="121"/>
        <v>0</v>
      </c>
    </row>
    <row r="107" spans="1:27" ht="15.75" customHeight="1">
      <c r="A107" s="4228" t="s">
        <v>334</v>
      </c>
      <c r="B107" s="3644">
        <f t="shared" ref="B107:G110" si="122">B11+B29+B47+B65+B89</f>
        <v>7019</v>
      </c>
      <c r="C107" s="3644">
        <f t="shared" si="122"/>
        <v>16470.303774</v>
      </c>
      <c r="D107" s="3644">
        <f t="shared" si="122"/>
        <v>30395.911322</v>
      </c>
      <c r="E107" s="3644">
        <f t="shared" si="122"/>
        <v>44029.51887</v>
      </c>
      <c r="F107" s="3644">
        <f t="shared" si="122"/>
        <v>45829.718870000004</v>
      </c>
      <c r="G107" s="3644">
        <f t="shared" si="122"/>
        <v>47620.718870000004</v>
      </c>
      <c r="I107" s="3394" t="s">
        <v>1652</v>
      </c>
      <c r="J107" s="3395">
        <f>'10. Финансиране на ИП'!AT61*'10. Финансиране на ИП'!AT66</f>
        <v>0</v>
      </c>
      <c r="K107" s="3395">
        <f>'10. Финансиране на ИП'!AU61*'10. Финансиране на ИП'!AU66</f>
        <v>0</v>
      </c>
      <c r="L107" s="3395">
        <f>'10. Финансиране на ИП'!AV61*'10. Финансиране на ИП'!AV66</f>
        <v>0</v>
      </c>
      <c r="M107" s="3395">
        <f>'10. Финансиране на ИП'!AW61*'10. Финансиране на ИП'!AW66</f>
        <v>0</v>
      </c>
      <c r="N107" s="3395">
        <f>'10. Финансиране на ИП'!AX61*'10. Финансиране на ИП'!AX66</f>
        <v>0</v>
      </c>
      <c r="Q107" s="4244"/>
      <c r="S107" s="4235" t="s">
        <v>737</v>
      </c>
      <c r="T107" s="3526">
        <f>'12. Разходи'!AI58</f>
        <v>0</v>
      </c>
      <c r="U107" s="3526">
        <f>'12. Разходи'!AJ58</f>
        <v>0</v>
      </c>
      <c r="V107" s="3526">
        <f>'12. Разходи'!AK58</f>
        <v>0</v>
      </c>
      <c r="W107" s="3526">
        <f>'12. Разходи'!AL58</f>
        <v>0</v>
      </c>
      <c r="X107" s="3526">
        <f>'12. Разходи'!AM58</f>
        <v>0</v>
      </c>
      <c r="Y107" s="3526">
        <f>'12. Разходи'!AN58</f>
        <v>0</v>
      </c>
      <c r="Z107" s="4227">
        <f t="shared" si="120"/>
        <v>0</v>
      </c>
      <c r="AA107" s="4227">
        <f t="shared" si="121"/>
        <v>0</v>
      </c>
    </row>
    <row r="108" spans="1:27" ht="15.75" customHeight="1">
      <c r="A108" s="4230" t="s">
        <v>218</v>
      </c>
      <c r="B108" s="3526">
        <f t="shared" si="122"/>
        <v>376</v>
      </c>
      <c r="C108" s="3526">
        <f t="shared" si="122"/>
        <v>698.68262235999987</v>
      </c>
      <c r="D108" s="3526">
        <f t="shared" si="122"/>
        <v>1097.5554894400002</v>
      </c>
      <c r="E108" s="3526">
        <f t="shared" si="122"/>
        <v>1579.5659788799999</v>
      </c>
      <c r="F108" s="3526">
        <f t="shared" si="122"/>
        <v>1871.6412235999999</v>
      </c>
      <c r="G108" s="3526">
        <f t="shared" si="122"/>
        <v>1991.1912236000003</v>
      </c>
      <c r="I108" s="3392" t="s">
        <v>1653</v>
      </c>
      <c r="J108" s="3397">
        <f>'10. Финансиране на ИП'!AT62*'10. Финансиране на ИП'!AT66</f>
        <v>0</v>
      </c>
      <c r="K108" s="3397">
        <f>'10. Финансиране на ИП'!AU62*'10. Финансиране на ИП'!AU66</f>
        <v>0</v>
      </c>
      <c r="L108" s="3397">
        <f>'10. Финансиране на ИП'!AV62*'10. Финансиране на ИП'!AV66</f>
        <v>0</v>
      </c>
      <c r="M108" s="3397">
        <f>'10. Финансиране на ИП'!AW62*'10. Финансиране на ИП'!AW66</f>
        <v>0</v>
      </c>
      <c r="N108" s="3397">
        <f>'10. Финансиране на ИП'!AX62*'10. Финансиране на ИП'!AX66</f>
        <v>0</v>
      </c>
      <c r="Q108" s="4244"/>
      <c r="S108" s="4229" t="s">
        <v>448</v>
      </c>
      <c r="T108" s="3526">
        <f>'12. Разходи'!AI59</f>
        <v>0</v>
      </c>
      <c r="U108" s="3526">
        <f>'12. Разходи'!AJ59</f>
        <v>0</v>
      </c>
      <c r="V108" s="3526">
        <f>'12. Разходи'!AK59</f>
        <v>0</v>
      </c>
      <c r="W108" s="3526">
        <f>'12. Разходи'!AL59</f>
        <v>0</v>
      </c>
      <c r="X108" s="3526">
        <f>'12. Разходи'!AM59</f>
        <v>0</v>
      </c>
      <c r="Y108" s="3526">
        <f>'12. Разходи'!AN59</f>
        <v>0</v>
      </c>
      <c r="Z108" s="4227">
        <f t="shared" si="120"/>
        <v>0</v>
      </c>
      <c r="AA108" s="4227">
        <f t="shared" si="121"/>
        <v>0</v>
      </c>
    </row>
    <row r="109" spans="1:27" ht="15.75" customHeight="1">
      <c r="A109" s="4234" t="s">
        <v>220</v>
      </c>
      <c r="B109" s="3526">
        <f t="shared" si="122"/>
        <v>1294</v>
      </c>
      <c r="C109" s="3526">
        <f t="shared" si="122"/>
        <v>2477.6276223599998</v>
      </c>
      <c r="D109" s="3526">
        <f t="shared" si="122"/>
        <v>3575.1831118</v>
      </c>
      <c r="E109" s="3526">
        <f t="shared" si="122"/>
        <v>5154.7490906800012</v>
      </c>
      <c r="F109" s="3526">
        <f t="shared" si="122"/>
        <v>7026.3903142800009</v>
      </c>
      <c r="G109" s="3526">
        <f t="shared" si="122"/>
        <v>9017.5815378799998</v>
      </c>
      <c r="I109" s="3394" t="s">
        <v>199</v>
      </c>
      <c r="J109" s="3388">
        <f>'10. Финансиране на ИП'!AT63</f>
        <v>0</v>
      </c>
      <c r="K109" s="3388">
        <f>'10. Финансиране на ИП'!AU63</f>
        <v>0</v>
      </c>
      <c r="L109" s="3388">
        <f>'10. Финансиране на ИП'!AV63</f>
        <v>0</v>
      </c>
      <c r="M109" s="3388">
        <f>'10. Финансиране на ИП'!AW63</f>
        <v>0</v>
      </c>
      <c r="N109" s="3388">
        <f>'10. Финансиране на ИП'!AX63</f>
        <v>0</v>
      </c>
      <c r="Q109" s="4244"/>
      <c r="S109" s="4229" t="s">
        <v>449</v>
      </c>
      <c r="T109" s="3526">
        <f>'12. Разходи'!AI63</f>
        <v>0</v>
      </c>
      <c r="U109" s="3526">
        <f>'12. Разходи'!AJ63</f>
        <v>0</v>
      </c>
      <c r="V109" s="3526">
        <f>'12. Разходи'!AK63</f>
        <v>0</v>
      </c>
      <c r="W109" s="3526">
        <f>'12. Разходи'!AL63</f>
        <v>0</v>
      </c>
      <c r="X109" s="3526">
        <f>'12. Разходи'!AM63</f>
        <v>0</v>
      </c>
      <c r="Y109" s="3526">
        <f>'12. Разходи'!AN63</f>
        <v>0</v>
      </c>
      <c r="Z109" s="4227">
        <f t="shared" si="120"/>
        <v>0</v>
      </c>
      <c r="AA109" s="4227">
        <f t="shared" si="121"/>
        <v>0</v>
      </c>
    </row>
    <row r="110" spans="1:27" ht="15.75" customHeight="1">
      <c r="A110" s="4234" t="s">
        <v>222</v>
      </c>
      <c r="B110" s="3526">
        <f t="shared" si="122"/>
        <v>5725</v>
      </c>
      <c r="C110" s="3526">
        <f t="shared" si="122"/>
        <v>13992.67615164</v>
      </c>
      <c r="D110" s="3526">
        <f t="shared" si="122"/>
        <v>26820.728210199999</v>
      </c>
      <c r="E110" s="3526">
        <f t="shared" si="122"/>
        <v>38874.769779320006</v>
      </c>
      <c r="F110" s="3526">
        <f t="shared" si="122"/>
        <v>38803.32855572</v>
      </c>
      <c r="G110" s="3526">
        <f t="shared" si="122"/>
        <v>38603.137332120001</v>
      </c>
      <c r="I110" s="3392" t="s">
        <v>1654</v>
      </c>
      <c r="J110" s="3398">
        <f>'10. Финансиране на ИП'!AT64*'10. Финансиране на ИП'!AT66</f>
        <v>0</v>
      </c>
      <c r="K110" s="3398">
        <f>'10. Финансиране на ИП'!AU64*'10. Финансиране на ИП'!AU66</f>
        <v>0</v>
      </c>
      <c r="L110" s="3398">
        <f>'10. Финансиране на ИП'!AV64*'10. Финансиране на ИП'!AV66</f>
        <v>0</v>
      </c>
      <c r="M110" s="3398">
        <f>'10. Финансиране на ИП'!AW64*'10. Финансиране на ИП'!AW66</f>
        <v>0</v>
      </c>
      <c r="N110" s="3398">
        <f>'10. Финансиране на ИП'!AX64*'10. Финансиране на ИП'!AX66</f>
        <v>0</v>
      </c>
      <c r="Q110" s="4244"/>
      <c r="S110" s="4229" t="s">
        <v>450</v>
      </c>
      <c r="T110" s="3526">
        <f>'12. Разходи'!AI70</f>
        <v>0</v>
      </c>
      <c r="U110" s="3526">
        <f>'12. Разходи'!AJ70</f>
        <v>0</v>
      </c>
      <c r="V110" s="3526">
        <f>'12. Разходи'!AK70</f>
        <v>0</v>
      </c>
      <c r="W110" s="3526">
        <f>'12. Разходи'!AL70</f>
        <v>0</v>
      </c>
      <c r="X110" s="3526">
        <f>'12. Разходи'!AM70</f>
        <v>0</v>
      </c>
      <c r="Y110" s="3526">
        <f>'12. Разходи'!AN70</f>
        <v>0</v>
      </c>
      <c r="Z110" s="4227">
        <f t="shared" si="120"/>
        <v>0</v>
      </c>
      <c r="AA110" s="4227">
        <f t="shared" si="121"/>
        <v>0</v>
      </c>
    </row>
    <row r="111" spans="1:27" ht="15.75" customHeight="1">
      <c r="A111" s="5466" t="s">
        <v>1660</v>
      </c>
      <c r="B111" s="5466"/>
      <c r="C111" s="5466"/>
      <c r="D111" s="5466"/>
      <c r="E111" s="5466"/>
      <c r="F111" s="5466"/>
      <c r="G111" s="5466"/>
      <c r="I111" s="3392" t="s">
        <v>1655</v>
      </c>
      <c r="J111" s="3398">
        <f>'10. Финансиране на ИП'!AT65*'10. Финансиране на ИП'!AT66</f>
        <v>990</v>
      </c>
      <c r="K111" s="3398">
        <f>'10. Финансиране на ИП'!AU65*'10. Финансиране на ИП'!AU66</f>
        <v>1526</v>
      </c>
      <c r="L111" s="3398">
        <f>'10. Финансиране на ИП'!AV65*'10. Финансиране на ИП'!AV66</f>
        <v>2062</v>
      </c>
      <c r="M111" s="3398">
        <f>'10. Финансиране на ИП'!AW65*'10. Финансиране на ИП'!AW66</f>
        <v>2598</v>
      </c>
      <c r="N111" s="3398">
        <f>'10. Финансиране на ИП'!AX65*'10. Финансиране на ИП'!AX66</f>
        <v>3134</v>
      </c>
      <c r="Q111" s="4244"/>
      <c r="S111" s="4229" t="s">
        <v>267</v>
      </c>
      <c r="T111" s="3526">
        <f>'12. Разходи'!AI76</f>
        <v>0</v>
      </c>
      <c r="U111" s="3526">
        <f>'12. Разходи'!AJ76</f>
        <v>0</v>
      </c>
      <c r="V111" s="3526">
        <f>'12. Разходи'!AK76</f>
        <v>0</v>
      </c>
      <c r="W111" s="3526">
        <f>'12. Разходи'!AL76</f>
        <v>0</v>
      </c>
      <c r="X111" s="3526">
        <f>'12. Разходи'!AM76</f>
        <v>0</v>
      </c>
      <c r="Y111" s="3526">
        <f>'12. Разходи'!AN76</f>
        <v>0</v>
      </c>
      <c r="Z111" s="4227">
        <f t="shared" si="120"/>
        <v>0</v>
      </c>
      <c r="AA111" s="4227">
        <f t="shared" si="121"/>
        <v>0</v>
      </c>
    </row>
    <row r="112" spans="1:27" ht="20.25" customHeight="1">
      <c r="A112" s="4228" t="s">
        <v>334</v>
      </c>
      <c r="B112" s="3644">
        <f t="shared" ref="B112:G115" si="123">B16+B34+B52+B70+B94</f>
        <v>267986</v>
      </c>
      <c r="C112" s="3644">
        <f t="shared" si="123"/>
        <v>267986</v>
      </c>
      <c r="D112" s="3644">
        <f t="shared" si="123"/>
        <v>267986</v>
      </c>
      <c r="E112" s="3644">
        <f t="shared" si="123"/>
        <v>267986</v>
      </c>
      <c r="F112" s="3644">
        <f t="shared" si="123"/>
        <v>267986</v>
      </c>
      <c r="G112" s="3644">
        <f t="shared" si="123"/>
        <v>267986</v>
      </c>
      <c r="I112" s="3399" t="s">
        <v>1939</v>
      </c>
      <c r="J112" s="4218" t="str">
        <f>+'15. ОПП'!$C$7</f>
        <v>2027 г.</v>
      </c>
      <c r="K112" s="4218" t="str">
        <f>+'15. ОПП'!$D$7</f>
        <v>2028 г.</v>
      </c>
      <c r="L112" s="4218" t="str">
        <f>+'15. ОПП'!$E$7</f>
        <v>2029 г.</v>
      </c>
      <c r="M112" s="4218" t="str">
        <f>+'15. ОПП'!$F$7</f>
        <v>2030 г.</v>
      </c>
      <c r="N112" s="4218" t="str">
        <f>+'15. ОПП'!$G$7</f>
        <v>2031 г.</v>
      </c>
      <c r="Q112" s="4244"/>
      <c r="S112" s="4237" t="s">
        <v>277</v>
      </c>
      <c r="T112" s="4238">
        <f>SUM(T102:T104,T108:T111)</f>
        <v>0</v>
      </c>
      <c r="U112" s="4238">
        <f t="shared" ref="U112" si="124">SUM(U102:U104,U108:U111)</f>
        <v>0</v>
      </c>
      <c r="V112" s="4238">
        <f t="shared" ref="V112" si="125">SUM(V102:V104,V108:V111)</f>
        <v>0</v>
      </c>
      <c r="W112" s="4238">
        <f t="shared" ref="W112" si="126">SUM(W102:W104,W108:W111)</f>
        <v>0</v>
      </c>
      <c r="X112" s="4238">
        <f t="shared" ref="X112" si="127">SUM(X102:X104,X108:X111)</f>
        <v>0</v>
      </c>
      <c r="Y112" s="4238">
        <f t="shared" ref="Y112" si="128">SUM(Y102:Y104,Y108:Y111)</f>
        <v>0</v>
      </c>
      <c r="Z112" s="4239">
        <f t="shared" si="120"/>
        <v>0</v>
      </c>
      <c r="AA112" s="4239">
        <f t="shared" si="121"/>
        <v>0</v>
      </c>
    </row>
    <row r="113" spans="1:27" ht="15.75" customHeight="1">
      <c r="A113" s="4230" t="s">
        <v>218</v>
      </c>
      <c r="B113" s="3526">
        <f t="shared" si="123"/>
        <v>8007</v>
      </c>
      <c r="C113" s="3526">
        <f t="shared" si="123"/>
        <v>8004</v>
      </c>
      <c r="D113" s="3526">
        <f t="shared" si="123"/>
        <v>8000.21</v>
      </c>
      <c r="E113" s="3526">
        <f t="shared" si="123"/>
        <v>7985.57</v>
      </c>
      <c r="F113" s="3526">
        <f t="shared" si="123"/>
        <v>7982.77</v>
      </c>
      <c r="G113" s="3526">
        <f t="shared" si="123"/>
        <v>7982.77</v>
      </c>
      <c r="I113" s="3392" t="s">
        <v>1656</v>
      </c>
      <c r="J113" s="3397">
        <f>'10. Финансиране на ИП'!AT70*'10. Финансиране на ИП'!AT77</f>
        <v>0</v>
      </c>
      <c r="K113" s="3397">
        <f>'10. Финансиране на ИП'!AU70*'10. Финансиране на ИП'!AU77</f>
        <v>0</v>
      </c>
      <c r="L113" s="3397">
        <f>'10. Финансиране на ИП'!AV70*'10. Финансиране на ИП'!AV77</f>
        <v>0</v>
      </c>
      <c r="M113" s="3397">
        <f>'10. Финансиране на ИП'!AW70*'10. Финансиране на ИП'!AW77</f>
        <v>0</v>
      </c>
      <c r="N113" s="3397">
        <f>'10. Финансиране на ИП'!AX70*'10. Финансиране на ИП'!AX77</f>
        <v>0</v>
      </c>
      <c r="Q113" s="4244"/>
      <c r="S113" s="4245" t="str">
        <f>CONCATENATE("Спестявания и увеличения спрямо ",T101," - нето:")</f>
        <v>Спестявания и увеличения спрямо 2024 г. - нето:</v>
      </c>
      <c r="T113" s="4246"/>
      <c r="U113" s="4245">
        <f>U112-$T112</f>
        <v>0</v>
      </c>
      <c r="V113" s="4245">
        <f t="shared" ref="V113" si="129">V112-$T112</f>
        <v>0</v>
      </c>
      <c r="W113" s="4245">
        <f t="shared" ref="W113" si="130">W112-$T112</f>
        <v>0</v>
      </c>
      <c r="X113" s="4245">
        <f t="shared" ref="X113" si="131">X112-$T112</f>
        <v>0</v>
      </c>
      <c r="Y113" s="4245">
        <f t="shared" ref="Y113" si="132">Y112-$T112</f>
        <v>0</v>
      </c>
      <c r="Z113" s="4246"/>
      <c r="AA113" s="4246"/>
    </row>
    <row r="114" spans="1:27" ht="15.75" customHeight="1">
      <c r="A114" s="4234" t="s">
        <v>220</v>
      </c>
      <c r="B114" s="3526">
        <f t="shared" si="123"/>
        <v>69019</v>
      </c>
      <c r="C114" s="3526">
        <f t="shared" si="123"/>
        <v>85027</v>
      </c>
      <c r="D114" s="3526">
        <f t="shared" si="123"/>
        <v>93027.209999999992</v>
      </c>
      <c r="E114" s="3526">
        <f t="shared" si="123"/>
        <v>101012.78</v>
      </c>
      <c r="F114" s="3526">
        <f t="shared" si="123"/>
        <v>108995.55</v>
      </c>
      <c r="G114" s="3526">
        <f t="shared" si="123"/>
        <v>116978.32</v>
      </c>
      <c r="I114" s="3394" t="s">
        <v>1651</v>
      </c>
      <c r="J114" s="3395">
        <f>'10. Финансиране на ИП'!AT71*'10. Финансиране на ИП'!AT77</f>
        <v>0</v>
      </c>
      <c r="K114" s="3395">
        <f>'10. Финансиране на ИП'!AU71*'10. Финансиране на ИП'!AU77</f>
        <v>0</v>
      </c>
      <c r="L114" s="3395">
        <f>'10. Финансиране на ИП'!AV71*'10. Финансиране на ИП'!AV77</f>
        <v>0</v>
      </c>
      <c r="M114" s="3395">
        <f>'10. Финансиране на ИП'!AW71*'10. Финансиране на ИП'!AW77</f>
        <v>0</v>
      </c>
      <c r="N114" s="3395">
        <f>'10. Финансиране на ИП'!AX71*'10. Финансиране на ИП'!AX77</f>
        <v>0</v>
      </c>
      <c r="Q114" s="4244"/>
      <c r="S114" s="4229" t="s">
        <v>1670</v>
      </c>
      <c r="T114" s="3526">
        <f>+'12. Разходи'!AI92</f>
        <v>0</v>
      </c>
      <c r="U114" s="3526">
        <f>+'12. Разходи'!AJ92</f>
        <v>0</v>
      </c>
      <c r="V114" s="3526">
        <f>+'12. Разходи'!AK92</f>
        <v>0</v>
      </c>
      <c r="W114" s="3526">
        <f>+'12. Разходи'!AL92</f>
        <v>0</v>
      </c>
      <c r="X114" s="3526">
        <f>+'12. Разходи'!AM92</f>
        <v>0</v>
      </c>
      <c r="Y114" s="3526">
        <f>+'12. Разходи'!AN92</f>
        <v>0</v>
      </c>
      <c r="Z114" s="4227">
        <f t="shared" ref="Z114:Z116" si="133">IFERROR((U114-T114)/T114,0)</f>
        <v>0</v>
      </c>
      <c r="AA114" s="4227">
        <f t="shared" ref="AA114:AA116" si="134">IFERROR((Y114-T114)/T114,0)</f>
        <v>0</v>
      </c>
    </row>
    <row r="115" spans="1:27" ht="15.75" customHeight="1">
      <c r="A115" s="4234" t="s">
        <v>222</v>
      </c>
      <c r="B115" s="3526">
        <f t="shared" si="123"/>
        <v>198967</v>
      </c>
      <c r="C115" s="3526">
        <f t="shared" si="123"/>
        <v>182959</v>
      </c>
      <c r="D115" s="3526">
        <f t="shared" si="123"/>
        <v>174958.79</v>
      </c>
      <c r="E115" s="3526">
        <f t="shared" si="123"/>
        <v>166973.22</v>
      </c>
      <c r="F115" s="3526">
        <f t="shared" si="123"/>
        <v>158990.45000000001</v>
      </c>
      <c r="G115" s="3526">
        <f t="shared" si="123"/>
        <v>151007.67999999999</v>
      </c>
      <c r="I115" s="3394" t="s">
        <v>1652</v>
      </c>
      <c r="J115" s="3395">
        <f>'10. Финансиране на ИП'!AT72*'10. Финансиране на ИП'!AT77</f>
        <v>0</v>
      </c>
      <c r="K115" s="3395">
        <f>'10. Финансиране на ИП'!AU72*'10. Финансиране на ИП'!AU77</f>
        <v>0</v>
      </c>
      <c r="L115" s="3395">
        <f>'10. Финансиране на ИП'!AV72*'10. Финансиране на ИП'!AV77</f>
        <v>0</v>
      </c>
      <c r="M115" s="3395">
        <f>'10. Финансиране на ИП'!AW72*'10. Финансиране на ИП'!AW77</f>
        <v>0</v>
      </c>
      <c r="N115" s="3395">
        <f>'10. Финансиране на ИП'!AX72*'10. Финансиране на ИП'!AX77</f>
        <v>0</v>
      </c>
      <c r="Q115" s="4244"/>
      <c r="S115" s="4229" t="s">
        <v>1672</v>
      </c>
      <c r="T115" s="3526">
        <f>+'12. Разходи'!AI93</f>
        <v>0</v>
      </c>
      <c r="U115" s="3526">
        <f>+'12. Разходи'!AJ93</f>
        <v>0</v>
      </c>
      <c r="V115" s="3526">
        <f>+'12. Разходи'!AK93</f>
        <v>0</v>
      </c>
      <c r="W115" s="3526">
        <f>+'12. Разходи'!AL93</f>
        <v>0</v>
      </c>
      <c r="X115" s="3526">
        <f>+'12. Разходи'!AM93</f>
        <v>0</v>
      </c>
      <c r="Y115" s="3526">
        <f>+'12. Разходи'!AN93</f>
        <v>0</v>
      </c>
      <c r="Z115" s="4227">
        <f t="shared" si="133"/>
        <v>0</v>
      </c>
      <c r="AA115" s="4227">
        <f t="shared" si="134"/>
        <v>0</v>
      </c>
    </row>
    <row r="116" spans="1:27" ht="15.75" customHeight="1">
      <c r="A116" s="4281"/>
      <c r="B116" s="4275"/>
      <c r="C116" s="4275"/>
      <c r="D116" s="4275"/>
      <c r="E116" s="4275"/>
      <c r="F116" s="4275"/>
      <c r="G116" s="3393" t="s">
        <v>1636</v>
      </c>
      <c r="I116" s="3392" t="s">
        <v>1653</v>
      </c>
      <c r="J116" s="3397">
        <f>'10. Финансиране на ИП'!AT73*'10. Финансиране на ИП'!AT77</f>
        <v>0</v>
      </c>
      <c r="K116" s="3397">
        <f>'10. Финансиране на ИП'!AU73*'10. Финансиране на ИП'!AU77</f>
        <v>0</v>
      </c>
      <c r="L116" s="3397">
        <f>'10. Финансиране на ИП'!AV73*'10. Финансиране на ИП'!AV77</f>
        <v>0</v>
      </c>
      <c r="M116" s="3397">
        <f>'10. Финансиране на ИП'!AW73*'10. Финансиране на ИП'!AW77</f>
        <v>0</v>
      </c>
      <c r="N116" s="3397">
        <f>'10. Финансиране на ИП'!AX73*'10. Финансиране на ИП'!AX77</f>
        <v>0</v>
      </c>
      <c r="Q116" s="4244"/>
      <c r="S116" s="4248" t="s">
        <v>1671</v>
      </c>
      <c r="T116" s="3526">
        <f>+'12. Разходи'!AI94</f>
        <v>0</v>
      </c>
      <c r="U116" s="3526">
        <f>+'12. Разходи'!AJ94</f>
        <v>0</v>
      </c>
      <c r="V116" s="3526">
        <f>+'12. Разходи'!AK94</f>
        <v>0</v>
      </c>
      <c r="W116" s="3526">
        <f>+'12. Разходи'!AL94</f>
        <v>0</v>
      </c>
      <c r="X116" s="3526">
        <f>+'12. Разходи'!AM94</f>
        <v>0</v>
      </c>
      <c r="Y116" s="3526">
        <f>+'12. Разходи'!AN94</f>
        <v>0</v>
      </c>
      <c r="Z116" s="4227">
        <f t="shared" si="133"/>
        <v>0</v>
      </c>
      <c r="AA116" s="4227">
        <f t="shared" si="134"/>
        <v>0</v>
      </c>
    </row>
    <row r="117" spans="1:27" ht="15.75" customHeight="1">
      <c r="A117" s="5467" t="s">
        <v>1662</v>
      </c>
      <c r="B117" s="5460" t="s">
        <v>1661</v>
      </c>
      <c r="C117" s="5460"/>
      <c r="D117" s="5460"/>
      <c r="E117" s="5460"/>
      <c r="F117" s="5460"/>
      <c r="G117" s="5460"/>
      <c r="I117" s="3394" t="s">
        <v>199</v>
      </c>
      <c r="J117" s="3388">
        <f>'10. Финансиране на ИП'!AT74</f>
        <v>0.13977593014344233</v>
      </c>
      <c r="K117" s="3388">
        <f>'10. Финансиране на ИП'!AU74</f>
        <v>4.6591976714480773E-2</v>
      </c>
      <c r="L117" s="3388">
        <f>'10. Финансиране на ИП'!AV74</f>
        <v>2.8250020268875905E-2</v>
      </c>
      <c r="M117" s="3388">
        <f>'10. Финансиране на ИП'!AW74</f>
        <v>2.7934208892272862E-2</v>
      </c>
      <c r="N117" s="3388">
        <f>'10. Финансиране на ИП'!AX74</f>
        <v>2.6727657175767479E-2</v>
      </c>
      <c r="Q117" s="4244"/>
      <c r="S117" s="4229" t="s">
        <v>637</v>
      </c>
      <c r="T117" s="3526">
        <f>'12. Разходи'!AI90</f>
        <v>0</v>
      </c>
      <c r="U117" s="3526">
        <f>'12. Разходи'!AJ90</f>
        <v>0</v>
      </c>
      <c r="V117" s="3526">
        <f>'12. Разходи'!AK90</f>
        <v>0</v>
      </c>
      <c r="W117" s="3526">
        <f>'12. Разходи'!AL90</f>
        <v>0</v>
      </c>
      <c r="X117" s="3526">
        <f>'12. Разходи'!AM90</f>
        <v>0</v>
      </c>
      <c r="Y117" s="3526">
        <f>'12. Разходи'!AN90</f>
        <v>0</v>
      </c>
      <c r="Z117" s="4227">
        <f t="shared" si="120"/>
        <v>0</v>
      </c>
      <c r="AA117" s="4227">
        <f t="shared" si="121"/>
        <v>0</v>
      </c>
    </row>
    <row r="118" spans="1:27" ht="15.75" customHeight="1">
      <c r="A118" s="5467"/>
      <c r="B118" s="4268" t="str">
        <f>+B100</f>
        <v>2024 г.</v>
      </c>
      <c r="C118" s="4268" t="str">
        <f t="shared" ref="C118:G118" si="135">+C100</f>
        <v>2027 г.</v>
      </c>
      <c r="D118" s="4268" t="str">
        <f t="shared" si="135"/>
        <v>2028 г.</v>
      </c>
      <c r="E118" s="4268" t="str">
        <f t="shared" si="135"/>
        <v>2029 г.</v>
      </c>
      <c r="F118" s="4268" t="str">
        <f t="shared" si="135"/>
        <v>2030 г.</v>
      </c>
      <c r="G118" s="4268" t="str">
        <f t="shared" si="135"/>
        <v>2031 г.</v>
      </c>
      <c r="I118" s="3392" t="s">
        <v>1654</v>
      </c>
      <c r="J118" s="3398">
        <f>'10. Финансиране на ИП'!AT75*'10. Финансиране на ИП'!AT77</f>
        <v>0</v>
      </c>
      <c r="K118" s="3398">
        <f>'10. Финансиране на ИП'!AU75*'10. Финансиране на ИП'!AU77</f>
        <v>0</v>
      </c>
      <c r="L118" s="3398">
        <f>'10. Финансиране на ИП'!AV75*'10. Финансиране на ИП'!AV77</f>
        <v>0</v>
      </c>
      <c r="M118" s="3398">
        <f>'10. Финансиране на ИП'!AW75*'10. Финансиране на ИП'!AW77</f>
        <v>0</v>
      </c>
      <c r="N118" s="3398">
        <f>'10. Финансиране на ИП'!AX75*'10. Финансиране на ИП'!AX77</f>
        <v>0</v>
      </c>
      <c r="Q118" s="4244"/>
      <c r="S118" s="4229" t="s">
        <v>1669</v>
      </c>
      <c r="T118" s="3526">
        <f>'12. Разходи'!AI89</f>
        <v>0</v>
      </c>
      <c r="U118" s="3526">
        <f>'12. Разходи'!AJ89</f>
        <v>0</v>
      </c>
      <c r="V118" s="3526">
        <f>'12. Разходи'!AK89</f>
        <v>0</v>
      </c>
      <c r="W118" s="3526">
        <f>'12. Разходи'!AL89</f>
        <v>0</v>
      </c>
      <c r="X118" s="3526">
        <f>'12. Разходи'!AM89</f>
        <v>0</v>
      </c>
      <c r="Y118" s="3526">
        <f>'12. Разходи'!AN89</f>
        <v>0</v>
      </c>
      <c r="Z118" s="4227">
        <f t="shared" si="120"/>
        <v>0</v>
      </c>
      <c r="AA118" s="4227">
        <f t="shared" si="121"/>
        <v>0</v>
      </c>
    </row>
    <row r="119" spans="1:27" ht="15.75" customHeight="1">
      <c r="A119" s="4234" t="s">
        <v>1663</v>
      </c>
      <c r="B119" s="3526">
        <f t="shared" ref="B119:G119" si="136">B16</f>
        <v>96830</v>
      </c>
      <c r="C119" s="3526">
        <f t="shared" si="136"/>
        <v>96830</v>
      </c>
      <c r="D119" s="3526">
        <f t="shared" si="136"/>
        <v>96830</v>
      </c>
      <c r="E119" s="3526">
        <f t="shared" si="136"/>
        <v>96830</v>
      </c>
      <c r="F119" s="3526">
        <f t="shared" si="136"/>
        <v>96830</v>
      </c>
      <c r="G119" s="3526">
        <f t="shared" si="136"/>
        <v>96830</v>
      </c>
      <c r="I119" s="3392" t="s">
        <v>1655</v>
      </c>
      <c r="J119" s="3398">
        <f>'10. Финансиране на ИП'!AT76*'10. Финансиране на ИП'!AT77</f>
        <v>0</v>
      </c>
      <c r="K119" s="3398">
        <f>'10. Финансиране на ИП'!AU76*'10. Финансиране на ИП'!AU77</f>
        <v>0</v>
      </c>
      <c r="L119" s="3398">
        <f>'10. Финансиране на ИП'!AV76*'10. Финансиране на ИП'!AV77</f>
        <v>0</v>
      </c>
      <c r="M119" s="3398">
        <f>'10. Финансиране на ИП'!AW76*'10. Финансиране на ИП'!AW77</f>
        <v>0</v>
      </c>
      <c r="N119" s="3398">
        <f>'10. Финансиране на ИП'!AX76*'10. Финансиране на ИП'!AX77</f>
        <v>0</v>
      </c>
      <c r="Q119" s="4244"/>
      <c r="S119" s="1334" t="s">
        <v>1684</v>
      </c>
      <c r="T119" s="4275"/>
      <c r="U119" s="4275"/>
      <c r="V119" s="4275"/>
      <c r="W119" s="4275"/>
      <c r="X119" s="4275"/>
      <c r="Y119" s="4275"/>
      <c r="Z119" s="4275"/>
      <c r="AA119" s="4275"/>
    </row>
    <row r="120" spans="1:27" ht="15.75" customHeight="1">
      <c r="A120" s="4252" t="s">
        <v>1664</v>
      </c>
      <c r="B120" s="4246"/>
      <c r="C120" s="4231">
        <f>'11.2. ДА за периода'!G110</f>
        <v>0</v>
      </c>
      <c r="D120" s="4231">
        <f>'11.2. ДА за периода'!H110</f>
        <v>0</v>
      </c>
      <c r="E120" s="4231">
        <f>'11.2. ДА за периода'!I110</f>
        <v>0</v>
      </c>
      <c r="F120" s="4231">
        <f>'11.2. ДА за периода'!J110</f>
        <v>0</v>
      </c>
      <c r="G120" s="4231">
        <f>'11.2. ДА за периода'!K110</f>
        <v>0</v>
      </c>
      <c r="I120" s="1301" t="s">
        <v>951</v>
      </c>
      <c r="J120" s="1300"/>
      <c r="K120" s="1300"/>
      <c r="L120" s="1300"/>
      <c r="M120" s="1300"/>
      <c r="N120" s="1300"/>
      <c r="O120" s="1300"/>
      <c r="Q120" s="4244"/>
      <c r="S120" s="5461" t="s">
        <v>223</v>
      </c>
      <c r="T120" s="5460" t="s">
        <v>1661</v>
      </c>
      <c r="U120" s="5460"/>
      <c r="V120" s="5460"/>
      <c r="W120" s="5460"/>
      <c r="X120" s="5460"/>
      <c r="Y120" s="5460"/>
      <c r="Z120" s="5404" t="str">
        <f>+"Изменение "&amp;U121&amp;" спр. "&amp;T121</f>
        <v>Изменение 2027 г. спр. 2024 г.</v>
      </c>
      <c r="AA120" s="5404" t="str">
        <f>+"Изменение "&amp;Y121&amp;" спр. "&amp;T121</f>
        <v>Изменение 2031 г. спр. 2024 г.</v>
      </c>
    </row>
    <row r="121" spans="1:27" ht="15.75" customHeight="1">
      <c r="A121" s="4234" t="s">
        <v>174</v>
      </c>
      <c r="B121" s="3526">
        <f t="shared" ref="B121:G121" si="137">B34</f>
        <v>98840</v>
      </c>
      <c r="C121" s="3526">
        <f t="shared" si="137"/>
        <v>98840</v>
      </c>
      <c r="D121" s="3526">
        <f t="shared" si="137"/>
        <v>98840</v>
      </c>
      <c r="E121" s="3526">
        <f t="shared" si="137"/>
        <v>98840</v>
      </c>
      <c r="F121" s="3526">
        <f t="shared" si="137"/>
        <v>98840</v>
      </c>
      <c r="G121" s="3526">
        <f t="shared" si="137"/>
        <v>98840</v>
      </c>
      <c r="I121" s="4217" t="s">
        <v>1622</v>
      </c>
      <c r="J121" s="4218" t="str">
        <f>+'15. ОПП'!$C$7</f>
        <v>2027 г.</v>
      </c>
      <c r="K121" s="4218" t="str">
        <f>+'15. ОПП'!$D$7</f>
        <v>2028 г.</v>
      </c>
      <c r="L121" s="4218" t="str">
        <f>+'15. ОПП'!$E$7</f>
        <v>2029 г.</v>
      </c>
      <c r="M121" s="4218" t="str">
        <f>+'15. ОПП'!$F$7</f>
        <v>2030 г.</v>
      </c>
      <c r="N121" s="4218" t="str">
        <f>+'15. ОПП'!$G$7</f>
        <v>2031 г.</v>
      </c>
      <c r="O121" s="4218" t="s">
        <v>1623</v>
      </c>
      <c r="Q121" s="4244"/>
      <c r="S121" s="5462"/>
      <c r="T121" s="4214" t="str">
        <f t="shared" ref="T121:Y121" si="138">T46</f>
        <v>2024 г.</v>
      </c>
      <c r="U121" s="4214" t="str">
        <f t="shared" si="138"/>
        <v>2027 г.</v>
      </c>
      <c r="V121" s="4214" t="str">
        <f t="shared" si="138"/>
        <v>2028 г.</v>
      </c>
      <c r="W121" s="4214" t="str">
        <f t="shared" si="138"/>
        <v>2029 г.</v>
      </c>
      <c r="X121" s="4214" t="str">
        <f t="shared" si="138"/>
        <v>2030 г.</v>
      </c>
      <c r="Y121" s="4214" t="str">
        <f t="shared" si="138"/>
        <v>2031 г.</v>
      </c>
      <c r="Z121" s="5404"/>
      <c r="AA121" s="5404"/>
    </row>
    <row r="122" spans="1:27" ht="15.75" customHeight="1">
      <c r="A122" s="4252" t="s">
        <v>1664</v>
      </c>
      <c r="B122" s="4246"/>
      <c r="C122" s="4231">
        <f>'11.2. ДА за периода'!N110</f>
        <v>0</v>
      </c>
      <c r="D122" s="4231">
        <f>'11.2. ДА за периода'!O110</f>
        <v>0</v>
      </c>
      <c r="E122" s="4231">
        <f>'11.2. ДА за периода'!P110</f>
        <v>0</v>
      </c>
      <c r="F122" s="4231">
        <f>'11.2. ДА за периода'!Q110</f>
        <v>0</v>
      </c>
      <c r="G122" s="4231">
        <f>'11.2. ДА за периода'!R110</f>
        <v>0</v>
      </c>
      <c r="I122" s="4265" t="s">
        <v>1617</v>
      </c>
      <c r="J122" s="4238">
        <f>'9.Инвестиционна програма'!I152</f>
        <v>7852.303774</v>
      </c>
      <c r="K122" s="4238">
        <f>'9.Инвестиционна програма'!J152</f>
        <v>13925.607548000002</v>
      </c>
      <c r="L122" s="4238">
        <f>'9.Инвестиционна програма'!K152</f>
        <v>13633.607548000004</v>
      </c>
      <c r="M122" s="4238">
        <f>'9.Инвестиционна програма'!L152</f>
        <v>1800.2000000000003</v>
      </c>
      <c r="N122" s="4238">
        <f>'9.Инвестиционна програма'!M152</f>
        <v>1790.9999999999995</v>
      </c>
      <c r="O122" s="4238">
        <f t="shared" ref="O122:O124" si="139">SUM(J122:N122)</f>
        <v>39002.718869999997</v>
      </c>
      <c r="Q122" s="4244"/>
      <c r="S122" s="4229" t="s">
        <v>226</v>
      </c>
      <c r="T122" s="3526">
        <f t="shared" ref="T122:Y131" si="140">T5+T26+T47+T78+T102</f>
        <v>10163.423591407916</v>
      </c>
      <c r="U122" s="3526">
        <f t="shared" si="140"/>
        <v>11921.5256838064</v>
      </c>
      <c r="V122" s="3526">
        <f t="shared" si="140"/>
        <v>11980.062231681402</v>
      </c>
      <c r="W122" s="3526">
        <f t="shared" si="140"/>
        <v>12009.725736505401</v>
      </c>
      <c r="X122" s="3526">
        <f t="shared" si="140"/>
        <v>12381.225834843823</v>
      </c>
      <c r="Y122" s="3526">
        <f t="shared" si="140"/>
        <v>12292.424944052327</v>
      </c>
      <c r="Z122" s="4227">
        <f>IFERROR((U122-T122)/T122,0)</f>
        <v>0.17298325476513346</v>
      </c>
      <c r="AA122" s="4227">
        <f>IFERROR((Y122-T122)/T122,0)</f>
        <v>0.20947679032528496</v>
      </c>
    </row>
    <row r="123" spans="1:27" ht="15.75" customHeight="1">
      <c r="A123" s="4234" t="s">
        <v>184</v>
      </c>
      <c r="B123" s="3526">
        <f t="shared" ref="B123:G123" si="141">B52</f>
        <v>72316</v>
      </c>
      <c r="C123" s="3526">
        <f t="shared" si="141"/>
        <v>72316</v>
      </c>
      <c r="D123" s="3526">
        <f t="shared" si="141"/>
        <v>72316</v>
      </c>
      <c r="E123" s="3526">
        <f t="shared" si="141"/>
        <v>72316</v>
      </c>
      <c r="F123" s="3526">
        <f t="shared" si="141"/>
        <v>72316</v>
      </c>
      <c r="G123" s="3526">
        <f t="shared" si="141"/>
        <v>72316</v>
      </c>
      <c r="I123" s="4230" t="s">
        <v>1624</v>
      </c>
      <c r="J123" s="4231">
        <f>'10. Финансиране на ИП'!AT18</f>
        <v>1949.9999999999998</v>
      </c>
      <c r="K123" s="4231">
        <f>'10. Финансиране на ИП'!AU18</f>
        <v>2121</v>
      </c>
      <c r="L123" s="4231">
        <f>'10. Финансиране на ИП'!AV18</f>
        <v>2136.9999999999995</v>
      </c>
      <c r="M123" s="4231">
        <f>'10. Финансиране на ИП'!AW18</f>
        <v>1800.2</v>
      </c>
      <c r="N123" s="4231">
        <f>'10. Финансиране на ИП'!AX18</f>
        <v>1790.9999999999995</v>
      </c>
      <c r="O123" s="4263">
        <f t="shared" si="139"/>
        <v>9799.1999999999989</v>
      </c>
      <c r="Q123" s="4244"/>
      <c r="S123" s="4229" t="s">
        <v>239</v>
      </c>
      <c r="T123" s="3526">
        <f t="shared" si="140"/>
        <v>2508.4691200000002</v>
      </c>
      <c r="U123" s="3526">
        <f t="shared" si="140"/>
        <v>3063.1718560000004</v>
      </c>
      <c r="V123" s="3526">
        <f t="shared" si="140"/>
        <v>3188.9384488000005</v>
      </c>
      <c r="W123" s="3526">
        <f t="shared" si="140"/>
        <v>3289.0166022640001</v>
      </c>
      <c r="X123" s="3526">
        <f t="shared" si="140"/>
        <v>3239.0207033587203</v>
      </c>
      <c r="Y123" s="3526">
        <f t="shared" si="140"/>
        <v>3177.0548057481715</v>
      </c>
      <c r="Z123" s="4227">
        <f t="shared" ref="Z123:Z138" si="142">IFERROR((U123-T123)/T123,0)</f>
        <v>0.22113197710004107</v>
      </c>
      <c r="AA123" s="4227">
        <f t="shared" ref="AA123:AA138" si="143">IFERROR((Y123-T123)/T123,0)</f>
        <v>0.26653135987106402</v>
      </c>
    </row>
    <row r="124" spans="1:27" ht="15.75" customHeight="1">
      <c r="A124" s="4252" t="s">
        <v>1664</v>
      </c>
      <c r="B124" s="4246"/>
      <c r="C124" s="4231">
        <f>'11.2. ДА за периода'!U110</f>
        <v>0</v>
      </c>
      <c r="D124" s="4231">
        <f>'11.2. ДА за периода'!V110</f>
        <v>0</v>
      </c>
      <c r="E124" s="4231">
        <f>'11.2. ДА за периода'!W110</f>
        <v>0</v>
      </c>
      <c r="F124" s="4231">
        <f>'11.2. ДА за периода'!X110</f>
        <v>0</v>
      </c>
      <c r="G124" s="4231">
        <f>'11.2. ДА за периода'!Y110</f>
        <v>0</v>
      </c>
      <c r="I124" s="4230" t="s">
        <v>1627</v>
      </c>
      <c r="J124" s="4231">
        <f>'10. Финансиране на ИП'!AT19</f>
        <v>5902.303774</v>
      </c>
      <c r="K124" s="4231">
        <f>'10. Финансиране на ИП'!AU19</f>
        <v>11804.607548</v>
      </c>
      <c r="L124" s="4231">
        <f>'10. Финансиране на ИП'!AV19</f>
        <v>11496.607548</v>
      </c>
      <c r="M124" s="4231">
        <f>'10. Финансиране на ИП'!AW19</f>
        <v>0</v>
      </c>
      <c r="N124" s="4231">
        <f>'10. Финансиране на ИП'!AX19</f>
        <v>0</v>
      </c>
      <c r="O124" s="4263">
        <f t="shared" si="139"/>
        <v>29203.51887</v>
      </c>
      <c r="Q124" s="4244"/>
      <c r="S124" s="4229" t="s">
        <v>446</v>
      </c>
      <c r="T124" s="3526">
        <f t="shared" si="140"/>
        <v>2600.9999999999995</v>
      </c>
      <c r="U124" s="3526">
        <f t="shared" si="140"/>
        <v>2570.0926223599995</v>
      </c>
      <c r="V124" s="3526">
        <f t="shared" si="140"/>
        <v>2798.0754894399997</v>
      </c>
      <c r="W124" s="3526">
        <f t="shared" si="140"/>
        <v>2740.2259788799997</v>
      </c>
      <c r="X124" s="3526">
        <f t="shared" si="140"/>
        <v>3475.2212235999996</v>
      </c>
      <c r="Y124" s="3526">
        <f t="shared" si="140"/>
        <v>3643.8612236000004</v>
      </c>
      <c r="Z124" s="4227">
        <f t="shared" si="142"/>
        <v>-1.1882882599000406E-2</v>
      </c>
      <c r="AA124" s="4227">
        <f t="shared" si="143"/>
        <v>0.40094626051518684</v>
      </c>
    </row>
    <row r="125" spans="1:27" ht="15.75" customHeight="1">
      <c r="A125" s="4234" t="s">
        <v>1029</v>
      </c>
      <c r="B125" s="3526">
        <f t="shared" ref="B125:G125" si="144">B70</f>
        <v>0</v>
      </c>
      <c r="C125" s="3526">
        <f t="shared" si="144"/>
        <v>0</v>
      </c>
      <c r="D125" s="3526">
        <f t="shared" si="144"/>
        <v>0</v>
      </c>
      <c r="E125" s="3526">
        <f t="shared" si="144"/>
        <v>0</v>
      </c>
      <c r="F125" s="3526">
        <f t="shared" si="144"/>
        <v>0</v>
      </c>
      <c r="G125" s="3526">
        <f t="shared" si="144"/>
        <v>0</v>
      </c>
      <c r="I125" s="1301"/>
      <c r="J125" s="4282"/>
      <c r="K125" s="4282"/>
      <c r="L125" s="4282"/>
      <c r="M125" s="4282"/>
      <c r="N125" s="4282"/>
      <c r="O125" s="4283"/>
      <c r="Q125" s="4244"/>
      <c r="S125" s="4248" t="s">
        <v>447</v>
      </c>
      <c r="T125" s="3526">
        <f t="shared" si="140"/>
        <v>330</v>
      </c>
      <c r="U125" s="3526">
        <f t="shared" si="140"/>
        <v>562.08999999999992</v>
      </c>
      <c r="V125" s="3526">
        <f t="shared" si="140"/>
        <v>619.07999999999993</v>
      </c>
      <c r="W125" s="3526">
        <f t="shared" si="140"/>
        <v>587.21999999999969</v>
      </c>
      <c r="X125" s="3526">
        <f t="shared" si="140"/>
        <v>617.02</v>
      </c>
      <c r="Y125" s="3526">
        <f t="shared" si="140"/>
        <v>635.86000000000024</v>
      </c>
      <c r="Z125" s="4227">
        <f t="shared" si="142"/>
        <v>0.7033030303030301</v>
      </c>
      <c r="AA125" s="4227">
        <f t="shared" si="143"/>
        <v>0.92684848484848559</v>
      </c>
    </row>
    <row r="126" spans="1:27" ht="15.75" customHeight="1">
      <c r="A126" s="4252" t="s">
        <v>1664</v>
      </c>
      <c r="B126" s="4246"/>
      <c r="C126" s="4231">
        <f>'11.2. ДА за периода'!AB110</f>
        <v>0</v>
      </c>
      <c r="D126" s="4231">
        <f>'11.2. ДА за периода'!AC110</f>
        <v>0</v>
      </c>
      <c r="E126" s="4231">
        <f>'11.2. ДА за периода'!AD110</f>
        <v>0</v>
      </c>
      <c r="F126" s="4231">
        <f>'11.2. ДА за периода'!AE110</f>
        <v>0</v>
      </c>
      <c r="G126" s="4231">
        <f>'11.2. ДА за периода'!AF110</f>
        <v>0</v>
      </c>
      <c r="I126" s="4217" t="s">
        <v>1622</v>
      </c>
      <c r="J126" s="4218" t="str">
        <f>+'15. ОПП'!$C$7</f>
        <v>2027 г.</v>
      </c>
      <c r="K126" s="4218" t="str">
        <f>+'15. ОПП'!$D$7</f>
        <v>2028 г.</v>
      </c>
      <c r="L126" s="4218" t="str">
        <f>+'15. ОПП'!$E$7</f>
        <v>2029 г.</v>
      </c>
      <c r="M126" s="4218" t="str">
        <f>+'15. ОПП'!$F$7</f>
        <v>2030 г.</v>
      </c>
      <c r="N126" s="4218" t="str">
        <f>+'15. ОПП'!$G$7</f>
        <v>2031 г.</v>
      </c>
      <c r="O126" s="4218" t="s">
        <v>1623</v>
      </c>
      <c r="Q126" s="4244"/>
      <c r="S126" s="4235" t="s">
        <v>736</v>
      </c>
      <c r="T126" s="3526">
        <f t="shared" si="140"/>
        <v>273</v>
      </c>
      <c r="U126" s="3526">
        <f t="shared" si="140"/>
        <v>698.68262235999987</v>
      </c>
      <c r="V126" s="3526">
        <f t="shared" si="140"/>
        <v>1097.5554894400002</v>
      </c>
      <c r="W126" s="3526">
        <f t="shared" si="140"/>
        <v>1579.5659788799999</v>
      </c>
      <c r="X126" s="3526">
        <f t="shared" si="140"/>
        <v>1871.6412235999999</v>
      </c>
      <c r="Y126" s="3526">
        <f t="shared" si="140"/>
        <v>1991.1912236000003</v>
      </c>
      <c r="Z126" s="4227">
        <f t="shared" si="142"/>
        <v>1.5592770049816844</v>
      </c>
      <c r="AA126" s="4227">
        <f t="shared" si="143"/>
        <v>6.2937407457875469</v>
      </c>
    </row>
    <row r="127" spans="1:27" ht="15.75" customHeight="1">
      <c r="A127" s="4234" t="s">
        <v>1092</v>
      </c>
      <c r="B127" s="3526">
        <f t="shared" ref="B127:G127" si="145">B94</f>
        <v>0</v>
      </c>
      <c r="C127" s="3526">
        <f t="shared" si="145"/>
        <v>0</v>
      </c>
      <c r="D127" s="3526">
        <f t="shared" si="145"/>
        <v>0</v>
      </c>
      <c r="E127" s="3526">
        <f t="shared" si="145"/>
        <v>0</v>
      </c>
      <c r="F127" s="3526">
        <f t="shared" si="145"/>
        <v>0</v>
      </c>
      <c r="G127" s="3526">
        <f t="shared" si="145"/>
        <v>0</v>
      </c>
      <c r="I127" s="3392" t="s">
        <v>1624</v>
      </c>
      <c r="J127" s="3526">
        <f>J123</f>
        <v>1949.9999999999998</v>
      </c>
      <c r="K127" s="3526">
        <f t="shared" ref="K127:N127" si="146">K123</f>
        <v>2121</v>
      </c>
      <c r="L127" s="3526">
        <f t="shared" si="146"/>
        <v>2136.9999999999995</v>
      </c>
      <c r="M127" s="3526">
        <f t="shared" si="146"/>
        <v>1800.2</v>
      </c>
      <c r="N127" s="3526">
        <f t="shared" si="146"/>
        <v>1790.9999999999995</v>
      </c>
      <c r="O127" s="3644">
        <f t="shared" ref="O127:O128" si="147">SUM(J127:N127)</f>
        <v>9799.1999999999989</v>
      </c>
      <c r="Q127" s="4244"/>
      <c r="S127" s="4235" t="s">
        <v>737</v>
      </c>
      <c r="T127" s="3526">
        <f t="shared" si="140"/>
        <v>1998</v>
      </c>
      <c r="U127" s="3526">
        <f t="shared" si="140"/>
        <v>1309.3200000000002</v>
      </c>
      <c r="V127" s="3526">
        <f t="shared" si="140"/>
        <v>1081.44</v>
      </c>
      <c r="W127" s="3526">
        <f t="shared" si="140"/>
        <v>573.44000000000005</v>
      </c>
      <c r="X127" s="3526">
        <f t="shared" si="140"/>
        <v>986.56</v>
      </c>
      <c r="Y127" s="3526">
        <f t="shared" si="140"/>
        <v>1016.8100000000001</v>
      </c>
      <c r="Z127" s="4227">
        <f t="shared" si="142"/>
        <v>-0.34468468468468461</v>
      </c>
      <c r="AA127" s="4227">
        <f t="shared" si="143"/>
        <v>-0.49108608608608606</v>
      </c>
    </row>
    <row r="128" spans="1:27" ht="15.75" customHeight="1">
      <c r="A128" s="4252" t="s">
        <v>1664</v>
      </c>
      <c r="B128" s="4246"/>
      <c r="C128" s="4231">
        <f>'11.2. ДА за периода'!AI110</f>
        <v>0</v>
      </c>
      <c r="D128" s="4231">
        <f>'11.2. ДА за периода'!AJ110</f>
        <v>0</v>
      </c>
      <c r="E128" s="4231">
        <f>'11.2. ДА за периода'!AK110</f>
        <v>0</v>
      </c>
      <c r="F128" s="4231">
        <f>'11.2. ДА за периода'!AL110</f>
        <v>0</v>
      </c>
      <c r="G128" s="4231">
        <f>'11.2. ДА за периода'!AM110</f>
        <v>0</v>
      </c>
      <c r="I128" s="4266" t="s">
        <v>1628</v>
      </c>
      <c r="J128" s="3526">
        <f>'10. Финансиране на ИП'!AT24</f>
        <v>58</v>
      </c>
      <c r="K128" s="3526">
        <f>'10. Финансиране на ИП'!AU24</f>
        <v>58</v>
      </c>
      <c r="L128" s="3526">
        <f>'10. Финансиране на ИП'!AV24</f>
        <v>16</v>
      </c>
      <c r="M128" s="3526">
        <f>'10. Финансиране на ИП'!AW24</f>
        <v>1058</v>
      </c>
      <c r="N128" s="3526">
        <f>'10. Финансиране на ИП'!AX24</f>
        <v>1217</v>
      </c>
      <c r="O128" s="3644">
        <f t="shared" si="147"/>
        <v>2407</v>
      </c>
      <c r="Q128" s="4244"/>
      <c r="S128" s="4284" t="s">
        <v>448</v>
      </c>
      <c r="T128" s="3526">
        <f t="shared" si="140"/>
        <v>9861</v>
      </c>
      <c r="U128" s="3526">
        <f t="shared" si="140"/>
        <v>14943</v>
      </c>
      <c r="V128" s="3526">
        <f t="shared" si="140"/>
        <v>16736.160000000003</v>
      </c>
      <c r="W128" s="3526">
        <f t="shared" si="140"/>
        <v>18744.499200000006</v>
      </c>
      <c r="X128" s="3526">
        <f t="shared" si="140"/>
        <v>21537.922560000003</v>
      </c>
      <c r="Y128" s="3526">
        <f t="shared" si="140"/>
        <v>24122.473267199999</v>
      </c>
      <c r="Z128" s="4227">
        <f t="shared" si="142"/>
        <v>0.5153635533921509</v>
      </c>
      <c r="AA128" s="4227">
        <f t="shared" si="143"/>
        <v>1.4462502045634316</v>
      </c>
    </row>
    <row r="129" spans="1:42" ht="15.75" customHeight="1">
      <c r="A129" s="4228" t="s">
        <v>1661</v>
      </c>
      <c r="B129" s="3644">
        <f>SUM(B119,B121,B123,B125,B127)</f>
        <v>267986</v>
      </c>
      <c r="C129" s="3644">
        <f t="shared" ref="C129:G129" si="148">SUM(C119,C121,C123,C125,C127)</f>
        <v>267986</v>
      </c>
      <c r="D129" s="3644">
        <f t="shared" si="148"/>
        <v>267986</v>
      </c>
      <c r="E129" s="3644">
        <f t="shared" si="148"/>
        <v>267986</v>
      </c>
      <c r="F129" s="3644">
        <f t="shared" si="148"/>
        <v>267986</v>
      </c>
      <c r="G129" s="3644">
        <f t="shared" si="148"/>
        <v>267986</v>
      </c>
      <c r="I129" s="3400" t="s">
        <v>1649</v>
      </c>
      <c r="J129" s="4238">
        <f>SUM(J127:J128)</f>
        <v>2007.9999999999998</v>
      </c>
      <c r="K129" s="4238">
        <f t="shared" ref="K129:N129" si="149">SUM(K127:K128)</f>
        <v>2179</v>
      </c>
      <c r="L129" s="4238">
        <f t="shared" si="149"/>
        <v>2152.9999999999995</v>
      </c>
      <c r="M129" s="4238">
        <f t="shared" si="149"/>
        <v>2858.2</v>
      </c>
      <c r="N129" s="4238">
        <f t="shared" si="149"/>
        <v>3007.9999999999995</v>
      </c>
      <c r="O129" s="4238">
        <f>SUM(J129:N129)</f>
        <v>12206.2</v>
      </c>
      <c r="Q129" s="4244"/>
      <c r="S129" s="4229" t="s">
        <v>449</v>
      </c>
      <c r="T129" s="3526">
        <f t="shared" si="140"/>
        <v>3150</v>
      </c>
      <c r="U129" s="3526">
        <f t="shared" si="140"/>
        <v>4391.5473684210529</v>
      </c>
      <c r="V129" s="3526">
        <f t="shared" si="140"/>
        <v>4739.9999999999991</v>
      </c>
      <c r="W129" s="3526">
        <f t="shared" si="140"/>
        <v>5188.76</v>
      </c>
      <c r="X129" s="3526">
        <f t="shared" si="140"/>
        <v>5720.2252799999997</v>
      </c>
      <c r="Y129" s="3526">
        <f t="shared" si="140"/>
        <v>6221.8523136000013</v>
      </c>
      <c r="Z129" s="4227">
        <f t="shared" si="142"/>
        <v>0.39414202172096918</v>
      </c>
      <c r="AA129" s="4227">
        <f t="shared" si="143"/>
        <v>0.97519121066666703</v>
      </c>
    </row>
    <row r="130" spans="1:42" ht="15.75" customHeight="1">
      <c r="I130" s="3400" t="s">
        <v>1629</v>
      </c>
      <c r="J130" s="4238">
        <f>'12. Разходи'!AX57</f>
        <v>698.68262235999987</v>
      </c>
      <c r="K130" s="4238">
        <f>'12. Разходи'!AY57</f>
        <v>1097.5554894400002</v>
      </c>
      <c r="L130" s="4238">
        <f>'12. Разходи'!AZ57</f>
        <v>1579.5659788799999</v>
      </c>
      <c r="M130" s="4238">
        <f>'12. Разходи'!BA57</f>
        <v>1871.6412235999999</v>
      </c>
      <c r="N130" s="4238">
        <f>'12. Разходи'!BB57</f>
        <v>1991.1912236000003</v>
      </c>
      <c r="O130" s="4238">
        <f t="shared" ref="O130:O135" si="150">SUM(J130:N130)</f>
        <v>7238.6365378800001</v>
      </c>
      <c r="Q130" s="4244"/>
      <c r="S130" s="4229" t="s">
        <v>450</v>
      </c>
      <c r="T130" s="3526">
        <f t="shared" si="140"/>
        <v>737.77225169522319</v>
      </c>
      <c r="U130" s="3526">
        <f t="shared" si="140"/>
        <v>748.42841686425766</v>
      </c>
      <c r="V130" s="3526">
        <f t="shared" si="140"/>
        <v>753.24126937018536</v>
      </c>
      <c r="W130" s="3526">
        <f t="shared" si="140"/>
        <v>758.19850745129088</v>
      </c>
      <c r="X130" s="3526">
        <f t="shared" si="140"/>
        <v>763.30446267482955</v>
      </c>
      <c r="Y130" s="3526">
        <f t="shared" si="140"/>
        <v>768.56359655507458</v>
      </c>
      <c r="Z130" s="4227">
        <f t="shared" si="142"/>
        <v>1.4443705553508093E-2</v>
      </c>
      <c r="AA130" s="4227">
        <f t="shared" si="143"/>
        <v>4.1735569193745478E-2</v>
      </c>
    </row>
    <row r="131" spans="1:42" ht="15.75" customHeight="1">
      <c r="I131" s="4285" t="s">
        <v>1630</v>
      </c>
      <c r="J131" s="4231">
        <f>J130-J129</f>
        <v>-1309.3173776399999</v>
      </c>
      <c r="K131" s="4231">
        <f>K130-K129</f>
        <v>-1081.4445105599998</v>
      </c>
      <c r="L131" s="4231">
        <f>L130-L129</f>
        <v>-573.43402111999967</v>
      </c>
      <c r="M131" s="4231">
        <f>M130-M129</f>
        <v>-986.55877639999994</v>
      </c>
      <c r="N131" s="4231">
        <f>N130-N129</f>
        <v>-1016.8087763999993</v>
      </c>
      <c r="O131" s="4263">
        <f t="shared" si="150"/>
        <v>-4967.5634621199988</v>
      </c>
      <c r="Q131" s="4244"/>
      <c r="S131" s="4229" t="s">
        <v>267</v>
      </c>
      <c r="T131" s="3526">
        <f t="shared" si="140"/>
        <v>90</v>
      </c>
      <c r="U131" s="3526">
        <f t="shared" si="140"/>
        <v>94.16</v>
      </c>
      <c r="V131" s="3526">
        <f t="shared" si="140"/>
        <v>96.984800000000007</v>
      </c>
      <c r="W131" s="3526">
        <f t="shared" si="140"/>
        <v>99.894344000000004</v>
      </c>
      <c r="X131" s="3526">
        <f t="shared" si="140"/>
        <v>102.89117432</v>
      </c>
      <c r="Y131" s="3526">
        <f t="shared" si="140"/>
        <v>105.97790954960001</v>
      </c>
      <c r="Z131" s="4227">
        <f t="shared" si="142"/>
        <v>4.6222222222222185E-2</v>
      </c>
      <c r="AA131" s="4227">
        <f t="shared" si="143"/>
        <v>0.17753232832888904</v>
      </c>
    </row>
    <row r="132" spans="1:42" ht="15.75" customHeight="1">
      <c r="I132" s="3400" t="s">
        <v>1631</v>
      </c>
      <c r="J132" s="4238">
        <f>'11. Амортиз. план'!G214+'11. Амортиз. план'!N214+'11. Амортиз. план'!U214+'11. Амортиз. план'!AB214+'11. Амортиз. план'!AI214</f>
        <v>8004</v>
      </c>
      <c r="K132" s="4238">
        <f>'11. Амортиз. план'!H214+'11. Амортиз. план'!O214+'11. Амортиз. план'!V214+'11. Амортиз. план'!AC214+'11. Амортиз. план'!AJ214</f>
        <v>8000.21</v>
      </c>
      <c r="L132" s="4238">
        <f>'11. Амортиз. план'!I214+'11. Амортиз. план'!P214+'11. Амортиз. план'!W214+'11. Амортиз. план'!AD214+'11. Амортиз. план'!AK214</f>
        <v>7985.57</v>
      </c>
      <c r="M132" s="4238">
        <f>'11. Амортиз. план'!J214+'11. Амортиз. план'!Q214+'11. Амортиз. план'!X214+'11. Амортиз. план'!AE214+'11. Амортиз. план'!AL214</f>
        <v>7982.77</v>
      </c>
      <c r="N132" s="4238">
        <f>'11. Амортиз. план'!K214+'11. Амортиз. план'!R214+'11. Амортиз. план'!Y214+'11. Амортиз. план'!AF214+'11. Амортиз. план'!AM214</f>
        <v>7982.77</v>
      </c>
      <c r="O132" s="4238">
        <f t="shared" si="150"/>
        <v>39955.32</v>
      </c>
      <c r="Q132" s="4244"/>
      <c r="S132" s="4237" t="s">
        <v>277</v>
      </c>
      <c r="T132" s="4238">
        <f>SUM(T122:T124,T128:T131)</f>
        <v>29111.66496310314</v>
      </c>
      <c r="U132" s="4238">
        <f t="shared" ref="U132" si="151">SUM(U122:U124,U128:U131)</f>
        <v>37731.925947451709</v>
      </c>
      <c r="V132" s="4238">
        <f t="shared" ref="V132" si="152">SUM(V122:V124,V128:V131)</f>
        <v>40293.462239291592</v>
      </c>
      <c r="W132" s="4238">
        <f t="shared" ref="W132" si="153">SUM(W122:W124,W128:W131)</f>
        <v>42830.3203691007</v>
      </c>
      <c r="X132" s="4238">
        <f t="shared" ref="X132" si="154">SUM(X122:X124,X128:X131)</f>
        <v>47219.811238797382</v>
      </c>
      <c r="Y132" s="4238">
        <f t="shared" ref="Y132" si="155">SUM(Y122:Y124,Y128:Y131)</f>
        <v>50332.208060305173</v>
      </c>
      <c r="Z132" s="4239">
        <f t="shared" si="142"/>
        <v>0.29611020171034896</v>
      </c>
      <c r="AA132" s="4239">
        <f t="shared" si="143"/>
        <v>0.72893608538355625</v>
      </c>
    </row>
    <row r="133" spans="1:42" ht="15.75" customHeight="1">
      <c r="I133" s="3400" t="s">
        <v>1632</v>
      </c>
      <c r="J133" s="4238">
        <f>'10. Финансиране на ИП'!AT31</f>
        <v>1309.3200000000002</v>
      </c>
      <c r="K133" s="4238">
        <f>'10. Финансиране на ИП'!AU31</f>
        <v>1081.44</v>
      </c>
      <c r="L133" s="4238">
        <f>'10. Финансиране на ИП'!AV31</f>
        <v>573.44000000000005</v>
      </c>
      <c r="M133" s="4238">
        <f>'10. Финансиране на ИП'!AW31</f>
        <v>986.56</v>
      </c>
      <c r="N133" s="4238">
        <f>'10. Финансиране на ИП'!AX31</f>
        <v>1016.8100000000001</v>
      </c>
      <c r="O133" s="4238">
        <f t="shared" si="150"/>
        <v>4967.5700000000006</v>
      </c>
      <c r="Q133" s="4244"/>
      <c r="S133" s="4245" t="str">
        <f>CONCATENATE("Спестявания и увеличения спрямо ",T121," - нето:")</f>
        <v>Спестявания и увеличения спрямо 2024 г. - нето:</v>
      </c>
      <c r="T133" s="4246"/>
      <c r="U133" s="4245">
        <f>U132-$T132</f>
        <v>8620.2609843485698</v>
      </c>
      <c r="V133" s="4245">
        <f t="shared" ref="V133" si="156">V132-$T132</f>
        <v>11181.797276188452</v>
      </c>
      <c r="W133" s="4245">
        <f t="shared" ref="W133" si="157">W132-$T132</f>
        <v>13718.655405997561</v>
      </c>
      <c r="X133" s="4245">
        <f t="shared" ref="X133" si="158">X132-$T132</f>
        <v>18108.146275694242</v>
      </c>
      <c r="Y133" s="4245">
        <f t="shared" ref="Y133" si="159">Y132-$T132</f>
        <v>21220.543097202033</v>
      </c>
      <c r="Z133" s="4246"/>
      <c r="AA133" s="4246"/>
    </row>
    <row r="134" spans="1:42" ht="15.75" customHeight="1">
      <c r="I134" s="3400" t="s">
        <v>1633</v>
      </c>
      <c r="J134" s="4239">
        <f t="shared" ref="J134:O134" si="160">IFERROR(J133/J132,0)</f>
        <v>0.16358320839580212</v>
      </c>
      <c r="K134" s="4239">
        <f t="shared" si="160"/>
        <v>0.13517645161814504</v>
      </c>
      <c r="L134" s="4239">
        <f t="shared" si="160"/>
        <v>7.1809526433304086E-2</v>
      </c>
      <c r="M134" s="4239">
        <f t="shared" si="160"/>
        <v>0.12358617372165299</v>
      </c>
      <c r="N134" s="4239">
        <f t="shared" si="160"/>
        <v>0.12737558516655245</v>
      </c>
      <c r="O134" s="4239">
        <f t="shared" si="160"/>
        <v>0.12432812451508336</v>
      </c>
      <c r="Q134" s="4244"/>
      <c r="S134" s="4229" t="s">
        <v>1670</v>
      </c>
      <c r="T134" s="3526">
        <f>T17+T38+T59+T90+T114</f>
        <v>22350</v>
      </c>
      <c r="U134" s="3526">
        <f t="shared" ref="U134:Y134" si="161">U17+U38+U59+U90+U114</f>
        <v>26289.993326277414</v>
      </c>
      <c r="V134" s="3526">
        <f t="shared" si="161"/>
        <v>28032.307740432672</v>
      </c>
      <c r="W134" s="3526">
        <f t="shared" si="161"/>
        <v>29983.514393451998</v>
      </c>
      <c r="X134" s="3526">
        <f t="shared" si="161"/>
        <v>32698.973521422224</v>
      </c>
      <c r="Y134" s="3526">
        <f t="shared" si="161"/>
        <v>34972.651356134782</v>
      </c>
      <c r="Z134" s="4227">
        <f t="shared" ref="Z134" si="162">IFERROR((U134-T134)/T134,0)</f>
        <v>0.17628605486699839</v>
      </c>
      <c r="AA134" s="4227">
        <f t="shared" ref="AA134" si="163">IFERROR((Y134-T134)/T134,0)</f>
        <v>0.56477187275770835</v>
      </c>
    </row>
    <row r="135" spans="1:42" ht="15.75" customHeight="1">
      <c r="I135" s="4285" t="s">
        <v>1648</v>
      </c>
      <c r="J135" s="4231">
        <f>J133+J131</f>
        <v>2.6223600002595049E-3</v>
      </c>
      <c r="K135" s="4231">
        <f>K133+K131</f>
        <v>-4.5105599997441459E-3</v>
      </c>
      <c r="L135" s="4231">
        <f>L133+L131</f>
        <v>5.9788800003843789E-3</v>
      </c>
      <c r="M135" s="4231">
        <f>M133+M131</f>
        <v>1.223600000002989E-3</v>
      </c>
      <c r="N135" s="4231">
        <f>N133+N131</f>
        <v>1.2236000007987968E-3</v>
      </c>
      <c r="O135" s="4263">
        <f t="shared" si="150"/>
        <v>6.5378800017015237E-3</v>
      </c>
      <c r="Q135" s="4244"/>
      <c r="S135" s="4229" t="s">
        <v>1672</v>
      </c>
      <c r="T135" s="3526">
        <f t="shared" ref="T135:Y136" si="164">T18+T39+T60+T91+T115</f>
        <v>4160.6649631031387</v>
      </c>
      <c r="U135" s="3526">
        <f t="shared" si="164"/>
        <v>8871.8399988142937</v>
      </c>
      <c r="V135" s="3526">
        <f t="shared" si="164"/>
        <v>9463.0790094189215</v>
      </c>
      <c r="W135" s="3526">
        <f t="shared" si="164"/>
        <v>10106.579996768694</v>
      </c>
      <c r="X135" s="3526">
        <f t="shared" si="164"/>
        <v>11045.616493775156</v>
      </c>
      <c r="Y135" s="3526">
        <f t="shared" si="164"/>
        <v>11715.695480570397</v>
      </c>
      <c r="Z135" s="4227">
        <f t="shared" ref="Z135" si="165">IFERROR((U135-T135)/T135,0)</f>
        <v>1.1323130022460233</v>
      </c>
      <c r="AA135" s="4227">
        <f t="shared" ref="AA135" si="166">IFERROR((Y135-T135)/T135,0)</f>
        <v>1.8158228515070121</v>
      </c>
      <c r="AC135" s="3294"/>
      <c r="AD135" s="11"/>
      <c r="AK135" s="4216"/>
      <c r="AP135" s="11"/>
    </row>
    <row r="136" spans="1:42" ht="15.75" customHeight="1">
      <c r="Q136" s="4244"/>
      <c r="S136" s="4248" t="s">
        <v>1671</v>
      </c>
      <c r="T136" s="3526">
        <f t="shared" si="164"/>
        <v>1374</v>
      </c>
      <c r="U136" s="3526">
        <f t="shared" si="164"/>
        <v>1616.3733382927169</v>
      </c>
      <c r="V136" s="3526">
        <f t="shared" si="164"/>
        <v>0</v>
      </c>
      <c r="W136" s="3526">
        <f t="shared" si="164"/>
        <v>0</v>
      </c>
      <c r="X136" s="3526">
        <f t="shared" si="164"/>
        <v>0</v>
      </c>
      <c r="Y136" s="3526">
        <f t="shared" si="164"/>
        <v>0</v>
      </c>
      <c r="Z136" s="4227">
        <f t="shared" si="142"/>
        <v>0.17639980952890602</v>
      </c>
      <c r="AA136" s="4227">
        <f t="shared" si="143"/>
        <v>-1</v>
      </c>
      <c r="AC136" s="3294"/>
      <c r="AD136" s="11"/>
      <c r="AK136" s="4216"/>
      <c r="AP136" s="11"/>
    </row>
    <row r="137" spans="1:42" ht="15.75" customHeight="1">
      <c r="I137" s="3399" t="s">
        <v>1650</v>
      </c>
      <c r="J137" s="4218" t="str">
        <f>+'15. ОПП'!$C$7</f>
        <v>2027 г.</v>
      </c>
      <c r="K137" s="4218" t="str">
        <f>+'15. ОПП'!$D$7</f>
        <v>2028 г.</v>
      </c>
      <c r="L137" s="4218" t="str">
        <f>+'15. ОПП'!$E$7</f>
        <v>2029 г.</v>
      </c>
      <c r="M137" s="4218" t="str">
        <f>+'15. ОПП'!$F$7</f>
        <v>2030 г.</v>
      </c>
      <c r="N137" s="4218" t="str">
        <f>+'15. ОПП'!$G$7</f>
        <v>2031 г.</v>
      </c>
      <c r="Q137" s="4244"/>
      <c r="S137" s="4229" t="s">
        <v>637</v>
      </c>
      <c r="T137" s="3526">
        <f t="shared" ref="T137:Y138" si="167">T20+T41+T62+T93+T117</f>
        <v>3283.1471000000006</v>
      </c>
      <c r="U137" s="3526">
        <f t="shared" si="167"/>
        <v>4268.09123</v>
      </c>
      <c r="V137" s="3526">
        <f t="shared" si="167"/>
        <v>4481.4957914999995</v>
      </c>
      <c r="W137" s="3526">
        <f t="shared" si="167"/>
        <v>4615.9406652449998</v>
      </c>
      <c r="X137" s="3526">
        <f t="shared" si="167"/>
        <v>4406.1158429720253</v>
      </c>
      <c r="Y137" s="3526">
        <f t="shared" si="167"/>
        <v>4229.8712092531441</v>
      </c>
      <c r="Z137" s="4227">
        <f t="shared" si="142"/>
        <v>0.29999999999999977</v>
      </c>
      <c r="AA137" s="4227">
        <f t="shared" si="143"/>
        <v>0.28835872424148873</v>
      </c>
      <c r="AC137" s="3294"/>
      <c r="AD137" s="11"/>
      <c r="AK137" s="4216"/>
      <c r="AP137" s="11"/>
    </row>
    <row r="138" spans="1:42" ht="15.75" customHeight="1">
      <c r="I138" s="3392" t="s">
        <v>1656</v>
      </c>
      <c r="J138" s="3397">
        <f>'10. Финансиране на ИП'!AT59*'10. Финансиране на ИП'!AT67</f>
        <v>0</v>
      </c>
      <c r="K138" s="3397">
        <f>'10. Финансиране на ИП'!AU59*'10. Финансиране на ИП'!AU67</f>
        <v>0</v>
      </c>
      <c r="L138" s="3397">
        <f>'10. Финансиране на ИП'!AV59*'10. Финансиране на ИП'!AV67</f>
        <v>0</v>
      </c>
      <c r="M138" s="3397">
        <f>'10. Финансиране на ИП'!AW59*'10. Финансиране на ИП'!AW67</f>
        <v>0</v>
      </c>
      <c r="N138" s="3397">
        <f>'10. Финансиране на ИП'!AX59*'10. Финансиране на ИП'!AX67</f>
        <v>0</v>
      </c>
      <c r="Q138" s="4244"/>
      <c r="S138" s="4229" t="s">
        <v>1669</v>
      </c>
      <c r="T138" s="3526">
        <f t="shared" si="167"/>
        <v>9315.3686231031388</v>
      </c>
      <c r="U138" s="3526">
        <f t="shared" si="167"/>
        <v>10805.220714670659</v>
      </c>
      <c r="V138" s="3526">
        <f t="shared" si="167"/>
        <v>10784.663845751586</v>
      </c>
      <c r="W138" s="3526">
        <f t="shared" si="167"/>
        <v>10765.235398997693</v>
      </c>
      <c r="X138" s="3526">
        <f t="shared" si="167"/>
        <v>11101.80480105883</v>
      </c>
      <c r="Y138" s="3526">
        <f t="shared" si="167"/>
        <v>11027.227090253173</v>
      </c>
      <c r="Z138" s="4227">
        <f t="shared" si="142"/>
        <v>0.15993485087348264</v>
      </c>
      <c r="AA138" s="4227">
        <f t="shared" si="143"/>
        <v>0.18376712038044707</v>
      </c>
      <c r="AC138" s="3294"/>
      <c r="AD138" s="11"/>
      <c r="AK138" s="4216"/>
      <c r="AP138" s="11"/>
    </row>
    <row r="139" spans="1:42" ht="15.75" customHeight="1">
      <c r="I139" s="3394" t="s">
        <v>1651</v>
      </c>
      <c r="J139" s="3395">
        <f>'10. Финансиране на ИП'!AT60*'10. Финансиране на ИП'!AT67</f>
        <v>0</v>
      </c>
      <c r="K139" s="3387">
        <f>'10. Финансиране на ИП'!AU60*'10. Финансиране на ИП'!AU67</f>
        <v>0</v>
      </c>
      <c r="L139" s="3387">
        <f>'10. Финансиране на ИП'!AV60*'10. Финансиране на ИП'!AV67</f>
        <v>0</v>
      </c>
      <c r="M139" s="3395">
        <f>'10. Финансиране на ИП'!AW60*'10. Финансиране на ИП'!AW67</f>
        <v>0</v>
      </c>
      <c r="N139" s="3395">
        <f>'10. Финансиране на ИП'!AX60*'10. Финансиране на ИП'!AX67</f>
        <v>0</v>
      </c>
      <c r="Q139" s="4244"/>
      <c r="S139" s="4275"/>
      <c r="T139" s="4275"/>
      <c r="U139" s="4275"/>
      <c r="V139" s="4275"/>
      <c r="W139" s="4275"/>
      <c r="X139" s="4275"/>
      <c r="Y139" s="4275"/>
      <c r="Z139" s="4275"/>
      <c r="AA139" s="4275"/>
      <c r="AC139" s="3294"/>
      <c r="AD139" s="11"/>
      <c r="AK139" s="4216"/>
      <c r="AP139" s="11"/>
    </row>
    <row r="140" spans="1:42" ht="15.75" customHeight="1">
      <c r="I140" s="3394" t="s">
        <v>1652</v>
      </c>
      <c r="J140" s="3395">
        <f>'10. Финансиране на ИП'!AT61*'10. Финансиране на ИП'!AT67</f>
        <v>0</v>
      </c>
      <c r="K140" s="3387">
        <f>'10. Финансиране на ИП'!AU61*'10. Финансиране на ИП'!AU67</f>
        <v>0</v>
      </c>
      <c r="L140" s="3387">
        <f>'10. Финансиране на ИП'!AV61*'10. Финансиране на ИП'!AV67</f>
        <v>0</v>
      </c>
      <c r="M140" s="3387">
        <f>'10. Финансиране на ИП'!AW61*'10. Финансиране на ИП'!AW67</f>
        <v>0</v>
      </c>
      <c r="N140" s="3387">
        <f>'10. Финансиране на ИП'!AX61*'10. Финансиране на ИП'!AX67</f>
        <v>0</v>
      </c>
      <c r="Q140" s="4244"/>
      <c r="S140" s="1334" t="s">
        <v>1680</v>
      </c>
      <c r="T140" s="4275"/>
      <c r="U140" s="4275"/>
      <c r="V140" s="4275"/>
      <c r="W140" s="4275"/>
      <c r="X140" s="4275"/>
      <c r="Y140" s="4275"/>
      <c r="Z140" s="4275"/>
      <c r="AA140" s="4275"/>
      <c r="AC140" s="3294"/>
      <c r="AD140" s="11"/>
      <c r="AK140" s="4216"/>
      <c r="AP140" s="11"/>
    </row>
    <row r="141" spans="1:42" ht="15.75" customHeight="1">
      <c r="I141" s="3392" t="s">
        <v>1653</v>
      </c>
      <c r="J141" s="3396">
        <f>'10. Финансиране на ИП'!AT62*'10. Финансиране на ИП'!AT67</f>
        <v>0</v>
      </c>
      <c r="K141" s="3396">
        <f>'10. Финансиране на ИП'!AU62*'10. Финансиране на ИП'!AU67</f>
        <v>0</v>
      </c>
      <c r="L141" s="3396">
        <f>'10. Финансиране на ИП'!AV62*'10. Финансиране на ИП'!AV67</f>
        <v>0</v>
      </c>
      <c r="M141" s="3396">
        <f>'10. Финансиране на ИП'!AW62*'10. Финансиране на ИП'!AW67</f>
        <v>0</v>
      </c>
      <c r="N141" s="3396">
        <f>'10. Финансиране на ИП'!AX62*'10. Финансиране на ИП'!AX67</f>
        <v>0</v>
      </c>
      <c r="Q141" s="4244"/>
      <c r="S141" s="5460" t="s">
        <v>1676</v>
      </c>
      <c r="T141" s="5463" t="s">
        <v>207</v>
      </c>
      <c r="U141" s="5464"/>
      <c r="V141" s="5464"/>
      <c r="W141" s="5464"/>
      <c r="X141" s="5465"/>
      <c r="Y141" s="4275"/>
      <c r="Z141" s="4275"/>
      <c r="AA141" s="11"/>
      <c r="AC141" s="3294"/>
      <c r="AD141" s="11"/>
      <c r="AK141" s="4216"/>
      <c r="AP141" s="11"/>
    </row>
    <row r="142" spans="1:42" ht="15.75" customHeight="1">
      <c r="I142" s="3394" t="s">
        <v>199</v>
      </c>
      <c r="J142" s="3388">
        <f>'10. Финансиране на ИП'!AT63</f>
        <v>0</v>
      </c>
      <c r="K142" s="3388">
        <f>'10. Финансиране на ИП'!AU63</f>
        <v>0</v>
      </c>
      <c r="L142" s="3388">
        <f>'10. Финансиране на ИП'!AV63</f>
        <v>0</v>
      </c>
      <c r="M142" s="3388">
        <f>'10. Финансиране на ИП'!AW63</f>
        <v>0</v>
      </c>
      <c r="N142" s="3388">
        <f>'10. Финансиране на ИП'!AX63</f>
        <v>0</v>
      </c>
      <c r="Q142" s="4244"/>
      <c r="S142" s="5460"/>
      <c r="T142" s="4214" t="str">
        <f>+U121</f>
        <v>2027 г.</v>
      </c>
      <c r="U142" s="4214" t="str">
        <f>+V121</f>
        <v>2028 г.</v>
      </c>
      <c r="V142" s="4214" t="str">
        <f>+W121</f>
        <v>2029 г.</v>
      </c>
      <c r="W142" s="4214" t="str">
        <f>+X121</f>
        <v>2030 г.</v>
      </c>
      <c r="X142" s="4214" t="str">
        <f>+Y121</f>
        <v>2031 г.</v>
      </c>
      <c r="Y142" s="4275"/>
      <c r="Z142" s="4275"/>
      <c r="AA142" s="11"/>
      <c r="AC142" s="3294"/>
      <c r="AD142" s="11"/>
      <c r="AK142" s="4216"/>
      <c r="AP142" s="11"/>
    </row>
    <row r="143" spans="1:42" ht="15.75" customHeight="1">
      <c r="I143" s="3392" t="s">
        <v>1654</v>
      </c>
      <c r="J143" s="3386">
        <f>'10. Финансиране на ИП'!AT64*'10. Финансиране на ИП'!AT67</f>
        <v>0</v>
      </c>
      <c r="K143" s="3386">
        <f>'10. Финансиране на ИП'!AU64*'10. Финансиране на ИП'!AU67</f>
        <v>0</v>
      </c>
      <c r="L143" s="3386">
        <f>'10. Финансиране на ИП'!AV64*'10. Финансиране на ИП'!AV67</f>
        <v>0</v>
      </c>
      <c r="M143" s="3386">
        <f>'10. Финансиране на ИП'!AW64*'10. Финансиране на ИП'!AW67</f>
        <v>0</v>
      </c>
      <c r="N143" s="3386">
        <f>'10. Финансиране на ИП'!AX64*'10. Финансиране на ИП'!AX67</f>
        <v>0</v>
      </c>
      <c r="Q143" s="4244"/>
      <c r="S143" s="4229" t="str">
        <f>'12.2.Нови дейности или обекти'!C10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ЯБЪЛКОВО</v>
      </c>
      <c r="T143" s="3526">
        <f>'12.2.Нови дейности или обекти'!C21</f>
        <v>0</v>
      </c>
      <c r="U143" s="3526">
        <f>'12.2.Нови дейности или обекти'!D21</f>
        <v>0</v>
      </c>
      <c r="V143" s="3526">
        <f>'12.2.Нови дейности или обекти'!E21</f>
        <v>0</v>
      </c>
      <c r="W143" s="3526">
        <f>'12.2.Нови дейности или обекти'!F21</f>
        <v>216</v>
      </c>
      <c r="X143" s="3526">
        <f>'12.2.Нови дейности или обекти'!G21</f>
        <v>280</v>
      </c>
      <c r="Y143" s="4275"/>
      <c r="Z143" s="4275"/>
      <c r="AA143" s="11"/>
      <c r="AC143" s="3294"/>
      <c r="AD143" s="11"/>
      <c r="AK143" s="4216"/>
      <c r="AP143" s="11"/>
    </row>
    <row r="144" spans="1:42" ht="15.75" customHeight="1">
      <c r="I144" s="3392" t="s">
        <v>1655</v>
      </c>
      <c r="J144" s="3386">
        <f>'10. Финансиране на ИП'!AT65*'10. Финансиране на ИП'!AT67</f>
        <v>0</v>
      </c>
      <c r="K144" s="3386">
        <f>'10. Финансиране на ИП'!AU65*'10. Финансиране на ИП'!AU67</f>
        <v>0</v>
      </c>
      <c r="L144" s="3386">
        <f>'10. Финансиране на ИП'!AV65*'10. Финансиране на ИП'!AV67</f>
        <v>0</v>
      </c>
      <c r="M144" s="3398">
        <f>'10. Финансиране на ИП'!AW65*'10. Финансиране на ИП'!AW67</f>
        <v>0</v>
      </c>
      <c r="N144" s="3398">
        <f>'10. Финансиране на ИП'!AX65*'10. Финансиране на ИП'!AX67</f>
        <v>0</v>
      </c>
      <c r="Q144" s="4244"/>
      <c r="S144" s="4229" t="str">
        <f>'12.2.Нови дейности или обекти'!H10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СВИЛЕНГРАД</v>
      </c>
      <c r="T144" s="3526">
        <f>'12.2.Нови дейности или обекти'!H21</f>
        <v>0</v>
      </c>
      <c r="U144" s="3526">
        <f>'12.2.Нови дейности или обекти'!I21</f>
        <v>0</v>
      </c>
      <c r="V144" s="3526">
        <f>'12.2.Нови дейности или обекти'!J21</f>
        <v>0</v>
      </c>
      <c r="W144" s="3526">
        <f>'12.2.Нови дейности или обекти'!K21</f>
        <v>216</v>
      </c>
      <c r="X144" s="3526">
        <f>'12.2.Нови дейности или обекти'!L21</f>
        <v>280</v>
      </c>
      <c r="Y144" s="4275"/>
      <c r="Z144" s="4275"/>
      <c r="AA144" s="11"/>
      <c r="AC144" s="3294"/>
      <c r="AD144" s="11"/>
      <c r="AK144" s="4216"/>
      <c r="AP144" s="11"/>
    </row>
    <row r="145" spans="9:42" ht="15.75" customHeight="1">
      <c r="I145" s="3399" t="s">
        <v>1940</v>
      </c>
      <c r="J145" s="4218" t="s">
        <v>1062</v>
      </c>
      <c r="K145" s="4218" t="s">
        <v>1063</v>
      </c>
      <c r="L145" s="4218" t="s">
        <v>1064</v>
      </c>
      <c r="M145" s="4218" t="s">
        <v>1065</v>
      </c>
      <c r="N145" s="4218" t="s">
        <v>1066</v>
      </c>
      <c r="Q145" s="4244"/>
      <c r="S145" s="4229">
        <f>'12.2.Нови дейности или обекти'!M10</f>
        <v>0</v>
      </c>
      <c r="T145" s="3526">
        <f>'12.2.Нови дейности или обекти'!M21</f>
        <v>0</v>
      </c>
      <c r="U145" s="3526">
        <f>'12.2.Нови дейности или обекти'!N21</f>
        <v>0</v>
      </c>
      <c r="V145" s="3526">
        <f>'12.2.Нови дейности или обекти'!O21</f>
        <v>0</v>
      </c>
      <c r="W145" s="3526">
        <f>'12.2.Нови дейности или обекти'!P21</f>
        <v>0</v>
      </c>
      <c r="X145" s="3526">
        <f>'12.2.Нови дейности или обекти'!Q21</f>
        <v>0</v>
      </c>
      <c r="Y145" s="4275"/>
      <c r="Z145" s="4275"/>
      <c r="AA145" s="11"/>
      <c r="AC145" s="3294"/>
      <c r="AD145" s="11"/>
      <c r="AK145" s="4216"/>
      <c r="AP145" s="11"/>
    </row>
    <row r="146" spans="9:42" ht="15.75" customHeight="1">
      <c r="I146" s="3392" t="s">
        <v>1656</v>
      </c>
      <c r="J146" s="3397">
        <f>'10. Финансиране на ИП'!AT70*'10. Финансиране на ИП'!AT78</f>
        <v>0</v>
      </c>
      <c r="K146" s="3397">
        <f>'10. Финансиране на ИП'!AU70*'10. Финансиране на ИП'!AU78</f>
        <v>5902.303774</v>
      </c>
      <c r="L146" s="3397">
        <f>'10. Финансиране на ИП'!AV70*'10. Финансиране на ИП'!AV78</f>
        <v>17706.911322</v>
      </c>
      <c r="M146" s="3397">
        <f>'10. Финансиране на ИП'!AW70*'10. Финансиране на ИП'!AW78</f>
        <v>29203.51887</v>
      </c>
      <c r="N146" s="3397">
        <f>'10. Финансиране на ИП'!AX70*'10. Финансиране на ИП'!AX78</f>
        <v>28145.51887</v>
      </c>
      <c r="S146" s="4229">
        <f>'12.2.Нови дейности или обекти'!R10</f>
        <v>0</v>
      </c>
      <c r="T146" s="3526">
        <f>'12.2.Нови дейности или обекти'!R21</f>
        <v>0</v>
      </c>
      <c r="U146" s="3526">
        <f>'12.2.Нови дейности или обекти'!S21</f>
        <v>0</v>
      </c>
      <c r="V146" s="3526">
        <f>'12.2.Нови дейности или обекти'!T21</f>
        <v>0</v>
      </c>
      <c r="W146" s="3526">
        <f>'12.2.Нови дейности или обекти'!U21</f>
        <v>0</v>
      </c>
      <c r="X146" s="3526">
        <f>'12.2.Нови дейности или обекти'!V21</f>
        <v>0</v>
      </c>
      <c r="Y146" s="4275"/>
      <c r="Z146" s="4275"/>
      <c r="AA146" s="11"/>
      <c r="AC146" s="3294"/>
      <c r="AD146" s="11"/>
      <c r="AK146" s="4216"/>
      <c r="AP146" s="11"/>
    </row>
    <row r="147" spans="9:42" ht="15.75" customHeight="1">
      <c r="I147" s="3394" t="s">
        <v>1651</v>
      </c>
      <c r="J147" s="3395">
        <f>'10. Финансиране на ИП'!AT71*'10. Финансиране на ИП'!AT78</f>
        <v>5902.303774</v>
      </c>
      <c r="K147" s="3387">
        <f>'10. Финансиране на ИП'!AU71*'10. Финансиране на ИП'!AU78</f>
        <v>11804.607548</v>
      </c>
      <c r="L147" s="3387">
        <f>'10. Финансиране на ИП'!AV71*'10. Финансиране на ИП'!AV78</f>
        <v>11496.607548</v>
      </c>
      <c r="M147" s="3395">
        <f>'10. Финансиране на ИП'!AW71*'10. Финансиране на ИП'!AW78</f>
        <v>0</v>
      </c>
      <c r="N147" s="3395">
        <f>'10. Финансиране на ИП'!AX71*'10. Финансиране на ИП'!AX78</f>
        <v>0</v>
      </c>
      <c r="S147" s="4229">
        <f>'12.2.Нови дейности или обекти'!W10</f>
        <v>0</v>
      </c>
      <c r="T147" s="3526">
        <f>'12.2.Нови дейности или обекти'!W21</f>
        <v>0</v>
      </c>
      <c r="U147" s="3526">
        <f>'12.2.Нови дейности или обекти'!X21</f>
        <v>0</v>
      </c>
      <c r="V147" s="3526">
        <f>'12.2.Нови дейности или обекти'!Y21</f>
        <v>0</v>
      </c>
      <c r="W147" s="3526">
        <f>'12.2.Нови дейности или обекти'!Z21</f>
        <v>0</v>
      </c>
      <c r="X147" s="3526">
        <f>'12.2.Нови дейности или обекти'!AA21</f>
        <v>0</v>
      </c>
      <c r="Y147" s="4275"/>
      <c r="Z147" s="4275"/>
      <c r="AA147" s="11"/>
      <c r="AC147" s="3294"/>
      <c r="AD147" s="11"/>
      <c r="AK147" s="4216"/>
      <c r="AP147" s="11"/>
    </row>
    <row r="148" spans="9:42" ht="15.75" customHeight="1">
      <c r="I148" s="3394" t="s">
        <v>1652</v>
      </c>
      <c r="J148" s="3395">
        <f>'10. Финансиране на ИП'!AT72*'10. Финансиране на ИП'!AT78</f>
        <v>0</v>
      </c>
      <c r="K148" s="3387">
        <f>'10. Финансиране на ИП'!AU72*'10. Финансиране на ИП'!AU78</f>
        <v>0</v>
      </c>
      <c r="L148" s="3387">
        <f>'10. Финансиране на ИП'!AV72*'10. Финансиране на ИП'!AV78</f>
        <v>0</v>
      </c>
      <c r="M148" s="3387">
        <f>'10. Финансиране на ИП'!AW72*'10. Финансиране на ИП'!AW78</f>
        <v>1058</v>
      </c>
      <c r="N148" s="3387">
        <f>'10. Финансиране на ИП'!AX72*'10. Финансиране на ИП'!AX78</f>
        <v>1217</v>
      </c>
      <c r="S148" s="4229">
        <f>'12.2.Нови дейности или обекти'!C33</f>
        <v>0</v>
      </c>
      <c r="T148" s="3526">
        <f>'12.2.Нови дейности или обекти'!C44</f>
        <v>0</v>
      </c>
      <c r="U148" s="3526">
        <f>'12.2.Нови дейности или обекти'!D44</f>
        <v>0</v>
      </c>
      <c r="V148" s="3526">
        <f>'12.2.Нови дейности или обекти'!E44</f>
        <v>0</v>
      </c>
      <c r="W148" s="3526">
        <f>'12.2.Нови дейности или обекти'!F44</f>
        <v>0</v>
      </c>
      <c r="X148" s="3526">
        <f>'12.2.Нови дейности или обекти'!G44</f>
        <v>0</v>
      </c>
      <c r="AA148" s="11"/>
      <c r="AC148" s="3294"/>
      <c r="AD148" s="11"/>
      <c r="AK148" s="4216"/>
      <c r="AP148" s="11"/>
    </row>
    <row r="149" spans="9:42" ht="15.75" customHeight="1">
      <c r="I149" s="3392" t="s">
        <v>1653</v>
      </c>
      <c r="J149" s="3396">
        <f>'10. Финансиране на ИП'!AT73*'10. Финансиране на ИП'!AT78</f>
        <v>825</v>
      </c>
      <c r="K149" s="3396">
        <f>'10. Финансиране на ИП'!AU73*'10. Финансиране на ИП'!AU78</f>
        <v>825</v>
      </c>
      <c r="L149" s="3396">
        <f>'10. Финансиране на ИП'!AV73*'10. Финансиране на ИП'!AV78</f>
        <v>825</v>
      </c>
      <c r="M149" s="3396">
        <f>'10. Финансиране на ИП'!AW73*'10. Финансиране на ИП'!AW78</f>
        <v>801</v>
      </c>
      <c r="N149" s="3396">
        <f>'10. Финансиране на ИП'!AX73*'10. Финансиране на ИП'!AX78</f>
        <v>736</v>
      </c>
      <c r="S149" s="4229">
        <f>'12.2.Нови дейности или обекти'!H33</f>
        <v>0</v>
      </c>
      <c r="T149" s="3526">
        <f>'12.2.Нови дейности или обекти'!H44</f>
        <v>0</v>
      </c>
      <c r="U149" s="3526">
        <f>'12.2.Нови дейности или обекти'!I44</f>
        <v>0</v>
      </c>
      <c r="V149" s="3526">
        <f>'12.2.Нови дейности или обекти'!J44</f>
        <v>0</v>
      </c>
      <c r="W149" s="3526">
        <f>'12.2.Нови дейности или обекти'!K44</f>
        <v>0</v>
      </c>
      <c r="X149" s="3526">
        <f>'12.2.Нови дейности или обекти'!L44</f>
        <v>0</v>
      </c>
      <c r="AA149" s="11"/>
      <c r="AC149" s="3294"/>
      <c r="AD149" s="11"/>
      <c r="AK149" s="4216"/>
      <c r="AP149" s="11"/>
    </row>
    <row r="150" spans="9:42" ht="15.75" customHeight="1">
      <c r="I150" s="3394" t="s">
        <v>199</v>
      </c>
      <c r="J150" s="3388">
        <f>'10. Финансиране на ИП'!AT74</f>
        <v>0.13977593014344233</v>
      </c>
      <c r="K150" s="3388">
        <f>'10. Финансиране на ИП'!AU74</f>
        <v>4.6591976714480773E-2</v>
      </c>
      <c r="L150" s="3388">
        <f>'10. Финансиране на ИП'!AV74</f>
        <v>2.8250020268875905E-2</v>
      </c>
      <c r="M150" s="3388">
        <f>'10. Финансиране на ИП'!AW74</f>
        <v>2.7934208892272862E-2</v>
      </c>
      <c r="N150" s="3388">
        <f>'10. Финансиране на ИП'!AX74</f>
        <v>2.6727657175767479E-2</v>
      </c>
      <c r="S150" s="4229">
        <f>'12.2.Нови дейности или обекти'!M33</f>
        <v>0</v>
      </c>
      <c r="T150" s="3526">
        <f>'12.2.Нови дейности или обекти'!M44</f>
        <v>0</v>
      </c>
      <c r="U150" s="3526">
        <f>'12.2.Нови дейности или обекти'!N44</f>
        <v>0</v>
      </c>
      <c r="V150" s="3526">
        <f>'12.2.Нови дейности или обекти'!O44</f>
        <v>0</v>
      </c>
      <c r="W150" s="3526">
        <f>'12.2.Нови дейности или обекти'!P44</f>
        <v>0</v>
      </c>
      <c r="X150" s="3526">
        <f>'12.2.Нови дейности или обекти'!Q44</f>
        <v>0</v>
      </c>
      <c r="AA150" s="11"/>
      <c r="AC150" s="3294"/>
      <c r="AD150" s="11"/>
      <c r="AK150" s="4216"/>
      <c r="AP150" s="11"/>
    </row>
    <row r="151" spans="9:42" ht="15.75" customHeight="1">
      <c r="I151" s="3392" t="s">
        <v>1654</v>
      </c>
      <c r="J151" s="3386">
        <f>'10. Финансиране на ИП'!AT75*'10. Финансиране на ИП'!AT78</f>
        <v>825</v>
      </c>
      <c r="K151" s="3386">
        <f>'10. Финансиране на ИП'!AU75*'10. Финансиране на ИП'!AU78</f>
        <v>825</v>
      </c>
      <c r="L151" s="3386">
        <f>'10. Финансиране на ИП'!AV75*'10. Финансиране на ИП'!AV78</f>
        <v>825</v>
      </c>
      <c r="M151" s="3386">
        <f>'10. Финансиране на ИП'!AW75*'10. Финансиране на ИП'!AW78</f>
        <v>1859</v>
      </c>
      <c r="N151" s="3386">
        <f>'10. Финансиране на ИП'!AX75*'10. Финансиране на ИП'!AX78</f>
        <v>1953</v>
      </c>
      <c r="S151" s="4229">
        <f>'12.2.Нови дейности или обекти'!R33</f>
        <v>0</v>
      </c>
      <c r="T151" s="3526">
        <f>'12.2.Нови дейности или обекти'!R44</f>
        <v>0</v>
      </c>
      <c r="U151" s="3526">
        <f>'12.2.Нови дейности или обекти'!S44</f>
        <v>0</v>
      </c>
      <c r="V151" s="3526">
        <f>'12.2.Нови дейности или обекти'!T44</f>
        <v>0</v>
      </c>
      <c r="W151" s="3526">
        <f>'12.2.Нови дейности или обекти'!U44</f>
        <v>0</v>
      </c>
      <c r="X151" s="3526">
        <f>'12.2.Нови дейности или обекти'!V44</f>
        <v>0</v>
      </c>
      <c r="AA151" s="11"/>
      <c r="AC151" s="3294"/>
      <c r="AD151" s="11"/>
      <c r="AK151" s="4216"/>
      <c r="AP151" s="11"/>
    </row>
    <row r="152" spans="9:42" ht="15.75" customHeight="1">
      <c r="I152" s="3392" t="s">
        <v>1655</v>
      </c>
      <c r="J152" s="3386">
        <f>'10. Финансиране на ИП'!AT76*'10. Финансиране на ИП'!AT78</f>
        <v>5902.303774</v>
      </c>
      <c r="K152" s="3386">
        <f>'10. Финансиране на ИП'!AU76*'10. Финансиране на ИП'!AU78</f>
        <v>17706.911322</v>
      </c>
      <c r="L152" s="3386">
        <f>'10. Финансиране на ИП'!AV76*'10. Финансиране на ИП'!AV78</f>
        <v>29203.51887</v>
      </c>
      <c r="M152" s="3398">
        <f>'10. Финансиране на ИП'!AW76*'10. Финансиране на ИП'!AW78</f>
        <v>28145.51887</v>
      </c>
      <c r="N152" s="3398">
        <f>'10. Финансиране на ИП'!AX76*'10. Финансиране на ИП'!AX78</f>
        <v>26928.51887</v>
      </c>
      <c r="S152" s="4229">
        <f>'12.2.Нови дейности или обекти'!W33</f>
        <v>0</v>
      </c>
      <c r="T152" s="3526">
        <f>'12.2.Нови дейности или обекти'!W44</f>
        <v>0</v>
      </c>
      <c r="U152" s="3526">
        <f>'12.2.Нови дейности или обекти'!X44</f>
        <v>0</v>
      </c>
      <c r="V152" s="3526">
        <f>'12.2.Нови дейности или обекти'!Y44</f>
        <v>0</v>
      </c>
      <c r="W152" s="3526">
        <f>'12.2.Нови дейности или обекти'!Z44</f>
        <v>0</v>
      </c>
      <c r="X152" s="3526">
        <f>'12.2.Нови дейности или обекти'!AA44</f>
        <v>0</v>
      </c>
      <c r="AA152" s="11"/>
      <c r="AC152" s="3294"/>
      <c r="AD152" s="11"/>
      <c r="AK152" s="4216"/>
      <c r="AP152" s="11"/>
    </row>
    <row r="153" spans="9:42" ht="15.75" customHeight="1">
      <c r="S153" s="4237" t="s">
        <v>1679</v>
      </c>
      <c r="T153" s="4238">
        <f t="shared" ref="T153:X153" si="168">SUM(T143:T152)</f>
        <v>0</v>
      </c>
      <c r="U153" s="4238">
        <f t="shared" si="168"/>
        <v>0</v>
      </c>
      <c r="V153" s="4238">
        <f t="shared" si="168"/>
        <v>0</v>
      </c>
      <c r="W153" s="4238">
        <f t="shared" si="168"/>
        <v>432</v>
      </c>
      <c r="X153" s="4238">
        <f t="shared" si="168"/>
        <v>560</v>
      </c>
      <c r="AA153" s="11"/>
      <c r="AC153" s="3294"/>
      <c r="AD153" s="11"/>
      <c r="AK153" s="4216"/>
      <c r="AP153" s="11"/>
    </row>
    <row r="154" spans="9:42" ht="15.75" customHeight="1">
      <c r="S154" s="5461" t="s">
        <v>1676</v>
      </c>
      <c r="T154" s="5463" t="s">
        <v>174</v>
      </c>
      <c r="U154" s="5464"/>
      <c r="V154" s="5464"/>
      <c r="W154" s="5464"/>
      <c r="X154" s="5465"/>
      <c r="AA154" s="11"/>
      <c r="AC154" s="3294"/>
      <c r="AD154" s="11"/>
      <c r="AK154" s="4216"/>
      <c r="AP154" s="11"/>
    </row>
    <row r="155" spans="9:42" ht="15.75" customHeight="1">
      <c r="S155" s="5462"/>
      <c r="T155" s="4214" t="str">
        <f t="shared" ref="T155:X155" si="169">+T142</f>
        <v>2027 г.</v>
      </c>
      <c r="U155" s="4214" t="str">
        <f t="shared" si="169"/>
        <v>2028 г.</v>
      </c>
      <c r="V155" s="4214" t="str">
        <f t="shared" si="169"/>
        <v>2029 г.</v>
      </c>
      <c r="W155" s="4214" t="str">
        <f t="shared" si="169"/>
        <v>2030 г.</v>
      </c>
      <c r="X155" s="4214" t="str">
        <f t="shared" si="169"/>
        <v>2031 г.</v>
      </c>
      <c r="AA155" s="11"/>
      <c r="AC155" s="3294"/>
      <c r="AD155" s="11"/>
      <c r="AK155" s="4216"/>
      <c r="AP155" s="11"/>
    </row>
    <row r="156" spans="9:42" ht="15.75" customHeight="1">
      <c r="S156" s="4229" t="str">
        <f>'12.2.Нови дейности или обекти'!C57</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агломерация Харманли, включително довеждащ колектор до ПСОВ</v>
      </c>
      <c r="T156" s="3526">
        <f>'12.2.Нови дейности или обекти'!C68</f>
        <v>0</v>
      </c>
      <c r="U156" s="3526">
        <f>'12.2.Нови дейности или обекти'!D68</f>
        <v>0</v>
      </c>
      <c r="V156" s="3526">
        <f>'12.2.Нови дейности или обекти'!E68</f>
        <v>0</v>
      </c>
      <c r="W156" s="3526">
        <f>'12.2.Нови дейности или обекти'!F68</f>
        <v>0</v>
      </c>
      <c r="X156" s="3526">
        <f>'12.2.Нови дейности или обекти'!G68</f>
        <v>0</v>
      </c>
      <c r="AA156" s="11"/>
      <c r="AC156" s="3294"/>
      <c r="AD156" s="11"/>
      <c r="AK156" s="4216"/>
      <c r="AP156" s="11"/>
    </row>
    <row r="157" spans="9:42" ht="15.75" customHeight="1">
      <c r="S157" s="4229">
        <f>'12.2.Нови дейности или обекти'!H57</f>
        <v>0</v>
      </c>
      <c r="T157" s="3526">
        <f>'12.2.Нови дейности или обекти'!H68</f>
        <v>0</v>
      </c>
      <c r="U157" s="3526">
        <f>'12.2.Нови дейности или обекти'!I68</f>
        <v>0</v>
      </c>
      <c r="V157" s="3526">
        <f>'12.2.Нови дейности или обекти'!J68</f>
        <v>0</v>
      </c>
      <c r="W157" s="3526">
        <f>'12.2.Нови дейности или обекти'!K68</f>
        <v>0</v>
      </c>
      <c r="X157" s="3526">
        <f>'12.2.Нови дейности или обекти'!L68</f>
        <v>0</v>
      </c>
      <c r="AA157" s="11"/>
      <c r="AC157" s="3294"/>
      <c r="AD157" s="11"/>
      <c r="AK157" s="4216"/>
      <c r="AP157" s="11"/>
    </row>
    <row r="158" spans="9:42" ht="15.75" customHeight="1">
      <c r="S158" s="4229">
        <f>'12.2.Нови дейности или обекти'!M57</f>
        <v>0</v>
      </c>
      <c r="T158" s="3526">
        <f>'12.2.Нови дейности или обекти'!M68</f>
        <v>0</v>
      </c>
      <c r="U158" s="3526">
        <f>'12.2.Нови дейности или обекти'!N68</f>
        <v>0</v>
      </c>
      <c r="V158" s="3526">
        <f>'12.2.Нови дейности или обекти'!O68</f>
        <v>0</v>
      </c>
      <c r="W158" s="3526">
        <f>'12.2.Нови дейности или обекти'!P68</f>
        <v>0</v>
      </c>
      <c r="X158" s="3526">
        <f>'12.2.Нови дейности или обекти'!Q68</f>
        <v>0</v>
      </c>
      <c r="AA158" s="11"/>
      <c r="AC158" s="3294"/>
      <c r="AD158" s="11"/>
      <c r="AK158" s="4216"/>
      <c r="AP158" s="11"/>
    </row>
    <row r="159" spans="9:42" ht="15.75" customHeight="1">
      <c r="S159" s="4229">
        <f>'12.2.Нови дейности или обекти'!R57</f>
        <v>0</v>
      </c>
      <c r="T159" s="3526">
        <f>'12.2.Нови дейности или обекти'!R68</f>
        <v>0</v>
      </c>
      <c r="U159" s="3526">
        <f>'12.2.Нови дейности или обекти'!S68</f>
        <v>0</v>
      </c>
      <c r="V159" s="3526">
        <f>'12.2.Нови дейности или обекти'!T68</f>
        <v>0</v>
      </c>
      <c r="W159" s="3526">
        <f>'12.2.Нови дейности или обекти'!U68</f>
        <v>0</v>
      </c>
      <c r="X159" s="3526">
        <f>'12.2.Нови дейности или обекти'!V68</f>
        <v>0</v>
      </c>
      <c r="AA159" s="11"/>
      <c r="AC159" s="3294"/>
      <c r="AD159" s="11"/>
      <c r="AK159" s="4216"/>
      <c r="AP159" s="11"/>
    </row>
    <row r="160" spans="9:42" ht="15.75" customHeight="1">
      <c r="S160" s="4229">
        <f>'12.2.Нови дейности или обекти'!W57</f>
        <v>0</v>
      </c>
      <c r="T160" s="3526">
        <f>'12.2.Нови дейности или обекти'!W68</f>
        <v>0</v>
      </c>
      <c r="U160" s="3526">
        <f>'12.2.Нови дейности или обекти'!X68</f>
        <v>0</v>
      </c>
      <c r="V160" s="3526">
        <f>'12.2.Нови дейности или обекти'!Y68</f>
        <v>0</v>
      </c>
      <c r="W160" s="3526">
        <f>'12.2.Нови дейности или обекти'!Z68</f>
        <v>0</v>
      </c>
      <c r="X160" s="3526">
        <f>'12.2.Нови дейности или обекти'!AA68</f>
        <v>0</v>
      </c>
      <c r="AA160" s="11"/>
      <c r="AC160" s="3294"/>
      <c r="AD160" s="11"/>
      <c r="AK160" s="4216"/>
      <c r="AP160" s="11"/>
    </row>
    <row r="161" spans="19:42" ht="15.75" customHeight="1">
      <c r="S161" s="4229">
        <f>'12.2.Нови дейности или обекти'!C80</f>
        <v>0</v>
      </c>
      <c r="T161" s="3526">
        <f>'12.2.Нови дейности или обекти'!C91</f>
        <v>0</v>
      </c>
      <c r="U161" s="3526">
        <f>'12.2.Нови дейности или обекти'!D91</f>
        <v>0</v>
      </c>
      <c r="V161" s="3526">
        <f>'12.2.Нови дейности или обекти'!E91</f>
        <v>0</v>
      </c>
      <c r="W161" s="3526">
        <f>'12.2.Нови дейности или обекти'!F91</f>
        <v>0</v>
      </c>
      <c r="X161" s="3526">
        <f>'12.2.Нови дейности или обекти'!G91</f>
        <v>0</v>
      </c>
      <c r="AA161" s="11"/>
      <c r="AC161" s="3294"/>
      <c r="AD161" s="11"/>
      <c r="AK161" s="4216"/>
      <c r="AP161" s="11"/>
    </row>
    <row r="162" spans="19:42" ht="15.75" customHeight="1">
      <c r="S162" s="4229">
        <f>'12.2.Нови дейности или обекти'!H80</f>
        <v>0</v>
      </c>
      <c r="T162" s="3526">
        <f>'12.2.Нови дейности или обекти'!H91</f>
        <v>0</v>
      </c>
      <c r="U162" s="3526">
        <f>'12.2.Нови дейности или обекти'!I91</f>
        <v>0</v>
      </c>
      <c r="V162" s="3526">
        <f>'12.2.Нови дейности или обекти'!J91</f>
        <v>0</v>
      </c>
      <c r="W162" s="3526">
        <f>'12.2.Нови дейности или обекти'!K91</f>
        <v>0</v>
      </c>
      <c r="X162" s="3526">
        <f>'12.2.Нови дейности или обекти'!L91</f>
        <v>0</v>
      </c>
      <c r="AA162" s="11"/>
      <c r="AC162" s="3294"/>
      <c r="AD162" s="11"/>
      <c r="AK162" s="4216"/>
      <c r="AP162" s="11"/>
    </row>
    <row r="163" spans="19:42" ht="15.75" customHeight="1">
      <c r="S163" s="4229">
        <f>'12.2.Нови дейности или обекти'!M80</f>
        <v>0</v>
      </c>
      <c r="T163" s="3526">
        <f>'12.2.Нови дейности или обекти'!M91</f>
        <v>0</v>
      </c>
      <c r="U163" s="3526">
        <f>'12.2.Нови дейности или обекти'!N91</f>
        <v>0</v>
      </c>
      <c r="V163" s="3526">
        <f>'12.2.Нови дейности или обекти'!O91</f>
        <v>0</v>
      </c>
      <c r="W163" s="3526">
        <f>'12.2.Нови дейности или обекти'!P91</f>
        <v>0</v>
      </c>
      <c r="X163" s="3526">
        <f>'12.2.Нови дейности или обекти'!Q91</f>
        <v>0</v>
      </c>
      <c r="AA163" s="11"/>
      <c r="AC163" s="3294"/>
      <c r="AD163" s="11"/>
      <c r="AK163" s="4216"/>
      <c r="AP163" s="11"/>
    </row>
    <row r="164" spans="19:42" ht="15.75" customHeight="1">
      <c r="S164" s="4229">
        <f>'12.2.Нови дейности или обекти'!R80</f>
        <v>0</v>
      </c>
      <c r="T164" s="3526">
        <f>'12.2.Нови дейности или обекти'!R91</f>
        <v>0</v>
      </c>
      <c r="U164" s="3526">
        <f>'12.2.Нови дейности или обекти'!S91</f>
        <v>0</v>
      </c>
      <c r="V164" s="3526">
        <f>'12.2.Нови дейности или обекти'!T91</f>
        <v>0</v>
      </c>
      <c r="W164" s="3526">
        <f>'12.2.Нови дейности или обекти'!U91</f>
        <v>0</v>
      </c>
      <c r="X164" s="3526">
        <f>'12.2.Нови дейности или обекти'!V91</f>
        <v>0</v>
      </c>
      <c r="AA164" s="11"/>
      <c r="AC164" s="3294"/>
      <c r="AD164" s="11"/>
      <c r="AK164" s="4216"/>
      <c r="AP164" s="11"/>
    </row>
    <row r="165" spans="19:42" ht="15.75" customHeight="1">
      <c r="S165" s="4229">
        <f>'12.2.Нови дейности или обекти'!W80</f>
        <v>0</v>
      </c>
      <c r="T165" s="3526">
        <f>'12.2.Нови дейности или обекти'!W91</f>
        <v>0</v>
      </c>
      <c r="U165" s="3526">
        <f>'12.2.Нови дейности или обекти'!X91</f>
        <v>0</v>
      </c>
      <c r="V165" s="3526">
        <f>'12.2.Нови дейности или обекти'!Y91</f>
        <v>0</v>
      </c>
      <c r="W165" s="3526">
        <f>'12.2.Нови дейности или обекти'!Z91</f>
        <v>0</v>
      </c>
      <c r="X165" s="3526">
        <f>'12.2.Нови дейности или обекти'!AA91</f>
        <v>0</v>
      </c>
      <c r="AA165" s="11"/>
      <c r="AC165" s="3294"/>
      <c r="AD165" s="11"/>
      <c r="AK165" s="4216"/>
      <c r="AP165" s="11"/>
    </row>
    <row r="166" spans="19:42" ht="15.75" customHeight="1">
      <c r="S166" s="4237" t="s">
        <v>1678</v>
      </c>
      <c r="T166" s="4238">
        <f t="shared" ref="T166:X166" si="170">SUM(T156:T165)</f>
        <v>0</v>
      </c>
      <c r="U166" s="4238">
        <f t="shared" si="170"/>
        <v>0</v>
      </c>
      <c r="V166" s="4238">
        <f t="shared" si="170"/>
        <v>0</v>
      </c>
      <c r="W166" s="4238">
        <f t="shared" si="170"/>
        <v>0</v>
      </c>
      <c r="X166" s="4238">
        <f t="shared" si="170"/>
        <v>0</v>
      </c>
      <c r="AA166" s="11"/>
      <c r="AC166" s="3294"/>
      <c r="AD166" s="11"/>
      <c r="AK166" s="4216"/>
      <c r="AP166" s="11"/>
    </row>
    <row r="167" spans="19:42" ht="15.75" customHeight="1">
      <c r="S167" s="5460" t="s">
        <v>1675</v>
      </c>
      <c r="T167" s="5463" t="s">
        <v>184</v>
      </c>
      <c r="U167" s="5464"/>
      <c r="V167" s="5464"/>
      <c r="W167" s="5464"/>
      <c r="X167" s="5465"/>
      <c r="AA167" s="11"/>
      <c r="AC167" s="3294"/>
      <c r="AD167" s="11"/>
      <c r="AK167" s="4216"/>
      <c r="AP167" s="11"/>
    </row>
    <row r="168" spans="19:42" ht="15.75" customHeight="1">
      <c r="S168" s="5460"/>
      <c r="T168" s="4214" t="str">
        <f t="shared" ref="T168:X168" si="171">+T155</f>
        <v>2027 г.</v>
      </c>
      <c r="U168" s="4214" t="str">
        <f t="shared" si="171"/>
        <v>2028 г.</v>
      </c>
      <c r="V168" s="4214" t="str">
        <f t="shared" si="171"/>
        <v>2029 г.</v>
      </c>
      <c r="W168" s="4214" t="str">
        <f t="shared" si="171"/>
        <v>2030 г.</v>
      </c>
      <c r="X168" s="4214" t="str">
        <f t="shared" si="171"/>
        <v>2031 г.</v>
      </c>
      <c r="AA168" s="11"/>
      <c r="AC168" s="3294"/>
      <c r="AD168" s="11"/>
      <c r="AK168" s="4216"/>
      <c r="AP168" s="11"/>
    </row>
    <row r="169" spans="19:42" ht="15.75" customHeight="1">
      <c r="S169" s="4229" t="str">
        <f>'12.2.Нови дейности или обекти'!C104</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ЕООД- 2. "Инженеринг (проектиране, авторски надзор, строителство и доставка на оборудване) за изграждане на нова ПСОВ Харманли”.</v>
      </c>
      <c r="T169" s="3526">
        <f>'12.2.Нови дейности или обекти'!C115</f>
        <v>0</v>
      </c>
      <c r="U169" s="3526">
        <f>'12.2.Нови дейности или обекти'!D115</f>
        <v>0</v>
      </c>
      <c r="V169" s="3526">
        <f>'12.2.Нови дейности или обекти'!E115</f>
        <v>0</v>
      </c>
      <c r="W169" s="3526">
        <f>'12.2.Нови дейности или обекти'!F115</f>
        <v>465</v>
      </c>
      <c r="X169" s="3526">
        <f>'12.2.Нови дейности или обекти'!G115</f>
        <v>551</v>
      </c>
      <c r="AA169" s="11"/>
      <c r="AC169" s="3294"/>
      <c r="AD169" s="11"/>
      <c r="AK169" s="4216"/>
      <c r="AP169" s="11"/>
    </row>
    <row r="170" spans="19:42" ht="15.75" customHeight="1">
      <c r="S170" s="4229">
        <f>'12.2.Нови дейности или обекти'!H104</f>
        <v>0</v>
      </c>
      <c r="T170" s="3526">
        <f>'12.2.Нови дейности или обекти'!H115</f>
        <v>0</v>
      </c>
      <c r="U170" s="3526">
        <f>'12.2.Нови дейности или обекти'!I115</f>
        <v>0</v>
      </c>
      <c r="V170" s="3526">
        <f>'12.2.Нови дейности или обекти'!J115</f>
        <v>0</v>
      </c>
      <c r="W170" s="3526">
        <f>'12.2.Нови дейности или обекти'!K115</f>
        <v>0</v>
      </c>
      <c r="X170" s="3526">
        <f>'12.2.Нови дейности или обекти'!L115</f>
        <v>0</v>
      </c>
      <c r="AA170" s="11"/>
      <c r="AC170" s="3294"/>
      <c r="AD170" s="11"/>
      <c r="AK170" s="4216"/>
      <c r="AP170" s="11"/>
    </row>
    <row r="171" spans="19:42" ht="15.75" customHeight="1">
      <c r="S171" s="4229">
        <f>'12.2.Нови дейности или обекти'!M104</f>
        <v>0</v>
      </c>
      <c r="T171" s="3526">
        <f>'12.2.Нови дейности или обекти'!M115</f>
        <v>0</v>
      </c>
      <c r="U171" s="3526">
        <f>'12.2.Нови дейности или обекти'!N115</f>
        <v>0</v>
      </c>
      <c r="V171" s="3526">
        <f>'12.2.Нови дейности или обекти'!O115</f>
        <v>0</v>
      </c>
      <c r="W171" s="3526">
        <f>'12.2.Нови дейности или обекти'!P115</f>
        <v>0</v>
      </c>
      <c r="X171" s="3526">
        <f>'12.2.Нови дейности или обекти'!Q115</f>
        <v>0</v>
      </c>
      <c r="AA171" s="11"/>
      <c r="AC171" s="3294"/>
      <c r="AD171" s="11"/>
      <c r="AK171" s="4216"/>
      <c r="AP171" s="11"/>
    </row>
    <row r="172" spans="19:42" ht="15.75" customHeight="1">
      <c r="S172" s="4229">
        <f>'12.2.Нови дейности или обекти'!R104</f>
        <v>0</v>
      </c>
      <c r="T172" s="3526">
        <f>'12.2.Нови дейности или обекти'!R115</f>
        <v>0</v>
      </c>
      <c r="U172" s="3526">
        <f>'12.2.Нови дейности или обекти'!S115</f>
        <v>0</v>
      </c>
      <c r="V172" s="3526">
        <f>'12.2.Нови дейности или обекти'!T115</f>
        <v>0</v>
      </c>
      <c r="W172" s="3526">
        <f>'12.2.Нови дейности или обекти'!U115</f>
        <v>0</v>
      </c>
      <c r="X172" s="3526">
        <f>'12.2.Нови дейности или обекти'!V115</f>
        <v>0</v>
      </c>
      <c r="AA172" s="11"/>
      <c r="AC172" s="3294"/>
      <c r="AD172" s="11"/>
      <c r="AK172" s="4216"/>
      <c r="AP172" s="11"/>
    </row>
    <row r="173" spans="19:42" ht="15.75" customHeight="1">
      <c r="S173" s="4229">
        <f>'12.2.Нови дейности или обекти'!W104</f>
        <v>0</v>
      </c>
      <c r="T173" s="3526">
        <f>'12.2.Нови дейности или обекти'!W115</f>
        <v>0</v>
      </c>
      <c r="U173" s="3526">
        <f>'12.2.Нови дейности или обекти'!X115</f>
        <v>0</v>
      </c>
      <c r="V173" s="3526">
        <f>'12.2.Нови дейности или обекти'!Y115</f>
        <v>0</v>
      </c>
      <c r="W173" s="3526">
        <f>'12.2.Нови дейности или обекти'!Z115</f>
        <v>0</v>
      </c>
      <c r="X173" s="3526">
        <f>'12.2.Нови дейности или обекти'!AA115</f>
        <v>0</v>
      </c>
      <c r="AA173" s="11"/>
      <c r="AC173" s="3294"/>
      <c r="AD173" s="11"/>
      <c r="AK173" s="4216"/>
      <c r="AP173" s="11"/>
    </row>
    <row r="174" spans="19:42" ht="15.75" customHeight="1">
      <c r="S174" s="4229">
        <f>'12.2.Нови дейности или обекти'!C127</f>
        <v>0</v>
      </c>
      <c r="T174" s="3526">
        <f>'12.2.Нови дейности или обекти'!C138</f>
        <v>0</v>
      </c>
      <c r="U174" s="3526">
        <f>'12.2.Нови дейности или обекти'!D138</f>
        <v>0</v>
      </c>
      <c r="V174" s="3526">
        <f>'12.2.Нови дейности или обекти'!E138</f>
        <v>0</v>
      </c>
      <c r="W174" s="3526">
        <f>'12.2.Нови дейности или обекти'!F138</f>
        <v>0</v>
      </c>
      <c r="X174" s="3526">
        <f>'12.2.Нови дейности или обекти'!G138</f>
        <v>0</v>
      </c>
      <c r="AA174" s="11"/>
    </row>
    <row r="175" spans="19:42" ht="15.75" customHeight="1">
      <c r="S175" s="4229">
        <f>'12.2.Нови дейности или обекти'!H127</f>
        <v>0</v>
      </c>
      <c r="T175" s="3526">
        <f>'12.2.Нови дейности или обекти'!H138</f>
        <v>0</v>
      </c>
      <c r="U175" s="3526">
        <f>'12.2.Нови дейности или обекти'!I138</f>
        <v>0</v>
      </c>
      <c r="V175" s="3526">
        <f>'12.2.Нови дейности или обекти'!J138</f>
        <v>0</v>
      </c>
      <c r="W175" s="3526">
        <f>'12.2.Нови дейности или обекти'!K138</f>
        <v>0</v>
      </c>
      <c r="X175" s="3526">
        <f>'12.2.Нови дейности или обекти'!L138</f>
        <v>0</v>
      </c>
      <c r="AA175" s="11"/>
    </row>
    <row r="176" spans="19:42" ht="15.75" customHeight="1">
      <c r="S176" s="4229">
        <f>'12.2.Нови дейности или обекти'!M127</f>
        <v>0</v>
      </c>
      <c r="T176" s="3526">
        <f>'12.2.Нови дейности или обекти'!M138</f>
        <v>0</v>
      </c>
      <c r="U176" s="3526">
        <f>'12.2.Нови дейности или обекти'!N138</f>
        <v>0</v>
      </c>
      <c r="V176" s="3526">
        <f>'12.2.Нови дейности или обекти'!O138</f>
        <v>0</v>
      </c>
      <c r="W176" s="3526">
        <f>'12.2.Нови дейности или обекти'!P138</f>
        <v>0</v>
      </c>
      <c r="X176" s="3526">
        <f>'12.2.Нови дейности или обекти'!Q138</f>
        <v>0</v>
      </c>
      <c r="AA176" s="11"/>
    </row>
    <row r="177" spans="19:27" ht="15.75" customHeight="1">
      <c r="S177" s="4229">
        <f>'12.2.Нови дейности или обекти'!R127</f>
        <v>0</v>
      </c>
      <c r="T177" s="3526">
        <f>'12.2.Нови дейности или обекти'!R138</f>
        <v>0</v>
      </c>
      <c r="U177" s="3526">
        <f>'12.2.Нови дейности или обекти'!S138</f>
        <v>0</v>
      </c>
      <c r="V177" s="3526">
        <f>'12.2.Нови дейности или обекти'!T138</f>
        <v>0</v>
      </c>
      <c r="W177" s="3526">
        <f>'12.2.Нови дейности или обекти'!U138</f>
        <v>0</v>
      </c>
      <c r="X177" s="3526">
        <f>'12.2.Нови дейности или обекти'!V138</f>
        <v>0</v>
      </c>
      <c r="AA177" s="11"/>
    </row>
    <row r="178" spans="19:27" ht="15.75" customHeight="1">
      <c r="S178" s="4229">
        <f>'12.2.Нови дейности или обекти'!W127</f>
        <v>0</v>
      </c>
      <c r="T178" s="3526">
        <f>'12.2.Нови дейности или обекти'!W138</f>
        <v>0</v>
      </c>
      <c r="U178" s="3526">
        <f>'12.2.Нови дейности или обекти'!X138</f>
        <v>0</v>
      </c>
      <c r="V178" s="3526">
        <f>'12.2.Нови дейности или обекти'!Y138</f>
        <v>0</v>
      </c>
      <c r="W178" s="3526">
        <f>'12.2.Нови дейности или обекти'!Z138</f>
        <v>0</v>
      </c>
      <c r="X178" s="3526">
        <f>'12.2.Нови дейности или обекти'!AA138</f>
        <v>0</v>
      </c>
      <c r="AA178" s="11"/>
    </row>
    <row r="179" spans="19:27" ht="15.75" customHeight="1">
      <c r="S179" s="4237" t="s">
        <v>1677</v>
      </c>
      <c r="T179" s="4238">
        <f>SUM(T169:T178)</f>
        <v>0</v>
      </c>
      <c r="U179" s="4238">
        <f t="shared" ref="U179:X179" si="172">SUM(U169:U178)</f>
        <v>0</v>
      </c>
      <c r="V179" s="4238">
        <f t="shared" si="172"/>
        <v>0</v>
      </c>
      <c r="W179" s="4238">
        <f t="shared" si="172"/>
        <v>465</v>
      </c>
      <c r="X179" s="4238">
        <f t="shared" si="172"/>
        <v>551</v>
      </c>
      <c r="AA179" s="11"/>
    </row>
  </sheetData>
  <mergeCells count="82">
    <mergeCell ref="A23:G23"/>
    <mergeCell ref="A28:G28"/>
    <mergeCell ref="A99:A100"/>
    <mergeCell ref="A46:G46"/>
    <mergeCell ref="A51:G51"/>
    <mergeCell ref="B99:G99"/>
    <mergeCell ref="A39:A40"/>
    <mergeCell ref="A33:G33"/>
    <mergeCell ref="B39:G39"/>
    <mergeCell ref="A41:G41"/>
    <mergeCell ref="A57:A58"/>
    <mergeCell ref="B57:G57"/>
    <mergeCell ref="A59:G59"/>
    <mergeCell ref="A64:G64"/>
    <mergeCell ref="A69:G69"/>
    <mergeCell ref="B3:G3"/>
    <mergeCell ref="A5:G5"/>
    <mergeCell ref="A10:G10"/>
    <mergeCell ref="A15:G15"/>
    <mergeCell ref="B21:G21"/>
    <mergeCell ref="A3:A4"/>
    <mergeCell ref="A21:A22"/>
    <mergeCell ref="A106:G106"/>
    <mergeCell ref="A111:G111"/>
    <mergeCell ref="B117:G117"/>
    <mergeCell ref="A81:A82"/>
    <mergeCell ref="B81:G81"/>
    <mergeCell ref="A83:G83"/>
    <mergeCell ref="A88:G88"/>
    <mergeCell ref="A93:G93"/>
    <mergeCell ref="A117:A118"/>
    <mergeCell ref="A101:G101"/>
    <mergeCell ref="T3:Y3"/>
    <mergeCell ref="Z3:Z4"/>
    <mergeCell ref="AA3:AA4"/>
    <mergeCell ref="S24:S25"/>
    <mergeCell ref="T24:Y24"/>
    <mergeCell ref="Z24:Z25"/>
    <mergeCell ref="AA24:AA25"/>
    <mergeCell ref="S3:S4"/>
    <mergeCell ref="T45:Y45"/>
    <mergeCell ref="Z45:Z46"/>
    <mergeCell ref="AA45:AA46"/>
    <mergeCell ref="S76:S77"/>
    <mergeCell ref="T76:Y76"/>
    <mergeCell ref="Z76:Z77"/>
    <mergeCell ref="AA76:AA77"/>
    <mergeCell ref="S45:S46"/>
    <mergeCell ref="T100:Y100"/>
    <mergeCell ref="Z100:Z101"/>
    <mergeCell ref="AA100:AA101"/>
    <mergeCell ref="S167:S168"/>
    <mergeCell ref="T120:Y120"/>
    <mergeCell ref="Z120:Z121"/>
    <mergeCell ref="AA120:AA121"/>
    <mergeCell ref="S141:S142"/>
    <mergeCell ref="S154:S155"/>
    <mergeCell ref="S120:S121"/>
    <mergeCell ref="S100:S101"/>
    <mergeCell ref="T141:X141"/>
    <mergeCell ref="T154:X154"/>
    <mergeCell ref="T167:X167"/>
    <mergeCell ref="AR27:AR28"/>
    <mergeCell ref="AS3:AW3"/>
    <mergeCell ref="AS9:AW9"/>
    <mergeCell ref="AS15:AW15"/>
    <mergeCell ref="AS21:AW21"/>
    <mergeCell ref="AS27:AW27"/>
    <mergeCell ref="AR9:AR10"/>
    <mergeCell ref="AR3:AR4"/>
    <mergeCell ref="AR15:AR16"/>
    <mergeCell ref="AR21:AR22"/>
    <mergeCell ref="AK27:AK28"/>
    <mergeCell ref="AL27:AP27"/>
    <mergeCell ref="AK35:AK36"/>
    <mergeCell ref="AL35:AP35"/>
    <mergeCell ref="AK3:AK4"/>
    <mergeCell ref="AL3:AP3"/>
    <mergeCell ref="AK11:AK12"/>
    <mergeCell ref="AL11:AP11"/>
    <mergeCell ref="AK19:AK20"/>
    <mergeCell ref="AL19:AP19"/>
  </mergeCells>
  <conditionalFormatting sqref="J16:O17">
    <cfRule type="cellIs" dxfId="1" priority="1" operator="lessThan">
      <formula>0</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W179"/>
  <sheetViews>
    <sheetView topLeftCell="A109" zoomScaleNormal="100" workbookViewId="0">
      <selection activeCell="I112" sqref="I112"/>
    </sheetView>
  </sheetViews>
  <sheetFormatPr defaultColWidth="9.140625" defaultRowHeight="15.75" customHeight="1"/>
  <cols>
    <col min="1" max="1" width="37.5703125" style="11" customWidth="1"/>
    <col min="2" max="7" width="9.140625" style="4216"/>
    <col min="8" max="8" width="3.5703125" style="11" customWidth="1"/>
    <col min="9" max="9" width="37.5703125" style="11" customWidth="1"/>
    <col min="10" max="17" width="9.140625" style="11"/>
    <col min="18" max="18" width="4.5703125" style="11" customWidth="1"/>
    <col min="19" max="19" width="37.5703125" style="709" customWidth="1"/>
    <col min="20" max="27" width="9.140625" style="4216"/>
    <col min="28" max="28" width="3.5703125" style="11" customWidth="1"/>
    <col min="29" max="29" width="37.5703125" style="11" customWidth="1"/>
    <col min="30" max="30" width="9" style="3294" customWidth="1"/>
    <col min="31" max="35" width="9.140625" style="11"/>
    <col min="36" max="36" width="4.140625" style="11" customWidth="1"/>
    <col min="37" max="37" width="37.5703125" style="11" customWidth="1"/>
    <col min="38" max="42" width="9.140625" style="4216"/>
    <col min="43" max="43" width="9.140625" style="11"/>
    <col min="44" max="44" width="37.5703125" style="11" customWidth="1"/>
    <col min="45" max="16384" width="9.140625" style="11"/>
  </cols>
  <sheetData>
    <row r="1" spans="1:49" ht="15.75" customHeight="1">
      <c r="A1" s="3430" t="s">
        <v>1657</v>
      </c>
      <c r="I1" s="3430" t="s">
        <v>1009</v>
      </c>
      <c r="S1" s="3485" t="s">
        <v>1673</v>
      </c>
      <c r="AC1" s="3485" t="s">
        <v>1690</v>
      </c>
      <c r="AD1" s="3510"/>
      <c r="AK1" s="3485" t="s">
        <v>1694</v>
      </c>
    </row>
    <row r="2" spans="1:49" ht="15.75" customHeight="1">
      <c r="A2" s="2" t="s">
        <v>207</v>
      </c>
      <c r="G2" s="3393" t="s">
        <v>1912</v>
      </c>
      <c r="I2" s="1301" t="s">
        <v>1634</v>
      </c>
      <c r="O2" s="3393" t="s">
        <v>1912</v>
      </c>
      <c r="S2" s="2" t="s">
        <v>1681</v>
      </c>
      <c r="AA2" s="3393"/>
      <c r="AK2" s="2" t="s">
        <v>305</v>
      </c>
      <c r="AR2" s="2" t="s">
        <v>1699</v>
      </c>
      <c r="AS2" s="4216"/>
      <c r="AT2" s="4216"/>
      <c r="AU2" s="4216"/>
      <c r="AV2" s="4216"/>
      <c r="AW2" s="4216"/>
    </row>
    <row r="3" spans="1:49" ht="12.75" customHeight="1">
      <c r="A3" s="5467" t="s">
        <v>87</v>
      </c>
      <c r="B3" s="5460" t="s">
        <v>210</v>
      </c>
      <c r="C3" s="5460"/>
      <c r="D3" s="5460"/>
      <c r="E3" s="5460"/>
      <c r="F3" s="5460"/>
      <c r="G3" s="5460"/>
      <c r="I3" s="4217" t="s">
        <v>1495</v>
      </c>
      <c r="J3" s="4218" t="str">
        <f>+'15. ОПП'!$C$7</f>
        <v>2027 г.</v>
      </c>
      <c r="K3" s="4218" t="str">
        <f>+'15. ОПП'!$D$7</f>
        <v>2028 г.</v>
      </c>
      <c r="L3" s="4218" t="str">
        <f>+'15. ОПП'!$E$7</f>
        <v>2029 г.</v>
      </c>
      <c r="M3" s="4218" t="str">
        <f>+'15. ОПП'!$F$7</f>
        <v>2030 г.</v>
      </c>
      <c r="N3" s="4218" t="str">
        <f>+'15. ОПП'!$G$7</f>
        <v>2031 г.</v>
      </c>
      <c r="O3" s="4219" t="s">
        <v>1595</v>
      </c>
      <c r="S3" s="5460" t="s">
        <v>1922</v>
      </c>
      <c r="T3" s="5460" t="s">
        <v>207</v>
      </c>
      <c r="U3" s="5460"/>
      <c r="V3" s="5460"/>
      <c r="W3" s="5460"/>
      <c r="X3" s="5460"/>
      <c r="Y3" s="5460"/>
      <c r="Z3" s="5404" t="str">
        <f>+"Изменение "&amp;U4&amp;" спр. "&amp;T4</f>
        <v>Изменение 2027 г. спр. 2024 г.</v>
      </c>
      <c r="AA3" s="5404" t="str">
        <f>+"Изменение "&amp;Y4&amp;" спр. "&amp;U4</f>
        <v>Изменение 2031 г. спр. 2027 г.</v>
      </c>
      <c r="AC3" s="3511" t="s">
        <v>1924</v>
      </c>
      <c r="AD3" s="4220" t="str">
        <f>T4</f>
        <v>2024 г.</v>
      </c>
      <c r="AE3" s="4220" t="str">
        <f t="shared" ref="AE3:AI3" si="0">U4</f>
        <v>2027 г.</v>
      </c>
      <c r="AF3" s="4220" t="str">
        <f t="shared" si="0"/>
        <v>2028 г.</v>
      </c>
      <c r="AG3" s="4220" t="str">
        <f t="shared" si="0"/>
        <v>2029 г.</v>
      </c>
      <c r="AH3" s="4220" t="str">
        <f t="shared" si="0"/>
        <v>2030 г.</v>
      </c>
      <c r="AI3" s="4220" t="str">
        <f t="shared" si="0"/>
        <v>2031 г.</v>
      </c>
      <c r="AK3" s="5449" t="s">
        <v>1926</v>
      </c>
      <c r="AL3" s="5450" t="str">
        <f>T3</f>
        <v>Доставяне на вода на потребителите</v>
      </c>
      <c r="AM3" s="5451"/>
      <c r="AN3" s="5451"/>
      <c r="AO3" s="5451"/>
      <c r="AP3" s="5451"/>
      <c r="AR3" s="5449" t="s">
        <v>1926</v>
      </c>
      <c r="AS3" s="5454" t="s">
        <v>210</v>
      </c>
      <c r="AT3" s="5455"/>
      <c r="AU3" s="5455"/>
      <c r="AV3" s="5455"/>
      <c r="AW3" s="5456"/>
    </row>
    <row r="4" spans="1:49" ht="15.75" customHeight="1">
      <c r="A4" s="5467"/>
      <c r="B4" s="4218" t="str">
        <f>+'15. ОПП'!$B$7</f>
        <v>2024 г.</v>
      </c>
      <c r="C4" s="4218" t="str">
        <f>+'15. ОПП'!$C$7</f>
        <v>2027 г.</v>
      </c>
      <c r="D4" s="4218" t="str">
        <f>+'15. ОПП'!$D$7</f>
        <v>2028 г.</v>
      </c>
      <c r="E4" s="4218" t="str">
        <f>+'15. ОПП'!$E$7</f>
        <v>2029 г.</v>
      </c>
      <c r="F4" s="4218" t="str">
        <f>+'15. ОПП'!$F$7</f>
        <v>2030 г.</v>
      </c>
      <c r="G4" s="4218" t="str">
        <f>+'15. ОПП'!$G$7</f>
        <v>2031 г.</v>
      </c>
      <c r="I4" s="4222" t="str">
        <f>I27</f>
        <v>Доставяне на вода на потребителите</v>
      </c>
      <c r="J4" s="4223"/>
      <c r="K4" s="4223"/>
      <c r="L4" s="4223"/>
      <c r="M4" s="4223"/>
      <c r="N4" s="4223"/>
      <c r="O4" s="3644">
        <f>SUM(J4:N4)</f>
        <v>0</v>
      </c>
      <c r="S4" s="5460"/>
      <c r="T4" s="4218" t="str">
        <f>+'15. ОПП'!$B$7</f>
        <v>2024 г.</v>
      </c>
      <c r="U4" s="4218" t="str">
        <f>+'15. ОПП'!$C$7</f>
        <v>2027 г.</v>
      </c>
      <c r="V4" s="4218" t="str">
        <f>+'15. ОПП'!$D$7</f>
        <v>2028 г.</v>
      </c>
      <c r="W4" s="4218" t="str">
        <f>+'15. ОПП'!$E$7</f>
        <v>2029 г.</v>
      </c>
      <c r="X4" s="4218" t="str">
        <f>+'15. ОПП'!$F$7</f>
        <v>2030 г.</v>
      </c>
      <c r="Y4" s="4218" t="str">
        <f>+'15. ОПП'!$G$7</f>
        <v>2031 г.</v>
      </c>
      <c r="Z4" s="5404"/>
      <c r="AA4" s="5404"/>
      <c r="AC4" s="3512" t="s">
        <v>1686</v>
      </c>
      <c r="AD4" s="3513">
        <f>'14. ОПР'!I9</f>
        <v>18636.993330889047</v>
      </c>
      <c r="AE4" s="3513">
        <f>'14. ОПР'!J9</f>
        <v>25064.40065580482</v>
      </c>
      <c r="AF4" s="3513">
        <f>'14. ОПР'!K9</f>
        <v>30037.949835364521</v>
      </c>
      <c r="AG4" s="3513">
        <f>'14. ОПР'!L9</f>
        <v>31711.81677584508</v>
      </c>
      <c r="AH4" s="3513">
        <f>'14. ОПР'!M9</f>
        <v>27952.6233730106</v>
      </c>
      <c r="AI4" s="3513">
        <f>'14. ОПР'!N9</f>
        <v>29563.331677807928</v>
      </c>
      <c r="AK4" s="5449"/>
      <c r="AL4" s="4224" t="s">
        <v>1778</v>
      </c>
      <c r="AM4" s="4224" t="s">
        <v>1779</v>
      </c>
      <c r="AN4" s="4224" t="s">
        <v>1780</v>
      </c>
      <c r="AO4" s="4224" t="s">
        <v>1781</v>
      </c>
      <c r="AP4" s="4224" t="s">
        <v>1782</v>
      </c>
      <c r="AR4" s="5449"/>
      <c r="AS4" s="4224" t="s">
        <v>1778</v>
      </c>
      <c r="AT4" s="4224" t="s">
        <v>1779</v>
      </c>
      <c r="AU4" s="4224" t="s">
        <v>1780</v>
      </c>
      <c r="AV4" s="4224" t="s">
        <v>1781</v>
      </c>
      <c r="AW4" s="4224" t="s">
        <v>1782</v>
      </c>
    </row>
    <row r="5" spans="1:49" ht="15.75" customHeight="1">
      <c r="A5" s="5466" t="s">
        <v>1658</v>
      </c>
      <c r="B5" s="5466"/>
      <c r="C5" s="5466"/>
      <c r="D5" s="5466"/>
      <c r="E5" s="5466"/>
      <c r="F5" s="5466"/>
      <c r="G5" s="5466"/>
      <c r="I5" s="4222" t="str">
        <f>I30</f>
        <v>Отвеждане на отпадъчните води</v>
      </c>
      <c r="J5" s="4223"/>
      <c r="K5" s="4223"/>
      <c r="L5" s="4223"/>
      <c r="M5" s="4223"/>
      <c r="N5" s="4223"/>
      <c r="O5" s="3644">
        <f>SUM(J5:N5)</f>
        <v>0</v>
      </c>
      <c r="S5" s="4225" t="s">
        <v>226</v>
      </c>
      <c r="T5" s="4226">
        <f>'12. Разходи'!BJ11</f>
        <v>4768.6240916369597</v>
      </c>
      <c r="U5" s="4226">
        <f>'12. Разходи'!BK11</f>
        <v>5599.3262869431383</v>
      </c>
      <c r="V5" s="4226">
        <f>'12. Разходи'!BL11</f>
        <v>5626.3521307153496</v>
      </c>
      <c r="W5" s="4226">
        <f>'12. Разходи'!BM11</f>
        <v>5638.9412780126604</v>
      </c>
      <c r="X5" s="4226">
        <f>'12. Разходи'!BN11</f>
        <v>5747.4908281980706</v>
      </c>
      <c r="Y5" s="4226">
        <f>'12. Разходи'!BO11</f>
        <v>5700.9185027493113</v>
      </c>
      <c r="Z5" s="4227">
        <f>IFERROR((U5-T5)/T5,0)</f>
        <v>0.17420165216273473</v>
      </c>
      <c r="AA5" s="4227">
        <f>IFERROR((Y5-U5)/U5,0)</f>
        <v>1.8143649896429893E-2</v>
      </c>
      <c r="AC5" s="3402" t="s">
        <v>494</v>
      </c>
      <c r="AD5" s="3406">
        <f>'14. ОПР'!I16</f>
        <v>0</v>
      </c>
      <c r="AE5" s="3406">
        <f>'14. ОПР'!J16</f>
        <v>0</v>
      </c>
      <c r="AF5" s="3406">
        <f>'14. ОПР'!K16</f>
        <v>0</v>
      </c>
      <c r="AG5" s="3406">
        <f>'14. ОПР'!L16</f>
        <v>0</v>
      </c>
      <c r="AH5" s="3406">
        <f>'14. ОПР'!M16</f>
        <v>0</v>
      </c>
      <c r="AI5" s="3406">
        <f>'14. ОПР'!N16</f>
        <v>0</v>
      </c>
      <c r="AK5" s="3407" t="s">
        <v>547</v>
      </c>
      <c r="AL5" s="3514">
        <f>'17. РБА'!I10</f>
        <v>9739.4286142797027</v>
      </c>
      <c r="AM5" s="3514">
        <f>'17. РБА'!J10</f>
        <v>12797.539937860995</v>
      </c>
      <c r="AN5" s="3514">
        <f>'17. РБА'!K10</f>
        <v>17639.111925201414</v>
      </c>
      <c r="AO5" s="3514">
        <f>'17. РБА'!L10</f>
        <v>22480.343051287695</v>
      </c>
      <c r="AP5" s="3514">
        <f>'17. РБА'!M10</f>
        <v>23348.721182311347</v>
      </c>
      <c r="AR5" s="3515" t="s">
        <v>294</v>
      </c>
      <c r="AS5" s="3252">
        <f>'16. Необходими приходи'!K9</f>
        <v>890.95088262756894</v>
      </c>
      <c r="AT5" s="3252">
        <f>'16. Необходими приходи'!L9</f>
        <v>1241.7022391546186</v>
      </c>
      <c r="AU5" s="3252">
        <f>'16. Необходими приходи'!M9</f>
        <v>1581.8598058392322</v>
      </c>
      <c r="AV5" s="3252">
        <f>'16. Необходими приходи'!N9</f>
        <v>1603.2407593199514</v>
      </c>
      <c r="AW5" s="3252">
        <f>'16. Необходими приходи'!O9</f>
        <v>1610.7960882456866</v>
      </c>
    </row>
    <row r="6" spans="1:49" ht="15.75" customHeight="1">
      <c r="A6" s="4228" t="s">
        <v>334</v>
      </c>
      <c r="B6" s="3644">
        <f>'11. Амортиз. план'!AQ10</f>
        <v>5789.8692626659786</v>
      </c>
      <c r="C6" s="3644">
        <f>'11. Амортиз. план'!AS10</f>
        <v>6474.1482303335852</v>
      </c>
      <c r="D6" s="3644">
        <f>'11. Амортиз. план'!AT10</f>
        <v>6752.1205830772651</v>
      </c>
      <c r="E6" s="3644">
        <f>'11. Амортиз. план'!AU10</f>
        <v>7030.0929358209414</v>
      </c>
      <c r="F6" s="3644">
        <f>'11. Амортиз. план'!AV10</f>
        <v>7308.0652885646177</v>
      </c>
      <c r="G6" s="3644">
        <f>'11. Амортиз. план'!AW10</f>
        <v>7586.0376413082977</v>
      </c>
      <c r="I6" s="4222" t="str">
        <f>I33</f>
        <v>Пречистване на отпадъчните води</v>
      </c>
      <c r="J6" s="4223"/>
      <c r="K6" s="4223"/>
      <c r="L6" s="4223"/>
      <c r="M6" s="4223"/>
      <c r="N6" s="4223"/>
      <c r="O6" s="3644">
        <f>SUM(J6:N6)</f>
        <v>0</v>
      </c>
      <c r="S6" s="4229" t="s">
        <v>239</v>
      </c>
      <c r="T6" s="3526">
        <f>'12. Разходи'!BJ29</f>
        <v>911.80004908402066</v>
      </c>
      <c r="U6" s="3526">
        <f>'12. Разходи'!BK29</f>
        <v>1056.5712035299591</v>
      </c>
      <c r="V6" s="3526">
        <f>'12. Разходи'!BL29</f>
        <v>1097.4186610543863</v>
      </c>
      <c r="W6" s="3526">
        <f>'12. Разходи'!BM29</f>
        <v>1130.3412208860179</v>
      </c>
      <c r="X6" s="3526">
        <f>'12. Разходи'!BN29</f>
        <v>1138.7330264054597</v>
      </c>
      <c r="Y6" s="3526">
        <f>'12. Разходи'!BO29</f>
        <v>1138.9514881311293</v>
      </c>
      <c r="Z6" s="4227">
        <f t="shared" ref="Z6:Z21" si="1">IFERROR((U6-T6)/T6,0)</f>
        <v>0.15877511148565213</v>
      </c>
      <c r="AA6" s="4227">
        <f t="shared" ref="AA6:AA15" si="2">IFERROR((Y6-U6)/U6,0)</f>
        <v>7.7969458495500507E-2</v>
      </c>
      <c r="AC6" s="3516" t="s">
        <v>489</v>
      </c>
      <c r="AD6" s="3517">
        <f t="shared" ref="AD6:AI6" si="3">AD4+AD5</f>
        <v>18636.993330889047</v>
      </c>
      <c r="AE6" s="3517">
        <f t="shared" si="3"/>
        <v>25064.40065580482</v>
      </c>
      <c r="AF6" s="3517">
        <f t="shared" si="3"/>
        <v>30037.949835364521</v>
      </c>
      <c r="AG6" s="3517">
        <f t="shared" si="3"/>
        <v>31711.81677584508</v>
      </c>
      <c r="AH6" s="3517">
        <f t="shared" si="3"/>
        <v>27952.6233730106</v>
      </c>
      <c r="AI6" s="3517">
        <f t="shared" si="3"/>
        <v>29563.331677807928</v>
      </c>
      <c r="AK6" s="3407" t="s">
        <v>548</v>
      </c>
      <c r="AL6" s="3518">
        <f>'17. РБА'!I13</f>
        <v>4109.9743898690049</v>
      </c>
      <c r="AM6" s="3518">
        <f>'17. РБА'!J13</f>
        <v>4622.9726336170797</v>
      </c>
      <c r="AN6" s="3518">
        <f>'17. РБА'!K13</f>
        <v>5302.2771697069011</v>
      </c>
      <c r="AO6" s="3518">
        <f>'17. РБА'!L13</f>
        <v>6164.616812757441</v>
      </c>
      <c r="AP6" s="3518">
        <f>'17. РБА'!M13</f>
        <v>7147.9322174609033</v>
      </c>
      <c r="AR6" s="3515" t="s">
        <v>296</v>
      </c>
      <c r="AS6" s="3252">
        <f>'16. Необходими приходи'!K10</f>
        <v>16751.523058681883</v>
      </c>
      <c r="AT6" s="3252">
        <f>'16. Необходими приходи'!L10</f>
        <v>17870.581808484152</v>
      </c>
      <c r="AU6" s="3252">
        <f>'16. Необходими приходи'!M10</f>
        <v>19149.815694558598</v>
      </c>
      <c r="AV6" s="3252">
        <f>'16. Необходими приходи'!N10</f>
        <v>21066.305396895641</v>
      </c>
      <c r="AW6" s="3252">
        <f>'16. Необходими приходи'!O10</f>
        <v>22493.052696894618</v>
      </c>
    </row>
    <row r="7" spans="1:49" ht="15.75" customHeight="1">
      <c r="A7" s="4230" t="s">
        <v>218</v>
      </c>
      <c r="B7" s="4231">
        <f>'11. Амортиз. план'!AQ35</f>
        <v>174.3505314879105</v>
      </c>
      <c r="C7" s="4231">
        <f>'11. Амортиз. план'!AS35</f>
        <v>227.80789225220136</v>
      </c>
      <c r="D7" s="4231">
        <f>'11. Амортиз. план'!AT35</f>
        <v>256.03913897291454</v>
      </c>
      <c r="E7" s="4231">
        <f>'11. Амортиз. план'!AU35</f>
        <v>274.65092152527171</v>
      </c>
      <c r="F7" s="4231">
        <f>'11. Амортиз. план'!AV35</f>
        <v>289.9637307218527</v>
      </c>
      <c r="G7" s="4231">
        <f>'11. Амортиз. план'!AW35</f>
        <v>299.67961882195459</v>
      </c>
      <c r="I7" s="4232" t="s">
        <v>1028</v>
      </c>
      <c r="J7" s="4233">
        <f t="shared" ref="J7:O7" si="4">SUM(J4:J6)</f>
        <v>0</v>
      </c>
      <c r="K7" s="4233">
        <f t="shared" si="4"/>
        <v>0</v>
      </c>
      <c r="L7" s="4233">
        <f t="shared" si="4"/>
        <v>0</v>
      </c>
      <c r="M7" s="4233">
        <f t="shared" si="4"/>
        <v>0</v>
      </c>
      <c r="N7" s="4233">
        <f t="shared" si="4"/>
        <v>0</v>
      </c>
      <c r="O7" s="4233">
        <f t="shared" si="4"/>
        <v>0</v>
      </c>
      <c r="S7" s="4229" t="s">
        <v>446</v>
      </c>
      <c r="T7" s="3526">
        <f>'12. Разходи'!BJ55</f>
        <v>1163.5298909755279</v>
      </c>
      <c r="U7" s="3526">
        <f>'12. Разходи'!BK55</f>
        <v>808.80616161414514</v>
      </c>
      <c r="V7" s="3526">
        <f>'12. Разходи'!BL55</f>
        <v>871.29463747899968</v>
      </c>
      <c r="W7" s="3526">
        <f>'12. Разходи'!BM55</f>
        <v>967.282301666065</v>
      </c>
      <c r="X7" s="3526">
        <f>'12. Разходи'!BN55</f>
        <v>1237.0695653411456</v>
      </c>
      <c r="Y7" s="3526">
        <f>'12. Разходи'!BO55</f>
        <v>1285.0184159038874</v>
      </c>
      <c r="Z7" s="4227">
        <f t="shared" si="1"/>
        <v>-0.30486860037946678</v>
      </c>
      <c r="AA7" s="4227">
        <f t="shared" si="2"/>
        <v>0.58878415730582367</v>
      </c>
      <c r="AC7" s="3512" t="s">
        <v>1687</v>
      </c>
      <c r="AD7" s="3513">
        <f>'14. ОПР'!I22</f>
        <v>18383.328286764769</v>
      </c>
      <c r="AE7" s="3513">
        <f>'14. ОПР'!J22</f>
        <v>25309.065573926011</v>
      </c>
      <c r="AF7" s="3513">
        <f>'14. ОПР'!K22</f>
        <v>29631.956656402446</v>
      </c>
      <c r="AG7" s="3513">
        <f>'14. ОПР'!L22</f>
        <v>30638.106541519817</v>
      </c>
      <c r="AH7" s="3513">
        <f>'14. ОПР'!M22</f>
        <v>26744.150176036452</v>
      </c>
      <c r="AI7" s="3513">
        <f>'14. ОПР'!N22</f>
        <v>28193.252000585519</v>
      </c>
      <c r="AK7" s="3407" t="s">
        <v>549</v>
      </c>
      <c r="AL7" s="3514">
        <f>'17. РБА'!I16</f>
        <v>52.663063763210502</v>
      </c>
      <c r="AM7" s="3514">
        <f>'17. РБА'!J16</f>
        <v>23.008134653829831</v>
      </c>
      <c r="AN7" s="3514">
        <f>'17. РБА'!K16</f>
        <v>4.0903350495697479</v>
      </c>
      <c r="AO7" s="3514">
        <f>'17. РБА'!L16</f>
        <v>0</v>
      </c>
      <c r="AP7" s="3514">
        <f>'17. РБА'!M16</f>
        <v>0</v>
      </c>
      <c r="AR7" s="3515" t="s">
        <v>1788</v>
      </c>
      <c r="AS7" s="3252">
        <f>'12. Разходи'!BK17</f>
        <v>4485.3237667854564</v>
      </c>
      <c r="AT7" s="3252">
        <f>'12. Разходи'!BL17</f>
        <v>4462.8971645628717</v>
      </c>
      <c r="AU7" s="3252">
        <f>'12. Разходи'!BM17</f>
        <v>4440.5826628756085</v>
      </c>
      <c r="AV7" s="3252">
        <f>'12. Разходи'!BN17</f>
        <v>4557.833314483365</v>
      </c>
      <c r="AW7" s="3252">
        <f>'12. Разходи'!BO17</f>
        <v>4535.044063041777</v>
      </c>
    </row>
    <row r="8" spans="1:49" ht="15.75" customHeight="1">
      <c r="A8" s="4234" t="s">
        <v>220</v>
      </c>
      <c r="B8" s="3526">
        <f>'11. Амортиз. план'!AQ60</f>
        <v>3150.0692800499023</v>
      </c>
      <c r="C8" s="3526">
        <f>'11. Амортиз. план'!AS60</f>
        <v>3579.0458617140152</v>
      </c>
      <c r="D8" s="3526">
        <f>'11. Амортиз. план'!AT60</f>
        <v>3835.0850006869309</v>
      </c>
      <c r="E8" s="3526">
        <f>'11. Амортиз. план'!AU60</f>
        <v>4109.7359222122022</v>
      </c>
      <c r="F8" s="3526">
        <f>'11. Амортиз. план'!AV60</f>
        <v>4399.699652934054</v>
      </c>
      <c r="G8" s="3526">
        <f>'11. Амортиз. план'!AW60</f>
        <v>4699.3792717560109</v>
      </c>
      <c r="I8" s="1300" t="s">
        <v>1735</v>
      </c>
      <c r="J8" s="1300"/>
      <c r="K8" s="1300"/>
      <c r="L8" s="1300"/>
      <c r="M8" s="1300"/>
      <c r="N8" s="1300"/>
      <c r="O8" s="3393" t="s">
        <v>1912</v>
      </c>
      <c r="S8" s="4235" t="s">
        <v>447</v>
      </c>
      <c r="T8" s="4231">
        <f>'12. Разходи'!BJ56</f>
        <v>111.97292198197185</v>
      </c>
      <c r="U8" s="4231">
        <f>'12. Разходи'!BK56</f>
        <v>227.80789225220136</v>
      </c>
      <c r="V8" s="4231">
        <f>'12. Разходи'!BL56</f>
        <v>256.03913897291454</v>
      </c>
      <c r="W8" s="4231">
        <f>'12. Разходи'!BM56</f>
        <v>274.65092152527171</v>
      </c>
      <c r="X8" s="4231">
        <f>'12. Разходи'!BN56</f>
        <v>289.9637307218527</v>
      </c>
      <c r="Y8" s="4231">
        <f>'12. Разходи'!BO56</f>
        <v>299.67961882195459</v>
      </c>
      <c r="Z8" s="4227">
        <f t="shared" si="1"/>
        <v>1.0344909128019313</v>
      </c>
      <c r="AA8" s="4227">
        <f t="shared" si="2"/>
        <v>0.31549269807643693</v>
      </c>
      <c r="AC8" s="3403" t="s">
        <v>508</v>
      </c>
      <c r="AD8" s="3406">
        <f>'14. ОПР'!I34</f>
        <v>219.34421703317773</v>
      </c>
      <c r="AE8" s="3406">
        <f>'14. ОПР'!J34</f>
        <v>639.62614337646937</v>
      </c>
      <c r="AF8" s="3406">
        <f>'14. ОПР'!K34</f>
        <v>637.58097585168446</v>
      </c>
      <c r="AG8" s="3406">
        <f>'14. ОПР'!L34</f>
        <v>636.55839208929206</v>
      </c>
      <c r="AH8" s="3406">
        <f>'14. ОПР'!M34</f>
        <v>624.28738694058279</v>
      </c>
      <c r="AI8" s="3406">
        <f>'14. ОПР'!N34</f>
        <v>591.05341466282857</v>
      </c>
      <c r="AK8" s="3407" t="s">
        <v>329</v>
      </c>
      <c r="AL8" s="3514">
        <f>'17. РБА'!I19</f>
        <v>3058.1113235812932</v>
      </c>
      <c r="AM8" s="3514">
        <f>'17. РБА'!J19</f>
        <v>4841.5719873404132</v>
      </c>
      <c r="AN8" s="3514">
        <f>'17. РБА'!K19</f>
        <v>4841.2311260862825</v>
      </c>
      <c r="AO8" s="3514">
        <f>'17. РБА'!L19</f>
        <v>868.37813102365749</v>
      </c>
      <c r="AP8" s="3514">
        <f>'17. РБА'!M19</f>
        <v>853.00528846235784</v>
      </c>
      <c r="AR8" s="3488" t="s">
        <v>297</v>
      </c>
      <c r="AS8" s="3489">
        <f>AS5+AS6</f>
        <v>17642.473941309454</v>
      </c>
      <c r="AT8" s="3489">
        <f>AT5+AT6</f>
        <v>19112.284047638772</v>
      </c>
      <c r="AU8" s="3489">
        <f>AU5+AU6</f>
        <v>20731.675500397829</v>
      </c>
      <c r="AV8" s="3489">
        <f>AV5+AV6</f>
        <v>22669.546156215591</v>
      </c>
      <c r="AW8" s="3489">
        <f>AW5+AW6</f>
        <v>24103.848785140304</v>
      </c>
    </row>
    <row r="9" spans="1:49" ht="15.75" customHeight="1">
      <c r="A9" s="4234" t="s">
        <v>222</v>
      </c>
      <c r="B9" s="3526">
        <f>'11. Амортиз. план'!AQ85</f>
        <v>2639.7999826160762</v>
      </c>
      <c r="C9" s="3526">
        <f>'11. Амортиз. план'!AS85</f>
        <v>2895.1023686195681</v>
      </c>
      <c r="D9" s="3526">
        <f>'11. Амортиз. план'!AT85</f>
        <v>2917.0355823903305</v>
      </c>
      <c r="E9" s="3526">
        <f>'11. Амортиз. план'!AU85</f>
        <v>2920.357013608736</v>
      </c>
      <c r="F9" s="3526">
        <f>'11. Амортиз. план'!AV85</f>
        <v>2908.3656356305614</v>
      </c>
      <c r="G9" s="3526">
        <f>'11. Амортиз. план'!AW85</f>
        <v>2886.6583695522841</v>
      </c>
      <c r="I9" s="4217" t="s">
        <v>1495</v>
      </c>
      <c r="J9" s="4218" t="str">
        <f>+'15. ОПП'!$C$7</f>
        <v>2027 г.</v>
      </c>
      <c r="K9" s="4218" t="str">
        <f>+'15. ОПП'!$D$7</f>
        <v>2028 г.</v>
      </c>
      <c r="L9" s="4218" t="str">
        <f>+'15. ОПП'!$E$7</f>
        <v>2029 г.</v>
      </c>
      <c r="M9" s="4218" t="str">
        <f>+'15. ОПП'!$F$7</f>
        <v>2030 г.</v>
      </c>
      <c r="N9" s="4218" t="str">
        <f>+'15. ОПП'!$G$7</f>
        <v>2031 г.</v>
      </c>
      <c r="O9" s="4219" t="s">
        <v>1595</v>
      </c>
      <c r="S9" s="4235" t="s">
        <v>736</v>
      </c>
      <c r="T9" s="4231">
        <f>'12. Разходи'!BJ57</f>
        <v>117.59713267513025</v>
      </c>
      <c r="U9" s="4231">
        <f>'12. Разходи'!BK57</f>
        <v>285.19035149587165</v>
      </c>
      <c r="V9" s="4231">
        <f>'12. Разходи'!BL57</f>
        <v>423.26539711690509</v>
      </c>
      <c r="W9" s="4231">
        <f>'12. Разходи'!BM57</f>
        <v>587.68872152526944</v>
      </c>
      <c r="X9" s="4231">
        <f>'12. Разходи'!BN57</f>
        <v>693.35167398160945</v>
      </c>
      <c r="Y9" s="4231">
        <f>'12. Разходи'!BO57</f>
        <v>747.04610293162318</v>
      </c>
      <c r="Z9" s="4227">
        <f t="shared" si="1"/>
        <v>1.4251471528963942</v>
      </c>
      <c r="AA9" s="4227">
        <f t="shared" si="2"/>
        <v>1.6194648557121234</v>
      </c>
      <c r="AC9" s="3516" t="s">
        <v>499</v>
      </c>
      <c r="AD9" s="3517">
        <f t="shared" ref="AD9:AI9" si="5">AD7+AD8</f>
        <v>18602.672503797945</v>
      </c>
      <c r="AE9" s="3517">
        <f t="shared" si="5"/>
        <v>25948.691717302481</v>
      </c>
      <c r="AF9" s="3517">
        <f t="shared" si="5"/>
        <v>30269.537632254131</v>
      </c>
      <c r="AG9" s="3517">
        <f t="shared" si="5"/>
        <v>31274.66493360911</v>
      </c>
      <c r="AH9" s="3517">
        <f t="shared" si="5"/>
        <v>27368.437562977033</v>
      </c>
      <c r="AI9" s="3517">
        <f t="shared" si="5"/>
        <v>28784.305415248346</v>
      </c>
      <c r="AK9" s="3407" t="s">
        <v>306</v>
      </c>
      <c r="AL9" s="3514">
        <f>'17. РБА'!I20</f>
        <v>2620.7205858193547</v>
      </c>
      <c r="AM9" s="3514">
        <f>'17. РБА'!J20</f>
        <v>2794.4033705761894</v>
      </c>
      <c r="AN9" s="3514">
        <f>'17. РБА'!K20</f>
        <v>2988.9095988316494</v>
      </c>
      <c r="AO9" s="3514">
        <f>'17. РБА'!L20</f>
        <v>3259.6004106664927</v>
      </c>
      <c r="AP9" s="3514">
        <f>'17. РБА'!M20</f>
        <v>3486.2522105738185</v>
      </c>
      <c r="AR9" s="5449" t="s">
        <v>1926</v>
      </c>
      <c r="AS9" s="5454" t="s">
        <v>174</v>
      </c>
      <c r="AT9" s="5455"/>
      <c r="AU9" s="5455"/>
      <c r="AV9" s="5455"/>
      <c r="AW9" s="5456"/>
    </row>
    <row r="10" spans="1:49" ht="15.75" customHeight="1">
      <c r="A10" s="5466" t="s">
        <v>1659</v>
      </c>
      <c r="B10" s="5466"/>
      <c r="C10" s="5466"/>
      <c r="D10" s="5466"/>
      <c r="E10" s="5466"/>
      <c r="F10" s="5466"/>
      <c r="G10" s="5466"/>
      <c r="I10" s="4222" t="s">
        <v>207</v>
      </c>
      <c r="J10" s="4223">
        <f>J28</f>
        <v>2540.3430785565888</v>
      </c>
      <c r="K10" s="4223">
        <f t="shared" ref="K10:N10" si="6">K28</f>
        <v>4563.599634596736</v>
      </c>
      <c r="L10" s="4223">
        <f t="shared" si="6"/>
        <v>4563.2587733426062</v>
      </c>
      <c r="M10" s="4223">
        <f t="shared" si="6"/>
        <v>590.40577827998015</v>
      </c>
      <c r="N10" s="4223">
        <f t="shared" si="6"/>
        <v>575.03293571868028</v>
      </c>
      <c r="O10" s="3644">
        <f>SUM(J10:N10)</f>
        <v>12832.640200494592</v>
      </c>
      <c r="S10" s="4235" t="s">
        <v>737</v>
      </c>
      <c r="T10" s="4231">
        <f>'12. Разходи'!BJ58</f>
        <v>933.95983631842569</v>
      </c>
      <c r="U10" s="4231">
        <f>'12. Разходи'!BK58</f>
        <v>295.80791786607216</v>
      </c>
      <c r="V10" s="4231">
        <f>'12. Разходи'!BL58</f>
        <v>191.99010138918004</v>
      </c>
      <c r="W10" s="4231">
        <f>'12. Разходи'!BM58</f>
        <v>104.94265861552384</v>
      </c>
      <c r="X10" s="4231">
        <f>'12. Разходи'!BN58</f>
        <v>253.75416063768324</v>
      </c>
      <c r="Y10" s="4231">
        <f>'12. Разходи'!BO58</f>
        <v>238.29269415030959</v>
      </c>
      <c r="Z10" s="4227">
        <f t="shared" si="1"/>
        <v>-0.68327554744525554</v>
      </c>
      <c r="AA10" s="4227">
        <f t="shared" si="2"/>
        <v>-0.19443436176648507</v>
      </c>
      <c r="AC10" s="3402" t="s">
        <v>513</v>
      </c>
      <c r="AD10" s="3513">
        <f t="shared" ref="AD10:AI10" si="7">AD4-AD7</f>
        <v>253.66504412427821</v>
      </c>
      <c r="AE10" s="3513">
        <f t="shared" si="7"/>
        <v>-244.66491812119057</v>
      </c>
      <c r="AF10" s="3513">
        <f t="shared" si="7"/>
        <v>405.99317896207504</v>
      </c>
      <c r="AG10" s="3513">
        <f t="shared" si="7"/>
        <v>1073.7102343252627</v>
      </c>
      <c r="AH10" s="3513">
        <f t="shared" si="7"/>
        <v>1208.4731969741479</v>
      </c>
      <c r="AI10" s="3513">
        <f t="shared" si="7"/>
        <v>1370.0796772224094</v>
      </c>
      <c r="AK10" s="3408" t="s">
        <v>305</v>
      </c>
      <c r="AL10" s="3409">
        <f t="shared" ref="AL10:AP10" si="8">AL5-AL6+AL7+AL8+AL9</f>
        <v>11360.949197574555</v>
      </c>
      <c r="AM10" s="3409">
        <f t="shared" si="8"/>
        <v>15833.550796814347</v>
      </c>
      <c r="AN10" s="3409">
        <f t="shared" si="8"/>
        <v>20171.065815462018</v>
      </c>
      <c r="AO10" s="3409">
        <f t="shared" si="8"/>
        <v>20443.704780220403</v>
      </c>
      <c r="AP10" s="3409">
        <f t="shared" si="8"/>
        <v>20540.046463886618</v>
      </c>
      <c r="AR10" s="5449"/>
      <c r="AS10" s="4224" t="s">
        <v>1778</v>
      </c>
      <c r="AT10" s="4224" t="s">
        <v>1779</v>
      </c>
      <c r="AU10" s="4224" t="s">
        <v>1780</v>
      </c>
      <c r="AV10" s="4224" t="s">
        <v>1781</v>
      </c>
      <c r="AW10" s="4224" t="s">
        <v>1782</v>
      </c>
    </row>
    <row r="11" spans="1:49" ht="15.75" customHeight="1">
      <c r="A11" s="4228" t="s">
        <v>334</v>
      </c>
      <c r="B11" s="3644">
        <f>'11. Амортиз. план'!AQ111</f>
        <v>3088.2029624251595</v>
      </c>
      <c r="C11" s="3644">
        <f>'11. Амортиз. план'!AS111</f>
        <v>6323.3917075274094</v>
      </c>
      <c r="D11" s="3644">
        <f>'11. Амортиз. план'!AT111</f>
        <v>10886.991342124147</v>
      </c>
      <c r="E11" s="3644">
        <f>'11. Амортиз. план'!AU111</f>
        <v>15450.250115466752</v>
      </c>
      <c r="F11" s="3644">
        <f>'11. Амортиз. план'!AV111</f>
        <v>16040.655893746731</v>
      </c>
      <c r="G11" s="3644">
        <f>'11. Амортиз. план'!AW111</f>
        <v>16615.688829465413</v>
      </c>
      <c r="I11" s="4222" t="s">
        <v>208</v>
      </c>
      <c r="J11" s="4223">
        <f>J31</f>
        <v>729.40986350211074</v>
      </c>
      <c r="K11" s="4223">
        <f t="shared" ref="K11:N11" si="9">K31</f>
        <v>1234.1921605320165</v>
      </c>
      <c r="L11" s="4223">
        <f t="shared" si="9"/>
        <v>1141.3074687813701</v>
      </c>
      <c r="M11" s="4223">
        <f t="shared" si="9"/>
        <v>169.6125600554922</v>
      </c>
      <c r="N11" s="4223">
        <f t="shared" si="9"/>
        <v>176.73656026682616</v>
      </c>
      <c r="O11" s="3644">
        <f>SUM(J11:N11)</f>
        <v>3451.2586131378157</v>
      </c>
      <c r="S11" s="4229" t="s">
        <v>448</v>
      </c>
      <c r="T11" s="3526">
        <f>'12. Разходи'!BJ59</f>
        <v>4498.8572626455261</v>
      </c>
      <c r="U11" s="3526">
        <f>'12. Разходи'!BK59</f>
        <v>6873.2967589207656</v>
      </c>
      <c r="V11" s="3526">
        <f>'12. Разходи'!BL59</f>
        <v>7698.0923699912582</v>
      </c>
      <c r="W11" s="3526">
        <f>'12. Разходи'!BM59</f>
        <v>8621.8634543902099</v>
      </c>
      <c r="X11" s="3526">
        <f>'12. Разходи'!BN59</f>
        <v>9915.1429725487396</v>
      </c>
      <c r="Y11" s="3526">
        <f>'12. Разходи'!BO59</f>
        <v>11104.960129254589</v>
      </c>
      <c r="Z11" s="4227">
        <f t="shared" si="1"/>
        <v>0.52778724855097192</v>
      </c>
      <c r="AA11" s="4227">
        <f t="shared" si="2"/>
        <v>0.61566720000000008</v>
      </c>
      <c r="AC11" s="3402" t="s">
        <v>514</v>
      </c>
      <c r="AD11" s="3513">
        <f t="shared" ref="AD11:AI11" si="10">AD6-AD9</f>
        <v>34.320827091101819</v>
      </c>
      <c r="AE11" s="3513">
        <f t="shared" si="10"/>
        <v>-884.29106149766085</v>
      </c>
      <c r="AF11" s="3513">
        <f t="shared" si="10"/>
        <v>-231.58779688960931</v>
      </c>
      <c r="AG11" s="3513">
        <f t="shared" si="10"/>
        <v>437.15184223596953</v>
      </c>
      <c r="AH11" s="3513">
        <f t="shared" si="10"/>
        <v>584.18581003356667</v>
      </c>
      <c r="AI11" s="3513">
        <f t="shared" si="10"/>
        <v>779.02626255958239</v>
      </c>
      <c r="AK11" s="5449" t="s">
        <v>1926</v>
      </c>
      <c r="AL11" s="5450" t="str">
        <f>T24</f>
        <v>Отвеждане на отпадъчните води</v>
      </c>
      <c r="AM11" s="5451"/>
      <c r="AN11" s="5451"/>
      <c r="AO11" s="5451"/>
      <c r="AP11" s="5451"/>
      <c r="AR11" s="3515" t="s">
        <v>294</v>
      </c>
      <c r="AS11" s="3252">
        <f>'16. Необходими приходи'!K15</f>
        <v>105.24929754501065</v>
      </c>
      <c r="AT11" s="3252">
        <f>'16. Необходими приходи'!L15</f>
        <v>198.39513295282219</v>
      </c>
      <c r="AU11" s="3252">
        <f>'16. Необходими приходи'!M15</f>
        <v>282.54083160356157</v>
      </c>
      <c r="AV11" s="3252">
        <f>'16. Необходими приходи'!N15</f>
        <v>291.45387730118415</v>
      </c>
      <c r="AW11" s="3252">
        <f>'16. Необходими приходи'!O15</f>
        <v>299.57581999449349</v>
      </c>
    </row>
    <row r="12" spans="1:49" ht="15.75" customHeight="1">
      <c r="A12" s="4230" t="s">
        <v>218</v>
      </c>
      <c r="B12" s="4231">
        <f>'11. Амортиз. план'!AQ131</f>
        <v>156.45531564604286</v>
      </c>
      <c r="C12" s="4231">
        <f>'11. Амортиз. план'!AS131</f>
        <v>285.19035149587165</v>
      </c>
      <c r="D12" s="4231">
        <f>'11. Амортиз. план'!AT131</f>
        <v>423.26539711690509</v>
      </c>
      <c r="E12" s="4231">
        <f>'11. Амортиз. план'!AU131</f>
        <v>587.68872152526944</v>
      </c>
      <c r="F12" s="4231">
        <f>'11. Амортиз. план'!AV131</f>
        <v>693.35167398160945</v>
      </c>
      <c r="G12" s="4231">
        <f>'11. Амортиз. план'!AW131</f>
        <v>747.04610293162318</v>
      </c>
      <c r="I12" s="4222" t="s">
        <v>209</v>
      </c>
      <c r="J12" s="4223">
        <f>J34</f>
        <v>745.0662262739263</v>
      </c>
      <c r="K12" s="4223">
        <f t="shared" ref="K12:N12" si="11">K34</f>
        <v>1322.2582848884276</v>
      </c>
      <c r="L12" s="4223">
        <f t="shared" si="11"/>
        <v>1266.186608583909</v>
      </c>
      <c r="M12" s="4223">
        <f t="shared" si="11"/>
        <v>160.40930619396025</v>
      </c>
      <c r="N12" s="4223">
        <f t="shared" si="11"/>
        <v>163.95426323692072</v>
      </c>
      <c r="O12" s="3644">
        <f>SUM(J12:N12)</f>
        <v>3657.8746891771439</v>
      </c>
      <c r="S12" s="4229" t="s">
        <v>449</v>
      </c>
      <c r="T12" s="3526">
        <f>'12. Разходи'!BJ63</f>
        <v>1431.6172673494118</v>
      </c>
      <c r="U12" s="3526">
        <f>'12. Разходи'!BK63</f>
        <v>2024.7158495370252</v>
      </c>
      <c r="V12" s="3526">
        <f>'12. Разходи'!BL63</f>
        <v>2185.4660169851163</v>
      </c>
      <c r="W12" s="3526">
        <f>'12. Разходи'!BM63</f>
        <v>2396.1837173987515</v>
      </c>
      <c r="X12" s="3526">
        <f>'12. Разходи'!BN63</f>
        <v>2629.3221803530978</v>
      </c>
      <c r="Y12" s="3526">
        <f>'12. Разходи'!BO63</f>
        <v>2861.2139419070172</v>
      </c>
      <c r="Z12" s="4227">
        <f t="shared" si="1"/>
        <v>0.4142857142857142</v>
      </c>
      <c r="AA12" s="4227">
        <f t="shared" si="2"/>
        <v>0.41314345050505091</v>
      </c>
      <c r="AC12" s="3404"/>
      <c r="AD12" s="3405"/>
      <c r="AE12" s="3520"/>
      <c r="AF12" s="3520"/>
      <c r="AG12" s="3520"/>
      <c r="AH12" s="3520"/>
      <c r="AI12" s="3520"/>
      <c r="AK12" s="5449"/>
      <c r="AL12" s="4224" t="s">
        <v>1778</v>
      </c>
      <c r="AM12" s="4224" t="s">
        <v>1779</v>
      </c>
      <c r="AN12" s="4224" t="s">
        <v>1780</v>
      </c>
      <c r="AO12" s="4224" t="s">
        <v>1781</v>
      </c>
      <c r="AP12" s="4224" t="s">
        <v>1782</v>
      </c>
      <c r="AR12" s="3515" t="s">
        <v>296</v>
      </c>
      <c r="AS12" s="3252">
        <f>'16. Необходими приходи'!K16</f>
        <v>957.95990630457095</v>
      </c>
      <c r="AT12" s="3252">
        <f>'16. Необходими приходи'!L16</f>
        <v>1020.9869967371102</v>
      </c>
      <c r="AU12" s="3252">
        <f>'16. Необходими приходи'!M16</f>
        <v>970.95594620898316</v>
      </c>
      <c r="AV12" s="3252">
        <f>'16. Необходими приходи'!N16</f>
        <v>1103.6823161843427</v>
      </c>
      <c r="AW12" s="3252">
        <f>'16. Необходими приходи'!O16</f>
        <v>1162.8224637664159</v>
      </c>
    </row>
    <row r="13" spans="1:49" ht="15.75" customHeight="1">
      <c r="A13" s="4234" t="s">
        <v>220</v>
      </c>
      <c r="B13" s="3526">
        <f>'11. Амортиз. план'!AQ151</f>
        <v>556.2855667414857</v>
      </c>
      <c r="C13" s="3526">
        <f>'11. Амортиз. план'!AS151</f>
        <v>1043.9267719030645</v>
      </c>
      <c r="D13" s="3526">
        <f>'11. Амортиз. план'!AT151</f>
        <v>1467.1921690199695</v>
      </c>
      <c r="E13" s="3526">
        <f>'11. Амортиз. план'!AU151</f>
        <v>2054.8808905452393</v>
      </c>
      <c r="F13" s="3526">
        <f>'11. Амортиз. план'!AV151</f>
        <v>2748.2325645268488</v>
      </c>
      <c r="G13" s="3526">
        <f>'11. Амортиз. план'!AW151</f>
        <v>3495.2786674584713</v>
      </c>
      <c r="I13" s="4222" t="s">
        <v>1029</v>
      </c>
      <c r="J13" s="4223">
        <f>J37</f>
        <v>0</v>
      </c>
      <c r="K13" s="4223">
        <f t="shared" ref="K13:N13" si="12">K37</f>
        <v>0</v>
      </c>
      <c r="L13" s="4223">
        <f t="shared" si="12"/>
        <v>0</v>
      </c>
      <c r="M13" s="4223">
        <f t="shared" si="12"/>
        <v>0</v>
      </c>
      <c r="N13" s="4223">
        <f t="shared" si="12"/>
        <v>0</v>
      </c>
      <c r="O13" s="3644">
        <f t="shared" ref="O13:O14" si="13">SUM(J13:N13)</f>
        <v>0</v>
      </c>
      <c r="S13" s="4229" t="s">
        <v>450</v>
      </c>
      <c r="T13" s="3526">
        <f>'12. Разходи'!BJ70</f>
        <v>340.39308119826364</v>
      </c>
      <c r="U13" s="3526">
        <f>'12. Разходи'!BK70</f>
        <v>344.49313079357614</v>
      </c>
      <c r="V13" s="3526">
        <f>'12. Разходи'!BL70</f>
        <v>346.31491489546642</v>
      </c>
      <c r="W13" s="3526">
        <f>'12. Разходи'!BM70</f>
        <v>348.19135252041332</v>
      </c>
      <c r="X13" s="3526">
        <f>'12. Разходи'!BN70</f>
        <v>350.12408327410867</v>
      </c>
      <c r="Y13" s="3526">
        <f>'12. Разходи'!BO70</f>
        <v>352.11479595041493</v>
      </c>
      <c r="Z13" s="4227">
        <f t="shared" si="1"/>
        <v>1.2045043867752424E-2</v>
      </c>
      <c r="AA13" s="4227">
        <f t="shared" si="2"/>
        <v>2.2124287759472824E-2</v>
      </c>
      <c r="AC13" s="3511" t="s">
        <v>1925</v>
      </c>
      <c r="AD13" s="4220" t="str">
        <f>T4</f>
        <v>2024 г.</v>
      </c>
      <c r="AE13" s="4220" t="str">
        <f t="shared" ref="AE13:AI13" si="14">U4</f>
        <v>2027 г.</v>
      </c>
      <c r="AF13" s="4220" t="str">
        <f t="shared" si="14"/>
        <v>2028 г.</v>
      </c>
      <c r="AG13" s="4220" t="str">
        <f t="shared" si="14"/>
        <v>2029 г.</v>
      </c>
      <c r="AH13" s="4220" t="str">
        <f t="shared" si="14"/>
        <v>2030 г.</v>
      </c>
      <c r="AI13" s="4220" t="str">
        <f t="shared" si="14"/>
        <v>2031 г.</v>
      </c>
      <c r="AK13" s="3407" t="s">
        <v>547</v>
      </c>
      <c r="AL13" s="3514">
        <f>'17. РБА'!I24</f>
        <v>1429.4016691975614</v>
      </c>
      <c r="AM13" s="3514">
        <f>'17. РБА'!J24</f>
        <v>2172.4459828649046</v>
      </c>
      <c r="AN13" s="3514">
        <f>'17. РБА'!K24</f>
        <v>3410.5580478194252</v>
      </c>
      <c r="AO13" s="3514">
        <f>'17. РБА'!L24</f>
        <v>4555.7854210232999</v>
      </c>
      <c r="AP13" s="3514">
        <f>'17. РБА'!M24</f>
        <v>4729.3178855012957</v>
      </c>
      <c r="AR13" s="3515" t="s">
        <v>1788</v>
      </c>
      <c r="AS13" s="3252">
        <f>'12. Разходи'!BR17</f>
        <v>61.622968628970831</v>
      </c>
      <c r="AT13" s="3252">
        <f>'12. Разходи'!BS17</f>
        <v>61.622968628970831</v>
      </c>
      <c r="AU13" s="3252">
        <f>'12. Разходи'!BT17</f>
        <v>61.622968628970831</v>
      </c>
      <c r="AV13" s="3252">
        <f>'12. Разходи'!BU17</f>
        <v>84.643573433273858</v>
      </c>
      <c r="AW13" s="3252">
        <f>'12. Разходи'!BV17</f>
        <v>84.643573433273858</v>
      </c>
    </row>
    <row r="14" spans="1:49" ht="15.75" customHeight="1">
      <c r="A14" s="4234" t="s">
        <v>222</v>
      </c>
      <c r="B14" s="3526">
        <f>'11. Амортиз. план'!AQ171</f>
        <v>2531.9173956836739</v>
      </c>
      <c r="C14" s="3526">
        <f>'11. Амортиз. план'!AS171</f>
        <v>5279.4649356243453</v>
      </c>
      <c r="D14" s="3526">
        <f>'11. Амортиз. план'!AT171</f>
        <v>9419.7991731041766</v>
      </c>
      <c r="E14" s="3526">
        <f>'11. Амортиз. план'!AU171</f>
        <v>13395.369224921513</v>
      </c>
      <c r="F14" s="3526">
        <f>'11. Амортиз. план'!AV171</f>
        <v>13292.423329219882</v>
      </c>
      <c r="G14" s="3526">
        <f>'11. Амортиз. план'!AW171</f>
        <v>13120.41016200694</v>
      </c>
      <c r="I14" s="4222" t="s">
        <v>1092</v>
      </c>
      <c r="J14" s="4223">
        <f>J40</f>
        <v>0</v>
      </c>
      <c r="K14" s="4223">
        <f t="shared" ref="K14:N14" si="15">K40</f>
        <v>0</v>
      </c>
      <c r="L14" s="4223">
        <f t="shared" si="15"/>
        <v>0</v>
      </c>
      <c r="M14" s="4223">
        <f t="shared" si="15"/>
        <v>0</v>
      </c>
      <c r="N14" s="4223">
        <f t="shared" si="15"/>
        <v>0</v>
      </c>
      <c r="O14" s="3644">
        <f t="shared" si="13"/>
        <v>0</v>
      </c>
      <c r="S14" s="4229" t="s">
        <v>267</v>
      </c>
      <c r="T14" s="3526">
        <f>'12. Разходи'!BJ76</f>
        <v>42.437226139286132</v>
      </c>
      <c r="U14" s="3526">
        <f>'12. Разходи'!BK76</f>
        <v>44.313667343276258</v>
      </c>
      <c r="V14" s="3526">
        <f>'12. Разходи'!BL76</f>
        <v>45.643077363574541</v>
      </c>
      <c r="W14" s="3526">
        <f>'12. Разходи'!BM76</f>
        <v>47.012369684481783</v>
      </c>
      <c r="X14" s="3526">
        <f>'12. Разходи'!BN76</f>
        <v>48.422740775016244</v>
      </c>
      <c r="Y14" s="3526">
        <f>'12. Разходи'!BO76</f>
        <v>49.875422998266728</v>
      </c>
      <c r="Z14" s="4227">
        <f t="shared" si="1"/>
        <v>4.4216867469879614E-2</v>
      </c>
      <c r="AA14" s="4227">
        <f t="shared" si="2"/>
        <v>0.12550881000000014</v>
      </c>
      <c r="AC14" s="4236" t="s">
        <v>1689</v>
      </c>
      <c r="AD14" s="3523">
        <f>IFERROR(AD10/AD7,0)</f>
        <v>1.3798646260748467E-2</v>
      </c>
      <c r="AE14" s="3523">
        <f t="shared" ref="AE14:AI14" si="16">IFERROR(AE10/AE7,0)</f>
        <v>-9.6670861832706331E-3</v>
      </c>
      <c r="AF14" s="3523">
        <f t="shared" si="16"/>
        <v>1.3701193737213228E-2</v>
      </c>
      <c r="AG14" s="3523">
        <f t="shared" si="16"/>
        <v>3.5044927886460728E-2</v>
      </c>
      <c r="AH14" s="3523">
        <f t="shared" si="16"/>
        <v>4.5186449710298726E-2</v>
      </c>
      <c r="AI14" s="3523">
        <f t="shared" si="16"/>
        <v>4.8596014294269976E-2</v>
      </c>
      <c r="AK14" s="3407" t="s">
        <v>548</v>
      </c>
      <c r="AL14" s="3518">
        <f>'17. РБА'!I27</f>
        <v>944.04082122423722</v>
      </c>
      <c r="AM14" s="3518">
        <f>'17. РБА'!J27</f>
        <v>1002.6483993515586</v>
      </c>
      <c r="AN14" s="3518">
        <f>'17. РБА'!K27</f>
        <v>1082.8782906634603</v>
      </c>
      <c r="AO14" s="3518">
        <f>'17. РБА'!L27</f>
        <v>1152.9990533100222</v>
      </c>
      <c r="AP14" s="3518">
        <f>'17. РБА'!M27</f>
        <v>1236.485320524265</v>
      </c>
      <c r="AR14" s="3488" t="s">
        <v>297</v>
      </c>
      <c r="AS14" s="3489">
        <f>AS11+AS12</f>
        <v>1063.2092038495816</v>
      </c>
      <c r="AT14" s="3489">
        <f>AT11+AT12</f>
        <v>1219.3821296899323</v>
      </c>
      <c r="AU14" s="3489">
        <f>AU11+AU12</f>
        <v>1253.4967778125447</v>
      </c>
      <c r="AV14" s="3489">
        <f>AV11+AV12</f>
        <v>1395.1361934855267</v>
      </c>
      <c r="AW14" s="3489">
        <f>AW11+AW12</f>
        <v>1462.3982837609094</v>
      </c>
    </row>
    <row r="15" spans="1:49" ht="15.75" customHeight="1">
      <c r="A15" s="5466" t="s">
        <v>1660</v>
      </c>
      <c r="B15" s="5466"/>
      <c r="C15" s="5466"/>
      <c r="D15" s="5466"/>
      <c r="E15" s="5466"/>
      <c r="F15" s="5466"/>
      <c r="G15" s="5466"/>
      <c r="I15" s="4232" t="s">
        <v>1028</v>
      </c>
      <c r="J15" s="4233">
        <f>SUM(J10:J14)</f>
        <v>4014.8191683326258</v>
      </c>
      <c r="K15" s="4233">
        <f t="shared" ref="K15:O15" si="17">SUM(K10:K14)</f>
        <v>7120.0500800171803</v>
      </c>
      <c r="L15" s="4233">
        <f t="shared" si="17"/>
        <v>6970.752850707885</v>
      </c>
      <c r="M15" s="4233">
        <f t="shared" si="17"/>
        <v>920.42764452943254</v>
      </c>
      <c r="N15" s="4233">
        <f t="shared" si="17"/>
        <v>915.72375922242713</v>
      </c>
      <c r="O15" s="4233">
        <f t="shared" si="17"/>
        <v>19941.773502809552</v>
      </c>
      <c r="S15" s="4237" t="s">
        <v>277</v>
      </c>
      <c r="T15" s="4238">
        <f>SUM(T5:T7,T11:T14)</f>
        <v>13157.258869028996</v>
      </c>
      <c r="U15" s="4238">
        <f t="shared" ref="U15:Y15" si="18">SUM(U5:U7,U11:U14)</f>
        <v>16751.523058681883</v>
      </c>
      <c r="V15" s="4238">
        <f t="shared" si="18"/>
        <v>17870.581808484148</v>
      </c>
      <c r="W15" s="4238">
        <f t="shared" si="18"/>
        <v>19149.815694558602</v>
      </c>
      <c r="X15" s="4238">
        <f t="shared" si="18"/>
        <v>21066.305396895637</v>
      </c>
      <c r="Y15" s="4238">
        <f t="shared" si="18"/>
        <v>22493.052696894614</v>
      </c>
      <c r="Z15" s="4239">
        <f t="shared" si="1"/>
        <v>0.27317727996622931</v>
      </c>
      <c r="AA15" s="4227">
        <f t="shared" si="2"/>
        <v>0.34274672327403949</v>
      </c>
      <c r="AC15" s="2" t="s">
        <v>1691</v>
      </c>
      <c r="AD15" s="4240"/>
      <c r="AE15" s="4241"/>
      <c r="AF15" s="4241"/>
      <c r="AG15" s="4241"/>
      <c r="AH15" s="4241"/>
      <c r="AI15" s="4241"/>
      <c r="AK15" s="3407" t="s">
        <v>549</v>
      </c>
      <c r="AL15" s="3514">
        <f>'17. РБА'!I30</f>
        <v>0</v>
      </c>
      <c r="AM15" s="3514">
        <f>'17. РБА'!J30</f>
        <v>0</v>
      </c>
      <c r="AN15" s="3514">
        <f>'17. РБА'!K30</f>
        <v>0</v>
      </c>
      <c r="AO15" s="3514">
        <f>'17. РБА'!L30</f>
        <v>0</v>
      </c>
      <c r="AP15" s="3514">
        <f>'17. РБА'!M30</f>
        <v>0</v>
      </c>
      <c r="AR15" s="5449" t="s">
        <v>1926</v>
      </c>
      <c r="AS15" s="5454" t="s">
        <v>184</v>
      </c>
      <c r="AT15" s="5455"/>
      <c r="AU15" s="5455"/>
      <c r="AV15" s="5455"/>
      <c r="AW15" s="5456"/>
    </row>
    <row r="16" spans="1:49" ht="15.75" customHeight="1">
      <c r="A16" s="4228" t="s">
        <v>334</v>
      </c>
      <c r="B16" s="3644">
        <f>'11. Амортиз. план'!AQ192</f>
        <v>49508.392856229839</v>
      </c>
      <c r="C16" s="3644">
        <f>'11. Амортиз. план'!AS192</f>
        <v>49508.392856229839</v>
      </c>
      <c r="D16" s="3644">
        <f>'11. Амортиз. план'!AT192</f>
        <v>49508.392856229839</v>
      </c>
      <c r="E16" s="3644">
        <f>'11. Амортиз. план'!AU192</f>
        <v>49508.392856229839</v>
      </c>
      <c r="F16" s="3644">
        <f>'11. Амортиз. план'!AV192</f>
        <v>49508.392856229839</v>
      </c>
      <c r="G16" s="3644">
        <f>'11. Амортиз. план'!AW192</f>
        <v>49508.392856229839</v>
      </c>
      <c r="I16" s="4242" t="s">
        <v>1434</v>
      </c>
      <c r="J16" s="4243">
        <f>J7-J15</f>
        <v>-4014.8191683326258</v>
      </c>
      <c r="K16" s="4243">
        <f t="shared" ref="K16:O16" si="19">K7-K15</f>
        <v>-7120.0500800171803</v>
      </c>
      <c r="L16" s="4243">
        <f t="shared" si="19"/>
        <v>-6970.752850707885</v>
      </c>
      <c r="M16" s="4243">
        <f t="shared" si="19"/>
        <v>-920.42764452943254</v>
      </c>
      <c r="N16" s="4243">
        <f t="shared" si="19"/>
        <v>-915.72375922242713</v>
      </c>
      <c r="O16" s="4243">
        <f t="shared" si="19"/>
        <v>-19941.773502809552</v>
      </c>
      <c r="P16" s="4244"/>
      <c r="Q16" s="4244"/>
      <c r="S16" s="4245" t="str">
        <f>CONCATENATE("Спестявания и увеличения спрямо ",T4," - нето:")</f>
        <v>Спестявания и увеличения спрямо 2024 г. - нето:</v>
      </c>
      <c r="T16" s="4246"/>
      <c r="U16" s="4245">
        <f>U15-$T15</f>
        <v>3594.2641896528876</v>
      </c>
      <c r="V16" s="4245">
        <f t="shared" ref="V16:Y16" si="20">V15-$T15</f>
        <v>4713.3229394551527</v>
      </c>
      <c r="W16" s="4245">
        <f t="shared" si="20"/>
        <v>5992.5568255296057</v>
      </c>
      <c r="X16" s="4245">
        <f t="shared" si="20"/>
        <v>7909.0465278666416</v>
      </c>
      <c r="Y16" s="4245">
        <f t="shared" si="20"/>
        <v>9335.7938278656184</v>
      </c>
      <c r="Z16" s="4246"/>
      <c r="AA16" s="4246"/>
      <c r="AC16" s="3511" t="s">
        <v>1925</v>
      </c>
      <c r="AD16" s="4220" t="str">
        <f>T4</f>
        <v>2024 г.</v>
      </c>
      <c r="AE16" s="4220" t="str">
        <f t="shared" ref="AE16:AI16" si="21">U4</f>
        <v>2027 г.</v>
      </c>
      <c r="AF16" s="4220" t="str">
        <f t="shared" si="21"/>
        <v>2028 г.</v>
      </c>
      <c r="AG16" s="4220" t="str">
        <f t="shared" si="21"/>
        <v>2029 г.</v>
      </c>
      <c r="AH16" s="4220" t="str">
        <f t="shared" si="21"/>
        <v>2030 г.</v>
      </c>
      <c r="AI16" s="4220" t="str">
        <f t="shared" si="21"/>
        <v>2031 г.</v>
      </c>
      <c r="AK16" s="3407" t="s">
        <v>329</v>
      </c>
      <c r="AL16" s="3514">
        <f>'17. РБА'!I33</f>
        <v>743.04431366734332</v>
      </c>
      <c r="AM16" s="3514">
        <f>'17. РБА'!J33</f>
        <v>1238.1120649545207</v>
      </c>
      <c r="AN16" s="3514">
        <f>'17. РБА'!K33</f>
        <v>1145.2273732038743</v>
      </c>
      <c r="AO16" s="3514">
        <f>'17. РБА'!L33</f>
        <v>173.53246447799654</v>
      </c>
      <c r="AP16" s="3514">
        <f>'17. РБА'!M33</f>
        <v>180.65646468933053</v>
      </c>
      <c r="AR16" s="5449"/>
      <c r="AS16" s="4224" t="s">
        <v>1778</v>
      </c>
      <c r="AT16" s="4224" t="s">
        <v>1779</v>
      </c>
      <c r="AU16" s="4224" t="s">
        <v>1780</v>
      </c>
      <c r="AV16" s="4224" t="s">
        <v>1781</v>
      </c>
      <c r="AW16" s="4224" t="s">
        <v>1782</v>
      </c>
    </row>
    <row r="17" spans="1:49" ht="15.75" customHeight="1">
      <c r="A17" s="4230" t="s">
        <v>218</v>
      </c>
      <c r="B17" s="4231">
        <f>'11. Амортиз. план'!AQ214</f>
        <v>1141.2034788299597</v>
      </c>
      <c r="C17" s="4231">
        <f>'11. Амортиз. план'!AS214</f>
        <v>1139.669603186371</v>
      </c>
      <c r="D17" s="4231">
        <f>'11. Амортиз. план'!AT214</f>
        <v>1137.7318069566375</v>
      </c>
      <c r="E17" s="4231">
        <f>'11. Амортиз. план'!AU214</f>
        <v>1130.2464938159249</v>
      </c>
      <c r="F17" s="4231">
        <f>'11. Амортиз. план'!AV214</f>
        <v>1128.8148765485753</v>
      </c>
      <c r="G17" s="4231">
        <f>'11. Амортиз. план'!AW214</f>
        <v>1128.8148765485753</v>
      </c>
      <c r="I17" s="1300" t="s">
        <v>1736</v>
      </c>
      <c r="J17" s="4243"/>
      <c r="K17" s="4243"/>
      <c r="L17" s="4243"/>
      <c r="M17" s="4243"/>
      <c r="N17" s="4243"/>
      <c r="O17" s="4243"/>
      <c r="P17" s="4244"/>
      <c r="Q17" s="3393" t="s">
        <v>1912</v>
      </c>
      <c r="S17" s="4229" t="s">
        <v>1670</v>
      </c>
      <c r="T17" s="3526">
        <f>'12. Разходи'!BJ92</f>
        <v>10112.33082629881</v>
      </c>
      <c r="U17" s="3526">
        <f>'12. Разходи'!BK92</f>
        <v>13441.860144428409</v>
      </c>
      <c r="V17" s="3526">
        <f>'12. Разходи'!BL92</f>
        <v>14332.691358877139</v>
      </c>
      <c r="W17" s="3526">
        <f>'12. Разходи'!BM92</f>
        <v>15330.327479101967</v>
      </c>
      <c r="X17" s="3526">
        <f>'12. Разходи'!BN92</f>
        <v>16718.719684953307</v>
      </c>
      <c r="Y17" s="3526">
        <f>'12. Разходи'!BO92</f>
        <v>17881.232702297635</v>
      </c>
      <c r="Z17" s="4227">
        <f t="shared" si="1"/>
        <v>0.32925439004335177</v>
      </c>
      <c r="AA17" s="4227">
        <f t="shared" ref="AA17:AA21" si="22">IFERROR((Y17-U17)/U17,0)</f>
        <v>0.33026474834357855</v>
      </c>
      <c r="AC17" s="4247" t="s">
        <v>545</v>
      </c>
      <c r="AD17" s="3487">
        <f>'15. ОПП'!I45</f>
        <v>575.20336634574585</v>
      </c>
      <c r="AE17" s="3487">
        <f>'15. ОПП'!J45</f>
        <v>255.64594059810923</v>
      </c>
      <c r="AF17" s="3487">
        <f>'15. ОПП'!K45</f>
        <v>1246.3095645076669</v>
      </c>
      <c r="AG17" s="3487">
        <f>'15. ОПП'!L45</f>
        <v>2939.7499081624305</v>
      </c>
      <c r="AH17" s="3487">
        <f>'15. ОПП'!M45</f>
        <v>5042.7012395968832</v>
      </c>
      <c r="AI17" s="3487">
        <f>'15. ОПП'!N45</f>
        <v>7062.8614210430769</v>
      </c>
      <c r="AK17" s="3407" t="s">
        <v>306</v>
      </c>
      <c r="AL17" s="3514">
        <f>'17. РБА'!I34</f>
        <v>113.67995865558618</v>
      </c>
      <c r="AM17" s="3514">
        <f>'17. РБА'!J34</f>
        <v>121.92344387472274</v>
      </c>
      <c r="AN17" s="3514">
        <f>'17. РБА'!K34</f>
        <v>129.90880111090905</v>
      </c>
      <c r="AO17" s="3514">
        <f>'17. РБА'!L34</f>
        <v>140.15169162660285</v>
      </c>
      <c r="AP17" s="3514">
        <f>'17. РБА'!M34</f>
        <v>146.54834629062529</v>
      </c>
      <c r="AR17" s="3515" t="s">
        <v>294</v>
      </c>
      <c r="AS17" s="3252">
        <f>'16. Необходими приходи'!K23</f>
        <v>122.23905697534889</v>
      </c>
      <c r="AT17" s="3252">
        <f>'16. Необходими приходи'!L23</f>
        <v>221.62866707254864</v>
      </c>
      <c r="AU17" s="3252">
        <f>'16. Необходими приходи'!M23</f>
        <v>313.18876838511017</v>
      </c>
      <c r="AV17" s="3252">
        <f>'16. Необходими приходи'!N23</f>
        <v>314.3767718540127</v>
      </c>
      <c r="AW17" s="3252">
        <f>'16. Необходими приходи'!O23</f>
        <v>312.5426268175147</v>
      </c>
    </row>
    <row r="18" spans="1:49" ht="15.75" customHeight="1">
      <c r="A18" s="4234" t="s">
        <v>220</v>
      </c>
      <c r="B18" s="3526">
        <f>'11. Амортиз. план'!AQ236</f>
        <v>13522.647673877587</v>
      </c>
      <c r="C18" s="3526">
        <f>'11. Амортиз. план'!AS236</f>
        <v>15801.98688025033</v>
      </c>
      <c r="D18" s="3526">
        <f>'11. Амортиз. план'!AT236</f>
        <v>16939.718687206965</v>
      </c>
      <c r="E18" s="3526">
        <f>'11. Амортиз. план'!AU236</f>
        <v>18069.96518102289</v>
      </c>
      <c r="F18" s="3526">
        <f>'11. Амортиз. план'!AV236</f>
        <v>19198.780057571468</v>
      </c>
      <c r="G18" s="3526">
        <f>'11. Амортиз. план'!AW236</f>
        <v>20327.594934120047</v>
      </c>
      <c r="I18" s="4217" t="s">
        <v>1495</v>
      </c>
      <c r="J18" s="4218" t="str">
        <f>+'15. ОПП'!$C$7</f>
        <v>2027 г.</v>
      </c>
      <c r="K18" s="4218" t="str">
        <f>+'15. ОПП'!$D$7</f>
        <v>2028 г.</v>
      </c>
      <c r="L18" s="4218" t="str">
        <f>+'15. ОПП'!$E$7</f>
        <v>2029 г.</v>
      </c>
      <c r="M18" s="4218" t="str">
        <f>+'15. ОПП'!$F$7</f>
        <v>2030 г.</v>
      </c>
      <c r="N18" s="4218" t="str">
        <f>+'15. ОПП'!$G$7</f>
        <v>2031 г.</v>
      </c>
      <c r="O18" s="4219" t="s">
        <v>1595</v>
      </c>
      <c r="P18" s="3433" t="s">
        <v>1733</v>
      </c>
      <c r="Q18" s="3433" t="s">
        <v>1734</v>
      </c>
      <c r="S18" s="4229" t="s">
        <v>1672</v>
      </c>
      <c r="T18" s="3526">
        <f>'12. Разходи'!BJ93</f>
        <v>1881.3981517546597</v>
      </c>
      <c r="U18" s="3526">
        <f>'12. Разходи'!BK93</f>
        <v>2500.8567526393313</v>
      </c>
      <c r="V18" s="3526">
        <f>'12. Разходи'!BL93</f>
        <v>2666.5958121280155</v>
      </c>
      <c r="W18" s="3526">
        <f>'12. Разходи'!BM93</f>
        <v>2852.2059137905667</v>
      </c>
      <c r="X18" s="3526">
        <f>'12. Разходи'!BN93</f>
        <v>3110.5161466011905</v>
      </c>
      <c r="Y18" s="3526">
        <f>'12. Разходи'!BO93</f>
        <v>3326.8015786930946</v>
      </c>
      <c r="Z18" s="4227">
        <f t="shared" si="1"/>
        <v>0.32925439004335266</v>
      </c>
      <c r="AA18" s="4227">
        <f t="shared" si="22"/>
        <v>0.33026474834357678</v>
      </c>
      <c r="AC18" s="4247" t="s">
        <v>546</v>
      </c>
      <c r="AD18" s="3487">
        <f>'15. ОПП'!I46</f>
        <v>551.74821086167071</v>
      </c>
      <c r="AE18" s="3487">
        <f>'15. ОПП'!J46</f>
        <v>1246.3095645076669</v>
      </c>
      <c r="AF18" s="3487">
        <f>'15. ОПП'!K46</f>
        <v>2939.7499081624305</v>
      </c>
      <c r="AG18" s="3487">
        <f>'15. ОПП'!L46</f>
        <v>5042.7012395968832</v>
      </c>
      <c r="AH18" s="3487">
        <f>'15. ОПП'!M46</f>
        <v>7062.8614210430769</v>
      </c>
      <c r="AI18" s="3487">
        <f>'15. ОПП'!N46</f>
        <v>9312.4165180699729</v>
      </c>
      <c r="AK18" s="3408" t="s">
        <v>305</v>
      </c>
      <c r="AL18" s="3409">
        <f t="shared" ref="AL18:AP18" si="23">AL13-AL14+AL15+AL16+AL17</f>
        <v>1342.0851202962538</v>
      </c>
      <c r="AM18" s="3409">
        <f t="shared" si="23"/>
        <v>2529.8330923425892</v>
      </c>
      <c r="AN18" s="3409">
        <f t="shared" si="23"/>
        <v>3602.8159314707482</v>
      </c>
      <c r="AO18" s="3409">
        <f t="shared" si="23"/>
        <v>3716.4705238178772</v>
      </c>
      <c r="AP18" s="3409">
        <f t="shared" si="23"/>
        <v>3820.0373759569866</v>
      </c>
      <c r="AR18" s="3515" t="s">
        <v>296</v>
      </c>
      <c r="AS18" s="3252">
        <f>'16. Необходими приходи'!K24</f>
        <v>1582.5444338425361</v>
      </c>
      <c r="AT18" s="3252">
        <f>'16. Необходими приходи'!L24</f>
        <v>1710.1513030149304</v>
      </c>
      <c r="AU18" s="3252">
        <f>'16. Необходими приходи'!M24</f>
        <v>1778.0234329866275</v>
      </c>
      <c r="AV18" s="3252">
        <f>'16. Необходими приходи'!N24</f>
        <v>1973.1184049350686</v>
      </c>
      <c r="AW18" s="3252">
        <f>'16. Необходими приходи'!O24</f>
        <v>2078.5741832518747</v>
      </c>
    </row>
    <row r="19" spans="1:49" ht="15.75" customHeight="1">
      <c r="A19" s="4234" t="s">
        <v>222</v>
      </c>
      <c r="B19" s="3526">
        <f>'11. Амортиз. план'!AQ258</f>
        <v>35985.74518235225</v>
      </c>
      <c r="C19" s="3526">
        <f>'11. Амортиз. план'!AS258</f>
        <v>33706.405975979505</v>
      </c>
      <c r="D19" s="3526">
        <f>'11. Амортиз. план'!AT258</f>
        <v>32568.67416902287</v>
      </c>
      <c r="E19" s="3526">
        <f>'11. Амортиз. план'!AU258</f>
        <v>31438.427675206945</v>
      </c>
      <c r="F19" s="3526">
        <f>'11. Амортиз. план'!AV258</f>
        <v>30309.612798658371</v>
      </c>
      <c r="G19" s="3526">
        <f>'11. Амортиз. план'!AW258</f>
        <v>29180.797922109796</v>
      </c>
      <c r="I19" s="4222" t="s">
        <v>207</v>
      </c>
      <c r="J19" s="4223">
        <f>J27</f>
        <v>3058.1113235812927</v>
      </c>
      <c r="K19" s="4223">
        <f t="shared" ref="K19:N19" si="24">K27</f>
        <v>4841.5719873404132</v>
      </c>
      <c r="L19" s="4223">
        <f t="shared" si="24"/>
        <v>4841.2311260862834</v>
      </c>
      <c r="M19" s="4223">
        <f t="shared" si="24"/>
        <v>868.3781310236576</v>
      </c>
      <c r="N19" s="4223">
        <f t="shared" si="24"/>
        <v>853.00528846235773</v>
      </c>
      <c r="O19" s="3644">
        <f>SUM(J19:N19)</f>
        <v>14462.297856494004</v>
      </c>
      <c r="P19" s="3526">
        <f>O28</f>
        <v>12832.640200494592</v>
      </c>
      <c r="Q19" s="3526">
        <f>O29</f>
        <v>1629.6576559994137</v>
      </c>
      <c r="S19" s="4248" t="s">
        <v>1671</v>
      </c>
      <c r="T19" s="4231">
        <f>'12. Разходи'!BJ94</f>
        <v>621.73092753460173</v>
      </c>
      <c r="U19" s="4231">
        <f>'12. Разходи'!BK94</f>
        <v>826.43856485109484</v>
      </c>
      <c r="V19" s="4231">
        <f>'12. Разходи'!BL94</f>
        <v>0</v>
      </c>
      <c r="W19" s="4231">
        <f>'12. Разходи'!BM94</f>
        <v>0</v>
      </c>
      <c r="X19" s="4231">
        <f>'12. Разходи'!BN94</f>
        <v>0</v>
      </c>
      <c r="Y19" s="4231">
        <f>'12. Разходи'!BO94</f>
        <v>0</v>
      </c>
      <c r="Z19" s="4227">
        <f t="shared" si="1"/>
        <v>0.32925439004335255</v>
      </c>
      <c r="AA19" s="4227">
        <f t="shared" si="22"/>
        <v>-1</v>
      </c>
      <c r="AK19" s="5449" t="s">
        <v>1926</v>
      </c>
      <c r="AL19" s="5450" t="str">
        <f>T45</f>
        <v>Пречистване на отпадъчните води</v>
      </c>
      <c r="AM19" s="5451"/>
      <c r="AN19" s="5451"/>
      <c r="AO19" s="5451"/>
      <c r="AP19" s="5451"/>
      <c r="AR19" s="3515" t="s">
        <v>1788</v>
      </c>
      <c r="AS19" s="3252">
        <f>'12. Разходи'!BY17</f>
        <v>351.41472637233295</v>
      </c>
      <c r="AT19" s="3252">
        <f>'12. Разходи'!BZ17</f>
        <v>351.41472637233295</v>
      </c>
      <c r="AU19" s="3252">
        <f>'12. Разходи'!CA17</f>
        <v>351.41472637233295</v>
      </c>
      <c r="AV19" s="3252">
        <f>'12. Разходи'!CB17</f>
        <v>408.25120348905585</v>
      </c>
      <c r="AW19" s="3252">
        <f>'12. Разходи'!CC17</f>
        <v>408.25120348905585</v>
      </c>
    </row>
    <row r="20" spans="1:49" ht="15.75" customHeight="1">
      <c r="A20" s="2" t="s">
        <v>174</v>
      </c>
      <c r="B20" s="11"/>
      <c r="C20" s="11"/>
      <c r="D20" s="11"/>
      <c r="E20" s="11"/>
      <c r="F20" s="11"/>
      <c r="G20" s="3393" t="s">
        <v>1912</v>
      </c>
      <c r="I20" s="4222" t="s">
        <v>208</v>
      </c>
      <c r="J20" s="4223">
        <f>J30</f>
        <v>743.0443136673432</v>
      </c>
      <c r="K20" s="4223">
        <f t="shared" ref="K20:N20" si="25">K30</f>
        <v>1238.1120649545207</v>
      </c>
      <c r="L20" s="4223">
        <f t="shared" si="25"/>
        <v>1145.2273732038743</v>
      </c>
      <c r="M20" s="4223">
        <f t="shared" si="25"/>
        <v>173.53246447799654</v>
      </c>
      <c r="N20" s="4223">
        <f t="shared" si="25"/>
        <v>180.65646468933051</v>
      </c>
      <c r="O20" s="3644">
        <f>SUM(J20:N20)</f>
        <v>3480.5726809930657</v>
      </c>
      <c r="P20" s="3526">
        <f>O31</f>
        <v>3451.2586131378157</v>
      </c>
      <c r="Q20" s="3526">
        <f>O32</f>
        <v>29.314067855249856</v>
      </c>
      <c r="S20" s="4229" t="s">
        <v>1674</v>
      </c>
      <c r="T20" s="3526">
        <f>'12. Разходи'!BJ90</f>
        <v>1424.4192746813376</v>
      </c>
      <c r="U20" s="3526">
        <f>'12. Разходи'!BK90</f>
        <v>1851.7450570857386</v>
      </c>
      <c r="V20" s="3526">
        <f>'12. Разходи'!BL90</f>
        <v>1944.3323099400252</v>
      </c>
      <c r="W20" s="3526">
        <f>'12. Разходи'!BM90</f>
        <v>2002.6622792382263</v>
      </c>
      <c r="X20" s="3526">
        <f>'12. Разходи'!BN90</f>
        <v>1902.5291652763149</v>
      </c>
      <c r="Y20" s="3526">
        <f>'12. Разходи'!BO90</f>
        <v>1826.4279986652625</v>
      </c>
      <c r="Z20" s="4227">
        <f t="shared" si="1"/>
        <v>0.29999999999999982</v>
      </c>
      <c r="AA20" s="4227">
        <f t="shared" si="22"/>
        <v>-1.3671999999999929E-2</v>
      </c>
      <c r="AK20" s="5449"/>
      <c r="AL20" s="4224" t="s">
        <v>1778</v>
      </c>
      <c r="AM20" s="4224" t="s">
        <v>1779</v>
      </c>
      <c r="AN20" s="4224" t="s">
        <v>1780</v>
      </c>
      <c r="AO20" s="4224" t="s">
        <v>1781</v>
      </c>
      <c r="AP20" s="4224" t="s">
        <v>1782</v>
      </c>
      <c r="AR20" s="3488" t="s">
        <v>297</v>
      </c>
      <c r="AS20" s="3489">
        <f>AS17+AS18</f>
        <v>1704.783490817885</v>
      </c>
      <c r="AT20" s="3489">
        <f>AT17+AT18</f>
        <v>1931.7799700874789</v>
      </c>
      <c r="AU20" s="3489">
        <f>AU17+AU18</f>
        <v>2091.2122013717376</v>
      </c>
      <c r="AV20" s="3489">
        <f>AV17+AV18</f>
        <v>2287.4951767890811</v>
      </c>
      <c r="AW20" s="3489">
        <f>AW17+AW18</f>
        <v>2391.1168100693894</v>
      </c>
    </row>
    <row r="21" spans="1:49" ht="15.75" customHeight="1">
      <c r="A21" s="5467" t="s">
        <v>87</v>
      </c>
      <c r="B21" s="5460" t="s">
        <v>174</v>
      </c>
      <c r="C21" s="5460"/>
      <c r="D21" s="5460"/>
      <c r="E21" s="5460"/>
      <c r="F21" s="5460"/>
      <c r="G21" s="5460"/>
      <c r="I21" s="4222" t="s">
        <v>209</v>
      </c>
      <c r="J21" s="4223">
        <f>J33</f>
        <v>756.65550891437397</v>
      </c>
      <c r="K21" s="4223">
        <f t="shared" ref="K21:N21" si="26">K33</f>
        <v>1326.1781893109319</v>
      </c>
      <c r="L21" s="4223">
        <f t="shared" si="26"/>
        <v>1270.1065130064133</v>
      </c>
      <c r="M21" s="4223">
        <f t="shared" si="26"/>
        <v>164.32921061646459</v>
      </c>
      <c r="N21" s="4223">
        <f t="shared" si="26"/>
        <v>167.87416765942507</v>
      </c>
      <c r="O21" s="3644">
        <f>SUM(J21:N21)</f>
        <v>3685.1435895076088</v>
      </c>
      <c r="P21" s="3526">
        <f>O34</f>
        <v>3657.8746891771439</v>
      </c>
      <c r="Q21" s="3526">
        <f>O35</f>
        <v>27.268900330464984</v>
      </c>
      <c r="S21" s="4229" t="s">
        <v>1232</v>
      </c>
      <c r="T21" s="3526">
        <f>'12. Разходи'!BJ89</f>
        <v>4290.9385412568145</v>
      </c>
      <c r="U21" s="3526">
        <f>'12. Разходи'!BK89</f>
        <v>4926.6504669587848</v>
      </c>
      <c r="V21" s="3526">
        <f>'12. Разходи'!BL89</f>
        <v>4908.9506559194824</v>
      </c>
      <c r="W21" s="3526">
        <f>'12. Разходи'!BM89</f>
        <v>4891.5047491510004</v>
      </c>
      <c r="X21" s="3526">
        <f>'12. Разходи'!BN89</f>
        <v>5012.4657150907797</v>
      </c>
      <c r="Y21" s="3526">
        <f>'12. Разходи'!BO89</f>
        <v>4994.8024258454971</v>
      </c>
      <c r="Z21" s="4227">
        <f t="shared" si="1"/>
        <v>0.14815218619182799</v>
      </c>
      <c r="AA21" s="4227">
        <f t="shared" si="22"/>
        <v>1.383332536858097E-2</v>
      </c>
      <c r="AK21" s="3407" t="s">
        <v>547</v>
      </c>
      <c r="AL21" s="3514">
        <f>'17. РБА'!I38</f>
        <v>1250.9608026600813</v>
      </c>
      <c r="AM21" s="3514">
        <f>'17. РБА'!J38</f>
        <v>2007.6163115744553</v>
      </c>
      <c r="AN21" s="3514">
        <f>'17. РБА'!K38</f>
        <v>3333.7945008853872</v>
      </c>
      <c r="AO21" s="3514">
        <f>'17. РБА'!L38</f>
        <v>4603.9010138918002</v>
      </c>
      <c r="AP21" s="3514">
        <f>'17. РБА'!M38</f>
        <v>4768.2302245082647</v>
      </c>
      <c r="AR21" s="5449" t="s">
        <v>1926</v>
      </c>
      <c r="AS21" s="5457" t="str">
        <f>AL27</f>
        <v>Доставяне на вода с непитейни качества</v>
      </c>
      <c r="AT21" s="5458"/>
      <c r="AU21" s="5458"/>
      <c r="AV21" s="5458"/>
      <c r="AW21" s="5459"/>
    </row>
    <row r="22" spans="1:49" ht="15.75" customHeight="1">
      <c r="A22" s="5467"/>
      <c r="B22" s="4218" t="str">
        <f>+'15. ОПП'!$B$7</f>
        <v>2024 г.</v>
      </c>
      <c r="C22" s="4218" t="str">
        <f>+'15. ОПП'!$C$7</f>
        <v>2027 г.</v>
      </c>
      <c r="D22" s="4218" t="str">
        <f>+'15. ОПП'!$D$7</f>
        <v>2028 г.</v>
      </c>
      <c r="E22" s="4218" t="str">
        <f>+'15. ОПП'!$E$7</f>
        <v>2029 г.</v>
      </c>
      <c r="F22" s="4218" t="str">
        <f>+'15. ОПП'!$F$7</f>
        <v>2030 г.</v>
      </c>
      <c r="G22" s="4218" t="str">
        <f>+'15. ОПП'!$G$7</f>
        <v>2031 г.</v>
      </c>
      <c r="I22" s="4222" t="s">
        <v>1029</v>
      </c>
      <c r="J22" s="4223">
        <f>J36</f>
        <v>0</v>
      </c>
      <c r="K22" s="4223">
        <f t="shared" ref="K22:N22" si="27">K36</f>
        <v>0</v>
      </c>
      <c r="L22" s="4223">
        <f t="shared" si="27"/>
        <v>0</v>
      </c>
      <c r="M22" s="4223">
        <f t="shared" si="27"/>
        <v>0</v>
      </c>
      <c r="N22" s="4223">
        <f t="shared" si="27"/>
        <v>0</v>
      </c>
      <c r="O22" s="3644">
        <f t="shared" ref="O22:O23" si="28">SUM(J22:N22)</f>
        <v>0</v>
      </c>
      <c r="P22" s="3526">
        <f>O37</f>
        <v>0</v>
      </c>
      <c r="Q22" s="3526">
        <f>O38</f>
        <v>0</v>
      </c>
      <c r="T22" s="11"/>
      <c r="U22" s="11"/>
      <c r="V22" s="11"/>
      <c r="W22" s="11"/>
      <c r="X22" s="11"/>
      <c r="Y22" s="11"/>
      <c r="Z22" s="11"/>
      <c r="AA22" s="11"/>
      <c r="AK22" s="3407" t="s">
        <v>548</v>
      </c>
      <c r="AL22" s="3514">
        <f>'17. РБА'!I41</f>
        <v>669.76701946871663</v>
      </c>
      <c r="AM22" s="3514">
        <f>'17. РБА'!J41</f>
        <v>742.7840034404561</v>
      </c>
      <c r="AN22" s="3514">
        <f>'17. РБА'!K41</f>
        <v>860.95136476270352</v>
      </c>
      <c r="AO22" s="3514">
        <f>'17. РБА'!L41</f>
        <v>1036.3510383567459</v>
      </c>
      <c r="AP22" s="3514">
        <f>'17. РБА'!M41</f>
        <v>1241.9816451135675</v>
      </c>
      <c r="AR22" s="5449"/>
      <c r="AS22" s="4224" t="s">
        <v>1778</v>
      </c>
      <c r="AT22" s="4224" t="s">
        <v>1779</v>
      </c>
      <c r="AU22" s="4224" t="s">
        <v>1780</v>
      </c>
      <c r="AV22" s="4224" t="s">
        <v>1781</v>
      </c>
      <c r="AW22" s="4224" t="s">
        <v>1782</v>
      </c>
    </row>
    <row r="23" spans="1:49" ht="15.75" customHeight="1">
      <c r="A23" s="5466" t="s">
        <v>1658</v>
      </c>
      <c r="B23" s="5466"/>
      <c r="C23" s="5466"/>
      <c r="D23" s="5466"/>
      <c r="E23" s="5466"/>
      <c r="F23" s="5466"/>
      <c r="G23" s="5466"/>
      <c r="I23" s="4222" t="s">
        <v>1092</v>
      </c>
      <c r="J23" s="4223">
        <f>J39</f>
        <v>0</v>
      </c>
      <c r="K23" s="4223">
        <f t="shared" ref="K23:N23" si="29">K39</f>
        <v>0</v>
      </c>
      <c r="L23" s="4223">
        <f t="shared" si="29"/>
        <v>0</v>
      </c>
      <c r="M23" s="4223">
        <f t="shared" si="29"/>
        <v>0</v>
      </c>
      <c r="N23" s="4223">
        <f t="shared" si="29"/>
        <v>0</v>
      </c>
      <c r="O23" s="3644">
        <f t="shared" si="28"/>
        <v>0</v>
      </c>
      <c r="P23" s="3526">
        <f>O40</f>
        <v>0</v>
      </c>
      <c r="Q23" s="3526">
        <f>O41</f>
        <v>0</v>
      </c>
      <c r="S23" s="2" t="s">
        <v>1682</v>
      </c>
      <c r="T23" s="11"/>
      <c r="U23" s="11"/>
      <c r="V23" s="11"/>
      <c r="W23" s="11"/>
      <c r="X23" s="11"/>
      <c r="Y23" s="11"/>
      <c r="Z23" s="11"/>
      <c r="AA23" s="11"/>
      <c r="AK23" s="3407" t="s">
        <v>549</v>
      </c>
      <c r="AL23" s="3514">
        <f>'17. РБА'!I44</f>
        <v>0</v>
      </c>
      <c r="AM23" s="3514">
        <f>'17. РБА'!J44</f>
        <v>0</v>
      </c>
      <c r="AN23" s="3514">
        <f>'17. РБА'!K44</f>
        <v>0</v>
      </c>
      <c r="AO23" s="3514">
        <f>'17. РБА'!L44</f>
        <v>0</v>
      </c>
      <c r="AP23" s="3514">
        <f>'17. РБА'!M44</f>
        <v>0</v>
      </c>
      <c r="AR23" s="3515" t="s">
        <v>294</v>
      </c>
      <c r="AS23" s="3252">
        <f>'16. Необходими приходи'!K34</f>
        <v>0</v>
      </c>
      <c r="AT23" s="3252">
        <f>'16. Необходими приходи'!L34</f>
        <v>0</v>
      </c>
      <c r="AU23" s="3252">
        <f>'16. Необходими приходи'!M34</f>
        <v>0</v>
      </c>
      <c r="AV23" s="3252">
        <f>'16. Необходими приходи'!N34</f>
        <v>0</v>
      </c>
      <c r="AW23" s="3252">
        <f>'16. Необходими приходи'!O34</f>
        <v>0</v>
      </c>
    </row>
    <row r="24" spans="1:49" ht="15.75" customHeight="1">
      <c r="A24" s="4228" t="s">
        <v>334</v>
      </c>
      <c r="B24" s="3644">
        <f>'11. Амортиз. план'!AX10</f>
        <v>1040.4789782343046</v>
      </c>
      <c r="C24" s="3644">
        <f>'11. Амортиз. план'!AZ10</f>
        <v>1185.3450112398998</v>
      </c>
      <c r="D24" s="3644">
        <f>'11. Амортиз. план'!BA10</f>
        <v>1189.2649156624041</v>
      </c>
      <c r="E24" s="3644">
        <f>'11. Амортиз. план'!BB10</f>
        <v>1193.1848200849086</v>
      </c>
      <c r="F24" s="3644">
        <f>'11. Амортиз. план'!BC10</f>
        <v>1197.1047245074128</v>
      </c>
      <c r="G24" s="3644">
        <f>'11. Амортиз. план'!BD10</f>
        <v>1201.0246289299171</v>
      </c>
      <c r="I24" s="4232" t="s">
        <v>1028</v>
      </c>
      <c r="J24" s="4233">
        <f>SUM(J19:J23)</f>
        <v>4557.8111461630097</v>
      </c>
      <c r="K24" s="4233">
        <f t="shared" ref="K24:O24" si="30">SUM(K19:K23)</f>
        <v>7405.8622416058661</v>
      </c>
      <c r="L24" s="4233">
        <f t="shared" si="30"/>
        <v>7256.5650122965717</v>
      </c>
      <c r="M24" s="4233">
        <f t="shared" si="30"/>
        <v>1206.2398061181188</v>
      </c>
      <c r="N24" s="4233">
        <f t="shared" si="30"/>
        <v>1201.5359208111131</v>
      </c>
      <c r="O24" s="4233">
        <f t="shared" si="30"/>
        <v>21628.01412699468</v>
      </c>
      <c r="P24" s="3644">
        <f>O43</f>
        <v>19941.773502809552</v>
      </c>
      <c r="Q24" s="3644">
        <f>O44</f>
        <v>1686.2406241851286</v>
      </c>
      <c r="S24" s="5460" t="s">
        <v>1922</v>
      </c>
      <c r="T24" s="5460" t="s">
        <v>208</v>
      </c>
      <c r="U24" s="5460"/>
      <c r="V24" s="5460"/>
      <c r="W24" s="5460"/>
      <c r="X24" s="5460"/>
      <c r="Y24" s="5460"/>
      <c r="Z24" s="5404" t="str">
        <f>+Z3</f>
        <v>Изменение 2027 г. спр. 2024 г.</v>
      </c>
      <c r="AA24" s="5404" t="str">
        <f>+AA3</f>
        <v>Изменение 2031 г. спр. 2027 г.</v>
      </c>
      <c r="AK24" s="3407" t="s">
        <v>329</v>
      </c>
      <c r="AL24" s="3521">
        <f>'17. РБА'!I47</f>
        <v>756.65550891437385</v>
      </c>
      <c r="AM24" s="3521">
        <f>'17. РБА'!J47</f>
        <v>1326.1781893109319</v>
      </c>
      <c r="AN24" s="3521">
        <f>'17. РБА'!K47</f>
        <v>1270.1065130064133</v>
      </c>
      <c r="AO24" s="3521">
        <f>'17. РБА'!L47</f>
        <v>164.32921061646462</v>
      </c>
      <c r="AP24" s="3521">
        <f>'17. РБА'!M47</f>
        <v>167.87416765942507</v>
      </c>
      <c r="AR24" s="3515" t="s">
        <v>296</v>
      </c>
      <c r="AS24" s="3252">
        <f>'16. Необходими приходи'!K35</f>
        <v>0</v>
      </c>
      <c r="AT24" s="3252">
        <f>'16. Необходими приходи'!L35</f>
        <v>0</v>
      </c>
      <c r="AU24" s="3252">
        <f>'16. Необходими приходи'!M35</f>
        <v>0</v>
      </c>
      <c r="AV24" s="3252">
        <f>'16. Необходими приходи'!N35</f>
        <v>0</v>
      </c>
      <c r="AW24" s="3252">
        <f>'16. Необходими приходи'!O35</f>
        <v>0</v>
      </c>
    </row>
    <row r="25" spans="1:49" ht="15.75" customHeight="1">
      <c r="A25" s="4230" t="s">
        <v>218</v>
      </c>
      <c r="B25" s="4231">
        <f>'11. Амортиз. план'!AX35</f>
        <v>16.361340198278992</v>
      </c>
      <c r="C25" s="4231">
        <f>'11. Амортиз. план'!AZ35</f>
        <v>28.994719709024427</v>
      </c>
      <c r="D25" s="4231">
        <f>'11. Амортиз. план'!BA35</f>
        <v>29.096078635253164</v>
      </c>
      <c r="E25" s="4231">
        <f>'11. Амортиз. план'!BB35</f>
        <v>-6.2864963878787341</v>
      </c>
      <c r="F25" s="4231">
        <f>'11. Амортиз. план'!BC35</f>
        <v>-6.5655440425547571</v>
      </c>
      <c r="G25" s="4231">
        <f>'11. Амортиз. план'!BD35</f>
        <v>-6.6966635608024658</v>
      </c>
      <c r="I25" s="1301" t="s">
        <v>1635</v>
      </c>
      <c r="J25" s="4249"/>
      <c r="K25" s="4249"/>
      <c r="L25" s="4249"/>
      <c r="M25" s="4249"/>
      <c r="N25" s="4249"/>
      <c r="O25" s="4249"/>
      <c r="P25" s="3393" t="s">
        <v>1912</v>
      </c>
      <c r="Q25" s="3393"/>
      <c r="S25" s="5460"/>
      <c r="T25" s="4214" t="str">
        <f t="shared" ref="T25:Y25" si="31">T4</f>
        <v>2024 г.</v>
      </c>
      <c r="U25" s="4214" t="str">
        <f t="shared" si="31"/>
        <v>2027 г.</v>
      </c>
      <c r="V25" s="4214" t="str">
        <f t="shared" si="31"/>
        <v>2028 г.</v>
      </c>
      <c r="W25" s="4214" t="str">
        <f t="shared" si="31"/>
        <v>2029 г.</v>
      </c>
      <c r="X25" s="4214" t="str">
        <f t="shared" si="31"/>
        <v>2030 г.</v>
      </c>
      <c r="Y25" s="4214" t="str">
        <f t="shared" si="31"/>
        <v>2031 г.</v>
      </c>
      <c r="Z25" s="5404"/>
      <c r="AA25" s="5404"/>
      <c r="AK25" s="3407" t="s">
        <v>306</v>
      </c>
      <c r="AL25" s="3514">
        <f>'17. РБА'!I48</f>
        <v>220.88053614325531</v>
      </c>
      <c r="AM25" s="3514">
        <f>'17. РБА'!J48</f>
        <v>235.08471883863066</v>
      </c>
      <c r="AN25" s="3514">
        <f>'17. РБА'!K48</f>
        <v>250.67307043167256</v>
      </c>
      <c r="AO25" s="3514">
        <f>'17. РБА'!L48</f>
        <v>276.89234499911032</v>
      </c>
      <c r="AP25" s="3514">
        <f>'17. РБА'!M48</f>
        <v>291.26070627207821</v>
      </c>
      <c r="AR25" s="3515" t="s">
        <v>1788</v>
      </c>
      <c r="AS25" s="3252">
        <f>'12. Разходи'!CF17</f>
        <v>0</v>
      </c>
      <c r="AT25" s="3252">
        <f>'12. Разходи'!CG17</f>
        <v>0</v>
      </c>
      <c r="AU25" s="3252">
        <f>'12. Разходи'!CH17</f>
        <v>0</v>
      </c>
      <c r="AV25" s="3252">
        <f>'12. Разходи'!CI17</f>
        <v>0</v>
      </c>
      <c r="AW25" s="3252">
        <f>'12. Разходи'!CJ17</f>
        <v>0</v>
      </c>
    </row>
    <row r="26" spans="1:49" ht="15.75" customHeight="1">
      <c r="A26" s="4234" t="s">
        <v>220</v>
      </c>
      <c r="B26" s="3526">
        <f>'11. Амортиз. план'!AX60</f>
        <v>862.03811169682433</v>
      </c>
      <c r="C26" s="3526">
        <f>'11. Амортиз. план'!AZ60</f>
        <v>914.04675803802047</v>
      </c>
      <c r="D26" s="3526">
        <f>'11. Амортиз. план'!BA60</f>
        <v>943.14283667327345</v>
      </c>
      <c r="E26" s="3526">
        <f>'11. Амортиз. план'!BB60</f>
        <v>936.85634028539494</v>
      </c>
      <c r="F26" s="3526">
        <f>'11. Амортиз. план'!BC60</f>
        <v>930.29079624284009</v>
      </c>
      <c r="G26" s="3526">
        <f>'11. Амортиз. план'!BD60</f>
        <v>923.59413268203707</v>
      </c>
      <c r="I26" s="4250" t="s">
        <v>1495</v>
      </c>
      <c r="J26" s="4218" t="str">
        <f>+'15. ОПП'!$C$7</f>
        <v>2027 г.</v>
      </c>
      <c r="K26" s="4218" t="str">
        <f>+'15. ОПП'!$D$7</f>
        <v>2028 г.</v>
      </c>
      <c r="L26" s="4218" t="str">
        <f>+'15. ОПП'!$E$7</f>
        <v>2029 г.</v>
      </c>
      <c r="M26" s="4218" t="str">
        <f>+'15. ОПП'!$F$7</f>
        <v>2030 г.</v>
      </c>
      <c r="N26" s="4218" t="str">
        <f>+'15. ОПП'!$G$7</f>
        <v>2031 г.</v>
      </c>
      <c r="O26" s="4218" t="s">
        <v>1595</v>
      </c>
      <c r="P26" s="4218" t="s">
        <v>1596</v>
      </c>
      <c r="Q26" s="4244"/>
      <c r="S26" s="4229" t="s">
        <v>226</v>
      </c>
      <c r="T26" s="3526">
        <f>'12. Разходи'!BQ11</f>
        <v>65.139470112842119</v>
      </c>
      <c r="U26" s="3526">
        <f>'12. Разходи'!BR11</f>
        <v>76.76616461226179</v>
      </c>
      <c r="V26" s="3526">
        <f>'12. Разходи'!BS11</f>
        <v>77.43579124136555</v>
      </c>
      <c r="W26" s="3526">
        <f>'12. Разходи'!BT11</f>
        <v>77.910175919737441</v>
      </c>
      <c r="X26" s="3526">
        <f>'12. Разходи'!BU11</f>
        <v>100.83719642851884</v>
      </c>
      <c r="Y26" s="3526">
        <f>'12. Разходи'!BV11</f>
        <v>100.52422601283261</v>
      </c>
      <c r="Z26" s="4227">
        <f>IFERROR((U26-T26)/T26,0)</f>
        <v>0.17848923976935285</v>
      </c>
      <c r="AA26" s="4227">
        <f t="shared" ref="AA26:AA36" si="32">IFERROR((Y26-U26)/U26,0)</f>
        <v>0.30948610654929049</v>
      </c>
      <c r="AK26" s="3408" t="s">
        <v>305</v>
      </c>
      <c r="AL26" s="3409">
        <f t="shared" ref="AL26:AP26" si="33">AL21-AL22+AL23+AL24+AL25</f>
        <v>1558.729828248994</v>
      </c>
      <c r="AM26" s="3409">
        <f t="shared" si="33"/>
        <v>2826.0952162835615</v>
      </c>
      <c r="AN26" s="3409">
        <f t="shared" si="33"/>
        <v>3993.6227195607689</v>
      </c>
      <c r="AO26" s="3409">
        <f t="shared" si="33"/>
        <v>4008.771531150629</v>
      </c>
      <c r="AP26" s="3409">
        <f t="shared" si="33"/>
        <v>3985.3834533262002</v>
      </c>
      <c r="AR26" s="3488" t="s">
        <v>297</v>
      </c>
      <c r="AS26" s="3489">
        <f>AS23+AS24</f>
        <v>0</v>
      </c>
      <c r="AT26" s="3489">
        <f>AT23+AT24</f>
        <v>0</v>
      </c>
      <c r="AU26" s="3489">
        <f>AU23+AU24</f>
        <v>0</v>
      </c>
      <c r="AV26" s="3489">
        <f>AV23+AV24</f>
        <v>0</v>
      </c>
      <c r="AW26" s="3489">
        <f>AW23+AW24</f>
        <v>0</v>
      </c>
    </row>
    <row r="27" spans="1:49" ht="15.75" customHeight="1">
      <c r="A27" s="4234" t="s">
        <v>222</v>
      </c>
      <c r="B27" s="3526">
        <f>'11. Амортиз. план'!AX85</f>
        <v>178.44086653748025</v>
      </c>
      <c r="C27" s="3526">
        <f>'11. Амортиз. план'!AZ85</f>
        <v>271.29825320187962</v>
      </c>
      <c r="D27" s="3526">
        <f>'11. Амортиз. план'!BA85</f>
        <v>246.12207898913078</v>
      </c>
      <c r="E27" s="3526">
        <f>'11. Амортиз. план'!BB85</f>
        <v>256.32847979951384</v>
      </c>
      <c r="F27" s="3526">
        <f>'11. Амортиз. план'!BC85</f>
        <v>266.81392826457301</v>
      </c>
      <c r="G27" s="3526">
        <f>'11. Амортиз. план'!BD85</f>
        <v>277.43049624787983</v>
      </c>
      <c r="I27" s="3519" t="str">
        <f>'9.Инвестиционна програма'!E140</f>
        <v>Доставяне на вода на потребителите</v>
      </c>
      <c r="J27" s="3644">
        <f>SUM(J28:J29)</f>
        <v>3058.1113235812927</v>
      </c>
      <c r="K27" s="3644">
        <f t="shared" ref="K27:N27" si="34">SUM(K28:K29)</f>
        <v>4841.5719873404132</v>
      </c>
      <c r="L27" s="3644">
        <f t="shared" si="34"/>
        <v>4841.2311260862834</v>
      </c>
      <c r="M27" s="3644">
        <f t="shared" si="34"/>
        <v>868.3781310236576</v>
      </c>
      <c r="N27" s="3644">
        <f t="shared" si="34"/>
        <v>853.00528846235773</v>
      </c>
      <c r="O27" s="3644">
        <f>SUM(J27:N27)</f>
        <v>14462.297856494004</v>
      </c>
      <c r="P27" s="3505">
        <f t="shared" ref="P27:P44" si="35">IFERROR(O27/$O$42,0)</f>
        <v>0.66868357730741002</v>
      </c>
      <c r="Q27" s="4251"/>
      <c r="S27" s="4229" t="s">
        <v>239</v>
      </c>
      <c r="T27" s="3526">
        <f>'12. Разходи'!BQ29</f>
        <v>226.74336215315239</v>
      </c>
      <c r="U27" s="3526">
        <f>'12. Разходи'!BR29</f>
        <v>289.12170843069185</v>
      </c>
      <c r="V27" s="3526">
        <f>'12. Разходи'!BS29</f>
        <v>303.05259483186171</v>
      </c>
      <c r="W27" s="3526">
        <f>'12. Разходи'!BT29</f>
        <v>312.1441726768175</v>
      </c>
      <c r="X27" s="3526">
        <f>'12. Разходи'!BU29</f>
        <v>307.29424832504361</v>
      </c>
      <c r="Y27" s="3526">
        <f>'12. Разходи'!BV29</f>
        <v>297.01112541678333</v>
      </c>
      <c r="Z27" s="4227">
        <f t="shared" ref="Z27:Z42" si="36">IFERROR((U27-T27)/T27,0)</f>
        <v>0.27510550114982596</v>
      </c>
      <c r="AA27" s="4227">
        <f t="shared" si="32"/>
        <v>2.7287528940369152E-2</v>
      </c>
      <c r="AK27" s="5449" t="s">
        <v>1926</v>
      </c>
      <c r="AL27" s="5450" t="str">
        <f>T76</f>
        <v>Доставяне на вода с непитейни качества</v>
      </c>
      <c r="AM27" s="5451"/>
      <c r="AN27" s="5451"/>
      <c r="AO27" s="5451"/>
      <c r="AP27" s="5451"/>
      <c r="AR27" s="5449" t="s">
        <v>1926</v>
      </c>
      <c r="AS27" s="5457" t="str">
        <f>AL35</f>
        <v>Доставяне на вода на друг ВиК оператор</v>
      </c>
      <c r="AT27" s="5458"/>
      <c r="AU27" s="5458"/>
      <c r="AV27" s="5458"/>
      <c r="AW27" s="5459"/>
    </row>
    <row r="28" spans="1:49" ht="15.75" customHeight="1">
      <c r="A28" s="5466" t="s">
        <v>1659</v>
      </c>
      <c r="B28" s="5466"/>
      <c r="C28" s="5466"/>
      <c r="D28" s="5466"/>
      <c r="E28" s="5466"/>
      <c r="F28" s="5466"/>
      <c r="G28" s="5466"/>
      <c r="I28" s="4252" t="s">
        <v>1617</v>
      </c>
      <c r="J28" s="4248">
        <f>'9.Инвестиционна програма'!BC153</f>
        <v>2540.3430785565888</v>
      </c>
      <c r="K28" s="4248">
        <f>'9.Инвестиционна програма'!BD153</f>
        <v>4563.599634596736</v>
      </c>
      <c r="L28" s="4248">
        <f>'9.Инвестиционна програма'!BE153</f>
        <v>4563.2587733426062</v>
      </c>
      <c r="M28" s="4248">
        <f>'9.Инвестиционна програма'!BF153</f>
        <v>590.40577827998015</v>
      </c>
      <c r="N28" s="4248">
        <f>'9.Инвестиционна програма'!BG153</f>
        <v>575.03293571868028</v>
      </c>
      <c r="O28" s="4248">
        <f t="shared" ref="O28:O41" si="37">SUM(J28:N28)</f>
        <v>12832.640200494592</v>
      </c>
      <c r="P28" s="4253">
        <f t="shared" si="35"/>
        <v>0.59333418801857196</v>
      </c>
      <c r="Q28" s="4254"/>
      <c r="S28" s="4229" t="s">
        <v>446</v>
      </c>
      <c r="T28" s="3526">
        <f>'12. Разходи'!BQ55</f>
        <v>90.328232344665281</v>
      </c>
      <c r="U28" s="3526">
        <f>'12. Разходи'!BR55</f>
        <v>266.40682448308837</v>
      </c>
      <c r="V28" s="3526">
        <f>'12. Разходи'!BS55</f>
        <v>279.28604649921357</v>
      </c>
      <c r="W28" s="3526">
        <f>'12. Разходи'!BT55</f>
        <v>180.67740611761982</v>
      </c>
      <c r="X28" s="3526">
        <f>'12. Разходи'!BU55</f>
        <v>251.09285878917535</v>
      </c>
      <c r="Y28" s="3526">
        <f>'12. Разходи'!BV55</f>
        <v>271.32002383177883</v>
      </c>
      <c r="Z28" s="4227">
        <f t="shared" si="36"/>
        <v>1.9493195822382565</v>
      </c>
      <c r="AA28" s="4227">
        <f t="shared" si="32"/>
        <v>1.844246804947126E-2</v>
      </c>
      <c r="AK28" s="5449"/>
      <c r="AL28" s="4224" t="s">
        <v>1778</v>
      </c>
      <c r="AM28" s="4224" t="s">
        <v>1779</v>
      </c>
      <c r="AN28" s="4224" t="s">
        <v>1780</v>
      </c>
      <c r="AO28" s="4224" t="s">
        <v>1781</v>
      </c>
      <c r="AP28" s="4224" t="s">
        <v>1782</v>
      </c>
      <c r="AR28" s="5449"/>
      <c r="AS28" s="4224" t="s">
        <v>1778</v>
      </c>
      <c r="AT28" s="4224" t="s">
        <v>1779</v>
      </c>
      <c r="AU28" s="4224" t="s">
        <v>1780</v>
      </c>
      <c r="AV28" s="4224" t="s">
        <v>1781</v>
      </c>
      <c r="AW28" s="4224" t="s">
        <v>1782</v>
      </c>
    </row>
    <row r="29" spans="1:49" ht="15.75" customHeight="1">
      <c r="A29" s="4228" t="s">
        <v>334</v>
      </c>
      <c r="B29" s="3644">
        <f>'11. Амортиз. план'!AX111</f>
        <v>188.1554122802084</v>
      </c>
      <c r="C29" s="3644">
        <f>'11. Амортиз. план'!AZ111</f>
        <v>987.10097162500495</v>
      </c>
      <c r="D29" s="3644">
        <f>'11. Амортиз. план'!BA111</f>
        <v>2221.2931321570209</v>
      </c>
      <c r="E29" s="3644">
        <f>'11. Амортиз. план'!BB111</f>
        <v>3362.6006009383909</v>
      </c>
      <c r="F29" s="3644">
        <f>'11. Амортиз. план'!BC111</f>
        <v>3532.2131609938833</v>
      </c>
      <c r="G29" s="3644">
        <f>'11. Амортиз. план'!BD111</f>
        <v>3708.9497212607098</v>
      </c>
      <c r="I29" s="4252" t="s">
        <v>1618</v>
      </c>
      <c r="J29" s="4248">
        <f>'9.Инвестиционна програма'!BC147</f>
        <v>517.7682450247039</v>
      </c>
      <c r="K29" s="4248">
        <f>'9.Инвестиционна програма'!BD147</f>
        <v>277.97235274367745</v>
      </c>
      <c r="L29" s="4248">
        <f>'9.Инвестиционна програма'!BE147</f>
        <v>277.97235274367745</v>
      </c>
      <c r="M29" s="4248">
        <f>'9.Инвестиционна програма'!BF147</f>
        <v>277.97235274367745</v>
      </c>
      <c r="N29" s="4248">
        <f>'9.Инвестиционна програма'!BG147</f>
        <v>277.97235274367745</v>
      </c>
      <c r="O29" s="4248">
        <f t="shared" si="37"/>
        <v>1629.6576559994137</v>
      </c>
      <c r="P29" s="4253">
        <f t="shared" si="35"/>
        <v>7.5349389288838178E-2</v>
      </c>
      <c r="Q29" s="4254"/>
      <c r="S29" s="4235" t="s">
        <v>447</v>
      </c>
      <c r="T29" s="4231">
        <f>'12. Разходи'!BQ56</f>
        <v>30.166220990576893</v>
      </c>
      <c r="U29" s="4231">
        <f>'12. Разходи'!BR56</f>
        <v>28.994719709024427</v>
      </c>
      <c r="V29" s="4231">
        <f>'12. Разходи'!BS56</f>
        <v>29.096078635253164</v>
      </c>
      <c r="W29" s="4231">
        <f>'12. Разходи'!BT56</f>
        <v>-6.2864963878787341</v>
      </c>
      <c r="X29" s="4231">
        <f>'12. Разходи'!BU56</f>
        <v>-6.5655440425547571</v>
      </c>
      <c r="Y29" s="4231">
        <f>'12. Разходи'!BV56</f>
        <v>-6.6966635608024658</v>
      </c>
      <c r="Z29" s="4227">
        <f t="shared" si="36"/>
        <v>-3.8834870364385751E-2</v>
      </c>
      <c r="AA29" s="4227">
        <f t="shared" si="32"/>
        <v>-1.2309614863674012</v>
      </c>
      <c r="AK29" s="3407" t="s">
        <v>547</v>
      </c>
      <c r="AL29" s="3514">
        <f>'17. РБА'!I52</f>
        <v>0</v>
      </c>
      <c r="AM29" s="3514">
        <f>'17. РБА'!J52</f>
        <v>0</v>
      </c>
      <c r="AN29" s="3514">
        <f>'17. РБА'!K52</f>
        <v>0</v>
      </c>
      <c r="AO29" s="3514">
        <f>'17. РБА'!L52</f>
        <v>0</v>
      </c>
      <c r="AP29" s="3514">
        <f>'17. РБА'!M52</f>
        <v>0</v>
      </c>
      <c r="AR29" s="3515" t="s">
        <v>294</v>
      </c>
      <c r="AS29" s="3252">
        <f>'16. Необходими приходи'!K40</f>
        <v>0</v>
      </c>
      <c r="AT29" s="3252">
        <f>'16. Необходими приходи'!L40</f>
        <v>0</v>
      </c>
      <c r="AU29" s="3252">
        <f>'16. Необходими приходи'!M40</f>
        <v>0</v>
      </c>
      <c r="AV29" s="3252">
        <f>'16. Необходими приходи'!N40</f>
        <v>0</v>
      </c>
      <c r="AW29" s="3252">
        <f>'16. Необходими приходи'!O40</f>
        <v>0</v>
      </c>
    </row>
    <row r="30" spans="1:49" ht="15.75" customHeight="1">
      <c r="A30" s="4230" t="s">
        <v>218</v>
      </c>
      <c r="B30" s="4231">
        <f>'11. Амортиз. план'!AX131</f>
        <v>13.293588911101681</v>
      </c>
      <c r="C30" s="4231">
        <f>'11. Амортиз. план'!AZ131</f>
        <v>29.612858418296859</v>
      </c>
      <c r="D30" s="4231">
        <f>'11. Амортиз. план'!BA131</f>
        <v>51.133812676648645</v>
      </c>
      <c r="E30" s="4231">
        <f>'11. Амортиз. план'!BB131</f>
        <v>76.40725903444023</v>
      </c>
      <c r="F30" s="4231">
        <f>'11. Амортиз. план'!BC131</f>
        <v>90.051811256797734</v>
      </c>
      <c r="G30" s="4231">
        <f>'11. Амортиз. план'!BD131</f>
        <v>92.09562063320034</v>
      </c>
      <c r="I30" s="3519" t="str">
        <f>'9.Инвестиционна програма'!E141</f>
        <v>Отвеждане на отпадъчните води</v>
      </c>
      <c r="J30" s="3644">
        <f>SUM(J31:J32)</f>
        <v>743.0443136673432</v>
      </c>
      <c r="K30" s="3644">
        <f t="shared" ref="K30:N30" si="38">SUM(K31:K32)</f>
        <v>1238.1120649545207</v>
      </c>
      <c r="L30" s="3644">
        <f t="shared" si="38"/>
        <v>1145.2273732038743</v>
      </c>
      <c r="M30" s="3644">
        <f t="shared" si="38"/>
        <v>173.53246447799654</v>
      </c>
      <c r="N30" s="3644">
        <f t="shared" si="38"/>
        <v>180.65646468933051</v>
      </c>
      <c r="O30" s="3644">
        <f t="shared" ref="O30:O39" si="39">SUM(J30:N30)</f>
        <v>3480.5726809930657</v>
      </c>
      <c r="P30" s="3505">
        <f t="shared" si="35"/>
        <v>0.16092890732158535</v>
      </c>
      <c r="Q30" s="4251"/>
      <c r="S30" s="4235" t="s">
        <v>736</v>
      </c>
      <c r="T30" s="4231">
        <f>'12. Разходи'!BQ57</f>
        <v>7.6693782179432777</v>
      </c>
      <c r="U30" s="4231">
        <f>'12. Разходи'!BR57</f>
        <v>29.612858418296859</v>
      </c>
      <c r="V30" s="4231">
        <f>'12. Разходи'!BS57</f>
        <v>51.133812676648645</v>
      </c>
      <c r="W30" s="4231">
        <f>'12. Разходи'!BT57</f>
        <v>76.40725903444023</v>
      </c>
      <c r="X30" s="4231">
        <f>'12. Разходи'!BU57</f>
        <v>90.051811256797734</v>
      </c>
      <c r="Y30" s="4231">
        <f>'12. Разходи'!BV57</f>
        <v>92.09562063320034</v>
      </c>
      <c r="Z30" s="4227">
        <f t="shared" si="36"/>
        <v>2.8611811253505031</v>
      </c>
      <c r="AA30" s="4227">
        <f t="shared" si="32"/>
        <v>2.1099875375859471</v>
      </c>
      <c r="AK30" s="3407" t="s">
        <v>548</v>
      </c>
      <c r="AL30" s="3514">
        <f>'17. РБА'!I55</f>
        <v>0</v>
      </c>
      <c r="AM30" s="3514">
        <f>'17. РБА'!J55</f>
        <v>0</v>
      </c>
      <c r="AN30" s="3514">
        <f>'17. РБА'!K55</f>
        <v>0</v>
      </c>
      <c r="AO30" s="3514">
        <f>'17. РБА'!L55</f>
        <v>0</v>
      </c>
      <c r="AP30" s="3514">
        <f>'17. РБА'!M55</f>
        <v>0</v>
      </c>
      <c r="AR30" s="3515" t="s">
        <v>296</v>
      </c>
      <c r="AS30" s="3252">
        <f>'16. Необходими приходи'!K41</f>
        <v>0</v>
      </c>
      <c r="AT30" s="3252">
        <f>'16. Необходими приходи'!L41</f>
        <v>0</v>
      </c>
      <c r="AU30" s="3252">
        <f>'16. Необходими приходи'!M41</f>
        <v>0</v>
      </c>
      <c r="AV30" s="3252">
        <f>'16. Необходими приходи'!N41</f>
        <v>0</v>
      </c>
      <c r="AW30" s="3252">
        <f>'16. Необходими приходи'!O41</f>
        <v>0</v>
      </c>
    </row>
    <row r="31" spans="1:49" ht="18.75" customHeight="1">
      <c r="A31" s="4234" t="s">
        <v>220</v>
      </c>
      <c r="B31" s="3526">
        <f>'11. Амортиз. план'!AX151</f>
        <v>40.903350495697481</v>
      </c>
      <c r="C31" s="3526">
        <f>'11. Амортиз. план'!AZ151</f>
        <v>88.601641313538281</v>
      </c>
      <c r="D31" s="3526">
        <f>'11. Амортиз. план'!BA151</f>
        <v>139.73545399018693</v>
      </c>
      <c r="E31" s="3526">
        <f>'11. Амортиз. план'!BB151</f>
        <v>216.14271302462714</v>
      </c>
      <c r="F31" s="3526">
        <f>'11. Амортиз. план'!BC151</f>
        <v>306.19452428142489</v>
      </c>
      <c r="G31" s="3526">
        <f>'11. Амортиз. план'!BD151</f>
        <v>398.29014491462522</v>
      </c>
      <c r="I31" s="4252" t="s">
        <v>1617</v>
      </c>
      <c r="J31" s="4248">
        <f>'9.Инвестиционна програма'!BC154</f>
        <v>729.40986350211074</v>
      </c>
      <c r="K31" s="4248">
        <f>'9.Инвестиционна програма'!BD154</f>
        <v>1234.1921605320165</v>
      </c>
      <c r="L31" s="4248">
        <f>'9.Инвестиционна програма'!BE154</f>
        <v>1141.3074687813701</v>
      </c>
      <c r="M31" s="4248">
        <f>'9.Инвестиционна програма'!BF154</f>
        <v>169.6125600554922</v>
      </c>
      <c r="N31" s="4248">
        <f>'9.Инвестиционна програма'!BG154</f>
        <v>176.73656026682616</v>
      </c>
      <c r="O31" s="4248">
        <f t="shared" si="37"/>
        <v>3451.2586131378157</v>
      </c>
      <c r="P31" s="4253">
        <f t="shared" si="35"/>
        <v>0.15957353240444666</v>
      </c>
      <c r="Q31" s="4254"/>
      <c r="S31" s="4235" t="s">
        <v>737</v>
      </c>
      <c r="T31" s="4231">
        <f>'12. Разходи'!BQ58</f>
        <v>52.492633136145102</v>
      </c>
      <c r="U31" s="4231">
        <f>'12. Разходи'!BR58</f>
        <v>207.79924635576714</v>
      </c>
      <c r="V31" s="4231">
        <f>'12. Разходи'!BS58</f>
        <v>199.05615518731179</v>
      </c>
      <c r="W31" s="4231">
        <f>'12. Разходи'!BT58</f>
        <v>110.55664347105832</v>
      </c>
      <c r="X31" s="4231">
        <f>'12. Разходи'!BU58</f>
        <v>167.60659157493239</v>
      </c>
      <c r="Y31" s="4231">
        <f>'12. Разходи'!BV58</f>
        <v>185.92106675938092</v>
      </c>
      <c r="Z31" s="4227">
        <f t="shared" si="36"/>
        <v>2.9586363636363635</v>
      </c>
      <c r="AA31" s="4227">
        <f t="shared" si="32"/>
        <v>-0.1052851729737711</v>
      </c>
      <c r="AK31" s="3407" t="s">
        <v>549</v>
      </c>
      <c r="AL31" s="3514">
        <f>'17. РБА'!I58</f>
        <v>0</v>
      </c>
      <c r="AM31" s="3514">
        <f>'17. РБА'!J58</f>
        <v>0</v>
      </c>
      <c r="AN31" s="3514">
        <f>'17. РБА'!K58</f>
        <v>0</v>
      </c>
      <c r="AO31" s="3514">
        <f>'17. РБА'!L58</f>
        <v>0</v>
      </c>
      <c r="AP31" s="3514">
        <f>'17. РБА'!M58</f>
        <v>0</v>
      </c>
      <c r="AR31" s="3515" t="s">
        <v>1788</v>
      </c>
      <c r="AS31" s="3252">
        <f>'12. Разходи'!CM17</f>
        <v>0</v>
      </c>
      <c r="AT31" s="3252">
        <f>'12. Разходи'!CN17</f>
        <v>0</v>
      </c>
      <c r="AU31" s="3252">
        <f>'12. Разходи'!CO17</f>
        <v>0</v>
      </c>
      <c r="AV31" s="3252">
        <f>'12. Разходи'!CP17</f>
        <v>0</v>
      </c>
      <c r="AW31" s="3252">
        <f>'12. Разходи'!CQ17</f>
        <v>0</v>
      </c>
    </row>
    <row r="32" spans="1:49" ht="15.75" customHeight="1">
      <c r="A32" s="4234" t="s">
        <v>222</v>
      </c>
      <c r="B32" s="3526">
        <f>'11. Амортиз. план'!AX171</f>
        <v>147.25206178451091</v>
      </c>
      <c r="C32" s="3526">
        <f>'11. Амортиз. план'!AZ171</f>
        <v>898.49933031146657</v>
      </c>
      <c r="D32" s="3526">
        <f>'11. Амортиз. план'!BA171</f>
        <v>2081.5576781668342</v>
      </c>
      <c r="E32" s="3526">
        <f>'11. Амортиз. план'!BB171</f>
        <v>3146.4578879137644</v>
      </c>
      <c r="F32" s="3526">
        <f>'11. Амортиз. план'!BC171</f>
        <v>3226.0186367124584</v>
      </c>
      <c r="G32" s="3526">
        <f>'11. Амортиз. план'!BD171</f>
        <v>3310.6595763460846</v>
      </c>
      <c r="I32" s="4252" t="s">
        <v>1618</v>
      </c>
      <c r="J32" s="4248">
        <f>'9.Инвестиционна програма'!BC148</f>
        <v>13.634450165232492</v>
      </c>
      <c r="K32" s="4248">
        <f>'9.Инвестиционна програма'!BD148</f>
        <v>3.9199044225043416</v>
      </c>
      <c r="L32" s="4248">
        <f>'9.Инвестиционна програма'!BE148</f>
        <v>3.9199044225043416</v>
      </c>
      <c r="M32" s="4248">
        <f>'9.Инвестиционна програма'!BF148</f>
        <v>3.9199044225043416</v>
      </c>
      <c r="N32" s="4248">
        <f>'9.Инвестиционна програма'!BG148</f>
        <v>3.9199044225043416</v>
      </c>
      <c r="O32" s="4248">
        <f t="shared" si="37"/>
        <v>29.314067855249856</v>
      </c>
      <c r="P32" s="4253">
        <f t="shared" si="35"/>
        <v>1.3553749171386913E-3</v>
      </c>
      <c r="Q32" s="4254"/>
      <c r="S32" s="4229" t="s">
        <v>448</v>
      </c>
      <c r="T32" s="3526">
        <f>'12. Разходи'!BQ59</f>
        <v>187.64412039901219</v>
      </c>
      <c r="U32" s="3526">
        <f>'12. Разходи'!BR59</f>
        <v>247.97656238016597</v>
      </c>
      <c r="V32" s="3526">
        <f>'12. Разходи'!BS59</f>
        <v>277.73374986578591</v>
      </c>
      <c r="W32" s="3526">
        <f>'12. Разходи'!BT59</f>
        <v>311.06179984968026</v>
      </c>
      <c r="X32" s="3526">
        <f>'12. Разходи'!BU59</f>
        <v>348.38921583164193</v>
      </c>
      <c r="Y32" s="3526">
        <f>'12. Разходи'!BV59</f>
        <v>390.19592173143894</v>
      </c>
      <c r="Z32" s="4227">
        <f t="shared" si="36"/>
        <v>0.32152588555858308</v>
      </c>
      <c r="AA32" s="4227">
        <f t="shared" si="32"/>
        <v>0.57351936000000048</v>
      </c>
      <c r="AK32" s="3407" t="s">
        <v>329</v>
      </c>
      <c r="AL32" s="3521">
        <f>'17. РБА'!I61</f>
        <v>0</v>
      </c>
      <c r="AM32" s="3521">
        <f>'17. РБА'!J61</f>
        <v>0</v>
      </c>
      <c r="AN32" s="3521">
        <f>'17. РБА'!K61</f>
        <v>0</v>
      </c>
      <c r="AO32" s="3521">
        <f>'17. РБА'!L61</f>
        <v>0</v>
      </c>
      <c r="AP32" s="3521">
        <f>'17. РБА'!M61</f>
        <v>0</v>
      </c>
      <c r="AR32" s="3488" t="s">
        <v>297</v>
      </c>
      <c r="AS32" s="3489">
        <f>AS29+AS30</f>
        <v>0</v>
      </c>
      <c r="AT32" s="3489">
        <f>AT29+AT30</f>
        <v>0</v>
      </c>
      <c r="AU32" s="3489">
        <f>AU29+AU30</f>
        <v>0</v>
      </c>
      <c r="AV32" s="3489">
        <f>AV29+AV30</f>
        <v>0</v>
      </c>
      <c r="AW32" s="3489">
        <f>AW29+AW30</f>
        <v>0</v>
      </c>
    </row>
    <row r="33" spans="1:44" ht="15.75" customHeight="1">
      <c r="A33" s="5466" t="s">
        <v>1660</v>
      </c>
      <c r="B33" s="5466"/>
      <c r="C33" s="5466"/>
      <c r="D33" s="5466"/>
      <c r="E33" s="5466"/>
      <c r="F33" s="5466"/>
      <c r="G33" s="5466"/>
      <c r="I33" s="3519" t="str">
        <f>'9.Инвестиционна програма'!E142</f>
        <v>Пречистване на отпадъчните води</v>
      </c>
      <c r="J33" s="3644">
        <f>SUM(J34:J35)</f>
        <v>756.65550891437397</v>
      </c>
      <c r="K33" s="3644">
        <f t="shared" ref="K33:N33" si="40">SUM(K34:K35)</f>
        <v>1326.1781893109319</v>
      </c>
      <c r="L33" s="3644">
        <f t="shared" si="40"/>
        <v>1270.1065130064133</v>
      </c>
      <c r="M33" s="3644">
        <f t="shared" si="40"/>
        <v>164.32921061646459</v>
      </c>
      <c r="N33" s="3644">
        <f t="shared" si="40"/>
        <v>167.87416765942507</v>
      </c>
      <c r="O33" s="3644">
        <f t="shared" si="39"/>
        <v>3685.1435895076088</v>
      </c>
      <c r="P33" s="3505">
        <f t="shared" si="35"/>
        <v>0.17038751537100452</v>
      </c>
      <c r="Q33" s="4251"/>
      <c r="S33" s="4229" t="s">
        <v>449</v>
      </c>
      <c r="T33" s="3526">
        <f>'12. Разходи'!BQ63</f>
        <v>65.956652674312181</v>
      </c>
      <c r="U33" s="3526">
        <f>'12. Разходи'!BR63</f>
        <v>66.23651770401959</v>
      </c>
      <c r="V33" s="3526">
        <f>'12. Разходи'!BS63</f>
        <v>71.683121743709833</v>
      </c>
      <c r="W33" s="3526">
        <f>'12. Разходи'!BT63</f>
        <v>77.012828313299224</v>
      </c>
      <c r="X33" s="3526">
        <f>'12. Разходи'!BU63</f>
        <v>83.554746578179092</v>
      </c>
      <c r="Y33" s="3526">
        <f>'12. Разходи'!BV63</f>
        <v>90.881695034844554</v>
      </c>
      <c r="Z33" s="4227">
        <f t="shared" si="36"/>
        <v>4.2431660546716418E-3</v>
      </c>
      <c r="AA33" s="4227">
        <f t="shared" si="32"/>
        <v>0.37207839700983197</v>
      </c>
      <c r="AK33" s="3407" t="s">
        <v>306</v>
      </c>
      <c r="AL33" s="3514">
        <f>'17. РБА'!I62</f>
        <v>0</v>
      </c>
      <c r="AM33" s="3514">
        <f>'17. РБА'!J62</f>
        <v>0</v>
      </c>
      <c r="AN33" s="3514">
        <f>'17. РБА'!K62</f>
        <v>0</v>
      </c>
      <c r="AO33" s="3514">
        <f>'17. РБА'!L62</f>
        <v>0</v>
      </c>
      <c r="AP33" s="3514">
        <f>'17. РБА'!M62</f>
        <v>0</v>
      </c>
      <c r="AR33" s="4216"/>
    </row>
    <row r="34" spans="1:44" ht="12.75" customHeight="1">
      <c r="A34" s="4228" t="s">
        <v>334</v>
      </c>
      <c r="B34" s="3644">
        <f>'11. Амортиз. план'!AX192</f>
        <v>50536.089537434236</v>
      </c>
      <c r="C34" s="3644">
        <f>'11. Амортиз. план'!AZ192</f>
        <v>50536.089537434236</v>
      </c>
      <c r="D34" s="3644">
        <f>'11. Амортиз. план'!BA192</f>
        <v>50536.089537434236</v>
      </c>
      <c r="E34" s="3644">
        <f>'11. Амортиз. план'!BB192</f>
        <v>50536.089537434236</v>
      </c>
      <c r="F34" s="3644">
        <f>'11. Амортиз. план'!BC192</f>
        <v>50536.089537434236</v>
      </c>
      <c r="G34" s="3644">
        <f>'11. Амортиз. план'!BD192</f>
        <v>50536.089537434236</v>
      </c>
      <c r="I34" s="4252" t="s">
        <v>1617</v>
      </c>
      <c r="J34" s="4248">
        <f>'9.Инвестиционна програма'!BC155</f>
        <v>745.0662262739263</v>
      </c>
      <c r="K34" s="4248">
        <f>'9.Инвестиционна програма'!BD155</f>
        <v>1322.2582848884276</v>
      </c>
      <c r="L34" s="4248">
        <f>'9.Инвестиционна програма'!BE155</f>
        <v>1266.186608583909</v>
      </c>
      <c r="M34" s="4248">
        <f>'9.Инвестиционна програма'!BF155</f>
        <v>160.40930619396025</v>
      </c>
      <c r="N34" s="4248">
        <f>'9.Инвестиционна програма'!BG155</f>
        <v>163.95426323692072</v>
      </c>
      <c r="O34" s="4248">
        <f t="shared" si="37"/>
        <v>3657.8746891771439</v>
      </c>
      <c r="P34" s="4253">
        <f t="shared" si="35"/>
        <v>0.16912670149459644</v>
      </c>
      <c r="Q34" s="4254"/>
      <c r="S34" s="4229" t="s">
        <v>450</v>
      </c>
      <c r="T34" s="3526">
        <f>'12. Разходи'!BQ70</f>
        <v>9.1690483698163661</v>
      </c>
      <c r="U34" s="3526">
        <f>'12. Разходи'!BR70</f>
        <v>9.8108817557035124</v>
      </c>
      <c r="V34" s="3526">
        <f>'12. Разходи'!BS70</f>
        <v>10.105208208374618</v>
      </c>
      <c r="W34" s="3526">
        <f>'12. Разходи'!BT70</f>
        <v>10.408364454625856</v>
      </c>
      <c r="X34" s="3526">
        <f>'12. Разходи'!BU70</f>
        <v>10.720615388264632</v>
      </c>
      <c r="Y34" s="3526">
        <f>'12. Разходи'!BV70</f>
        <v>11.042233849912572</v>
      </c>
      <c r="Z34" s="4227">
        <f t="shared" si="36"/>
        <v>7.0000000000000076E-2</v>
      </c>
      <c r="AA34" s="4227">
        <f t="shared" si="32"/>
        <v>0.12550881000000008</v>
      </c>
      <c r="AK34" s="3408" t="s">
        <v>305</v>
      </c>
      <c r="AL34" s="3409">
        <f t="shared" ref="AL34:AP34" si="41">AL29-AL30+AL31+AL32+AL33</f>
        <v>0</v>
      </c>
      <c r="AM34" s="3409">
        <f t="shared" si="41"/>
        <v>0</v>
      </c>
      <c r="AN34" s="3409">
        <f t="shared" si="41"/>
        <v>0</v>
      </c>
      <c r="AO34" s="3409">
        <f t="shared" si="41"/>
        <v>0</v>
      </c>
      <c r="AP34" s="3409">
        <f t="shared" si="41"/>
        <v>0</v>
      </c>
      <c r="AR34" s="4216"/>
    </row>
    <row r="35" spans="1:44" ht="15.75" customHeight="1">
      <c r="A35" s="4230" t="s">
        <v>218</v>
      </c>
      <c r="B35" s="4231">
        <f>'11. Амортиз. план'!AX214</f>
        <v>991.90624952066389</v>
      </c>
      <c r="C35" s="4231">
        <f>'11. Амортиз. план'!AZ214</f>
        <v>991.90624952066389</v>
      </c>
      <c r="D35" s="4231">
        <f>'11. Амортиз. план'!BA214</f>
        <v>991.90624952066389</v>
      </c>
      <c r="E35" s="4231">
        <f>'11. Амортиз. план'!BB214</f>
        <v>991.90624952066389</v>
      </c>
      <c r="F35" s="4231">
        <f>'11. Амортиз. план'!BC214</f>
        <v>991.90624952066389</v>
      </c>
      <c r="G35" s="4231">
        <f>'11. Амортиз. план'!BD214</f>
        <v>991.90624952066389</v>
      </c>
      <c r="I35" s="4252" t="s">
        <v>1618</v>
      </c>
      <c r="J35" s="4248">
        <f>'9.Инвестиционна програма'!BC149</f>
        <v>11.589282640447617</v>
      </c>
      <c r="K35" s="4248">
        <f>'9.Инвестиционна програма'!BD149</f>
        <v>3.9199044225043416</v>
      </c>
      <c r="L35" s="4248">
        <f>'9.Инвестиционна програма'!BE149</f>
        <v>3.9199044225043416</v>
      </c>
      <c r="M35" s="4248">
        <f>'9.Инвестиционна програма'!BF149</f>
        <v>3.9199044225043416</v>
      </c>
      <c r="N35" s="4248">
        <f>'9.Инвестиционна програма'!BG149</f>
        <v>3.9199044225043416</v>
      </c>
      <c r="O35" s="4248">
        <f t="shared" si="37"/>
        <v>27.268900330464984</v>
      </c>
      <c r="P35" s="4253">
        <f t="shared" si="35"/>
        <v>1.2608138764080849E-3</v>
      </c>
      <c r="Q35" s="4254"/>
      <c r="S35" s="4229" t="s">
        <v>267</v>
      </c>
      <c r="T35" s="3526">
        <f>'12. Разходи'!BQ76</f>
        <v>1.5338756435886556</v>
      </c>
      <c r="U35" s="3526">
        <f>'12. Разходи'!BR76</f>
        <v>1.6412469386398614</v>
      </c>
      <c r="V35" s="3526">
        <f>'12. Разходи'!BS76</f>
        <v>1.6904843467990573</v>
      </c>
      <c r="W35" s="3526">
        <f>'12. Разходи'!BT76</f>
        <v>1.7411988772030291</v>
      </c>
      <c r="X35" s="3526">
        <f>'12. Разходи'!BU76</f>
        <v>1.7934348435191199</v>
      </c>
      <c r="Y35" s="3526">
        <f>'12. Разходи'!BV76</f>
        <v>1.8472378888246936</v>
      </c>
      <c r="Z35" s="4227">
        <f t="shared" si="36"/>
        <v>6.9999999999999937E-2</v>
      </c>
      <c r="AA35" s="4227">
        <f t="shared" si="32"/>
        <v>0.12550881000000014</v>
      </c>
      <c r="AK35" s="5449" t="s">
        <v>1926</v>
      </c>
      <c r="AL35" s="5450" t="str">
        <f>T100</f>
        <v>Доставяне на вода на друг ВиК оператор</v>
      </c>
      <c r="AM35" s="5451"/>
      <c r="AN35" s="5451"/>
      <c r="AO35" s="5451"/>
      <c r="AP35" s="5451"/>
      <c r="AR35" s="4216"/>
    </row>
    <row r="36" spans="1:44" ht="15.75" customHeight="1">
      <c r="A36" s="4234" t="s">
        <v>220</v>
      </c>
      <c r="B36" s="3526">
        <f>'11. Амортиз. план'!AX236</f>
        <v>8102.4424413164743</v>
      </c>
      <c r="C36" s="3526">
        <f>'11. Амортиз. план'!AZ236</f>
        <v>10086.254940357801</v>
      </c>
      <c r="D36" s="3526">
        <f>'11. Амортиз. план'!BA236</f>
        <v>11078.161189878467</v>
      </c>
      <c r="E36" s="3526">
        <f>'11. Амортиз. план'!BB236</f>
        <v>12070.06743939913</v>
      </c>
      <c r="F36" s="3526">
        <f>'11. Амортиз. план'!BC236</f>
        <v>13061.973688919794</v>
      </c>
      <c r="G36" s="3526">
        <f>'11. Амортиз. план'!BD236</f>
        <v>14053.879938440457</v>
      </c>
      <c r="I36" s="3519" t="str">
        <f>'9.Инвестиционна програма'!E143</f>
        <v>Доставяне на вода с непитейни качества</v>
      </c>
      <c r="J36" s="3644">
        <f>SUM(J37:J38)</f>
        <v>0</v>
      </c>
      <c r="K36" s="3644">
        <f t="shared" ref="K36:N36" si="42">SUM(K37:K38)</f>
        <v>0</v>
      </c>
      <c r="L36" s="3644">
        <f t="shared" si="42"/>
        <v>0</v>
      </c>
      <c r="M36" s="3644">
        <f t="shared" si="42"/>
        <v>0</v>
      </c>
      <c r="N36" s="3644">
        <f t="shared" si="42"/>
        <v>0</v>
      </c>
      <c r="O36" s="3644">
        <f t="shared" si="39"/>
        <v>0</v>
      </c>
      <c r="P36" s="3505">
        <f t="shared" si="35"/>
        <v>0</v>
      </c>
      <c r="Q36" s="4251"/>
      <c r="S36" s="4237" t="s">
        <v>277</v>
      </c>
      <c r="T36" s="4238">
        <f>SUM(T26:T28,T32:T35)</f>
        <v>646.51476169738919</v>
      </c>
      <c r="U36" s="4238">
        <f t="shared" ref="U36:Y36" si="43">SUM(U26:U28,U32:U35)</f>
        <v>957.95990630457084</v>
      </c>
      <c r="V36" s="4238">
        <f t="shared" si="43"/>
        <v>1020.9869967371104</v>
      </c>
      <c r="W36" s="4238">
        <f t="shared" si="43"/>
        <v>970.95594620898316</v>
      </c>
      <c r="X36" s="4238">
        <f t="shared" si="43"/>
        <v>1103.6823161843424</v>
      </c>
      <c r="Y36" s="4238">
        <f t="shared" si="43"/>
        <v>1162.8224637664155</v>
      </c>
      <c r="Z36" s="4239">
        <f t="shared" si="36"/>
        <v>0.48172936344020889</v>
      </c>
      <c r="AA36" s="4239">
        <f t="shared" si="32"/>
        <v>0.21385295575899735</v>
      </c>
      <c r="AK36" s="5449"/>
      <c r="AL36" s="4224" t="s">
        <v>1778</v>
      </c>
      <c r="AM36" s="4224" t="s">
        <v>1779</v>
      </c>
      <c r="AN36" s="4224" t="s">
        <v>1780</v>
      </c>
      <c r="AO36" s="4224" t="s">
        <v>1781</v>
      </c>
      <c r="AP36" s="4224" t="s">
        <v>1782</v>
      </c>
      <c r="AR36" s="4216"/>
    </row>
    <row r="37" spans="1:44" ht="15.75" customHeight="1">
      <c r="A37" s="4234" t="s">
        <v>222</v>
      </c>
      <c r="B37" s="3526">
        <f>'11. Амортиз. план'!AX258</f>
        <v>42433.647096117762</v>
      </c>
      <c r="C37" s="3526">
        <f>'11. Амортиз. план'!AZ258</f>
        <v>40449.834597076435</v>
      </c>
      <c r="D37" s="3526">
        <f>'11. Амортиз. план'!BA258</f>
        <v>39457.928347555768</v>
      </c>
      <c r="E37" s="3526">
        <f>'11. Амортиз. план'!BB258</f>
        <v>38466.022098035108</v>
      </c>
      <c r="F37" s="3526">
        <f>'11. Амортиз. план'!BC258</f>
        <v>37474.115848514441</v>
      </c>
      <c r="G37" s="3526">
        <f>'11. Амортиз. план'!BD258</f>
        <v>36482.209598993781</v>
      </c>
      <c r="I37" s="4252" t="s">
        <v>1617</v>
      </c>
      <c r="J37" s="4248">
        <f>'9.Инвестиционна програма'!BC156</f>
        <v>0</v>
      </c>
      <c r="K37" s="4248">
        <f>'9.Инвестиционна програма'!BD156</f>
        <v>0</v>
      </c>
      <c r="L37" s="4248">
        <f>'9.Инвестиционна програма'!BE156</f>
        <v>0</v>
      </c>
      <c r="M37" s="4248">
        <f>'9.Инвестиционна програма'!BF156</f>
        <v>0</v>
      </c>
      <c r="N37" s="4248">
        <f>'9.Инвестиционна програма'!BG156</f>
        <v>0</v>
      </c>
      <c r="O37" s="4248">
        <f t="shared" si="37"/>
        <v>0</v>
      </c>
      <c r="P37" s="4253">
        <f t="shared" si="35"/>
        <v>0</v>
      </c>
      <c r="Q37" s="4254"/>
      <c r="S37" s="4245" t="str">
        <f>CONCATENATE("Спестявания и увеличения спрямо ",T25," - нето:")</f>
        <v>Спестявания и увеличения спрямо 2024 г. - нето:</v>
      </c>
      <c r="T37" s="4246"/>
      <c r="U37" s="4245">
        <f>U36-$T36</f>
        <v>311.44514460718165</v>
      </c>
      <c r="V37" s="4245">
        <f t="shared" ref="V37:Y37" si="44">V36-$T36</f>
        <v>374.47223503972123</v>
      </c>
      <c r="W37" s="4245">
        <f t="shared" si="44"/>
        <v>324.44118451159397</v>
      </c>
      <c r="X37" s="4245">
        <f t="shared" si="44"/>
        <v>457.16755448695324</v>
      </c>
      <c r="Y37" s="4245">
        <f t="shared" si="44"/>
        <v>516.30770206902628</v>
      </c>
      <c r="Z37" s="4246"/>
      <c r="AA37" s="4246"/>
      <c r="AK37" s="3407" t="s">
        <v>547</v>
      </c>
      <c r="AL37" s="3514">
        <f>'17. РБА'!I66</f>
        <v>0</v>
      </c>
      <c r="AM37" s="3514">
        <f>'17. РБА'!J66</f>
        <v>0</v>
      </c>
      <c r="AN37" s="3514">
        <f>'17. РБА'!K66</f>
        <v>0</v>
      </c>
      <c r="AO37" s="3514">
        <f>'17. РБА'!L66</f>
        <v>0</v>
      </c>
      <c r="AP37" s="3514">
        <f>'17. РБА'!M66</f>
        <v>0</v>
      </c>
      <c r="AR37" s="4216"/>
    </row>
    <row r="38" spans="1:44" ht="15.75" customHeight="1">
      <c r="A38" s="2" t="s">
        <v>184</v>
      </c>
      <c r="B38" s="11"/>
      <c r="C38" s="11"/>
      <c r="D38" s="11"/>
      <c r="E38" s="11"/>
      <c r="F38" s="11"/>
      <c r="G38" s="3393" t="s">
        <v>1912</v>
      </c>
      <c r="I38" s="4252" t="s">
        <v>1618</v>
      </c>
      <c r="J38" s="4248">
        <f>'9.Инвестиционна програма'!BC150</f>
        <v>0</v>
      </c>
      <c r="K38" s="4248">
        <f>'9.Инвестиционна програма'!BD150</f>
        <v>0</v>
      </c>
      <c r="L38" s="4248">
        <f>'9.Инвестиционна програма'!BE150</f>
        <v>0</v>
      </c>
      <c r="M38" s="4248">
        <f>'9.Инвестиционна програма'!BF150</f>
        <v>0</v>
      </c>
      <c r="N38" s="4248">
        <f>'9.Инвестиционна програма'!BG150</f>
        <v>0</v>
      </c>
      <c r="O38" s="4248">
        <f t="shared" si="37"/>
        <v>0</v>
      </c>
      <c r="P38" s="4253">
        <f t="shared" si="35"/>
        <v>0</v>
      </c>
      <c r="Q38" s="4254"/>
      <c r="S38" s="4229" t="s">
        <v>1670</v>
      </c>
      <c r="T38" s="3526">
        <f>'12. Разходи'!BQ92</f>
        <v>468.85465505693236</v>
      </c>
      <c r="U38" s="3526">
        <f>'12. Разходи'!BR92</f>
        <v>0</v>
      </c>
      <c r="V38" s="3526">
        <f>'12. Разходи'!BS92</f>
        <v>0</v>
      </c>
      <c r="W38" s="3526">
        <f>'12. Разходи'!BT92</f>
        <v>0</v>
      </c>
      <c r="X38" s="3526">
        <f>'12. Разходи'!BU92</f>
        <v>0</v>
      </c>
      <c r="Y38" s="3526">
        <f>'12. Разходи'!BV92</f>
        <v>0</v>
      </c>
      <c r="Z38" s="4227">
        <f t="shared" si="36"/>
        <v>-1</v>
      </c>
      <c r="AA38" s="4227">
        <f t="shared" ref="AA38:AA42" si="45">IFERROR((Y38-U38)/U38,0)</f>
        <v>0</v>
      </c>
      <c r="AK38" s="3407" t="s">
        <v>548</v>
      </c>
      <c r="AL38" s="3514">
        <f>'17. РБА'!I69</f>
        <v>0</v>
      </c>
      <c r="AM38" s="3514">
        <f>'17. РБА'!J69</f>
        <v>0</v>
      </c>
      <c r="AN38" s="3514">
        <f>'17. РБА'!K69</f>
        <v>0</v>
      </c>
      <c r="AO38" s="3514">
        <f>'17. РБА'!L69</f>
        <v>0</v>
      </c>
      <c r="AP38" s="3514">
        <f>'17. РБА'!M69</f>
        <v>0</v>
      </c>
      <c r="AR38" s="4216"/>
    </row>
    <row r="39" spans="1:44" ht="15.75" customHeight="1">
      <c r="A39" s="5467" t="s">
        <v>87</v>
      </c>
      <c r="B39" s="5460" t="s">
        <v>184</v>
      </c>
      <c r="C39" s="5460"/>
      <c r="D39" s="5460"/>
      <c r="E39" s="5460"/>
      <c r="F39" s="5460"/>
      <c r="G39" s="5460"/>
      <c r="I39" s="3519" t="str">
        <f>'9.Инвестиционна програма'!E144</f>
        <v>Доставяне на вода на друг ВиК оператор</v>
      </c>
      <c r="J39" s="3644">
        <f>SUM(J40:J41)</f>
        <v>0</v>
      </c>
      <c r="K39" s="3644">
        <f t="shared" ref="K39:N39" si="46">SUM(K40:K41)</f>
        <v>0</v>
      </c>
      <c r="L39" s="3644">
        <f t="shared" si="46"/>
        <v>0</v>
      </c>
      <c r="M39" s="3644">
        <f t="shared" si="46"/>
        <v>0</v>
      </c>
      <c r="N39" s="3644">
        <f t="shared" si="46"/>
        <v>0</v>
      </c>
      <c r="O39" s="3644">
        <f t="shared" si="39"/>
        <v>0</v>
      </c>
      <c r="P39" s="3505">
        <f t="shared" si="35"/>
        <v>0</v>
      </c>
      <c r="Q39" s="4251"/>
      <c r="S39" s="4229" t="s">
        <v>1672</v>
      </c>
      <c r="T39" s="3526">
        <f>'12. Разходи'!BQ93</f>
        <v>87.331874295791479</v>
      </c>
      <c r="U39" s="3526">
        <f>'12. Разходи'!BR93</f>
        <v>691.55308182148258</v>
      </c>
      <c r="V39" s="3526">
        <f>'12. Разходи'!BS93</f>
        <v>741.70095023789656</v>
      </c>
      <c r="W39" s="3526">
        <f>'12. Разходи'!BT93</f>
        <v>790.27854009136342</v>
      </c>
      <c r="X39" s="3526">
        <f>'12. Разходи'!BU93</f>
        <v>852.58945739516741</v>
      </c>
      <c r="Y39" s="3526">
        <f>'12. Разходи'!BV93</f>
        <v>891.5024399346371</v>
      </c>
      <c r="Z39" s="4227">
        <f t="shared" si="36"/>
        <v>6.9186790321160947</v>
      </c>
      <c r="AA39" s="4227">
        <f t="shared" si="45"/>
        <v>0.28913089012127258</v>
      </c>
      <c r="AK39" s="3407" t="s">
        <v>549</v>
      </c>
      <c r="AL39" s="3514">
        <f>'17. РБА'!I72</f>
        <v>0</v>
      </c>
      <c r="AM39" s="3514">
        <f>'17. РБА'!J72</f>
        <v>0</v>
      </c>
      <c r="AN39" s="3514">
        <f>'17. РБА'!K72</f>
        <v>0</v>
      </c>
      <c r="AO39" s="3514">
        <f>'17. РБА'!L72</f>
        <v>0</v>
      </c>
      <c r="AP39" s="3514">
        <f>'17. РБА'!M72</f>
        <v>0</v>
      </c>
      <c r="AR39" s="4216"/>
    </row>
    <row r="40" spans="1:44" ht="13.5" customHeight="1">
      <c r="A40" s="5467"/>
      <c r="B40" s="4218" t="str">
        <f>+'15. ОПП'!$B$7</f>
        <v>2024 г.</v>
      </c>
      <c r="C40" s="4218" t="str">
        <f>+'15. ОПП'!$C$7</f>
        <v>2027 г.</v>
      </c>
      <c r="D40" s="4218" t="str">
        <f>+'15. ОПП'!$D$7</f>
        <v>2028 г.</v>
      </c>
      <c r="E40" s="4218" t="str">
        <f>+'15. ОПП'!$E$7</f>
        <v>2029 г.</v>
      </c>
      <c r="F40" s="4218" t="str">
        <f>+'15. ОПП'!$F$7</f>
        <v>2030 г.</v>
      </c>
      <c r="G40" s="4218" t="str">
        <f>+'15. ОПП'!$G$7</f>
        <v>2031 г.</v>
      </c>
      <c r="I40" s="4252" t="s">
        <v>1617</v>
      </c>
      <c r="J40" s="4248">
        <f>'9.Инвестиционна програма'!BC157</f>
        <v>0</v>
      </c>
      <c r="K40" s="4248">
        <f>'9.Инвестиционна програма'!BD157</f>
        <v>0</v>
      </c>
      <c r="L40" s="4248">
        <f>'9.Инвестиционна програма'!BE157</f>
        <v>0</v>
      </c>
      <c r="M40" s="4248">
        <f>'9.Инвестиционна програма'!BF157</f>
        <v>0</v>
      </c>
      <c r="N40" s="4248">
        <f>'9.Инвестиционна програма'!BG157</f>
        <v>0</v>
      </c>
      <c r="O40" s="4248">
        <f t="shared" si="37"/>
        <v>0</v>
      </c>
      <c r="P40" s="4253">
        <f t="shared" si="35"/>
        <v>0</v>
      </c>
      <c r="Q40" s="4254"/>
      <c r="S40" s="4248" t="s">
        <v>1671</v>
      </c>
      <c r="T40" s="3526">
        <f>'12. Разходи'!BQ94</f>
        <v>28.632345346988235</v>
      </c>
      <c r="U40" s="3526">
        <f>'12. Разходи'!BR94</f>
        <v>0</v>
      </c>
      <c r="V40" s="3526">
        <f>'12. Разходи'!BS94</f>
        <v>0</v>
      </c>
      <c r="W40" s="3526">
        <f>'12. Разходи'!BT94</f>
        <v>0</v>
      </c>
      <c r="X40" s="3526">
        <f>'12. Разходи'!BU94</f>
        <v>0</v>
      </c>
      <c r="Y40" s="3526">
        <f>'12. Разходи'!BV94</f>
        <v>0</v>
      </c>
      <c r="Z40" s="4227">
        <f t="shared" si="36"/>
        <v>-1</v>
      </c>
      <c r="AA40" s="4227">
        <f t="shared" si="45"/>
        <v>0</v>
      </c>
      <c r="AK40" s="3407" t="s">
        <v>329</v>
      </c>
      <c r="AL40" s="3521">
        <f>'17. РБА'!I75</f>
        <v>0</v>
      </c>
      <c r="AM40" s="3521">
        <f>'17. РБА'!J75</f>
        <v>0</v>
      </c>
      <c r="AN40" s="3521">
        <f>'17. РБА'!K75</f>
        <v>0</v>
      </c>
      <c r="AO40" s="3521">
        <f>'17. РБА'!L75</f>
        <v>0</v>
      </c>
      <c r="AP40" s="3521">
        <f>'17. РБА'!M75</f>
        <v>0</v>
      </c>
      <c r="AR40" s="4216"/>
    </row>
    <row r="41" spans="1:44" ht="15.75" customHeight="1">
      <c r="A41" s="5468" t="s">
        <v>1658</v>
      </c>
      <c r="B41" s="5469"/>
      <c r="C41" s="5469"/>
      <c r="D41" s="5469"/>
      <c r="E41" s="5469"/>
      <c r="F41" s="5469"/>
      <c r="G41" s="5470"/>
      <c r="I41" s="4252" t="s">
        <v>1618</v>
      </c>
      <c r="J41" s="4248">
        <f>'9.Инвестиционна програма'!BC151</f>
        <v>0</v>
      </c>
      <c r="K41" s="4248">
        <f>'9.Инвестиционна програма'!BD151</f>
        <v>0</v>
      </c>
      <c r="L41" s="4248">
        <f>'9.Инвестиционна програма'!BE151</f>
        <v>0</v>
      </c>
      <c r="M41" s="4248">
        <f>'9.Инвестиционна програма'!BF151</f>
        <v>0</v>
      </c>
      <c r="N41" s="4248">
        <f>'9.Инвестиционна програма'!BG151</f>
        <v>0</v>
      </c>
      <c r="O41" s="4248">
        <f t="shared" si="37"/>
        <v>0</v>
      </c>
      <c r="P41" s="4253">
        <f t="shared" si="35"/>
        <v>0</v>
      </c>
      <c r="Q41" s="4254"/>
      <c r="S41" s="4229" t="s">
        <v>1674</v>
      </c>
      <c r="T41" s="3526">
        <f>'12. Разходи'!BQ90</f>
        <v>217.65859507216882</v>
      </c>
      <c r="U41" s="3526">
        <f>'12. Разходи'!BR90</f>
        <v>282.95617359381953</v>
      </c>
      <c r="V41" s="3526">
        <f>'12. Разходи'!BS90</f>
        <v>297.10398227351061</v>
      </c>
      <c r="W41" s="3526">
        <f>'12. Разходи'!BT90</f>
        <v>306.01710174171586</v>
      </c>
      <c r="X41" s="3526">
        <f>'12. Разходи'!BU90</f>
        <v>299.8967597068816</v>
      </c>
      <c r="Y41" s="3526">
        <f>'12. Разходи'!BV90</f>
        <v>287.90088931860629</v>
      </c>
      <c r="Z41" s="4227">
        <f t="shared" si="36"/>
        <v>0.30000000000000027</v>
      </c>
      <c r="AA41" s="4227">
        <f t="shared" si="45"/>
        <v>1.7475200000000163E-2</v>
      </c>
      <c r="AK41" s="3407" t="s">
        <v>306</v>
      </c>
      <c r="AL41" s="3514">
        <f>'17. РБА'!I76</f>
        <v>0</v>
      </c>
      <c r="AM41" s="3514">
        <f>'17. РБА'!J76</f>
        <v>0</v>
      </c>
      <c r="AN41" s="3514">
        <f>'17. РБА'!K76</f>
        <v>0</v>
      </c>
      <c r="AO41" s="3514">
        <f>'17. РБА'!L76</f>
        <v>0</v>
      </c>
      <c r="AP41" s="3514">
        <f>'17. РБА'!M76</f>
        <v>0</v>
      </c>
      <c r="AR41" s="4216"/>
    </row>
    <row r="42" spans="1:44" ht="15.75" customHeight="1">
      <c r="A42" s="4228" t="s">
        <v>334</v>
      </c>
      <c r="B42" s="3644">
        <f>'11. Амортиз. план'!BE10</f>
        <v>850.78969031050758</v>
      </c>
      <c r="C42" s="3644">
        <f>'11. Амортиз. план'!BG10</f>
        <v>896.97639024523266</v>
      </c>
      <c r="D42" s="3644">
        <f>'11. Амортиз. план'!BH10</f>
        <v>900.89629466773715</v>
      </c>
      <c r="E42" s="3644">
        <f>'11. Амортиз. план'!BI10</f>
        <v>904.8161990902413</v>
      </c>
      <c r="F42" s="3644">
        <f>'11. Амортиз. план'!BJ10</f>
        <v>908.73610351274567</v>
      </c>
      <c r="G42" s="3644">
        <f>'11. Амортиз. план'!BK10</f>
        <v>912.65600793525016</v>
      </c>
      <c r="I42" s="4232" t="s">
        <v>1028</v>
      </c>
      <c r="J42" s="4233">
        <f>SUM(J27,J30,J33,J36,J39)</f>
        <v>4557.8111461630097</v>
      </c>
      <c r="K42" s="4233">
        <f t="shared" ref="K42:O44" si="47">SUM(K27,K30,K33,K36,K39)</f>
        <v>7405.8622416058661</v>
      </c>
      <c r="L42" s="4233">
        <f t="shared" si="47"/>
        <v>7256.5650122965717</v>
      </c>
      <c r="M42" s="4233">
        <f t="shared" si="47"/>
        <v>1206.2398061181188</v>
      </c>
      <c r="N42" s="4233">
        <f t="shared" si="47"/>
        <v>1201.5359208111131</v>
      </c>
      <c r="O42" s="4233">
        <f>SUM(O27,O30,O33,O36,O39)</f>
        <v>21628.01412699468</v>
      </c>
      <c r="P42" s="3505">
        <f t="shared" si="35"/>
        <v>1</v>
      </c>
      <c r="Q42" s="4251"/>
      <c r="S42" s="4229" t="s">
        <v>1232</v>
      </c>
      <c r="T42" s="3526">
        <f>'12. Разходи'!BQ89</f>
        <v>61.424939644006876</v>
      </c>
      <c r="U42" s="3526">
        <f>'12. Разходи'!BR89</f>
        <v>70.886768071794393</v>
      </c>
      <c r="V42" s="3526">
        <f>'12. Разходи'!BS89</f>
        <v>71.164682055079098</v>
      </c>
      <c r="W42" s="3526">
        <f>'12. Разходи'!BT89</f>
        <v>71.450933457862334</v>
      </c>
      <c r="X42" s="3526">
        <f>'12. Разходи'!BU89</f>
        <v>94.766377207032122</v>
      </c>
      <c r="Y42" s="3526">
        <f>'12. Разходи'!BV89</f>
        <v>95.070061320244861</v>
      </c>
      <c r="Z42" s="4227">
        <f t="shared" si="36"/>
        <v>0.1540388722011661</v>
      </c>
      <c r="AA42" s="4227">
        <f t="shared" si="45"/>
        <v>0.34115384163032425</v>
      </c>
      <c r="AK42" s="3408" t="s">
        <v>305</v>
      </c>
      <c r="AL42" s="3409">
        <f t="shared" ref="AL42:AP42" si="48">AL37-AL38+AL39+AL40+AL41</f>
        <v>0</v>
      </c>
      <c r="AM42" s="3409">
        <f t="shared" si="48"/>
        <v>0</v>
      </c>
      <c r="AN42" s="3409">
        <f t="shared" si="48"/>
        <v>0</v>
      </c>
      <c r="AO42" s="3409">
        <f t="shared" si="48"/>
        <v>0</v>
      </c>
      <c r="AP42" s="3409">
        <f t="shared" si="48"/>
        <v>0</v>
      </c>
      <c r="AR42" s="4216"/>
    </row>
    <row r="43" spans="1:44" ht="13.5" customHeight="1">
      <c r="A43" s="4230" t="s">
        <v>218</v>
      </c>
      <c r="B43" s="4231">
        <f>'11. Амортиз. план'!BE35</f>
        <v>27.609761584595798</v>
      </c>
      <c r="C43" s="4231">
        <f>'11. Амортиз. план'!BG35</f>
        <v>30.589441540356603</v>
      </c>
      <c r="D43" s="4231">
        <f>'11. Амортиз. план'!BH35</f>
        <v>31.395360202787174</v>
      </c>
      <c r="E43" s="4231">
        <f>'11. Амортиз. план'!BI35</f>
        <v>31.876393338650288</v>
      </c>
      <c r="F43" s="4231">
        <f>'11. Амортиз. план'!BJ35</f>
        <v>32.079129856392719</v>
      </c>
      <c r="G43" s="4231">
        <f>'11. Амортиз. план'!BK35</f>
        <v>32.12710031627546</v>
      </c>
      <c r="I43" s="4252" t="s">
        <v>1617</v>
      </c>
      <c r="J43" s="4255">
        <f>SUM(J28,J31,J34,J37,J40)</f>
        <v>4014.8191683326258</v>
      </c>
      <c r="K43" s="4255">
        <f t="shared" si="47"/>
        <v>7120.0500800171803</v>
      </c>
      <c r="L43" s="4255">
        <f t="shared" si="47"/>
        <v>6970.752850707885</v>
      </c>
      <c r="M43" s="4255">
        <f t="shared" si="47"/>
        <v>920.42764452943254</v>
      </c>
      <c r="N43" s="4255">
        <f t="shared" si="47"/>
        <v>915.72375922242713</v>
      </c>
      <c r="O43" s="4255">
        <f t="shared" si="47"/>
        <v>19941.773502809552</v>
      </c>
      <c r="P43" s="4256">
        <f t="shared" si="35"/>
        <v>0.92203442191761509</v>
      </c>
      <c r="Q43" s="4257"/>
      <c r="T43" s="11"/>
      <c r="U43" s="11"/>
      <c r="V43" s="11"/>
      <c r="W43" s="11"/>
      <c r="X43" s="11"/>
      <c r="Y43" s="11"/>
      <c r="Z43" s="11"/>
      <c r="AA43" s="11"/>
      <c r="AK43" s="3294"/>
      <c r="AL43" s="3294"/>
      <c r="AM43" s="3294"/>
      <c r="AN43" s="3294"/>
      <c r="AO43" s="3294"/>
      <c r="AP43" s="3294"/>
      <c r="AQ43" s="3294"/>
      <c r="AR43" s="4216"/>
    </row>
    <row r="44" spans="1:44" ht="15.75" customHeight="1">
      <c r="A44" s="4234" t="s">
        <v>220</v>
      </c>
      <c r="B44" s="3526">
        <f>'11. Амортиз. план'!BE60</f>
        <v>548.61618852354241</v>
      </c>
      <c r="C44" s="3526">
        <f>'11. Амортиз. план'!BG60</f>
        <v>608.52152871690055</v>
      </c>
      <c r="D44" s="3526">
        <f>'11. Амортиз. план'!BH60</f>
        <v>639.91688891968772</v>
      </c>
      <c r="E44" s="3526">
        <f>'11. Амортиз. план'!BI60</f>
        <v>671.79328225833819</v>
      </c>
      <c r="F44" s="3526">
        <f>'11. Амортиз. план'!BJ60</f>
        <v>703.87241211473088</v>
      </c>
      <c r="G44" s="3526">
        <f>'11. Амортиз. план'!BK60</f>
        <v>735.99951243100634</v>
      </c>
      <c r="I44" s="4252" t="s">
        <v>1618</v>
      </c>
      <c r="J44" s="4255">
        <f>SUM(J29,J32,J35,J38,J41)</f>
        <v>542.99197783038403</v>
      </c>
      <c r="K44" s="4255">
        <f t="shared" si="47"/>
        <v>285.81216158868608</v>
      </c>
      <c r="L44" s="4255">
        <f t="shared" si="47"/>
        <v>285.81216158868608</v>
      </c>
      <c r="M44" s="4255">
        <f t="shared" si="47"/>
        <v>285.81216158868608</v>
      </c>
      <c r="N44" s="4255">
        <f t="shared" si="47"/>
        <v>285.81216158868608</v>
      </c>
      <c r="O44" s="4255">
        <f t="shared" si="47"/>
        <v>1686.2406241851286</v>
      </c>
      <c r="P44" s="4256">
        <f t="shared" si="35"/>
        <v>7.7965578082384954E-2</v>
      </c>
      <c r="Q44" s="4257"/>
      <c r="S44" s="2" t="s">
        <v>1683</v>
      </c>
      <c r="T44" s="11"/>
      <c r="U44" s="11"/>
      <c r="V44" s="11"/>
      <c r="W44" s="11"/>
      <c r="X44" s="11"/>
      <c r="Y44" s="11"/>
      <c r="Z44" s="11"/>
      <c r="AA44" s="11"/>
      <c r="AK44" s="3294"/>
      <c r="AL44" s="3294"/>
      <c r="AM44" s="3294"/>
      <c r="AN44" s="3294"/>
      <c r="AO44" s="3294"/>
      <c r="AP44" s="3294"/>
      <c r="AQ44" s="3294"/>
      <c r="AR44" s="4216"/>
    </row>
    <row r="45" spans="1:44" ht="15.75" customHeight="1">
      <c r="A45" s="4234" t="s">
        <v>222</v>
      </c>
      <c r="B45" s="3526">
        <f>'11. Амортиз. план'!BE85</f>
        <v>302.17350178696512</v>
      </c>
      <c r="C45" s="3526">
        <f>'11. Амортиз. план'!BG85</f>
        <v>288.454861528332</v>
      </c>
      <c r="D45" s="3526">
        <f>'11. Амортиз. план'!BH85</f>
        <v>260.9794057480492</v>
      </c>
      <c r="E45" s="3526">
        <f>'11. Амортиз. план'!BI85</f>
        <v>233.02291683190316</v>
      </c>
      <c r="F45" s="3526">
        <f>'11. Амортиз. план'!BJ85</f>
        <v>204.86369139801477</v>
      </c>
      <c r="G45" s="3526">
        <f>'11. Амортиз. план'!BK85</f>
        <v>176.65649550424365</v>
      </c>
      <c r="S45" s="5460" t="s">
        <v>1922</v>
      </c>
      <c r="T45" s="5460" t="s">
        <v>209</v>
      </c>
      <c r="U45" s="5460"/>
      <c r="V45" s="5460"/>
      <c r="W45" s="5460"/>
      <c r="X45" s="5460"/>
      <c r="Y45" s="5460"/>
      <c r="Z45" s="5404" t="str">
        <f>+Z24</f>
        <v>Изменение 2027 г. спр. 2024 г.</v>
      </c>
      <c r="AA45" s="5404" t="str">
        <f>+AA24</f>
        <v>Изменение 2031 г. спр. 2027 г.</v>
      </c>
      <c r="AK45" s="2" t="s">
        <v>1013</v>
      </c>
      <c r="AR45" s="4216"/>
    </row>
    <row r="46" spans="1:44" ht="15.75" customHeight="1">
      <c r="A46" s="5468" t="s">
        <v>1659</v>
      </c>
      <c r="B46" s="5469"/>
      <c r="C46" s="5469"/>
      <c r="D46" s="5469"/>
      <c r="E46" s="5469"/>
      <c r="F46" s="5469"/>
      <c r="G46" s="5470"/>
      <c r="I46" s="1301" t="s">
        <v>1637</v>
      </c>
      <c r="J46" s="4258"/>
      <c r="K46" s="1300"/>
      <c r="L46" s="1300"/>
      <c r="M46" s="1300"/>
      <c r="N46" s="1300"/>
      <c r="O46" s="1300"/>
      <c r="P46" s="3393" t="s">
        <v>1912</v>
      </c>
      <c r="Q46" s="3393"/>
      <c r="S46" s="5460"/>
      <c r="T46" s="4214" t="str">
        <f t="shared" ref="T46:Y46" si="49">T25</f>
        <v>2024 г.</v>
      </c>
      <c r="U46" s="4214" t="str">
        <f t="shared" si="49"/>
        <v>2027 г.</v>
      </c>
      <c r="V46" s="4214" t="str">
        <f t="shared" si="49"/>
        <v>2028 г.</v>
      </c>
      <c r="W46" s="4214" t="str">
        <f t="shared" si="49"/>
        <v>2029 г.</v>
      </c>
      <c r="X46" s="4214" t="str">
        <f t="shared" si="49"/>
        <v>2030 г.</v>
      </c>
      <c r="Y46" s="4214" t="str">
        <f t="shared" si="49"/>
        <v>2031 г.</v>
      </c>
      <c r="Z46" s="5404"/>
      <c r="AA46" s="5404"/>
      <c r="AK46" s="3433" t="s">
        <v>87</v>
      </c>
      <c r="AL46" s="3431" t="s">
        <v>166</v>
      </c>
      <c r="AM46" s="4224" t="s">
        <v>1778</v>
      </c>
      <c r="AN46" s="4224" t="s">
        <v>1779</v>
      </c>
      <c r="AO46" s="4224" t="s">
        <v>1780</v>
      </c>
      <c r="AP46" s="4224" t="s">
        <v>1781</v>
      </c>
      <c r="AQ46" s="4224" t="s">
        <v>1782</v>
      </c>
      <c r="AR46" s="4216"/>
    </row>
    <row r="47" spans="1:44" ht="15.75" customHeight="1">
      <c r="A47" s="4228" t="s">
        <v>334</v>
      </c>
      <c r="B47" s="3644">
        <f>'11. Амортиз. план'!BE111</f>
        <v>312.39933941088952</v>
      </c>
      <c r="C47" s="3644">
        <f>'11. Амортиз. план'!BG111</f>
        <v>1110.6399213292225</v>
      </c>
      <c r="D47" s="3644">
        <f>'11. Амортиз. план'!BH111</f>
        <v>2432.8982062176501</v>
      </c>
      <c r="E47" s="3644">
        <f>'11. Амортиз. план'!BI111</f>
        <v>3699.0848148015589</v>
      </c>
      <c r="F47" s="3644">
        <f>'11. Амортиз. план'!BJ111</f>
        <v>3859.4941209955196</v>
      </c>
      <c r="G47" s="3644">
        <f>'11. Амортиз. план'!BK111</f>
        <v>4023.4483842324403</v>
      </c>
      <c r="I47" s="4218" t="s">
        <v>1495</v>
      </c>
      <c r="J47" s="4218" t="str">
        <f>+'15. ОПП'!$C$7</f>
        <v>2027 г.</v>
      </c>
      <c r="K47" s="4218" t="str">
        <f>+'15. ОПП'!$D$7</f>
        <v>2028 г.</v>
      </c>
      <c r="L47" s="4218" t="str">
        <f>+'15. ОПП'!$E$7</f>
        <v>2029 г.</v>
      </c>
      <c r="M47" s="4218" t="str">
        <f>+'15. ОПП'!$F$7</f>
        <v>2030 г.</v>
      </c>
      <c r="N47" s="4218" t="str">
        <f>+'15. ОПП'!$G$7</f>
        <v>2031 г.</v>
      </c>
      <c r="O47" s="4219" t="s">
        <v>1595</v>
      </c>
      <c r="P47" s="4218" t="s">
        <v>1596</v>
      </c>
      <c r="Q47" s="4244"/>
      <c r="S47" s="4229" t="s">
        <v>226</v>
      </c>
      <c r="T47" s="3526">
        <f>'12. Разходи'!BX11</f>
        <v>362.71240569517801</v>
      </c>
      <c r="U47" s="3526">
        <f>'12. Разходи'!BY11</f>
        <v>419.28684204700824</v>
      </c>
      <c r="V47" s="3526">
        <f>'12. Разходи'!BZ11</f>
        <v>421.52063332743649</v>
      </c>
      <c r="W47" s="3526">
        <f>'12. Разходи'!CA11</f>
        <v>423.62381053608954</v>
      </c>
      <c r="X47" s="3526">
        <f>'12. Разходи'!CB11</f>
        <v>482.09222398592948</v>
      </c>
      <c r="Y47" s="3526">
        <f>'12. Разходи'!CC11</f>
        <v>483.57434534569171</v>
      </c>
      <c r="Z47" s="4227">
        <f>IFERROR((U47-T47)/T47,0)</f>
        <v>0.15597601698623773</v>
      </c>
      <c r="AA47" s="4227">
        <f t="shared" ref="AA47:AA57" si="50">IFERROR((Y47-U47)/U47,0)</f>
        <v>0.15332583055748719</v>
      </c>
      <c r="AK47" s="3394" t="s">
        <v>324</v>
      </c>
      <c r="AL47" s="3458" t="s">
        <v>170</v>
      </c>
      <c r="AM47" s="3468">
        <f>'19. HB'!D11</f>
        <v>0.1</v>
      </c>
      <c r="AN47" s="3468">
        <f>'19. HB'!E11</f>
        <v>0.1</v>
      </c>
      <c r="AO47" s="3468">
        <f>'19. HB'!F11</f>
        <v>0.1</v>
      </c>
      <c r="AP47" s="3468">
        <f>'19. HB'!G11</f>
        <v>0.1</v>
      </c>
      <c r="AQ47" s="3468">
        <f>'19. HB'!H11</f>
        <v>0.1</v>
      </c>
      <c r="AR47" s="4216"/>
    </row>
    <row r="48" spans="1:44" ht="15.75" customHeight="1">
      <c r="A48" s="4230" t="s">
        <v>218</v>
      </c>
      <c r="B48" s="4231">
        <f>'11. Амортиз. план'!BE131</f>
        <v>22.496842772633613</v>
      </c>
      <c r="C48" s="4231">
        <f>'11. Амортиз. план'!BG131</f>
        <v>42.42754243138296</v>
      </c>
      <c r="D48" s="4231">
        <f>'11. Амортиз. план'!BH131</f>
        <v>86.772001119460256</v>
      </c>
      <c r="E48" s="4231">
        <f>'11. Амортиз. план'!BI131</f>
        <v>143.52328025539185</v>
      </c>
      <c r="F48" s="4231">
        <f>'11. Амортиз. план'!BJ131</f>
        <v>173.55147690042892</v>
      </c>
      <c r="G48" s="4231">
        <f>'11. Амортиз. план'!BK131</f>
        <v>178.93818297102067</v>
      </c>
      <c r="I48" s="4234" t="s">
        <v>1638</v>
      </c>
      <c r="J48" s="3526">
        <f>SUM('9.Инвестиционна програма'!BC12:BC15)</f>
        <v>7.6693782179432777</v>
      </c>
      <c r="K48" s="3526">
        <f>SUM('9.Инвестиционна програма'!BD12:BD15)</f>
        <v>0</v>
      </c>
      <c r="L48" s="3526">
        <f>SUM('9.Инвестиционна програма'!BE12:BE15)</f>
        <v>0</v>
      </c>
      <c r="M48" s="3526">
        <f>SUM('9.Инвестиционна програма'!BF12:BF15)</f>
        <v>1.022583762392437</v>
      </c>
      <c r="N48" s="3526">
        <f>SUM('9.Инвестиционна програма'!BG12:BG15)</f>
        <v>13.293588911101681</v>
      </c>
      <c r="O48" s="3644">
        <f>SUM(J48:N48)</f>
        <v>21.985550891437395</v>
      </c>
      <c r="P48" s="4259">
        <f t="shared" ref="P48:P88" si="51">IFERROR(O48/$O$88,0)</f>
        <v>1.0165311878540186E-3</v>
      </c>
      <c r="Q48" s="4260"/>
      <c r="S48" s="4229" t="s">
        <v>239</v>
      </c>
      <c r="T48" s="3526">
        <f>'12. Разходи'!BX29</f>
        <v>144.01648405024977</v>
      </c>
      <c r="U48" s="3526">
        <f>'12. Разходи'!BY29</f>
        <v>220.48198872090109</v>
      </c>
      <c r="V48" s="3526">
        <f>'12. Разходи'!BZ29</f>
        <v>230.00708261965508</v>
      </c>
      <c r="W48" s="3526">
        <f>'12. Разходи'!CA29</f>
        <v>239.16209229432008</v>
      </c>
      <c r="X48" s="3526">
        <f>'12. Разходи'!CB29</f>
        <v>210.05771392327557</v>
      </c>
      <c r="Y48" s="3526">
        <f>'12. Разходи'!CC29</f>
        <v>188.43971474655652</v>
      </c>
      <c r="Z48" s="4227">
        <f t="shared" ref="Z48:Z63" si="52">IFERROR((U48-T48)/T48,0)</f>
        <v>0.53094966992786197</v>
      </c>
      <c r="AA48" s="4227">
        <f t="shared" si="50"/>
        <v>-0.14532830622688886</v>
      </c>
      <c r="AK48" s="3394" t="s">
        <v>923</v>
      </c>
      <c r="AL48" s="3458" t="s">
        <v>170</v>
      </c>
      <c r="AM48" s="3439">
        <f>'19. HB'!D12</f>
        <v>0.1057</v>
      </c>
      <c r="AN48" s="3439">
        <f>'19. HB'!E12</f>
        <v>0.1057</v>
      </c>
      <c r="AO48" s="3439">
        <f>'19. HB'!F12</f>
        <v>0.1057</v>
      </c>
      <c r="AP48" s="3439">
        <f>'19. HB'!G12</f>
        <v>0.1057</v>
      </c>
      <c r="AQ48" s="3439">
        <f>'19. HB'!H12</f>
        <v>0.1057</v>
      </c>
      <c r="AR48" s="4216"/>
    </row>
    <row r="49" spans="1:44" ht="15.75" customHeight="1">
      <c r="A49" s="4234" t="s">
        <v>220</v>
      </c>
      <c r="B49" s="3526">
        <f>'11. Амортиз. план'!BE151</f>
        <v>64.422777030723537</v>
      </c>
      <c r="C49" s="3526">
        <f>'11. Амортиз. план'!BG151</f>
        <v>134.26247472355558</v>
      </c>
      <c r="D49" s="3526">
        <f>'11. Амортиз. план'!BH151</f>
        <v>221.03447584301585</v>
      </c>
      <c r="E49" s="3526">
        <f>'11. Амортиз. план'!BI151</f>
        <v>364.55775609840771</v>
      </c>
      <c r="F49" s="3526">
        <f>'11. Амортиз. план'!BJ151</f>
        <v>538.10923299883666</v>
      </c>
      <c r="G49" s="3526">
        <f>'11. Амортиз. план'!BK151</f>
        <v>717.04741596985741</v>
      </c>
      <c r="I49" s="4234" t="s">
        <v>357</v>
      </c>
      <c r="J49" s="3526">
        <f>'9.Инвестиционна програма'!BC16</f>
        <v>522.46833109217062</v>
      </c>
      <c r="K49" s="3526">
        <f>'9.Инвестиционна програма'!BD16</f>
        <v>892.57168158786806</v>
      </c>
      <c r="L49" s="3526">
        <f>'9.Инвестиционна програма'!BE16</f>
        <v>912.00077307332435</v>
      </c>
      <c r="M49" s="3526">
        <f>'9.Инвестиционна програма'!BF16</f>
        <v>153.38756435886555</v>
      </c>
      <c r="N49" s="3526">
        <f>'9.Инвестиционна програма'!BG16</f>
        <v>153.38756435886555</v>
      </c>
      <c r="O49" s="3644">
        <f t="shared" ref="O49:O72" si="53">SUM(J49:N49)</f>
        <v>2633.8159144710935</v>
      </c>
      <c r="P49" s="4259">
        <f t="shared" si="51"/>
        <v>0.12177798197309925</v>
      </c>
      <c r="Q49" s="4260"/>
      <c r="S49" s="4229" t="s">
        <v>446</v>
      </c>
      <c r="T49" s="3526">
        <f>'12. Разходи'!BX55</f>
        <v>76.012059671171158</v>
      </c>
      <c r="U49" s="3526">
        <f>'12. Разходи'!BY55</f>
        <v>238.85450563773304</v>
      </c>
      <c r="V49" s="3526">
        <f>'12. Разходи'!BZ55</f>
        <v>280.05259674659413</v>
      </c>
      <c r="W49" s="3526">
        <f>'12. Разходи'!CA55</f>
        <v>253.09558786061953</v>
      </c>
      <c r="X49" s="3526">
        <f>'12. Разходи'!CB55</f>
        <v>288.68997285714732</v>
      </c>
      <c r="Y49" s="3526">
        <f>'12. Разходи'!CC55</f>
        <v>306.7382200967325</v>
      </c>
      <c r="Z49" s="4227">
        <f t="shared" si="52"/>
        <v>2.1423238190231886</v>
      </c>
      <c r="AA49" s="4227">
        <f t="shared" si="50"/>
        <v>0.28420529174340825</v>
      </c>
      <c r="AK49" s="3394" t="s">
        <v>1702</v>
      </c>
      <c r="AL49" s="3458" t="s">
        <v>170</v>
      </c>
      <c r="AM49" s="3439">
        <f>'19. HB'!D13</f>
        <v>3.9399999999999998E-2</v>
      </c>
      <c r="AN49" s="3439">
        <f>'19. HB'!E13</f>
        <v>3.9399999999999998E-2</v>
      </c>
      <c r="AO49" s="3439">
        <f>'19. HB'!F13</f>
        <v>3.9399999999999998E-2</v>
      </c>
      <c r="AP49" s="3439">
        <f>'19. HB'!G13</f>
        <v>3.9399999999999998E-2</v>
      </c>
      <c r="AQ49" s="3439">
        <f>'19. HB'!H13</f>
        <v>3.9399999999999998E-2</v>
      </c>
      <c r="AR49" s="4216"/>
    </row>
    <row r="50" spans="1:44" ht="15.75" customHeight="1">
      <c r="A50" s="4234" t="s">
        <v>222</v>
      </c>
      <c r="B50" s="3526">
        <f>'11. Амортиз. план'!BE171</f>
        <v>247.97656238016597</v>
      </c>
      <c r="C50" s="3526">
        <f>'11. Амортиз. план'!BG171</f>
        <v>976.37744660566682</v>
      </c>
      <c r="D50" s="3526">
        <f>'11. Амортиз. план'!BH171</f>
        <v>2211.8637303746341</v>
      </c>
      <c r="E50" s="3526">
        <f>'11. Амортиз. план'!BI171</f>
        <v>3334.5270587031514</v>
      </c>
      <c r="F50" s="3526">
        <f>'11. Амортиз. план'!BJ171</f>
        <v>3321.3848879966827</v>
      </c>
      <c r="G50" s="3526">
        <f>'11. Амортиз. план'!BK171</f>
        <v>3306.4009682625829</v>
      </c>
      <c r="I50" s="4234" t="s">
        <v>1597</v>
      </c>
      <c r="J50" s="3526">
        <f>'9.Инвестиционна програма'!BC17</f>
        <v>874.6</v>
      </c>
      <c r="K50" s="3526">
        <f>'9.Инвестиционна програма'!BD17</f>
        <v>1749.2</v>
      </c>
      <c r="L50" s="3526">
        <f>'9.Инвестиционна програма'!BE17</f>
        <v>1650.0093750479336</v>
      </c>
      <c r="M50" s="3526">
        <f>'9.Инвестиционна програма'!BF17</f>
        <v>0</v>
      </c>
      <c r="N50" s="3526">
        <f>'9.Инвестиционна програма'!BG17</f>
        <v>0</v>
      </c>
      <c r="O50" s="3644">
        <f t="shared" si="53"/>
        <v>4273.8093750479338</v>
      </c>
      <c r="P50" s="4259">
        <f t="shared" si="51"/>
        <v>0.19760526093394973</v>
      </c>
      <c r="Q50" s="4260"/>
      <c r="S50" s="4235" t="s">
        <v>447</v>
      </c>
      <c r="T50" s="4231">
        <f>'12. Разходи'!BX56</f>
        <v>26.587177822203362</v>
      </c>
      <c r="U50" s="4231">
        <f>'12. Разходи'!BY56</f>
        <v>30.589441540356603</v>
      </c>
      <c r="V50" s="4231">
        <f>'12. Разходи'!BZ56</f>
        <v>31.395360202787174</v>
      </c>
      <c r="W50" s="4231">
        <f>'12. Разходи'!CA56</f>
        <v>31.876393338650288</v>
      </c>
      <c r="X50" s="4231">
        <f>'12. Разходи'!CB56</f>
        <v>32.079129856392719</v>
      </c>
      <c r="Y50" s="4231">
        <f>'12. Разходи'!CC56</f>
        <v>32.12710031627546</v>
      </c>
      <c r="Z50" s="4227">
        <f t="shared" si="52"/>
        <v>0.1505336047668395</v>
      </c>
      <c r="AA50" s="4227">
        <f t="shared" si="50"/>
        <v>5.0267631525414608E-2</v>
      </c>
      <c r="AK50" s="3394" t="s">
        <v>325</v>
      </c>
      <c r="AL50" s="3458" t="s">
        <v>170</v>
      </c>
      <c r="AM50" s="3523">
        <f>'19. HB'!D14</f>
        <v>0.5</v>
      </c>
      <c r="AN50" s="3523">
        <f>'19. HB'!E14</f>
        <v>0.5</v>
      </c>
      <c r="AO50" s="3523">
        <f>'19. HB'!F14</f>
        <v>0.5</v>
      </c>
      <c r="AP50" s="3523">
        <f>'19. HB'!G14</f>
        <v>0.5</v>
      </c>
      <c r="AQ50" s="3523">
        <f>'19. HB'!H14</f>
        <v>0.5</v>
      </c>
      <c r="AR50" s="4216"/>
    </row>
    <row r="51" spans="1:44" ht="15.75" customHeight="1">
      <c r="A51" s="5468" t="s">
        <v>1660</v>
      </c>
      <c r="B51" s="5469"/>
      <c r="C51" s="5469"/>
      <c r="D51" s="5469"/>
      <c r="E51" s="5469"/>
      <c r="F51" s="5469"/>
      <c r="G51" s="5469"/>
      <c r="I51" s="4234" t="s">
        <v>1598</v>
      </c>
      <c r="J51" s="3526">
        <f>SUM('9.Инвестиционна програма'!BC18:BC21)</f>
        <v>66.979236436704625</v>
      </c>
      <c r="K51" s="3526">
        <f>SUM('9.Инвестиционна програма'!BD18:BD21)</f>
        <v>26.075885941007144</v>
      </c>
      <c r="L51" s="3526">
        <f>SUM('9.Инвестиционна програма'!BE18:BE21)</f>
        <v>71.06957148627437</v>
      </c>
      <c r="M51" s="3526">
        <f>SUM('9.Инвестиционна програма'!BF18:BF21)</f>
        <v>76.182490298236559</v>
      </c>
      <c r="N51" s="3526">
        <f>SUM('9.Инвестиционна програма'!BG18:BG21)</f>
        <v>72.603447129863028</v>
      </c>
      <c r="O51" s="3644">
        <f t="shared" si="53"/>
        <v>312.91063129208572</v>
      </c>
      <c r="P51" s="4259">
        <f t="shared" si="51"/>
        <v>1.4467839231782778E-2</v>
      </c>
      <c r="Q51" s="4260"/>
      <c r="S51" s="4235" t="s">
        <v>736</v>
      </c>
      <c r="T51" s="4231">
        <f>'12. Разходи'!BX57</f>
        <v>14.316172673494117</v>
      </c>
      <c r="U51" s="4231">
        <f>'12. Разходи'!BY57</f>
        <v>42.42754243138296</v>
      </c>
      <c r="V51" s="4231">
        <f>'12. Разходи'!BZ57</f>
        <v>86.772001119460256</v>
      </c>
      <c r="W51" s="4231">
        <f>'12. Разходи'!CA57</f>
        <v>143.52328025539185</v>
      </c>
      <c r="X51" s="4231">
        <f>'12. Разходи'!CB57</f>
        <v>173.55147690042892</v>
      </c>
      <c r="Y51" s="4231">
        <f>'12. Разходи'!CC57</f>
        <v>178.93818297102067</v>
      </c>
      <c r="Z51" s="4227">
        <f t="shared" si="52"/>
        <v>1.9636092969132763</v>
      </c>
      <c r="AA51" s="4227">
        <f t="shared" si="50"/>
        <v>3.2175005366010314</v>
      </c>
      <c r="AK51" s="3394" t="s">
        <v>326</v>
      </c>
      <c r="AL51" s="3458" t="s">
        <v>170</v>
      </c>
      <c r="AM51" s="3523">
        <f>'19. HB'!D15</f>
        <v>0.5</v>
      </c>
      <c r="AN51" s="3523">
        <f>'19. HB'!E15</f>
        <v>0.5</v>
      </c>
      <c r="AO51" s="3523">
        <f>'19. HB'!F15</f>
        <v>0.5</v>
      </c>
      <c r="AP51" s="3523">
        <f>'19. HB'!G15</f>
        <v>0.5</v>
      </c>
      <c r="AQ51" s="3523">
        <f>'19. HB'!H15</f>
        <v>0.5</v>
      </c>
      <c r="AR51" s="4216"/>
    </row>
    <row r="52" spans="1:44" ht="13.5" customHeight="1">
      <c r="A52" s="4228" t="s">
        <v>334</v>
      </c>
      <c r="B52" s="3644">
        <f>'11. Амортиз. план'!BE192</f>
        <v>36974.58368058574</v>
      </c>
      <c r="C52" s="3644">
        <f>'11. Амортиз. план'!BG192</f>
        <v>36974.58368058574</v>
      </c>
      <c r="D52" s="3644">
        <f>'11. Амортиз. план'!BH192</f>
        <v>36974.58368058574</v>
      </c>
      <c r="E52" s="3644">
        <f>'11. Амортиз. план'!BI192</f>
        <v>36974.58368058574</v>
      </c>
      <c r="F52" s="3644">
        <f>'11. Амортиз. план'!BJ192</f>
        <v>36974.58368058574</v>
      </c>
      <c r="G52" s="3644">
        <f>'11. Амортиз. план'!BK192</f>
        <v>36974.58368058574</v>
      </c>
      <c r="I52" s="4234" t="s">
        <v>1599</v>
      </c>
      <c r="J52" s="3526">
        <f>'9.Инвестиционна програма'!BC22</f>
        <v>833.77272871364084</v>
      </c>
      <c r="K52" s="3526">
        <f>'9.Инвестиционна програма'!BD22</f>
        <v>1606.7017235649316</v>
      </c>
      <c r="L52" s="3526">
        <f>'9.Инвестиционна програма'!BE22</f>
        <v>1696.1778027742698</v>
      </c>
      <c r="M52" s="3526">
        <f>'9.Инвестиционна програма'!BF22</f>
        <v>102.2583762392437</v>
      </c>
      <c r="N52" s="3526">
        <f>'9.Инвестиционна програма'!BG22</f>
        <v>102.2583762392437</v>
      </c>
      <c r="O52" s="3644">
        <f t="shared" si="53"/>
        <v>4341.169007531329</v>
      </c>
      <c r="P52" s="4259">
        <f t="shared" si="51"/>
        <v>0.20071972313505035</v>
      </c>
      <c r="Q52" s="4260"/>
      <c r="S52" s="4235" t="s">
        <v>737</v>
      </c>
      <c r="T52" s="4231">
        <f>'12. Разходи'!BX58</f>
        <v>35.10870917547367</v>
      </c>
      <c r="U52" s="4231">
        <f>'12. Разходи'!BY58</f>
        <v>165.83752166599348</v>
      </c>
      <c r="V52" s="4231">
        <f>'12. Разходи'!BZ58</f>
        <v>161.88523542434669</v>
      </c>
      <c r="W52" s="4231">
        <f>'12. Разходи'!CA58</f>
        <v>77.695914266577361</v>
      </c>
      <c r="X52" s="4231">
        <f>'12. Разходи'!CB58</f>
        <v>83.05936610032569</v>
      </c>
      <c r="Y52" s="4231">
        <f>'12. Разходи'!CC58</f>
        <v>95.672936809436408</v>
      </c>
      <c r="Z52" s="4227">
        <f t="shared" si="52"/>
        <v>3.7235436893203882</v>
      </c>
      <c r="AA52" s="4227">
        <f t="shared" si="50"/>
        <v>-0.42309233852320027</v>
      </c>
      <c r="AK52" s="3400" t="s">
        <v>694</v>
      </c>
      <c r="AL52" s="3524" t="s">
        <v>170</v>
      </c>
      <c r="AM52" s="3525">
        <f>'19. HB'!D16</f>
        <v>7.8422222222222226E-2</v>
      </c>
      <c r="AN52" s="3525">
        <f>'19. HB'!E16</f>
        <v>7.8422222222222226E-2</v>
      </c>
      <c r="AO52" s="3525">
        <f>'19. HB'!F16</f>
        <v>7.8422222222222226E-2</v>
      </c>
      <c r="AP52" s="3525">
        <f>'19. HB'!G16</f>
        <v>7.8422222222222226E-2</v>
      </c>
      <c r="AQ52" s="3525">
        <f>'19. HB'!H16</f>
        <v>7.8422222222222226E-2</v>
      </c>
      <c r="AR52" s="4216"/>
    </row>
    <row r="53" spans="1:44" ht="15.75" customHeight="1">
      <c r="A53" s="4230" t="s">
        <v>218</v>
      </c>
      <c r="B53" s="4231">
        <f>'11. Амортиз. план'!BE214</f>
        <v>1960.804364387498</v>
      </c>
      <c r="C53" s="4231">
        <f>'11. Амортиз. план'!BG214</f>
        <v>1960.804364387498</v>
      </c>
      <c r="D53" s="4231">
        <f>'11. Амортиз. план'!BH214</f>
        <v>1960.804364387498</v>
      </c>
      <c r="E53" s="4231">
        <f>'11. Амортиз. план'!BI214</f>
        <v>1960.804364387498</v>
      </c>
      <c r="F53" s="4231">
        <f>'11. Амортиз. план'!BJ214</f>
        <v>1960.804364387498</v>
      </c>
      <c r="G53" s="4231">
        <f>'11. Амортиз. план'!BK214</f>
        <v>1960.804364387498</v>
      </c>
      <c r="I53" s="4234" t="s">
        <v>1600</v>
      </c>
      <c r="J53" s="3526">
        <f>SUM('9.Инвестиционна програма'!BC23:BC24)</f>
        <v>24.030718416222271</v>
      </c>
      <c r="K53" s="3526">
        <f>SUM('9.Инвестиционна програма'!BD23:BD24)</f>
        <v>21.474259010241177</v>
      </c>
      <c r="L53" s="3526">
        <f>SUM('9.Инвестиционна програма'!BE23:BE24)</f>
        <v>21.985550891437395</v>
      </c>
      <c r="M53" s="3526">
        <f>SUM('9.Инвестиционна програма'!BF23:BF24)</f>
        <v>21.474259010241177</v>
      </c>
      <c r="N53" s="3526">
        <f>SUM('9.Инвестиционна програма'!BG23:BG24)</f>
        <v>22.496842772633613</v>
      </c>
      <c r="O53" s="3644">
        <f t="shared" si="53"/>
        <v>111.46163010077564</v>
      </c>
      <c r="P53" s="4259">
        <f t="shared" si="51"/>
        <v>5.153576719818048E-3</v>
      </c>
      <c r="Q53" s="4260"/>
      <c r="S53" s="4229" t="s">
        <v>448</v>
      </c>
      <c r="T53" s="3526">
        <f>'12. Разходи'!BX59</f>
        <v>355.34785743137184</v>
      </c>
      <c r="U53" s="3526">
        <f>'12. Разходи'!BY59</f>
        <v>518.96125941416176</v>
      </c>
      <c r="V53" s="3526">
        <f>'12. Разходи'!BZ59</f>
        <v>581.23661054386127</v>
      </c>
      <c r="W53" s="3526">
        <f>'12. Разходи'!CA59</f>
        <v>650.98500380912458</v>
      </c>
      <c r="X53" s="3526">
        <f>'12. Разходи'!CB59</f>
        <v>748.63275438049334</v>
      </c>
      <c r="Y53" s="3526">
        <f>'12. Разходи'!CC59</f>
        <v>838.46868490615248</v>
      </c>
      <c r="Z53" s="4227">
        <f t="shared" si="52"/>
        <v>0.46043165467625902</v>
      </c>
      <c r="AA53" s="4227">
        <f t="shared" si="50"/>
        <v>0.61566720000000019</v>
      </c>
      <c r="AK53" s="3392" t="s">
        <v>1703</v>
      </c>
      <c r="AL53" s="3386" t="s">
        <v>1927</v>
      </c>
      <c r="AM53" s="3526">
        <f>'19. HB'!K17</f>
        <v>890.95088262756894</v>
      </c>
      <c r="AN53" s="3526">
        <f>'19. HB'!L17</f>
        <v>1241.7022391546186</v>
      </c>
      <c r="AO53" s="3526">
        <f>'19. HB'!M17</f>
        <v>1581.8598058392322</v>
      </c>
      <c r="AP53" s="3526">
        <f>'19. HB'!N17</f>
        <v>1603.2407593199514</v>
      </c>
      <c r="AQ53" s="3526">
        <f>'19. HB'!O17</f>
        <v>1610.7960882456866</v>
      </c>
      <c r="AR53" s="4216"/>
    </row>
    <row r="54" spans="1:44" ht="15.75" customHeight="1">
      <c r="A54" s="4234" t="s">
        <v>220</v>
      </c>
      <c r="B54" s="3526">
        <f>'11. Амортиз. план'!BE236</f>
        <v>13663.764233087742</v>
      </c>
      <c r="C54" s="3526">
        <f>'11. Амортиз. план'!BG236</f>
        <v>17585.37296186274</v>
      </c>
      <c r="D54" s="3526">
        <f>'11. Амортиз. план'!BH236</f>
        <v>19546.177326250236</v>
      </c>
      <c r="E54" s="3526">
        <f>'11. Амортиз. план'!BI236</f>
        <v>21506.981690637735</v>
      </c>
      <c r="F54" s="3526">
        <f>'11. Амортиз. план'!BJ236</f>
        <v>23467.786055025234</v>
      </c>
      <c r="G54" s="3526">
        <f>'11. Амортиз. план'!BK236</f>
        <v>25428.590419412732</v>
      </c>
      <c r="I54" s="4234" t="s">
        <v>1601</v>
      </c>
      <c r="J54" s="3526">
        <f>SUM('9.Инвестиционна програма'!BC25:BC26)</f>
        <v>2.045167524784874</v>
      </c>
      <c r="K54" s="3526">
        <f>SUM('9.Инвестиционна програма'!BD25:BD26)</f>
        <v>3.5790431683735293</v>
      </c>
      <c r="L54" s="3526">
        <f>SUM('9.Инвестиционна програма'!BE25:BE26)</f>
        <v>9.2032538615319321</v>
      </c>
      <c r="M54" s="3526">
        <f>SUM('9.Инвестиционна програма'!BF25:BF26)</f>
        <v>8.691961980335714</v>
      </c>
      <c r="N54" s="3526">
        <f>SUM('9.Инвестиционна програма'!BG25:BG26)</f>
        <v>12.271005148709245</v>
      </c>
      <c r="O54" s="3644">
        <f t="shared" si="53"/>
        <v>35.790431683735292</v>
      </c>
      <c r="P54" s="4259">
        <f t="shared" si="51"/>
        <v>1.6548182127856118E-3</v>
      </c>
      <c r="Q54" s="4260"/>
      <c r="S54" s="4229" t="s">
        <v>449</v>
      </c>
      <c r="T54" s="3526">
        <f>'12. Разходи'!BX63</f>
        <v>112.99550574436429</v>
      </c>
      <c r="U54" s="3526">
        <f>'12. Разходи'!BY63</f>
        <v>154.41014812125798</v>
      </c>
      <c r="V54" s="3526">
        <f>'12. Разходи'!BZ63</f>
        <v>166.37437814124951</v>
      </c>
      <c r="W54" s="3526">
        <f>'12. Разходи'!CA63</f>
        <v>179.77431576364003</v>
      </c>
      <c r="X54" s="3526">
        <f>'12. Разходи'!CB63</f>
        <v>211.82781734608838</v>
      </c>
      <c r="Y54" s="3526">
        <f>'12. Разходи'!CC63</f>
        <v>229.08693700372737</v>
      </c>
      <c r="Z54" s="4227">
        <f t="shared" si="52"/>
        <v>0.36651583710407221</v>
      </c>
      <c r="AA54" s="4227">
        <f t="shared" si="50"/>
        <v>0.48362617218543086</v>
      </c>
      <c r="AK54" s="3392" t="s">
        <v>1399</v>
      </c>
      <c r="AL54" s="3386" t="s">
        <v>1927</v>
      </c>
      <c r="AM54" s="3526">
        <f>'19. HB'!K18</f>
        <v>105.24929754501065</v>
      </c>
      <c r="AN54" s="3526">
        <f>'19. HB'!L18</f>
        <v>198.39513295282219</v>
      </c>
      <c r="AO54" s="3526">
        <f>'19. HB'!M18</f>
        <v>282.54083160356157</v>
      </c>
      <c r="AP54" s="3526">
        <f>'19. HB'!N18</f>
        <v>291.45387730118415</v>
      </c>
      <c r="AQ54" s="3526">
        <f>'19. HB'!O18</f>
        <v>299.57581999449349</v>
      </c>
      <c r="AR54" s="4216"/>
    </row>
    <row r="55" spans="1:44" ht="15.75" customHeight="1">
      <c r="A55" s="4234" t="s">
        <v>222</v>
      </c>
      <c r="B55" s="3526">
        <f>'11. Амортиз. план'!BE258</f>
        <v>23310.819447497994</v>
      </c>
      <c r="C55" s="3526">
        <f>'11. Амортиз. план'!BG258</f>
        <v>19389.210718722999</v>
      </c>
      <c r="D55" s="3526">
        <f>'11. Амортиз. план'!BH258</f>
        <v>17428.406354335501</v>
      </c>
      <c r="E55" s="3526">
        <f>'11. Амортиз. план'!BI258</f>
        <v>15467.601989948002</v>
      </c>
      <c r="F55" s="3526">
        <f>'11. Амортиз. план'!BJ258</f>
        <v>13506.797625560504</v>
      </c>
      <c r="G55" s="3526">
        <f>'11. Амортиз. план'!BK258</f>
        <v>11545.993261173006</v>
      </c>
      <c r="I55" s="4234" t="s">
        <v>1602</v>
      </c>
      <c r="J55" s="3526">
        <f>SUM('9.Инвестиционна програма'!BC27:BC28)</f>
        <v>0.51129188119621849</v>
      </c>
      <c r="K55" s="3526">
        <f>SUM('9.Инвестиционна програма'!BD27:BD28)</f>
        <v>0</v>
      </c>
      <c r="L55" s="3526">
        <f>SUM('9.Инвестиционна програма'!BE27:BE28)</f>
        <v>17.895215841867646</v>
      </c>
      <c r="M55" s="3526">
        <f>SUM('9.Инвестиционна програма'!BF27:BF28)</f>
        <v>23.008134653829831</v>
      </c>
      <c r="N55" s="3526">
        <f>SUM('9.Инвестиционна програма'!BG27:BG28)</f>
        <v>26.587177822203362</v>
      </c>
      <c r="O55" s="3644">
        <f t="shared" si="53"/>
        <v>68.001820199097054</v>
      </c>
      <c r="P55" s="4259">
        <f t="shared" si="51"/>
        <v>3.144154604292662E-3</v>
      </c>
      <c r="Q55" s="4260"/>
      <c r="S55" s="4229" t="s">
        <v>450</v>
      </c>
      <c r="T55" s="3526">
        <f>'12. Разходи'!BX70</f>
        <v>27.654832895540615</v>
      </c>
      <c r="U55" s="3526">
        <f>'12. Разходи'!BY70</f>
        <v>28.361360649954243</v>
      </c>
      <c r="V55" s="3526">
        <f>'12. Разходи'!BZ70</f>
        <v>28.70602250706861</v>
      </c>
      <c r="W55" s="3526">
        <f>'12. Разходи'!CA70</f>
        <v>29.061024219896414</v>
      </c>
      <c r="X55" s="3526">
        <f>'12. Разходи'!CB70</f>
        <v>29.42667598410905</v>
      </c>
      <c r="Y55" s="3526">
        <f>'12. Разходи'!CC70</f>
        <v>29.803297301248069</v>
      </c>
      <c r="Z55" s="4227">
        <f t="shared" si="52"/>
        <v>2.5548075343010176E-2</v>
      </c>
      <c r="AA55" s="4227">
        <f t="shared" si="50"/>
        <v>5.084158934018395E-2</v>
      </c>
      <c r="AK55" s="3392" t="s">
        <v>1400</v>
      </c>
      <c r="AL55" s="3386" t="s">
        <v>1927</v>
      </c>
      <c r="AM55" s="3526">
        <f>'19. HB'!K19</f>
        <v>122.23905697534889</v>
      </c>
      <c r="AN55" s="3526">
        <f>'19. HB'!L19</f>
        <v>221.62866707254864</v>
      </c>
      <c r="AO55" s="3526">
        <f>'19. HB'!M19</f>
        <v>313.18876838511017</v>
      </c>
      <c r="AP55" s="3526">
        <f>'19. HB'!N19</f>
        <v>314.3767718540127</v>
      </c>
      <c r="AQ55" s="3526">
        <f>'19. HB'!O19</f>
        <v>312.5426268175147</v>
      </c>
      <c r="AR55" s="4216"/>
    </row>
    <row r="56" spans="1:44" ht="15.75" customHeight="1">
      <c r="A56" s="2" t="s">
        <v>1667</v>
      </c>
      <c r="B56" s="11"/>
      <c r="C56" s="11"/>
      <c r="D56" s="11"/>
      <c r="E56" s="11"/>
      <c r="F56" s="11"/>
      <c r="G56" s="3393" t="s">
        <v>1912</v>
      </c>
      <c r="I56" s="4234" t="s">
        <v>1603</v>
      </c>
      <c r="J56" s="3526">
        <f>'9.Инвестиционна програма'!BC29</f>
        <v>1.022583762392437</v>
      </c>
      <c r="K56" s="3526">
        <f>'9.Инвестиционна програма'!BD29</f>
        <v>15.338756435886555</v>
      </c>
      <c r="L56" s="3526">
        <f>'9.Инвестиционна програма'!BE29</f>
        <v>1.022583762392437</v>
      </c>
      <c r="M56" s="3526">
        <f>'9.Инвестиционна програма'!BF29</f>
        <v>44.993685545267226</v>
      </c>
      <c r="N56" s="3526">
        <f>'9.Инвестиционна програма'!BG29</f>
        <v>8.1806700991394958</v>
      </c>
      <c r="O56" s="3644">
        <f t="shared" si="53"/>
        <v>70.558279605078141</v>
      </c>
      <c r="P56" s="4259">
        <f t="shared" si="51"/>
        <v>3.26235590520592E-3</v>
      </c>
      <c r="Q56" s="4260"/>
      <c r="S56" s="4229" t="s">
        <v>267</v>
      </c>
      <c r="T56" s="3526">
        <f>'12. Разходи'!BX76</f>
        <v>2.045167524784874</v>
      </c>
      <c r="U56" s="3526">
        <f>'12. Разходи'!BY76</f>
        <v>2.1883292515198152</v>
      </c>
      <c r="V56" s="3526">
        <f>'12. Разходи'!BZ76</f>
        <v>2.2539791290654096</v>
      </c>
      <c r="W56" s="3526">
        <f>'12. Разходи'!CA76</f>
        <v>2.321598502937372</v>
      </c>
      <c r="X56" s="3526">
        <f>'12. Разходи'!CB76</f>
        <v>2.3912464580254933</v>
      </c>
      <c r="Y56" s="3526">
        <f>'12. Разходи'!CC76</f>
        <v>2.4629838517662583</v>
      </c>
      <c r="Z56" s="4227">
        <f t="shared" si="52"/>
        <v>7.0000000000000021E-2</v>
      </c>
      <c r="AA56" s="4227">
        <f t="shared" si="50"/>
        <v>0.12550881000000022</v>
      </c>
      <c r="AK56" s="3392" t="s">
        <v>1238</v>
      </c>
      <c r="AL56" s="3386" t="s">
        <v>1927</v>
      </c>
      <c r="AM56" s="3526">
        <f>'19. HB'!K20</f>
        <v>0</v>
      </c>
      <c r="AN56" s="3526">
        <f>'19. HB'!L20</f>
        <v>0</v>
      </c>
      <c r="AO56" s="3526">
        <f>'19. HB'!M20</f>
        <v>0</v>
      </c>
      <c r="AP56" s="3526">
        <f>'19. HB'!N20</f>
        <v>0</v>
      </c>
      <c r="AQ56" s="3526">
        <f>'19. HB'!O20</f>
        <v>0</v>
      </c>
      <c r="AR56" s="4216"/>
    </row>
    <row r="57" spans="1:44" ht="12.75" customHeight="1">
      <c r="A57" s="5467" t="s">
        <v>87</v>
      </c>
      <c r="B57" s="5460" t="s">
        <v>1029</v>
      </c>
      <c r="C57" s="5460"/>
      <c r="D57" s="5460"/>
      <c r="E57" s="5460"/>
      <c r="F57" s="5460"/>
      <c r="G57" s="5460"/>
      <c r="I57" s="4230" t="s">
        <v>1604</v>
      </c>
      <c r="J57" s="4231">
        <f>SUM(J48:J56)</f>
        <v>2333.099436045055</v>
      </c>
      <c r="K57" s="4231">
        <f>SUM(K48:K56)</f>
        <v>4314.9413497083078</v>
      </c>
      <c r="L57" s="4231">
        <f>SUM(L48:L56)</f>
        <v>4379.3641267390312</v>
      </c>
      <c r="M57" s="4231">
        <f>SUM(M48:M56)</f>
        <v>431.01905584841211</v>
      </c>
      <c r="N57" s="4231">
        <f>SUM(N48:N56)</f>
        <v>411.07867248175972</v>
      </c>
      <c r="O57" s="3644">
        <f t="shared" si="53"/>
        <v>11869.502640822566</v>
      </c>
      <c r="P57" s="4261">
        <f t="shared" si="51"/>
        <v>0.54880224190383842</v>
      </c>
      <c r="Q57" s="4262"/>
      <c r="S57" s="4237" t="s">
        <v>277</v>
      </c>
      <c r="T57" s="4238">
        <f>SUM(T47:T49,T53:T56)</f>
        <v>1080.7843130126605</v>
      </c>
      <c r="U57" s="4238">
        <f t="shared" ref="U57:Y57" si="54">SUM(U47:U49,U53:U56)</f>
        <v>1582.5444338425364</v>
      </c>
      <c r="V57" s="4238">
        <f t="shared" si="54"/>
        <v>1710.1513030149306</v>
      </c>
      <c r="W57" s="4238">
        <f t="shared" si="54"/>
        <v>1778.0234329866275</v>
      </c>
      <c r="X57" s="4238">
        <f t="shared" si="54"/>
        <v>1973.1184049350688</v>
      </c>
      <c r="Y57" s="4238">
        <f t="shared" si="54"/>
        <v>2078.5741832518747</v>
      </c>
      <c r="Z57" s="4239">
        <f t="shared" si="52"/>
        <v>0.46425555477506097</v>
      </c>
      <c r="AA57" s="4239">
        <f t="shared" si="50"/>
        <v>0.31343811826183043</v>
      </c>
      <c r="AK57" s="3392" t="s">
        <v>1704</v>
      </c>
      <c r="AL57" s="3386" t="s">
        <v>1927</v>
      </c>
      <c r="AM57" s="3526">
        <f>'19. HB'!K21</f>
        <v>0</v>
      </c>
      <c r="AN57" s="3526">
        <f>'19. HB'!L21</f>
        <v>0</v>
      </c>
      <c r="AO57" s="3526">
        <f>'19. HB'!M21</f>
        <v>0</v>
      </c>
      <c r="AP57" s="3526">
        <f>'19. HB'!N21</f>
        <v>0</v>
      </c>
      <c r="AQ57" s="3526">
        <f>'19. HB'!O21</f>
        <v>0</v>
      </c>
      <c r="AR57" s="4216"/>
    </row>
    <row r="58" spans="1:44" ht="12.75" customHeight="1">
      <c r="A58" s="5467"/>
      <c r="B58" s="4218" t="str">
        <f>+'15. ОПП'!$B$7</f>
        <v>2024 г.</v>
      </c>
      <c r="C58" s="4218" t="str">
        <f>+'15. ОПП'!$C$7</f>
        <v>2027 г.</v>
      </c>
      <c r="D58" s="4218" t="str">
        <f>+'15. ОПП'!$D$7</f>
        <v>2028 г.</v>
      </c>
      <c r="E58" s="4218" t="str">
        <f>+'15. ОПП'!$E$7</f>
        <v>2029 г.</v>
      </c>
      <c r="F58" s="4218" t="str">
        <f>+'15. ОПП'!$F$7</f>
        <v>2030 г.</v>
      </c>
      <c r="G58" s="4218" t="str">
        <f>+'15. ОПП'!$G$7</f>
        <v>2031 г.</v>
      </c>
      <c r="I58" s="4230" t="s">
        <v>1605</v>
      </c>
      <c r="J58" s="4231">
        <f>SUM('9.Инвестиционна програма'!BC30:BC35)</f>
        <v>506.17896238425629</v>
      </c>
      <c r="K58" s="4231">
        <f>SUM('9.Инвестиционна програма'!BD30:BD35)</f>
        <v>274.05244832117313</v>
      </c>
      <c r="L58" s="4231">
        <f>SUM('9.Инвестиционна програма'!BE30:BE35)</f>
        <v>274.05244832117313</v>
      </c>
      <c r="M58" s="4231">
        <f>SUM('9.Инвестиционна програма'!BF30:BF35)</f>
        <v>274.05244832117313</v>
      </c>
      <c r="N58" s="4231">
        <f>SUM('9.Инвестиционна програма'!BG30:BG35)</f>
        <v>274.05244832117313</v>
      </c>
      <c r="O58" s="3644">
        <f t="shared" si="53"/>
        <v>1602.388755668949</v>
      </c>
      <c r="P58" s="4261">
        <f t="shared" si="51"/>
        <v>7.4088575412430122E-2</v>
      </c>
      <c r="Q58" s="4262"/>
      <c r="S58" s="4245" t="str">
        <f>CONCATENATE("Спестявания и увеличения спрямо ",T46," - нето:")</f>
        <v>Спестявания и увеличения спрямо 2024 г. - нето:</v>
      </c>
      <c r="T58" s="4246"/>
      <c r="U58" s="4245">
        <f>U57-$T57</f>
        <v>501.76012082987586</v>
      </c>
      <c r="V58" s="4245">
        <f t="shared" ref="V58:Y58" si="55">V57-$T57</f>
        <v>629.36699000227009</v>
      </c>
      <c r="W58" s="4245">
        <f t="shared" si="55"/>
        <v>697.23911997396704</v>
      </c>
      <c r="X58" s="4245">
        <f t="shared" si="55"/>
        <v>892.33409192240833</v>
      </c>
      <c r="Y58" s="4245">
        <f t="shared" si="55"/>
        <v>997.78987023921422</v>
      </c>
      <c r="Z58" s="4246"/>
      <c r="AA58" s="4246"/>
      <c r="AK58" s="3394" t="s">
        <v>327</v>
      </c>
      <c r="AL58" s="3458" t="s">
        <v>1927</v>
      </c>
      <c r="AM58" s="3644">
        <f>SUM(AM53:AM57)</f>
        <v>1118.4392371479285</v>
      </c>
      <c r="AN58" s="3644">
        <f t="shared" ref="AN58:AQ58" si="56">SUM(AN53:AN57)</f>
        <v>1661.7260391799896</v>
      </c>
      <c r="AO58" s="3644">
        <f t="shared" si="56"/>
        <v>2177.5894058279041</v>
      </c>
      <c r="AP58" s="3644">
        <f t="shared" si="56"/>
        <v>2209.071408475148</v>
      </c>
      <c r="AQ58" s="3644">
        <f t="shared" si="56"/>
        <v>2222.9145350576946</v>
      </c>
      <c r="AR58" s="4216"/>
    </row>
    <row r="59" spans="1:44" ht="15.75" customHeight="1">
      <c r="A59" s="5466" t="s">
        <v>1658</v>
      </c>
      <c r="B59" s="5466"/>
      <c r="C59" s="5466"/>
      <c r="D59" s="5466"/>
      <c r="E59" s="5466"/>
      <c r="F59" s="5466"/>
      <c r="G59" s="5466"/>
      <c r="I59" s="3522" t="s">
        <v>207</v>
      </c>
      <c r="J59" s="4238">
        <f>J57+J58</f>
        <v>2839.2783984293114</v>
      </c>
      <c r="K59" s="4238">
        <f>K57+K58</f>
        <v>4588.9937980294808</v>
      </c>
      <c r="L59" s="4238">
        <f>L57+L58</f>
        <v>4653.4165750602042</v>
      </c>
      <c r="M59" s="4238">
        <f>M57+M58</f>
        <v>705.0715041695853</v>
      </c>
      <c r="N59" s="4238">
        <f>N57+N58</f>
        <v>685.13112080293286</v>
      </c>
      <c r="O59" s="4238">
        <f>SUM(J59:N59)</f>
        <v>13471.891396491515</v>
      </c>
      <c r="P59" s="4239">
        <f t="shared" si="51"/>
        <v>0.6228908173162685</v>
      </c>
      <c r="Q59" s="4244"/>
      <c r="S59" s="4229" t="s">
        <v>1670</v>
      </c>
      <c r="T59" s="3644">
        <f>'12. Разходи'!BX92</f>
        <v>846.18806337974161</v>
      </c>
      <c r="U59" s="3644">
        <f>'12. Разходи'!BY92</f>
        <v>0</v>
      </c>
      <c r="V59" s="3644">
        <f>'12. Разходи'!BZ92</f>
        <v>0</v>
      </c>
      <c r="W59" s="3644">
        <f>'12. Разходи'!CA92</f>
        <v>0</v>
      </c>
      <c r="X59" s="3644">
        <f>'12. Разходи'!CB92</f>
        <v>0</v>
      </c>
      <c r="Y59" s="3644">
        <f>'12. Разходи'!CC92</f>
        <v>0</v>
      </c>
      <c r="Z59" s="4227">
        <f t="shared" si="52"/>
        <v>-1</v>
      </c>
      <c r="AA59" s="4227">
        <f t="shared" ref="AA59:AA63" si="57">IFERROR((Y59-U59)/U59,0)</f>
        <v>0</v>
      </c>
      <c r="AR59" s="4216"/>
    </row>
    <row r="60" spans="1:44" ht="15.75" customHeight="1">
      <c r="A60" s="4228" t="s">
        <v>334</v>
      </c>
      <c r="B60" s="3644">
        <f>'11. Амортиз. план'!BL10</f>
        <v>0</v>
      </c>
      <c r="C60" s="3644">
        <f>'11. Амортиз. план'!BN10</f>
        <v>0</v>
      </c>
      <c r="D60" s="3644">
        <f>'11. Амортиз. план'!BO10</f>
        <v>0</v>
      </c>
      <c r="E60" s="3644">
        <f>'11. Амортиз. план'!BP10</f>
        <v>0</v>
      </c>
      <c r="F60" s="3644">
        <f>'11. Амортиз. план'!BQ10</f>
        <v>0</v>
      </c>
      <c r="G60" s="3644">
        <f>'11. Амортиз. план'!BR10</f>
        <v>0</v>
      </c>
      <c r="I60" s="4234" t="s">
        <v>1606</v>
      </c>
      <c r="J60" s="3526">
        <f>'9.Инвестиционна програма'!BC37</f>
        <v>28.121053465792016</v>
      </c>
      <c r="K60" s="3526">
        <f>'9.Инвестиционна програма'!BD37</f>
        <v>0</v>
      </c>
      <c r="L60" s="3526">
        <f>'9.Инвестиционна програма'!BE37</f>
        <v>0</v>
      </c>
      <c r="M60" s="3526">
        <f>'9.Инвестиционна програма'!BF37</f>
        <v>0</v>
      </c>
      <c r="N60" s="3526">
        <f>'9.Инвестиционна програма'!BG37</f>
        <v>0</v>
      </c>
      <c r="O60" s="3644">
        <f t="shared" si="53"/>
        <v>28.121053465792016</v>
      </c>
      <c r="P60" s="4259">
        <f t="shared" si="51"/>
        <v>1.3002143100458378E-3</v>
      </c>
      <c r="Q60" s="4260"/>
      <c r="S60" s="4229" t="s">
        <v>1672</v>
      </c>
      <c r="T60" s="3644">
        <f>'12. Разходи'!BX93</f>
        <v>158.58418996174782</v>
      </c>
      <c r="U60" s="3644">
        <f>'12. Разходи'!BY93</f>
        <v>1343.689928204803</v>
      </c>
      <c r="V60" s="3644">
        <f>'12. Разходи'!BZ93</f>
        <v>1430.0987062683364</v>
      </c>
      <c r="W60" s="3644">
        <f>'12. Разходи'!CA93</f>
        <v>1524.9278451260079</v>
      </c>
      <c r="X60" s="3644">
        <f>'12. Разходи'!CB93</f>
        <v>1684.4284320779211</v>
      </c>
      <c r="Y60" s="3644">
        <f>'12. Разходи'!CC93</f>
        <v>1771.8359631551423</v>
      </c>
      <c r="Z60" s="4227">
        <f t="shared" si="52"/>
        <v>7.473038381246675</v>
      </c>
      <c r="AA60" s="4227">
        <f t="shared" si="57"/>
        <v>0.31863454950678322</v>
      </c>
      <c r="AR60" s="4216"/>
    </row>
    <row r="61" spans="1:44" ht="15.75" customHeight="1">
      <c r="A61" s="4230" t="s">
        <v>218</v>
      </c>
      <c r="B61" s="4231">
        <f>'11. Амортиз. план'!BL35</f>
        <v>0</v>
      </c>
      <c r="C61" s="4231">
        <f>'11. Амортиз. план'!BN35</f>
        <v>0</v>
      </c>
      <c r="D61" s="4231">
        <f>'11. Амортиз. план'!BO35</f>
        <v>0</v>
      </c>
      <c r="E61" s="4231">
        <f>'11. Амортиз. план'!BP35</f>
        <v>0</v>
      </c>
      <c r="F61" s="4231">
        <f>'11. Амортиз. план'!BQ35</f>
        <v>0</v>
      </c>
      <c r="G61" s="4231">
        <f>'11. Амортиз. план'!BR35</f>
        <v>0</v>
      </c>
      <c r="I61" s="4234" t="s">
        <v>1607</v>
      </c>
      <c r="J61" s="3526">
        <f>'9.Инвестиционна програма'!BC38</f>
        <v>492</v>
      </c>
      <c r="K61" s="3526">
        <f>'9.Инвестиционна програма'!BD38</f>
        <v>984</v>
      </c>
      <c r="L61" s="3526">
        <f>'9.Инвестиционна програма'!BE38</f>
        <v>954.34507089061935</v>
      </c>
      <c r="M61" s="3526">
        <f>'9.Инвестиционна програма'!BF38</f>
        <v>0</v>
      </c>
      <c r="N61" s="3526">
        <f>'9.Инвестиционна програма'!BG38</f>
        <v>0</v>
      </c>
      <c r="O61" s="3644">
        <f t="shared" si="53"/>
        <v>2430.3450708906194</v>
      </c>
      <c r="P61" s="4259">
        <f t="shared" si="51"/>
        <v>0.11237023688907347</v>
      </c>
      <c r="Q61" s="4260"/>
      <c r="S61" s="4248" t="s">
        <v>1671</v>
      </c>
      <c r="T61" s="3526">
        <f>'12. Разходи'!BX94</f>
        <v>52.151771882014287</v>
      </c>
      <c r="U61" s="3526">
        <f>'12. Разходи'!BY94</f>
        <v>0</v>
      </c>
      <c r="V61" s="3526">
        <f>'12. Разходи'!BZ94</f>
        <v>0</v>
      </c>
      <c r="W61" s="3526">
        <f>'12. Разходи'!CA94</f>
        <v>0</v>
      </c>
      <c r="X61" s="3526">
        <f>'12. Разходи'!CB94</f>
        <v>0</v>
      </c>
      <c r="Y61" s="3526">
        <f>'12. Разходи'!CC94</f>
        <v>0</v>
      </c>
      <c r="Z61" s="4227">
        <f t="shared" si="52"/>
        <v>-1</v>
      </c>
      <c r="AA61" s="4227">
        <f t="shared" si="57"/>
        <v>0</v>
      </c>
      <c r="AR61" s="4216"/>
    </row>
    <row r="62" spans="1:44" ht="15.75" customHeight="1">
      <c r="A62" s="4234" t="s">
        <v>220</v>
      </c>
      <c r="B62" s="3526">
        <f>'11. Амортиз. план'!BL60</f>
        <v>0</v>
      </c>
      <c r="C62" s="3526">
        <f>'11. Амортиз. план'!BN60</f>
        <v>0</v>
      </c>
      <c r="D62" s="3526">
        <f>'11. Амортиз. план'!BO60</f>
        <v>0</v>
      </c>
      <c r="E62" s="3526">
        <f>'11. Амортиз. план'!BP60</f>
        <v>0</v>
      </c>
      <c r="F62" s="3526">
        <f>'11. Амортиз. план'!BQ60</f>
        <v>0</v>
      </c>
      <c r="G62" s="3526">
        <f>'11. Амортиз. план'!BR60</f>
        <v>0</v>
      </c>
      <c r="I62" s="4234" t="s">
        <v>1608</v>
      </c>
      <c r="J62" s="3526">
        <f>'9.Инвестиционна програма'!BC39</f>
        <v>2.045167524784874</v>
      </c>
      <c r="K62" s="3526">
        <f>'9.Инвестиционна програма'!BD39</f>
        <v>1.5338756435886556</v>
      </c>
      <c r="L62" s="3526">
        <f>'9.Инвестиционна програма'!BE39</f>
        <v>3.0677512871773112</v>
      </c>
      <c r="M62" s="3526">
        <f>'9.Инвестиционна програма'!BF39</f>
        <v>10.22583762392437</v>
      </c>
      <c r="N62" s="3526">
        <f>'9.Инвестиционна програма'!BG39</f>
        <v>12.782297029905463</v>
      </c>
      <c r="O62" s="3644">
        <f t="shared" si="53"/>
        <v>29.654929109380674</v>
      </c>
      <c r="P62" s="4259">
        <f t="shared" si="51"/>
        <v>1.3711350905937928E-3</v>
      </c>
      <c r="Q62" s="4244"/>
      <c r="S62" s="4229" t="s">
        <v>1674</v>
      </c>
      <c r="T62" s="3526">
        <f>'12. Разходи'!BX90</f>
        <v>36.568587249403066</v>
      </c>
      <c r="U62" s="3526">
        <f>'12. Разходи'!BY90</f>
        <v>47.539163424223993</v>
      </c>
      <c r="V62" s="3526">
        <f>'12. Разходи'!BZ90</f>
        <v>49.9161215954352</v>
      </c>
      <c r="W62" s="3526">
        <f>'12. Разходи'!CA90</f>
        <v>51.41360524329825</v>
      </c>
      <c r="X62" s="3526">
        <f>'12. Разходи'!CB90</f>
        <v>50.385333138432301</v>
      </c>
      <c r="Y62" s="3526">
        <f>'12. Разходи'!CC90</f>
        <v>48.369919812894992</v>
      </c>
      <c r="Z62" s="4227">
        <f t="shared" si="52"/>
        <v>0.30000000000000021</v>
      </c>
      <c r="AA62" s="4227">
        <f t="shared" si="57"/>
        <v>1.7475199999999989E-2</v>
      </c>
      <c r="AR62" s="4216"/>
    </row>
    <row r="63" spans="1:44" ht="14.25" customHeight="1">
      <c r="A63" s="4234" t="s">
        <v>222</v>
      </c>
      <c r="B63" s="3526">
        <f>'11. Амортиз. план'!BL85</f>
        <v>0</v>
      </c>
      <c r="C63" s="3526">
        <f>'11. Амортиз. план'!BN85</f>
        <v>0</v>
      </c>
      <c r="D63" s="3526">
        <f>'11. Амортиз. план'!BO85</f>
        <v>0</v>
      </c>
      <c r="E63" s="3526">
        <f>'11. Амортиз. план'!BP85</f>
        <v>0</v>
      </c>
      <c r="F63" s="3526">
        <f>'11. Амортиз. план'!BQ85</f>
        <v>0</v>
      </c>
      <c r="G63" s="3526">
        <f>'11. Амортиз. план'!BR85</f>
        <v>0</v>
      </c>
      <c r="I63" s="4234" t="s">
        <v>1575</v>
      </c>
      <c r="J63" s="3526">
        <f>'9.Инвестиционна програма'!BC40</f>
        <v>0</v>
      </c>
      <c r="K63" s="3526">
        <f>'9.Инвестиционна програма'!BD40</f>
        <v>0</v>
      </c>
      <c r="L63" s="3526">
        <f>'9.Инвестиционна програма'!BE40</f>
        <v>0</v>
      </c>
      <c r="M63" s="3526">
        <f>'9.Инвестиционна програма'!BF40</f>
        <v>0</v>
      </c>
      <c r="N63" s="3526">
        <f>'9.Инвестиционна програма'!BG40</f>
        <v>0</v>
      </c>
      <c r="O63" s="3644">
        <f t="shared" si="53"/>
        <v>0</v>
      </c>
      <c r="P63" s="4259">
        <f t="shared" si="51"/>
        <v>0</v>
      </c>
      <c r="Q63" s="4244"/>
      <c r="S63" s="4229" t="s">
        <v>1232</v>
      </c>
      <c r="T63" s="3526">
        <f>'12. Разходи'!BX89</f>
        <v>410.50886644180997</v>
      </c>
      <c r="U63" s="3526">
        <f>'12. Разходи'!BY89</f>
        <v>527.08439091372975</v>
      </c>
      <c r="V63" s="3526">
        <f>'12. Разходи'!BZ89</f>
        <v>533.99572778861148</v>
      </c>
      <c r="W63" s="3526">
        <f>'12. Разходи'!CA89</f>
        <v>541.2217760647909</v>
      </c>
      <c r="X63" s="3526">
        <f>'12. Разходи'!CB89</f>
        <v>569.03056910876728</v>
      </c>
      <c r="Y63" s="3526">
        <f>'12. Разходи'!CC89</f>
        <v>548.25919618770558</v>
      </c>
      <c r="Z63" s="4227">
        <f t="shared" si="52"/>
        <v>0.28397809158756493</v>
      </c>
      <c r="AA63" s="4227">
        <f t="shared" si="57"/>
        <v>4.0173462995684896E-2</v>
      </c>
      <c r="AR63" s="4216"/>
    </row>
    <row r="64" spans="1:44" ht="20.25" customHeight="1">
      <c r="A64" s="5466" t="s">
        <v>1659</v>
      </c>
      <c r="B64" s="5466"/>
      <c r="C64" s="5466"/>
      <c r="D64" s="5466"/>
      <c r="E64" s="5466"/>
      <c r="F64" s="5466"/>
      <c r="G64" s="5466"/>
      <c r="I64" s="4234" t="s">
        <v>1609</v>
      </c>
      <c r="J64" s="3526">
        <f>'9.Инвестиционна програма'!BC42</f>
        <v>0</v>
      </c>
      <c r="K64" s="3526">
        <f>'9.Инвестиционна програма'!BD42</f>
        <v>0</v>
      </c>
      <c r="L64" s="3526">
        <f>'9.Инвестиционна програма'!BE42</f>
        <v>0</v>
      </c>
      <c r="M64" s="3526">
        <f>'9.Инвестиционна програма'!BF42</f>
        <v>0</v>
      </c>
      <c r="N64" s="3526">
        <f>'9.Инвестиционна програма'!BG42</f>
        <v>0</v>
      </c>
      <c r="O64" s="3644">
        <f t="shared" si="53"/>
        <v>0</v>
      </c>
      <c r="P64" s="4259">
        <f t="shared" si="51"/>
        <v>0</v>
      </c>
      <c r="Q64" s="4244"/>
      <c r="T64" s="11"/>
      <c r="U64" s="11"/>
      <c r="V64" s="11"/>
      <c r="W64" s="11"/>
      <c r="X64" s="11"/>
      <c r="Y64" s="11"/>
      <c r="Z64" s="11"/>
      <c r="AA64" s="11"/>
      <c r="AR64" s="4216"/>
    </row>
    <row r="65" spans="1:44" ht="15.75" customHeight="1">
      <c r="A65" s="4228" t="s">
        <v>334</v>
      </c>
      <c r="B65" s="3644">
        <f>'11. Амортиз. план'!BL111</f>
        <v>0</v>
      </c>
      <c r="C65" s="3644">
        <f>'11. Амортиз. план'!BN111</f>
        <v>0</v>
      </c>
      <c r="D65" s="3644">
        <f>'11. Амортиз. план'!BO111</f>
        <v>0</v>
      </c>
      <c r="E65" s="3644">
        <f>'11. Амортиз. план'!BP111</f>
        <v>0</v>
      </c>
      <c r="F65" s="3644">
        <f>'11. Амортиз. план'!BQ111</f>
        <v>0</v>
      </c>
      <c r="G65" s="3644">
        <f>'11. Амортиз. план'!BR111</f>
        <v>0</v>
      </c>
      <c r="I65" s="4234" t="s">
        <v>1603</v>
      </c>
      <c r="J65" s="3526">
        <f>'9.Инвестиционна програма'!BC41</f>
        <v>0</v>
      </c>
      <c r="K65" s="3526">
        <f>'9.Инвестиционна програма'!BD41</f>
        <v>0</v>
      </c>
      <c r="L65" s="3526">
        <f>'9.Инвестиционна програма'!BE41</f>
        <v>0</v>
      </c>
      <c r="M65" s="3526">
        <f>'9.Инвестиционна програма'!BF41</f>
        <v>0</v>
      </c>
      <c r="N65" s="3526">
        <f>'9.Инвестиционна програма'!BG41</f>
        <v>0</v>
      </c>
      <c r="O65" s="3644">
        <f t="shared" si="53"/>
        <v>0</v>
      </c>
      <c r="P65" s="4259">
        <f t="shared" si="51"/>
        <v>0</v>
      </c>
      <c r="Q65" s="4244"/>
      <c r="T65" s="11"/>
      <c r="U65" s="11"/>
      <c r="V65" s="11"/>
      <c r="W65" s="11"/>
      <c r="X65" s="11"/>
      <c r="Y65" s="11"/>
      <c r="Z65" s="11"/>
      <c r="AA65" s="11"/>
      <c r="AR65" s="4216"/>
    </row>
    <row r="66" spans="1:44" ht="15" customHeight="1">
      <c r="A66" s="4230" t="s">
        <v>218</v>
      </c>
      <c r="B66" s="4231">
        <f>'11. Амортиз. план'!BL131</f>
        <v>0</v>
      </c>
      <c r="C66" s="4231">
        <f>'11. Амортиз. план'!BN131</f>
        <v>0</v>
      </c>
      <c r="D66" s="4231">
        <f>'11. Амортиз. план'!BO131</f>
        <v>0</v>
      </c>
      <c r="E66" s="4231">
        <f>'11. Амортиз. план'!BP131</f>
        <v>0</v>
      </c>
      <c r="F66" s="4231">
        <f>'11. Амортиз. план'!BQ131</f>
        <v>0</v>
      </c>
      <c r="G66" s="4231">
        <f>'11. Амортиз. план'!BR131</f>
        <v>0</v>
      </c>
      <c r="I66" s="4230" t="s">
        <v>1610</v>
      </c>
      <c r="J66" s="4231">
        <f>SUM(J60:J65)</f>
        <v>522.1662209905769</v>
      </c>
      <c r="K66" s="4231">
        <f t="shared" ref="K66:N66" si="58">SUM(K60:K65)</f>
        <v>985.53387564358866</v>
      </c>
      <c r="L66" s="4231">
        <f t="shared" si="58"/>
        <v>957.41282217779667</v>
      </c>
      <c r="M66" s="4231">
        <f t="shared" si="58"/>
        <v>10.22583762392437</v>
      </c>
      <c r="N66" s="4231">
        <f t="shared" si="58"/>
        <v>12.782297029905463</v>
      </c>
      <c r="O66" s="4263">
        <f t="shared" si="53"/>
        <v>2488.1210534657916</v>
      </c>
      <c r="P66" s="4261">
        <f t="shared" si="51"/>
        <v>0.11504158628971309</v>
      </c>
      <c r="Q66" s="4244"/>
      <c r="T66" s="11"/>
      <c r="U66" s="11"/>
      <c r="V66" s="11"/>
      <c r="W66" s="11"/>
      <c r="X66" s="11"/>
      <c r="Y66" s="11"/>
      <c r="Z66" s="11"/>
      <c r="AA66" s="11"/>
      <c r="AR66" s="4216"/>
    </row>
    <row r="67" spans="1:44" ht="20.25" customHeight="1">
      <c r="A67" s="4234" t="s">
        <v>220</v>
      </c>
      <c r="B67" s="3526">
        <f>'11. Амортиз. план'!BL151</f>
        <v>0</v>
      </c>
      <c r="C67" s="3526">
        <f>'11. Амортиз. план'!BN151</f>
        <v>0</v>
      </c>
      <c r="D67" s="3526">
        <f>'11. Амортиз. план'!BO151</f>
        <v>0</v>
      </c>
      <c r="E67" s="3526">
        <f>'11. Амортиз. план'!BP151</f>
        <v>0</v>
      </c>
      <c r="F67" s="3526">
        <f>'11. Амортиз. план'!BQ151</f>
        <v>0</v>
      </c>
      <c r="G67" s="3526">
        <f>'11. Амортиз. план'!BR151</f>
        <v>0</v>
      </c>
      <c r="I67" s="4230" t="s">
        <v>1605</v>
      </c>
      <c r="J67" s="4231">
        <f>SUM('9.Инвестиционна програма'!BC43:BC47)</f>
        <v>2.045167524784874</v>
      </c>
      <c r="K67" s="4231">
        <f>SUM('9.Инвестиционна програма'!BD43:BD47)</f>
        <v>0</v>
      </c>
      <c r="L67" s="4231">
        <f>SUM('9.Инвестиционна програма'!BE43:BE47)</f>
        <v>0</v>
      </c>
      <c r="M67" s="4231">
        <f>SUM('9.Инвестиционна програма'!BF43:BF47)</f>
        <v>0</v>
      </c>
      <c r="N67" s="4231">
        <f>SUM('9.Инвестиционна програма'!BG43:BG47)</f>
        <v>0</v>
      </c>
      <c r="O67" s="4263">
        <f t="shared" si="53"/>
        <v>2.045167524784874</v>
      </c>
      <c r="P67" s="4261">
        <f t="shared" si="51"/>
        <v>9.4561040730606393E-5</v>
      </c>
      <c r="Q67" s="4244"/>
      <c r="T67" s="11"/>
      <c r="U67" s="11"/>
      <c r="V67" s="11"/>
      <c r="W67" s="11"/>
      <c r="X67" s="11"/>
      <c r="Y67" s="11"/>
      <c r="Z67" s="11"/>
      <c r="AA67" s="11"/>
      <c r="AR67" s="4216"/>
    </row>
    <row r="68" spans="1:44" ht="20.25" customHeight="1">
      <c r="A68" s="4234" t="s">
        <v>222</v>
      </c>
      <c r="B68" s="3526">
        <f>'11. Амортиз. план'!BL171</f>
        <v>0</v>
      </c>
      <c r="C68" s="3526">
        <f>'11. Амортиз. план'!BN171</f>
        <v>0</v>
      </c>
      <c r="D68" s="3526">
        <f>'11. Амортиз. план'!BO171</f>
        <v>0</v>
      </c>
      <c r="E68" s="3526">
        <f>'11. Амортиз. план'!BP171</f>
        <v>0</v>
      </c>
      <c r="F68" s="3526">
        <f>'11. Амортиз. план'!BQ171</f>
        <v>0</v>
      </c>
      <c r="G68" s="3526">
        <f>'11. Амортиз. план'!BR171</f>
        <v>0</v>
      </c>
      <c r="I68" s="3522" t="s">
        <v>208</v>
      </c>
      <c r="J68" s="4238">
        <f>J66+J67</f>
        <v>524.21138851536182</v>
      </c>
      <c r="K68" s="4238">
        <f t="shared" ref="K68:N68" si="59">K66+K67</f>
        <v>985.53387564358866</v>
      </c>
      <c r="L68" s="4238">
        <f t="shared" si="59"/>
        <v>957.41282217779667</v>
      </c>
      <c r="M68" s="4238">
        <f t="shared" si="59"/>
        <v>10.22583762392437</v>
      </c>
      <c r="N68" s="4238">
        <f t="shared" si="59"/>
        <v>12.782297029905463</v>
      </c>
      <c r="O68" s="4238">
        <f t="shared" ref="O68" si="60">SUM(J68:N68)</f>
        <v>2490.1662209905767</v>
      </c>
      <c r="P68" s="4239">
        <f t="shared" si="51"/>
        <v>0.11513614733044369</v>
      </c>
      <c r="Q68" s="4244"/>
      <c r="T68" s="11"/>
      <c r="U68" s="11"/>
      <c r="V68" s="11"/>
      <c r="W68" s="11"/>
      <c r="X68" s="11"/>
      <c r="Y68" s="11"/>
      <c r="Z68" s="11"/>
      <c r="AA68" s="11"/>
      <c r="AR68" s="4216"/>
    </row>
    <row r="69" spans="1:44" ht="14.25" customHeight="1">
      <c r="A69" s="5466" t="s">
        <v>1660</v>
      </c>
      <c r="B69" s="5466"/>
      <c r="C69" s="5466"/>
      <c r="D69" s="5466"/>
      <c r="E69" s="5466"/>
      <c r="F69" s="5466"/>
      <c r="G69" s="5466"/>
      <c r="I69" s="4234" t="s">
        <v>1611</v>
      </c>
      <c r="J69" s="3526">
        <f>'9.Инвестиционна програма'!BC49</f>
        <v>537.82258376239236</v>
      </c>
      <c r="K69" s="3526">
        <f>'9.Инвестиционна програма'!BD49</f>
        <v>1073.5999999999999</v>
      </c>
      <c r="L69" s="3526">
        <f>'9.Инвестиционна програма'!BE49</f>
        <v>1082.2919619803356</v>
      </c>
      <c r="M69" s="3526">
        <f>'9.Инвестиционна програма'!BF49</f>
        <v>1.022583762392437</v>
      </c>
      <c r="N69" s="3526">
        <f>'9.Инвестиционна програма'!BG49</f>
        <v>0</v>
      </c>
      <c r="O69" s="4264">
        <f t="shared" si="53"/>
        <v>2694.7371295051203</v>
      </c>
      <c r="P69" s="4259">
        <f t="shared" si="51"/>
        <v>0.12459475537986288</v>
      </c>
      <c r="Q69" s="4244"/>
      <c r="T69" s="11"/>
      <c r="U69" s="11"/>
      <c r="V69" s="11"/>
      <c r="W69" s="11"/>
      <c r="X69" s="11"/>
      <c r="Y69" s="11"/>
      <c r="Z69" s="11"/>
      <c r="AA69" s="11"/>
      <c r="AR69" s="4216"/>
    </row>
    <row r="70" spans="1:44" ht="14.25" customHeight="1">
      <c r="A70" s="4228" t="s">
        <v>334</v>
      </c>
      <c r="B70" s="3644">
        <f>'11. Амортиз. план'!BL192</f>
        <v>0</v>
      </c>
      <c r="C70" s="3644">
        <f>'11. Амортиз. план'!BN192</f>
        <v>0</v>
      </c>
      <c r="D70" s="3644">
        <f>'11. Амортиз. план'!BO192</f>
        <v>0</v>
      </c>
      <c r="E70" s="3644">
        <f>'11. Амортиз. план'!BP192</f>
        <v>0</v>
      </c>
      <c r="F70" s="3644">
        <f>'11. Амортиз. план'!BQ192</f>
        <v>0</v>
      </c>
      <c r="G70" s="3644">
        <f>'11. Амортиз. план'!BR192</f>
        <v>0</v>
      </c>
      <c r="I70" s="4234" t="s">
        <v>1603</v>
      </c>
      <c r="J70" s="3526">
        <f>'9.Инвестиционна програма'!BC51</f>
        <v>0</v>
      </c>
      <c r="K70" s="3526">
        <f>'9.Инвестиционна програма'!BD51</f>
        <v>0</v>
      </c>
      <c r="L70" s="3526">
        <f>'9.Инвестиционна програма'!BE51</f>
        <v>0</v>
      </c>
      <c r="M70" s="3526">
        <f>'9.Инвестиционна програма'!BF51</f>
        <v>0</v>
      </c>
      <c r="N70" s="3526">
        <f>'9.Инвестиционна програма'!BG51</f>
        <v>0</v>
      </c>
      <c r="O70" s="4264">
        <f t="shared" si="53"/>
        <v>0</v>
      </c>
      <c r="P70" s="4259">
        <f t="shared" si="51"/>
        <v>0</v>
      </c>
      <c r="Q70" s="4244"/>
      <c r="T70" s="11"/>
      <c r="U70" s="11"/>
      <c r="V70" s="11"/>
      <c r="W70" s="11"/>
      <c r="X70" s="11"/>
      <c r="Y70" s="11"/>
      <c r="Z70" s="11"/>
      <c r="AA70" s="11"/>
      <c r="AR70" s="4216"/>
    </row>
    <row r="71" spans="1:44" ht="12.75" customHeight="1">
      <c r="A71" s="4230" t="s">
        <v>218</v>
      </c>
      <c r="B71" s="4231">
        <f>'11. Амортиз. план'!BL214</f>
        <v>0</v>
      </c>
      <c r="C71" s="4231">
        <f>'11. Амортиз. план'!BN214</f>
        <v>0</v>
      </c>
      <c r="D71" s="4231">
        <f>'11. Амортиз. план'!BO214</f>
        <v>0</v>
      </c>
      <c r="E71" s="4231">
        <f>'11. Амортиз. план'!BP214</f>
        <v>0</v>
      </c>
      <c r="F71" s="4231">
        <f>'11. Амортиз. план'!BQ214</f>
        <v>0</v>
      </c>
      <c r="G71" s="4231">
        <f>'11. Амортиз. план'!BR214</f>
        <v>0</v>
      </c>
      <c r="I71" s="4230" t="s">
        <v>1612</v>
      </c>
      <c r="J71" s="4231">
        <f>SUM(J69:J70)</f>
        <v>537.82258376239236</v>
      </c>
      <c r="K71" s="4231">
        <f>SUM(K69:K70)</f>
        <v>1073.5999999999999</v>
      </c>
      <c r="L71" s="4231">
        <f>SUM(L69:L70)</f>
        <v>1082.2919619803356</v>
      </c>
      <c r="M71" s="4231">
        <f>SUM(M69:M70)</f>
        <v>1.022583762392437</v>
      </c>
      <c r="N71" s="4231">
        <f>SUM(N69:N70)</f>
        <v>0</v>
      </c>
      <c r="O71" s="4264">
        <f t="shared" si="53"/>
        <v>2694.7371295051203</v>
      </c>
      <c r="P71" s="4261">
        <f t="shared" si="51"/>
        <v>0.12459475537986288</v>
      </c>
      <c r="Q71" s="4244"/>
      <c r="T71" s="11"/>
      <c r="U71" s="11"/>
      <c r="V71" s="11"/>
      <c r="W71" s="11"/>
      <c r="X71" s="11"/>
      <c r="Y71" s="11"/>
      <c r="Z71" s="11"/>
      <c r="AA71" s="11"/>
    </row>
    <row r="72" spans="1:44" ht="15.75" customHeight="1">
      <c r="A72" s="4234" t="s">
        <v>220</v>
      </c>
      <c r="B72" s="3526">
        <f>'11. Амортиз. план'!BL236</f>
        <v>0</v>
      </c>
      <c r="C72" s="3526">
        <f>'11. Амортиз. план'!BN236</f>
        <v>0</v>
      </c>
      <c r="D72" s="3526">
        <f>'11. Амортиз. план'!BO236</f>
        <v>0</v>
      </c>
      <c r="E72" s="3526">
        <f>'11. Амортиз. план'!BP236</f>
        <v>0</v>
      </c>
      <c r="F72" s="3526">
        <f>'11. Амортиз. план'!BQ236</f>
        <v>0</v>
      </c>
      <c r="G72" s="3526">
        <f>'11. Амортиз. план'!BR236</f>
        <v>0</v>
      </c>
      <c r="I72" s="4230" t="s">
        <v>1605</v>
      </c>
      <c r="J72" s="4231">
        <f>SUM('9.Инвестиционна програма'!BC52:BC56,'9.Инвестиционна програма'!BC50)</f>
        <v>0</v>
      </c>
      <c r="K72" s="4231">
        <f>SUM('9.Инвестиционна програма'!BD52:BD56,'9.Инвестиционна програма'!BD50)</f>
        <v>0</v>
      </c>
      <c r="L72" s="4231">
        <f>SUM('9.Инвестиционна програма'!BE52:BE56,'9.Инвестиционна програма'!BE50)</f>
        <v>0</v>
      </c>
      <c r="M72" s="4231">
        <f>SUM('9.Инвестиционна програма'!BF52:BF56,'9.Инвестиционна програма'!BF50)</f>
        <v>0</v>
      </c>
      <c r="N72" s="4231">
        <f>SUM('9.Инвестиционна програма'!BG52:BG56,'9.Инвестиционна програма'!BG50)</f>
        <v>0</v>
      </c>
      <c r="O72" s="3644">
        <f t="shared" si="53"/>
        <v>0</v>
      </c>
      <c r="P72" s="4261">
        <f t="shared" si="51"/>
        <v>0</v>
      </c>
      <c r="Q72" s="4244"/>
      <c r="T72" s="11"/>
      <c r="U72" s="11"/>
      <c r="V72" s="11"/>
      <c r="W72" s="11"/>
      <c r="X72" s="11"/>
      <c r="Y72" s="11"/>
      <c r="Z72" s="11"/>
      <c r="AA72" s="11"/>
    </row>
    <row r="73" spans="1:44" ht="15.75" customHeight="1">
      <c r="A73" s="4234" t="s">
        <v>222</v>
      </c>
      <c r="B73" s="3526">
        <f>'11. Амортиз. план'!BL258</f>
        <v>0</v>
      </c>
      <c r="C73" s="3526">
        <f>'11. Амортиз. план'!BN258</f>
        <v>0</v>
      </c>
      <c r="D73" s="3526">
        <f>'11. Амортиз. план'!BO258</f>
        <v>0</v>
      </c>
      <c r="E73" s="3526">
        <f>'11. Амортиз. план'!BP258</f>
        <v>0</v>
      </c>
      <c r="F73" s="3526">
        <f>'11. Амортиз. план'!BQ258</f>
        <v>0</v>
      </c>
      <c r="G73" s="3526">
        <f>'11. Амортиз. план'!BR258</f>
        <v>0</v>
      </c>
      <c r="I73" s="3522" t="s">
        <v>209</v>
      </c>
      <c r="J73" s="4238">
        <f>J71+J72</f>
        <v>537.82258376239236</v>
      </c>
      <c r="K73" s="4238">
        <f t="shared" ref="K73:N73" si="61">K71+K72</f>
        <v>1073.5999999999999</v>
      </c>
      <c r="L73" s="4238">
        <f t="shared" si="61"/>
        <v>1082.2919619803356</v>
      </c>
      <c r="M73" s="4238">
        <f t="shared" si="61"/>
        <v>1.022583762392437</v>
      </c>
      <c r="N73" s="4238">
        <f t="shared" si="61"/>
        <v>0</v>
      </c>
      <c r="O73" s="4238">
        <f t="shared" ref="O73:O88" si="62">SUM(J73:N73)</f>
        <v>2694.7371295051203</v>
      </c>
      <c r="P73" s="4239">
        <f t="shared" si="51"/>
        <v>0.12459475537986288</v>
      </c>
      <c r="Q73" s="4244"/>
      <c r="T73" s="11"/>
      <c r="U73" s="11"/>
      <c r="V73" s="11"/>
      <c r="W73" s="11"/>
      <c r="X73" s="11"/>
      <c r="Y73" s="11"/>
      <c r="Z73" s="11"/>
      <c r="AA73" s="11"/>
    </row>
    <row r="74" spans="1:44" ht="20.25" customHeight="1">
      <c r="B74" s="11"/>
      <c r="C74" s="11"/>
      <c r="D74" s="11"/>
      <c r="E74" s="11"/>
      <c r="F74" s="11"/>
      <c r="G74" s="11"/>
      <c r="I74" s="4265" t="s">
        <v>1613</v>
      </c>
      <c r="J74" s="4238">
        <f>'9.Инвестиционна програма'!BC57</f>
        <v>621.73092753460173</v>
      </c>
      <c r="K74" s="4238">
        <f>'9.Инвестиционна програма'!BD57</f>
        <v>745.97485466528281</v>
      </c>
      <c r="L74" s="4238">
        <f>'9.Инвестиционна програма'!BE57</f>
        <v>551.68393981071972</v>
      </c>
      <c r="M74" s="4238">
        <f>'9.Инвестиционна програма'!BF57</f>
        <v>478.16016729470357</v>
      </c>
      <c r="N74" s="4238">
        <f>'9.Инвестиционна програма'!BG57</f>
        <v>491.86278971076217</v>
      </c>
      <c r="O74" s="4238">
        <f t="shared" si="62"/>
        <v>2889.4126790160703</v>
      </c>
      <c r="P74" s="4239">
        <f t="shared" si="51"/>
        <v>0.13359583834420072</v>
      </c>
      <c r="Q74" s="4244"/>
      <c r="T74" s="11"/>
      <c r="U74" s="11"/>
      <c r="V74" s="11"/>
      <c r="W74" s="11"/>
      <c r="X74" s="11"/>
      <c r="Y74" s="11"/>
      <c r="Z74" s="11"/>
      <c r="AA74" s="11"/>
    </row>
    <row r="75" spans="1:44" ht="17.25" customHeight="1">
      <c r="B75" s="11"/>
      <c r="C75" s="11"/>
      <c r="D75" s="11"/>
      <c r="E75" s="11"/>
      <c r="F75" s="11"/>
      <c r="G75" s="11"/>
      <c r="I75" s="4234" t="s">
        <v>659</v>
      </c>
      <c r="J75" s="3526">
        <f>'9.Инвестиционна програма'!BC70</f>
        <v>0</v>
      </c>
      <c r="K75" s="3526">
        <f>'9.Инвестиционна програма'!BD70</f>
        <v>0</v>
      </c>
      <c r="L75" s="3526">
        <f>'9.Инвестиционна програма'!BE70</f>
        <v>0</v>
      </c>
      <c r="M75" s="3526">
        <f>'9.Инвестиционна програма'!BF70</f>
        <v>0</v>
      </c>
      <c r="N75" s="3526">
        <f>'9.Инвестиционна програма'!BG70</f>
        <v>0</v>
      </c>
      <c r="O75" s="3644">
        <f t="shared" ref="O75:O81" si="63">SUM(J75:N75)</f>
        <v>0</v>
      </c>
      <c r="P75" s="4259">
        <f t="shared" si="51"/>
        <v>0</v>
      </c>
      <c r="Q75" s="4244"/>
      <c r="S75" s="2" t="s">
        <v>1667</v>
      </c>
      <c r="T75" s="11"/>
      <c r="U75" s="11"/>
      <c r="V75" s="11"/>
      <c r="W75" s="11"/>
      <c r="X75" s="11"/>
      <c r="Y75" s="11"/>
      <c r="Z75" s="11"/>
      <c r="AA75" s="11"/>
    </row>
    <row r="76" spans="1:44" ht="27.75" customHeight="1">
      <c r="B76" s="11"/>
      <c r="C76" s="11"/>
      <c r="D76" s="11"/>
      <c r="E76" s="11"/>
      <c r="F76" s="11"/>
      <c r="G76" s="11"/>
      <c r="I76" s="4234" t="s">
        <v>985</v>
      </c>
      <c r="J76" s="3526">
        <f>'9.Инвестиционна програма'!BC69</f>
        <v>0</v>
      </c>
      <c r="K76" s="3526">
        <f>'9.Инвестиционна програма'!BD69</f>
        <v>0</v>
      </c>
      <c r="L76" s="3526">
        <f>'9.Инвестиционна програма'!BE69</f>
        <v>0</v>
      </c>
      <c r="M76" s="3526">
        <f>'9.Инвестиционна програма'!BF69</f>
        <v>0</v>
      </c>
      <c r="N76" s="3526">
        <f>'9.Инвестиционна програма'!BG69</f>
        <v>0</v>
      </c>
      <c r="O76" s="3644">
        <f t="shared" si="63"/>
        <v>0</v>
      </c>
      <c r="P76" s="4259">
        <f t="shared" si="51"/>
        <v>0</v>
      </c>
      <c r="Q76" s="4244"/>
      <c r="S76" s="5460" t="s">
        <v>1922</v>
      </c>
      <c r="T76" s="5460" t="s">
        <v>1029</v>
      </c>
      <c r="U76" s="5460"/>
      <c r="V76" s="5460"/>
      <c r="W76" s="5460"/>
      <c r="X76" s="5460"/>
      <c r="Y76" s="5460"/>
      <c r="Z76" s="5404" t="str">
        <f>+"Изменение "&amp;U77&amp;" спр. "&amp;T77</f>
        <v>Изменение 2027 г. спр. 2024 г.</v>
      </c>
      <c r="AA76" s="5404" t="str">
        <f>+"Изменение "&amp;Y77&amp;" спр. "&amp;T77</f>
        <v>Изменение 2031 г. спр. 2024 г.</v>
      </c>
    </row>
    <row r="77" spans="1:44" ht="15.75" customHeight="1">
      <c r="B77" s="11"/>
      <c r="C77" s="11"/>
      <c r="D77" s="11"/>
      <c r="E77" s="11"/>
      <c r="F77" s="11"/>
      <c r="G77" s="11"/>
      <c r="I77" s="4234" t="s">
        <v>1614</v>
      </c>
      <c r="J77" s="3526">
        <f>SUM('9.Инвестиционна програма'!BC68,'9.Инвестиционна програма'!BC71)</f>
        <v>0</v>
      </c>
      <c r="K77" s="3526">
        <f>SUM('9.Инвестиционна програма'!BD68,'9.Инвестиционна програма'!BD71)</f>
        <v>0</v>
      </c>
      <c r="L77" s="3526">
        <f>SUM('9.Инвестиционна програма'!BE68,'9.Инвестиционна програма'!BE71)</f>
        <v>0</v>
      </c>
      <c r="M77" s="3526">
        <f>SUM('9.Инвестиционна програма'!BF68,'9.Инвестиционна програма'!BF71)</f>
        <v>0</v>
      </c>
      <c r="N77" s="3526">
        <f>SUM('9.Инвестиционна програма'!BG68,'9.Инвестиционна програма'!BG71)</f>
        <v>0</v>
      </c>
      <c r="O77" s="3644">
        <f t="shared" si="63"/>
        <v>0</v>
      </c>
      <c r="P77" s="4259">
        <f t="shared" si="51"/>
        <v>0</v>
      </c>
      <c r="Q77" s="4244"/>
      <c r="S77" s="5460"/>
      <c r="T77" s="4214" t="str">
        <f t="shared" ref="T77:Y77" si="64">T46</f>
        <v>2024 г.</v>
      </c>
      <c r="U77" s="4214" t="str">
        <f t="shared" si="64"/>
        <v>2027 г.</v>
      </c>
      <c r="V77" s="4214" t="str">
        <f t="shared" si="64"/>
        <v>2028 г.</v>
      </c>
      <c r="W77" s="4214" t="str">
        <f t="shared" si="64"/>
        <v>2029 г.</v>
      </c>
      <c r="X77" s="4214" t="str">
        <f t="shared" si="64"/>
        <v>2030 г.</v>
      </c>
      <c r="Y77" s="4214" t="str">
        <f t="shared" si="64"/>
        <v>2031 г.</v>
      </c>
      <c r="Z77" s="5404"/>
      <c r="AA77" s="5404"/>
    </row>
    <row r="78" spans="1:44" ht="15.75" customHeight="1">
      <c r="B78" s="11"/>
      <c r="C78" s="11"/>
      <c r="D78" s="11"/>
      <c r="E78" s="11"/>
      <c r="F78" s="11"/>
      <c r="G78" s="11"/>
      <c r="I78" s="4234" t="s">
        <v>1615</v>
      </c>
      <c r="J78" s="3526">
        <f>SUM('9.Инвестиционна програма'!BC61:BC67)</f>
        <v>34.767847921342856</v>
      </c>
      <c r="K78" s="3526">
        <f>SUM('9.Инвестиционна програма'!BD61:BD67)</f>
        <v>11.759713267513025</v>
      </c>
      <c r="L78" s="3526">
        <f>SUM('9.Инвестиционна програма'!BE61:BE67)</f>
        <v>11.759713267513025</v>
      </c>
      <c r="M78" s="3526">
        <f>SUM('9.Инвестиционна програма'!BF61:BF67)</f>
        <v>11.759713267513025</v>
      </c>
      <c r="N78" s="3526">
        <f>SUM('9.Инвестиционна програма'!BG61:BG67)</f>
        <v>11.759713267513025</v>
      </c>
      <c r="O78" s="3644">
        <f t="shared" si="63"/>
        <v>81.806700991394948</v>
      </c>
      <c r="P78" s="4259">
        <f t="shared" si="51"/>
        <v>3.7824416292242553E-3</v>
      </c>
      <c r="Q78" s="4244"/>
      <c r="S78" s="4229" t="s">
        <v>226</v>
      </c>
      <c r="T78" s="3526">
        <f>'12. Разходи'!CE11</f>
        <v>0</v>
      </c>
      <c r="U78" s="3526">
        <f>'12. Разходи'!CF11</f>
        <v>0</v>
      </c>
      <c r="V78" s="3526">
        <f>'12. Разходи'!CG11</f>
        <v>0</v>
      </c>
      <c r="W78" s="3526">
        <f>'12. Разходи'!CH11</f>
        <v>0</v>
      </c>
      <c r="X78" s="3526">
        <f>'12. Разходи'!CI11</f>
        <v>0</v>
      </c>
      <c r="Y78" s="3526">
        <f>'12. Разходи'!CJ11</f>
        <v>0</v>
      </c>
      <c r="Z78" s="4227">
        <f>IFERROR((U78-T78)/T78,0)</f>
        <v>0</v>
      </c>
      <c r="AA78" s="4227">
        <f>IFERROR((Y78-T78)/T78,0)</f>
        <v>0</v>
      </c>
    </row>
    <row r="79" spans="1:44" ht="15.75" customHeight="1">
      <c r="B79" s="11"/>
      <c r="C79" s="11"/>
      <c r="D79" s="11"/>
      <c r="E79" s="11"/>
      <c r="F79" s="11"/>
      <c r="G79" s="11"/>
      <c r="I79" s="4265" t="s">
        <v>1616</v>
      </c>
      <c r="J79" s="4238">
        <f>J75+J76+J77+J78</f>
        <v>34.767847921342856</v>
      </c>
      <c r="K79" s="4238">
        <f t="shared" ref="K79:N79" si="65">K75+K76+K77+K78</f>
        <v>11.759713267513025</v>
      </c>
      <c r="L79" s="4238">
        <f t="shared" si="65"/>
        <v>11.759713267513025</v>
      </c>
      <c r="M79" s="4238">
        <f t="shared" si="65"/>
        <v>11.759713267513025</v>
      </c>
      <c r="N79" s="4238">
        <f t="shared" si="65"/>
        <v>11.759713267513025</v>
      </c>
      <c r="O79" s="4238">
        <f t="shared" si="63"/>
        <v>81.806700991394948</v>
      </c>
      <c r="P79" s="4239">
        <f t="shared" si="51"/>
        <v>3.7824416292242553E-3</v>
      </c>
      <c r="Q79" s="4244"/>
      <c r="S79" s="4229" t="s">
        <v>239</v>
      </c>
      <c r="T79" s="3526">
        <f>'12. Разходи'!CE29</f>
        <v>0</v>
      </c>
      <c r="U79" s="3526">
        <f>'12. Разходи'!CF29</f>
        <v>0</v>
      </c>
      <c r="V79" s="3526">
        <f>'12. Разходи'!CG29</f>
        <v>0</v>
      </c>
      <c r="W79" s="3526">
        <f>'12. Разходи'!CH29</f>
        <v>0</v>
      </c>
      <c r="X79" s="3526">
        <f>'12. Разходи'!CI29</f>
        <v>0</v>
      </c>
      <c r="Y79" s="3526">
        <f>'12. Разходи'!CJ29</f>
        <v>0</v>
      </c>
      <c r="Z79" s="4227">
        <f t="shared" ref="Z79:Z94" si="66">IFERROR((U79-T79)/T79,0)</f>
        <v>0</v>
      </c>
      <c r="AA79" s="4227">
        <f t="shared" ref="AA79:AA94" si="67">IFERROR((Y79-T79)/T79,0)</f>
        <v>0</v>
      </c>
    </row>
    <row r="80" spans="1:44" ht="15.75" customHeight="1">
      <c r="A80" s="2" t="s">
        <v>1666</v>
      </c>
      <c r="B80" s="11"/>
      <c r="C80" s="11"/>
      <c r="D80" s="11"/>
      <c r="E80" s="11"/>
      <c r="F80" s="11"/>
      <c r="G80" s="3393" t="s">
        <v>1912</v>
      </c>
      <c r="I80" s="4266" t="s">
        <v>1641</v>
      </c>
      <c r="J80" s="3487">
        <f>SUM('9.Инвестиционна програма'!BC74:BC91)</f>
        <v>0</v>
      </c>
      <c r="K80" s="3487">
        <f>SUM('9.Инвестиционна програма'!BD74:BD91)</f>
        <v>0</v>
      </c>
      <c r="L80" s="3487">
        <f>SUM('9.Инвестиционна програма'!BE74:BE91)</f>
        <v>0</v>
      </c>
      <c r="M80" s="3487">
        <f>SUM('9.Инвестиционна програма'!BF74:BF91)</f>
        <v>0</v>
      </c>
      <c r="N80" s="3487">
        <f>SUM('9.Инвестиционна програма'!BG74:BG91)</f>
        <v>0</v>
      </c>
      <c r="O80" s="3491">
        <f t="shared" si="63"/>
        <v>0</v>
      </c>
      <c r="P80" s="4267">
        <f t="shared" si="51"/>
        <v>0</v>
      </c>
      <c r="Q80" s="4244"/>
      <c r="S80" s="4229" t="s">
        <v>446</v>
      </c>
      <c r="T80" s="3526">
        <f>'12. Разходи'!CE55</f>
        <v>0</v>
      </c>
      <c r="U80" s="3526">
        <f>'12. Разходи'!CF55</f>
        <v>0</v>
      </c>
      <c r="V80" s="3526">
        <f>'12. Разходи'!CG55</f>
        <v>0</v>
      </c>
      <c r="W80" s="3526">
        <f>'12. Разходи'!CH55</f>
        <v>0</v>
      </c>
      <c r="X80" s="3526">
        <f>'12. Разходи'!CI55</f>
        <v>0</v>
      </c>
      <c r="Y80" s="3526">
        <f>'12. Разходи'!CJ55</f>
        <v>0</v>
      </c>
      <c r="Z80" s="4227">
        <f t="shared" si="66"/>
        <v>0</v>
      </c>
      <c r="AA80" s="4227">
        <f t="shared" si="67"/>
        <v>0</v>
      </c>
    </row>
    <row r="81" spans="1:27" ht="17.25" customHeight="1">
      <c r="A81" s="5467" t="s">
        <v>87</v>
      </c>
      <c r="B81" s="5460" t="s">
        <v>1092</v>
      </c>
      <c r="C81" s="5460"/>
      <c r="D81" s="5460"/>
      <c r="E81" s="5460"/>
      <c r="F81" s="5460"/>
      <c r="G81" s="5460"/>
      <c r="I81" s="4266" t="s">
        <v>1640</v>
      </c>
      <c r="J81" s="3487">
        <f>SUM('9.Инвестиционна програма'!BC92:BC97)</f>
        <v>0</v>
      </c>
      <c r="K81" s="3487">
        <f>SUM('9.Инвестиционна програма'!BD92:BD97)</f>
        <v>0</v>
      </c>
      <c r="L81" s="3487">
        <f>SUM('9.Инвестиционна програма'!BE92:BE97)</f>
        <v>0</v>
      </c>
      <c r="M81" s="3487">
        <f>SUM('9.Инвестиционна програма'!BF92:BF97)</f>
        <v>0</v>
      </c>
      <c r="N81" s="3487">
        <f>SUM('9.Инвестиционна програма'!BG92:BG97)</f>
        <v>0</v>
      </c>
      <c r="O81" s="3491">
        <f t="shared" si="63"/>
        <v>0</v>
      </c>
      <c r="P81" s="4267">
        <f t="shared" si="51"/>
        <v>0</v>
      </c>
      <c r="Q81" s="4244"/>
      <c r="S81" s="4235" t="s">
        <v>447</v>
      </c>
      <c r="T81" s="4231">
        <f>'12. Разходи'!CE56</f>
        <v>0</v>
      </c>
      <c r="U81" s="4231">
        <f>'12. Разходи'!CF56</f>
        <v>0</v>
      </c>
      <c r="V81" s="4231">
        <f>'12. Разходи'!CG56</f>
        <v>0</v>
      </c>
      <c r="W81" s="4231">
        <f>'12. Разходи'!CH56</f>
        <v>0</v>
      </c>
      <c r="X81" s="4231">
        <f>'12. Разходи'!CI56</f>
        <v>0</v>
      </c>
      <c r="Y81" s="4231">
        <f>'12. Разходи'!CJ56</f>
        <v>0</v>
      </c>
      <c r="Z81" s="4227">
        <f t="shared" si="66"/>
        <v>0</v>
      </c>
      <c r="AA81" s="4227">
        <f t="shared" si="67"/>
        <v>0</v>
      </c>
    </row>
    <row r="82" spans="1:27" ht="15.75" customHeight="1">
      <c r="A82" s="5467"/>
      <c r="B82" s="4268" t="str">
        <f>B22</f>
        <v>2024 г.</v>
      </c>
      <c r="C82" s="4268" t="str">
        <f>C58</f>
        <v>2027 г.</v>
      </c>
      <c r="D82" s="4268" t="str">
        <f>D22</f>
        <v>2028 г.</v>
      </c>
      <c r="E82" s="4268" t="str">
        <f>E22</f>
        <v>2029 г.</v>
      </c>
      <c r="F82" s="4268" t="str">
        <f>F22</f>
        <v>2030 г.</v>
      </c>
      <c r="G82" s="4268" t="str">
        <f>G22</f>
        <v>2031 г.</v>
      </c>
      <c r="I82" s="3522" t="s">
        <v>1029</v>
      </c>
      <c r="J82" s="4269">
        <f>J80+J81</f>
        <v>0</v>
      </c>
      <c r="K82" s="4269">
        <f>K80+K81</f>
        <v>0</v>
      </c>
      <c r="L82" s="4269">
        <f>L80+L81</f>
        <v>0</v>
      </c>
      <c r="M82" s="4269">
        <f>M80+M81</f>
        <v>0</v>
      </c>
      <c r="N82" s="4269">
        <f>N80+N81</f>
        <v>0</v>
      </c>
      <c r="O82" s="4238">
        <f t="shared" si="62"/>
        <v>0</v>
      </c>
      <c r="P82" s="4239">
        <f t="shared" si="51"/>
        <v>0</v>
      </c>
      <c r="Q82" s="4244"/>
      <c r="S82" s="4235" t="s">
        <v>736</v>
      </c>
      <c r="T82" s="4231">
        <f>'12. Разходи'!CE57</f>
        <v>0</v>
      </c>
      <c r="U82" s="4231">
        <f>'12. Разходи'!CF57</f>
        <v>0</v>
      </c>
      <c r="V82" s="4231">
        <f>'12. Разходи'!CG57</f>
        <v>0</v>
      </c>
      <c r="W82" s="4231">
        <f>'12. Разходи'!CH57</f>
        <v>0</v>
      </c>
      <c r="X82" s="4231">
        <f>'12. Разходи'!CI57</f>
        <v>0</v>
      </c>
      <c r="Y82" s="4231">
        <f>'12. Разходи'!CJ57</f>
        <v>0</v>
      </c>
      <c r="Z82" s="4227">
        <f t="shared" si="66"/>
        <v>0</v>
      </c>
      <c r="AA82" s="4227">
        <f t="shared" si="67"/>
        <v>0</v>
      </c>
    </row>
    <row r="83" spans="1:27" ht="15.75" customHeight="1">
      <c r="A83" s="5466" t="s">
        <v>1658</v>
      </c>
      <c r="B83" s="5466"/>
      <c r="C83" s="5466"/>
      <c r="D83" s="5466"/>
      <c r="E83" s="5466"/>
      <c r="F83" s="5466"/>
      <c r="G83" s="5466"/>
      <c r="I83" s="4266" t="s">
        <v>1642</v>
      </c>
      <c r="J83" s="3487">
        <f>SUM('9.Инвестиционна програма'!BC100:BC117)</f>
        <v>0</v>
      </c>
      <c r="K83" s="3487">
        <f>SUM('9.Инвестиционна програма'!BD100:BD117)</f>
        <v>0</v>
      </c>
      <c r="L83" s="3487">
        <f>SUM('9.Инвестиционна програма'!BE100:BE117)</f>
        <v>0</v>
      </c>
      <c r="M83" s="3487">
        <f>SUM('9.Инвестиционна програма'!BF100:BF117)</f>
        <v>0</v>
      </c>
      <c r="N83" s="3487">
        <f>SUM('9.Инвестиционна програма'!BG100:BG117)</f>
        <v>0</v>
      </c>
      <c r="O83" s="3491">
        <f t="shared" ref="O83:O85" si="68">SUM(J83:N83)</f>
        <v>0</v>
      </c>
      <c r="P83" s="4267">
        <f t="shared" si="51"/>
        <v>0</v>
      </c>
      <c r="Q83" s="4244"/>
      <c r="S83" s="4235" t="s">
        <v>737</v>
      </c>
      <c r="T83" s="4231">
        <f>'12. Разходи'!CE58</f>
        <v>0</v>
      </c>
      <c r="U83" s="4231">
        <f>'12. Разходи'!CF58</f>
        <v>0</v>
      </c>
      <c r="V83" s="4231">
        <f>'12. Разходи'!CG58</f>
        <v>0</v>
      </c>
      <c r="W83" s="4231">
        <f>'12. Разходи'!CH58</f>
        <v>0</v>
      </c>
      <c r="X83" s="4231">
        <f>'12. Разходи'!CI58</f>
        <v>0</v>
      </c>
      <c r="Y83" s="4231">
        <f>'12. Разходи'!CJ58</f>
        <v>0</v>
      </c>
      <c r="Z83" s="4227">
        <f t="shared" si="66"/>
        <v>0</v>
      </c>
      <c r="AA83" s="4227">
        <f t="shared" si="67"/>
        <v>0</v>
      </c>
    </row>
    <row r="84" spans="1:27" ht="15.75" customHeight="1">
      <c r="A84" s="4228" t="s">
        <v>334</v>
      </c>
      <c r="B84" s="3644">
        <f>'11. Амортиз. план'!BS10</f>
        <v>0</v>
      </c>
      <c r="C84" s="3644">
        <f>'11. Амортиз. план'!BU10</f>
        <v>0</v>
      </c>
      <c r="D84" s="3644">
        <f>'11. Амортиз. план'!BV10</f>
        <v>0</v>
      </c>
      <c r="E84" s="3644">
        <f>'11. Амортиз. план'!BW10</f>
        <v>0</v>
      </c>
      <c r="F84" s="3644">
        <f>'11. Амортиз. план'!BX10</f>
        <v>0</v>
      </c>
      <c r="G84" s="3644">
        <f>'11. Амортиз. план'!BY10</f>
        <v>0</v>
      </c>
      <c r="I84" s="4266" t="s">
        <v>1643</v>
      </c>
      <c r="J84" s="3487">
        <f>SUM('9.Инвестиционна програма'!BC118:BC123)</f>
        <v>0</v>
      </c>
      <c r="K84" s="3487">
        <f>SUM('9.Инвестиционна програма'!BD118:BD123)</f>
        <v>0</v>
      </c>
      <c r="L84" s="3487">
        <f>SUM('9.Инвестиционна програма'!BE118:BE123)</f>
        <v>0</v>
      </c>
      <c r="M84" s="3487">
        <f>SUM('9.Инвестиционна програма'!BF118:BF123)</f>
        <v>0</v>
      </c>
      <c r="N84" s="3487">
        <f>SUM('9.Инвестиционна програма'!BG118:BG123)</f>
        <v>0</v>
      </c>
      <c r="O84" s="3491">
        <f t="shared" si="68"/>
        <v>0</v>
      </c>
      <c r="P84" s="4267">
        <f t="shared" si="51"/>
        <v>0</v>
      </c>
      <c r="Q84" s="4244"/>
      <c r="S84" s="4229" t="s">
        <v>448</v>
      </c>
      <c r="T84" s="3526">
        <f>'12. Разходи'!CE59</f>
        <v>0</v>
      </c>
      <c r="U84" s="3526">
        <f>'12. Разходи'!CF59</f>
        <v>0</v>
      </c>
      <c r="V84" s="3526">
        <f>'12. Разходи'!CG59</f>
        <v>0</v>
      </c>
      <c r="W84" s="3526">
        <f>'12. Разходи'!CH59</f>
        <v>0</v>
      </c>
      <c r="X84" s="3526">
        <f>'12. Разходи'!CI59</f>
        <v>0</v>
      </c>
      <c r="Y84" s="3526">
        <f>'12. Разходи'!CJ59</f>
        <v>0</v>
      </c>
      <c r="Z84" s="4227">
        <f t="shared" si="66"/>
        <v>0</v>
      </c>
      <c r="AA84" s="4227">
        <f t="shared" si="67"/>
        <v>0</v>
      </c>
    </row>
    <row r="85" spans="1:27" ht="15.75" customHeight="1">
      <c r="A85" s="4230" t="s">
        <v>218</v>
      </c>
      <c r="B85" s="4231">
        <f>'11. Амортиз. план'!BS35</f>
        <v>0</v>
      </c>
      <c r="C85" s="4231">
        <f>'11. Амортиз. план'!BU35</f>
        <v>0</v>
      </c>
      <c r="D85" s="4231">
        <f>'11. Амортиз. план'!BV35</f>
        <v>0</v>
      </c>
      <c r="E85" s="4231">
        <f>'11. Амортиз. план'!BW35</f>
        <v>0</v>
      </c>
      <c r="F85" s="4231">
        <f>'11. Амортиз. план'!BX35</f>
        <v>0</v>
      </c>
      <c r="G85" s="4231">
        <f>'11. Амортиз. план'!BY35</f>
        <v>0</v>
      </c>
      <c r="I85" s="3522" t="s">
        <v>1092</v>
      </c>
      <c r="J85" s="4238">
        <f>J83+J84</f>
        <v>0</v>
      </c>
      <c r="K85" s="4238">
        <f>K83+K84</f>
        <v>0</v>
      </c>
      <c r="L85" s="4238">
        <f>L83+L84</f>
        <v>0</v>
      </c>
      <c r="M85" s="4238">
        <f>M83+M84</f>
        <v>0</v>
      </c>
      <c r="N85" s="4238">
        <f>N83+N84</f>
        <v>0</v>
      </c>
      <c r="O85" s="4238">
        <f t="shared" si="68"/>
        <v>0</v>
      </c>
      <c r="P85" s="4239">
        <f t="shared" si="51"/>
        <v>0</v>
      </c>
      <c r="Q85" s="4244"/>
      <c r="S85" s="4229" t="s">
        <v>449</v>
      </c>
      <c r="T85" s="3526">
        <f>'12. Разходи'!CE63</f>
        <v>0</v>
      </c>
      <c r="U85" s="3526">
        <f>'12. Разходи'!CF63</f>
        <v>0</v>
      </c>
      <c r="V85" s="3526">
        <f>'12. Разходи'!CG63</f>
        <v>0</v>
      </c>
      <c r="W85" s="3526">
        <f>'12. Разходи'!CH63</f>
        <v>0</v>
      </c>
      <c r="X85" s="3526">
        <f>'12. Разходи'!CI63</f>
        <v>0</v>
      </c>
      <c r="Y85" s="3526">
        <f>'12. Разходи'!CJ63</f>
        <v>0</v>
      </c>
      <c r="Z85" s="4227">
        <f t="shared" si="66"/>
        <v>0</v>
      </c>
      <c r="AA85" s="4227">
        <f t="shared" si="67"/>
        <v>0</v>
      </c>
    </row>
    <row r="86" spans="1:27" ht="15.75" customHeight="1">
      <c r="A86" s="4234" t="s">
        <v>220</v>
      </c>
      <c r="B86" s="3526">
        <f>'11. Амортиз. план'!BS60</f>
        <v>0</v>
      </c>
      <c r="C86" s="3526">
        <f>'11. Амортиз. план'!BU60</f>
        <v>0</v>
      </c>
      <c r="D86" s="3526">
        <f>'11. Амортиз. план'!BV60</f>
        <v>0</v>
      </c>
      <c r="E86" s="3526">
        <f>'11. Амортиз. план'!BW60</f>
        <v>0</v>
      </c>
      <c r="F86" s="3526">
        <f>'11. Амортиз. план'!BX60</f>
        <v>0</v>
      </c>
      <c r="G86" s="3526">
        <f>'11. Амортиз. план'!BY60</f>
        <v>0</v>
      </c>
      <c r="I86" s="4228" t="s">
        <v>1617</v>
      </c>
      <c r="J86" s="3644">
        <f>J57+J66+J71+J74+J75+J76+J80+J83</f>
        <v>4014.8191683326258</v>
      </c>
      <c r="K86" s="3644">
        <f t="shared" ref="K86:O86" si="69">K57+K66+K71+K74+K75+K76+K80+K83</f>
        <v>7120.0500800171794</v>
      </c>
      <c r="L86" s="3644">
        <f t="shared" si="69"/>
        <v>6970.7528507078832</v>
      </c>
      <c r="M86" s="3644">
        <f t="shared" si="69"/>
        <v>920.42764452943243</v>
      </c>
      <c r="N86" s="3644">
        <f t="shared" si="69"/>
        <v>915.72375922242736</v>
      </c>
      <c r="O86" s="3644">
        <f t="shared" si="69"/>
        <v>19941.773502809549</v>
      </c>
      <c r="P86" s="4227">
        <f t="shared" si="51"/>
        <v>0.92203442191761509</v>
      </c>
      <c r="Q86" s="4244"/>
      <c r="S86" s="4229" t="s">
        <v>450</v>
      </c>
      <c r="T86" s="3526">
        <f>'12. Разходи'!CE70</f>
        <v>0</v>
      </c>
      <c r="U86" s="3526">
        <f>'12. Разходи'!CF70</f>
        <v>0</v>
      </c>
      <c r="V86" s="3526">
        <f>'12. Разходи'!CG70</f>
        <v>0</v>
      </c>
      <c r="W86" s="3526">
        <f>'12. Разходи'!CH70</f>
        <v>0</v>
      </c>
      <c r="X86" s="3526">
        <f>'12. Разходи'!CI70</f>
        <v>0</v>
      </c>
      <c r="Y86" s="3526">
        <f>'12. Разходи'!CJ70</f>
        <v>0</v>
      </c>
      <c r="Z86" s="4227">
        <f t="shared" si="66"/>
        <v>0</v>
      </c>
      <c r="AA86" s="4227">
        <f t="shared" si="67"/>
        <v>0</v>
      </c>
    </row>
    <row r="87" spans="1:27" ht="15.75" customHeight="1">
      <c r="A87" s="4234" t="s">
        <v>222</v>
      </c>
      <c r="B87" s="3526">
        <f>'11. Амортиз. план'!BS85</f>
        <v>0</v>
      </c>
      <c r="C87" s="3526">
        <f>'11. Амортиз. план'!BU85</f>
        <v>0</v>
      </c>
      <c r="D87" s="3526">
        <f>'11. Амортиз. план'!BV85</f>
        <v>0</v>
      </c>
      <c r="E87" s="3526">
        <f>'11. Амортиз. план'!BW85</f>
        <v>0</v>
      </c>
      <c r="F87" s="3526">
        <f>'11. Амортиз. план'!BX85</f>
        <v>0</v>
      </c>
      <c r="G87" s="3526">
        <f>'11. Амортиз. план'!BY85</f>
        <v>0</v>
      </c>
      <c r="I87" s="4228" t="s">
        <v>1618</v>
      </c>
      <c r="J87" s="3644">
        <f>J58+J67+J72+J77+J78+J81+J84</f>
        <v>542.99197783038403</v>
      </c>
      <c r="K87" s="3644">
        <f t="shared" ref="K87:O87" si="70">K58+K67+K72+K77+K78+K81+K84</f>
        <v>285.81216158868614</v>
      </c>
      <c r="L87" s="3644">
        <f t="shared" si="70"/>
        <v>285.81216158868614</v>
      </c>
      <c r="M87" s="3644">
        <f t="shared" si="70"/>
        <v>285.81216158868614</v>
      </c>
      <c r="N87" s="3644">
        <f t="shared" si="70"/>
        <v>285.81216158868614</v>
      </c>
      <c r="O87" s="3644">
        <f t="shared" si="70"/>
        <v>1686.2406241851288</v>
      </c>
      <c r="P87" s="4227">
        <f t="shared" si="51"/>
        <v>7.7965578082384981E-2</v>
      </c>
      <c r="Q87" s="4244"/>
      <c r="S87" s="4229" t="s">
        <v>267</v>
      </c>
      <c r="T87" s="3526">
        <f>'12. Разходи'!CE76</f>
        <v>0</v>
      </c>
      <c r="U87" s="3526">
        <f>'12. Разходи'!CF76</f>
        <v>0</v>
      </c>
      <c r="V87" s="3526">
        <f>'12. Разходи'!CG76</f>
        <v>0</v>
      </c>
      <c r="W87" s="3526">
        <f>'12. Разходи'!CH76</f>
        <v>0</v>
      </c>
      <c r="X87" s="3526">
        <f>'12. Разходи'!CI76</f>
        <v>0</v>
      </c>
      <c r="Y87" s="3526">
        <f>'12. Разходи'!CJ76</f>
        <v>0</v>
      </c>
      <c r="Z87" s="4227">
        <f t="shared" si="66"/>
        <v>0</v>
      </c>
      <c r="AA87" s="4227">
        <f t="shared" si="67"/>
        <v>0</v>
      </c>
    </row>
    <row r="88" spans="1:27" ht="18" customHeight="1">
      <c r="A88" s="5466" t="s">
        <v>1659</v>
      </c>
      <c r="B88" s="5466"/>
      <c r="C88" s="5466"/>
      <c r="D88" s="5466"/>
      <c r="E88" s="5466"/>
      <c r="F88" s="5466"/>
      <c r="G88" s="5466"/>
      <c r="I88" s="4270" t="s">
        <v>1619</v>
      </c>
      <c r="J88" s="4271">
        <f>J86+J87</f>
        <v>4557.8111461630097</v>
      </c>
      <c r="K88" s="4271">
        <f>K86+K87</f>
        <v>7405.8622416058652</v>
      </c>
      <c r="L88" s="4271">
        <f>L86+L87</f>
        <v>7256.565012296569</v>
      </c>
      <c r="M88" s="4271">
        <f>M86+M87</f>
        <v>1206.2398061181186</v>
      </c>
      <c r="N88" s="4271">
        <f>N86+N87</f>
        <v>1201.5359208111136</v>
      </c>
      <c r="O88" s="4271">
        <f t="shared" si="62"/>
        <v>21628.014126994676</v>
      </c>
      <c r="P88" s="4272">
        <f t="shared" si="51"/>
        <v>1</v>
      </c>
      <c r="Q88" s="4244"/>
      <c r="S88" s="4237" t="s">
        <v>277</v>
      </c>
      <c r="T88" s="4238">
        <f>SUM(T78:T80,T84:T87)</f>
        <v>0</v>
      </c>
      <c r="U88" s="4238">
        <f t="shared" ref="U88:Y88" si="71">SUM(U78:U80,U84:U87)</f>
        <v>0</v>
      </c>
      <c r="V88" s="4238">
        <f t="shared" si="71"/>
        <v>0</v>
      </c>
      <c r="W88" s="4238">
        <f t="shared" si="71"/>
        <v>0</v>
      </c>
      <c r="X88" s="4238">
        <f t="shared" si="71"/>
        <v>0</v>
      </c>
      <c r="Y88" s="4238">
        <f t="shared" si="71"/>
        <v>0</v>
      </c>
      <c r="Z88" s="4239">
        <f t="shared" si="66"/>
        <v>0</v>
      </c>
      <c r="AA88" s="4239">
        <f t="shared" si="67"/>
        <v>0</v>
      </c>
    </row>
    <row r="89" spans="1:27" ht="15.75" customHeight="1">
      <c r="A89" s="4228" t="s">
        <v>334</v>
      </c>
      <c r="B89" s="3644">
        <f>'11. Амортиз. план'!BS111</f>
        <v>0</v>
      </c>
      <c r="C89" s="3644">
        <f>'11. Амортиз. план'!BU111</f>
        <v>0</v>
      </c>
      <c r="D89" s="3644">
        <f>'11. Амортиз. план'!BV111</f>
        <v>0</v>
      </c>
      <c r="E89" s="3644">
        <f>'11. Амортиз. план'!BW111</f>
        <v>0</v>
      </c>
      <c r="F89" s="3644">
        <f>'11. Амортиз. план'!BX111</f>
        <v>0</v>
      </c>
      <c r="G89" s="3644">
        <f>'11. Амортиз. план'!BY111</f>
        <v>0</v>
      </c>
      <c r="I89" s="1300"/>
      <c r="J89" s="1300"/>
      <c r="K89" s="1300"/>
      <c r="L89" s="1300"/>
      <c r="M89" s="1300"/>
      <c r="N89" s="1300"/>
      <c r="O89" s="1300"/>
      <c r="P89" s="1300"/>
      <c r="Q89" s="4244"/>
      <c r="S89" s="4245" t="str">
        <f>CONCATENATE("Спестявания и увеличения спрямо ",T77," - нето:")</f>
        <v>Спестявания и увеличения спрямо 2024 г. - нето:</v>
      </c>
      <c r="T89" s="4246"/>
      <c r="U89" s="4245">
        <f>U88-$T88</f>
        <v>0</v>
      </c>
      <c r="V89" s="4245">
        <f t="shared" ref="V89:Y89" si="72">V88-$T88</f>
        <v>0</v>
      </c>
      <c r="W89" s="4245">
        <f t="shared" si="72"/>
        <v>0</v>
      </c>
      <c r="X89" s="4245">
        <f t="shared" si="72"/>
        <v>0</v>
      </c>
      <c r="Y89" s="4245">
        <f t="shared" si="72"/>
        <v>0</v>
      </c>
      <c r="Z89" s="4246"/>
      <c r="AA89" s="4246"/>
    </row>
    <row r="90" spans="1:27" ht="15.75" customHeight="1">
      <c r="A90" s="4230" t="s">
        <v>218</v>
      </c>
      <c r="B90" s="4231">
        <f>'11. Амортиз. план'!BS131</f>
        <v>0</v>
      </c>
      <c r="C90" s="4231">
        <f>'11. Амортиз. план'!BU131</f>
        <v>0</v>
      </c>
      <c r="D90" s="4231">
        <f>'11. Амортиз. план'!BV131</f>
        <v>0</v>
      </c>
      <c r="E90" s="4231">
        <f>'11. Амортиз. план'!BW131</f>
        <v>0</v>
      </c>
      <c r="F90" s="4231">
        <f>'11. Амортиз. план'!BX131</f>
        <v>0</v>
      </c>
      <c r="G90" s="4231">
        <f>'11. Амортиз. план'!BY131</f>
        <v>0</v>
      </c>
      <c r="I90" s="4217" t="s">
        <v>82</v>
      </c>
      <c r="J90" s="4218" t="str">
        <f>+'15. ОПП'!$C$7</f>
        <v>2027 г.</v>
      </c>
      <c r="K90" s="4218" t="str">
        <f>+'15. ОПП'!$D$7</f>
        <v>2028 г.</v>
      </c>
      <c r="L90" s="4218" t="str">
        <f>+'15. ОПП'!$E$7</f>
        <v>2029 г.</v>
      </c>
      <c r="M90" s="4218" t="str">
        <f>+'15. ОПП'!$F$7</f>
        <v>2030 г.</v>
      </c>
      <c r="N90" s="4218" t="str">
        <f>+'15. ОПП'!$G$7</f>
        <v>2031 г.</v>
      </c>
      <c r="O90" s="4218" t="s">
        <v>1620</v>
      </c>
      <c r="Q90" s="4244"/>
      <c r="S90" s="4229" t="s">
        <v>1670</v>
      </c>
      <c r="T90" s="3526">
        <f>+'12. Разходи'!CE92</f>
        <v>0</v>
      </c>
      <c r="U90" s="3526">
        <f>+'12. Разходи'!CF92</f>
        <v>0</v>
      </c>
      <c r="V90" s="3526">
        <f>+'12. Разходи'!CG92</f>
        <v>0</v>
      </c>
      <c r="W90" s="3526">
        <f>+'12. Разходи'!CH92</f>
        <v>0</v>
      </c>
      <c r="X90" s="3526">
        <f>+'12. Разходи'!CI92</f>
        <v>0</v>
      </c>
      <c r="Y90" s="3526">
        <f>+'12. Разходи'!CJ92</f>
        <v>0</v>
      </c>
      <c r="Z90" s="4227">
        <f t="shared" ref="Z90:Z92" si="73">IFERROR((U90-T90)/T90,0)</f>
        <v>0</v>
      </c>
      <c r="AA90" s="4227">
        <f t="shared" ref="AA90:AA92" si="74">IFERROR((Y90-T90)/T90,0)</f>
        <v>0</v>
      </c>
    </row>
    <row r="91" spans="1:27" ht="15.75" customHeight="1">
      <c r="A91" s="4234" t="s">
        <v>220</v>
      </c>
      <c r="B91" s="3526">
        <f>'11. Амортиз. план'!BS151</f>
        <v>0</v>
      </c>
      <c r="C91" s="3526">
        <f>'11. Амортиз. план'!BU151</f>
        <v>0</v>
      </c>
      <c r="D91" s="3526">
        <f>'11. Амортиз. план'!BV151</f>
        <v>0</v>
      </c>
      <c r="E91" s="3526">
        <f>'11. Амортиз. план'!BW151</f>
        <v>0</v>
      </c>
      <c r="F91" s="3526">
        <f>'11. Амортиз. план'!BX151</f>
        <v>0</v>
      </c>
      <c r="G91" s="3526">
        <f>'11. Амортиз. план'!BY151</f>
        <v>0</v>
      </c>
      <c r="I91" s="3392" t="s">
        <v>1645</v>
      </c>
      <c r="J91" s="3526">
        <f>'2. Променливи'!F10</f>
        <v>191730</v>
      </c>
      <c r="K91" s="3526">
        <f>'2. Променливи'!G10</f>
        <v>188943.39655278841</v>
      </c>
      <c r="L91" s="3526">
        <f>'2. Променливи'!H10</f>
        <v>186285.10735546594</v>
      </c>
      <c r="M91" s="3526">
        <f>'2. Променливи'!I10</f>
        <v>183626.81815814349</v>
      </c>
      <c r="N91" s="3526">
        <f>'2. Променливи'!J10</f>
        <v>181334.16705569168</v>
      </c>
      <c r="O91" s="3644">
        <f>AVERAGE(J91:N91)</f>
        <v>186383.89782441792</v>
      </c>
      <c r="Q91" s="4244"/>
      <c r="S91" s="4229" t="s">
        <v>1672</v>
      </c>
      <c r="T91" s="3526">
        <f>+'12. Разходи'!CE93</f>
        <v>0</v>
      </c>
      <c r="U91" s="3526">
        <f>+'12. Разходи'!CF93</f>
        <v>0</v>
      </c>
      <c r="V91" s="3526">
        <f>+'12. Разходи'!CG93</f>
        <v>0</v>
      </c>
      <c r="W91" s="3526">
        <f>+'12. Разходи'!CH93</f>
        <v>0</v>
      </c>
      <c r="X91" s="3526">
        <f>+'12. Разходи'!CI93</f>
        <v>0</v>
      </c>
      <c r="Y91" s="3526">
        <f>+'12. Разходи'!CJ93</f>
        <v>0</v>
      </c>
      <c r="Z91" s="4227">
        <f t="shared" si="73"/>
        <v>0</v>
      </c>
      <c r="AA91" s="4227">
        <f t="shared" si="74"/>
        <v>0</v>
      </c>
    </row>
    <row r="92" spans="1:27" ht="15.75" customHeight="1">
      <c r="A92" s="4234" t="s">
        <v>222</v>
      </c>
      <c r="B92" s="3526">
        <f>'11. Амортиз. план'!BS171</f>
        <v>0</v>
      </c>
      <c r="C92" s="3526">
        <f>'11. Амортиз. план'!BU171</f>
        <v>0</v>
      </c>
      <c r="D92" s="3526">
        <f>'11. Амортиз. план'!BV171</f>
        <v>0</v>
      </c>
      <c r="E92" s="3526">
        <f>'11. Амортиз. план'!BW171</f>
        <v>0</v>
      </c>
      <c r="F92" s="3526">
        <f>'11. Амортиз. план'!BX171</f>
        <v>0</v>
      </c>
      <c r="G92" s="3526">
        <f>'11. Амортиз. план'!BY171</f>
        <v>0</v>
      </c>
      <c r="I92" s="3392" t="s">
        <v>1913</v>
      </c>
      <c r="J92" s="3526">
        <f>J59+J68+J73+J74+J79</f>
        <v>4557.8111461630097</v>
      </c>
      <c r="K92" s="3526">
        <f>K59+K68+K73+K74+K79</f>
        <v>7405.8622416058643</v>
      </c>
      <c r="L92" s="3526">
        <f>L59+L68+L73+L74+L79</f>
        <v>7256.5650122965681</v>
      </c>
      <c r="M92" s="3526">
        <f>M59+M68+M73+M74+M79</f>
        <v>1206.2398061181186</v>
      </c>
      <c r="N92" s="3526">
        <f>N59+N68+N73+N74+N79</f>
        <v>1201.5359208111133</v>
      </c>
      <c r="O92" s="3644">
        <f>AVERAGE(J92:N92)</f>
        <v>4325.6028253989352</v>
      </c>
      <c r="Q92" s="4244"/>
      <c r="S92" s="4248" t="s">
        <v>1671</v>
      </c>
      <c r="T92" s="3526">
        <f>+'12. Разходи'!CE94</f>
        <v>0</v>
      </c>
      <c r="U92" s="3526">
        <f>+'12. Разходи'!CF94</f>
        <v>0</v>
      </c>
      <c r="V92" s="3526">
        <f>+'12. Разходи'!CG94</f>
        <v>0</v>
      </c>
      <c r="W92" s="3526">
        <f>+'12. Разходи'!CH94</f>
        <v>0</v>
      </c>
      <c r="X92" s="3526">
        <f>+'12. Разходи'!CI94</f>
        <v>0</v>
      </c>
      <c r="Y92" s="3526">
        <f>+'12. Разходи'!CJ94</f>
        <v>0</v>
      </c>
      <c r="Z92" s="4227">
        <f t="shared" si="73"/>
        <v>0</v>
      </c>
      <c r="AA92" s="4227">
        <f t="shared" si="74"/>
        <v>0</v>
      </c>
    </row>
    <row r="93" spans="1:27" ht="18" customHeight="1">
      <c r="A93" s="5466" t="s">
        <v>1660</v>
      </c>
      <c r="B93" s="5466"/>
      <c r="C93" s="5466"/>
      <c r="D93" s="5466"/>
      <c r="E93" s="5466"/>
      <c r="F93" s="5466"/>
      <c r="G93" s="5466"/>
      <c r="I93" s="4234" t="s">
        <v>1914</v>
      </c>
      <c r="J93" s="4273">
        <f>IFERROR((J92*1000)/J91,0)</f>
        <v>23.772029135570907</v>
      </c>
      <c r="K93" s="4273">
        <f t="shared" ref="K93:O93" si="75">IFERROR((K92*1000)/K91,0)</f>
        <v>39.196195139515019</v>
      </c>
      <c r="L93" s="4273">
        <f t="shared" si="75"/>
        <v>38.954080201643379</v>
      </c>
      <c r="M93" s="4273">
        <f t="shared" si="75"/>
        <v>6.5689740649934807</v>
      </c>
      <c r="N93" s="4273">
        <f t="shared" si="75"/>
        <v>6.6260867453737804</v>
      </c>
      <c r="O93" s="4273">
        <f t="shared" si="75"/>
        <v>23.208028568400522</v>
      </c>
      <c r="Q93" s="4244"/>
      <c r="S93" s="4229" t="s">
        <v>1674</v>
      </c>
      <c r="T93" s="3526">
        <f>'12. Разходи'!CE90</f>
        <v>0</v>
      </c>
      <c r="U93" s="3526">
        <f>'12. Разходи'!CF90</f>
        <v>0</v>
      </c>
      <c r="V93" s="3526">
        <f>'12. Разходи'!CG90</f>
        <v>0</v>
      </c>
      <c r="W93" s="3526">
        <f>'12. Разходи'!CH90</f>
        <v>0</v>
      </c>
      <c r="X93" s="3526">
        <f>'12. Разходи'!CI90</f>
        <v>0</v>
      </c>
      <c r="Y93" s="3526">
        <f>'12. Разходи'!CJ90</f>
        <v>0</v>
      </c>
      <c r="Z93" s="4227">
        <f t="shared" si="66"/>
        <v>0</v>
      </c>
      <c r="AA93" s="4227">
        <f t="shared" si="67"/>
        <v>0</v>
      </c>
    </row>
    <row r="94" spans="1:27" ht="15.75" customHeight="1">
      <c r="A94" s="4228" t="s">
        <v>334</v>
      </c>
      <c r="B94" s="3644">
        <f>'11. Амортиз. план'!BS192</f>
        <v>0</v>
      </c>
      <c r="C94" s="3644">
        <f>'11. Амортиз. план'!BU192</f>
        <v>0</v>
      </c>
      <c r="D94" s="3644">
        <f>'11. Амортиз. план'!BV192</f>
        <v>0</v>
      </c>
      <c r="E94" s="3644">
        <f>'11. Амортиз. план'!BW192</f>
        <v>0</v>
      </c>
      <c r="F94" s="3644">
        <f>'11. Амортиз. план'!BX192</f>
        <v>0</v>
      </c>
      <c r="G94" s="3644">
        <f>'11. Амортиз. план'!BY192</f>
        <v>0</v>
      </c>
      <c r="I94" s="1301"/>
      <c r="J94" s="1300"/>
      <c r="K94" s="1300"/>
      <c r="L94" s="1300"/>
      <c r="M94" s="1300"/>
      <c r="N94" s="1300"/>
      <c r="O94" s="1300"/>
      <c r="Q94" s="4244"/>
      <c r="S94" s="4229" t="s">
        <v>1232</v>
      </c>
      <c r="T94" s="3526">
        <f>'12. Разходи'!CE89</f>
        <v>0</v>
      </c>
      <c r="U94" s="3526">
        <f>'12. Разходи'!CF89</f>
        <v>0</v>
      </c>
      <c r="V94" s="3526">
        <f>'12. Разходи'!CG89</f>
        <v>0</v>
      </c>
      <c r="W94" s="3526">
        <f>'12. Разходи'!CH89</f>
        <v>0</v>
      </c>
      <c r="X94" s="3526">
        <f>'12. Разходи'!CI89</f>
        <v>0</v>
      </c>
      <c r="Y94" s="3526">
        <f>'12. Разходи'!CJ89</f>
        <v>0</v>
      </c>
      <c r="Z94" s="4227">
        <f t="shared" si="66"/>
        <v>0</v>
      </c>
      <c r="AA94" s="4227">
        <f t="shared" si="67"/>
        <v>0</v>
      </c>
    </row>
    <row r="95" spans="1:27" ht="15.75" customHeight="1">
      <c r="A95" s="4230" t="s">
        <v>218</v>
      </c>
      <c r="B95" s="4231">
        <f>'11. Амортиз. план'!BS214</f>
        <v>0</v>
      </c>
      <c r="C95" s="4231">
        <f>'11. Амортиз. план'!BU214</f>
        <v>0</v>
      </c>
      <c r="D95" s="4231">
        <f>'11. Амортиз. план'!BV214</f>
        <v>0</v>
      </c>
      <c r="E95" s="4231">
        <f>'11. Амортиз. план'!BW214</f>
        <v>0</v>
      </c>
      <c r="F95" s="4231">
        <f>'11. Амортиз. план'!BX214</f>
        <v>0</v>
      </c>
      <c r="G95" s="4231">
        <f>'11. Амортиз. план'!BY214</f>
        <v>0</v>
      </c>
      <c r="I95" s="1301" t="s">
        <v>1646</v>
      </c>
      <c r="J95" s="1300"/>
      <c r="K95" s="1300"/>
      <c r="L95" s="1300"/>
      <c r="M95" s="1300"/>
      <c r="N95" s="1300"/>
      <c r="O95" s="1300"/>
      <c r="Q95" s="4244"/>
      <c r="S95" s="4274"/>
      <c r="T95" s="4275"/>
      <c r="U95" s="4275"/>
      <c r="V95" s="4275"/>
      <c r="W95" s="4275"/>
      <c r="X95" s="4275"/>
      <c r="Y95" s="4275"/>
      <c r="Z95" s="4276"/>
      <c r="AA95" s="4276"/>
    </row>
    <row r="96" spans="1:27" ht="16.5" customHeight="1">
      <c r="A96" s="4234" t="s">
        <v>220</v>
      </c>
      <c r="B96" s="3526">
        <f>'11. Амортиз. план'!BS236</f>
        <v>0</v>
      </c>
      <c r="C96" s="3526">
        <f>'11. Амортиз. план'!BU236</f>
        <v>0</v>
      </c>
      <c r="D96" s="3526">
        <f>'11. Амортиз. план'!BV236</f>
        <v>0</v>
      </c>
      <c r="E96" s="3526">
        <f>'11. Амортиз. план'!BW236</f>
        <v>0</v>
      </c>
      <c r="F96" s="3526">
        <f>'11. Амортиз. план'!BX236</f>
        <v>0</v>
      </c>
      <c r="G96" s="3526">
        <f>'11. Амортиз. план'!BY236</f>
        <v>0</v>
      </c>
      <c r="I96" s="1301" t="s">
        <v>948</v>
      </c>
      <c r="J96" s="1300"/>
      <c r="K96" s="1300"/>
      <c r="L96" s="1300"/>
      <c r="M96" s="1300"/>
      <c r="N96" s="1300"/>
      <c r="O96" s="1300"/>
      <c r="Q96" s="4244"/>
      <c r="S96" s="4274"/>
      <c r="T96" s="4275"/>
      <c r="U96" s="4275"/>
      <c r="V96" s="4275"/>
      <c r="W96" s="4275"/>
      <c r="X96" s="4275"/>
      <c r="Y96" s="4275"/>
      <c r="Z96" s="4276"/>
      <c r="AA96" s="4276"/>
    </row>
    <row r="97" spans="1:27" ht="15.75" customHeight="1">
      <c r="A97" s="4234" t="s">
        <v>222</v>
      </c>
      <c r="B97" s="3526">
        <f>'11. Амортиз. план'!BS258</f>
        <v>0</v>
      </c>
      <c r="C97" s="3526">
        <f>'11. Амортиз. план'!BU258</f>
        <v>0</v>
      </c>
      <c r="D97" s="3526">
        <f>'11. Амортиз. план'!BV258</f>
        <v>0</v>
      </c>
      <c r="E97" s="3526">
        <f>'11. Амортиз. план'!BW258</f>
        <v>0</v>
      </c>
      <c r="F97" s="3526">
        <f>'11. Амортиз. план'!BX258</f>
        <v>0</v>
      </c>
      <c r="G97" s="3526">
        <f>'11. Амортиз. план'!BY258</f>
        <v>0</v>
      </c>
      <c r="I97" s="4217" t="s">
        <v>1921</v>
      </c>
      <c r="J97" s="4218" t="str">
        <f>+'15. ОПП'!$C$7</f>
        <v>2027 г.</v>
      </c>
      <c r="K97" s="4218" t="str">
        <f>+'15. ОПП'!$D$7</f>
        <v>2028 г.</v>
      </c>
      <c r="L97" s="4218" t="str">
        <f>+'15. ОПП'!$E$7</f>
        <v>2029 г.</v>
      </c>
      <c r="M97" s="4218" t="str">
        <f>+'15. ОПП'!$F$7</f>
        <v>2030 г.</v>
      </c>
      <c r="N97" s="4218" t="str">
        <f>+'15. ОПП'!$G$7</f>
        <v>2031 г.</v>
      </c>
      <c r="O97" s="4218" t="s">
        <v>1623</v>
      </c>
      <c r="Q97" s="4244"/>
      <c r="S97" s="4274"/>
      <c r="T97" s="4275"/>
      <c r="U97" s="4275"/>
      <c r="V97" s="4275"/>
      <c r="W97" s="4275"/>
      <c r="X97" s="4275"/>
      <c r="Y97" s="4275"/>
      <c r="Z97" s="4276"/>
      <c r="AA97" s="4276"/>
    </row>
    <row r="98" spans="1:27" ht="15.75" customHeight="1">
      <c r="A98" s="2" t="s">
        <v>1665</v>
      </c>
      <c r="B98" s="11"/>
      <c r="C98" s="11"/>
      <c r="D98" s="11"/>
      <c r="E98" s="11"/>
      <c r="F98" s="11"/>
      <c r="G98" s="3393" t="s">
        <v>1912</v>
      </c>
      <c r="I98" s="4265" t="s">
        <v>1618</v>
      </c>
      <c r="J98" s="4238">
        <f>'9.Инвестиционна програма'!BC146</f>
        <v>542.99197783038403</v>
      </c>
      <c r="K98" s="4238">
        <f>'9.Инвестиционна програма'!BD146</f>
        <v>285.81216158868608</v>
      </c>
      <c r="L98" s="4238">
        <f>'9.Инвестиционна програма'!BE146</f>
        <v>285.81216158868608</v>
      </c>
      <c r="M98" s="4238">
        <f>'9.Инвестиционна програма'!BF146</f>
        <v>285.81216158868608</v>
      </c>
      <c r="N98" s="4238">
        <f>'9.Инвестиционна програма'!BG146</f>
        <v>285.81216158868608</v>
      </c>
      <c r="O98" s="4238">
        <f t="shared" ref="O98:O101" si="76">SUM(J98:N98)</f>
        <v>1686.2406241851286</v>
      </c>
      <c r="Q98" s="4244"/>
      <c r="S98" s="4274"/>
      <c r="T98" s="4275"/>
      <c r="U98" s="4275"/>
      <c r="V98" s="4275"/>
      <c r="W98" s="4275"/>
      <c r="X98" s="4275"/>
      <c r="Y98" s="4275"/>
      <c r="Z98" s="4276"/>
      <c r="AA98" s="4276"/>
    </row>
    <row r="99" spans="1:27" ht="16.5" customHeight="1">
      <c r="A99" s="5467" t="s">
        <v>87</v>
      </c>
      <c r="B99" s="5460" t="s">
        <v>1661</v>
      </c>
      <c r="C99" s="5460"/>
      <c r="D99" s="5460"/>
      <c r="E99" s="5460"/>
      <c r="F99" s="5460"/>
      <c r="G99" s="5460"/>
      <c r="I99" s="4230" t="s">
        <v>1624</v>
      </c>
      <c r="J99" s="4231">
        <f>'10. Финансиране на ИП'!CQ15</f>
        <v>36.813015446127729</v>
      </c>
      <c r="K99" s="4231">
        <f>'10. Финансиране на ИП'!CR15</f>
        <v>11.759713267513025</v>
      </c>
      <c r="L99" s="4231">
        <f>'10. Финансиране на ИП'!CS15</f>
        <v>11.759713267513025</v>
      </c>
      <c r="M99" s="4231">
        <f>'10. Финансиране на ИП'!CT15</f>
        <v>11.759713267513025</v>
      </c>
      <c r="N99" s="4231">
        <f>'10. Финансиране на ИП'!CU15</f>
        <v>11.759713267513025</v>
      </c>
      <c r="O99" s="4263">
        <f t="shared" si="76"/>
        <v>83.85186851617982</v>
      </c>
      <c r="Q99" s="4244"/>
      <c r="S99" s="3401" t="s">
        <v>1092</v>
      </c>
      <c r="T99" s="11"/>
      <c r="U99" s="11"/>
      <c r="V99" s="11"/>
      <c r="W99" s="11"/>
      <c r="X99" s="11"/>
      <c r="Y99" s="11"/>
      <c r="Z99" s="11"/>
      <c r="AA99" s="11"/>
    </row>
    <row r="100" spans="1:27" ht="19.5" customHeight="1">
      <c r="A100" s="5467"/>
      <c r="B100" s="4268" t="str">
        <f>B40</f>
        <v>2024 г.</v>
      </c>
      <c r="C100" s="4268" t="str">
        <f>C82</f>
        <v>2027 г.</v>
      </c>
      <c r="D100" s="4268" t="str">
        <f>D40</f>
        <v>2028 г.</v>
      </c>
      <c r="E100" s="4268" t="str">
        <f>E40</f>
        <v>2029 г.</v>
      </c>
      <c r="F100" s="4268" t="str">
        <f>F40</f>
        <v>2030 г.</v>
      </c>
      <c r="G100" s="4268" t="str">
        <f>G40</f>
        <v>2031 г.</v>
      </c>
      <c r="I100" s="4230" t="s">
        <v>1647</v>
      </c>
      <c r="J100" s="4231">
        <f>'10. Финансиране на ИП'!CQ16</f>
        <v>506.17896238425629</v>
      </c>
      <c r="K100" s="4231">
        <f>'10. Финансиране на ИП'!CR16</f>
        <v>274.05244832117313</v>
      </c>
      <c r="L100" s="4231">
        <f>'10. Финансиране на ИП'!CS16</f>
        <v>274.05244832117313</v>
      </c>
      <c r="M100" s="4231">
        <f>'10. Финансиране на ИП'!CT16</f>
        <v>274.05244832117313</v>
      </c>
      <c r="N100" s="4231">
        <f>'10. Финансиране на ИП'!CU16</f>
        <v>274.05244832117313</v>
      </c>
      <c r="O100" s="4263">
        <f t="shared" si="76"/>
        <v>1602.388755668949</v>
      </c>
      <c r="Q100" s="4244"/>
      <c r="S100" s="5460" t="s">
        <v>1922</v>
      </c>
      <c r="T100" s="5460" t="str">
        <f>S99</f>
        <v>Доставяне на вода на друг ВиК оператор</v>
      </c>
      <c r="U100" s="5460"/>
      <c r="V100" s="5460"/>
      <c r="W100" s="5460"/>
      <c r="X100" s="5460"/>
      <c r="Y100" s="5460"/>
      <c r="Z100" s="5404" t="str">
        <f>+"Изменение "&amp;U101&amp;" спр. "&amp;T101</f>
        <v>Изменение 2027 г. спр. 2024 г.</v>
      </c>
      <c r="AA100" s="5404" t="str">
        <f>+"Изменение "&amp;Y101&amp;" спр. "&amp;T101</f>
        <v>Изменение 2031 г. спр. 2024 г.</v>
      </c>
    </row>
    <row r="101" spans="1:27" ht="21" customHeight="1">
      <c r="A101" s="5466" t="s">
        <v>1658</v>
      </c>
      <c r="B101" s="5466"/>
      <c r="C101" s="5466"/>
      <c r="D101" s="5466"/>
      <c r="E101" s="5466"/>
      <c r="F101" s="5466"/>
      <c r="G101" s="5466"/>
      <c r="I101" s="4265" t="s">
        <v>1625</v>
      </c>
      <c r="J101" s="4238">
        <f>'12. Разходи'!CZ56</f>
        <v>287.39205350158244</v>
      </c>
      <c r="K101" s="4238">
        <f>'12. Разходи'!DA56</f>
        <v>316.53057781095492</v>
      </c>
      <c r="L101" s="4238">
        <f>'12. Разходи'!DB56</f>
        <v>300.24081847604327</v>
      </c>
      <c r="M101" s="4238">
        <f>'12. Разходи'!DC56</f>
        <v>315.4773165356907</v>
      </c>
      <c r="N101" s="4238">
        <f>'12. Разходи'!DD56</f>
        <v>325.1100555774276</v>
      </c>
      <c r="O101" s="4238">
        <f t="shared" si="76"/>
        <v>1544.7508219016988</v>
      </c>
      <c r="Q101" s="4244"/>
      <c r="S101" s="5460"/>
      <c r="T101" s="4214" t="str">
        <f t="shared" ref="T101:Y101" si="77">T77</f>
        <v>2024 г.</v>
      </c>
      <c r="U101" s="4214" t="str">
        <f t="shared" si="77"/>
        <v>2027 г.</v>
      </c>
      <c r="V101" s="4214" t="str">
        <f t="shared" si="77"/>
        <v>2028 г.</v>
      </c>
      <c r="W101" s="4214" t="str">
        <f t="shared" si="77"/>
        <v>2029 г.</v>
      </c>
      <c r="X101" s="4214" t="str">
        <f t="shared" si="77"/>
        <v>2030 г.</v>
      </c>
      <c r="Y101" s="4214" t="str">
        <f t="shared" si="77"/>
        <v>2031 г.</v>
      </c>
      <c r="Z101" s="5404"/>
      <c r="AA101" s="5404"/>
    </row>
    <row r="102" spans="1:27" ht="16.5" customHeight="1">
      <c r="A102" s="4228" t="s">
        <v>334</v>
      </c>
      <c r="B102" s="3644">
        <f t="shared" ref="B102:G105" si="78">B6+B24+B42+B60+B84</f>
        <v>7681.1379312107902</v>
      </c>
      <c r="C102" s="3644">
        <f t="shared" si="78"/>
        <v>8556.469631818718</v>
      </c>
      <c r="D102" s="3644">
        <f t="shared" si="78"/>
        <v>8842.2817934074064</v>
      </c>
      <c r="E102" s="3644">
        <f t="shared" si="78"/>
        <v>9128.0939549960913</v>
      </c>
      <c r="F102" s="3644">
        <f t="shared" si="78"/>
        <v>9413.9061165847761</v>
      </c>
      <c r="G102" s="3644">
        <f t="shared" si="78"/>
        <v>9699.7182781734646</v>
      </c>
      <c r="I102" s="4277" t="s">
        <v>1626</v>
      </c>
      <c r="J102" s="4278">
        <f>J101-J99</f>
        <v>250.5790380554547</v>
      </c>
      <c r="K102" s="4278">
        <f t="shared" ref="K102:O102" si="79">K101-K99</f>
        <v>304.77086454344192</v>
      </c>
      <c r="L102" s="4278">
        <f t="shared" si="79"/>
        <v>288.48110520853027</v>
      </c>
      <c r="M102" s="4278">
        <f t="shared" si="79"/>
        <v>303.7176032681777</v>
      </c>
      <c r="N102" s="4278">
        <f t="shared" si="79"/>
        <v>313.35034230991459</v>
      </c>
      <c r="O102" s="4278">
        <f t="shared" si="79"/>
        <v>1460.898953385519</v>
      </c>
      <c r="Q102" s="4244"/>
      <c r="S102" s="4229" t="s">
        <v>226</v>
      </c>
      <c r="T102" s="3526">
        <f>'12. Разходи'!CL11</f>
        <v>0</v>
      </c>
      <c r="U102" s="3526">
        <f>'12. Разходи'!CM11</f>
        <v>0</v>
      </c>
      <c r="V102" s="3526">
        <f>'12. Разходи'!CN11</f>
        <v>0</v>
      </c>
      <c r="W102" s="3526">
        <f>'12. Разходи'!CO11</f>
        <v>0</v>
      </c>
      <c r="X102" s="3526">
        <f>'12. Разходи'!CP11</f>
        <v>0</v>
      </c>
      <c r="Y102" s="3526">
        <f>'12. Разходи'!CQ11</f>
        <v>0</v>
      </c>
      <c r="Z102" s="4227">
        <f>IFERROR((U102-T102)/T102,0)</f>
        <v>0</v>
      </c>
      <c r="AA102" s="4227">
        <f>IFERROR((Y102-T102)/T102,0)</f>
        <v>0</v>
      </c>
    </row>
    <row r="103" spans="1:27" ht="15.75" customHeight="1">
      <c r="A103" s="4230" t="s">
        <v>218</v>
      </c>
      <c r="B103" s="3526">
        <f t="shared" si="78"/>
        <v>218.32163327078527</v>
      </c>
      <c r="C103" s="3526">
        <f t="shared" si="78"/>
        <v>287.39205350158238</v>
      </c>
      <c r="D103" s="3526">
        <f t="shared" si="78"/>
        <v>316.53057781095487</v>
      </c>
      <c r="E103" s="3526">
        <f t="shared" si="78"/>
        <v>300.24081847604327</v>
      </c>
      <c r="F103" s="3526">
        <f t="shared" si="78"/>
        <v>315.4773165356907</v>
      </c>
      <c r="G103" s="3526">
        <f t="shared" si="78"/>
        <v>325.1100555774276</v>
      </c>
      <c r="I103" s="4279"/>
      <c r="J103" s="4280"/>
      <c r="K103" s="4280"/>
      <c r="L103" s="4280"/>
      <c r="M103" s="4280"/>
      <c r="N103" s="4280"/>
      <c r="O103" s="4280"/>
      <c r="Q103" s="4244"/>
      <c r="S103" s="4229" t="s">
        <v>239</v>
      </c>
      <c r="T103" s="3526">
        <f>'12. Разходи'!CL29</f>
        <v>0</v>
      </c>
      <c r="U103" s="3526">
        <f>'12. Разходи'!CM29</f>
        <v>0</v>
      </c>
      <c r="V103" s="3526">
        <f>'12. Разходи'!CN29</f>
        <v>0</v>
      </c>
      <c r="W103" s="3526">
        <f>'12. Разходи'!CO29</f>
        <v>0</v>
      </c>
      <c r="X103" s="3526">
        <f>'12. Разходи'!CP29</f>
        <v>0</v>
      </c>
      <c r="Y103" s="3526">
        <f>'12. Разходи'!CQ29</f>
        <v>0</v>
      </c>
      <c r="Z103" s="4227">
        <f t="shared" ref="Z103:Z118" si="80">IFERROR((U103-T103)/T103,0)</f>
        <v>0</v>
      </c>
      <c r="AA103" s="4227">
        <f t="shared" ref="AA103:AA118" si="81">IFERROR((Y103-T103)/T103,0)</f>
        <v>0</v>
      </c>
    </row>
    <row r="104" spans="1:27" ht="21" customHeight="1">
      <c r="A104" s="4234" t="s">
        <v>220</v>
      </c>
      <c r="B104" s="3526">
        <f t="shared" si="78"/>
        <v>4560.7235802702689</v>
      </c>
      <c r="C104" s="3526">
        <f t="shared" si="78"/>
        <v>5101.614148468936</v>
      </c>
      <c r="D104" s="3526">
        <f t="shared" si="78"/>
        <v>5418.144726279892</v>
      </c>
      <c r="E104" s="3526">
        <f t="shared" si="78"/>
        <v>5718.3855447559354</v>
      </c>
      <c r="F104" s="3526">
        <f t="shared" si="78"/>
        <v>6033.8628612916245</v>
      </c>
      <c r="G104" s="3526">
        <f t="shared" si="78"/>
        <v>6358.9729168690537</v>
      </c>
      <c r="I104" s="3399" t="s">
        <v>1729</v>
      </c>
      <c r="J104" s="4218" t="str">
        <f>+'15. ОПП'!$C$7</f>
        <v>2027 г.</v>
      </c>
      <c r="K104" s="4218" t="str">
        <f>+'15. ОПП'!$D$7</f>
        <v>2028 г.</v>
      </c>
      <c r="L104" s="4218" t="str">
        <f>+'15. ОПП'!$E$7</f>
        <v>2029 г.</v>
      </c>
      <c r="M104" s="4218" t="str">
        <f>+'15. ОПП'!$F$7</f>
        <v>2030 г.</v>
      </c>
      <c r="N104" s="4218" t="str">
        <f>+'15. ОПП'!$G$7</f>
        <v>2031 г.</v>
      </c>
      <c r="Q104" s="4244"/>
      <c r="S104" s="4229" t="s">
        <v>446</v>
      </c>
      <c r="T104" s="3526">
        <f>'12. Разходи'!CL55</f>
        <v>0</v>
      </c>
      <c r="U104" s="3526">
        <f>'12. Разходи'!CM55</f>
        <v>0</v>
      </c>
      <c r="V104" s="3526">
        <f>'12. Разходи'!CN55</f>
        <v>0</v>
      </c>
      <c r="W104" s="3526">
        <f>'12. Разходи'!CO55</f>
        <v>0</v>
      </c>
      <c r="X104" s="3526">
        <f>'12. Разходи'!CP55</f>
        <v>0</v>
      </c>
      <c r="Y104" s="3526">
        <f>'12. Разходи'!CQ55</f>
        <v>0</v>
      </c>
      <c r="Z104" s="4227">
        <f t="shared" si="80"/>
        <v>0</v>
      </c>
      <c r="AA104" s="4227">
        <f t="shared" si="81"/>
        <v>0</v>
      </c>
    </row>
    <row r="105" spans="1:27" ht="15.75" customHeight="1">
      <c r="A105" s="4234" t="s">
        <v>222</v>
      </c>
      <c r="B105" s="3526">
        <f t="shared" si="78"/>
        <v>3120.4143509405217</v>
      </c>
      <c r="C105" s="3526">
        <f t="shared" si="78"/>
        <v>3454.8554833497797</v>
      </c>
      <c r="D105" s="3526">
        <f t="shared" si="78"/>
        <v>3424.1370671275108</v>
      </c>
      <c r="E105" s="3526">
        <f t="shared" si="78"/>
        <v>3409.7084102401532</v>
      </c>
      <c r="F105" s="3526">
        <f t="shared" si="78"/>
        <v>3380.0432552931493</v>
      </c>
      <c r="G105" s="3526">
        <f t="shared" si="78"/>
        <v>3340.7453613044077</v>
      </c>
      <c r="I105" s="3392" t="s">
        <v>1915</v>
      </c>
      <c r="J105" s="3397">
        <f>'10. Финансиране на ИП'!CQ59*'10. Финансиране на ИП'!AT66</f>
        <v>0</v>
      </c>
      <c r="K105" s="3397">
        <f>'10. Финансиране на ИП'!CR59*'10. Финансиране на ИП'!AU66</f>
        <v>506.17896238425629</v>
      </c>
      <c r="L105" s="3397">
        <f>'10. Финансиране на ИП'!CS59*'10. Финансиране на ИП'!AV66</f>
        <v>780.23141070542943</v>
      </c>
      <c r="M105" s="3397">
        <f>'10. Финансиране на ИП'!CT59*'10. Финансиране на ИП'!AW66</f>
        <v>1054.2838590266026</v>
      </c>
      <c r="N105" s="3397">
        <f>'10. Финансиране на ИП'!CCU59*'10. Финансиране на ИП'!AX66</f>
        <v>0</v>
      </c>
      <c r="Q105" s="4244"/>
      <c r="S105" s="4235" t="s">
        <v>447</v>
      </c>
      <c r="T105" s="3526">
        <f>'12. Разходи'!CL56</f>
        <v>0</v>
      </c>
      <c r="U105" s="3526">
        <f>'12. Разходи'!CM56</f>
        <v>0</v>
      </c>
      <c r="V105" s="3526">
        <f>'12. Разходи'!CN56</f>
        <v>0</v>
      </c>
      <c r="W105" s="3526">
        <f>'12. Разходи'!CO56</f>
        <v>0</v>
      </c>
      <c r="X105" s="3526">
        <f>'12. Разходи'!CP56</f>
        <v>0</v>
      </c>
      <c r="Y105" s="3526">
        <f>'12. Разходи'!CQ56</f>
        <v>0</v>
      </c>
      <c r="Z105" s="4227">
        <f t="shared" si="80"/>
        <v>0</v>
      </c>
      <c r="AA105" s="4227">
        <f t="shared" si="81"/>
        <v>0</v>
      </c>
    </row>
    <row r="106" spans="1:27" ht="15.75" customHeight="1">
      <c r="A106" s="5466" t="s">
        <v>1659</v>
      </c>
      <c r="B106" s="5466"/>
      <c r="C106" s="5466"/>
      <c r="D106" s="5466"/>
      <c r="E106" s="5466"/>
      <c r="F106" s="5466"/>
      <c r="G106" s="5466"/>
      <c r="I106" s="3394" t="s">
        <v>1916</v>
      </c>
      <c r="J106" s="3395">
        <f>'10. Финансиране на ИП'!CQ60*'10. Финансиране на ИП'!AT66</f>
        <v>506.17896238425629</v>
      </c>
      <c r="K106" s="3395">
        <f>'10. Финансиране на ИП'!CR60*'10. Финансиране на ИП'!AU66</f>
        <v>274.05244832117313</v>
      </c>
      <c r="L106" s="3395">
        <f>'10. Финансиране на ИП'!CS60*'10. Финансиране на ИП'!AV66</f>
        <v>274.05244832117313</v>
      </c>
      <c r="M106" s="3395">
        <f>'10. Финансиране на ИП'!CT60*'10. Финансиране на ИП'!AW66</f>
        <v>274.05244832117313</v>
      </c>
      <c r="N106" s="3395">
        <f>'10. Финансиране на ИП'!CU60*'10. Финансиране на ИП'!AX66</f>
        <v>274.05244832117313</v>
      </c>
      <c r="Q106" s="4244"/>
      <c r="S106" s="4235" t="s">
        <v>736</v>
      </c>
      <c r="T106" s="3526">
        <f>'12. Разходи'!CL57</f>
        <v>0</v>
      </c>
      <c r="U106" s="3526">
        <f>'12. Разходи'!CM57</f>
        <v>0</v>
      </c>
      <c r="V106" s="3526">
        <f>'12. Разходи'!CN57</f>
        <v>0</v>
      </c>
      <c r="W106" s="3526">
        <f>'12. Разходи'!CO57</f>
        <v>0</v>
      </c>
      <c r="X106" s="3526">
        <f>'12. Разходи'!CP57</f>
        <v>0</v>
      </c>
      <c r="Y106" s="3526">
        <f>'12. Разходи'!CQ57</f>
        <v>0</v>
      </c>
      <c r="Z106" s="4227">
        <f t="shared" si="80"/>
        <v>0</v>
      </c>
      <c r="AA106" s="4227">
        <f t="shared" si="81"/>
        <v>0</v>
      </c>
    </row>
    <row r="107" spans="1:27" ht="15.75" customHeight="1">
      <c r="A107" s="4228" t="s">
        <v>334</v>
      </c>
      <c r="B107" s="3644">
        <f t="shared" ref="B107:G110" si="82">B11+B29+B47+B65+B89</f>
        <v>3588.7577141162574</v>
      </c>
      <c r="C107" s="3644">
        <f t="shared" si="82"/>
        <v>8421.1326004816365</v>
      </c>
      <c r="D107" s="3644">
        <f t="shared" si="82"/>
        <v>15541.18268049882</v>
      </c>
      <c r="E107" s="3644">
        <f t="shared" si="82"/>
        <v>22511.935531206698</v>
      </c>
      <c r="F107" s="3644">
        <f t="shared" si="82"/>
        <v>23432.363175736136</v>
      </c>
      <c r="G107" s="3644">
        <f t="shared" si="82"/>
        <v>24348.086934958563</v>
      </c>
      <c r="I107" s="3394" t="s">
        <v>1917</v>
      </c>
      <c r="J107" s="3395">
        <f>'10. Финансиране на ИП'!CQ61*'10. Финансиране на ИП'!AT66</f>
        <v>0</v>
      </c>
      <c r="K107" s="3395">
        <f>'10. Финансиране на ИП'!CR61*'10. Финансиране на ИП'!AU66</f>
        <v>0</v>
      </c>
      <c r="L107" s="3395">
        <f>'10. Финансиране на ИП'!CS61*'10. Финансиране на ИП'!AV66</f>
        <v>0</v>
      </c>
      <c r="M107" s="3395">
        <f>'10. Финансиране на ИП'!CT61*'10. Финансиране на ИП'!AW66</f>
        <v>0</v>
      </c>
      <c r="N107" s="3395">
        <f>'10. Финансиране на ИП'!CU61*'10. Финансиране на ИП'!AX66</f>
        <v>0</v>
      </c>
      <c r="Q107" s="4244"/>
      <c r="S107" s="4235" t="s">
        <v>737</v>
      </c>
      <c r="T107" s="3526">
        <f>'12. Разходи'!CL58</f>
        <v>0</v>
      </c>
      <c r="U107" s="3526">
        <f>'12. Разходи'!CM58</f>
        <v>0</v>
      </c>
      <c r="V107" s="3526">
        <f>'12. Разходи'!CN58</f>
        <v>0</v>
      </c>
      <c r="W107" s="3526">
        <f>'12. Разходи'!CO58</f>
        <v>0</v>
      </c>
      <c r="X107" s="3526">
        <f>'12. Разходи'!CP58</f>
        <v>0</v>
      </c>
      <c r="Y107" s="3526">
        <f>'12. Разходи'!CQ58</f>
        <v>0</v>
      </c>
      <c r="Z107" s="4227">
        <f t="shared" si="80"/>
        <v>0</v>
      </c>
      <c r="AA107" s="4227">
        <f t="shared" si="81"/>
        <v>0</v>
      </c>
    </row>
    <row r="108" spans="1:27" ht="15.75" customHeight="1">
      <c r="A108" s="4230" t="s">
        <v>218</v>
      </c>
      <c r="B108" s="3526">
        <f t="shared" si="82"/>
        <v>192.24574732977817</v>
      </c>
      <c r="C108" s="3526">
        <f t="shared" si="82"/>
        <v>357.23075234555148</v>
      </c>
      <c r="D108" s="3526">
        <f t="shared" si="82"/>
        <v>561.17121091301397</v>
      </c>
      <c r="E108" s="3526">
        <f t="shared" si="82"/>
        <v>807.6192608151016</v>
      </c>
      <c r="F108" s="3526">
        <f t="shared" si="82"/>
        <v>956.95496213883609</v>
      </c>
      <c r="G108" s="3526">
        <f t="shared" si="82"/>
        <v>1018.0799065358442</v>
      </c>
      <c r="I108" s="3392" t="s">
        <v>1918</v>
      </c>
      <c r="J108" s="3397">
        <f>'10. Финансиране на ИП'!CQ62*'10. Финансиране на ИП'!AT66</f>
        <v>0</v>
      </c>
      <c r="K108" s="3397">
        <f>'10. Финансиране на ИП'!CR62*'10. Финансиране на ИП'!AU66</f>
        <v>0</v>
      </c>
      <c r="L108" s="3397">
        <f>'10. Финансиране на ИП'!CS62*'10. Финансиране на ИП'!AV66</f>
        <v>0</v>
      </c>
      <c r="M108" s="3397">
        <f>'10. Финансиране на ИП'!CT62*'10. Финансиране на ИП'!AW66</f>
        <v>0</v>
      </c>
      <c r="N108" s="3397">
        <f>'10. Финансиране на ИП'!CU62*'10. Финансиране на ИП'!AX66</f>
        <v>0</v>
      </c>
      <c r="Q108" s="4244"/>
      <c r="S108" s="4229" t="s">
        <v>448</v>
      </c>
      <c r="T108" s="3526">
        <f>'12. Разходи'!CL59</f>
        <v>0</v>
      </c>
      <c r="U108" s="3526">
        <f>'12. Разходи'!CM59</f>
        <v>0</v>
      </c>
      <c r="V108" s="3526">
        <f>'12. Разходи'!CN59</f>
        <v>0</v>
      </c>
      <c r="W108" s="3526">
        <f>'12. Разходи'!CO59</f>
        <v>0</v>
      </c>
      <c r="X108" s="3526">
        <f>'12. Разходи'!CP59</f>
        <v>0</v>
      </c>
      <c r="Y108" s="3526">
        <f>'12. Разходи'!CQ59</f>
        <v>0</v>
      </c>
      <c r="Z108" s="4227">
        <f t="shared" si="80"/>
        <v>0</v>
      </c>
      <c r="AA108" s="4227">
        <f t="shared" si="81"/>
        <v>0</v>
      </c>
    </row>
    <row r="109" spans="1:27" ht="15.75" customHeight="1">
      <c r="A109" s="4234" t="s">
        <v>220</v>
      </c>
      <c r="B109" s="3526">
        <f t="shared" si="82"/>
        <v>661.61169426790673</v>
      </c>
      <c r="C109" s="3526">
        <f t="shared" si="82"/>
        <v>1266.7908879401584</v>
      </c>
      <c r="D109" s="3526">
        <f t="shared" si="82"/>
        <v>1827.9620988531722</v>
      </c>
      <c r="E109" s="3526">
        <f t="shared" si="82"/>
        <v>2635.5813596682738</v>
      </c>
      <c r="F109" s="3526">
        <f t="shared" si="82"/>
        <v>3592.5363218071107</v>
      </c>
      <c r="G109" s="3526">
        <f t="shared" si="82"/>
        <v>4610.6162283429539</v>
      </c>
      <c r="I109" s="3394" t="s">
        <v>199</v>
      </c>
      <c r="J109" s="3388">
        <f>'10. Финансиране на ИП'!AT63</f>
        <v>0</v>
      </c>
      <c r="K109" s="3388">
        <f>'10. Финансиране на ИП'!AU63</f>
        <v>0</v>
      </c>
      <c r="L109" s="3388">
        <f>'10. Финансиране на ИП'!AV63</f>
        <v>0</v>
      </c>
      <c r="M109" s="3388">
        <f>'10. Финансиране на ИП'!AW63</f>
        <v>0</v>
      </c>
      <c r="N109" s="3388">
        <f>'10. Финансиране на ИП'!AX63</f>
        <v>0</v>
      </c>
      <c r="Q109" s="4244"/>
      <c r="S109" s="4229" t="s">
        <v>449</v>
      </c>
      <c r="T109" s="3526">
        <f>'12. Разходи'!CL63</f>
        <v>0</v>
      </c>
      <c r="U109" s="3526">
        <f>'12. Разходи'!CM63</f>
        <v>0</v>
      </c>
      <c r="V109" s="3526">
        <f>'12. Разходи'!CN63</f>
        <v>0</v>
      </c>
      <c r="W109" s="3526">
        <f>'12. Разходи'!CO63</f>
        <v>0</v>
      </c>
      <c r="X109" s="3526">
        <f>'12. Разходи'!CP63</f>
        <v>0</v>
      </c>
      <c r="Y109" s="3526">
        <f>'12. Разходи'!CQ63</f>
        <v>0</v>
      </c>
      <c r="Z109" s="4227">
        <f t="shared" si="80"/>
        <v>0</v>
      </c>
      <c r="AA109" s="4227">
        <f t="shared" si="81"/>
        <v>0</v>
      </c>
    </row>
    <row r="110" spans="1:27" ht="15.75" customHeight="1">
      <c r="A110" s="4234" t="s">
        <v>222</v>
      </c>
      <c r="B110" s="3526">
        <f t="shared" si="82"/>
        <v>2927.1460198483505</v>
      </c>
      <c r="C110" s="3526">
        <f t="shared" si="82"/>
        <v>7154.341712541479</v>
      </c>
      <c r="D110" s="3526">
        <f t="shared" si="82"/>
        <v>13713.220581645646</v>
      </c>
      <c r="E110" s="3526">
        <f t="shared" si="82"/>
        <v>19876.354171538431</v>
      </c>
      <c r="F110" s="3526">
        <f t="shared" si="82"/>
        <v>19839.826853929022</v>
      </c>
      <c r="G110" s="3526">
        <f t="shared" si="82"/>
        <v>19737.470706615608</v>
      </c>
      <c r="I110" s="3392" t="s">
        <v>1919</v>
      </c>
      <c r="J110" s="3398">
        <f>'10. Финансиране на ИП'!CQ64*'10. Финансиране на ИП'!AT66</f>
        <v>0</v>
      </c>
      <c r="K110" s="3398">
        <f>'10. Финансиране на ИП'!CR64*'10. Финансиране на ИП'!AU66</f>
        <v>0</v>
      </c>
      <c r="L110" s="3398">
        <f>'10. Финансиране на ИП'!CS64*'10. Финансиране на ИП'!AV66</f>
        <v>0</v>
      </c>
      <c r="M110" s="3398">
        <f>'10. Финансиране на ИП'!CT64*'10. Финансиране на ИП'!AW66</f>
        <v>0</v>
      </c>
      <c r="N110" s="3398">
        <f>'10. Финансиране на ИП'!CU64*'10. Финансиране на ИП'!AX66</f>
        <v>0</v>
      </c>
      <c r="Q110" s="4244"/>
      <c r="S110" s="4229" t="s">
        <v>450</v>
      </c>
      <c r="T110" s="3526">
        <f>'12. Разходи'!CL70</f>
        <v>0</v>
      </c>
      <c r="U110" s="3526">
        <f>'12. Разходи'!CM70</f>
        <v>0</v>
      </c>
      <c r="V110" s="3526">
        <f>'12. Разходи'!CN70</f>
        <v>0</v>
      </c>
      <c r="W110" s="3526">
        <f>'12. Разходи'!CO70</f>
        <v>0</v>
      </c>
      <c r="X110" s="3526">
        <f>'12. Разходи'!CP70</f>
        <v>0</v>
      </c>
      <c r="Y110" s="3526">
        <f>'12. Разходи'!CQ70</f>
        <v>0</v>
      </c>
      <c r="Z110" s="4227">
        <f t="shared" si="80"/>
        <v>0</v>
      </c>
      <c r="AA110" s="4227">
        <f t="shared" si="81"/>
        <v>0</v>
      </c>
    </row>
    <row r="111" spans="1:27" ht="15.75" customHeight="1">
      <c r="A111" s="5466" t="s">
        <v>1660</v>
      </c>
      <c r="B111" s="5466"/>
      <c r="C111" s="5466"/>
      <c r="D111" s="5466"/>
      <c r="E111" s="5466"/>
      <c r="F111" s="5466"/>
      <c r="G111" s="5466"/>
      <c r="I111" s="3392" t="s">
        <v>1920</v>
      </c>
      <c r="J111" s="3398">
        <f>'10. Финансиране на ИП'!CQ65*'10. Финансиране на ИП'!AT66</f>
        <v>506.17896238425629</v>
      </c>
      <c r="K111" s="3398">
        <f>'10. Финансиране на ИП'!CR65*'10. Финансиране на ИП'!AU66</f>
        <v>780.23141070542943</v>
      </c>
      <c r="L111" s="3398">
        <f>'10. Финансиране на ИП'!CS65*'10. Финансиране на ИП'!AV66</f>
        <v>1054.2838590266026</v>
      </c>
      <c r="M111" s="3398">
        <f>'10. Финансиране на ИП'!CT65*'10. Финансиране на ИП'!AW66</f>
        <v>1328.3363073477756</v>
      </c>
      <c r="N111" s="3398">
        <f>'10. Финансиране на ИП'!CU65*'10. Финансиране на ИП'!AX66</f>
        <v>1602.3887556689488</v>
      </c>
      <c r="Q111" s="4244"/>
      <c r="S111" s="4229" t="s">
        <v>267</v>
      </c>
      <c r="T111" s="3526">
        <f>'12. Разходи'!CL76</f>
        <v>0</v>
      </c>
      <c r="U111" s="3526">
        <f>'12. Разходи'!CM76</f>
        <v>0</v>
      </c>
      <c r="V111" s="3526">
        <f>'12. Разходи'!CN76</f>
        <v>0</v>
      </c>
      <c r="W111" s="3526">
        <f>'12. Разходи'!CO76</f>
        <v>0</v>
      </c>
      <c r="X111" s="3526">
        <f>'12. Разходи'!CP76</f>
        <v>0</v>
      </c>
      <c r="Y111" s="3526">
        <f>'12. Разходи'!CQ76</f>
        <v>0</v>
      </c>
      <c r="Z111" s="4227">
        <f t="shared" si="80"/>
        <v>0</v>
      </c>
      <c r="AA111" s="4227">
        <f t="shared" si="81"/>
        <v>0</v>
      </c>
    </row>
    <row r="112" spans="1:27" ht="20.25" customHeight="1">
      <c r="A112" s="4228" t="s">
        <v>334</v>
      </c>
      <c r="B112" s="3644">
        <f t="shared" ref="B112:G115" si="83">B16+B34+B52+B70+B94</f>
        <v>137019.0660742498</v>
      </c>
      <c r="C112" s="3644">
        <f t="shared" si="83"/>
        <v>137019.0660742498</v>
      </c>
      <c r="D112" s="3644">
        <f t="shared" si="83"/>
        <v>137019.0660742498</v>
      </c>
      <c r="E112" s="3644">
        <f t="shared" si="83"/>
        <v>137019.0660742498</v>
      </c>
      <c r="F112" s="3644">
        <f t="shared" si="83"/>
        <v>137019.0660742498</v>
      </c>
      <c r="G112" s="3644">
        <f t="shared" si="83"/>
        <v>137019.0660742498</v>
      </c>
      <c r="I112" s="3399" t="s">
        <v>1939</v>
      </c>
      <c r="J112" s="4218" t="str">
        <f>+'15. ОПП'!$C$7</f>
        <v>2027 г.</v>
      </c>
      <c r="K112" s="4218" t="str">
        <f>+'15. ОПП'!$D$7</f>
        <v>2028 г.</v>
      </c>
      <c r="L112" s="4218" t="str">
        <f>+'15. ОПП'!$E$7</f>
        <v>2029 г.</v>
      </c>
      <c r="M112" s="4218" t="str">
        <f>+'15. ОПП'!$F$7</f>
        <v>2030 г.</v>
      </c>
      <c r="N112" s="4218" t="str">
        <f>+'15. ОПП'!$G$7</f>
        <v>2031 г.</v>
      </c>
      <c r="Q112" s="4244"/>
      <c r="S112" s="4237" t="s">
        <v>277</v>
      </c>
      <c r="T112" s="4238">
        <f>SUM(T102:T104,T108:T111)</f>
        <v>0</v>
      </c>
      <c r="U112" s="4238">
        <f t="shared" ref="U112:Y112" si="84">SUM(U102:U104,U108:U111)</f>
        <v>0</v>
      </c>
      <c r="V112" s="4238">
        <f t="shared" si="84"/>
        <v>0</v>
      </c>
      <c r="W112" s="4238">
        <f t="shared" si="84"/>
        <v>0</v>
      </c>
      <c r="X112" s="4238">
        <f t="shared" si="84"/>
        <v>0</v>
      </c>
      <c r="Y112" s="4238">
        <f t="shared" si="84"/>
        <v>0</v>
      </c>
      <c r="Z112" s="4239">
        <f t="shared" si="80"/>
        <v>0</v>
      </c>
      <c r="AA112" s="4239">
        <f t="shared" si="81"/>
        <v>0</v>
      </c>
    </row>
    <row r="113" spans="1:27" ht="15.75" customHeight="1">
      <c r="A113" s="4230" t="s">
        <v>218</v>
      </c>
      <c r="B113" s="3526">
        <f t="shared" si="83"/>
        <v>4093.9140927381218</v>
      </c>
      <c r="C113" s="3526">
        <f t="shared" si="83"/>
        <v>4092.3802170945328</v>
      </c>
      <c r="D113" s="3526">
        <f t="shared" si="83"/>
        <v>4090.4424208647993</v>
      </c>
      <c r="E113" s="3526">
        <f t="shared" si="83"/>
        <v>4082.9571077240867</v>
      </c>
      <c r="F113" s="3526">
        <f t="shared" si="83"/>
        <v>4081.5254904567373</v>
      </c>
      <c r="G113" s="3526">
        <f t="shared" si="83"/>
        <v>4081.5254904567373</v>
      </c>
      <c r="I113" s="3392" t="s">
        <v>1915</v>
      </c>
      <c r="J113" s="3397">
        <f>'10. Финансиране на ИП'!CQ70*'10. Финансиране на ИП'!AT77</f>
        <v>0</v>
      </c>
      <c r="K113" s="3397">
        <f>'10. Финансиране на ИП'!CR70*'10. Финансиране на ИП'!AU77</f>
        <v>0</v>
      </c>
      <c r="L113" s="3397">
        <f>'10. Финансиране на ИП'!CS70*'10. Финансиране на ИП'!AV77</f>
        <v>0</v>
      </c>
      <c r="M113" s="3397">
        <f>'10. Финансиране на ИП'!CT70*'10. Финансиране на ИП'!AW77</f>
        <v>0</v>
      </c>
      <c r="N113" s="3397">
        <f>'10. Финансиране на ИП'!CU70*'10. Финансиране на ИП'!AX77</f>
        <v>0</v>
      </c>
      <c r="Q113" s="4244"/>
      <c r="S113" s="4245" t="str">
        <f>CONCATENATE("Спестявания и увеличения спрямо ",T101," - нето:")</f>
        <v>Спестявания и увеличения спрямо 2024 г. - нето:</v>
      </c>
      <c r="T113" s="4246"/>
      <c r="U113" s="4245">
        <f>U112-$T112</f>
        <v>0</v>
      </c>
      <c r="V113" s="4245">
        <f t="shared" ref="V113:Y113" si="85">V112-$T112</f>
        <v>0</v>
      </c>
      <c r="W113" s="4245">
        <f t="shared" si="85"/>
        <v>0</v>
      </c>
      <c r="X113" s="4245">
        <f t="shared" si="85"/>
        <v>0</v>
      </c>
      <c r="Y113" s="4245">
        <f t="shared" si="85"/>
        <v>0</v>
      </c>
      <c r="Z113" s="4246"/>
      <c r="AA113" s="4246"/>
    </row>
    <row r="114" spans="1:27" ht="15.75" customHeight="1">
      <c r="A114" s="4234" t="s">
        <v>220</v>
      </c>
      <c r="B114" s="3526">
        <f t="shared" si="83"/>
        <v>35288.854348281806</v>
      </c>
      <c r="C114" s="3526">
        <f t="shared" si="83"/>
        <v>43473.614782470875</v>
      </c>
      <c r="D114" s="3526">
        <f t="shared" si="83"/>
        <v>47564.057203335673</v>
      </c>
      <c r="E114" s="3526">
        <f t="shared" si="83"/>
        <v>51647.014311059756</v>
      </c>
      <c r="F114" s="3526">
        <f t="shared" si="83"/>
        <v>55728.539801516497</v>
      </c>
      <c r="G114" s="3526">
        <f t="shared" si="83"/>
        <v>59810.065291973238</v>
      </c>
      <c r="I114" s="3394" t="s">
        <v>1916</v>
      </c>
      <c r="J114" s="3395">
        <f>'10. Финансиране на ИП'!CQ71*'10. Финансиране на ИП'!AT77</f>
        <v>0</v>
      </c>
      <c r="K114" s="3395">
        <f>'10. Финансиране на ИП'!CR71*'10. Финансиране на ИП'!AU77</f>
        <v>0</v>
      </c>
      <c r="L114" s="3395">
        <f>'10. Финансиране на ИП'!CS71*'10. Финансиране на ИП'!AV77</f>
        <v>0</v>
      </c>
      <c r="M114" s="3395">
        <f>'10. Финансиране на ИП'!CT71*'10. Финансиране на ИП'!AW77</f>
        <v>0</v>
      </c>
      <c r="N114" s="3395">
        <f>'10. Финансиране на ИП'!CU71*'10. Финансиране на ИП'!AX77</f>
        <v>0</v>
      </c>
      <c r="Q114" s="4244"/>
      <c r="S114" s="4229" t="s">
        <v>1670</v>
      </c>
      <c r="T114" s="3526">
        <f>+'12. Разходи'!CL92</f>
        <v>0</v>
      </c>
      <c r="U114" s="3526">
        <f>+'12. Разходи'!CM92</f>
        <v>0</v>
      </c>
      <c r="V114" s="3526">
        <f>+'12. Разходи'!CN92</f>
        <v>0</v>
      </c>
      <c r="W114" s="3526">
        <f>+'12. Разходи'!CO92</f>
        <v>0</v>
      </c>
      <c r="X114" s="3526">
        <f>+'12. Разходи'!CP92</f>
        <v>0</v>
      </c>
      <c r="Y114" s="3526">
        <f>+'12. Разходи'!CQ92</f>
        <v>0</v>
      </c>
      <c r="Z114" s="4227">
        <f t="shared" ref="Z114:Z116" si="86">IFERROR((U114-T114)/T114,0)</f>
        <v>0</v>
      </c>
      <c r="AA114" s="4227">
        <f t="shared" ref="AA114:AA116" si="87">IFERROR((Y114-T114)/T114,0)</f>
        <v>0</v>
      </c>
    </row>
    <row r="115" spans="1:27" ht="15.75" customHeight="1">
      <c r="A115" s="4234" t="s">
        <v>222</v>
      </c>
      <c r="B115" s="3526">
        <f t="shared" si="83"/>
        <v>101730.21172596801</v>
      </c>
      <c r="C115" s="3526">
        <f t="shared" si="83"/>
        <v>93545.45129177894</v>
      </c>
      <c r="D115" s="3526">
        <f t="shared" si="83"/>
        <v>89455.008870914142</v>
      </c>
      <c r="E115" s="3526">
        <f t="shared" si="83"/>
        <v>85372.051763190058</v>
      </c>
      <c r="F115" s="3526">
        <f t="shared" si="83"/>
        <v>81290.526272733317</v>
      </c>
      <c r="G115" s="3526">
        <f t="shared" si="83"/>
        <v>77209.000782276577</v>
      </c>
      <c r="I115" s="3394" t="s">
        <v>1917</v>
      </c>
      <c r="J115" s="3395">
        <f>'10. Финансиране на ИП'!CQ72*'10. Финансиране на ИП'!AT77</f>
        <v>0</v>
      </c>
      <c r="K115" s="3395">
        <f>'10. Финансиране на ИП'!CR72*'10. Финансиране на ИП'!AU77</f>
        <v>0</v>
      </c>
      <c r="L115" s="3395">
        <f>'10. Финансиране на ИП'!CS72*'10. Финансиране на ИП'!AV77</f>
        <v>0</v>
      </c>
      <c r="M115" s="3395">
        <f>'10. Финансиране на ИП'!CT72*'10. Финансиране на ИП'!AW77</f>
        <v>0</v>
      </c>
      <c r="N115" s="3395">
        <f>'10. Финансиране на ИП'!CU72*'10. Финансиране на ИП'!AX77</f>
        <v>0</v>
      </c>
      <c r="Q115" s="4244"/>
      <c r="S115" s="4229" t="s">
        <v>1672</v>
      </c>
      <c r="T115" s="3526">
        <f>+'12. Разходи'!CL93</f>
        <v>0</v>
      </c>
      <c r="U115" s="3526">
        <f>+'12. Разходи'!CM93</f>
        <v>0</v>
      </c>
      <c r="V115" s="3526">
        <f>+'12. Разходи'!CN93</f>
        <v>0</v>
      </c>
      <c r="W115" s="3526">
        <f>+'12. Разходи'!CO93</f>
        <v>0</v>
      </c>
      <c r="X115" s="3526">
        <f>+'12. Разходи'!CP93</f>
        <v>0</v>
      </c>
      <c r="Y115" s="3526">
        <f>+'12. Разходи'!CQ93</f>
        <v>0</v>
      </c>
      <c r="Z115" s="4227">
        <f t="shared" si="86"/>
        <v>0</v>
      </c>
      <c r="AA115" s="4227">
        <f t="shared" si="87"/>
        <v>0</v>
      </c>
    </row>
    <row r="116" spans="1:27" ht="15.75" customHeight="1">
      <c r="A116" s="4281"/>
      <c r="B116" s="4275"/>
      <c r="C116" s="4275"/>
      <c r="D116" s="4275"/>
      <c r="E116" s="4275"/>
      <c r="F116" s="4275"/>
      <c r="G116" s="3393" t="s">
        <v>1912</v>
      </c>
      <c r="I116" s="3392" t="s">
        <v>1918</v>
      </c>
      <c r="J116" s="3397">
        <f>'10. Финансиране на ИП'!CQ73*'10. Финансиране на ИП'!AT77</f>
        <v>0</v>
      </c>
      <c r="K116" s="3397">
        <f>'10. Финансиране на ИП'!CR73*'10. Финансиране на ИП'!AU77</f>
        <v>0</v>
      </c>
      <c r="L116" s="3397">
        <f>'10. Финансиране на ИП'!CS73*'10. Финансиране на ИП'!AV77</f>
        <v>0</v>
      </c>
      <c r="M116" s="3397">
        <f>'10. Финансиране на ИП'!CT73*'10. Финансиране на ИП'!AW77</f>
        <v>0</v>
      </c>
      <c r="N116" s="3397">
        <f>'10. Финансиране на ИП'!CU73*'10. Финансиране на ИП'!AX77</f>
        <v>0</v>
      </c>
      <c r="Q116" s="4244"/>
      <c r="S116" s="4248" t="s">
        <v>1671</v>
      </c>
      <c r="T116" s="3526">
        <f>+'12. Разходи'!CL94</f>
        <v>0</v>
      </c>
      <c r="U116" s="3526">
        <f>+'12. Разходи'!CM94</f>
        <v>0</v>
      </c>
      <c r="V116" s="3526">
        <f>+'12. Разходи'!CN94</f>
        <v>0</v>
      </c>
      <c r="W116" s="3526">
        <f>+'12. Разходи'!CO94</f>
        <v>0</v>
      </c>
      <c r="X116" s="3526">
        <f>+'12. Разходи'!CP94</f>
        <v>0</v>
      </c>
      <c r="Y116" s="3526">
        <f>+'12. Разходи'!CQ94</f>
        <v>0</v>
      </c>
      <c r="Z116" s="4227">
        <f t="shared" si="86"/>
        <v>0</v>
      </c>
      <c r="AA116" s="4227">
        <f t="shared" si="87"/>
        <v>0</v>
      </c>
    </row>
    <row r="117" spans="1:27" ht="15.75" customHeight="1">
      <c r="A117" s="5467" t="s">
        <v>1662</v>
      </c>
      <c r="B117" s="5460" t="s">
        <v>1661</v>
      </c>
      <c r="C117" s="5460"/>
      <c r="D117" s="5460"/>
      <c r="E117" s="5460"/>
      <c r="F117" s="5460"/>
      <c r="G117" s="5460"/>
      <c r="I117" s="3394" t="s">
        <v>199</v>
      </c>
      <c r="J117" s="3388">
        <f>'10. Финансиране на ИП'!AT74</f>
        <v>0.13977593014344233</v>
      </c>
      <c r="K117" s="3388">
        <f>'10. Финансиране на ИП'!AU74</f>
        <v>4.6591976714480773E-2</v>
      </c>
      <c r="L117" s="3388">
        <f>'10. Финансиране на ИП'!AV74</f>
        <v>2.8250020268875905E-2</v>
      </c>
      <c r="M117" s="3388">
        <f>'10. Финансиране на ИП'!AW74</f>
        <v>2.7934208892272862E-2</v>
      </c>
      <c r="N117" s="3388">
        <f>'10. Финансиране на ИП'!CU74</f>
        <v>0</v>
      </c>
      <c r="Q117" s="4244"/>
      <c r="S117" s="4229" t="s">
        <v>637</v>
      </c>
      <c r="T117" s="3526">
        <f>'12. Разходи'!CL90</f>
        <v>0</v>
      </c>
      <c r="U117" s="3526">
        <f>'12. Разходи'!CM90</f>
        <v>0</v>
      </c>
      <c r="V117" s="3526">
        <f>'12. Разходи'!CN90</f>
        <v>0</v>
      </c>
      <c r="W117" s="3526">
        <f>'12. Разходи'!CO90</f>
        <v>0</v>
      </c>
      <c r="X117" s="3526">
        <f>'12. Разходи'!CP90</f>
        <v>0</v>
      </c>
      <c r="Y117" s="3526">
        <f>'12. Разходи'!CQ90</f>
        <v>0</v>
      </c>
      <c r="Z117" s="4227">
        <f t="shared" si="80"/>
        <v>0</v>
      </c>
      <c r="AA117" s="4227">
        <f t="shared" si="81"/>
        <v>0</v>
      </c>
    </row>
    <row r="118" spans="1:27" ht="15.75" customHeight="1">
      <c r="A118" s="5467"/>
      <c r="B118" s="4268" t="str">
        <f>+B100</f>
        <v>2024 г.</v>
      </c>
      <c r="C118" s="4268" t="str">
        <f t="shared" ref="C118:G118" si="88">+C100</f>
        <v>2027 г.</v>
      </c>
      <c r="D118" s="4268" t="str">
        <f t="shared" si="88"/>
        <v>2028 г.</v>
      </c>
      <c r="E118" s="4268" t="str">
        <f t="shared" si="88"/>
        <v>2029 г.</v>
      </c>
      <c r="F118" s="4268" t="str">
        <f t="shared" si="88"/>
        <v>2030 г.</v>
      </c>
      <c r="G118" s="4268" t="str">
        <f t="shared" si="88"/>
        <v>2031 г.</v>
      </c>
      <c r="I118" s="3392" t="s">
        <v>1919</v>
      </c>
      <c r="J118" s="3398">
        <f>'10. Финансиране на ИП'!CQ75*'10. Финансиране на ИП'!AT77</f>
        <v>0</v>
      </c>
      <c r="K118" s="3398">
        <f>'10. Финансиране на ИП'!CR75*'10. Финансиране на ИП'!AU77</f>
        <v>0</v>
      </c>
      <c r="L118" s="3398">
        <f>'10. Финансиране на ИП'!CS75*'10. Финансиране на ИП'!AV77</f>
        <v>0</v>
      </c>
      <c r="M118" s="3398">
        <f>'10. Финансиране на ИП'!CT75*'10. Финансиране на ИП'!AW77</f>
        <v>0</v>
      </c>
      <c r="N118" s="3398">
        <f>'10. Финансиране на ИП'!CU75*'10. Финансиране на ИП'!AX77</f>
        <v>0</v>
      </c>
      <c r="Q118" s="4244"/>
      <c r="S118" s="4229" t="s">
        <v>1669</v>
      </c>
      <c r="T118" s="3526">
        <f>'12. Разходи'!CL89</f>
        <v>0</v>
      </c>
      <c r="U118" s="3526">
        <f>'12. Разходи'!CM89</f>
        <v>0</v>
      </c>
      <c r="V118" s="3526">
        <f>'12. Разходи'!CN89</f>
        <v>0</v>
      </c>
      <c r="W118" s="3526">
        <f>'12. Разходи'!CO89</f>
        <v>0</v>
      </c>
      <c r="X118" s="3526">
        <f>'12. Разходи'!CP89</f>
        <v>0</v>
      </c>
      <c r="Y118" s="3526">
        <f>'12. Разходи'!CQ89</f>
        <v>0</v>
      </c>
      <c r="Z118" s="4227">
        <f t="shared" si="80"/>
        <v>0</v>
      </c>
      <c r="AA118" s="4227">
        <f t="shared" si="81"/>
        <v>0</v>
      </c>
    </row>
    <row r="119" spans="1:27" ht="15.75" customHeight="1">
      <c r="A119" s="4234" t="s">
        <v>1663</v>
      </c>
      <c r="B119" s="3526">
        <f t="shared" ref="B119:G119" si="89">B16</f>
        <v>49508.392856229839</v>
      </c>
      <c r="C119" s="3526">
        <f t="shared" si="89"/>
        <v>49508.392856229839</v>
      </c>
      <c r="D119" s="3526">
        <f t="shared" si="89"/>
        <v>49508.392856229839</v>
      </c>
      <c r="E119" s="3526">
        <f t="shared" si="89"/>
        <v>49508.392856229839</v>
      </c>
      <c r="F119" s="3526">
        <f t="shared" si="89"/>
        <v>49508.392856229839</v>
      </c>
      <c r="G119" s="3526">
        <f t="shared" si="89"/>
        <v>49508.392856229839</v>
      </c>
      <c r="I119" s="3392" t="s">
        <v>1920</v>
      </c>
      <c r="J119" s="3398">
        <f>'10. Финансиране на ИП'!CQ76*'10. Финансиране на ИП'!AT77</f>
        <v>0</v>
      </c>
      <c r="K119" s="3398">
        <f>'10. Финансиране на ИП'!CR76*'10. Финансиране на ИП'!AU77</f>
        <v>0</v>
      </c>
      <c r="L119" s="3398">
        <f>'10. Финансиране на ИП'!CS76*'10. Финансиране на ИП'!AV77</f>
        <v>0</v>
      </c>
      <c r="M119" s="3398">
        <f>'10. Финансиране на ИП'!CT76*'10. Финансиране на ИП'!AW77</f>
        <v>0</v>
      </c>
      <c r="N119" s="3398">
        <f>'10. Финансиране на ИП'!CU76*'10. Финансиране на ИП'!AX77</f>
        <v>0</v>
      </c>
      <c r="Q119" s="4244"/>
      <c r="S119" s="1334" t="s">
        <v>1684</v>
      </c>
      <c r="T119" s="4275"/>
      <c r="U119" s="4275"/>
      <c r="V119" s="4275"/>
      <c r="W119" s="4275"/>
      <c r="X119" s="4275"/>
      <c r="Y119" s="4275"/>
      <c r="Z119" s="4275"/>
      <c r="AA119" s="4275"/>
    </row>
    <row r="120" spans="1:27" ht="15.75" customHeight="1">
      <c r="A120" s="4252" t="s">
        <v>1664</v>
      </c>
      <c r="B120" s="4246"/>
      <c r="C120" s="4231">
        <f>'11.2. ДА за периода'!AX110</f>
        <v>0</v>
      </c>
      <c r="D120" s="4231">
        <f>'11.2. ДА за периода'!AY110</f>
        <v>0</v>
      </c>
      <c r="E120" s="4231">
        <f>'11.2. ДА за периода'!AZ110</f>
        <v>0</v>
      </c>
      <c r="F120" s="4231">
        <f>'11.2. ДА за периода'!BA110</f>
        <v>0</v>
      </c>
      <c r="G120" s="4231">
        <f>'11.2. ДА за периода'!BB110</f>
        <v>0</v>
      </c>
      <c r="I120" s="1301" t="s">
        <v>951</v>
      </c>
      <c r="J120" s="1300"/>
      <c r="K120" s="1300"/>
      <c r="L120" s="1300"/>
      <c r="M120" s="1300"/>
      <c r="N120" s="1300"/>
      <c r="O120" s="1300"/>
      <c r="Q120" s="4244"/>
      <c r="S120" s="5461" t="s">
        <v>1922</v>
      </c>
      <c r="T120" s="5460" t="s">
        <v>1661</v>
      </c>
      <c r="U120" s="5460"/>
      <c r="V120" s="5460"/>
      <c r="W120" s="5460"/>
      <c r="X120" s="5460"/>
      <c r="Y120" s="5460"/>
      <c r="Z120" s="5404" t="str">
        <f>+"Изменение "&amp;U121&amp;" спр. "&amp;T121</f>
        <v>Изменение 2027 г. спр. 2024 г.</v>
      </c>
      <c r="AA120" s="5404" t="str">
        <f>+"Изменение "&amp;Y121&amp;" спр. "&amp;T121</f>
        <v>Изменение 2031 г. спр. 2024 г.</v>
      </c>
    </row>
    <row r="121" spans="1:27" ht="15.75" customHeight="1">
      <c r="A121" s="4234" t="s">
        <v>174</v>
      </c>
      <c r="B121" s="3526">
        <f t="shared" ref="B121:G121" si="90">B34</f>
        <v>50536.089537434236</v>
      </c>
      <c r="C121" s="3526">
        <f t="shared" si="90"/>
        <v>50536.089537434236</v>
      </c>
      <c r="D121" s="3526">
        <f t="shared" si="90"/>
        <v>50536.089537434236</v>
      </c>
      <c r="E121" s="3526">
        <f t="shared" si="90"/>
        <v>50536.089537434236</v>
      </c>
      <c r="F121" s="3526">
        <f t="shared" si="90"/>
        <v>50536.089537434236</v>
      </c>
      <c r="G121" s="3526">
        <f t="shared" si="90"/>
        <v>50536.089537434236</v>
      </c>
      <c r="I121" s="4217" t="s">
        <v>1921</v>
      </c>
      <c r="J121" s="4218" t="str">
        <f>+'15. ОПП'!$C$7</f>
        <v>2027 г.</v>
      </c>
      <c r="K121" s="4218" t="str">
        <f>+'15. ОПП'!$D$7</f>
        <v>2028 г.</v>
      </c>
      <c r="L121" s="4218" t="str">
        <f>+'15. ОПП'!$E$7</f>
        <v>2029 г.</v>
      </c>
      <c r="M121" s="4218" t="str">
        <f>+'15. ОПП'!$F$7</f>
        <v>2030 г.</v>
      </c>
      <c r="N121" s="4218" t="str">
        <f>+'15. ОПП'!$G$7</f>
        <v>2031 г.</v>
      </c>
      <c r="O121" s="4218" t="s">
        <v>1623</v>
      </c>
      <c r="Q121" s="4244"/>
      <c r="S121" s="5462"/>
      <c r="T121" s="4214" t="str">
        <f t="shared" ref="T121:Y121" si="91">T46</f>
        <v>2024 г.</v>
      </c>
      <c r="U121" s="4214" t="str">
        <f t="shared" si="91"/>
        <v>2027 г.</v>
      </c>
      <c r="V121" s="4214" t="str">
        <f t="shared" si="91"/>
        <v>2028 г.</v>
      </c>
      <c r="W121" s="4214" t="str">
        <f t="shared" si="91"/>
        <v>2029 г.</v>
      </c>
      <c r="X121" s="4214" t="str">
        <f t="shared" si="91"/>
        <v>2030 г.</v>
      </c>
      <c r="Y121" s="4214" t="str">
        <f t="shared" si="91"/>
        <v>2031 г.</v>
      </c>
      <c r="Z121" s="5404"/>
      <c r="AA121" s="5404"/>
    </row>
    <row r="122" spans="1:27" ht="15.75" customHeight="1">
      <c r="A122" s="4252" t="s">
        <v>1664</v>
      </c>
      <c r="B122" s="4246"/>
      <c r="C122" s="4231">
        <f>'11.2. ДА за периода'!BE110</f>
        <v>0</v>
      </c>
      <c r="D122" s="4231">
        <f>'11.2. ДА за периода'!BF110</f>
        <v>0</v>
      </c>
      <c r="E122" s="4231">
        <f>'11.2. ДА за периода'!BG110</f>
        <v>0</v>
      </c>
      <c r="F122" s="4231">
        <f>'11.2. ДА за периода'!BH110</f>
        <v>0</v>
      </c>
      <c r="G122" s="4231">
        <f>'11.2. ДА за периода'!BI110</f>
        <v>0</v>
      </c>
      <c r="I122" s="4265" t="s">
        <v>1617</v>
      </c>
      <c r="J122" s="4238">
        <f>'9.Инвестиционна програма'!BC152</f>
        <v>4014.8191683326263</v>
      </c>
      <c r="K122" s="4238">
        <f>'9.Инвестиционна програма'!BD152</f>
        <v>7120.0500800171803</v>
      </c>
      <c r="L122" s="4238">
        <f>'9.Инвестиционна програма'!BE152</f>
        <v>6970.752850707886</v>
      </c>
      <c r="M122" s="4238">
        <f>'9.Инвестиционна програма'!BF152</f>
        <v>920.42764452943265</v>
      </c>
      <c r="N122" s="4238">
        <f>'9.Инвестиционна програма'!BG152</f>
        <v>915.72375922242713</v>
      </c>
      <c r="O122" s="4238">
        <f t="shared" ref="O122:O124" si="92">SUM(J122:N122)</f>
        <v>19941.773502809549</v>
      </c>
      <c r="Q122" s="4244"/>
      <c r="S122" s="4229" t="s">
        <v>226</v>
      </c>
      <c r="T122" s="3526">
        <f t="shared" ref="T122:Y131" si="93">T5+T26+T47+T78+T102</f>
        <v>5196.4759674449797</v>
      </c>
      <c r="U122" s="3526">
        <f t="shared" si="93"/>
        <v>6095.3792936024083</v>
      </c>
      <c r="V122" s="3526">
        <f t="shared" si="93"/>
        <v>6125.3085552841512</v>
      </c>
      <c r="W122" s="3526">
        <f t="shared" si="93"/>
        <v>6140.4752644684877</v>
      </c>
      <c r="X122" s="3526">
        <f t="shared" si="93"/>
        <v>6330.4202486125187</v>
      </c>
      <c r="Y122" s="3526">
        <f t="shared" si="93"/>
        <v>6285.0170741078355</v>
      </c>
      <c r="Z122" s="4227">
        <f>IFERROR((U122-T122)/T122,0)</f>
        <v>0.17298325476513352</v>
      </c>
      <c r="AA122" s="4227">
        <f>IFERROR((Y122-T122)/T122,0)</f>
        <v>0.20947679032528524</v>
      </c>
    </row>
    <row r="123" spans="1:27" ht="15.75" customHeight="1">
      <c r="A123" s="4234" t="s">
        <v>184</v>
      </c>
      <c r="B123" s="3526">
        <f t="shared" ref="B123:G123" si="94">B52</f>
        <v>36974.58368058574</v>
      </c>
      <c r="C123" s="3526">
        <f t="shared" si="94"/>
        <v>36974.58368058574</v>
      </c>
      <c r="D123" s="3526">
        <f t="shared" si="94"/>
        <v>36974.58368058574</v>
      </c>
      <c r="E123" s="3526">
        <f t="shared" si="94"/>
        <v>36974.58368058574</v>
      </c>
      <c r="F123" s="3526">
        <f t="shared" si="94"/>
        <v>36974.58368058574</v>
      </c>
      <c r="G123" s="3526">
        <f t="shared" si="94"/>
        <v>36974.58368058574</v>
      </c>
      <c r="I123" s="4230" t="s">
        <v>1624</v>
      </c>
      <c r="J123" s="4231">
        <f>'10. Финансиране на ИП'!CQ18</f>
        <v>997.0191683326259</v>
      </c>
      <c r="K123" s="4231">
        <f>'10. Финансиране на ИП'!CR18</f>
        <v>1084.4500800171795</v>
      </c>
      <c r="L123" s="4231">
        <f>'10. Финансиране на ИП'!CS18</f>
        <v>1092.6307501163187</v>
      </c>
      <c r="M123" s="4231">
        <f>'10. Финансиране на ИП'!CT18</f>
        <v>920.42764452943254</v>
      </c>
      <c r="N123" s="4231">
        <f>'10. Финансиране на ИП'!CU18</f>
        <v>915.72375922242713</v>
      </c>
      <c r="O123" s="4263">
        <f t="shared" si="92"/>
        <v>5010.2514022179839</v>
      </c>
      <c r="Q123" s="4244"/>
      <c r="S123" s="4229" t="s">
        <v>239</v>
      </c>
      <c r="T123" s="3526">
        <f t="shared" si="93"/>
        <v>1282.5598952874229</v>
      </c>
      <c r="U123" s="3526">
        <f t="shared" si="93"/>
        <v>1566.1749006815521</v>
      </c>
      <c r="V123" s="3526">
        <f t="shared" si="93"/>
        <v>1630.4783385059031</v>
      </c>
      <c r="W123" s="3526">
        <f t="shared" si="93"/>
        <v>1681.6474858571555</v>
      </c>
      <c r="X123" s="3526">
        <f t="shared" si="93"/>
        <v>1656.0849886537787</v>
      </c>
      <c r="Y123" s="3526">
        <f t="shared" si="93"/>
        <v>1624.402328294469</v>
      </c>
      <c r="Z123" s="4227">
        <f t="shared" ref="Z123:Z138" si="95">IFERROR((U123-T123)/T123,0)</f>
        <v>0.22113197710004084</v>
      </c>
      <c r="AA123" s="4227">
        <f t="shared" ref="AA123:AA138" si="96">IFERROR((Y123-T123)/T123,0)</f>
        <v>0.26653135987106386</v>
      </c>
    </row>
    <row r="124" spans="1:27" ht="15.75" customHeight="1">
      <c r="A124" s="4252" t="s">
        <v>1664</v>
      </c>
      <c r="B124" s="4246"/>
      <c r="C124" s="4231">
        <f>'11.2. ДА за периода'!BL110</f>
        <v>0</v>
      </c>
      <c r="D124" s="4231">
        <f>'11.2. ДА за периода'!BM110</f>
        <v>0</v>
      </c>
      <c r="E124" s="4231">
        <f>'11.2. ДА за периода'!BN110</f>
        <v>0</v>
      </c>
      <c r="F124" s="4231">
        <f>'11.2. ДА за периода'!BO110</f>
        <v>0</v>
      </c>
      <c r="G124" s="4231">
        <f>'11.2. ДА за периода'!BP110</f>
        <v>0</v>
      </c>
      <c r="I124" s="4230" t="s">
        <v>1627</v>
      </c>
      <c r="J124" s="4231">
        <f>'10. Финансиране на ИП'!CQ19</f>
        <v>3017.8</v>
      </c>
      <c r="K124" s="4231">
        <f>'10. Финансиране на ИП'!CR19</f>
        <v>6035.6</v>
      </c>
      <c r="L124" s="4231">
        <f>'10. Финансиране на ИП'!CS19</f>
        <v>5878.122100591565</v>
      </c>
      <c r="M124" s="4231">
        <f>'10. Финансиране на ИП'!CT19</f>
        <v>0</v>
      </c>
      <c r="N124" s="4231">
        <f>'10. Финансиране на ИП'!CU19</f>
        <v>0</v>
      </c>
      <c r="O124" s="4263">
        <f t="shared" si="92"/>
        <v>14931.522100591566</v>
      </c>
      <c r="Q124" s="4244"/>
      <c r="S124" s="4229" t="s">
        <v>446</v>
      </c>
      <c r="T124" s="3526">
        <f t="shared" si="93"/>
        <v>1329.8701829913643</v>
      </c>
      <c r="U124" s="3526">
        <f t="shared" si="93"/>
        <v>1314.0674917349666</v>
      </c>
      <c r="V124" s="3526">
        <f t="shared" si="93"/>
        <v>1430.6332807248075</v>
      </c>
      <c r="W124" s="3526">
        <f t="shared" si="93"/>
        <v>1401.0552956443044</v>
      </c>
      <c r="X124" s="3526">
        <f t="shared" si="93"/>
        <v>1776.8523969874682</v>
      </c>
      <c r="Y124" s="3526">
        <f t="shared" si="93"/>
        <v>1863.0766598323987</v>
      </c>
      <c r="Z124" s="4227">
        <f t="shared" si="95"/>
        <v>-1.1882882599000574E-2</v>
      </c>
      <c r="AA124" s="4227">
        <f t="shared" si="96"/>
        <v>0.40094626051518656</v>
      </c>
    </row>
    <row r="125" spans="1:27" ht="15.75" customHeight="1">
      <c r="A125" s="4234" t="s">
        <v>1029</v>
      </c>
      <c r="B125" s="3526">
        <f t="shared" ref="B125:G125" si="97">B70</f>
        <v>0</v>
      </c>
      <c r="C125" s="3526">
        <f t="shared" si="97"/>
        <v>0</v>
      </c>
      <c r="D125" s="3526">
        <f t="shared" si="97"/>
        <v>0</v>
      </c>
      <c r="E125" s="3526">
        <f t="shared" si="97"/>
        <v>0</v>
      </c>
      <c r="F125" s="3526">
        <f t="shared" si="97"/>
        <v>0</v>
      </c>
      <c r="G125" s="3526">
        <f t="shared" si="97"/>
        <v>0</v>
      </c>
      <c r="I125" s="1301"/>
      <c r="J125" s="4282"/>
      <c r="K125" s="4282"/>
      <c r="L125" s="4282"/>
      <c r="M125" s="4282"/>
      <c r="N125" s="4282"/>
      <c r="O125" s="4283"/>
      <c r="Q125" s="4244"/>
      <c r="S125" s="4248" t="s">
        <v>447</v>
      </c>
      <c r="T125" s="3526">
        <f t="shared" si="93"/>
        <v>168.7263207947521</v>
      </c>
      <c r="U125" s="3526">
        <f t="shared" si="93"/>
        <v>287.39205350158238</v>
      </c>
      <c r="V125" s="3526">
        <f t="shared" si="93"/>
        <v>316.53057781095487</v>
      </c>
      <c r="W125" s="3526">
        <f t="shared" si="93"/>
        <v>300.24081847604327</v>
      </c>
      <c r="X125" s="3526">
        <f t="shared" si="93"/>
        <v>315.4773165356907</v>
      </c>
      <c r="Y125" s="3526">
        <f t="shared" si="93"/>
        <v>325.1100555774276</v>
      </c>
      <c r="Z125" s="4227">
        <f t="shared" si="95"/>
        <v>0.70330303030302987</v>
      </c>
      <c r="AA125" s="4227">
        <f t="shared" si="96"/>
        <v>0.92684848484848559</v>
      </c>
    </row>
    <row r="126" spans="1:27" ht="15.75" customHeight="1">
      <c r="A126" s="4252" t="s">
        <v>1664</v>
      </c>
      <c r="B126" s="4246"/>
      <c r="C126" s="4231">
        <f>'11.2. ДА за периода'!BS110</f>
        <v>0</v>
      </c>
      <c r="D126" s="4231">
        <f>'11.2. ДА за периода'!BT110</f>
        <v>0</v>
      </c>
      <c r="E126" s="4231">
        <f>'11.2. ДА за периода'!BU110</f>
        <v>0</v>
      </c>
      <c r="F126" s="4231">
        <f>'11.2. ДА за периода'!BV110</f>
        <v>0</v>
      </c>
      <c r="G126" s="4231">
        <f>'11.2. ДА за периода'!BW110</f>
        <v>0</v>
      </c>
      <c r="I126" s="4217" t="s">
        <v>1921</v>
      </c>
      <c r="J126" s="4218" t="str">
        <f>+'15. ОПП'!$C$7</f>
        <v>2027 г.</v>
      </c>
      <c r="K126" s="4218" t="str">
        <f>+'15. ОПП'!$D$7</f>
        <v>2028 г.</v>
      </c>
      <c r="L126" s="4218" t="str">
        <f>+'15. ОПП'!$E$7</f>
        <v>2029 г.</v>
      </c>
      <c r="M126" s="4218" t="str">
        <f>+'15. ОПП'!$F$7</f>
        <v>2030 г.</v>
      </c>
      <c r="N126" s="4218" t="str">
        <f>+'15. ОПП'!$G$7</f>
        <v>2031 г.</v>
      </c>
      <c r="O126" s="4218" t="s">
        <v>1623</v>
      </c>
      <c r="Q126" s="4244"/>
      <c r="S126" s="4235" t="s">
        <v>736</v>
      </c>
      <c r="T126" s="3526">
        <f t="shared" si="93"/>
        <v>139.58268356656765</v>
      </c>
      <c r="U126" s="3526">
        <f t="shared" si="93"/>
        <v>357.23075234555148</v>
      </c>
      <c r="V126" s="3526">
        <f t="shared" si="93"/>
        <v>561.17121091301397</v>
      </c>
      <c r="W126" s="3526">
        <f t="shared" si="93"/>
        <v>807.6192608151016</v>
      </c>
      <c r="X126" s="3526">
        <f t="shared" si="93"/>
        <v>956.95496213883609</v>
      </c>
      <c r="Y126" s="3526">
        <f t="shared" si="93"/>
        <v>1018.0799065358442</v>
      </c>
      <c r="Z126" s="4227">
        <f t="shared" si="95"/>
        <v>1.5592770049816846</v>
      </c>
      <c r="AA126" s="4227">
        <f t="shared" si="96"/>
        <v>6.2937407457875461</v>
      </c>
    </row>
    <row r="127" spans="1:27" ht="15.75" customHeight="1">
      <c r="A127" s="4234" t="s">
        <v>1092</v>
      </c>
      <c r="B127" s="3526">
        <f t="shared" ref="B127:G127" si="98">B94</f>
        <v>0</v>
      </c>
      <c r="C127" s="3526">
        <f t="shared" si="98"/>
        <v>0</v>
      </c>
      <c r="D127" s="3526">
        <f t="shared" si="98"/>
        <v>0</v>
      </c>
      <c r="E127" s="3526">
        <f t="shared" si="98"/>
        <v>0</v>
      </c>
      <c r="F127" s="3526">
        <f t="shared" si="98"/>
        <v>0</v>
      </c>
      <c r="G127" s="3526">
        <f t="shared" si="98"/>
        <v>0</v>
      </c>
      <c r="I127" s="3392" t="s">
        <v>1624</v>
      </c>
      <c r="J127" s="3526">
        <f>J123</f>
        <v>997.0191683326259</v>
      </c>
      <c r="K127" s="3526">
        <f t="shared" ref="K127:N127" si="99">K123</f>
        <v>1084.4500800171795</v>
      </c>
      <c r="L127" s="3526">
        <f t="shared" si="99"/>
        <v>1092.6307501163187</v>
      </c>
      <c r="M127" s="3526">
        <f t="shared" si="99"/>
        <v>920.42764452943254</v>
      </c>
      <c r="N127" s="3526">
        <f t="shared" si="99"/>
        <v>915.72375922242713</v>
      </c>
      <c r="O127" s="3644">
        <f t="shared" ref="O127:O128" si="100">SUM(J127:N127)</f>
        <v>5010.2514022179839</v>
      </c>
      <c r="Q127" s="4244"/>
      <c r="S127" s="4235" t="s">
        <v>737</v>
      </c>
      <c r="T127" s="3526">
        <f t="shared" si="93"/>
        <v>1021.5611786300444</v>
      </c>
      <c r="U127" s="3526">
        <f t="shared" si="93"/>
        <v>669.44468588783275</v>
      </c>
      <c r="V127" s="3526">
        <f t="shared" si="93"/>
        <v>552.93149200083849</v>
      </c>
      <c r="W127" s="3526">
        <f t="shared" si="93"/>
        <v>293.19521635315954</v>
      </c>
      <c r="X127" s="3526">
        <f t="shared" si="93"/>
        <v>504.42011831294133</v>
      </c>
      <c r="Y127" s="3526">
        <f t="shared" si="93"/>
        <v>519.88669771912691</v>
      </c>
      <c r="Z127" s="4227">
        <f t="shared" si="95"/>
        <v>-0.34468468468468466</v>
      </c>
      <c r="AA127" s="4227">
        <f t="shared" si="96"/>
        <v>-0.49108608608608606</v>
      </c>
    </row>
    <row r="128" spans="1:27" ht="15.75" customHeight="1">
      <c r="A128" s="4252" t="s">
        <v>1664</v>
      </c>
      <c r="B128" s="4246"/>
      <c r="C128" s="4231">
        <f>'11.2. ДА за периода'!BZ110</f>
        <v>0</v>
      </c>
      <c r="D128" s="4231">
        <f>'11.2. ДА за периода'!CA110</f>
        <v>0</v>
      </c>
      <c r="E128" s="4231">
        <f>'11.2. ДА за периода'!CB110</f>
        <v>0</v>
      </c>
      <c r="F128" s="4231">
        <f>'11.2. ДА за периода'!CC110</f>
        <v>0</v>
      </c>
      <c r="G128" s="4231">
        <f>'11.2. ДА за периода'!CD110</f>
        <v>0</v>
      </c>
      <c r="I128" s="4266" t="s">
        <v>1628</v>
      </c>
      <c r="J128" s="3526">
        <f>'10. Финансиране на ИП'!CQ24</f>
        <v>29.654929109380674</v>
      </c>
      <c r="K128" s="3526">
        <f>'10. Финансиране на ИП'!CR24</f>
        <v>29.654929109380674</v>
      </c>
      <c r="L128" s="3526">
        <f>'10. Финансиране на ИП'!CS24</f>
        <v>8.1806700991394958</v>
      </c>
      <c r="M128" s="3526">
        <f>'10. Финансиране на ИП'!CT24</f>
        <v>540.94681030559912</v>
      </c>
      <c r="N128" s="3526">
        <f>'10. Финансиране на ИП'!CU24</f>
        <v>622.24221941579788</v>
      </c>
      <c r="O128" s="3644">
        <f t="shared" si="100"/>
        <v>1230.6795580392977</v>
      </c>
      <c r="Q128" s="4244"/>
      <c r="S128" s="4284" t="s">
        <v>448</v>
      </c>
      <c r="T128" s="3526">
        <f t="shared" si="93"/>
        <v>5041.8492404759108</v>
      </c>
      <c r="U128" s="3526">
        <f t="shared" si="93"/>
        <v>7640.2345807150932</v>
      </c>
      <c r="V128" s="3526">
        <f t="shared" si="93"/>
        <v>8557.0627304009049</v>
      </c>
      <c r="W128" s="3526">
        <f t="shared" si="93"/>
        <v>9583.9102580490144</v>
      </c>
      <c r="X128" s="3526">
        <f t="shared" si="93"/>
        <v>11012.164942760874</v>
      </c>
      <c r="Y128" s="3526">
        <f t="shared" si="93"/>
        <v>12333.624735892181</v>
      </c>
      <c r="Z128" s="4227">
        <f t="shared" si="95"/>
        <v>0.5153635533921509</v>
      </c>
      <c r="AA128" s="4227">
        <f t="shared" si="96"/>
        <v>1.446250204563432</v>
      </c>
    </row>
    <row r="129" spans="1:42" ht="15.75" customHeight="1">
      <c r="A129" s="4228" t="s">
        <v>1661</v>
      </c>
      <c r="B129" s="3644">
        <f>SUM(B119,B121,B123,B125,B127)</f>
        <v>137019.0660742498</v>
      </c>
      <c r="C129" s="3644">
        <f t="shared" ref="C129:G129" si="101">SUM(C119,C121,C123,C125,C127)</f>
        <v>137019.0660742498</v>
      </c>
      <c r="D129" s="3644">
        <f t="shared" si="101"/>
        <v>137019.0660742498</v>
      </c>
      <c r="E129" s="3644">
        <f t="shared" si="101"/>
        <v>137019.0660742498</v>
      </c>
      <c r="F129" s="3644">
        <f t="shared" si="101"/>
        <v>137019.0660742498</v>
      </c>
      <c r="G129" s="3644">
        <f t="shared" si="101"/>
        <v>137019.0660742498</v>
      </c>
      <c r="I129" s="3400" t="s">
        <v>1649</v>
      </c>
      <c r="J129" s="4238">
        <f>SUM(J127:J128)</f>
        <v>1026.6740974420065</v>
      </c>
      <c r="K129" s="4238">
        <f t="shared" ref="K129:N129" si="102">SUM(K127:K128)</f>
        <v>1114.1050091265602</v>
      </c>
      <c r="L129" s="4238">
        <f t="shared" si="102"/>
        <v>1100.8114202154582</v>
      </c>
      <c r="M129" s="4238">
        <f t="shared" si="102"/>
        <v>1461.3744548350317</v>
      </c>
      <c r="N129" s="4238">
        <f t="shared" si="102"/>
        <v>1537.9659786382249</v>
      </c>
      <c r="O129" s="4238">
        <f>SUM(J129:N129)</f>
        <v>6240.9309602572812</v>
      </c>
      <c r="Q129" s="4244"/>
      <c r="S129" s="4229" t="s">
        <v>449</v>
      </c>
      <c r="T129" s="3526">
        <f t="shared" si="93"/>
        <v>1610.5694257680882</v>
      </c>
      <c r="U129" s="3526">
        <f t="shared" si="93"/>
        <v>2245.3625153623025</v>
      </c>
      <c r="V129" s="3526">
        <f t="shared" si="93"/>
        <v>2423.5235168700756</v>
      </c>
      <c r="W129" s="3526">
        <f t="shared" si="93"/>
        <v>2652.9708614756905</v>
      </c>
      <c r="X129" s="3526">
        <f t="shared" si="93"/>
        <v>2924.7047442773655</v>
      </c>
      <c r="Y129" s="3526">
        <f t="shared" si="93"/>
        <v>3181.182573945589</v>
      </c>
      <c r="Z129" s="4227">
        <f t="shared" si="95"/>
        <v>0.39414202172096896</v>
      </c>
      <c r="AA129" s="4227">
        <f t="shared" si="96"/>
        <v>0.97519121066666714</v>
      </c>
    </row>
    <row r="130" spans="1:42" ht="15.75" customHeight="1">
      <c r="I130" s="3400" t="s">
        <v>1629</v>
      </c>
      <c r="J130" s="4238">
        <f>'12. Разходи'!CZ57</f>
        <v>357.23075234555142</v>
      </c>
      <c r="K130" s="4238">
        <f>'12. Разходи'!DA57</f>
        <v>561.17121091301408</v>
      </c>
      <c r="L130" s="4238">
        <f>'12. Разходи'!DB57</f>
        <v>807.61926081510148</v>
      </c>
      <c r="M130" s="4238">
        <f>'12. Разходи'!DC57</f>
        <v>956.95496213883621</v>
      </c>
      <c r="N130" s="4238">
        <f>'12. Разходи'!DD57</f>
        <v>1018.0799065358443</v>
      </c>
      <c r="O130" s="4238">
        <f t="shared" ref="O130:O135" si="103">SUM(J130:N130)</f>
        <v>3701.0560927483475</v>
      </c>
      <c r="Q130" s="4244"/>
      <c r="S130" s="4229" t="s">
        <v>450</v>
      </c>
      <c r="T130" s="3526">
        <f t="shared" si="93"/>
        <v>377.21696246362063</v>
      </c>
      <c r="U130" s="3526">
        <f t="shared" si="93"/>
        <v>382.6653731992339</v>
      </c>
      <c r="V130" s="3526">
        <f t="shared" si="93"/>
        <v>385.12614561090965</v>
      </c>
      <c r="W130" s="3526">
        <f t="shared" si="93"/>
        <v>387.66074119493561</v>
      </c>
      <c r="X130" s="3526">
        <f t="shared" si="93"/>
        <v>390.27137464648234</v>
      </c>
      <c r="Y130" s="3526">
        <f t="shared" si="93"/>
        <v>392.96032710157556</v>
      </c>
      <c r="Z130" s="4227">
        <f t="shared" si="95"/>
        <v>1.4443705553508131E-2</v>
      </c>
      <c r="AA130" s="4227">
        <f t="shared" si="96"/>
        <v>4.1735569193745471E-2</v>
      </c>
    </row>
    <row r="131" spans="1:42" ht="15.75" customHeight="1">
      <c r="I131" s="4285" t="s">
        <v>1630</v>
      </c>
      <c r="J131" s="4231">
        <f>J130-J129</f>
        <v>-669.44334509645512</v>
      </c>
      <c r="K131" s="4231">
        <f>K130-K129</f>
        <v>-552.93379821354608</v>
      </c>
      <c r="L131" s="4231">
        <f>L130-L129</f>
        <v>-293.19215940035667</v>
      </c>
      <c r="M131" s="4231">
        <f>M130-M129</f>
        <v>-504.41949269619545</v>
      </c>
      <c r="N131" s="4231">
        <f>N130-N129</f>
        <v>-519.88607210238058</v>
      </c>
      <c r="O131" s="4263">
        <f t="shared" si="103"/>
        <v>-2539.8748675089341</v>
      </c>
      <c r="Q131" s="4244"/>
      <c r="S131" s="4229" t="s">
        <v>267</v>
      </c>
      <c r="T131" s="3526">
        <f t="shared" si="93"/>
        <v>46.016269307659663</v>
      </c>
      <c r="U131" s="3526">
        <f t="shared" si="93"/>
        <v>48.143243533435935</v>
      </c>
      <c r="V131" s="3526">
        <f t="shared" si="93"/>
        <v>49.587540839439008</v>
      </c>
      <c r="W131" s="3526">
        <f t="shared" si="93"/>
        <v>51.075167064622185</v>
      </c>
      <c r="X131" s="3526">
        <f t="shared" si="93"/>
        <v>52.607422076560859</v>
      </c>
      <c r="Y131" s="3526">
        <f t="shared" si="93"/>
        <v>54.185644738857683</v>
      </c>
      <c r="Z131" s="4227">
        <f t="shared" si="95"/>
        <v>4.622222222222231E-2</v>
      </c>
      <c r="AA131" s="4227">
        <f t="shared" si="96"/>
        <v>0.17753232832888916</v>
      </c>
    </row>
    <row r="132" spans="1:42" ht="15.75" customHeight="1">
      <c r="I132" s="3400" t="s">
        <v>1631</v>
      </c>
      <c r="J132" s="4238">
        <f>'11. Амортиз. план'!AS214+'11. Амортиз. план'!AZ214+'11. Амортиз. план'!BG214+'11. Амортиз. план'!BN214+'11. Амортиз. план'!BU214</f>
        <v>4092.3802170945328</v>
      </c>
      <c r="K132" s="4238">
        <f>'11. Амортиз. план'!AT214+'11. Амортиз. план'!BA214+'11. Амортиз. план'!BH214+'11. Амортиз. план'!BO214+'11. Амортиз. план'!BV214</f>
        <v>4090.4424208647993</v>
      </c>
      <c r="L132" s="4238">
        <f>'11. Амортиз. план'!AU214+'11. Амортиз. план'!BB214+'11. Амортиз. план'!BI214+'11. Амортиз. план'!BP214+'11. Амортиз. план'!BW214</f>
        <v>4082.9571077240867</v>
      </c>
      <c r="M132" s="4238">
        <f>'11. Амортиз. план'!AV214+'11. Амортиз. план'!BC214+'11. Амортиз. план'!BY214+'11. Амортиз. план'!BQ214+'11. Амортиз. план'!BX214</f>
        <v>2120.7211260692393</v>
      </c>
      <c r="N132" s="4238">
        <f>'11. Амортиз. план'!AW214+'11. Амортиз. план'!BD214+'11. Амортиз. план'!BK214+'11. Амортиз. план'!BR214+'11. Амортиз. план'!BY214</f>
        <v>4081.5254904567373</v>
      </c>
      <c r="O132" s="4238">
        <f t="shared" si="103"/>
        <v>18468.026362209395</v>
      </c>
      <c r="Q132" s="4244"/>
      <c r="S132" s="4237" t="s">
        <v>277</v>
      </c>
      <c r="T132" s="4238">
        <f>SUM(T122:T124,T128:T131)</f>
        <v>14884.557943739046</v>
      </c>
      <c r="U132" s="4238">
        <f t="shared" ref="U132:Y132" si="104">SUM(U122:U124,U128:U131)</f>
        <v>19292.027398828992</v>
      </c>
      <c r="V132" s="4238">
        <f t="shared" si="104"/>
        <v>20601.72010823619</v>
      </c>
      <c r="W132" s="4238">
        <f t="shared" si="104"/>
        <v>21898.795073754209</v>
      </c>
      <c r="X132" s="4238">
        <f t="shared" si="104"/>
        <v>24143.10611801505</v>
      </c>
      <c r="Y132" s="4238">
        <f t="shared" si="104"/>
        <v>25734.449343912904</v>
      </c>
      <c r="Z132" s="4239">
        <f t="shared" si="95"/>
        <v>0.29611020171034896</v>
      </c>
      <c r="AA132" s="4239">
        <f t="shared" si="96"/>
        <v>0.72893608538355636</v>
      </c>
    </row>
    <row r="133" spans="1:42" ht="15.75" customHeight="1">
      <c r="I133" s="3400" t="s">
        <v>1632</v>
      </c>
      <c r="J133" s="4238">
        <f>'10. Финансиране на ИП'!CQ31</f>
        <v>669.44468588783286</v>
      </c>
      <c r="K133" s="4238">
        <f>'10. Финансиране на ИП'!CR31</f>
        <v>552.9314920008386</v>
      </c>
      <c r="L133" s="4238">
        <f>'10. Финансиране на ИП'!CS31</f>
        <v>293.19521635315954</v>
      </c>
      <c r="M133" s="4238">
        <f>'10. Финансиране на ИП'!CT31</f>
        <v>504.42011831294127</v>
      </c>
      <c r="N133" s="4238">
        <f>'10. Финансиране на ИП'!CU31</f>
        <v>519.88669771912691</v>
      </c>
      <c r="O133" s="4238">
        <f t="shared" si="103"/>
        <v>2539.8782102738992</v>
      </c>
      <c r="Q133" s="4244"/>
      <c r="S133" s="4245" t="str">
        <f>CONCATENATE("Спестявания и увеличения спрямо ",T121," - нето:")</f>
        <v>Спестявания и увеличения спрямо 2024 г. - нето:</v>
      </c>
      <c r="T133" s="4246"/>
      <c r="U133" s="4245">
        <f>U132-$T132</f>
        <v>4407.4694550899458</v>
      </c>
      <c r="V133" s="4245">
        <f t="shared" ref="V133:Y133" si="105">V132-$T132</f>
        <v>5717.1621644971437</v>
      </c>
      <c r="W133" s="4245">
        <f t="shared" si="105"/>
        <v>7014.2371300151626</v>
      </c>
      <c r="X133" s="4245">
        <f t="shared" si="105"/>
        <v>9258.5481742760039</v>
      </c>
      <c r="Y133" s="4245">
        <f t="shared" si="105"/>
        <v>10849.891400173858</v>
      </c>
      <c r="Z133" s="4246"/>
      <c r="AA133" s="4246"/>
    </row>
    <row r="134" spans="1:42" ht="15.75" customHeight="1">
      <c r="I134" s="3400" t="s">
        <v>1633</v>
      </c>
      <c r="J134" s="4239">
        <f t="shared" ref="J134:O134" si="106">IFERROR(J133/J132,0)</f>
        <v>0.16358320839580212</v>
      </c>
      <c r="K134" s="4239">
        <f t="shared" si="106"/>
        <v>0.13517645161814504</v>
      </c>
      <c r="L134" s="4239">
        <f t="shared" si="106"/>
        <v>7.1809526433304072E-2</v>
      </c>
      <c r="M134" s="4239">
        <f t="shared" si="106"/>
        <v>0.23785311143096166</v>
      </c>
      <c r="N134" s="4239">
        <f t="shared" si="106"/>
        <v>0.12737558516655245</v>
      </c>
      <c r="O134" s="4239">
        <f t="shared" si="106"/>
        <v>0.13752840506396399</v>
      </c>
      <c r="Q134" s="4244"/>
      <c r="S134" s="4229" t="s">
        <v>1670</v>
      </c>
      <c r="T134" s="3526">
        <f>T17+T38+T59+T90+T114</f>
        <v>11427.373544735483</v>
      </c>
      <c r="U134" s="3526">
        <f t="shared" ref="U134:Y134" si="107">U17+U38+U59+U90+U114</f>
        <v>13441.860144428409</v>
      </c>
      <c r="V134" s="3526">
        <f t="shared" si="107"/>
        <v>14332.691358877139</v>
      </c>
      <c r="W134" s="3526">
        <f t="shared" si="107"/>
        <v>15330.327479101967</v>
      </c>
      <c r="X134" s="3526">
        <f t="shared" si="107"/>
        <v>16718.719684953307</v>
      </c>
      <c r="Y134" s="3526">
        <f t="shared" si="107"/>
        <v>17881.232702297635</v>
      </c>
      <c r="Z134" s="4227">
        <f t="shared" ref="Z134:Z135" si="108">IFERROR((U134-T134)/T134,0)</f>
        <v>0.17628605486699842</v>
      </c>
      <c r="AA134" s="4227">
        <f t="shared" ref="AA134:AA135" si="109">IFERROR((Y134-T134)/T134,0)</f>
        <v>0.56477187275770846</v>
      </c>
    </row>
    <row r="135" spans="1:42" ht="15.75" customHeight="1">
      <c r="I135" s="4285" t="s">
        <v>1648</v>
      </c>
      <c r="J135" s="4231">
        <f>J133+J131</f>
        <v>1.3407913777427893E-3</v>
      </c>
      <c r="K135" s="4231">
        <f>K133+K131</f>
        <v>-2.3062127074808814E-3</v>
      </c>
      <c r="L135" s="4231">
        <f>L133+L131</f>
        <v>3.0569528028649984E-3</v>
      </c>
      <c r="M135" s="4231">
        <f>M133+M131</f>
        <v>6.2561674582184423E-4</v>
      </c>
      <c r="N135" s="4231">
        <f>N133+N131</f>
        <v>6.25616746333435E-4</v>
      </c>
      <c r="O135" s="4263">
        <f t="shared" si="103"/>
        <v>3.3427649652821856E-3</v>
      </c>
      <c r="Q135" s="4244"/>
      <c r="S135" s="4229" t="s">
        <v>1672</v>
      </c>
      <c r="T135" s="3526">
        <f t="shared" ref="T135:Y138" si="110">T18+T39+T60+T91+T115</f>
        <v>2127.3142160121988</v>
      </c>
      <c r="U135" s="3526">
        <f t="shared" si="110"/>
        <v>4536.0997626656172</v>
      </c>
      <c r="V135" s="3526">
        <f t="shared" si="110"/>
        <v>4838.3954686342486</v>
      </c>
      <c r="W135" s="3526">
        <f t="shared" si="110"/>
        <v>5167.4122990079377</v>
      </c>
      <c r="X135" s="3526">
        <f t="shared" si="110"/>
        <v>5647.5340360742794</v>
      </c>
      <c r="Y135" s="3526">
        <f t="shared" si="110"/>
        <v>5990.1399817828742</v>
      </c>
      <c r="Z135" s="4227">
        <f t="shared" si="108"/>
        <v>1.1323130022460235</v>
      </c>
      <c r="AA135" s="4227">
        <f t="shared" si="109"/>
        <v>1.8158228515070125</v>
      </c>
      <c r="AC135" s="3294"/>
      <c r="AD135" s="11"/>
      <c r="AK135" s="4216"/>
      <c r="AP135" s="11"/>
    </row>
    <row r="136" spans="1:42" ht="15.75" customHeight="1">
      <c r="Q136" s="4244"/>
      <c r="S136" s="4248" t="s">
        <v>1671</v>
      </c>
      <c r="T136" s="3526">
        <f t="shared" si="110"/>
        <v>702.51504476360424</v>
      </c>
      <c r="U136" s="3526">
        <f t="shared" si="110"/>
        <v>826.43856485109484</v>
      </c>
      <c r="V136" s="3526">
        <f t="shared" si="110"/>
        <v>0</v>
      </c>
      <c r="W136" s="3526">
        <f t="shared" si="110"/>
        <v>0</v>
      </c>
      <c r="X136" s="3526">
        <f t="shared" si="110"/>
        <v>0</v>
      </c>
      <c r="Y136" s="3526">
        <f t="shared" si="110"/>
        <v>0</v>
      </c>
      <c r="Z136" s="4227">
        <f t="shared" si="95"/>
        <v>0.17639980952890591</v>
      </c>
      <c r="AA136" s="4227">
        <f t="shared" si="96"/>
        <v>-1</v>
      </c>
      <c r="AC136" s="3294"/>
      <c r="AD136" s="11"/>
      <c r="AK136" s="4216"/>
      <c r="AP136" s="11"/>
    </row>
    <row r="137" spans="1:42" ht="15.75" customHeight="1">
      <c r="I137" s="3399" t="s">
        <v>1650</v>
      </c>
      <c r="J137" s="4218" t="str">
        <f>+'15. ОПП'!$C$7</f>
        <v>2027 г.</v>
      </c>
      <c r="K137" s="4218" t="str">
        <f>+'15. ОПП'!$D$7</f>
        <v>2028 г.</v>
      </c>
      <c r="L137" s="4218" t="str">
        <f>+'15. ОПП'!$E$7</f>
        <v>2029 г.</v>
      </c>
      <c r="M137" s="4218" t="str">
        <f>+'15. ОПП'!$F$7</f>
        <v>2030 г.</v>
      </c>
      <c r="N137" s="4218" t="str">
        <f>+'15. ОПП'!$G$7</f>
        <v>2031 г.</v>
      </c>
      <c r="Q137" s="4244"/>
      <c r="S137" s="4229" t="s">
        <v>637</v>
      </c>
      <c r="T137" s="3526">
        <f t="shared" si="110"/>
        <v>1678.6464570029093</v>
      </c>
      <c r="U137" s="3526">
        <f t="shared" si="110"/>
        <v>2182.2403941037824</v>
      </c>
      <c r="V137" s="3526">
        <f t="shared" si="110"/>
        <v>2291.3524138089711</v>
      </c>
      <c r="W137" s="3526">
        <f t="shared" si="110"/>
        <v>2360.0929862232406</v>
      </c>
      <c r="X137" s="3526">
        <f t="shared" si="110"/>
        <v>2252.8112581216287</v>
      </c>
      <c r="Y137" s="3526">
        <f t="shared" si="110"/>
        <v>2162.698807796764</v>
      </c>
      <c r="Z137" s="4227">
        <f t="shared" si="95"/>
        <v>0.30000000000000016</v>
      </c>
      <c r="AA137" s="4227">
        <f t="shared" si="96"/>
        <v>0.28835872424148912</v>
      </c>
      <c r="AC137" s="3294"/>
      <c r="AD137" s="11"/>
      <c r="AK137" s="4216"/>
      <c r="AP137" s="11"/>
    </row>
    <row r="138" spans="1:42" ht="15.75" customHeight="1">
      <c r="I138" s="3392" t="s">
        <v>1915</v>
      </c>
      <c r="J138" s="3397">
        <f>'10. Финансиране на ИП'!CQ59*'10. Финансиране на ИП'!AT67</f>
        <v>0</v>
      </c>
      <c r="K138" s="3397">
        <f>'10. Финансиране на ИП'!CR59*'10. Финансиране на ИП'!AU67</f>
        <v>0</v>
      </c>
      <c r="L138" s="3397">
        <f>'10. Финансиране на ИП'!CS59*'10. Финансиране на ИП'!AV67</f>
        <v>0</v>
      </c>
      <c r="M138" s="3397">
        <f>'10. Финансиране на ИП'!CT59*'10. Финансиране на ИП'!AW67</f>
        <v>0</v>
      </c>
      <c r="N138" s="3397">
        <f>'10. Финансиране на ИП'!CU59*'10. Финансиране на ИП'!AX67</f>
        <v>0</v>
      </c>
      <c r="Q138" s="4244"/>
      <c r="S138" s="4229" t="s">
        <v>1669</v>
      </c>
      <c r="T138" s="3526">
        <f t="shared" si="110"/>
        <v>4762.8723473426317</v>
      </c>
      <c r="U138" s="3526">
        <f t="shared" si="110"/>
        <v>5524.6216259443081</v>
      </c>
      <c r="V138" s="3526">
        <f t="shared" si="110"/>
        <v>5514.1110657631734</v>
      </c>
      <c r="W138" s="3526">
        <f t="shared" si="110"/>
        <v>5504.1774586736537</v>
      </c>
      <c r="X138" s="3526">
        <f t="shared" si="110"/>
        <v>5676.2626614065784</v>
      </c>
      <c r="Y138" s="3526">
        <f t="shared" si="110"/>
        <v>5638.1316833534474</v>
      </c>
      <c r="Z138" s="4227">
        <f t="shared" si="95"/>
        <v>0.1599348508734823</v>
      </c>
      <c r="AA138" s="4227">
        <f t="shared" si="96"/>
        <v>0.18376712038044704</v>
      </c>
      <c r="AC138" s="3294"/>
      <c r="AD138" s="11"/>
      <c r="AK138" s="4216"/>
      <c r="AP138" s="11"/>
    </row>
    <row r="139" spans="1:42" ht="15.75" customHeight="1">
      <c r="I139" s="3394" t="s">
        <v>1916</v>
      </c>
      <c r="J139" s="3395">
        <f>'10. Финансиране на ИП'!CQ60*'10. Финансиране на ИП'!AT67</f>
        <v>0</v>
      </c>
      <c r="K139" s="3387">
        <f>'10. Финансиране на ИП'!CR60*'10. Финансиране на ИП'!AU67</f>
        <v>0</v>
      </c>
      <c r="L139" s="3387">
        <f>'10. Финансиране на ИП'!CS60*'10. Финансиране на ИП'!AV67</f>
        <v>0</v>
      </c>
      <c r="M139" s="3395">
        <f>'10. Финансиране на ИП'!CT60*'10. Финансиране на ИП'!AW67</f>
        <v>0</v>
      </c>
      <c r="N139" s="3395">
        <f>'10. Финансиране на ИП'!CU60*'10. Финансиране на ИП'!AX67</f>
        <v>0</v>
      </c>
      <c r="Q139" s="4244"/>
      <c r="S139" s="4275"/>
      <c r="T139" s="4275"/>
      <c r="U139" s="4275"/>
      <c r="V139" s="4275"/>
      <c r="W139" s="4275"/>
      <c r="X139" s="4275"/>
      <c r="Y139" s="4275"/>
      <c r="Z139" s="4275"/>
      <c r="AA139" s="4275"/>
      <c r="AC139" s="3294"/>
      <c r="AD139" s="11"/>
      <c r="AK139" s="4216"/>
      <c r="AP139" s="11"/>
    </row>
    <row r="140" spans="1:42" ht="15.75" customHeight="1">
      <c r="I140" s="3394" t="s">
        <v>1917</v>
      </c>
      <c r="J140" s="3395">
        <f>'10. Финансиране на ИП'!CQ61*'10. Финансиране на ИП'!AT67</f>
        <v>0</v>
      </c>
      <c r="K140" s="3387">
        <f>'10. Финансиране на ИП'!CR61*'10. Финансиране на ИП'!AU67</f>
        <v>0</v>
      </c>
      <c r="L140" s="3387">
        <f>'10. Финансиране на ИП'!CS61*'10. Финансиране на ИП'!AV67</f>
        <v>0</v>
      </c>
      <c r="M140" s="3387">
        <f>'10. Финансиране на ИП'!CT61*'10. Финансиране на ИП'!AW67</f>
        <v>0</v>
      </c>
      <c r="N140" s="3387">
        <f>'10. Финансиране на ИП'!CU61*'10. Финансиране на ИП'!AX67</f>
        <v>0</v>
      </c>
      <c r="Q140" s="4244"/>
      <c r="S140" s="1334" t="s">
        <v>1680</v>
      </c>
      <c r="T140" s="4275"/>
      <c r="U140" s="4275"/>
      <c r="V140" s="4275"/>
      <c r="W140" s="4275"/>
      <c r="X140" s="4275"/>
      <c r="Y140" s="4275"/>
      <c r="Z140" s="4275"/>
      <c r="AA140" s="4275"/>
      <c r="AC140" s="3294"/>
      <c r="AD140" s="11"/>
      <c r="AK140" s="4216"/>
      <c r="AP140" s="11"/>
    </row>
    <row r="141" spans="1:42" ht="15.75" customHeight="1">
      <c r="I141" s="3392" t="s">
        <v>1918</v>
      </c>
      <c r="J141" s="3396">
        <f>'10. Финансиране на ИП'!CQ62*'10. Финансиране на ИП'!AT67</f>
        <v>0</v>
      </c>
      <c r="K141" s="3396">
        <f>'10. Финансиране на ИП'!CR62*'10. Финансиране на ИП'!AU67</f>
        <v>0</v>
      </c>
      <c r="L141" s="3396">
        <f>'10. Финансиране на ИП'!CS62*'10. Финансиране на ИП'!AV67</f>
        <v>0</v>
      </c>
      <c r="M141" s="3396">
        <f>'10. Финансиране на ИП'!CT62*'10. Финансиране на ИП'!AW67</f>
        <v>0</v>
      </c>
      <c r="N141" s="3396">
        <f>'10. Финансиране на ИП'!CU62*'10. Финансиране на ИП'!AX67</f>
        <v>0</v>
      </c>
      <c r="Q141" s="4244"/>
      <c r="S141" s="5460" t="s">
        <v>1923</v>
      </c>
      <c r="T141" s="5463" t="s">
        <v>207</v>
      </c>
      <c r="U141" s="5464"/>
      <c r="V141" s="5464"/>
      <c r="W141" s="5464"/>
      <c r="X141" s="5465"/>
      <c r="Y141" s="4275"/>
      <c r="Z141" s="4275"/>
      <c r="AA141" s="11"/>
      <c r="AC141" s="3294"/>
      <c r="AD141" s="11"/>
      <c r="AK141" s="4216"/>
      <c r="AP141" s="11"/>
    </row>
    <row r="142" spans="1:42" ht="15.75" customHeight="1">
      <c r="I142" s="3394" t="s">
        <v>199</v>
      </c>
      <c r="J142" s="3388">
        <f>'10. Финансиране на ИП'!AT63</f>
        <v>0</v>
      </c>
      <c r="K142" s="3388">
        <f>'10. Финансиране на ИП'!AU63</f>
        <v>0</v>
      </c>
      <c r="L142" s="3388">
        <f>'10. Финансиране на ИП'!AV63</f>
        <v>0</v>
      </c>
      <c r="M142" s="3388">
        <f>'10. Финансиране на ИП'!CT63</f>
        <v>0</v>
      </c>
      <c r="N142" s="3388">
        <f>'10. Финансиране на ИП'!AX63</f>
        <v>0</v>
      </c>
      <c r="Q142" s="4244"/>
      <c r="S142" s="5460"/>
      <c r="T142" s="4214" t="str">
        <f>+U121</f>
        <v>2027 г.</v>
      </c>
      <c r="U142" s="4214" t="str">
        <f>+V121</f>
        <v>2028 г.</v>
      </c>
      <c r="V142" s="4214" t="str">
        <f>+W121</f>
        <v>2029 г.</v>
      </c>
      <c r="W142" s="4214" t="str">
        <f>+X121</f>
        <v>2030 г.</v>
      </c>
      <c r="X142" s="4214" t="str">
        <f>+Y121</f>
        <v>2031 г.</v>
      </c>
      <c r="Y142" s="4275"/>
      <c r="Z142" s="4275"/>
      <c r="AA142" s="11"/>
      <c r="AC142" s="3294"/>
      <c r="AD142" s="11"/>
      <c r="AK142" s="4216"/>
      <c r="AP142" s="11"/>
    </row>
    <row r="143" spans="1:42" ht="15.75" customHeight="1">
      <c r="I143" s="3392" t="s">
        <v>1919</v>
      </c>
      <c r="J143" s="3386">
        <f>'10. Финансиране на ИП'!CQ64*'10. Финансиране на ИП'!AT67</f>
        <v>0</v>
      </c>
      <c r="K143" s="3386">
        <f>'10. Финансиране на ИП'!CR64*'10. Финансиране на ИП'!AU67</f>
        <v>0</v>
      </c>
      <c r="L143" s="3386">
        <f>'10. Финансиране на ИП'!CS64*'10. Финансиране на ИП'!AV67</f>
        <v>0</v>
      </c>
      <c r="M143" s="3386">
        <f>'10. Финансиране на ИП'!CT64*'10. Финансиране на ИП'!AW67</f>
        <v>0</v>
      </c>
      <c r="N143" s="3386">
        <f>'10. Финансиране на ИП'!CU64*'10. Финансиране на ИП'!AX67</f>
        <v>0</v>
      </c>
      <c r="Q143" s="4244"/>
      <c r="S143" s="4229" t="str">
        <f>'12.2.Нови дейности или обекти'!C10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ЯБЪЛКОВО</v>
      </c>
      <c r="T143" s="3526">
        <f>'12.2.Нови дейности или обекти'!AC21</f>
        <v>0</v>
      </c>
      <c r="U143" s="3526">
        <f>'12.2.Нови дейности или обекти'!AD21</f>
        <v>0</v>
      </c>
      <c r="V143" s="3526">
        <f>'12.2.Нови дейности или обекти'!AE21</f>
        <v>0</v>
      </c>
      <c r="W143" s="3526">
        <f>'12.2.Нови дейности или обекти'!AF21</f>
        <v>110.43904633838319</v>
      </c>
      <c r="X143" s="3526">
        <f>'12.2.Нови дейности или обекти'!AG21</f>
        <v>143.16172673494117</v>
      </c>
      <c r="Y143" s="4275"/>
      <c r="Z143" s="4275"/>
      <c r="AA143" s="11"/>
      <c r="AC143" s="3294"/>
      <c r="AD143" s="11"/>
      <c r="AK143" s="4216"/>
      <c r="AP143" s="11"/>
    </row>
    <row r="144" spans="1:42" ht="15.75" customHeight="1">
      <c r="I144" s="3392" t="s">
        <v>1920</v>
      </c>
      <c r="J144" s="3386">
        <f>'10. Финансиране на ИП'!CQ65*'10. Финансиране на ИП'!AT67</f>
        <v>0</v>
      </c>
      <c r="K144" s="3386">
        <f>'10. Финансиране на ИП'!CR65*'10. Финансиране на ИП'!AU67</f>
        <v>0</v>
      </c>
      <c r="L144" s="3386">
        <f>'10. Финансиране на ИП'!CS65*'10. Финансиране на ИП'!AV67</f>
        <v>0</v>
      </c>
      <c r="M144" s="3398">
        <f>'10. Финансиране на ИП'!CT65*'10. Финансиране на ИП'!AW67</f>
        <v>0</v>
      </c>
      <c r="N144" s="3398">
        <f>'10. Финансиране на ИП'!CU65*'10. Финансиране на ИП'!AX67</f>
        <v>0</v>
      </c>
      <c r="Q144" s="4244"/>
      <c r="S144" s="4229" t="str">
        <f>'12.2.Нови дейности или обекти'!H10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СВИЛЕНГРАД</v>
      </c>
      <c r="T144" s="3526">
        <f>'12.2.Нови дейности или обекти'!AH21</f>
        <v>0</v>
      </c>
      <c r="U144" s="3526">
        <f>'12.2.Нови дейности или обекти'!AI21</f>
        <v>0</v>
      </c>
      <c r="V144" s="3526">
        <f>'12.2.Нови дейности или обекти'!AJ21</f>
        <v>0</v>
      </c>
      <c r="W144" s="3526">
        <f>'12.2.Нови дейности или обекти'!AK21</f>
        <v>110.43904633838319</v>
      </c>
      <c r="X144" s="3526">
        <f>'12.2.Нови дейности или обекти'!AL21</f>
        <v>143.16172673494117</v>
      </c>
      <c r="Y144" s="4275"/>
      <c r="Z144" s="4275"/>
      <c r="AA144" s="11"/>
      <c r="AC144" s="3294"/>
      <c r="AD144" s="11"/>
      <c r="AK144" s="4216"/>
      <c r="AP144" s="11"/>
    </row>
    <row r="145" spans="9:42" ht="15.75" customHeight="1">
      <c r="I145" s="3399" t="s">
        <v>1940</v>
      </c>
      <c r="J145" s="4218" t="s">
        <v>1062</v>
      </c>
      <c r="K145" s="4218" t="s">
        <v>1063</v>
      </c>
      <c r="L145" s="4218" t="s">
        <v>1064</v>
      </c>
      <c r="M145" s="4218" t="s">
        <v>1065</v>
      </c>
      <c r="N145" s="4218" t="s">
        <v>1066</v>
      </c>
      <c r="Q145" s="4244"/>
      <c r="S145" s="4229">
        <f>'12.2.Нови дейности или обекти'!M10</f>
        <v>0</v>
      </c>
      <c r="T145" s="3526">
        <f>'12.2.Нови дейности или обекти'!AM21</f>
        <v>0</v>
      </c>
      <c r="U145" s="3526">
        <f>'12.2.Нови дейности или обекти'!AN21</f>
        <v>0</v>
      </c>
      <c r="V145" s="3526">
        <f>'12.2.Нови дейности или обекти'!AO21</f>
        <v>0</v>
      </c>
      <c r="W145" s="3526">
        <f>'12.2.Нови дейности или обекти'!AP21</f>
        <v>0</v>
      </c>
      <c r="X145" s="3526">
        <f>'12.2.Нови дейности или обекти'!AQ21</f>
        <v>0</v>
      </c>
      <c r="Y145" s="4275"/>
      <c r="Z145" s="4275"/>
      <c r="AA145" s="11"/>
      <c r="AC145" s="3294"/>
      <c r="AD145" s="11"/>
      <c r="AK145" s="4216"/>
      <c r="AP145" s="11"/>
    </row>
    <row r="146" spans="9:42" ht="15.75" customHeight="1">
      <c r="I146" s="3392" t="s">
        <v>1915</v>
      </c>
      <c r="J146" s="3397">
        <f>'10. Финансиране на ИП'!CQ70*'10. Финансиране на ИП'!AT78</f>
        <v>0</v>
      </c>
      <c r="K146" s="3397">
        <f>'10. Финансиране на ИП'!CR70*'10. Финансиране на ИП'!AU78</f>
        <v>3017.8</v>
      </c>
      <c r="L146" s="3397">
        <f>'10. Финансиране на ИП'!CS70*'10. Финансиране на ИП'!AV78</f>
        <v>9053.4</v>
      </c>
      <c r="M146" s="3397">
        <f>'10. Финансиране на ИП'!CT70*'10. Финансиране на ИП'!AW78</f>
        <v>14931.522100591565</v>
      </c>
      <c r="N146" s="3397">
        <f>'10. Финансиране на ИП'!CU70*'10. Финансиране на ИП'!AX78</f>
        <v>14390.575290285966</v>
      </c>
      <c r="S146" s="4229">
        <f>'12.2.Нови дейности или обекти'!R10</f>
        <v>0</v>
      </c>
      <c r="T146" s="3526">
        <f>'12.2.Нови дейности или обекти'!AR21</f>
        <v>0</v>
      </c>
      <c r="U146" s="3526">
        <f>'12.2.Нови дейности или обекти'!AS21</f>
        <v>0</v>
      </c>
      <c r="V146" s="3526">
        <f>'12.2.Нови дейности или обекти'!AT21</f>
        <v>0</v>
      </c>
      <c r="W146" s="3526">
        <f>'12.2.Нови дейности или обекти'!AU21</f>
        <v>0</v>
      </c>
      <c r="X146" s="3526">
        <f>'12.2.Нови дейности или обекти'!AV21</f>
        <v>0</v>
      </c>
      <c r="Y146" s="4275"/>
      <c r="Z146" s="4275"/>
      <c r="AA146" s="11"/>
      <c r="AC146" s="3294"/>
      <c r="AD146" s="11"/>
      <c r="AK146" s="4216"/>
      <c r="AP146" s="11"/>
    </row>
    <row r="147" spans="9:42" ht="15.75" customHeight="1">
      <c r="I147" s="3394" t="s">
        <v>1916</v>
      </c>
      <c r="J147" s="3395">
        <f>'10. Финансиране на ИП'!CQ71*'10. Финансиране на ИП'!AT78</f>
        <v>3017.8</v>
      </c>
      <c r="K147" s="3387">
        <f>'10. Финансиране на ИП'!CR71*'10. Финансиране на ИП'!AU78</f>
        <v>6035.6</v>
      </c>
      <c r="L147" s="3387">
        <f>'10. Финансиране на ИП'!CS71*'10. Финансиране на ИП'!AV78</f>
        <v>5878.122100591565</v>
      </c>
      <c r="M147" s="3395">
        <f>'10. Финансиране на ИП'!CT71*'10. Финансиране на ИП'!AW78</f>
        <v>0</v>
      </c>
      <c r="N147" s="3395">
        <f>'10. Финансиране на ИП'!CU71*'10. Финансиране на ИП'!AX78</f>
        <v>0</v>
      </c>
      <c r="S147" s="4229">
        <f>'12.2.Нови дейности или обекти'!W10</f>
        <v>0</v>
      </c>
      <c r="T147" s="3526">
        <f>'12.2.Нови дейности или обекти'!AW21</f>
        <v>0</v>
      </c>
      <c r="U147" s="3526">
        <f>'12.2.Нови дейности или обекти'!AX21</f>
        <v>0</v>
      </c>
      <c r="V147" s="3526">
        <f>'12.2.Нови дейности или обекти'!AY21</f>
        <v>0</v>
      </c>
      <c r="W147" s="3526">
        <f>'12.2.Нови дейности или обекти'!AZ21</f>
        <v>0</v>
      </c>
      <c r="X147" s="3526">
        <f>'12.2.Нови дейности или обекти'!BA21</f>
        <v>0</v>
      </c>
      <c r="Y147" s="4275"/>
      <c r="Z147" s="4275"/>
      <c r="AA147" s="11"/>
      <c r="AC147" s="3294"/>
      <c r="AD147" s="11"/>
      <c r="AK147" s="4216"/>
      <c r="AP147" s="11"/>
    </row>
    <row r="148" spans="9:42" ht="15.75" customHeight="1">
      <c r="I148" s="3394" t="s">
        <v>1917</v>
      </c>
      <c r="J148" s="3395">
        <f>'10. Финансиране на ИП'!CQ72*'10. Финансиране на ИП'!AT78</f>
        <v>0</v>
      </c>
      <c r="K148" s="3387">
        <f>'10. Финансиране на ИП'!CR72*'10. Финансиране на ИП'!AU78</f>
        <v>0</v>
      </c>
      <c r="L148" s="3387">
        <f>'10. Финансиране на ИП'!CS72*'10. Финансиране на ИП'!AV78</f>
        <v>0</v>
      </c>
      <c r="M148" s="3387">
        <f>'10. Финансиране на ИП'!CT72*'10. Финансиране на ИП'!AW78</f>
        <v>540.94681030559912</v>
      </c>
      <c r="N148" s="3387">
        <f>'10. Финансиране на ИП'!CU72*'10. Финансиране на ИП'!AX78</f>
        <v>622.24221941579788</v>
      </c>
      <c r="S148" s="4229">
        <f>'12.2.Нови дейности или обекти'!C33</f>
        <v>0</v>
      </c>
      <c r="T148" s="3526">
        <f>'12.2.Нови дейности или обекти'!AC44</f>
        <v>0</v>
      </c>
      <c r="U148" s="3526">
        <f>'12.2.Нови дейности или обекти'!AD44</f>
        <v>0</v>
      </c>
      <c r="V148" s="3526">
        <f>'12.2.Нови дейности или обекти'!AE44</f>
        <v>0</v>
      </c>
      <c r="W148" s="3526">
        <f>'12.2.Нови дейности или обекти'!AF44</f>
        <v>0</v>
      </c>
      <c r="X148" s="3526">
        <f>'12.2.Нови дейности или обекти'!AG44</f>
        <v>0</v>
      </c>
      <c r="AA148" s="11"/>
      <c r="AC148" s="3294"/>
      <c r="AD148" s="11"/>
      <c r="AK148" s="4216"/>
      <c r="AP148" s="11"/>
    </row>
    <row r="149" spans="9:42" ht="15.75" customHeight="1">
      <c r="I149" s="3392" t="s">
        <v>1918</v>
      </c>
      <c r="J149" s="3396">
        <f>'10. Финансиране на ИП'!CQ73*'10. Финансиране на ИП'!AT78</f>
        <v>421.81580198688027</v>
      </c>
      <c r="K149" s="3396">
        <f>'10. Финансиране на ИП'!CR73*'10. Финансиране на ИП'!AU78</f>
        <v>421.81580198688027</v>
      </c>
      <c r="L149" s="3396">
        <f>'10. Финансиране на ИП'!CS73*'10. Финансиране на ИП'!AV78</f>
        <v>421.81580198688027</v>
      </c>
      <c r="M149" s="3396">
        <f>'10. Финансиране на ИП'!CT73*'10. Финансиране на ИП'!AW78</f>
        <v>409.54479683817101</v>
      </c>
      <c r="N149" s="3396">
        <f>'10. Финансиране на ИП'!CU73*'10. Финансиране на ИП'!AX78</f>
        <v>376.31082456041679</v>
      </c>
      <c r="S149" s="4229">
        <f>'12.2.Нови дейности или обекти'!H33</f>
        <v>0</v>
      </c>
      <c r="T149" s="3526">
        <f>'12.2.Нови дейности или обекти'!AH44</f>
        <v>0</v>
      </c>
      <c r="U149" s="3526">
        <f>'12.2.Нови дейности или обекти'!AI44</f>
        <v>0</v>
      </c>
      <c r="V149" s="3526">
        <f>'12.2.Нови дейности или обекти'!AJ44</f>
        <v>0</v>
      </c>
      <c r="W149" s="3526">
        <f>'12.2.Нови дейности или обекти'!AK44</f>
        <v>0</v>
      </c>
      <c r="X149" s="3526">
        <f>'12.2.Нови дейности или обекти'!AL44</f>
        <v>0</v>
      </c>
      <c r="AA149" s="11"/>
      <c r="AC149" s="3294"/>
      <c r="AD149" s="11"/>
      <c r="AK149" s="4216"/>
      <c r="AP149" s="11"/>
    </row>
    <row r="150" spans="9:42" ht="15.75" customHeight="1">
      <c r="I150" s="3394" t="s">
        <v>199</v>
      </c>
      <c r="J150" s="3388">
        <f>'10. Финансиране на ИП'!AT74</f>
        <v>0.13977593014344233</v>
      </c>
      <c r="K150" s="3388">
        <f>'10. Финансиране на ИП'!AU74</f>
        <v>4.6591976714480773E-2</v>
      </c>
      <c r="L150" s="3388">
        <f>'10. Финансиране на ИП'!AV74</f>
        <v>2.8250020268875905E-2</v>
      </c>
      <c r="M150" s="3388">
        <f>'10. Финансиране на ИП'!AW74</f>
        <v>2.7934208892272862E-2</v>
      </c>
      <c r="N150" s="3388">
        <f>'10. Финансиране на ИП'!AX74</f>
        <v>2.6727657175767479E-2</v>
      </c>
      <c r="S150" s="4229">
        <f>'12.2.Нови дейности или обекти'!M33</f>
        <v>0</v>
      </c>
      <c r="T150" s="3526">
        <f>'12.2.Нови дейности или обекти'!AM44</f>
        <v>0</v>
      </c>
      <c r="U150" s="3526">
        <f>'12.2.Нови дейности или обекти'!AN44</f>
        <v>0</v>
      </c>
      <c r="V150" s="3526">
        <f>'12.2.Нови дейности или обекти'!AO44</f>
        <v>0</v>
      </c>
      <c r="W150" s="3526">
        <f>'12.2.Нови дейности или обекти'!AP44</f>
        <v>0</v>
      </c>
      <c r="X150" s="3526">
        <f>'12.2.Нови дейности или обекти'!AQ44</f>
        <v>0</v>
      </c>
      <c r="AA150" s="11"/>
      <c r="AC150" s="3294"/>
      <c r="AD150" s="11"/>
      <c r="AK150" s="4216"/>
      <c r="AP150" s="11"/>
    </row>
    <row r="151" spans="9:42" ht="15.75" customHeight="1">
      <c r="I151" s="3392" t="s">
        <v>1919</v>
      </c>
      <c r="J151" s="3386">
        <f>'10. Финансиране на ИП'!CQ75*'10. Финансиране на ИП'!AT78</f>
        <v>421.81580198688027</v>
      </c>
      <c r="K151" s="3386">
        <f>'10. Финансиране на ИП'!CR75*'10. Финансиране на ИП'!AU78</f>
        <v>421.81580198688027</v>
      </c>
      <c r="L151" s="3386">
        <f>'10. Финансиране на ИП'!CS75*'10. Финансиране на ИП'!AV78</f>
        <v>421.81580198688027</v>
      </c>
      <c r="M151" s="3386">
        <f>'10. Финансиране на ИП'!CT75*'10. Финансиране на ИП'!AW78</f>
        <v>950.49160714377024</v>
      </c>
      <c r="N151" s="3386">
        <f>'10. Финансиране на ИП'!CU75*'10. Финансиране на ИП'!AX78</f>
        <v>998.55304397621467</v>
      </c>
      <c r="S151" s="4229">
        <f>'12.2.Нови дейности или обекти'!R33</f>
        <v>0</v>
      </c>
      <c r="T151" s="3526">
        <f>'12.2.Нови дейности или обекти'!AR44</f>
        <v>0</v>
      </c>
      <c r="U151" s="3526">
        <f>'12.2.Нови дейности или обекти'!AS44</f>
        <v>0</v>
      </c>
      <c r="V151" s="3526">
        <f>'12.2.Нови дейности или обекти'!AT44</f>
        <v>0</v>
      </c>
      <c r="W151" s="3526">
        <f>'12.2.Нови дейности или обекти'!AU44</f>
        <v>0</v>
      </c>
      <c r="X151" s="3526">
        <f>'12.2.Нови дейности или обекти'!AV44</f>
        <v>0</v>
      </c>
      <c r="AA151" s="11"/>
      <c r="AC151" s="3294"/>
      <c r="AD151" s="11"/>
      <c r="AK151" s="4216"/>
      <c r="AP151" s="11"/>
    </row>
    <row r="152" spans="9:42" ht="15.75" customHeight="1">
      <c r="I152" s="3392" t="s">
        <v>1920</v>
      </c>
      <c r="J152" s="3386">
        <f>'10. Финансиране на ИП'!CQ76*'10. Финансиране на ИП'!AT78</f>
        <v>3017.8</v>
      </c>
      <c r="K152" s="3386">
        <f>'10. Финансиране на ИП'!CR76*'10. Финансиране на ИП'!AU78</f>
        <v>9053.4</v>
      </c>
      <c r="L152" s="3386">
        <f>'10. Финансиране на ИП'!CS76*'10. Финансиране на ИП'!AV78</f>
        <v>14931.522100591565</v>
      </c>
      <c r="M152" s="3398">
        <f>'10. Финансиране на ИП'!CT76*'10. Финансиране на ИП'!AW78</f>
        <v>14390.575290285966</v>
      </c>
      <c r="N152" s="3398">
        <f>'10. Финансиране на ИП'!CU76*'10. Финансиране на ИП'!AX78</f>
        <v>13768.333070870169</v>
      </c>
      <c r="S152" s="4229">
        <f>'12.2.Нови дейности или обекти'!W33</f>
        <v>0</v>
      </c>
      <c r="T152" s="3526">
        <f>'12.2.Нови дейности или обекти'!AW44</f>
        <v>0</v>
      </c>
      <c r="U152" s="3526">
        <f>'12.2.Нови дейности или обекти'!AX44</f>
        <v>0</v>
      </c>
      <c r="V152" s="3526">
        <f>'12.2.Нови дейности или обекти'!AY44</f>
        <v>0</v>
      </c>
      <c r="W152" s="3526">
        <f>'12.2.Нови дейности или обекти'!AZ44</f>
        <v>0</v>
      </c>
      <c r="X152" s="3526">
        <f>'12.2.Нови дейности или обекти'!BA44</f>
        <v>0</v>
      </c>
      <c r="AA152" s="11"/>
      <c r="AC152" s="3294"/>
      <c r="AD152" s="11"/>
      <c r="AK152" s="4216"/>
      <c r="AP152" s="11"/>
    </row>
    <row r="153" spans="9:42" ht="15.75" customHeight="1">
      <c r="S153" s="4237" t="s">
        <v>1679</v>
      </c>
      <c r="T153" s="4238">
        <f t="shared" ref="T153:X153" si="111">SUM(T143:T152)</f>
        <v>0</v>
      </c>
      <c r="U153" s="4238">
        <f t="shared" si="111"/>
        <v>0</v>
      </c>
      <c r="V153" s="4238">
        <f t="shared" si="111"/>
        <v>0</v>
      </c>
      <c r="W153" s="4238">
        <f t="shared" si="111"/>
        <v>220.87809267676639</v>
      </c>
      <c r="X153" s="4238">
        <f t="shared" si="111"/>
        <v>286.32345346988234</v>
      </c>
      <c r="AA153" s="11"/>
      <c r="AC153" s="3294"/>
      <c r="AD153" s="11"/>
      <c r="AK153" s="4216"/>
      <c r="AP153" s="11"/>
    </row>
    <row r="154" spans="9:42" ht="15.75" customHeight="1">
      <c r="S154" s="5461" t="s">
        <v>1923</v>
      </c>
      <c r="T154" s="5463" t="s">
        <v>174</v>
      </c>
      <c r="U154" s="5464"/>
      <c r="V154" s="5464"/>
      <c r="W154" s="5464"/>
      <c r="X154" s="5465"/>
      <c r="AA154" s="11"/>
      <c r="AC154" s="3294"/>
      <c r="AD154" s="11"/>
      <c r="AK154" s="4216"/>
      <c r="AP154" s="11"/>
    </row>
    <row r="155" spans="9:42" ht="15.75" customHeight="1">
      <c r="S155" s="5462"/>
      <c r="T155" s="4214" t="str">
        <f t="shared" ref="T155:X155" si="112">+T142</f>
        <v>2027 г.</v>
      </c>
      <c r="U155" s="4214" t="str">
        <f t="shared" si="112"/>
        <v>2028 г.</v>
      </c>
      <c r="V155" s="4214" t="str">
        <f t="shared" si="112"/>
        <v>2029 г.</v>
      </c>
      <c r="W155" s="4214" t="str">
        <f t="shared" si="112"/>
        <v>2030 г.</v>
      </c>
      <c r="X155" s="4214" t="str">
        <f t="shared" si="112"/>
        <v>2031 г.</v>
      </c>
      <c r="AA155" s="11"/>
      <c r="AC155" s="3294"/>
      <c r="AD155" s="11"/>
      <c r="AK155" s="4216"/>
      <c r="AP155" s="11"/>
    </row>
    <row r="156" spans="9:42" ht="15.75" customHeight="1">
      <c r="S156" s="4229" t="str">
        <f>'12.2.Нови дейности или обекти'!C57</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агломерация Харманли, включително довеждащ колектор до ПСОВ</v>
      </c>
      <c r="T156" s="3526">
        <f>'12.2.Нови дейности или обекти'!AC68</f>
        <v>0</v>
      </c>
      <c r="U156" s="3526">
        <f>'12.2.Нови дейности или обекти'!AD68</f>
        <v>0</v>
      </c>
      <c r="V156" s="3526">
        <f>'12.2.Нови дейности или обекти'!AE68</f>
        <v>0</v>
      </c>
      <c r="W156" s="3526">
        <f>'12.2.Нови дейности или обекти'!AF68</f>
        <v>0</v>
      </c>
      <c r="X156" s="3526">
        <f>'12.2.Нови дейности или обекти'!AG68</f>
        <v>0</v>
      </c>
      <c r="AA156" s="11"/>
      <c r="AC156" s="3294"/>
      <c r="AD156" s="11"/>
      <c r="AK156" s="4216"/>
      <c r="AP156" s="11"/>
    </row>
    <row r="157" spans="9:42" ht="15.75" customHeight="1">
      <c r="S157" s="4229">
        <f>'12.2.Нови дейности или обекти'!H57</f>
        <v>0</v>
      </c>
      <c r="T157" s="3526">
        <f>'12.2.Нови дейности или обекти'!AH68</f>
        <v>0</v>
      </c>
      <c r="U157" s="3526">
        <f>'12.2.Нови дейности или обекти'!AI68</f>
        <v>0</v>
      </c>
      <c r="V157" s="3526">
        <f>'12.2.Нови дейности или обекти'!AJ68</f>
        <v>0</v>
      </c>
      <c r="W157" s="3526">
        <f>'12.2.Нови дейности или обекти'!AK68</f>
        <v>0</v>
      </c>
      <c r="X157" s="3526">
        <f>'12.2.Нови дейности или обекти'!AL68</f>
        <v>0</v>
      </c>
      <c r="AA157" s="11"/>
      <c r="AC157" s="3294"/>
      <c r="AD157" s="11"/>
      <c r="AK157" s="4216"/>
      <c r="AP157" s="11"/>
    </row>
    <row r="158" spans="9:42" ht="15.75" customHeight="1">
      <c r="S158" s="4229">
        <f>'12.2.Нови дейности или обекти'!M57</f>
        <v>0</v>
      </c>
      <c r="T158" s="3526">
        <f>'12.2.Нови дейности или обекти'!AM68</f>
        <v>0</v>
      </c>
      <c r="U158" s="3526">
        <f>'12.2.Нови дейности или обекти'!AN68</f>
        <v>0</v>
      </c>
      <c r="V158" s="3526">
        <f>'12.2.Нови дейности или обекти'!AO68</f>
        <v>0</v>
      </c>
      <c r="W158" s="3526">
        <f>'12.2.Нови дейности или обекти'!AP68</f>
        <v>0</v>
      </c>
      <c r="X158" s="3526">
        <f>'12.2.Нови дейности или обекти'!AQ68</f>
        <v>0</v>
      </c>
      <c r="AA158" s="11"/>
      <c r="AC158" s="3294"/>
      <c r="AD158" s="11"/>
      <c r="AK158" s="4216"/>
      <c r="AP158" s="11"/>
    </row>
    <row r="159" spans="9:42" ht="15.75" customHeight="1">
      <c r="S159" s="4229">
        <f>'12.2.Нови дейности или обекти'!R57</f>
        <v>0</v>
      </c>
      <c r="T159" s="3526">
        <f>'12.2.Нови дейности или обекти'!AR68</f>
        <v>0</v>
      </c>
      <c r="U159" s="3526">
        <f>'12.2.Нови дейности или обекти'!AS68</f>
        <v>0</v>
      </c>
      <c r="V159" s="3526">
        <f>'12.2.Нови дейности или обекти'!AT68</f>
        <v>0</v>
      </c>
      <c r="W159" s="3526">
        <f>'12.2.Нови дейности или обекти'!AU68</f>
        <v>0</v>
      </c>
      <c r="X159" s="3526">
        <f>'12.2.Нови дейности или обекти'!AV68</f>
        <v>0</v>
      </c>
      <c r="AA159" s="11"/>
      <c r="AC159" s="3294"/>
      <c r="AD159" s="11"/>
      <c r="AK159" s="4216"/>
      <c r="AP159" s="11"/>
    </row>
    <row r="160" spans="9:42" ht="15.75" customHeight="1">
      <c r="S160" s="4229">
        <f>'12.2.Нови дейности или обекти'!W57</f>
        <v>0</v>
      </c>
      <c r="T160" s="3526">
        <f>'12.2.Нови дейности или обекти'!AW68</f>
        <v>0</v>
      </c>
      <c r="U160" s="3526">
        <f>'12.2.Нови дейности или обекти'!AX68</f>
        <v>0</v>
      </c>
      <c r="V160" s="3526">
        <f>'12.2.Нови дейности или обекти'!AY68</f>
        <v>0</v>
      </c>
      <c r="W160" s="3526">
        <f>'12.2.Нови дейности или обекти'!AZ68</f>
        <v>0</v>
      </c>
      <c r="X160" s="3526">
        <f>'12.2.Нови дейности или обекти'!BA68</f>
        <v>0</v>
      </c>
      <c r="AA160" s="11"/>
      <c r="AC160" s="3294"/>
      <c r="AD160" s="11"/>
      <c r="AK160" s="4216"/>
      <c r="AP160" s="11"/>
    </row>
    <row r="161" spans="19:42" ht="15.75" customHeight="1">
      <c r="S161" s="4229">
        <f>'12.2.Нови дейности или обекти'!C80</f>
        <v>0</v>
      </c>
      <c r="T161" s="3526">
        <f>'12.2.Нови дейности или обекти'!AC91</f>
        <v>0</v>
      </c>
      <c r="U161" s="3526">
        <f>'12.2.Нови дейности или обекти'!AD91</f>
        <v>0</v>
      </c>
      <c r="V161" s="3526">
        <f>'12.2.Нови дейности или обекти'!AE91</f>
        <v>0</v>
      </c>
      <c r="W161" s="3526">
        <f>'12.2.Нови дейности или обекти'!AF91</f>
        <v>0</v>
      </c>
      <c r="X161" s="3526">
        <f>'12.2.Нови дейности или обекти'!AG91</f>
        <v>0</v>
      </c>
      <c r="AA161" s="11"/>
      <c r="AC161" s="3294"/>
      <c r="AD161" s="11"/>
      <c r="AK161" s="4216"/>
      <c r="AP161" s="11"/>
    </row>
    <row r="162" spans="19:42" ht="15.75" customHeight="1">
      <c r="S162" s="4229">
        <f>'12.2.Нови дейности или обекти'!H80</f>
        <v>0</v>
      </c>
      <c r="T162" s="3526">
        <f>'12.2.Нови дейности или обекти'!AH91</f>
        <v>0</v>
      </c>
      <c r="U162" s="3526">
        <f>'12.2.Нови дейности или обекти'!AI91</f>
        <v>0</v>
      </c>
      <c r="V162" s="3526">
        <f>'12.2.Нови дейности или обекти'!AJ91</f>
        <v>0</v>
      </c>
      <c r="W162" s="3526">
        <f>'12.2.Нови дейности или обекти'!AK91</f>
        <v>0</v>
      </c>
      <c r="X162" s="3526">
        <f>'12.2.Нови дейности или обекти'!AL91</f>
        <v>0</v>
      </c>
      <c r="AA162" s="11"/>
      <c r="AC162" s="3294"/>
      <c r="AD162" s="11"/>
      <c r="AK162" s="4216"/>
      <c r="AP162" s="11"/>
    </row>
    <row r="163" spans="19:42" ht="15.75" customHeight="1">
      <c r="S163" s="4229">
        <f>'12.2.Нови дейности или обекти'!M80</f>
        <v>0</v>
      </c>
      <c r="T163" s="3526">
        <f>'12.2.Нови дейности или обекти'!AM91</f>
        <v>0</v>
      </c>
      <c r="U163" s="3526">
        <f>'12.2.Нови дейности или обекти'!AN91</f>
        <v>0</v>
      </c>
      <c r="V163" s="3526">
        <f>'12.2.Нови дейности или обекти'!AO91</f>
        <v>0</v>
      </c>
      <c r="W163" s="3526">
        <f>'12.2.Нови дейности или обекти'!AP91</f>
        <v>0</v>
      </c>
      <c r="X163" s="3526">
        <f>'12.2.Нови дейности или обекти'!AQ91</f>
        <v>0</v>
      </c>
      <c r="AA163" s="11"/>
      <c r="AC163" s="3294"/>
      <c r="AD163" s="11"/>
      <c r="AK163" s="4216"/>
      <c r="AP163" s="11"/>
    </row>
    <row r="164" spans="19:42" ht="15.75" customHeight="1">
      <c r="S164" s="4229">
        <f>'12.2.Нови дейности или обекти'!R80</f>
        <v>0</v>
      </c>
      <c r="T164" s="3526">
        <f>'12.2.Нови дейности или обекти'!AR91</f>
        <v>0</v>
      </c>
      <c r="U164" s="3526">
        <f>'12.2.Нови дейности или обекти'!AS91</f>
        <v>0</v>
      </c>
      <c r="V164" s="3526">
        <f>'12.2.Нови дейности или обекти'!AT91</f>
        <v>0</v>
      </c>
      <c r="W164" s="3526">
        <f>'12.2.Нови дейности или обекти'!AU91</f>
        <v>0</v>
      </c>
      <c r="X164" s="3526">
        <f>'12.2.Нови дейности или обекти'!AV91</f>
        <v>0</v>
      </c>
      <c r="AA164" s="11"/>
      <c r="AC164" s="3294"/>
      <c r="AD164" s="11"/>
      <c r="AK164" s="4216"/>
      <c r="AP164" s="11"/>
    </row>
    <row r="165" spans="19:42" ht="15.75" customHeight="1">
      <c r="S165" s="4229">
        <f>'12.2.Нови дейности или обекти'!W80</f>
        <v>0</v>
      </c>
      <c r="T165" s="3526">
        <f>'12.2.Нови дейности или обекти'!AW91</f>
        <v>0</v>
      </c>
      <c r="U165" s="3526">
        <f>'12.2.Нови дейности или обекти'!AX91</f>
        <v>0</v>
      </c>
      <c r="V165" s="3526">
        <f>'12.2.Нови дейности или обекти'!AY91</f>
        <v>0</v>
      </c>
      <c r="W165" s="3526">
        <f>'12.2.Нови дейности или обекти'!AZ91</f>
        <v>0</v>
      </c>
      <c r="X165" s="3526">
        <f>'12.2.Нови дейности или обекти'!BA91</f>
        <v>0</v>
      </c>
      <c r="AA165" s="11"/>
      <c r="AC165" s="3294"/>
      <c r="AD165" s="11"/>
      <c r="AK165" s="4216"/>
      <c r="AP165" s="11"/>
    </row>
    <row r="166" spans="19:42" ht="15.75" customHeight="1">
      <c r="S166" s="4237" t="s">
        <v>1678</v>
      </c>
      <c r="T166" s="4238">
        <f t="shared" ref="T166:X166" si="113">SUM(T156:T165)</f>
        <v>0</v>
      </c>
      <c r="U166" s="4238">
        <f t="shared" si="113"/>
        <v>0</v>
      </c>
      <c r="V166" s="4238">
        <f t="shared" si="113"/>
        <v>0</v>
      </c>
      <c r="W166" s="4238">
        <f t="shared" si="113"/>
        <v>0</v>
      </c>
      <c r="X166" s="4238">
        <f t="shared" si="113"/>
        <v>0</v>
      </c>
      <c r="AA166" s="11"/>
      <c r="AC166" s="3294"/>
      <c r="AD166" s="11"/>
      <c r="AK166" s="4216"/>
      <c r="AP166" s="11"/>
    </row>
    <row r="167" spans="19:42" ht="15.75" customHeight="1">
      <c r="S167" s="5460" t="s">
        <v>1923</v>
      </c>
      <c r="T167" s="5463" t="s">
        <v>184</v>
      </c>
      <c r="U167" s="5464"/>
      <c r="V167" s="5464"/>
      <c r="W167" s="5464"/>
      <c r="X167" s="5465"/>
      <c r="AA167" s="11"/>
      <c r="AC167" s="3294"/>
      <c r="AD167" s="11"/>
      <c r="AK167" s="4216"/>
      <c r="AP167" s="11"/>
    </row>
    <row r="168" spans="19:42" ht="15.75" customHeight="1">
      <c r="S168" s="5460"/>
      <c r="T168" s="4214" t="str">
        <f t="shared" ref="T168:X168" si="114">+T155</f>
        <v>2027 г.</v>
      </c>
      <c r="U168" s="4214" t="str">
        <f t="shared" si="114"/>
        <v>2028 г.</v>
      </c>
      <c r="V168" s="4214" t="str">
        <f t="shared" si="114"/>
        <v>2029 г.</v>
      </c>
      <c r="W168" s="4214" t="str">
        <f t="shared" si="114"/>
        <v>2030 г.</v>
      </c>
      <c r="X168" s="4214" t="str">
        <f t="shared" si="114"/>
        <v>2031 г.</v>
      </c>
      <c r="AA168" s="11"/>
      <c r="AC168" s="3294"/>
      <c r="AD168" s="11"/>
      <c r="AK168" s="4216"/>
      <c r="AP168" s="11"/>
    </row>
    <row r="169" spans="19:42" ht="15.75" customHeight="1">
      <c r="S169" s="4229" t="str">
        <f>'12.2.Нови дейности или обекти'!C104</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ЕООД- 2. "Инженеринг (проектиране, авторски надзор, строителство и доставка на оборудване) за изграждане на нова ПСОВ Харманли”.</v>
      </c>
      <c r="T169" s="3526">
        <f>'12.2.Нови дейности или обекти'!AC115</f>
        <v>0</v>
      </c>
      <c r="U169" s="3526">
        <f>'12.2.Нови дейности или обекти'!AD115</f>
        <v>0</v>
      </c>
      <c r="V169" s="3526">
        <f>'12.2.Нови дейности или обекти'!AE115</f>
        <v>0</v>
      </c>
      <c r="W169" s="3526">
        <f>'12.2.Нови дейности или обекти'!AF115</f>
        <v>237.7507247562416</v>
      </c>
      <c r="X169" s="3526">
        <f>'12.2.Нови дейности или обекти'!AG115</f>
        <v>281.72182653911636</v>
      </c>
      <c r="AA169" s="11"/>
      <c r="AC169" s="3294"/>
      <c r="AD169" s="11"/>
      <c r="AK169" s="4216"/>
      <c r="AP169" s="11"/>
    </row>
    <row r="170" spans="19:42" ht="15.75" customHeight="1">
      <c r="S170" s="4229">
        <f>'12.2.Нови дейности или обекти'!H104</f>
        <v>0</v>
      </c>
      <c r="T170" s="3526">
        <f>'12.2.Нови дейности или обекти'!AH115</f>
        <v>0</v>
      </c>
      <c r="U170" s="3526">
        <f>'12.2.Нови дейности или обекти'!AI115</f>
        <v>0</v>
      </c>
      <c r="V170" s="3526">
        <f>'12.2.Нови дейности или обекти'!AJ115</f>
        <v>0</v>
      </c>
      <c r="W170" s="3526">
        <f>'12.2.Нови дейности или обекти'!AK115</f>
        <v>0</v>
      </c>
      <c r="X170" s="3526">
        <f>'12.2.Нови дейности или обекти'!AL115</f>
        <v>0</v>
      </c>
      <c r="AA170" s="11"/>
      <c r="AC170" s="3294"/>
      <c r="AD170" s="11"/>
      <c r="AK170" s="4216"/>
      <c r="AP170" s="11"/>
    </row>
    <row r="171" spans="19:42" ht="15.75" customHeight="1">
      <c r="S171" s="4229">
        <f>'12.2.Нови дейности или обекти'!M104</f>
        <v>0</v>
      </c>
      <c r="T171" s="3526">
        <f>'12.2.Нови дейности или обекти'!AM115</f>
        <v>0</v>
      </c>
      <c r="U171" s="3526">
        <f>'12.2.Нови дейности или обекти'!AN115</f>
        <v>0</v>
      </c>
      <c r="V171" s="3526">
        <f>'12.2.Нови дейности или обекти'!AO115</f>
        <v>0</v>
      </c>
      <c r="W171" s="3526">
        <f>'12.2.Нови дейности или обекти'!AP115</f>
        <v>0</v>
      </c>
      <c r="X171" s="3526">
        <f>'12.2.Нови дейности или обекти'!AQ115</f>
        <v>0</v>
      </c>
      <c r="AA171" s="11"/>
      <c r="AC171" s="3294"/>
      <c r="AD171" s="11"/>
      <c r="AK171" s="4216"/>
      <c r="AP171" s="11"/>
    </row>
    <row r="172" spans="19:42" ht="15.75" customHeight="1">
      <c r="S172" s="4229">
        <f>'12.2.Нови дейности или обекти'!R104</f>
        <v>0</v>
      </c>
      <c r="T172" s="3526">
        <f>'12.2.Нови дейности или обекти'!AR115</f>
        <v>0</v>
      </c>
      <c r="U172" s="3526">
        <f>'12.2.Нови дейности или обекти'!AS115</f>
        <v>0</v>
      </c>
      <c r="V172" s="3526">
        <f>'12.2.Нови дейности или обекти'!AT115</f>
        <v>0</v>
      </c>
      <c r="W172" s="3526">
        <f>'12.2.Нови дейности или обекти'!AU115</f>
        <v>0</v>
      </c>
      <c r="X172" s="3526">
        <f>'12.2.Нови дейности или обекти'!AV115</f>
        <v>0</v>
      </c>
      <c r="AA172" s="11"/>
      <c r="AC172" s="3294"/>
      <c r="AD172" s="11"/>
      <c r="AK172" s="4216"/>
      <c r="AP172" s="11"/>
    </row>
    <row r="173" spans="19:42" ht="15.75" customHeight="1">
      <c r="S173" s="4229">
        <f>'12.2.Нови дейности или обекти'!W104</f>
        <v>0</v>
      </c>
      <c r="T173" s="3526">
        <f>'12.2.Нови дейности или обекти'!AW115</f>
        <v>0</v>
      </c>
      <c r="U173" s="3526">
        <f>'12.2.Нови дейности или обекти'!AX115</f>
        <v>0</v>
      </c>
      <c r="V173" s="3526">
        <f>'12.2.Нови дейности или обекти'!AY115</f>
        <v>0</v>
      </c>
      <c r="W173" s="3526">
        <f>'12.2.Нови дейности или обекти'!AZ115</f>
        <v>0</v>
      </c>
      <c r="X173" s="3526">
        <f>'12.2.Нови дейности или обекти'!BA115</f>
        <v>0</v>
      </c>
      <c r="AA173" s="11"/>
      <c r="AC173" s="3294"/>
      <c r="AD173" s="11"/>
      <c r="AK173" s="4216"/>
      <c r="AP173" s="11"/>
    </row>
    <row r="174" spans="19:42" ht="15.75" customHeight="1">
      <c r="S174" s="4229">
        <f>'12.2.Нови дейности или обекти'!C127</f>
        <v>0</v>
      </c>
      <c r="T174" s="3526">
        <f>'12.2.Нови дейности или обекти'!AC138</f>
        <v>0</v>
      </c>
      <c r="U174" s="3526">
        <f>'12.2.Нови дейности или обекти'!AD138</f>
        <v>0</v>
      </c>
      <c r="V174" s="3526">
        <f>'12.2.Нови дейности или обекти'!AE138</f>
        <v>0</v>
      </c>
      <c r="W174" s="3526">
        <f>'12.2.Нови дейности или обекти'!AF138</f>
        <v>0</v>
      </c>
      <c r="X174" s="3526">
        <f>'12.2.Нови дейности или обекти'!AG138</f>
        <v>0</v>
      </c>
      <c r="AA174" s="11"/>
    </row>
    <row r="175" spans="19:42" ht="15.75" customHeight="1">
      <c r="S175" s="4229">
        <f>'12.2.Нови дейности или обекти'!H127</f>
        <v>0</v>
      </c>
      <c r="T175" s="3526">
        <f>'12.2.Нови дейности или обекти'!AH138</f>
        <v>0</v>
      </c>
      <c r="U175" s="3526">
        <f>'12.2.Нови дейности или обекти'!AI138</f>
        <v>0</v>
      </c>
      <c r="V175" s="3526">
        <f>'12.2.Нови дейности или обекти'!AJ138</f>
        <v>0</v>
      </c>
      <c r="W175" s="3526">
        <f>'12.2.Нови дейности или обекти'!AK138</f>
        <v>0</v>
      </c>
      <c r="X175" s="3526">
        <f>'12.2.Нови дейности или обекти'!AL138</f>
        <v>0</v>
      </c>
      <c r="AA175" s="11"/>
    </row>
    <row r="176" spans="19:42" ht="15.75" customHeight="1">
      <c r="S176" s="4229">
        <f>'12.2.Нови дейности или обекти'!M127</f>
        <v>0</v>
      </c>
      <c r="T176" s="3526">
        <f>'12.2.Нови дейности или обекти'!AM138</f>
        <v>0</v>
      </c>
      <c r="U176" s="3526">
        <f>'12.2.Нови дейности или обекти'!AN138</f>
        <v>0</v>
      </c>
      <c r="V176" s="3526">
        <f>'12.2.Нови дейности или обекти'!AO138</f>
        <v>0</v>
      </c>
      <c r="W176" s="3526">
        <f>'12.2.Нови дейности или обекти'!AP138</f>
        <v>0</v>
      </c>
      <c r="X176" s="3526">
        <f>'12.2.Нови дейности или обекти'!AQ138</f>
        <v>0</v>
      </c>
      <c r="AA176" s="11"/>
    </row>
    <row r="177" spans="19:27" ht="15.75" customHeight="1">
      <c r="S177" s="4229">
        <f>'12.2.Нови дейности или обекти'!R127</f>
        <v>0</v>
      </c>
      <c r="T177" s="3526">
        <f>'12.2.Нови дейности или обекти'!AR138</f>
        <v>0</v>
      </c>
      <c r="U177" s="3526">
        <f>'12.2.Нови дейности или обекти'!AS138</f>
        <v>0</v>
      </c>
      <c r="V177" s="3526">
        <f>'12.2.Нови дейности или обекти'!AT138</f>
        <v>0</v>
      </c>
      <c r="W177" s="3526">
        <f>'12.2.Нови дейности или обекти'!AU138</f>
        <v>0</v>
      </c>
      <c r="X177" s="3526">
        <f>'12.2.Нови дейности или обекти'!AV138</f>
        <v>0</v>
      </c>
      <c r="AA177" s="11"/>
    </row>
    <row r="178" spans="19:27" ht="15.75" customHeight="1">
      <c r="S178" s="4229">
        <f>'12.2.Нови дейности или обекти'!W127</f>
        <v>0</v>
      </c>
      <c r="T178" s="3526">
        <f>'12.2.Нови дейности или обекти'!AW138</f>
        <v>0</v>
      </c>
      <c r="U178" s="3526">
        <f>'12.2.Нови дейности или обекти'!AX138</f>
        <v>0</v>
      </c>
      <c r="V178" s="3526">
        <f>'12.2.Нови дейности или обекти'!AY138</f>
        <v>0</v>
      </c>
      <c r="W178" s="3526">
        <f>'12.2.Нови дейности или обекти'!AZ138</f>
        <v>0</v>
      </c>
      <c r="X178" s="3526">
        <f>'12.2.Нови дейности или обекти'!BA138</f>
        <v>0</v>
      </c>
      <c r="AA178" s="11"/>
    </row>
    <row r="179" spans="19:27" ht="15.75" customHeight="1">
      <c r="S179" s="4237" t="s">
        <v>1677</v>
      </c>
      <c r="T179" s="4238">
        <f>SUM(T169:T178)</f>
        <v>0</v>
      </c>
      <c r="U179" s="4238">
        <f t="shared" ref="U179:X179" si="115">SUM(U169:U178)</f>
        <v>0</v>
      </c>
      <c r="V179" s="4238">
        <f t="shared" si="115"/>
        <v>0</v>
      </c>
      <c r="W179" s="4238">
        <f t="shared" si="115"/>
        <v>237.7507247562416</v>
      </c>
      <c r="X179" s="4238">
        <f t="shared" si="115"/>
        <v>281.72182653911636</v>
      </c>
      <c r="AA179" s="11"/>
    </row>
  </sheetData>
  <mergeCells count="82">
    <mergeCell ref="S141:S142"/>
    <mergeCell ref="T141:X141"/>
    <mergeCell ref="S154:S155"/>
    <mergeCell ref="T154:X154"/>
    <mergeCell ref="S167:S168"/>
    <mergeCell ref="T167:X167"/>
    <mergeCell ref="A93:G93"/>
    <mergeCell ref="A99:A100"/>
    <mergeCell ref="B99:G99"/>
    <mergeCell ref="AA120:AA121"/>
    <mergeCell ref="T100:Y100"/>
    <mergeCell ref="Z100:Z101"/>
    <mergeCell ref="AA100:AA101"/>
    <mergeCell ref="A101:G101"/>
    <mergeCell ref="A106:G106"/>
    <mergeCell ref="A111:G111"/>
    <mergeCell ref="S100:S101"/>
    <mergeCell ref="A117:A118"/>
    <mergeCell ref="B117:G117"/>
    <mergeCell ref="S120:S121"/>
    <mergeCell ref="T120:Y120"/>
    <mergeCell ref="Z120:Z121"/>
    <mergeCell ref="AA76:AA77"/>
    <mergeCell ref="A81:A82"/>
    <mergeCell ref="B81:G81"/>
    <mergeCell ref="A83:G83"/>
    <mergeCell ref="A88:G88"/>
    <mergeCell ref="A59:G59"/>
    <mergeCell ref="A64:G64"/>
    <mergeCell ref="S76:S77"/>
    <mergeCell ref="T76:Y76"/>
    <mergeCell ref="Z76:Z77"/>
    <mergeCell ref="AS27:AW27"/>
    <mergeCell ref="A28:G28"/>
    <mergeCell ref="A69:G69"/>
    <mergeCell ref="AK35:AK36"/>
    <mergeCell ref="AL35:AP35"/>
    <mergeCell ref="A39:A40"/>
    <mergeCell ref="B39:G39"/>
    <mergeCell ref="A41:G41"/>
    <mergeCell ref="S45:S46"/>
    <mergeCell ref="T45:Y45"/>
    <mergeCell ref="Z45:Z46"/>
    <mergeCell ref="AA45:AA46"/>
    <mergeCell ref="A46:G46"/>
    <mergeCell ref="A51:G51"/>
    <mergeCell ref="A57:A58"/>
    <mergeCell ref="B57:G57"/>
    <mergeCell ref="A15:G15"/>
    <mergeCell ref="AR15:AR16"/>
    <mergeCell ref="AS15:AW15"/>
    <mergeCell ref="A33:G33"/>
    <mergeCell ref="A21:A22"/>
    <mergeCell ref="B21:G21"/>
    <mergeCell ref="AR21:AR22"/>
    <mergeCell ref="AS21:AW21"/>
    <mergeCell ref="A23:G23"/>
    <mergeCell ref="S24:S25"/>
    <mergeCell ref="T24:Y24"/>
    <mergeCell ref="Z24:Z25"/>
    <mergeCell ref="AA24:AA25"/>
    <mergeCell ref="AK27:AK28"/>
    <mergeCell ref="AL27:AP27"/>
    <mergeCell ref="AR27:AR28"/>
    <mergeCell ref="AK19:AK20"/>
    <mergeCell ref="AL19:AP19"/>
    <mergeCell ref="AK3:AK4"/>
    <mergeCell ref="AL3:AP3"/>
    <mergeCell ref="AR3:AR4"/>
    <mergeCell ref="AK11:AK12"/>
    <mergeCell ref="AL11:AP11"/>
    <mergeCell ref="AS3:AW3"/>
    <mergeCell ref="A5:G5"/>
    <mergeCell ref="AR9:AR10"/>
    <mergeCell ref="AS9:AW9"/>
    <mergeCell ref="A10:G10"/>
    <mergeCell ref="A3:A4"/>
    <mergeCell ref="B3:G3"/>
    <mergeCell ref="S3:S4"/>
    <mergeCell ref="T3:Y3"/>
    <mergeCell ref="Z3:Z4"/>
    <mergeCell ref="AA3:AA4"/>
  </mergeCells>
  <conditionalFormatting sqref="J16:O17">
    <cfRule type="cellIs" dxfId="0" priority="1" operator="lessThan">
      <formula>0</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8" sqref="L18"/>
    </sheetView>
  </sheetViews>
  <sheetFormatPr defaultRowHeight="12.7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9" sqref="H9"/>
    </sheetView>
  </sheetViews>
  <sheetFormatPr defaultRowHeight="12.7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5" sqref="G25"/>
    </sheetView>
  </sheetViews>
  <sheetFormatPr defaultRowHeight="12.75"/>
  <sheetData>
    <row r="1" spans="1:1">
      <c r="A1" s="11" t="s">
        <v>1713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A56"/>
  <sheetViews>
    <sheetView showGridLines="0" view="pageBreakPreview" zoomScaleNormal="100" zoomScaleSheetLayoutView="100" workbookViewId="0">
      <pane xSplit="4" ySplit="7" topLeftCell="E10" activePane="bottomRight" state="frozen"/>
      <selection pane="topRight" activeCell="E1" sqref="E1"/>
      <selection pane="bottomLeft" activeCell="A7" sqref="A7"/>
      <selection pane="bottomRight" activeCell="E15" sqref="E15:J15"/>
    </sheetView>
  </sheetViews>
  <sheetFormatPr defaultColWidth="9.140625" defaultRowHeight="12.75"/>
  <cols>
    <col min="1" max="1" width="4.5703125" style="1743" customWidth="1"/>
    <col min="2" max="2" width="7.5703125" style="1743" customWidth="1"/>
    <col min="3" max="3" width="62.5703125" style="1" customWidth="1"/>
    <col min="4" max="4" width="11.5703125" style="1" customWidth="1"/>
    <col min="5" max="10" width="8.5703125" style="1" customWidth="1"/>
    <col min="11" max="12" width="9.42578125" style="1" customWidth="1"/>
    <col min="13" max="13" width="8.5703125" style="1" customWidth="1"/>
    <col min="14" max="14" width="8" style="1" customWidth="1"/>
    <col min="15" max="15" width="5" style="1" customWidth="1"/>
    <col min="16" max="16" width="12" style="1" customWidth="1"/>
    <col min="17" max="21" width="8.5703125" style="1" customWidth="1"/>
    <col min="22" max="22" width="13.5703125" style="1" customWidth="1"/>
    <col min="23" max="16384" width="9.140625" style="1"/>
  </cols>
  <sheetData>
    <row r="1" spans="1:27" ht="13.5">
      <c r="A1" s="1703"/>
      <c r="B1" s="1703"/>
      <c r="J1" s="3129"/>
      <c r="L1" s="3129"/>
      <c r="M1" s="4822"/>
      <c r="N1" s="4822"/>
      <c r="O1" s="649"/>
      <c r="V1" s="3129" t="str">
        <f>'2. Променливи'!R1</f>
        <v>Приложение № 2</v>
      </c>
      <c r="W1" s="3213"/>
    </row>
    <row r="2" spans="1:27" s="1334" customFormat="1" ht="24" customHeight="1">
      <c r="A2" s="4803" t="s">
        <v>1293</v>
      </c>
      <c r="B2" s="4803"/>
      <c r="C2" s="4803"/>
      <c r="D2" s="4803"/>
      <c r="E2" s="4803"/>
      <c r="F2" s="4803"/>
      <c r="G2" s="4803"/>
      <c r="H2" s="4803"/>
      <c r="I2" s="4803"/>
      <c r="J2" s="4803"/>
      <c r="K2" s="4803"/>
      <c r="L2" s="4803"/>
      <c r="M2" s="4803"/>
      <c r="N2" s="4803"/>
      <c r="O2" s="649"/>
      <c r="V2" s="1681"/>
    </row>
    <row r="3" spans="1:27" s="1334" customFormat="1" ht="18" customHeight="1">
      <c r="A3" s="4803" t="s">
        <v>1292</v>
      </c>
      <c r="B3" s="4803"/>
      <c r="C3" s="4803"/>
      <c r="D3" s="4803"/>
      <c r="E3" s="4803"/>
      <c r="F3" s="4803"/>
      <c r="G3" s="4803"/>
      <c r="H3" s="4803"/>
      <c r="I3" s="4803"/>
      <c r="J3" s="4803"/>
      <c r="K3" s="4803"/>
      <c r="L3" s="4803"/>
      <c r="M3" s="4803"/>
      <c r="N3" s="4803"/>
      <c r="O3" s="649"/>
    </row>
    <row r="4" spans="1:27" s="1334" customFormat="1" ht="24.75" customHeight="1">
      <c r="A4" s="4804" t="str">
        <f>'1. Обща информация'!A4:D4</f>
        <v>на ВОДОСНАБДЯВАНЕ И КАНАЛИЗАЦИЯ ЕООД, гр. ХАСКОВО</v>
      </c>
      <c r="B4" s="4804"/>
      <c r="C4" s="4804"/>
      <c r="D4" s="4804"/>
      <c r="E4" s="4804"/>
      <c r="F4" s="4804"/>
      <c r="G4" s="4804"/>
      <c r="H4" s="4804"/>
      <c r="I4" s="4804"/>
      <c r="J4" s="4804"/>
      <c r="K4" s="4804"/>
      <c r="L4" s="4804"/>
      <c r="M4" s="4804"/>
      <c r="N4" s="4804"/>
      <c r="O4" s="649"/>
    </row>
    <row r="5" spans="1:27" s="1334" customFormat="1" ht="20.25" customHeight="1">
      <c r="A5" s="4804" t="str">
        <f>'1. Обща информация'!A5:D5</f>
        <v>ЕИК по БУЛСТАТ: 126004284</v>
      </c>
      <c r="B5" s="4804"/>
      <c r="C5" s="4804"/>
      <c r="D5" s="4804"/>
      <c r="E5" s="4804"/>
      <c r="F5" s="4804"/>
      <c r="G5" s="4804"/>
      <c r="H5" s="4804"/>
      <c r="I5" s="4804"/>
      <c r="J5" s="4804"/>
      <c r="K5" s="4804"/>
      <c r="L5" s="4804"/>
      <c r="M5" s="4804"/>
      <c r="N5" s="4804"/>
      <c r="O5" s="649"/>
      <c r="Q5" s="1704"/>
      <c r="R5" s="1704"/>
      <c r="S5" s="1704"/>
      <c r="T5" s="1704"/>
      <c r="U5" s="1704"/>
      <c r="V5" s="1704"/>
    </row>
    <row r="6" spans="1:27" s="1334" customFormat="1" ht="11.25" customHeight="1" thickBot="1">
      <c r="A6" s="1705"/>
      <c r="B6" s="1705"/>
      <c r="D6" s="1706"/>
      <c r="K6" s="648"/>
      <c r="L6" s="648"/>
      <c r="M6" s="649"/>
      <c r="N6" s="649"/>
      <c r="O6" s="649"/>
      <c r="Q6" s="1704"/>
      <c r="R6" s="1704"/>
      <c r="S6" s="1704"/>
      <c r="T6" s="1704"/>
      <c r="U6" s="1704"/>
      <c r="V6" s="1704"/>
    </row>
    <row r="7" spans="1:27" ht="63.75" customHeight="1" thickBot="1">
      <c r="A7" s="321" t="s">
        <v>1</v>
      </c>
      <c r="B7" s="322" t="s">
        <v>773</v>
      </c>
      <c r="C7" s="323" t="s">
        <v>82</v>
      </c>
      <c r="D7" s="324" t="s">
        <v>746</v>
      </c>
      <c r="E7" s="325" t="str">
        <f>'Приложение '!$C12</f>
        <v>2024 г.</v>
      </c>
      <c r="F7" s="324" t="str">
        <f>'Приложение '!$C14</f>
        <v>2027 г.</v>
      </c>
      <c r="G7" s="324" t="str">
        <f>'Приложение '!$C15</f>
        <v>2028 г.</v>
      </c>
      <c r="H7" s="324" t="str">
        <f>'Приложение '!$C16</f>
        <v>2029 г.</v>
      </c>
      <c r="I7" s="324" t="str">
        <f>'Приложение '!$C17</f>
        <v>2030 г.</v>
      </c>
      <c r="J7" s="4179" t="str">
        <f>'Приложение '!$C18</f>
        <v>2031 г.</v>
      </c>
      <c r="K7" s="324" t="str">
        <f>"Качество на информацията за "
&amp;'Приложение '!C12</f>
        <v>Качество на информацията за 2024 г.</v>
      </c>
      <c r="L7" s="324" t="str">
        <f>"Качество на информацията за "
&amp;'Приложение '!C18</f>
        <v>Качество на информацията за 2031 г.</v>
      </c>
      <c r="M7" s="324" t="str">
        <f>CONCATENATE("Индивидуална цел за ",J7)</f>
        <v>Индивидуална цел за 2031 г.</v>
      </c>
      <c r="N7" s="325" t="s">
        <v>780</v>
      </c>
      <c r="O7" s="839"/>
      <c r="P7" s="3667" t="s">
        <v>1313</v>
      </c>
      <c r="Q7" s="4179" t="str">
        <f>CONCATENATE("Разлика ",F7," спрямо ",E7)</f>
        <v>Разлика 2027 г. спрямо 2024 г.</v>
      </c>
      <c r="R7" s="4179" t="str">
        <f t="shared" ref="R7:U7" si="0">CONCATENATE("Разлика ",G7," спрямо ",F7)</f>
        <v>Разлика 2028 г. спрямо 2027 г.</v>
      </c>
      <c r="S7" s="4179" t="str">
        <f t="shared" si="0"/>
        <v>Разлика 2029 г. спрямо 2028 г.</v>
      </c>
      <c r="T7" s="4179" t="str">
        <f t="shared" si="0"/>
        <v>Разлика 2030 г. спрямо 2029 г.</v>
      </c>
      <c r="U7" s="324" t="str">
        <f t="shared" si="0"/>
        <v>Разлика 2031 г. спрямо 2030 г.</v>
      </c>
      <c r="V7" s="4180" t="str">
        <f>CONCATENATE("Отклонение ", J7, " спрямо ", M7)</f>
        <v>Отклонение 2031 г. спрямо Индивидуална цел за 2031 г.</v>
      </c>
    </row>
    <row r="8" spans="1:27" ht="15" thickBot="1">
      <c r="A8" s="4824" t="s">
        <v>1113</v>
      </c>
      <c r="B8" s="4825"/>
      <c r="C8" s="4825"/>
      <c r="D8" s="4825"/>
      <c r="E8" s="4825"/>
      <c r="F8" s="4825"/>
      <c r="G8" s="4825"/>
      <c r="H8" s="4825"/>
      <c r="I8" s="4825"/>
      <c r="J8" s="4825"/>
      <c r="K8" s="4825"/>
      <c r="L8" s="4825"/>
      <c r="M8" s="4825"/>
      <c r="N8" s="4826"/>
      <c r="O8" s="840"/>
      <c r="P8" s="777"/>
      <c r="Q8" s="777"/>
      <c r="R8" s="779"/>
      <c r="S8" s="779"/>
      <c r="T8" s="779"/>
      <c r="U8" s="779"/>
      <c r="V8" s="778"/>
      <c r="X8" s="4827"/>
      <c r="Y8" s="4827"/>
      <c r="Z8" s="4827"/>
      <c r="AA8" s="4827"/>
    </row>
    <row r="9" spans="1:27" ht="14.25">
      <c r="A9" s="1707">
        <v>1</v>
      </c>
      <c r="B9" s="1708" t="s">
        <v>116</v>
      </c>
      <c r="C9" s="1709" t="s">
        <v>751</v>
      </c>
      <c r="D9" s="751" t="s">
        <v>170</v>
      </c>
      <c r="E9" s="3711">
        <f>IFERROR(ROUND('2. Променливи'!E10/'2. Променливи'!E13,4),0)</f>
        <v>0.99690000000000001</v>
      </c>
      <c r="F9" s="3712">
        <f>IFERROR(ROUND('2. Променливи'!F10/'2. Променливи'!F13,4),0)</f>
        <v>0.99709999999999999</v>
      </c>
      <c r="G9" s="3712">
        <f>IFERROR(ROUND('2. Променливи'!G10/'2. Променливи'!G13,4),0)</f>
        <v>0.99709999999999999</v>
      </c>
      <c r="H9" s="3712">
        <f>IFERROR(ROUND('2. Променливи'!H10/'2. Променливи'!H13,4),0)</f>
        <v>0.99780000000000002</v>
      </c>
      <c r="I9" s="3712">
        <f>IFERROR(ROUND('2. Променливи'!I10/'2. Променливи'!I13,4),0)</f>
        <v>0.99860000000000004</v>
      </c>
      <c r="J9" s="3712">
        <f>IFERROR(ROUND('2. Променливи'!J10/'2. Променливи'!J13,4),0)</f>
        <v>0.99929999999999997</v>
      </c>
      <c r="K9" s="889">
        <f>'2. Променливи'!K10</f>
        <v>1</v>
      </c>
      <c r="L9" s="889">
        <f>'2. Променливи'!P10</f>
        <v>1</v>
      </c>
      <c r="M9" s="4537">
        <v>0.99329999999999996</v>
      </c>
      <c r="N9" s="1710">
        <v>0.99</v>
      </c>
      <c r="O9" s="1711"/>
      <c r="P9" s="842" t="s">
        <v>1327</v>
      </c>
      <c r="Q9" s="770">
        <f>F9-E9</f>
        <v>1.9999999999997797E-4</v>
      </c>
      <c r="R9" s="771">
        <f t="shared" ref="R9:U11" si="1">G9-F9</f>
        <v>0</v>
      </c>
      <c r="S9" s="771">
        <f t="shared" si="1"/>
        <v>7.0000000000003393E-4</v>
      </c>
      <c r="T9" s="771">
        <f t="shared" si="1"/>
        <v>8.0000000000002292E-4</v>
      </c>
      <c r="U9" s="771">
        <f t="shared" si="1"/>
        <v>6.9999999999992291E-4</v>
      </c>
      <c r="V9" s="774">
        <f t="shared" ref="V9:V37" si="2">J9-M9</f>
        <v>6.0000000000000053E-3</v>
      </c>
      <c r="W9" s="3713"/>
      <c r="Z9" s="3329"/>
      <c r="AA9" s="3329"/>
    </row>
    <row r="10" spans="1:27" ht="14.25">
      <c r="A10" s="1707">
        <v>2</v>
      </c>
      <c r="B10" s="1712" t="s">
        <v>117</v>
      </c>
      <c r="C10" s="1713" t="s">
        <v>752</v>
      </c>
      <c r="D10" s="751" t="s">
        <v>170</v>
      </c>
      <c r="E10" s="1728">
        <f>IFERROR(ROUND('2. Променливи'!E34/'2. Променливи'!E39,4),"-")</f>
        <v>0.97840000000000005</v>
      </c>
      <c r="F10" s="3712">
        <f>IFERROR(ROUND('2. Променливи'!F34/'2. Променливи'!F39,4),"-")</f>
        <v>0.97889999999999999</v>
      </c>
      <c r="G10" s="3712">
        <f>IFERROR(ROUND('2. Променливи'!G34/'2. Променливи'!G39,4),"-")</f>
        <v>0.97929999999999995</v>
      </c>
      <c r="H10" s="3712">
        <f>IFERROR(ROUND('2. Променливи'!H34/'2. Променливи'!H39,4),"-")</f>
        <v>0.9798</v>
      </c>
      <c r="I10" s="3712">
        <f>IFERROR(ROUND('2. Променливи'!I34/'2. Променливи'!I39,4),"-")</f>
        <v>0.98019999999999996</v>
      </c>
      <c r="J10" s="3712">
        <f>IFERROR(ROUND('2. Променливи'!J34/'2. Променливи'!J39,4),"-")</f>
        <v>0.98070000000000002</v>
      </c>
      <c r="K10" s="889">
        <f>ROUND(AVERAGE('2. Променливи'!K34,'2. Променливи'!K39),0)</f>
        <v>1</v>
      </c>
      <c r="L10" s="889">
        <f>ROUND(AVERAGE('2. Променливи'!P34,'2. Променливи'!P39),0)</f>
        <v>1</v>
      </c>
      <c r="M10" s="392">
        <v>0.98</v>
      </c>
      <c r="N10" s="1714">
        <v>0.99</v>
      </c>
      <c r="O10" s="1711"/>
      <c r="P10" s="844" t="s">
        <v>1327</v>
      </c>
      <c r="Q10" s="772">
        <f>IFERROR(F10-E10,"-")</f>
        <v>4.9999999999994493E-4</v>
      </c>
      <c r="R10" s="773">
        <f>IFERROR(G10-F10,"-")</f>
        <v>3.9999999999995595E-4</v>
      </c>
      <c r="S10" s="773">
        <f>IFERROR(H10-G10,"-")</f>
        <v>5.0000000000005596E-4</v>
      </c>
      <c r="T10" s="773">
        <f>IFERROR(I10-H10,"-")</f>
        <v>3.9999999999995595E-4</v>
      </c>
      <c r="U10" s="773">
        <f>IFERROR(J10-I10,"-")</f>
        <v>5.0000000000005596E-4</v>
      </c>
      <c r="V10" s="775">
        <f>IFERROR(J10-M10,"-")</f>
        <v>7.0000000000003393E-4</v>
      </c>
      <c r="Z10" s="3329"/>
      <c r="AA10" s="3329"/>
    </row>
    <row r="11" spans="1:27" ht="14.25">
      <c r="A11" s="1707">
        <v>3</v>
      </c>
      <c r="B11" s="1712" t="s">
        <v>118</v>
      </c>
      <c r="C11" s="1713" t="s">
        <v>753</v>
      </c>
      <c r="D11" s="751" t="s">
        <v>170</v>
      </c>
      <c r="E11" s="1728">
        <f>IFERROR(ROUND('2. Променливи'!E44/'2. Променливи'!E49,4),0)</f>
        <v>0.95899999999999996</v>
      </c>
      <c r="F11" s="3712">
        <f>IFERROR(ROUND('2. Променливи'!F44/'2. Променливи'!F49,4),0)</f>
        <v>0.96120000000000005</v>
      </c>
      <c r="G11" s="3712">
        <f>IFERROR(ROUND('2. Променливи'!G44/'2. Променливи'!G49,4),0)</f>
        <v>0.96340000000000003</v>
      </c>
      <c r="H11" s="3712">
        <f>IFERROR(ROUND('2. Променливи'!H44/'2. Променливи'!H49,4),0)</f>
        <v>0.9657</v>
      </c>
      <c r="I11" s="3712">
        <f>IFERROR(ROUND('2. Променливи'!I44/'2. Променливи'!I49,4),0)</f>
        <v>0.96789999999999998</v>
      </c>
      <c r="J11" s="3712">
        <f>IFERROR(ROUND('2. Променливи'!J44/'2. Променливи'!J49,4),0)</f>
        <v>0.97009999999999996</v>
      </c>
      <c r="K11" s="889">
        <f>ROUND(AVERAGE('2. Променливи'!K44,'2. Променливи'!K49),0)</f>
        <v>1</v>
      </c>
      <c r="L11" s="889">
        <f>ROUND(AVERAGE('2. Променливи'!P44,'2. Променливи'!P49),0)</f>
        <v>1</v>
      </c>
      <c r="M11" s="392">
        <v>0.97</v>
      </c>
      <c r="N11" s="1714">
        <v>0.98</v>
      </c>
      <c r="O11" s="1711"/>
      <c r="P11" s="845" t="s">
        <v>1327</v>
      </c>
      <c r="Q11" s="772">
        <f t="shared" ref="Q11" si="3">F11-E11</f>
        <v>2.2000000000000908E-3</v>
      </c>
      <c r="R11" s="773">
        <f t="shared" si="1"/>
        <v>2.1999999999999797E-3</v>
      </c>
      <c r="S11" s="773">
        <f t="shared" si="1"/>
        <v>2.2999999999999687E-3</v>
      </c>
      <c r="T11" s="773">
        <f t="shared" si="1"/>
        <v>2.1999999999999797E-3</v>
      </c>
      <c r="U11" s="773">
        <f t="shared" si="1"/>
        <v>2.1999999999999797E-3</v>
      </c>
      <c r="V11" s="775">
        <f t="shared" si="2"/>
        <v>9.9999999999988987E-5</v>
      </c>
      <c r="Z11" s="3329"/>
      <c r="AA11" s="3329"/>
    </row>
    <row r="12" spans="1:27" ht="14.25">
      <c r="A12" s="1707">
        <v>4</v>
      </c>
      <c r="B12" s="1712" t="s">
        <v>119</v>
      </c>
      <c r="C12" s="1713" t="s">
        <v>754</v>
      </c>
      <c r="D12" s="751" t="s">
        <v>170</v>
      </c>
      <c r="E12" s="1728">
        <f>IFERROR(ROUND('2. Променливи'!E54/'2. Променливи'!E55,4),0)</f>
        <v>1</v>
      </c>
      <c r="F12" s="3712">
        <f>IFERROR(ROUND('2. Променливи'!F54/'2. Променливи'!F55,4),0)</f>
        <v>1</v>
      </c>
      <c r="G12" s="3712">
        <f>IFERROR(ROUND('2. Променливи'!G54/'2. Променливи'!G55,4),0)</f>
        <v>1</v>
      </c>
      <c r="H12" s="3712">
        <f>IFERROR(ROUND('2. Променливи'!H54/'2. Променливи'!H55,4),0)</f>
        <v>1</v>
      </c>
      <c r="I12" s="3712">
        <f>IFERROR(ROUND('2. Променливи'!I54/'2. Променливи'!I55,4),0)</f>
        <v>1</v>
      </c>
      <c r="J12" s="3712">
        <f>IFERROR(ROUND('2. Променливи'!J54/'2. Променливи'!J55,4),0)</f>
        <v>1</v>
      </c>
      <c r="K12" s="889">
        <f>IFERROR(ROUND(AVERAGE('2. Променливи'!K54,'2. Променливи'!K55),0),0)</f>
        <v>1</v>
      </c>
      <c r="L12" s="889">
        <f>IFERROR(ROUND(AVERAGE('2. Променливи'!P54,'2. Променливи'!P55),0),0)</f>
        <v>1</v>
      </c>
      <c r="M12" s="392">
        <v>1</v>
      </c>
      <c r="N12" s="1714">
        <v>1</v>
      </c>
      <c r="O12" s="1711"/>
      <c r="P12" s="844" t="s">
        <v>1327</v>
      </c>
      <c r="Q12" s="772">
        <f t="shared" ref="Q12:Q37" si="4">F12-E12</f>
        <v>0</v>
      </c>
      <c r="R12" s="773">
        <f t="shared" ref="R12:R37" si="5">G12-F12</f>
        <v>0</v>
      </c>
      <c r="S12" s="773">
        <f t="shared" ref="S12:S37" si="6">H12-G12</f>
        <v>0</v>
      </c>
      <c r="T12" s="773">
        <f t="shared" ref="T12:T37" si="7">I12-H12</f>
        <v>0</v>
      </c>
      <c r="U12" s="773">
        <f t="shared" ref="U12:U37" si="8">J12-I12</f>
        <v>0</v>
      </c>
      <c r="V12" s="775">
        <f t="shared" si="2"/>
        <v>0</v>
      </c>
      <c r="Z12" s="3329"/>
      <c r="AA12" s="3329"/>
    </row>
    <row r="13" spans="1:27" ht="14.25">
      <c r="A13" s="1707">
        <v>5</v>
      </c>
      <c r="B13" s="1712" t="s">
        <v>120</v>
      </c>
      <c r="C13" s="1713" t="s">
        <v>755</v>
      </c>
      <c r="D13" s="751" t="s">
        <v>1033</v>
      </c>
      <c r="E13" s="3714">
        <f>IFERROR(ROUND('2. Променливи'!E58/('2. Променливи'!E10*24*365)*1000,3),0)</f>
        <v>0.56499999999999995</v>
      </c>
      <c r="F13" s="3714">
        <f>IFERROR(ROUND('2. Променливи'!F58/('2. Променливи'!F10*24*365)*1000,3),0)</f>
        <v>0.56000000000000005</v>
      </c>
      <c r="G13" s="3714">
        <f>IFERROR(ROUND('2. Променливи'!G58/('2. Променливи'!G10*24*365)*1000,3),0)</f>
        <v>0.52300000000000002</v>
      </c>
      <c r="H13" s="3714">
        <f>IFERROR(ROUND('2. Променливи'!H58/('2. Променливи'!H10*24*365)*1000,3),0)</f>
        <v>0.48799999999999999</v>
      </c>
      <c r="I13" s="3714">
        <f>IFERROR(ROUND('2. Променливи'!I58/('2. Променливи'!I10*24*365)*1000,3),0)</f>
        <v>0.45500000000000002</v>
      </c>
      <c r="J13" s="3714">
        <f>IFERROR(ROUND('2. Променливи'!J58/('2. Променливи'!J10*24*365)*1000,3),0)</f>
        <v>0.42399999999999999</v>
      </c>
      <c r="K13" s="889">
        <f>IFERROR(ROUND(AVERAGE('2. Променливи'!K58,'2. Променливи'!K10),0),0)</f>
        <v>1</v>
      </c>
      <c r="L13" s="889">
        <f>IFERROR(ROUND(AVERAGE('2. Променливи'!P58,'2. Променливи'!P10),0),0)</f>
        <v>1</v>
      </c>
      <c r="M13" s="4540">
        <v>1</v>
      </c>
      <c r="N13" s="1715">
        <v>8</v>
      </c>
      <c r="O13" s="1716"/>
      <c r="P13" s="841" t="s">
        <v>1328</v>
      </c>
      <c r="Q13" s="1394">
        <f t="shared" si="4"/>
        <v>-4.9999999999998934E-3</v>
      </c>
      <c r="R13" s="1395">
        <f t="shared" si="5"/>
        <v>-3.7000000000000033E-2</v>
      </c>
      <c r="S13" s="1395">
        <f t="shared" si="6"/>
        <v>-3.5000000000000031E-2</v>
      </c>
      <c r="T13" s="1395">
        <f t="shared" si="7"/>
        <v>-3.2999999999999974E-2</v>
      </c>
      <c r="U13" s="3358">
        <f t="shared" si="8"/>
        <v>-3.1000000000000028E-2</v>
      </c>
      <c r="V13" s="1395">
        <f t="shared" si="2"/>
        <v>-0.57600000000000007</v>
      </c>
      <c r="Z13" s="3329"/>
      <c r="AA13" s="3329"/>
    </row>
    <row r="14" spans="1:27" ht="14.25">
      <c r="A14" s="1707">
        <v>6</v>
      </c>
      <c r="B14" s="1712" t="s">
        <v>744</v>
      </c>
      <c r="C14" s="1713" t="s">
        <v>756</v>
      </c>
      <c r="D14" s="751" t="s">
        <v>1040</v>
      </c>
      <c r="E14" s="1724">
        <f>IFERROR(ROUND('2. Променливи'!E65/'2. Променливи'!E26/365,2),0)</f>
        <v>17.16</v>
      </c>
      <c r="F14" s="1724">
        <f>IFERROR(ROUND('2. Променливи'!F65/'2. Променливи'!F26/365,2),0)</f>
        <v>16.59</v>
      </c>
      <c r="G14" s="1724">
        <f>IFERROR(ROUND('2. Променливи'!G65/'2. Променливи'!G26/365,2),0)</f>
        <v>16.09</v>
      </c>
      <c r="H14" s="1724">
        <f>IFERROR(ROUND('2. Променливи'!H65/'2. Променливи'!H26/365,2),0)</f>
        <v>15.71</v>
      </c>
      <c r="I14" s="1724">
        <f>IFERROR(ROUND('2. Променливи'!I65/'2. Променливи'!I26/365,2),0)</f>
        <v>15.19</v>
      </c>
      <c r="J14" s="1724">
        <f>IFERROR(ROUND('2. Променливи'!J65/'2. Променливи'!J26/365,2),0)</f>
        <v>14.3</v>
      </c>
      <c r="K14" s="890">
        <f>IFERROR(ROUND(AVERAGE('2. Променливи'!K65,'2. Променливи'!K26),0),0)</f>
        <v>3</v>
      </c>
      <c r="L14" s="891">
        <f>IFERROR(ROUND(AVERAGE('2. Променливи'!P65,'2. Променливи'!P26),0),0)</f>
        <v>3</v>
      </c>
      <c r="M14" s="4540">
        <v>14.25</v>
      </c>
      <c r="N14" s="1715">
        <v>15</v>
      </c>
      <c r="O14" s="1716"/>
      <c r="P14" s="841" t="s">
        <v>1328</v>
      </c>
      <c r="Q14" s="1392">
        <f t="shared" si="4"/>
        <v>-0.57000000000000028</v>
      </c>
      <c r="R14" s="1393">
        <f t="shared" si="5"/>
        <v>-0.5</v>
      </c>
      <c r="S14" s="1393">
        <f t="shared" si="6"/>
        <v>-0.37999999999999901</v>
      </c>
      <c r="T14" s="1393">
        <f t="shared" si="7"/>
        <v>-0.52000000000000135</v>
      </c>
      <c r="U14" s="1393">
        <f t="shared" si="8"/>
        <v>-0.88999999999999879</v>
      </c>
      <c r="V14" s="3715">
        <f t="shared" si="2"/>
        <v>5.0000000000000711E-2</v>
      </c>
      <c r="Z14" s="3329"/>
      <c r="AA14" s="3329"/>
    </row>
    <row r="15" spans="1:27" ht="14.25">
      <c r="A15" s="1707">
        <v>7</v>
      </c>
      <c r="B15" s="1712" t="s">
        <v>745</v>
      </c>
      <c r="C15" s="1713" t="s">
        <v>756</v>
      </c>
      <c r="D15" s="751" t="s">
        <v>170</v>
      </c>
      <c r="E15" s="1728">
        <f>IFERROR(ROUND('2. Променливи'!E65/'2. Променливи'!E63,4),0)</f>
        <v>0.72409999999999997</v>
      </c>
      <c r="F15" s="1728">
        <f>IFERROR(ROUND('2. Променливи'!F65/'2. Променливи'!F63,4),0)</f>
        <v>0.71799999999999997</v>
      </c>
      <c r="G15" s="1728">
        <f>IFERROR(ROUND('2. Променливи'!G65/'2. Променливи'!G63,4),0)</f>
        <v>0.71050000000000002</v>
      </c>
      <c r="H15" s="1728">
        <f>IFERROR(ROUND('2. Променливи'!H65/'2. Променливи'!H63,4),0)</f>
        <v>0.70789999999999997</v>
      </c>
      <c r="I15" s="1728">
        <f>IFERROR(ROUND('2. Променливи'!I65/'2. Променливи'!I63,4),0)</f>
        <v>0.69669999999999999</v>
      </c>
      <c r="J15" s="1728">
        <f>IFERROR(ROUND('2. Променливи'!J65/'2. Променливи'!J63,4),0)</f>
        <v>0.67110000000000003</v>
      </c>
      <c r="K15" s="890">
        <f>IFERROR(ROUND(AVERAGE('2. Променливи'!K65,'2. Променливи'!K63),0),0)</f>
        <v>3</v>
      </c>
      <c r="L15" s="890">
        <f>IFERROR(ROUND(AVERAGE('2. Променливи'!P65,'2. Променливи'!P63),0),0)</f>
        <v>3</v>
      </c>
      <c r="M15" s="392">
        <v>0.67169999999999996</v>
      </c>
      <c r="N15" s="1714">
        <v>0.49</v>
      </c>
      <c r="O15" s="1711"/>
      <c r="P15" s="841" t="s">
        <v>1328</v>
      </c>
      <c r="Q15" s="772">
        <f t="shared" si="4"/>
        <v>-6.0999999999999943E-3</v>
      </c>
      <c r="R15" s="773">
        <f t="shared" si="5"/>
        <v>-7.4999999999999512E-3</v>
      </c>
      <c r="S15" s="773">
        <f t="shared" si="6"/>
        <v>-2.6000000000000467E-3</v>
      </c>
      <c r="T15" s="773">
        <f t="shared" si="7"/>
        <v>-1.1199999999999988E-2</v>
      </c>
      <c r="U15" s="773">
        <f t="shared" si="8"/>
        <v>-2.5599999999999956E-2</v>
      </c>
      <c r="V15" s="775">
        <f t="shared" si="2"/>
        <v>-5.9999999999993392E-4</v>
      </c>
      <c r="Z15" s="3329"/>
      <c r="AA15" s="3329"/>
    </row>
    <row r="16" spans="1:27" ht="14.25">
      <c r="A16" s="1707">
        <v>8</v>
      </c>
      <c r="B16" s="1712" t="s">
        <v>121</v>
      </c>
      <c r="C16" s="1713" t="s">
        <v>757</v>
      </c>
      <c r="D16" s="751" t="s">
        <v>749</v>
      </c>
      <c r="E16" s="1724">
        <f>IFERROR(ROUND('2. Променливи'!E59/'2. Променливи'!E25*100,2),0)</f>
        <v>135.5</v>
      </c>
      <c r="F16" s="1724">
        <f>IFERROR(ROUND('2. Променливи'!F59/'2. Променливи'!F25*100,2),0)</f>
        <v>130.75</v>
      </c>
      <c r="G16" s="1724">
        <f>IFERROR(ROUND('2. Променливи'!G59/'2. Променливи'!G25*100,2),0)</f>
        <v>126.18</v>
      </c>
      <c r="H16" s="1724">
        <f>IFERROR(ROUND('2. Променливи'!H59/'2. Променливи'!H25*100,2),0)</f>
        <v>121.76</v>
      </c>
      <c r="I16" s="1724">
        <f>IFERROR(ROUND('2. Променливи'!I59/'2. Променливи'!I25*100,2),0)</f>
        <v>117.5</v>
      </c>
      <c r="J16" s="1724">
        <f>IFERROR(ROUND('2. Променливи'!J59/'2. Променливи'!J25*100,2),0)</f>
        <v>113.39</v>
      </c>
      <c r="K16" s="890">
        <f>IFERROR(ROUND(AVERAGE('2. Променливи'!K59,'2. Променливи'!K25),0),0)</f>
        <v>2</v>
      </c>
      <c r="L16" s="890">
        <f>IFERROR(ROUND(AVERAGE('2. Променливи'!P59,'2. Променливи'!P25),0),0)</f>
        <v>2</v>
      </c>
      <c r="M16" s="4540">
        <v>115</v>
      </c>
      <c r="N16" s="1715">
        <v>60</v>
      </c>
      <c r="O16" s="1716"/>
      <c r="P16" s="841" t="s">
        <v>1328</v>
      </c>
      <c r="Q16" s="1392">
        <f t="shared" si="4"/>
        <v>-4.75</v>
      </c>
      <c r="R16" s="1393">
        <f t="shared" si="5"/>
        <v>-4.5699999999999932</v>
      </c>
      <c r="S16" s="1393">
        <f t="shared" si="6"/>
        <v>-4.4200000000000017</v>
      </c>
      <c r="T16" s="1393">
        <f t="shared" si="7"/>
        <v>-4.2600000000000051</v>
      </c>
      <c r="U16" s="1393">
        <f t="shared" si="8"/>
        <v>-4.1099999999999994</v>
      </c>
      <c r="V16" s="1399">
        <f t="shared" si="2"/>
        <v>-1.6099999999999994</v>
      </c>
      <c r="Z16" s="3329"/>
      <c r="AA16" s="3329"/>
    </row>
    <row r="17" spans="1:27" ht="14.25">
      <c r="A17" s="1707">
        <v>9</v>
      </c>
      <c r="B17" s="1712" t="s">
        <v>1248</v>
      </c>
      <c r="C17" s="1717" t="s">
        <v>758</v>
      </c>
      <c r="D17" s="751" t="s">
        <v>170</v>
      </c>
      <c r="E17" s="1728">
        <f>IFERROR(ROUND('2. Променливи'!E73/'2. Променливи'!E27,4),0)</f>
        <v>5.33E-2</v>
      </c>
      <c r="F17" s="1728">
        <f>IFERROR(ROUND('2. Променливи'!F73/'2. Променливи'!F27,4),0)</f>
        <v>6.6699999999999995E-2</v>
      </c>
      <c r="G17" s="1728">
        <f>IFERROR(ROUND('2. Променливи'!G73/'2. Променливи'!G27,4),0)</f>
        <v>0.1333</v>
      </c>
      <c r="H17" s="1728">
        <f>IFERROR(ROUND('2. Променливи'!H73/'2. Променливи'!H27,4),0)</f>
        <v>0.2</v>
      </c>
      <c r="I17" s="1728">
        <f>IFERROR(ROUND('2. Променливи'!I73/'2. Променливи'!I27,4),0)</f>
        <v>0.26669999999999999</v>
      </c>
      <c r="J17" s="1728">
        <f>IFERROR(ROUND('2. Променливи'!J73/'2. Променливи'!J27,4),0)</f>
        <v>0.33329999999999999</v>
      </c>
      <c r="K17" s="890">
        <f>IFERROR(ROUND(AVERAGE('2. Променливи'!K73,'2. Променливи'!K27),0),0)</f>
        <v>2</v>
      </c>
      <c r="L17" s="890">
        <f>IFERROR(ROUND(AVERAGE('2. Променливи'!P73,'2. Променливи'!P27),0),0)</f>
        <v>2</v>
      </c>
      <c r="M17" s="392">
        <v>0.66410000000000002</v>
      </c>
      <c r="N17" s="1714">
        <v>1</v>
      </c>
      <c r="O17" s="1711"/>
      <c r="P17" s="841" t="s">
        <v>1327</v>
      </c>
      <c r="Q17" s="772">
        <f t="shared" si="4"/>
        <v>1.3399999999999995E-2</v>
      </c>
      <c r="R17" s="773">
        <f t="shared" si="5"/>
        <v>6.6600000000000006E-2</v>
      </c>
      <c r="S17" s="773">
        <f t="shared" si="6"/>
        <v>6.6700000000000009E-2</v>
      </c>
      <c r="T17" s="773">
        <f t="shared" si="7"/>
        <v>6.6699999999999982E-2</v>
      </c>
      <c r="U17" s="773">
        <f t="shared" si="8"/>
        <v>6.6599999999999993E-2</v>
      </c>
      <c r="V17" s="775">
        <f t="shared" si="2"/>
        <v>-0.33080000000000004</v>
      </c>
      <c r="Z17" s="3329"/>
      <c r="AA17" s="3329"/>
    </row>
    <row r="18" spans="1:27" ht="14.25">
      <c r="A18" s="1707">
        <v>10</v>
      </c>
      <c r="B18" s="1712" t="s">
        <v>122</v>
      </c>
      <c r="C18" s="1713" t="s">
        <v>759</v>
      </c>
      <c r="D18" s="751" t="s">
        <v>170</v>
      </c>
      <c r="E18" s="1728">
        <f>IFERROR(ROUND('2. Променливи'!E11/'2. Променливи'!E13,4),"-")</f>
        <v>0.70840000000000003</v>
      </c>
      <c r="F18" s="1728">
        <f>IFERROR(ROUND('2. Променливи'!F11/'2. Променливи'!F13,4),"-")</f>
        <v>0.7077</v>
      </c>
      <c r="G18" s="1728">
        <f>IFERROR(ROUND('2. Променливи'!G11/'2. Променливи'!G13,4),"-")</f>
        <v>0.70789999999999997</v>
      </c>
      <c r="H18" s="1728">
        <f>IFERROR(ROUND('2. Променливи'!H11/'2. Променливи'!H13,4),"-")</f>
        <v>0.70809999999999995</v>
      </c>
      <c r="I18" s="1728">
        <f>IFERROR(ROUND('2. Променливи'!I11/'2. Променливи'!I13,4),"-")</f>
        <v>0.70830000000000004</v>
      </c>
      <c r="J18" s="1728">
        <f>IFERROR(ROUND('2. Променливи'!J11/'2. Променливи'!J13,4),"-")</f>
        <v>0.70850000000000002</v>
      </c>
      <c r="K18" s="890">
        <f>'2. Променливи'!K11</f>
        <v>1</v>
      </c>
      <c r="L18" s="890">
        <f>'2. Променливи'!P11</f>
        <v>1</v>
      </c>
      <c r="M18" s="392">
        <v>0.79520000000000002</v>
      </c>
      <c r="N18" s="1714">
        <v>0.75</v>
      </c>
      <c r="O18" s="1711"/>
      <c r="P18" s="841" t="s">
        <v>1327</v>
      </c>
      <c r="Q18" s="772">
        <f t="shared" ref="Q18:U21" si="9">IFERROR(F18-E18,"-")</f>
        <v>-7.0000000000003393E-4</v>
      </c>
      <c r="R18" s="773">
        <f t="shared" si="9"/>
        <v>1.9999999999997797E-4</v>
      </c>
      <c r="S18" s="773">
        <f t="shared" si="9"/>
        <v>1.9999999999997797E-4</v>
      </c>
      <c r="T18" s="773">
        <f t="shared" si="9"/>
        <v>2.00000000000089E-4</v>
      </c>
      <c r="U18" s="773">
        <f t="shared" si="9"/>
        <v>1.9999999999997797E-4</v>
      </c>
      <c r="V18" s="775">
        <f>IFERROR(J18-M18,"-")</f>
        <v>-8.6699999999999999E-2</v>
      </c>
      <c r="Z18" s="3329"/>
      <c r="AA18" s="3329"/>
    </row>
    <row r="19" spans="1:27" ht="14.25">
      <c r="A19" s="1707">
        <v>11</v>
      </c>
      <c r="B19" s="1712" t="s">
        <v>123</v>
      </c>
      <c r="C19" s="1713" t="s">
        <v>760</v>
      </c>
      <c r="D19" s="751" t="s">
        <v>170</v>
      </c>
      <c r="E19" s="1728">
        <f>IFERROR(ROUND('2. Променливи'!E12/'2. Променливи'!E13,4),"-")</f>
        <v>0.53190000000000004</v>
      </c>
      <c r="F19" s="1728">
        <f>IFERROR(ROUND('2. Променливи'!F12/'2. Променливи'!F13,4),"-")</f>
        <v>0.53149999999999997</v>
      </c>
      <c r="G19" s="1728">
        <f>IFERROR(ROUND('2. Променливи'!G12/'2. Променливи'!G13,4),"-")</f>
        <v>0.53159999999999996</v>
      </c>
      <c r="H19" s="1728">
        <f>IFERROR(ROUND('2. Променливи'!H12/'2. Променливи'!H13,4),"-")</f>
        <v>0.53180000000000005</v>
      </c>
      <c r="I19" s="1728">
        <f>IFERROR(ROUND('2. Променливи'!I12/'2. Променливи'!I13,4),"-")</f>
        <v>0.53200000000000003</v>
      </c>
      <c r="J19" s="3716">
        <f>IFERROR(ROUND('2. Променливи'!J12/'2. Променливи'!J13,4),"-")</f>
        <v>0.53220000000000001</v>
      </c>
      <c r="K19" s="890">
        <f>'2. Променливи'!K12</f>
        <v>1</v>
      </c>
      <c r="L19" s="890">
        <f>'2. Променливи'!P12</f>
        <v>1</v>
      </c>
      <c r="M19" s="392">
        <v>0.79520000000000002</v>
      </c>
      <c r="N19" s="1714">
        <v>0.75</v>
      </c>
      <c r="O19" s="1711"/>
      <c r="P19" s="841" t="s">
        <v>1327</v>
      </c>
      <c r="Q19" s="772">
        <f t="shared" si="9"/>
        <v>-4.0000000000006697E-4</v>
      </c>
      <c r="R19" s="773">
        <f t="shared" si="9"/>
        <v>9.9999999999988987E-5</v>
      </c>
      <c r="S19" s="773">
        <f t="shared" si="9"/>
        <v>2.00000000000089E-4</v>
      </c>
      <c r="T19" s="773">
        <f t="shared" si="9"/>
        <v>1.9999999999997797E-4</v>
      </c>
      <c r="U19" s="773">
        <f t="shared" si="9"/>
        <v>1.9999999999997797E-4</v>
      </c>
      <c r="V19" s="775">
        <f>IFERROR(J19-M19,"-")</f>
        <v>-0.26300000000000001</v>
      </c>
      <c r="Z19" s="3329"/>
      <c r="AA19" s="3329"/>
    </row>
    <row r="20" spans="1:27" ht="14.25">
      <c r="A20" s="1707">
        <v>12</v>
      </c>
      <c r="B20" s="1712" t="s">
        <v>124</v>
      </c>
      <c r="C20" s="1713" t="s">
        <v>761</v>
      </c>
      <c r="D20" s="751" t="s">
        <v>170</v>
      </c>
      <c r="E20" s="1728">
        <f>IFERROR(ROUND('2. Променливи'!E56/'2. Променливи'!E57,4),"-")</f>
        <v>1</v>
      </c>
      <c r="F20" s="1728">
        <f>IFERROR(ROUND('2. Променливи'!F56/'2. Променливи'!F57,4),"-")</f>
        <v>1</v>
      </c>
      <c r="G20" s="1728">
        <f>IFERROR(ROUND('2. Променливи'!G56/'2. Променливи'!G57,4),"-")</f>
        <v>1</v>
      </c>
      <c r="H20" s="1728">
        <f>IFERROR(ROUND('2. Променливи'!H56/'2. Променливи'!H57,4),"-")</f>
        <v>1</v>
      </c>
      <c r="I20" s="1728">
        <f>IFERROR(ROUND('2. Променливи'!I56/'2. Променливи'!I57,4),"-")</f>
        <v>1</v>
      </c>
      <c r="J20" s="1728">
        <f>IFERROR(ROUND('2. Променливи'!J56/'2. Променливи'!J57,4),"-")</f>
        <v>1</v>
      </c>
      <c r="K20" s="890">
        <f>IFERROR(ROUND(AVERAGE('2. Променливи'!K56,'2. Променливи'!K57),0),0)</f>
        <v>1</v>
      </c>
      <c r="L20" s="890">
        <f>IFERROR(ROUND(AVERAGE('2. Променливи'!P56,'2. Променливи'!P57),0),0)</f>
        <v>1</v>
      </c>
      <c r="M20" s="392">
        <v>0.95</v>
      </c>
      <c r="N20" s="1714">
        <v>0.93</v>
      </c>
      <c r="O20" s="1711"/>
      <c r="P20" s="841" t="s">
        <v>1327</v>
      </c>
      <c r="Q20" s="772">
        <f t="shared" si="9"/>
        <v>0</v>
      </c>
      <c r="R20" s="773">
        <f t="shared" si="9"/>
        <v>0</v>
      </c>
      <c r="S20" s="773">
        <f t="shared" si="9"/>
        <v>0</v>
      </c>
      <c r="T20" s="773">
        <f t="shared" si="9"/>
        <v>0</v>
      </c>
      <c r="U20" s="773">
        <f t="shared" si="9"/>
        <v>0</v>
      </c>
      <c r="V20" s="775">
        <f>IFERROR(J20-M20,"-")</f>
        <v>5.0000000000000044E-2</v>
      </c>
      <c r="Z20" s="3329"/>
      <c r="AA20" s="3329"/>
    </row>
    <row r="21" spans="1:27" ht="14.25">
      <c r="A21" s="1707">
        <v>13</v>
      </c>
      <c r="B21" s="1712" t="s">
        <v>125</v>
      </c>
      <c r="C21" s="1713" t="s">
        <v>762</v>
      </c>
      <c r="D21" s="751" t="s">
        <v>749</v>
      </c>
      <c r="E21" s="3717">
        <f>IFERROR(ROUND(('2. Променливи'!E60+'2. Променливи'!E61+'2. Променливи'!E62)/'2. Променливи'!E31*100,2),"-")</f>
        <v>85.84</v>
      </c>
      <c r="F21" s="3717">
        <f>IFERROR(ROUND(('2. Променливи'!F60+'2. Променливи'!F61+'2. Променливи'!F62)/'2. Променливи'!F31*100,2),"-")</f>
        <v>92.75</v>
      </c>
      <c r="G21" s="3717">
        <f>IFERROR(ROUND(('2. Променливи'!G60+'2. Променливи'!G61+'2. Променливи'!G62)/'2. Променливи'!G31*100,2),"-")</f>
        <v>96.44</v>
      </c>
      <c r="H21" s="3717">
        <f>IFERROR(ROUND(('2. Променливи'!H60+'2. Променливи'!H61+'2. Променливи'!H62)/'2. Променливи'!H31*100,2),"-")</f>
        <v>98.56</v>
      </c>
      <c r="I21" s="3717">
        <f>IFERROR(ROUND(('2. Променливи'!I60+'2. Променливи'!I61+'2. Променливи'!I62)/'2. Променливи'!I31*100,2),"-")</f>
        <v>94.75</v>
      </c>
      <c r="J21" s="3717">
        <f>IFERROR(ROUND(('2. Променливи'!J60+'2. Променливи'!J61+'2. Променливи'!J62)/'2. Променливи'!J31*100,2),"-")</f>
        <v>90.31</v>
      </c>
      <c r="K21" s="890">
        <f>IFERROR(ROUND(AVERAGE('2. Променливи'!K60,'2. Променливи'!K61,'2. Променливи'!K62,'2. Променливи'!K31),0),0)</f>
        <v>2</v>
      </c>
      <c r="L21" s="890">
        <f>IFERROR(ROUND(AVERAGE('2. Променливи'!P60,'2. Променливи'!P61,'2. Променливи'!P62,'2. Променливи'!P31),0),0)</f>
        <v>2</v>
      </c>
      <c r="M21" s="4540">
        <v>84.99</v>
      </c>
      <c r="N21" s="1715">
        <v>120</v>
      </c>
      <c r="O21" s="1716"/>
      <c r="P21" s="841" t="s">
        <v>1328</v>
      </c>
      <c r="Q21" s="1392">
        <f t="shared" si="9"/>
        <v>6.9099999999999966</v>
      </c>
      <c r="R21" s="1393">
        <f t="shared" si="9"/>
        <v>3.6899999999999977</v>
      </c>
      <c r="S21" s="1393">
        <f t="shared" si="9"/>
        <v>2.1200000000000045</v>
      </c>
      <c r="T21" s="1393">
        <f t="shared" si="9"/>
        <v>-3.8100000000000023</v>
      </c>
      <c r="U21" s="1393">
        <f t="shared" si="9"/>
        <v>-4.4399999999999977</v>
      </c>
      <c r="V21" s="776">
        <f>IFERROR(J21-M21,"-")</f>
        <v>5.3200000000000074</v>
      </c>
      <c r="Z21" s="3329"/>
      <c r="AA21" s="3329"/>
    </row>
    <row r="22" spans="1:27" ht="18" customHeight="1">
      <c r="A22" s="1707">
        <v>14</v>
      </c>
      <c r="B22" s="1712" t="s">
        <v>126</v>
      </c>
      <c r="C22" s="1717" t="s">
        <v>763</v>
      </c>
      <c r="D22" s="751" t="s">
        <v>750</v>
      </c>
      <c r="E22" s="3718">
        <f>IFERROR(ROUND('2. Променливи'!E105/'2. Променливи'!E14*10000,3),0)</f>
        <v>0.318</v>
      </c>
      <c r="F22" s="3718">
        <f>IFERROR(ROUND('2. Променливи'!F105/'2. Променливи'!F14*10000,3),0)</f>
        <v>0.25700000000000001</v>
      </c>
      <c r="G22" s="3719">
        <f>IFERROR(ROUND('2. Променливи'!G105/'2. Променливи'!G14*10000,3),0)</f>
        <v>0.25600000000000001</v>
      </c>
      <c r="H22" s="3719">
        <f>IFERROR(ROUND('2. Променливи'!H105/'2. Променливи'!H14*10000,3),0)</f>
        <v>0.192</v>
      </c>
      <c r="I22" s="3719">
        <f>IFERROR(ROUND('2. Променливи'!I105/'2. Променливи'!I14*10000,3),0)</f>
        <v>0.128</v>
      </c>
      <c r="J22" s="3719">
        <f>IFERROR(ROUND('2. Променливи'!J105/'2. Променливи'!J14*10000,3),0)</f>
        <v>6.4000000000000001E-2</v>
      </c>
      <c r="K22" s="890">
        <f>IFERROR(ROUND(AVERAGE('2. Променливи'!K105,'2. Променливи'!K14),0),0)</f>
        <v>1</v>
      </c>
      <c r="L22" s="890">
        <f>IFERROR(ROUND(AVERAGE('2. Променливи'!P105,'2. Променливи'!P14),0),0)</f>
        <v>1</v>
      </c>
      <c r="M22" s="4540">
        <v>0.25</v>
      </c>
      <c r="N22" s="1715">
        <v>0.5</v>
      </c>
      <c r="O22" s="1716"/>
      <c r="P22" s="841" t="s">
        <v>1328</v>
      </c>
      <c r="Q22" s="1394">
        <f t="shared" si="4"/>
        <v>-6.0999999999999999E-2</v>
      </c>
      <c r="R22" s="1395">
        <f t="shared" si="5"/>
        <v>-1.0000000000000009E-3</v>
      </c>
      <c r="S22" s="1395">
        <f t="shared" si="6"/>
        <v>-6.4000000000000001E-2</v>
      </c>
      <c r="T22" s="1395">
        <f t="shared" si="7"/>
        <v>-6.4000000000000001E-2</v>
      </c>
      <c r="U22" s="1395">
        <f t="shared" si="8"/>
        <v>-6.4000000000000001E-2</v>
      </c>
      <c r="V22" s="1398">
        <f t="shared" si="2"/>
        <v>-0.186</v>
      </c>
      <c r="Z22" s="3329"/>
      <c r="AA22" s="3329"/>
    </row>
    <row r="23" spans="1:27" ht="25.5">
      <c r="A23" s="1707">
        <v>15</v>
      </c>
      <c r="B23" s="1712" t="s">
        <v>127</v>
      </c>
      <c r="C23" s="1717" t="s">
        <v>1312</v>
      </c>
      <c r="D23" s="751" t="s">
        <v>1855</v>
      </c>
      <c r="E23" s="3714">
        <f>IFERROR(ROUND('2. Променливи'!E80/'2. Променливи'!E63,3),0)</f>
        <v>1.2669999999999999</v>
      </c>
      <c r="F23" s="3714">
        <f>IFERROR(ROUND('2. Променливи'!F80/'2. Променливи'!F63,3),0)</f>
        <v>1.2929999999999999</v>
      </c>
      <c r="G23" s="3714">
        <f>IFERROR(ROUND('2. Променливи'!G80/'2. Променливи'!G63,3),0)</f>
        <v>1.3129999999999999</v>
      </c>
      <c r="H23" s="3714">
        <f>IFERROR(ROUND('2. Променливи'!H80/'2. Променливи'!H63,3),0)</f>
        <v>1.333</v>
      </c>
      <c r="I23" s="3714">
        <f>IFERROR(ROUND('2. Променливи'!I80/'2. Променливи'!I63,3),0)</f>
        <v>1.395</v>
      </c>
      <c r="J23" s="3714">
        <f>IFERROR(ROUND('2. Променливи'!J80/'2. Променливи'!J63,3),0)</f>
        <v>1.421</v>
      </c>
      <c r="K23" s="890">
        <f>IFERROR(ROUND(AVERAGE('2. Променливи'!K80,'2. Променливи'!K63),0),0)</f>
        <v>2</v>
      </c>
      <c r="L23" s="890">
        <f>IFERROR(ROUND(AVERAGE('2. Променливи'!P80,'2. Променливи'!P63),0),0)</f>
        <v>2</v>
      </c>
      <c r="M23" s="4540">
        <v>1.2</v>
      </c>
      <c r="N23" s="1715">
        <v>0.45</v>
      </c>
      <c r="O23" s="1716"/>
      <c r="P23" s="841" t="s">
        <v>1328</v>
      </c>
      <c r="Q23" s="1394">
        <f t="shared" si="4"/>
        <v>2.6000000000000023E-2</v>
      </c>
      <c r="R23" s="1395">
        <f t="shared" si="5"/>
        <v>2.0000000000000018E-2</v>
      </c>
      <c r="S23" s="1395">
        <f t="shared" si="6"/>
        <v>2.0000000000000018E-2</v>
      </c>
      <c r="T23" s="1395">
        <f t="shared" si="7"/>
        <v>6.2000000000000055E-2</v>
      </c>
      <c r="U23" s="1395">
        <f t="shared" si="8"/>
        <v>2.6000000000000023E-2</v>
      </c>
      <c r="V23" s="1398">
        <f t="shared" si="2"/>
        <v>0.22100000000000009</v>
      </c>
      <c r="Z23" s="3329"/>
      <c r="AA23" s="3329"/>
    </row>
    <row r="24" spans="1:27" ht="29.25" customHeight="1">
      <c r="A24" s="1707">
        <v>16</v>
      </c>
      <c r="B24" s="1712" t="s">
        <v>128</v>
      </c>
      <c r="C24" s="1717" t="s">
        <v>764</v>
      </c>
      <c r="D24" s="751" t="s">
        <v>1855</v>
      </c>
      <c r="E24" s="3714">
        <f>IFERROR(ROUND('2. Променливи'!E81/'2. Променливи'!E66,3),"-")</f>
        <v>0.19600000000000001</v>
      </c>
      <c r="F24" s="3714">
        <f>IFERROR(ROUND('2. Променливи'!F81/'2. Променливи'!F66,3),"-")</f>
        <v>0.19600000000000001</v>
      </c>
      <c r="G24" s="3720">
        <f>IFERROR(ROUND('2. Променливи'!G81/'2. Променливи'!G66,3),"-")</f>
        <v>0.19600000000000001</v>
      </c>
      <c r="H24" s="3714">
        <f>IFERROR(ROUND('2. Променливи'!H81/'2. Променливи'!H66,3),"-")</f>
        <v>0.19600000000000001</v>
      </c>
      <c r="I24" s="3720">
        <f>IFERROR(ROUND('2. Променливи'!I81/'2. Променливи'!I66,3),"-")</f>
        <v>0.182</v>
      </c>
      <c r="J24" s="3714">
        <f>IFERROR(ROUND('2. Променливи'!J81/'2. Променливи'!J66,3),"-")</f>
        <v>0.182</v>
      </c>
      <c r="K24" s="890">
        <f>IFERROR(ROUND(AVERAGE('2. Променливи'!K81,'2. Променливи'!K66),0),0)</f>
        <v>2</v>
      </c>
      <c r="L24" s="890">
        <f>IFERROR(ROUND(AVERAGE('2. Променливи'!P81,'2. Променливи'!P66),0),0)</f>
        <v>2</v>
      </c>
      <c r="M24" s="4541">
        <v>0.19570000000000001</v>
      </c>
      <c r="N24" s="1715">
        <v>0.25</v>
      </c>
      <c r="O24" s="1716"/>
      <c r="P24" s="841" t="s">
        <v>1328</v>
      </c>
      <c r="Q24" s="1394">
        <f>IFERROR(F24-E24,"-")</f>
        <v>0</v>
      </c>
      <c r="R24" s="1395">
        <f>IFERROR(G24-F24,"-")</f>
        <v>0</v>
      </c>
      <c r="S24" s="1395">
        <f>IFERROR(H24-G24,"-")</f>
        <v>0</v>
      </c>
      <c r="T24" s="1395">
        <f>IFERROR(I24-H24,"-")</f>
        <v>-1.4000000000000012E-2</v>
      </c>
      <c r="U24" s="1395">
        <f>IFERROR(J24-I24,"-")</f>
        <v>0</v>
      </c>
      <c r="V24" s="1398">
        <f>IFERROR(J24-M24,"-")</f>
        <v>-1.3700000000000018E-2</v>
      </c>
      <c r="Z24" s="3329"/>
      <c r="AA24" s="3329"/>
    </row>
    <row r="25" spans="1:27" ht="14.25">
      <c r="A25" s="1707">
        <v>17</v>
      </c>
      <c r="B25" s="1712" t="s">
        <v>129</v>
      </c>
      <c r="C25" s="1713" t="s">
        <v>765</v>
      </c>
      <c r="D25" s="751" t="s">
        <v>170</v>
      </c>
      <c r="E25" s="1728">
        <f>IFERROR(ROUND('2. Променливи'!E82/'2. Променливи'!E83,4),0)</f>
        <v>0.69240000000000002</v>
      </c>
      <c r="F25" s="1728">
        <f>IFERROR(ROUND('2. Променливи'!F82/'2. Променливи'!F83,4),0)</f>
        <v>0.7</v>
      </c>
      <c r="G25" s="1728">
        <f>IFERROR(ROUND('2. Променливи'!G82/'2. Променливи'!G83,4),0)</f>
        <v>1</v>
      </c>
      <c r="H25" s="1728">
        <f>IFERROR(ROUND('2. Променливи'!H82/'2. Променливи'!H83,4),0)</f>
        <v>1</v>
      </c>
      <c r="I25" s="1728">
        <f>IFERROR(ROUND('2. Променливи'!I82/'2. Променливи'!I83,4),0)</f>
        <v>1</v>
      </c>
      <c r="J25" s="1728">
        <f>IFERROR(ROUND('2. Променливи'!J82/'2. Променливи'!J83,4),0)</f>
        <v>1</v>
      </c>
      <c r="K25" s="890">
        <f>IFERROR(ROUND(AVERAGE('2. Променливи'!K82,'2. Променливи'!K83),0),0)</f>
        <v>1</v>
      </c>
      <c r="L25" s="890">
        <f>IFERROR(ROUND(AVERAGE('2. Променливи'!P82,'2. Променливи'!P83),0),0)</f>
        <v>1</v>
      </c>
      <c r="M25" s="392">
        <v>1</v>
      </c>
      <c r="N25" s="1714">
        <v>1</v>
      </c>
      <c r="O25" s="1711"/>
      <c r="P25" s="841" t="s">
        <v>1327</v>
      </c>
      <c r="Q25" s="772">
        <f t="shared" si="4"/>
        <v>7.5999999999999401E-3</v>
      </c>
      <c r="R25" s="773">
        <f t="shared" si="5"/>
        <v>0.30000000000000004</v>
      </c>
      <c r="S25" s="773">
        <f t="shared" si="6"/>
        <v>0</v>
      </c>
      <c r="T25" s="773">
        <f t="shared" si="7"/>
        <v>0</v>
      </c>
      <c r="U25" s="773">
        <f t="shared" si="8"/>
        <v>0</v>
      </c>
      <c r="V25" s="775">
        <f t="shared" si="2"/>
        <v>0</v>
      </c>
      <c r="Z25" s="3329"/>
      <c r="AA25" s="3329"/>
    </row>
    <row r="26" spans="1:27" ht="14.25">
      <c r="A26" s="1707">
        <v>18</v>
      </c>
      <c r="B26" s="1712" t="s">
        <v>130</v>
      </c>
      <c r="C26" s="1713" t="s">
        <v>766</v>
      </c>
      <c r="D26" s="751" t="s">
        <v>170</v>
      </c>
      <c r="E26" s="1728">
        <f>IFERROR(ROUND('2. Променливи'!E78/'2. Променливи'!E25,4),0)</f>
        <v>4.1000000000000003E-3</v>
      </c>
      <c r="F26" s="3712">
        <f>IFERROR(ROUND('2. Променливи'!F78/'2. Променливи'!F25,4),0)</f>
        <v>4.7000000000000002E-3</v>
      </c>
      <c r="G26" s="3712">
        <f>IFERROR(ROUND('2. Променливи'!G78/'2. Променливи'!G25,4),0)</f>
        <v>4.7000000000000002E-3</v>
      </c>
      <c r="H26" s="3712">
        <f>IFERROR(ROUND('2. Променливи'!H78/'2. Променливи'!H25,4),0)</f>
        <v>4.7000000000000002E-3</v>
      </c>
      <c r="I26" s="1728">
        <f>IFERROR(ROUND('2. Променливи'!I78/'2. Променливи'!I25,4),0)</f>
        <v>4.7000000000000002E-3</v>
      </c>
      <c r="J26" s="1728">
        <f>IFERROR(ROUND('2. Променливи'!J78/'2. Променливи'!J25,4),0)</f>
        <v>8.9999999999999993E-3</v>
      </c>
      <c r="K26" s="890">
        <f>IFERROR(ROUND(AVERAGE('2. Променливи'!K78,'2. Променливи'!K25),0),0)</f>
        <v>3</v>
      </c>
      <c r="L26" s="891">
        <f>IFERROR(ROUND(AVERAGE('2. Променливи'!P78,'2. Променливи'!P25),0),0)</f>
        <v>3</v>
      </c>
      <c r="M26" s="4639">
        <v>5.4000000000000003E-3</v>
      </c>
      <c r="N26" s="1718">
        <v>1.2500000000000001E-2</v>
      </c>
      <c r="O26" s="1719"/>
      <c r="P26" s="841" t="s">
        <v>1327</v>
      </c>
      <c r="Q26" s="772">
        <f t="shared" si="4"/>
        <v>5.9999999999999984E-4</v>
      </c>
      <c r="R26" s="773">
        <f t="shared" si="5"/>
        <v>0</v>
      </c>
      <c r="S26" s="773">
        <f t="shared" si="6"/>
        <v>0</v>
      </c>
      <c r="T26" s="773">
        <f t="shared" si="7"/>
        <v>0</v>
      </c>
      <c r="U26" s="773">
        <f t="shared" si="8"/>
        <v>4.2999999999999991E-3</v>
      </c>
      <c r="V26" s="775">
        <f t="shared" si="2"/>
        <v>3.599999999999999E-3</v>
      </c>
      <c r="Z26" s="3329"/>
      <c r="AA26" s="3329"/>
    </row>
    <row r="27" spans="1:27" ht="14.25">
      <c r="A27" s="1707">
        <v>19</v>
      </c>
      <c r="B27" s="1712" t="s">
        <v>774</v>
      </c>
      <c r="C27" s="1713" t="s">
        <v>775</v>
      </c>
      <c r="D27" s="751" t="s">
        <v>170</v>
      </c>
      <c r="E27" s="1728">
        <f>IFERROR(ROUND('2. Променливи'!E79/'2. Променливи'!E25,4),0)</f>
        <v>7.4999999999999997E-3</v>
      </c>
      <c r="F27" s="1728">
        <f>IFERROR(ROUND('2. Променливи'!F79/'2. Променливи'!F25,4),0)</f>
        <v>8.6999999999999994E-3</v>
      </c>
      <c r="G27" s="1728">
        <f>IFERROR(ROUND('2. Променливи'!G79/'2. Променливи'!G25,4),0)</f>
        <v>0.01</v>
      </c>
      <c r="H27" s="1728">
        <f>IFERROR(ROUND('2. Променливи'!H79/'2. Променливи'!H25,4),0)</f>
        <v>1.12E-2</v>
      </c>
      <c r="I27" s="1728">
        <f>IFERROR(ROUND('2. Променливи'!I79/'2. Променливи'!I25,4),0)</f>
        <v>1.1900000000000001E-2</v>
      </c>
      <c r="J27" s="1728">
        <f>IFERROR(ROUND('2. Променливи'!J79/'2. Променливи'!J25,4),0)</f>
        <v>1.2500000000000001E-2</v>
      </c>
      <c r="K27" s="890">
        <f>IFERROR(ROUND(AVERAGE('2. Променливи'!K79,'2. Променливи'!K25),0),0)</f>
        <v>3</v>
      </c>
      <c r="L27" s="890">
        <f>IFERROR(ROUND(AVERAGE('2. Променливи'!P79,'2. Променливи'!P25),0),0)</f>
        <v>3</v>
      </c>
      <c r="M27" s="392">
        <v>1.2500000000000001E-2</v>
      </c>
      <c r="N27" s="1718">
        <v>1.2500000000000001E-2</v>
      </c>
      <c r="O27" s="1719"/>
      <c r="P27" s="841" t="s">
        <v>1327</v>
      </c>
      <c r="Q27" s="772">
        <f t="shared" si="4"/>
        <v>1.1999999999999997E-3</v>
      </c>
      <c r="R27" s="773">
        <f t="shared" si="5"/>
        <v>1.3000000000000008E-3</v>
      </c>
      <c r="S27" s="773">
        <f t="shared" si="6"/>
        <v>1.1999999999999997E-3</v>
      </c>
      <c r="T27" s="773">
        <f t="shared" si="7"/>
        <v>7.0000000000000097E-4</v>
      </c>
      <c r="U27" s="773">
        <f t="shared" si="8"/>
        <v>5.9999999999999984E-4</v>
      </c>
      <c r="V27" s="775">
        <f t="shared" si="2"/>
        <v>0</v>
      </c>
      <c r="Z27" s="3329"/>
      <c r="AA27" s="3329"/>
    </row>
    <row r="28" spans="1:27" ht="14.25">
      <c r="A28" s="1707">
        <v>20</v>
      </c>
      <c r="B28" s="1712" t="s">
        <v>131</v>
      </c>
      <c r="C28" s="1713" t="s">
        <v>47</v>
      </c>
      <c r="D28" s="751" t="s">
        <v>1033</v>
      </c>
      <c r="E28" s="1724">
        <f>IFERROR(ROUND('2. Променливи'!E84/'2. Променливи'!E85,2),0)</f>
        <v>1.08</v>
      </c>
      <c r="F28" s="3721">
        <f>IFERROR(ROUND('2. Променливи'!F84/'2. Променливи'!F85,2),0)</f>
        <v>1.05</v>
      </c>
      <c r="G28" s="1724">
        <f>IFERROR(ROUND('2. Променливи'!G84/'2. Променливи'!G85,2),0)</f>
        <v>1.07</v>
      </c>
      <c r="H28" s="1724">
        <f>IFERROR(ROUND('2. Променливи'!H84/'2. Променливи'!H85,2),0)</f>
        <v>1.08</v>
      </c>
      <c r="I28" s="1724">
        <f>IFERROR(ROUND('2. Променливи'!I84/'2. Променливи'!I85,2),0)</f>
        <v>1.08</v>
      </c>
      <c r="J28" s="1724">
        <f>IFERROR(ROUND('2. Променливи'!J84/'2. Променливи'!J85,2),0)</f>
        <v>1.07</v>
      </c>
      <c r="K28" s="890">
        <f>IFERROR(ROUND(AVERAGE('2. Променливи'!K84,'2. Променливи'!K85),0),0)</f>
        <v>1</v>
      </c>
      <c r="L28" s="890">
        <f>IFERROR(ROUND(AVERAGE('2. Променливи'!P84,'2. Променливи'!P85),0),0)</f>
        <v>1</v>
      </c>
      <c r="M28" s="4539">
        <v>1.1000000000000001</v>
      </c>
      <c r="N28" s="1715">
        <v>1.1000000000000001</v>
      </c>
      <c r="O28" s="1716"/>
      <c r="P28" s="841" t="s">
        <v>1327</v>
      </c>
      <c r="Q28" s="1392">
        <f t="shared" si="4"/>
        <v>-3.0000000000000027E-2</v>
      </c>
      <c r="R28" s="1393">
        <f t="shared" si="5"/>
        <v>2.0000000000000018E-2</v>
      </c>
      <c r="S28" s="1393">
        <f t="shared" si="6"/>
        <v>1.0000000000000009E-2</v>
      </c>
      <c r="T28" s="1393">
        <f t="shared" si="7"/>
        <v>0</v>
      </c>
      <c r="U28" s="1393">
        <f t="shared" si="8"/>
        <v>-1.0000000000000009E-2</v>
      </c>
      <c r="V28" s="776">
        <f t="shared" si="2"/>
        <v>-3.0000000000000027E-2</v>
      </c>
      <c r="Z28" s="3329"/>
      <c r="AA28" s="3329"/>
    </row>
    <row r="29" spans="1:27" ht="14.25">
      <c r="A29" s="1707">
        <v>21</v>
      </c>
      <c r="B29" s="1712" t="s">
        <v>132</v>
      </c>
      <c r="C29" s="1713" t="s">
        <v>50</v>
      </c>
      <c r="D29" s="751" t="s">
        <v>1033</v>
      </c>
      <c r="E29" s="1724">
        <f>IFERROR(ROUND('2. Променливи'!E86/'2. Променливи'!E87,2),"-")</f>
        <v>0.89</v>
      </c>
      <c r="F29" s="3721">
        <f>IFERROR(ROUND('2. Променливи'!F86/'2. Променливи'!F87,2),"-")</f>
        <v>1.1100000000000001</v>
      </c>
      <c r="G29" s="1724">
        <f>IFERROR(ROUND('2. Променливи'!G86/'2. Променливи'!G87,2),"-")</f>
        <v>1.19</v>
      </c>
      <c r="H29" s="3721">
        <f>IFERROR(ROUND('2. Променливи'!H86/'2. Променливи'!H87,2),"-")</f>
        <v>1.29</v>
      </c>
      <c r="I29" s="1724">
        <f>IFERROR(ROUND('2. Променливи'!I86/'2. Променливи'!I87,2),"-")</f>
        <v>1.26</v>
      </c>
      <c r="J29" s="3721">
        <f>IFERROR(ROUND('2. Променливи'!J86/'2. Променливи'!J87,2),"-")</f>
        <v>1.26</v>
      </c>
      <c r="K29" s="890">
        <f>IFERROR(ROUND(AVERAGE('2. Променливи'!K86,'2. Променливи'!K87),0),0)</f>
        <v>1</v>
      </c>
      <c r="L29" s="890">
        <f>IFERROR(ROUND(AVERAGE('2. Променливи'!P86,'2. Променливи'!P87),0),0)</f>
        <v>1</v>
      </c>
      <c r="M29" s="4539">
        <v>1.1000000000000001</v>
      </c>
      <c r="N29" s="1715">
        <v>1.1000000000000001</v>
      </c>
      <c r="O29" s="1716"/>
      <c r="P29" s="841" t="s">
        <v>1327</v>
      </c>
      <c r="Q29" s="1392">
        <f t="shared" ref="Q29:U30" si="10">IFERROR(F29-E29,"-")</f>
        <v>0.22000000000000008</v>
      </c>
      <c r="R29" s="1393">
        <f t="shared" si="10"/>
        <v>7.9999999999999849E-2</v>
      </c>
      <c r="S29" s="1393">
        <f t="shared" si="10"/>
        <v>0.10000000000000009</v>
      </c>
      <c r="T29" s="1393">
        <f t="shared" si="10"/>
        <v>-3.0000000000000027E-2</v>
      </c>
      <c r="U29" s="1393">
        <f t="shared" si="10"/>
        <v>0</v>
      </c>
      <c r="V29" s="776">
        <f>IFERROR(J29-M29,"-")</f>
        <v>0.15999999999999992</v>
      </c>
      <c r="Z29" s="3329"/>
      <c r="AA29" s="3329"/>
    </row>
    <row r="30" spans="1:27" ht="14.25">
      <c r="A30" s="1707">
        <v>22</v>
      </c>
      <c r="B30" s="1712" t="s">
        <v>133</v>
      </c>
      <c r="C30" s="1713" t="s">
        <v>53</v>
      </c>
      <c r="D30" s="751" t="s">
        <v>1033</v>
      </c>
      <c r="E30" s="1724">
        <f>IFERROR(ROUND('2. Променливи'!E88/'2. Променливи'!E89,2),"-")</f>
        <v>1.24</v>
      </c>
      <c r="F30" s="1724">
        <f>IFERROR(ROUND('2. Променливи'!F88/'2. Променливи'!F89,2),"-")</f>
        <v>1.08</v>
      </c>
      <c r="G30" s="1724">
        <f>IFERROR(ROUND('2. Променливи'!G88/'2. Променливи'!G89,2),"-")</f>
        <v>1.1299999999999999</v>
      </c>
      <c r="H30" s="1724">
        <f>IFERROR(ROUND('2. Променливи'!H88/'2. Променливи'!H89,2),"-")</f>
        <v>1.18</v>
      </c>
      <c r="I30" s="1724">
        <f>IFERROR(ROUND('2. Променливи'!I88/'2. Променливи'!I89,2),"-")</f>
        <v>1.1599999999999999</v>
      </c>
      <c r="J30" s="1724">
        <f>IFERROR(ROUND('2. Променливи'!J88/'2. Променливи'!J89,2),"-")</f>
        <v>1.1499999999999999</v>
      </c>
      <c r="K30" s="890">
        <f>IFERROR(ROUND(AVERAGE('2. Променливи'!K88,'2. Променливи'!K89),0),0)</f>
        <v>1</v>
      </c>
      <c r="L30" s="890">
        <f>IFERROR(ROUND(AVERAGE('2. Променливи'!P88,'2. Променливи'!P89),0),0)</f>
        <v>1</v>
      </c>
      <c r="M30" s="4539">
        <v>1.1000000000000001</v>
      </c>
      <c r="N30" s="1715">
        <v>1.1000000000000001</v>
      </c>
      <c r="O30" s="1716"/>
      <c r="P30" s="841" t="s">
        <v>1327</v>
      </c>
      <c r="Q30" s="1392">
        <f t="shared" si="10"/>
        <v>-0.15999999999999992</v>
      </c>
      <c r="R30" s="1393">
        <f t="shared" si="10"/>
        <v>4.9999999999999822E-2</v>
      </c>
      <c r="S30" s="1393">
        <f t="shared" si="10"/>
        <v>5.0000000000000044E-2</v>
      </c>
      <c r="T30" s="1393">
        <f t="shared" si="10"/>
        <v>-2.0000000000000018E-2</v>
      </c>
      <c r="U30" s="1393">
        <f t="shared" si="10"/>
        <v>-1.0000000000000009E-2</v>
      </c>
      <c r="V30" s="776">
        <f>IFERROR(J30-M30,"-")</f>
        <v>4.9999999999999822E-2</v>
      </c>
      <c r="Z30" s="3329"/>
      <c r="AA30" s="3329"/>
    </row>
    <row r="31" spans="1:27" ht="15" customHeight="1">
      <c r="A31" s="1707">
        <v>23</v>
      </c>
      <c r="B31" s="1712" t="s">
        <v>134</v>
      </c>
      <c r="C31" s="1713" t="s">
        <v>767</v>
      </c>
      <c r="D31" s="751" t="s">
        <v>170</v>
      </c>
      <c r="E31" s="1728">
        <f>IFERROR(ROUND(('2. Променливи'!E90-('2. Променливи'!E91-'2. Променливи'!E92))/('2. Променливи'!E90+'2. Променливи'!E92),4),0)</f>
        <v>0.90059999999999996</v>
      </c>
      <c r="F31" s="3712">
        <f>IFERROR(ROUND(('2. Променливи'!F90-('2. Променливи'!F91-'2. Променливи'!F92))/('2. Променливи'!F90+'2. Променливи'!F92),4),0)</f>
        <v>0.91910000000000003</v>
      </c>
      <c r="G31" s="1728">
        <f>IFERROR(ROUND(('2. Променливи'!G90-('2. Променливи'!G91-'2. Променливи'!G92))/('2. Променливи'!G90+'2. Променливи'!G92),4),0)</f>
        <v>0.92469999999999997</v>
      </c>
      <c r="H31" s="1728">
        <f>IFERROR(ROUND(('2. Променливи'!H90-('2. Променливи'!H91-'2. Променливи'!H92))/('2. Променливи'!H90+'2. Променливи'!H92),4),0)</f>
        <v>0.92930000000000001</v>
      </c>
      <c r="I31" s="1728">
        <f>IFERROR(ROUND(('2. Променливи'!I90-('2. Променливи'!I91-'2. Променливи'!I92))/('2. Променливи'!I90+'2. Променливи'!I92),4),0)</f>
        <v>0.9345</v>
      </c>
      <c r="J31" s="3712">
        <f>IFERROR(ROUND(('2. Променливи'!J90-('2. Променливи'!J91-'2. Променливи'!J92))/('2. Променливи'!J90+'2. Променливи'!J92),4),0)</f>
        <v>0.9375</v>
      </c>
      <c r="K31" s="890">
        <f>IFERROR(ROUND(AVERAGE('2. Променливи'!K90,'2. Променливи'!K91,'2. Променливи'!K92),0),0)</f>
        <v>1</v>
      </c>
      <c r="L31" s="890">
        <f>IFERROR(ROUND(AVERAGE('2. Променливи'!P90,'2. Променливи'!P91,'2. Променливи'!P92),0),0)</f>
        <v>1</v>
      </c>
      <c r="M31" s="392">
        <v>0.91039999999999999</v>
      </c>
      <c r="N31" s="1714">
        <v>0.95</v>
      </c>
      <c r="O31" s="1711"/>
      <c r="P31" s="841" t="s">
        <v>1327</v>
      </c>
      <c r="Q31" s="772">
        <f t="shared" si="4"/>
        <v>1.8500000000000072E-2</v>
      </c>
      <c r="R31" s="773">
        <f t="shared" si="5"/>
        <v>5.5999999999999384E-3</v>
      </c>
      <c r="S31" s="773">
        <f t="shared" si="6"/>
        <v>4.6000000000000485E-3</v>
      </c>
      <c r="T31" s="773">
        <f t="shared" si="7"/>
        <v>5.1999999999999824E-3</v>
      </c>
      <c r="U31" s="773">
        <f t="shared" si="8"/>
        <v>3.0000000000000027E-3</v>
      </c>
      <c r="V31" s="775">
        <f t="shared" si="2"/>
        <v>2.7100000000000013E-2</v>
      </c>
      <c r="Z31" s="3329"/>
      <c r="AA31" s="3329"/>
    </row>
    <row r="32" spans="1:27" ht="14.25">
      <c r="A32" s="1707">
        <v>24</v>
      </c>
      <c r="B32" s="1712" t="s">
        <v>776</v>
      </c>
      <c r="C32" s="1713" t="s">
        <v>778</v>
      </c>
      <c r="D32" s="751" t="s">
        <v>170</v>
      </c>
      <c r="E32" s="1728">
        <f>IFERROR(ROUND('2. Променливи'!E74/'2. Променливи'!E29,4),0)</f>
        <v>0.1862</v>
      </c>
      <c r="F32" s="1728">
        <f>IFERROR(ROUND('2. Променливи'!F74/'2. Променливи'!F29,4),0)</f>
        <v>0.18909999999999999</v>
      </c>
      <c r="G32" s="1728">
        <f>IFERROR(ROUND('2. Променливи'!G74/'2. Променливи'!G29,4),0)</f>
        <v>0.19270000000000001</v>
      </c>
      <c r="H32" s="1728">
        <f>IFERROR(ROUND('2. Променливи'!H74/'2. Променливи'!H29,4),0)</f>
        <v>0.1963</v>
      </c>
      <c r="I32" s="1728">
        <f>IFERROR(ROUND('2. Променливи'!I74/'2. Променливи'!I29,4),0)</f>
        <v>0.2</v>
      </c>
      <c r="J32" s="1728">
        <f>IFERROR(ROUND('2. Променливи'!J74/'2. Променливи'!J29,4),0)</f>
        <v>0.20380000000000001</v>
      </c>
      <c r="K32" s="890">
        <f>IFERROR(ROUND(AVERAGE('2. Променливи'!K74,'2. Променливи'!K29),0),0)</f>
        <v>3</v>
      </c>
      <c r="L32" s="890">
        <f>IFERROR(ROUND(AVERAGE('2. Променливи'!P74,'2. Променливи'!P29),0),0)</f>
        <v>3</v>
      </c>
      <c r="M32" s="392">
        <v>0.2</v>
      </c>
      <c r="N32" s="1714">
        <v>0.2</v>
      </c>
      <c r="O32" s="1711"/>
      <c r="P32" s="841" t="s">
        <v>1327</v>
      </c>
      <c r="Q32" s="772">
        <f t="shared" si="4"/>
        <v>2.8999999999999859E-3</v>
      </c>
      <c r="R32" s="773">
        <f t="shared" si="5"/>
        <v>3.6000000000000199E-3</v>
      </c>
      <c r="S32" s="773">
        <f t="shared" si="6"/>
        <v>3.5999999999999921E-3</v>
      </c>
      <c r="T32" s="773">
        <f t="shared" si="7"/>
        <v>3.7000000000000088E-3</v>
      </c>
      <c r="U32" s="773">
        <f t="shared" si="8"/>
        <v>3.7999999999999978E-3</v>
      </c>
      <c r="V32" s="775">
        <f t="shared" si="2"/>
        <v>3.7999999999999978E-3</v>
      </c>
      <c r="Z32" s="3329"/>
      <c r="AA32" s="3329"/>
    </row>
    <row r="33" spans="1:27" ht="14.25">
      <c r="A33" s="1707">
        <v>25</v>
      </c>
      <c r="B33" s="1712" t="s">
        <v>777</v>
      </c>
      <c r="C33" s="1713" t="s">
        <v>779</v>
      </c>
      <c r="D33" s="751" t="s">
        <v>170</v>
      </c>
      <c r="E33" s="1728">
        <f>IFERROR(ROUND('2. Променливи'!E75/'2. Променливи'!E29,4),0)</f>
        <v>0.54649999999999999</v>
      </c>
      <c r="F33" s="1728">
        <f>IFERROR(ROUND('2. Променливи'!F75/'2. Променливи'!F29,4),0)</f>
        <v>0.54679999999999995</v>
      </c>
      <c r="G33" s="1728">
        <f>IFERROR(ROUND('2. Променливи'!G75/'2. Променливи'!G29,4),0)</f>
        <v>0.54679999999999995</v>
      </c>
      <c r="H33" s="1728">
        <f>IFERROR(ROUND('2. Променливи'!H75/'2. Променливи'!H29,4),0)</f>
        <v>0.54690000000000005</v>
      </c>
      <c r="I33" s="1728">
        <f>IFERROR(ROUND('2. Променливи'!I75/'2. Променливи'!I29,4),0)</f>
        <v>0.54690000000000005</v>
      </c>
      <c r="J33" s="1728">
        <f>IFERROR(ROUND('2. Променливи'!J75/'2. Променливи'!J29,4),0)</f>
        <v>0.54690000000000005</v>
      </c>
      <c r="K33" s="890">
        <f>IFERROR(ROUND(AVERAGE('2. Променливи'!K75,'2. Променливи'!K29),0),0)</f>
        <v>3</v>
      </c>
      <c r="L33" s="890">
        <f>IFERROR(ROUND(AVERAGE('2. Променливи'!P75,'2. Променливи'!P29),0),0)</f>
        <v>3</v>
      </c>
      <c r="M33" s="392">
        <v>0.69699999999999995</v>
      </c>
      <c r="N33" s="1714">
        <v>0.9</v>
      </c>
      <c r="O33" s="1711"/>
      <c r="P33" s="841" t="s">
        <v>1327</v>
      </c>
      <c r="Q33" s="772">
        <f t="shared" si="4"/>
        <v>2.9999999999996696E-4</v>
      </c>
      <c r="R33" s="773">
        <f t="shared" si="5"/>
        <v>0</v>
      </c>
      <c r="S33" s="773">
        <f t="shared" si="6"/>
        <v>1.0000000000010001E-4</v>
      </c>
      <c r="T33" s="773">
        <f t="shared" si="7"/>
        <v>0</v>
      </c>
      <c r="U33" s="773">
        <f t="shared" si="8"/>
        <v>0</v>
      </c>
      <c r="V33" s="775">
        <f t="shared" si="2"/>
        <v>-0.1500999999999999</v>
      </c>
      <c r="Z33" s="3329"/>
      <c r="AA33" s="3329"/>
    </row>
    <row r="34" spans="1:27" ht="14.25">
      <c r="A34" s="1707">
        <v>26</v>
      </c>
      <c r="B34" s="1712" t="s">
        <v>135</v>
      </c>
      <c r="C34" s="1717" t="s">
        <v>768</v>
      </c>
      <c r="D34" s="751" t="s">
        <v>170</v>
      </c>
      <c r="E34" s="1728">
        <f>IFERROR(ROUND('2. Променливи'!E93/'2. Променливи'!E97,4),0)</f>
        <v>0.77449999999999997</v>
      </c>
      <c r="F34" s="1728">
        <f>IFERROR(ROUND('2. Променливи'!F93/'2. Променливи'!F97,4),0)</f>
        <v>0.82509999999999994</v>
      </c>
      <c r="G34" s="1728">
        <f>IFERROR(ROUND('2. Променливи'!G93/'2. Променливи'!G97,4),0)</f>
        <v>0.82550000000000001</v>
      </c>
      <c r="H34" s="1728">
        <f>IFERROR(ROUND('2. Променливи'!H93/'2. Променливи'!H97,4),0)</f>
        <v>0.83</v>
      </c>
      <c r="I34" s="1728">
        <f>IFERROR(ROUND('2. Променливи'!I93/'2. Променливи'!I97,4),0)</f>
        <v>0.83069999999999999</v>
      </c>
      <c r="J34" s="1728">
        <f>IFERROR(ROUND('2. Променливи'!J93/'2. Променливи'!J97,4),0)</f>
        <v>0.83620000000000005</v>
      </c>
      <c r="K34" s="890">
        <f>IFERROR(ROUND(AVERAGE('2. Променливи'!K93,'2. Променливи'!K97),0),0)</f>
        <v>1</v>
      </c>
      <c r="L34" s="890">
        <f>IFERROR(ROUND(AVERAGE('2. Променливи'!P93,'2. Променливи'!P97),0),0)</f>
        <v>1</v>
      </c>
      <c r="M34" s="392">
        <v>1</v>
      </c>
      <c r="N34" s="1714">
        <v>1</v>
      </c>
      <c r="O34" s="1711"/>
      <c r="P34" s="841" t="s">
        <v>1327</v>
      </c>
      <c r="Q34" s="772">
        <f t="shared" si="4"/>
        <v>5.0599999999999978E-2</v>
      </c>
      <c r="R34" s="773">
        <f t="shared" si="5"/>
        <v>4.0000000000006697E-4</v>
      </c>
      <c r="S34" s="773">
        <f t="shared" si="6"/>
        <v>4.4999999999999485E-3</v>
      </c>
      <c r="T34" s="773">
        <f t="shared" si="7"/>
        <v>7.0000000000003393E-4</v>
      </c>
      <c r="U34" s="773">
        <f t="shared" si="8"/>
        <v>5.5000000000000604E-3</v>
      </c>
      <c r="V34" s="775">
        <f t="shared" si="2"/>
        <v>-0.16379999999999995</v>
      </c>
      <c r="Z34" s="3329"/>
      <c r="AA34" s="3329"/>
    </row>
    <row r="35" spans="1:27" ht="15" customHeight="1">
      <c r="A35" s="1707">
        <v>27</v>
      </c>
      <c r="B35" s="1712" t="s">
        <v>136</v>
      </c>
      <c r="C35" s="1717" t="s">
        <v>769</v>
      </c>
      <c r="D35" s="751" t="s">
        <v>170</v>
      </c>
      <c r="E35" s="1728">
        <f>IFERROR(ROUND('2. Променливи'!E109/'2. Променливи'!E110,4),0)</f>
        <v>1</v>
      </c>
      <c r="F35" s="1728">
        <f>IFERROR(ROUND('2. Променливи'!F109/'2. Променливи'!F110,4),0)</f>
        <v>1</v>
      </c>
      <c r="G35" s="1728">
        <f>IFERROR(ROUND('2. Променливи'!G109/'2. Променливи'!G110,4),0)</f>
        <v>1</v>
      </c>
      <c r="H35" s="1728">
        <f>IFERROR(ROUND('2. Променливи'!H109/'2. Променливи'!H110,4),0)</f>
        <v>1</v>
      </c>
      <c r="I35" s="1728">
        <f>IFERROR(ROUND('2. Променливи'!I109/'2. Променливи'!I110,4),0)</f>
        <v>1</v>
      </c>
      <c r="J35" s="1728">
        <f>IFERROR(ROUND('2. Променливи'!J109/'2. Променливи'!J110,4),0)</f>
        <v>1</v>
      </c>
      <c r="K35" s="890">
        <f>IFERROR(ROUND(AVERAGE('2. Променливи'!K109,'2. Променливи'!K110),0),0)</f>
        <v>1</v>
      </c>
      <c r="L35" s="890">
        <f>IFERROR(ROUND(AVERAGE('2. Променливи'!P109,'2. Променливи'!P110),0),0)</f>
        <v>1</v>
      </c>
      <c r="M35" s="392">
        <v>1</v>
      </c>
      <c r="N35" s="1714">
        <v>1</v>
      </c>
      <c r="O35" s="1711"/>
      <c r="P35" s="841" t="s">
        <v>1327</v>
      </c>
      <c r="Q35" s="772">
        <f t="shared" si="4"/>
        <v>0</v>
      </c>
      <c r="R35" s="773">
        <f t="shared" si="5"/>
        <v>0</v>
      </c>
      <c r="S35" s="773">
        <f t="shared" si="6"/>
        <v>0</v>
      </c>
      <c r="T35" s="773">
        <f t="shared" si="7"/>
        <v>0</v>
      </c>
      <c r="U35" s="773">
        <f t="shared" si="8"/>
        <v>0</v>
      </c>
      <c r="V35" s="775">
        <f t="shared" si="2"/>
        <v>0</v>
      </c>
      <c r="Z35" s="3329"/>
      <c r="AA35" s="3329"/>
    </row>
    <row r="36" spans="1:27" ht="18" customHeight="1">
      <c r="A36" s="1707">
        <v>28</v>
      </c>
      <c r="B36" s="1712" t="s">
        <v>137</v>
      </c>
      <c r="C36" s="1713" t="s">
        <v>770</v>
      </c>
      <c r="D36" s="751" t="s">
        <v>170</v>
      </c>
      <c r="E36" s="1728">
        <f>IFERROR(ROUND('2. Променливи'!E111/'2. Променливи'!E112,4),"-")</f>
        <v>1</v>
      </c>
      <c r="F36" s="1728">
        <f>IFERROR(ROUND('2. Променливи'!F111/'2. Променливи'!F112,4),"-")</f>
        <v>1</v>
      </c>
      <c r="G36" s="1728">
        <f>IFERROR(ROUND('2. Променливи'!G111/'2. Променливи'!G112,4),"-")</f>
        <v>1</v>
      </c>
      <c r="H36" s="1728">
        <f>IFERROR(ROUND('2. Променливи'!H111/'2. Променливи'!H112,4),"-")</f>
        <v>1</v>
      </c>
      <c r="I36" s="1728">
        <f>IFERROR(ROUND('2. Променливи'!I111/'2. Променливи'!I112,4),"-")</f>
        <v>1</v>
      </c>
      <c r="J36" s="1728">
        <f>IFERROR(ROUND('2. Променливи'!J111/'2. Променливи'!J112,4),"-")</f>
        <v>1</v>
      </c>
      <c r="K36" s="890">
        <f>IFERROR(ROUND(AVERAGE('2. Променливи'!K111,'2. Променливи'!K112),0),0)</f>
        <v>1</v>
      </c>
      <c r="L36" s="890">
        <f>IFERROR(ROUND(AVERAGE('2. Променливи'!P111,'2. Променливи'!P112),0),0)</f>
        <v>1</v>
      </c>
      <c r="M36" s="392">
        <v>1</v>
      </c>
      <c r="N36" s="1714">
        <v>1</v>
      </c>
      <c r="O36" s="1711"/>
      <c r="P36" s="841" t="s">
        <v>1327</v>
      </c>
      <c r="Q36" s="772">
        <f>IFERROR(F36-E36,"-")</f>
        <v>0</v>
      </c>
      <c r="R36" s="773">
        <f>IFERROR(G36-F36,"-")</f>
        <v>0</v>
      </c>
      <c r="S36" s="773">
        <f>IFERROR(H36-G36,"-")</f>
        <v>0</v>
      </c>
      <c r="T36" s="773">
        <f>IFERROR(I36-H36,"-")</f>
        <v>0</v>
      </c>
      <c r="U36" s="773">
        <f>IFERROR(J36-I36,"-")</f>
        <v>0</v>
      </c>
      <c r="V36" s="775">
        <f>IFERROR(J36-M36,"-")</f>
        <v>0</v>
      </c>
      <c r="Z36" s="3329"/>
      <c r="AA36" s="3329"/>
    </row>
    <row r="37" spans="1:27" ht="24.95" customHeight="1">
      <c r="A37" s="1707">
        <v>29</v>
      </c>
      <c r="B37" s="1712" t="s">
        <v>138</v>
      </c>
      <c r="C37" s="1717" t="s">
        <v>771</v>
      </c>
      <c r="D37" s="751" t="s">
        <v>747</v>
      </c>
      <c r="E37" s="1724">
        <f>IFERROR(ROUND('2. Променливи'!E113/'2. Променливи'!E28*1000,2),0)</f>
        <v>5.81</v>
      </c>
      <c r="F37" s="1724">
        <f>IFERROR(ROUND('2. Променливи'!F113/'2. Променливи'!F28*1000,2),0)</f>
        <v>5.73</v>
      </c>
      <c r="G37" s="1724">
        <f>IFERROR(ROUND('2. Променливи'!G113/'2. Променливи'!G28*1000,2),0)</f>
        <v>5.72</v>
      </c>
      <c r="H37" s="3721">
        <f>IFERROR(ROUND('2. Променливи'!H113/'2. Променливи'!H28*1000,2),0)</f>
        <v>5.72</v>
      </c>
      <c r="I37" s="1724">
        <f>IFERROR(ROUND('2. Променливи'!I113/'2. Променливи'!I28*1000,2),0)</f>
        <v>5.82</v>
      </c>
      <c r="J37" s="1724">
        <f>IFERROR(ROUND('2. Променливи'!J113/'2. Променливи'!J28*1000,2),0)</f>
        <v>5.81</v>
      </c>
      <c r="K37" s="890">
        <f>IFERROR(ROUND(AVERAGE('2. Променливи'!K113,'2. Променливи'!K28),0),0)</f>
        <v>2</v>
      </c>
      <c r="L37" s="890">
        <f>IFERROR(ROUND(AVERAGE('2. Променливи'!P113,'2. Променливи'!P28),0),0)</f>
        <v>2</v>
      </c>
      <c r="M37" s="4539">
        <v>5.8</v>
      </c>
      <c r="N37" s="1715">
        <v>4</v>
      </c>
      <c r="O37" s="1716"/>
      <c r="P37" s="841" t="s">
        <v>1328</v>
      </c>
      <c r="Q37" s="1392">
        <f t="shared" si="4"/>
        <v>-7.9999999999999183E-2</v>
      </c>
      <c r="R37" s="1393">
        <f t="shared" si="5"/>
        <v>-1.0000000000000675E-2</v>
      </c>
      <c r="S37" s="1393">
        <f t="shared" si="6"/>
        <v>0</v>
      </c>
      <c r="T37" s="1393">
        <f t="shared" si="7"/>
        <v>0.10000000000000053</v>
      </c>
      <c r="U37" s="1393">
        <f t="shared" si="8"/>
        <v>-1.0000000000000675E-2</v>
      </c>
      <c r="V37" s="1399">
        <f t="shared" si="2"/>
        <v>9.9999999999997868E-3</v>
      </c>
      <c r="Z37" s="3329"/>
      <c r="AA37" s="3329"/>
    </row>
    <row r="38" spans="1:27" ht="15" thickBot="1">
      <c r="A38" s="1720">
        <v>30</v>
      </c>
      <c r="B38" s="1721" t="s">
        <v>139</v>
      </c>
      <c r="C38" s="1722" t="s">
        <v>772</v>
      </c>
      <c r="D38" s="752" t="s">
        <v>748</v>
      </c>
      <c r="E38" s="3722">
        <f>IFERROR(ROUND('2. Променливи'!E114/'2. Променливи'!E30*1000,2),"-")</f>
        <v>4.03</v>
      </c>
      <c r="F38" s="1724">
        <f>IFERROR(ROUND('2. Променливи'!F114/'2. Променливи'!F30*1000,2),"-")</f>
        <v>3.83</v>
      </c>
      <c r="G38" s="1724">
        <f>IFERROR(ROUND('2. Променливи'!G114/'2. Променливи'!G30*1000,2),"-")</f>
        <v>3.82</v>
      </c>
      <c r="H38" s="1724">
        <f>IFERROR(ROUND('2. Променливи'!H114/'2. Променливи'!H30*1000,2),"-")</f>
        <v>3.82</v>
      </c>
      <c r="I38" s="1724">
        <f>IFERROR(ROUND('2. Променливи'!I114/'2. Променливи'!I30*1000,2),"-")</f>
        <v>4.51</v>
      </c>
      <c r="J38" s="1724">
        <f>IFERROR(ROUND('2. Променливи'!J114/'2. Променливи'!J30*1000,2),"-")</f>
        <v>4.5</v>
      </c>
      <c r="K38" s="892">
        <f>IFERROR(ROUND(AVERAGE('2. Променливи'!K114,'2. Променливи'!K30),0),0)</f>
        <v>2</v>
      </c>
      <c r="L38" s="892">
        <f>IFERROR(ROUND(AVERAGE('2. Променливи'!P114,'2. Променливи'!P30),0),0)</f>
        <v>2</v>
      </c>
      <c r="M38" s="4538">
        <v>3.9699999999999999E-2</v>
      </c>
      <c r="N38" s="1723">
        <v>3</v>
      </c>
      <c r="O38" s="1716"/>
      <c r="P38" s="843" t="s">
        <v>1328</v>
      </c>
      <c r="Q38" s="1396">
        <f>IFERROR(F38-E38,"-")</f>
        <v>-0.20000000000000018</v>
      </c>
      <c r="R38" s="1396">
        <f>IFERROR(G38-F38,"-")</f>
        <v>-1.0000000000000231E-2</v>
      </c>
      <c r="S38" s="1396">
        <f>IFERROR(H38-G38,"-")</f>
        <v>0</v>
      </c>
      <c r="T38" s="1396">
        <f>IFERROR(I38-H38,"-")</f>
        <v>0.69</v>
      </c>
      <c r="U38" s="1396">
        <f>IFERROR(J38-I38,"-")</f>
        <v>-9.9999999999997868E-3</v>
      </c>
      <c r="V38" s="1400">
        <f>IFERROR(J38-M38,"-")</f>
        <v>4.4603000000000002</v>
      </c>
      <c r="Z38" s="3329"/>
      <c r="AA38" s="3329"/>
    </row>
    <row r="39" spans="1:27" ht="13.5" thickBot="1">
      <c r="A39" s="4824" t="s">
        <v>1107</v>
      </c>
      <c r="B39" s="4825"/>
      <c r="C39" s="4825"/>
      <c r="D39" s="4825"/>
      <c r="E39" s="4825"/>
      <c r="F39" s="4825"/>
      <c r="G39" s="4825"/>
      <c r="H39" s="4825"/>
      <c r="I39" s="4825"/>
      <c r="J39" s="4825"/>
      <c r="K39" s="4825"/>
      <c r="L39" s="4825"/>
      <c r="M39" s="4825"/>
      <c r="N39" s="4826"/>
      <c r="O39" s="840"/>
    </row>
    <row r="40" spans="1:27" ht="14.25">
      <c r="A40" s="1707">
        <v>1</v>
      </c>
      <c r="B40" s="1712" t="s">
        <v>744</v>
      </c>
      <c r="C40" s="1713" t="s">
        <v>756</v>
      </c>
      <c r="D40" s="751" t="s">
        <v>1040</v>
      </c>
      <c r="E40" s="1724">
        <f>IFERROR(ROUND('2. Променливи'!E129/'2. Променливи'!E123/365,2),0)</f>
        <v>0</v>
      </c>
      <c r="F40" s="1724">
        <f>IFERROR(ROUND('2. Променливи'!F129/'2. Променливи'!F123/365,2),0)</f>
        <v>0</v>
      </c>
      <c r="G40" s="1724">
        <f>IFERROR(ROUND('2. Променливи'!G129/'2. Променливи'!G123/365,2),0)</f>
        <v>0</v>
      </c>
      <c r="H40" s="1724">
        <f>IFERROR(ROUND('2. Променливи'!H129/'2. Променливи'!H123/365,2),0)</f>
        <v>0</v>
      </c>
      <c r="I40" s="1724">
        <f>IFERROR(ROUND('2. Променливи'!I129/'2. Променливи'!I123/365,2),0)</f>
        <v>0</v>
      </c>
      <c r="J40" s="1724">
        <f>IFERROR(ROUND('2. Променливи'!J129/'2. Променливи'!J123/365,2),0)</f>
        <v>0</v>
      </c>
      <c r="K40" s="893">
        <f>IFERROR(ROUND(AVERAGE('2. Променливи'!K129,'2. Променливи'!K123),0),0)</f>
        <v>0</v>
      </c>
      <c r="L40" s="893">
        <f>IFERROR(ROUND(AVERAGE('2. Променливи'!P129,'2. Променливи'!P123),0),0)</f>
        <v>0</v>
      </c>
      <c r="M40" s="1725"/>
      <c r="N40" s="1726"/>
      <c r="O40" s="1684"/>
      <c r="P40" s="934" t="s">
        <v>1328</v>
      </c>
      <c r="Q40" s="1401">
        <f t="shared" ref="Q40:Q44" si="11">F40-E40</f>
        <v>0</v>
      </c>
      <c r="R40" s="1397">
        <f t="shared" ref="R40:R44" si="12">G40-F40</f>
        <v>0</v>
      </c>
      <c r="S40" s="1397">
        <f t="shared" ref="S40:S44" si="13">H40-G40</f>
        <v>0</v>
      </c>
      <c r="T40" s="1397">
        <f t="shared" ref="T40:T44" si="14">I40-H40</f>
        <v>0</v>
      </c>
      <c r="U40" s="1397">
        <f t="shared" ref="U40:U44" si="15">J40-I40</f>
        <v>0</v>
      </c>
      <c r="V40" s="1727"/>
    </row>
    <row r="41" spans="1:27" ht="14.25">
      <c r="A41" s="1707">
        <v>2</v>
      </c>
      <c r="B41" s="1712" t="s">
        <v>745</v>
      </c>
      <c r="C41" s="1713" t="s">
        <v>756</v>
      </c>
      <c r="D41" s="751" t="s">
        <v>170</v>
      </c>
      <c r="E41" s="1728">
        <f>IFERROR(ROUND('2. Променливи'!E129/'2. Променливи'!E127,4),0)</f>
        <v>0</v>
      </c>
      <c r="F41" s="1728">
        <f>IFERROR(ROUND('2. Променливи'!F129/'2. Променливи'!F127,4),0)</f>
        <v>0</v>
      </c>
      <c r="G41" s="1728">
        <f>IFERROR(ROUND('2. Променливи'!G129/'2. Променливи'!G127,4),0)</f>
        <v>0</v>
      </c>
      <c r="H41" s="1728">
        <f>IFERROR(ROUND('2. Променливи'!H129/'2. Променливи'!H127,4),0)</f>
        <v>0</v>
      </c>
      <c r="I41" s="1728">
        <f>IFERROR(ROUND('2. Променливи'!I129/'2. Променливи'!I127,4),0)</f>
        <v>0</v>
      </c>
      <c r="J41" s="1728">
        <f>IFERROR(ROUND('2. Променливи'!J129/'2. Променливи'!J127,4),0)</f>
        <v>0</v>
      </c>
      <c r="K41" s="893">
        <f>IFERROR(ROUND(AVERAGE('2. Променливи'!K129,'2. Променливи'!K127),0),0)</f>
        <v>0</v>
      </c>
      <c r="L41" s="893">
        <f>IFERROR(ROUND(AVERAGE('2. Променливи'!P129,'2. Променливи'!P127),0),0)</f>
        <v>0</v>
      </c>
      <c r="M41" s="1729"/>
      <c r="N41" s="1730"/>
      <c r="O41" s="1731"/>
      <c r="P41" s="935" t="s">
        <v>1328</v>
      </c>
      <c r="Q41" s="772">
        <f t="shared" si="11"/>
        <v>0</v>
      </c>
      <c r="R41" s="773">
        <f t="shared" si="12"/>
        <v>0</v>
      </c>
      <c r="S41" s="773">
        <f t="shared" si="13"/>
        <v>0</v>
      </c>
      <c r="T41" s="773">
        <f t="shared" si="14"/>
        <v>0</v>
      </c>
      <c r="U41" s="773">
        <f t="shared" si="15"/>
        <v>0</v>
      </c>
      <c r="V41" s="1732"/>
    </row>
    <row r="42" spans="1:27" ht="15" customHeight="1">
      <c r="A42" s="1707">
        <v>3</v>
      </c>
      <c r="B42" s="1712" t="s">
        <v>121</v>
      </c>
      <c r="C42" s="1713" t="s">
        <v>757</v>
      </c>
      <c r="D42" s="751" t="s">
        <v>749</v>
      </c>
      <c r="E42" s="1724">
        <f>IFERROR(ROUND('2. Променливи'!E126/'2. Променливи'!E122*100,2),0)</f>
        <v>0</v>
      </c>
      <c r="F42" s="1724">
        <f>IFERROR(ROUND('2. Променливи'!F126/'2. Променливи'!F122*100,2),0)</f>
        <v>0</v>
      </c>
      <c r="G42" s="1724">
        <f>IFERROR(ROUND('2. Променливи'!G126/'2. Променливи'!G122*100,2),0)</f>
        <v>0</v>
      </c>
      <c r="H42" s="1724">
        <f>IFERROR(ROUND('2. Променливи'!H126/'2. Променливи'!H122*100,2),0)</f>
        <v>0</v>
      </c>
      <c r="I42" s="1724">
        <f>IFERROR(ROUND('2. Променливи'!I126/'2. Променливи'!I122*100,2),0)</f>
        <v>0</v>
      </c>
      <c r="J42" s="1724">
        <f>IFERROR(ROUND('2. Променливи'!J126/'2. Променливи'!J122*100,2),0)</f>
        <v>0</v>
      </c>
      <c r="K42" s="893">
        <f>IFERROR(ROUND(AVERAGE('2. Променливи'!K126,'2. Променливи'!K122),0),0)</f>
        <v>0</v>
      </c>
      <c r="L42" s="893">
        <f>IFERROR(ROUND(AVERAGE('2. Променливи'!P126,'2. Променливи'!P122),0),0)</f>
        <v>0</v>
      </c>
      <c r="M42" s="1733"/>
      <c r="N42" s="1734"/>
      <c r="O42" s="1684"/>
      <c r="P42" s="936" t="s">
        <v>1328</v>
      </c>
      <c r="Q42" s="1392">
        <f t="shared" si="11"/>
        <v>0</v>
      </c>
      <c r="R42" s="1393">
        <f t="shared" si="12"/>
        <v>0</v>
      </c>
      <c r="S42" s="1393">
        <f t="shared" si="13"/>
        <v>0</v>
      </c>
      <c r="T42" s="1393">
        <f t="shared" si="14"/>
        <v>0</v>
      </c>
      <c r="U42" s="1393">
        <f t="shared" si="15"/>
        <v>0</v>
      </c>
      <c r="V42" s="1735"/>
    </row>
    <row r="43" spans="1:27" ht="15" customHeight="1">
      <c r="A43" s="1707">
        <v>4</v>
      </c>
      <c r="B43" s="1712" t="s">
        <v>130</v>
      </c>
      <c r="C43" s="1713" t="s">
        <v>766</v>
      </c>
      <c r="D43" s="751" t="s">
        <v>170</v>
      </c>
      <c r="E43" s="1728">
        <f>IFERROR(ROUND('2. Променливи'!E130/'2. Променливи'!E122,4),0)</f>
        <v>0</v>
      </c>
      <c r="F43" s="1728">
        <f>IFERROR(ROUND('2. Променливи'!F130/'2. Променливи'!F122,4),0)</f>
        <v>0</v>
      </c>
      <c r="G43" s="1728">
        <f>IFERROR(ROUND('2. Променливи'!G130/'2. Променливи'!G122,4),0)</f>
        <v>0</v>
      </c>
      <c r="H43" s="1728">
        <f>IFERROR(ROUND('2. Променливи'!H130/'2. Променливи'!H122,4),0)</f>
        <v>0</v>
      </c>
      <c r="I43" s="1728">
        <f>IFERROR(ROUND('2. Променливи'!I130/'2. Променливи'!I122,4),0)</f>
        <v>0</v>
      </c>
      <c r="J43" s="1728">
        <f>IFERROR(ROUND('2. Променливи'!J130/'2. Променливи'!J122,4),0)</f>
        <v>0</v>
      </c>
      <c r="K43" s="893">
        <f>IFERROR(ROUND(AVERAGE('2. Променливи'!K130,'2. Променливи'!K122),0),0)</f>
        <v>0</v>
      </c>
      <c r="L43" s="893">
        <f>IFERROR(ROUND(AVERAGE('2. Променливи'!P130,'2. Променливи'!P122),0),0)</f>
        <v>0</v>
      </c>
      <c r="M43" s="1733"/>
      <c r="N43" s="1736"/>
      <c r="O43" s="1737"/>
      <c r="P43" s="937" t="s">
        <v>1327</v>
      </c>
      <c r="Q43" s="772">
        <f t="shared" si="11"/>
        <v>0</v>
      </c>
      <c r="R43" s="773">
        <f t="shared" si="12"/>
        <v>0</v>
      </c>
      <c r="S43" s="773">
        <f t="shared" si="13"/>
        <v>0</v>
      </c>
      <c r="T43" s="773">
        <f t="shared" si="14"/>
        <v>0</v>
      </c>
      <c r="U43" s="773">
        <f t="shared" si="15"/>
        <v>0</v>
      </c>
      <c r="V43" s="1735"/>
    </row>
    <row r="44" spans="1:27" ht="29.25" customHeight="1" thickBot="1">
      <c r="A44" s="1720">
        <v>5</v>
      </c>
      <c r="B44" s="1721" t="s">
        <v>131</v>
      </c>
      <c r="C44" s="1738" t="s">
        <v>47</v>
      </c>
      <c r="D44" s="752" t="s">
        <v>1033</v>
      </c>
      <c r="E44" s="1739">
        <f>IFERROR(ROUND('2. Променливи'!E132/'2. Променливи'!E133,2),0)</f>
        <v>0</v>
      </c>
      <c r="F44" s="1739">
        <f>IFERROR(ROUND('2. Променливи'!F132/'2. Променливи'!F133,2),0)</f>
        <v>0</v>
      </c>
      <c r="G44" s="1739">
        <f>IFERROR(ROUND('2. Променливи'!G132/'2. Променливи'!G133,2),0)</f>
        <v>0</v>
      </c>
      <c r="H44" s="1739">
        <f>IFERROR(ROUND('2. Променливи'!H132/'2. Променливи'!H133,2),0)</f>
        <v>0</v>
      </c>
      <c r="I44" s="1739">
        <f>IFERROR(ROUND('2. Променливи'!I132/'2. Променливи'!I133,2),0)</f>
        <v>0</v>
      </c>
      <c r="J44" s="1739">
        <f>IFERROR(ROUND('2. Променливи'!J132/'2. Променливи'!J133,2),0)</f>
        <v>0</v>
      </c>
      <c r="K44" s="337">
        <f>IFERROR(ROUND(AVERAGE('2. Променливи'!K132,'2. Променливи'!K133),0),0)</f>
        <v>0</v>
      </c>
      <c r="L44" s="894">
        <f>IFERROR(ROUND(AVERAGE('2. Променливи'!P132,'2. Променливи'!P133),0),0)</f>
        <v>0</v>
      </c>
      <c r="M44" s="1740"/>
      <c r="N44" s="1741"/>
      <c r="O44" s="1684"/>
      <c r="P44" s="938" t="s">
        <v>1327</v>
      </c>
      <c r="Q44" s="1402">
        <f t="shared" si="11"/>
        <v>0</v>
      </c>
      <c r="R44" s="1396">
        <f t="shared" si="12"/>
        <v>0</v>
      </c>
      <c r="S44" s="1396">
        <f t="shared" si="13"/>
        <v>0</v>
      </c>
      <c r="T44" s="1396">
        <f t="shared" si="14"/>
        <v>0</v>
      </c>
      <c r="U44" s="1396">
        <f t="shared" si="15"/>
        <v>0</v>
      </c>
      <c r="V44" s="1742"/>
    </row>
    <row r="45" spans="1:27">
      <c r="F45" s="1744"/>
      <c r="G45" s="1744"/>
      <c r="L45" s="1745"/>
    </row>
    <row r="46" spans="1:27" hidden="1">
      <c r="E46" s="1744"/>
    </row>
    <row r="47" spans="1:27" hidden="1">
      <c r="E47" s="1744"/>
      <c r="F47" s="1744"/>
      <c r="G47" s="1744"/>
    </row>
    <row r="48" spans="1:27">
      <c r="E48" s="1744"/>
      <c r="F48" s="1744"/>
      <c r="G48" s="1744"/>
    </row>
    <row r="49" spans="1:14">
      <c r="C49" s="1683" t="str">
        <f>'Приложение '!B82</f>
        <v>Дата: 29.06.2026</v>
      </c>
      <c r="M49" s="1681"/>
    </row>
    <row r="50" spans="1:14">
      <c r="D50" s="4823"/>
      <c r="E50" s="4823"/>
      <c r="M50" s="1681"/>
      <c r="N50" s="1746"/>
    </row>
    <row r="51" spans="1:14">
      <c r="M51" s="1681"/>
    </row>
    <row r="52" spans="1:14">
      <c r="A52" s="1685" t="s">
        <v>555</v>
      </c>
    </row>
    <row r="53" spans="1:14">
      <c r="A53" s="2983" t="str">
        <f>CONCATENATE("1. Попълват се само клетките в жълт цвят съгласно определените с решение на КЕВР индивидуални цели на дружеството за ",J7)</f>
        <v>1. Попълват се само клетките в жълт цвят съгласно определените с решение на КЕВР индивидуални цели на дружеството за 2031 г.</v>
      </c>
    </row>
    <row r="54" spans="1:14">
      <c r="A54" s="3669" t="s">
        <v>1436</v>
      </c>
    </row>
    <row r="55" spans="1:14">
      <c r="A55" s="3669" t="s">
        <v>1472</v>
      </c>
      <c r="B55" s="3669"/>
    </row>
    <row r="56" spans="1:14">
      <c r="A56" s="3669" t="str">
        <f>CONCATENATE("4. В случай, че дружеството планира за ",J7," различна цел от определената с решение на КЕВР индивидуална цел по даден показател, в колона ""Отклонение ",J7," спрямо индивидуалната цел за ",J7,"""ще сепояви червена маркировка.")</f>
        <v>4. В случай, че дружеството планира за 2031 г. различна цел от определената с решение на КЕВР индивидуална цел по даден показател, в колона "Отклонение 2031 г. спрямо индивидуалната цел за 2031 г."ще сепояви червена маркировка.</v>
      </c>
    </row>
  </sheetData>
  <sheetProtection algorithmName="SHA-512" hashValue="+7gxySq4zGAFK3wVIKjIDCUK3M5sLSxxpR7OF7NKtnaGaBxJcSEFCec3pE6e8PXT3Fq1S6EBqzVSSA37RQ/Xug==" saltValue="I+rRXrZLOZvy6OH3IWYU2g==" spinCount="100000" sheet="1" formatCells="0" formatColumns="0" formatRows="0"/>
  <mergeCells count="9">
    <mergeCell ref="M1:N1"/>
    <mergeCell ref="D50:E50"/>
    <mergeCell ref="A39:N39"/>
    <mergeCell ref="X8:AA8"/>
    <mergeCell ref="A8:N8"/>
    <mergeCell ref="A3:N3"/>
    <mergeCell ref="A4:N4"/>
    <mergeCell ref="A5:N5"/>
    <mergeCell ref="A2:N2"/>
  </mergeCells>
  <conditionalFormatting sqref="F9">
    <cfRule type="cellIs" dxfId="232" priority="194" operator="lessThan">
      <formula>$E$9</formula>
    </cfRule>
  </conditionalFormatting>
  <conditionalFormatting sqref="F10">
    <cfRule type="cellIs" dxfId="231" priority="189" operator="lessThan">
      <formula>$E$10</formula>
    </cfRule>
  </conditionalFormatting>
  <conditionalFormatting sqref="F11">
    <cfRule type="cellIs" dxfId="230" priority="184" operator="lessThan">
      <formula>$E$11</formula>
    </cfRule>
  </conditionalFormatting>
  <conditionalFormatting sqref="F12">
    <cfRule type="cellIs" dxfId="229" priority="179" operator="lessThan">
      <formula>$E$12</formula>
    </cfRule>
  </conditionalFormatting>
  <conditionalFormatting sqref="F13">
    <cfRule type="cellIs" dxfId="228" priority="174" operator="greaterThan">
      <formula>$E$13</formula>
    </cfRule>
  </conditionalFormatting>
  <conditionalFormatting sqref="F14">
    <cfRule type="cellIs" dxfId="227" priority="151" operator="greaterThan">
      <formula>$E$14</formula>
    </cfRule>
  </conditionalFormatting>
  <conditionalFormatting sqref="F15">
    <cfRule type="cellIs" dxfId="226" priority="146" operator="greaterThan">
      <formula>$E$15</formula>
    </cfRule>
  </conditionalFormatting>
  <conditionalFormatting sqref="F16">
    <cfRule type="cellIs" dxfId="225" priority="141" operator="greaterThan">
      <formula>$E$16</formula>
    </cfRule>
  </conditionalFormatting>
  <conditionalFormatting sqref="F17 I17">
    <cfRule type="cellIs" dxfId="224" priority="136" operator="lessThan">
      <formula>$E$17</formula>
    </cfRule>
  </conditionalFormatting>
  <conditionalFormatting sqref="F18">
    <cfRule type="cellIs" dxfId="223" priority="133" operator="lessThan">
      <formula>$E$18</formula>
    </cfRule>
  </conditionalFormatting>
  <conditionalFormatting sqref="F19">
    <cfRule type="cellIs" dxfId="222" priority="128" operator="lessThan">
      <formula>$E$19</formula>
    </cfRule>
  </conditionalFormatting>
  <conditionalFormatting sqref="F20">
    <cfRule type="cellIs" dxfId="221" priority="123" operator="lessThan">
      <formula>$E$20</formula>
    </cfRule>
  </conditionalFormatting>
  <conditionalFormatting sqref="F21">
    <cfRule type="cellIs" dxfId="220" priority="118" operator="greaterThan">
      <formula>$E$21</formula>
    </cfRule>
  </conditionalFormatting>
  <conditionalFormatting sqref="F22">
    <cfRule type="cellIs" dxfId="219" priority="113" operator="greaterThan">
      <formula>$E$22</formula>
    </cfRule>
  </conditionalFormatting>
  <conditionalFormatting sqref="F23">
    <cfRule type="cellIs" dxfId="218" priority="108" operator="greaterThan">
      <formula>$E$23</formula>
    </cfRule>
  </conditionalFormatting>
  <conditionalFormatting sqref="F24">
    <cfRule type="cellIs" dxfId="217" priority="103" operator="greaterThan">
      <formula>$E$24</formula>
    </cfRule>
  </conditionalFormatting>
  <conditionalFormatting sqref="F26">
    <cfRule type="cellIs" dxfId="216" priority="94" operator="lessThan">
      <formula>$E$26</formula>
    </cfRule>
  </conditionalFormatting>
  <conditionalFormatting sqref="F27">
    <cfRule type="cellIs" dxfId="215" priority="88" operator="lessThan">
      <formula>$E$27</formula>
    </cfRule>
  </conditionalFormatting>
  <conditionalFormatting sqref="F28">
    <cfRule type="cellIs" dxfId="214" priority="83" operator="lessThan">
      <formula>$E$28</formula>
    </cfRule>
  </conditionalFormatting>
  <conditionalFormatting sqref="F29">
    <cfRule type="cellIs" dxfId="213" priority="78" operator="lessThan">
      <formula>$E$29</formula>
    </cfRule>
  </conditionalFormatting>
  <conditionalFormatting sqref="F30">
    <cfRule type="cellIs" dxfId="212" priority="73" operator="lessThan">
      <formula>$E$30</formula>
    </cfRule>
  </conditionalFormatting>
  <conditionalFormatting sqref="F31">
    <cfRule type="cellIs" dxfId="211" priority="68" operator="lessThan">
      <formula>$E$31</formula>
    </cfRule>
  </conditionalFormatting>
  <conditionalFormatting sqref="F32">
    <cfRule type="cellIs" dxfId="210" priority="63" operator="lessThan">
      <formula>$E$32</formula>
    </cfRule>
  </conditionalFormatting>
  <conditionalFormatting sqref="F33">
    <cfRule type="cellIs" dxfId="209" priority="58" operator="lessThan">
      <formula>$E$33</formula>
    </cfRule>
  </conditionalFormatting>
  <conditionalFormatting sqref="F34">
    <cfRule type="cellIs" dxfId="208" priority="53" operator="lessThan">
      <formula>$E$34</formula>
    </cfRule>
  </conditionalFormatting>
  <conditionalFormatting sqref="F35">
    <cfRule type="cellIs" dxfId="207" priority="52" operator="lessThan">
      <formula>$E$35</formula>
    </cfRule>
  </conditionalFormatting>
  <conditionalFormatting sqref="F36">
    <cfRule type="cellIs" dxfId="206" priority="51" operator="lessThan">
      <formula>$E$36</formula>
    </cfRule>
  </conditionalFormatting>
  <conditionalFormatting sqref="F37">
    <cfRule type="cellIs" dxfId="205" priority="38" operator="greaterThan">
      <formula>$E$37</formula>
    </cfRule>
  </conditionalFormatting>
  <conditionalFormatting sqref="F38">
    <cfRule type="cellIs" dxfId="204" priority="37" operator="greaterThan">
      <formula>$E$38</formula>
    </cfRule>
  </conditionalFormatting>
  <conditionalFormatting sqref="F40">
    <cfRule type="cellIs" dxfId="203" priority="28" operator="greaterThan">
      <formula>$E$40</formula>
    </cfRule>
  </conditionalFormatting>
  <conditionalFormatting sqref="F41">
    <cfRule type="cellIs" dxfId="202" priority="23" operator="greaterThan">
      <formula>$E$41</formula>
    </cfRule>
  </conditionalFormatting>
  <conditionalFormatting sqref="F42">
    <cfRule type="cellIs" dxfId="201" priority="18" operator="greaterThan">
      <formula>$E$42</formula>
    </cfRule>
  </conditionalFormatting>
  <conditionalFormatting sqref="F43">
    <cfRule type="cellIs" dxfId="200" priority="13" operator="lessThan">
      <formula>$E$43</formula>
    </cfRule>
  </conditionalFormatting>
  <conditionalFormatting sqref="F44">
    <cfRule type="cellIs" dxfId="199" priority="8" operator="lessThan">
      <formula>$E$44</formula>
    </cfRule>
  </conditionalFormatting>
  <conditionalFormatting sqref="G9">
    <cfRule type="cellIs" dxfId="198" priority="193" operator="lessThan">
      <formula>$F$9</formula>
    </cfRule>
  </conditionalFormatting>
  <conditionalFormatting sqref="G10">
    <cfRule type="cellIs" dxfId="197" priority="188" operator="lessThan">
      <formula>$F$10</formula>
    </cfRule>
  </conditionalFormatting>
  <conditionalFormatting sqref="G11">
    <cfRule type="cellIs" dxfId="196" priority="183" operator="lessThan">
      <formula>$F$11</formula>
    </cfRule>
  </conditionalFormatting>
  <conditionalFormatting sqref="G12">
    <cfRule type="cellIs" dxfId="195" priority="178" operator="lessThan">
      <formula>$F$12</formula>
    </cfRule>
  </conditionalFormatting>
  <conditionalFormatting sqref="G13">
    <cfRule type="cellIs" dxfId="194" priority="173" operator="greaterThan">
      <formula>$F$13</formula>
    </cfRule>
  </conditionalFormatting>
  <conditionalFormatting sqref="G14">
    <cfRule type="cellIs" dxfId="193" priority="150" operator="greaterThan">
      <formula>$F$14</formula>
    </cfRule>
  </conditionalFormatting>
  <conditionalFormatting sqref="G15">
    <cfRule type="cellIs" dxfId="192" priority="145" operator="greaterThan">
      <formula>$F$15</formula>
    </cfRule>
  </conditionalFormatting>
  <conditionalFormatting sqref="G16">
    <cfRule type="cellIs" dxfId="191" priority="140" operator="greaterThan">
      <formula>$F$16</formula>
    </cfRule>
  </conditionalFormatting>
  <conditionalFormatting sqref="G17 J17">
    <cfRule type="cellIs" dxfId="190" priority="135" operator="lessThan">
      <formula>$F$17</formula>
    </cfRule>
  </conditionalFormatting>
  <conditionalFormatting sqref="G18">
    <cfRule type="cellIs" dxfId="189" priority="132" operator="lessThan">
      <formula>$F$18</formula>
    </cfRule>
  </conditionalFormatting>
  <conditionalFormatting sqref="G19">
    <cfRule type="cellIs" dxfId="188" priority="127" operator="lessThan">
      <formula>$F$19</formula>
    </cfRule>
  </conditionalFormatting>
  <conditionalFormatting sqref="G20">
    <cfRule type="cellIs" dxfId="187" priority="122" operator="lessThan">
      <formula>$F$20</formula>
    </cfRule>
  </conditionalFormatting>
  <conditionalFormatting sqref="G21">
    <cfRule type="cellIs" dxfId="186" priority="117" operator="greaterThan">
      <formula>$F$21</formula>
    </cfRule>
  </conditionalFormatting>
  <conditionalFormatting sqref="G22">
    <cfRule type="cellIs" dxfId="185" priority="112" operator="greaterThan">
      <formula>$F$22</formula>
    </cfRule>
  </conditionalFormatting>
  <conditionalFormatting sqref="G23">
    <cfRule type="cellIs" dxfId="184" priority="107" operator="greaterThan">
      <formula>$F$23</formula>
    </cfRule>
  </conditionalFormatting>
  <conditionalFormatting sqref="G24">
    <cfRule type="cellIs" dxfId="183" priority="102" operator="greaterThan">
      <formula>$F$24</formula>
    </cfRule>
  </conditionalFormatting>
  <conditionalFormatting sqref="G25">
    <cfRule type="cellIs" dxfId="182" priority="98" operator="lessThan">
      <formula>$F$25</formula>
    </cfRule>
  </conditionalFormatting>
  <conditionalFormatting sqref="G26">
    <cfRule type="cellIs" dxfId="181" priority="93" operator="lessThan">
      <formula>$F$26</formula>
    </cfRule>
  </conditionalFormatting>
  <conditionalFormatting sqref="G27">
    <cfRule type="cellIs" dxfId="180" priority="87" operator="lessThan">
      <formula>$F$27</formula>
    </cfRule>
  </conditionalFormatting>
  <conditionalFormatting sqref="G28">
    <cfRule type="cellIs" dxfId="179" priority="82" operator="lessThan">
      <formula>$F$28</formula>
    </cfRule>
  </conditionalFormatting>
  <conditionalFormatting sqref="G29">
    <cfRule type="cellIs" dxfId="178" priority="77" operator="lessThan">
      <formula>$F$29</formula>
    </cfRule>
  </conditionalFormatting>
  <conditionalFormatting sqref="G30">
    <cfRule type="cellIs" dxfId="177" priority="72" operator="lessThan">
      <formula>$F$30</formula>
    </cfRule>
  </conditionalFormatting>
  <conditionalFormatting sqref="G31">
    <cfRule type="cellIs" dxfId="176" priority="67" operator="lessThan">
      <formula>$F$31</formula>
    </cfRule>
  </conditionalFormatting>
  <conditionalFormatting sqref="G32">
    <cfRule type="cellIs" dxfId="175" priority="62" operator="lessThan">
      <formula>$F$32</formula>
    </cfRule>
  </conditionalFormatting>
  <conditionalFormatting sqref="G33">
    <cfRule type="cellIs" dxfId="174" priority="57" operator="lessThan">
      <formula>$F$33</formula>
    </cfRule>
  </conditionalFormatting>
  <conditionalFormatting sqref="G34">
    <cfRule type="cellIs" dxfId="173" priority="50" operator="lessThan">
      <formula>$F$34</formula>
    </cfRule>
  </conditionalFormatting>
  <conditionalFormatting sqref="G35">
    <cfRule type="cellIs" dxfId="172" priority="46" operator="lessThan">
      <formula>$F$35</formula>
    </cfRule>
  </conditionalFormatting>
  <conditionalFormatting sqref="G36">
    <cfRule type="cellIs" dxfId="171" priority="42" operator="lessThan">
      <formula>$F$36</formula>
    </cfRule>
  </conditionalFormatting>
  <conditionalFormatting sqref="G37">
    <cfRule type="cellIs" dxfId="170" priority="36" operator="greaterThan">
      <formula>$F$37</formula>
    </cfRule>
  </conditionalFormatting>
  <conditionalFormatting sqref="G38">
    <cfRule type="cellIs" dxfId="169" priority="35" operator="greaterThan">
      <formula>$F$38</formula>
    </cfRule>
  </conditionalFormatting>
  <conditionalFormatting sqref="G40">
    <cfRule type="cellIs" dxfId="168" priority="27" operator="greaterThan">
      <formula>$F$40</formula>
    </cfRule>
  </conditionalFormatting>
  <conditionalFormatting sqref="G41">
    <cfRule type="cellIs" dxfId="167" priority="22" operator="greaterThan">
      <formula>$F$41</formula>
    </cfRule>
  </conditionalFormatting>
  <conditionalFormatting sqref="G42">
    <cfRule type="cellIs" dxfId="166" priority="17" operator="greaterThan">
      <formula>$F$42</formula>
    </cfRule>
  </conditionalFormatting>
  <conditionalFormatting sqref="G43">
    <cfRule type="cellIs" dxfId="165" priority="12" operator="lessThan">
      <formula>$F$43</formula>
    </cfRule>
  </conditionalFormatting>
  <conditionalFormatting sqref="G44">
    <cfRule type="cellIs" dxfId="164" priority="7" operator="lessThan">
      <formula>$F$44</formula>
    </cfRule>
  </conditionalFormatting>
  <conditionalFormatting sqref="H9">
    <cfRule type="cellIs" dxfId="163" priority="192" operator="lessThan">
      <formula>$G$9</formula>
    </cfRule>
  </conditionalFormatting>
  <conditionalFormatting sqref="H10">
    <cfRule type="cellIs" dxfId="162" priority="187" operator="lessThan">
      <formula>$G$10</formula>
    </cfRule>
  </conditionalFormatting>
  <conditionalFormatting sqref="H11">
    <cfRule type="cellIs" dxfId="161" priority="182" operator="lessThan">
      <formula>$G$11</formula>
    </cfRule>
  </conditionalFormatting>
  <conditionalFormatting sqref="H12">
    <cfRule type="cellIs" dxfId="160" priority="177" operator="lessThan">
      <formula>$G$12</formula>
    </cfRule>
  </conditionalFormatting>
  <conditionalFormatting sqref="H13">
    <cfRule type="cellIs" dxfId="159" priority="172" operator="greaterThan">
      <formula>$G$13</formula>
    </cfRule>
  </conditionalFormatting>
  <conditionalFormatting sqref="H14">
    <cfRule type="cellIs" dxfId="158" priority="149" operator="greaterThan">
      <formula>$G$14</formula>
    </cfRule>
  </conditionalFormatting>
  <conditionalFormatting sqref="H15">
    <cfRule type="cellIs" dxfId="157" priority="144" operator="greaterThan">
      <formula>$G$15</formula>
    </cfRule>
  </conditionalFormatting>
  <conditionalFormatting sqref="H16">
    <cfRule type="cellIs" dxfId="156" priority="139" operator="greaterThan">
      <formula>$G$16</formula>
    </cfRule>
  </conditionalFormatting>
  <conditionalFormatting sqref="H17">
    <cfRule type="cellIs" dxfId="155" priority="134" operator="lessThan">
      <formula>$G$17</formula>
    </cfRule>
  </conditionalFormatting>
  <conditionalFormatting sqref="H18">
    <cfRule type="cellIs" dxfId="154" priority="131" operator="lessThan">
      <formula>$G$18</formula>
    </cfRule>
  </conditionalFormatting>
  <conditionalFormatting sqref="H19">
    <cfRule type="cellIs" dxfId="153" priority="126" operator="lessThan">
      <formula>$G$19</formula>
    </cfRule>
  </conditionalFormatting>
  <conditionalFormatting sqref="H20">
    <cfRule type="cellIs" dxfId="152" priority="121" operator="lessThan">
      <formula>$G$20</formula>
    </cfRule>
  </conditionalFormatting>
  <conditionalFormatting sqref="H21">
    <cfRule type="cellIs" dxfId="151" priority="116" operator="greaterThan">
      <formula>$G$21</formula>
    </cfRule>
  </conditionalFormatting>
  <conditionalFormatting sqref="H22">
    <cfRule type="cellIs" dxfId="150" priority="111" operator="greaterThan">
      <formula>$G$22</formula>
    </cfRule>
  </conditionalFormatting>
  <conditionalFormatting sqref="H23">
    <cfRule type="cellIs" dxfId="149" priority="106" operator="greaterThan">
      <formula>$G$23</formula>
    </cfRule>
  </conditionalFormatting>
  <conditionalFormatting sqref="H24">
    <cfRule type="cellIs" dxfId="148" priority="101" operator="greaterThan">
      <formula>$G$24</formula>
    </cfRule>
  </conditionalFormatting>
  <conditionalFormatting sqref="H25">
    <cfRule type="cellIs" dxfId="147" priority="97" operator="lessThan">
      <formula>$G$25</formula>
    </cfRule>
  </conditionalFormatting>
  <conditionalFormatting sqref="H26">
    <cfRule type="cellIs" dxfId="146" priority="92" operator="lessThan">
      <formula>$G$26</formula>
    </cfRule>
  </conditionalFormatting>
  <conditionalFormatting sqref="H27">
    <cfRule type="cellIs" dxfId="145" priority="86" operator="lessThan">
      <formula>$G$27</formula>
    </cfRule>
  </conditionalFormatting>
  <conditionalFormatting sqref="H28">
    <cfRule type="cellIs" dxfId="144" priority="81" operator="lessThan">
      <formula>$G$28</formula>
    </cfRule>
  </conditionalFormatting>
  <conditionalFormatting sqref="H29">
    <cfRule type="cellIs" dxfId="143" priority="76" operator="lessThan">
      <formula>$G$29</formula>
    </cfRule>
  </conditionalFormatting>
  <conditionalFormatting sqref="H30">
    <cfRule type="cellIs" dxfId="142" priority="71" operator="lessThan">
      <formula>$G$30</formula>
    </cfRule>
  </conditionalFormatting>
  <conditionalFormatting sqref="H31">
    <cfRule type="cellIs" dxfId="141" priority="66" operator="lessThan">
      <formula>$G$31</formula>
    </cfRule>
  </conditionalFormatting>
  <conditionalFormatting sqref="H32">
    <cfRule type="cellIs" dxfId="140" priority="61" operator="lessThan">
      <formula>$G$32</formula>
    </cfRule>
  </conditionalFormatting>
  <conditionalFormatting sqref="H33">
    <cfRule type="cellIs" dxfId="139" priority="56" operator="lessThan">
      <formula>$G$33</formula>
    </cfRule>
  </conditionalFormatting>
  <conditionalFormatting sqref="H34">
    <cfRule type="cellIs" dxfId="138" priority="49" operator="lessThan">
      <formula>$G$34</formula>
    </cfRule>
  </conditionalFormatting>
  <conditionalFormatting sqref="H35">
    <cfRule type="cellIs" dxfId="137" priority="45" operator="lessThan">
      <formula>$G$35</formula>
    </cfRule>
  </conditionalFormatting>
  <conditionalFormatting sqref="H36">
    <cfRule type="cellIs" dxfId="136" priority="41" operator="lessThan">
      <formula>$G$36</formula>
    </cfRule>
  </conditionalFormatting>
  <conditionalFormatting sqref="H37">
    <cfRule type="cellIs" dxfId="135" priority="34" operator="greaterThan">
      <formula>$G$37</formula>
    </cfRule>
  </conditionalFormatting>
  <conditionalFormatting sqref="H38">
    <cfRule type="cellIs" dxfId="134" priority="31" operator="greaterThan">
      <formula>$G$38</formula>
    </cfRule>
  </conditionalFormatting>
  <conditionalFormatting sqref="H40">
    <cfRule type="cellIs" dxfId="133" priority="26" operator="greaterThan">
      <formula>$G$40</formula>
    </cfRule>
  </conditionalFormatting>
  <conditionalFormatting sqref="H41">
    <cfRule type="cellIs" dxfId="132" priority="21" operator="greaterThan">
      <formula>$G$41</formula>
    </cfRule>
  </conditionalFormatting>
  <conditionalFormatting sqref="H42">
    <cfRule type="cellIs" dxfId="131" priority="16" operator="greaterThan">
      <formula>$G$42</formula>
    </cfRule>
  </conditionalFormatting>
  <conditionalFormatting sqref="H43">
    <cfRule type="cellIs" dxfId="130" priority="11" operator="lessThan">
      <formula>$G$43</formula>
    </cfRule>
  </conditionalFormatting>
  <conditionalFormatting sqref="H44">
    <cfRule type="cellIs" dxfId="129" priority="6" operator="lessThan">
      <formula>$G$44</formula>
    </cfRule>
  </conditionalFormatting>
  <conditionalFormatting sqref="I9">
    <cfRule type="cellIs" dxfId="128" priority="191" operator="lessThan">
      <formula>$H$9</formula>
    </cfRule>
  </conditionalFormatting>
  <conditionalFormatting sqref="I10">
    <cfRule type="cellIs" dxfId="127" priority="186" operator="lessThan">
      <formula>$H$10</formula>
    </cfRule>
  </conditionalFormatting>
  <conditionalFormatting sqref="I11">
    <cfRule type="cellIs" dxfId="126" priority="181" operator="lessThan">
      <formula>$H$11</formula>
    </cfRule>
  </conditionalFormatting>
  <conditionalFormatting sqref="I12">
    <cfRule type="cellIs" dxfId="125" priority="176" operator="lessThan">
      <formula>$H$12</formula>
    </cfRule>
  </conditionalFormatting>
  <conditionalFormatting sqref="I13">
    <cfRule type="cellIs" dxfId="124" priority="171" operator="greaterThan">
      <formula>$H$13</formula>
    </cfRule>
  </conditionalFormatting>
  <conditionalFormatting sqref="I14">
    <cfRule type="cellIs" dxfId="123" priority="148" operator="greaterThan">
      <formula>$H$14</formula>
    </cfRule>
  </conditionalFormatting>
  <conditionalFormatting sqref="I15">
    <cfRule type="cellIs" dxfId="122" priority="143" operator="greaterThan">
      <formula>$H$15</formula>
    </cfRule>
  </conditionalFormatting>
  <conditionalFormatting sqref="I16">
    <cfRule type="cellIs" dxfId="121" priority="138" operator="greaterThan">
      <formula>$H$16</formula>
    </cfRule>
  </conditionalFormatting>
  <conditionalFormatting sqref="I18">
    <cfRule type="cellIs" dxfId="120" priority="130" operator="lessThan">
      <formula>$H$18</formula>
    </cfRule>
  </conditionalFormatting>
  <conditionalFormatting sqref="I19">
    <cfRule type="cellIs" dxfId="119" priority="125" operator="lessThan">
      <formula>$H$19</formula>
    </cfRule>
  </conditionalFormatting>
  <conditionalFormatting sqref="I20">
    <cfRule type="cellIs" dxfId="118" priority="120" operator="lessThan">
      <formula>$H$20</formula>
    </cfRule>
  </conditionalFormatting>
  <conditionalFormatting sqref="I21">
    <cfRule type="cellIs" dxfId="117" priority="115" operator="greaterThan">
      <formula>$H$21</formula>
    </cfRule>
  </conditionalFormatting>
  <conditionalFormatting sqref="I22">
    <cfRule type="cellIs" dxfId="116" priority="110" operator="greaterThan">
      <formula>$H$22</formula>
    </cfRule>
  </conditionalFormatting>
  <conditionalFormatting sqref="I23">
    <cfRule type="cellIs" dxfId="115" priority="105" operator="greaterThan">
      <formula>$H$23</formula>
    </cfRule>
  </conditionalFormatting>
  <conditionalFormatting sqref="I24">
    <cfRule type="cellIs" dxfId="114" priority="100" operator="greaterThan">
      <formula>$H$24</formula>
    </cfRule>
  </conditionalFormatting>
  <conditionalFormatting sqref="I25">
    <cfRule type="cellIs" dxfId="113" priority="96" operator="lessThan">
      <formula>$H$25</formula>
    </cfRule>
  </conditionalFormatting>
  <conditionalFormatting sqref="I26">
    <cfRule type="cellIs" dxfId="112" priority="90" operator="lessThan">
      <formula>$H$26</formula>
    </cfRule>
  </conditionalFormatting>
  <conditionalFormatting sqref="I27">
    <cfRule type="cellIs" dxfId="111" priority="85" operator="lessThan">
      <formula>$H$27</formula>
    </cfRule>
  </conditionalFormatting>
  <conditionalFormatting sqref="I28">
    <cfRule type="cellIs" dxfId="110" priority="80" operator="lessThan">
      <formula>$H$28</formula>
    </cfRule>
  </conditionalFormatting>
  <conditionalFormatting sqref="I29">
    <cfRule type="cellIs" dxfId="109" priority="75" operator="lessThan">
      <formula>$H$29</formula>
    </cfRule>
  </conditionalFormatting>
  <conditionalFormatting sqref="I30">
    <cfRule type="cellIs" dxfId="108" priority="70" operator="lessThan">
      <formula>$H$30</formula>
    </cfRule>
  </conditionalFormatting>
  <conditionalFormatting sqref="I31">
    <cfRule type="cellIs" dxfId="107" priority="65" operator="lessThan">
      <formula>$H$31</formula>
    </cfRule>
  </conditionalFormatting>
  <conditionalFormatting sqref="I32">
    <cfRule type="cellIs" dxfId="106" priority="60" operator="lessThan">
      <formula>$H$32</formula>
    </cfRule>
  </conditionalFormatting>
  <conditionalFormatting sqref="I33">
    <cfRule type="cellIs" dxfId="105" priority="55" operator="lessThan">
      <formula>$H$33</formula>
    </cfRule>
  </conditionalFormatting>
  <conditionalFormatting sqref="I34">
    <cfRule type="cellIs" dxfId="104" priority="48" operator="lessThan">
      <formula>$H$34</formula>
    </cfRule>
  </conditionalFormatting>
  <conditionalFormatting sqref="I35">
    <cfRule type="cellIs" dxfId="103" priority="44" operator="lessThan">
      <formula>$H$35</formula>
    </cfRule>
  </conditionalFormatting>
  <conditionalFormatting sqref="I36">
    <cfRule type="cellIs" dxfId="102" priority="40" operator="lessThan">
      <formula>$H$36</formula>
    </cfRule>
  </conditionalFormatting>
  <conditionalFormatting sqref="I37">
    <cfRule type="cellIs" dxfId="101" priority="33" operator="greaterThan">
      <formula>$H$37</formula>
    </cfRule>
  </conditionalFormatting>
  <conditionalFormatting sqref="I38">
    <cfRule type="cellIs" dxfId="100" priority="30" operator="greaterThan">
      <formula>$H$38</formula>
    </cfRule>
  </conditionalFormatting>
  <conditionalFormatting sqref="I40">
    <cfRule type="cellIs" dxfId="99" priority="25" operator="greaterThan">
      <formula>$H$40</formula>
    </cfRule>
  </conditionalFormatting>
  <conditionalFormatting sqref="I41">
    <cfRule type="cellIs" dxfId="98" priority="20" operator="greaterThan">
      <formula>$H$41</formula>
    </cfRule>
  </conditionalFormatting>
  <conditionalFormatting sqref="I42">
    <cfRule type="cellIs" dxfId="97" priority="15" operator="greaterThan">
      <formula>$H$42</formula>
    </cfRule>
  </conditionalFormatting>
  <conditionalFormatting sqref="I43">
    <cfRule type="cellIs" dxfId="96" priority="10" operator="lessThan">
      <formula>$H$43</formula>
    </cfRule>
  </conditionalFormatting>
  <conditionalFormatting sqref="I44">
    <cfRule type="cellIs" dxfId="95" priority="5" operator="lessThan">
      <formula>$H$44</formula>
    </cfRule>
  </conditionalFormatting>
  <conditionalFormatting sqref="J9">
    <cfRule type="cellIs" dxfId="94" priority="190" operator="lessThan">
      <formula>$I$9</formula>
    </cfRule>
  </conditionalFormatting>
  <conditionalFormatting sqref="J10">
    <cfRule type="cellIs" dxfId="93" priority="185" operator="lessThan">
      <formula>$I$10</formula>
    </cfRule>
  </conditionalFormatting>
  <conditionalFormatting sqref="J11">
    <cfRule type="cellIs" dxfId="92" priority="180" operator="lessThan">
      <formula>$I$11</formula>
    </cfRule>
  </conditionalFormatting>
  <conditionalFormatting sqref="J12">
    <cfRule type="cellIs" dxfId="91" priority="175" operator="lessThan">
      <formula>$I$12</formula>
    </cfRule>
  </conditionalFormatting>
  <conditionalFormatting sqref="J13">
    <cfRule type="cellIs" dxfId="90" priority="170" operator="greaterThan">
      <formula>$I$13</formula>
    </cfRule>
  </conditionalFormatting>
  <conditionalFormatting sqref="J14">
    <cfRule type="cellIs" dxfId="89" priority="147" operator="greaterThan">
      <formula>$I$14</formula>
    </cfRule>
  </conditionalFormatting>
  <conditionalFormatting sqref="J15">
    <cfRule type="cellIs" dxfId="88" priority="142" operator="greaterThan">
      <formula>$I$15</formula>
    </cfRule>
  </conditionalFormatting>
  <conditionalFormatting sqref="J16">
    <cfRule type="cellIs" dxfId="87" priority="137" operator="greaterThan">
      <formula>$I$16</formula>
    </cfRule>
  </conditionalFormatting>
  <conditionalFormatting sqref="J18">
    <cfRule type="cellIs" dxfId="86" priority="129" operator="lessThan">
      <formula>$I$18</formula>
    </cfRule>
  </conditionalFormatting>
  <conditionalFormatting sqref="J19">
    <cfRule type="cellIs" dxfId="85" priority="124" operator="lessThan">
      <formula>$I$19</formula>
    </cfRule>
  </conditionalFormatting>
  <conditionalFormatting sqref="J20">
    <cfRule type="cellIs" dxfId="84" priority="119" operator="lessThan">
      <formula>$I$20</formula>
    </cfRule>
  </conditionalFormatting>
  <conditionalFormatting sqref="J21">
    <cfRule type="cellIs" dxfId="83" priority="114" operator="greaterThan">
      <formula>$I$21</formula>
    </cfRule>
  </conditionalFormatting>
  <conditionalFormatting sqref="J22">
    <cfRule type="cellIs" dxfId="82" priority="109" operator="greaterThan">
      <formula>$I$22</formula>
    </cfRule>
  </conditionalFormatting>
  <conditionalFormatting sqref="J23">
    <cfRule type="cellIs" dxfId="81" priority="104" operator="greaterThan">
      <formula>$I$23</formula>
    </cfRule>
  </conditionalFormatting>
  <conditionalFormatting sqref="J24">
    <cfRule type="cellIs" dxfId="80" priority="99" operator="greaterThan">
      <formula>$I$24</formula>
    </cfRule>
  </conditionalFormatting>
  <conditionalFormatting sqref="J25">
    <cfRule type="cellIs" dxfId="79" priority="95" operator="lessThan">
      <formula>$I$25</formula>
    </cfRule>
  </conditionalFormatting>
  <conditionalFormatting sqref="J26">
    <cfRule type="cellIs" dxfId="78" priority="89" operator="lessThan">
      <formula>$I$26</formula>
    </cfRule>
  </conditionalFormatting>
  <conditionalFormatting sqref="J27">
    <cfRule type="cellIs" dxfId="77" priority="84" operator="lessThan">
      <formula>$I$27</formula>
    </cfRule>
  </conditionalFormatting>
  <conditionalFormatting sqref="J28">
    <cfRule type="cellIs" dxfId="76" priority="79" operator="lessThan">
      <formula>$I$28</formula>
    </cfRule>
  </conditionalFormatting>
  <conditionalFormatting sqref="J29">
    <cfRule type="cellIs" dxfId="75" priority="74" operator="lessThan">
      <formula>$I$29</formula>
    </cfRule>
  </conditionalFormatting>
  <conditionalFormatting sqref="J30">
    <cfRule type="cellIs" dxfId="74" priority="69" operator="lessThan">
      <formula>$I$30</formula>
    </cfRule>
  </conditionalFormatting>
  <conditionalFormatting sqref="J31">
    <cfRule type="cellIs" dxfId="73" priority="64" operator="lessThan">
      <formula>$I$31</formula>
    </cfRule>
  </conditionalFormatting>
  <conditionalFormatting sqref="J32">
    <cfRule type="cellIs" dxfId="72" priority="59" operator="lessThan">
      <formula>$I$32</formula>
    </cfRule>
  </conditionalFormatting>
  <conditionalFormatting sqref="J33">
    <cfRule type="cellIs" dxfId="71" priority="54" operator="lessThan">
      <formula>$I$33</formula>
    </cfRule>
  </conditionalFormatting>
  <conditionalFormatting sqref="J34">
    <cfRule type="cellIs" dxfId="70" priority="47" operator="lessThan">
      <formula>$I$34</formula>
    </cfRule>
  </conditionalFormatting>
  <conditionalFormatting sqref="J35">
    <cfRule type="cellIs" dxfId="69" priority="43" operator="lessThan">
      <formula>$I$35</formula>
    </cfRule>
  </conditionalFormatting>
  <conditionalFormatting sqref="J36">
    <cfRule type="cellIs" dxfId="68" priority="39" operator="lessThan">
      <formula>$I$36</formula>
    </cfRule>
  </conditionalFormatting>
  <conditionalFormatting sqref="J37">
    <cfRule type="cellIs" dxfId="67" priority="32" operator="greaterThan">
      <formula>$I$37</formula>
    </cfRule>
  </conditionalFormatting>
  <conditionalFormatting sqref="J38">
    <cfRule type="cellIs" dxfId="66" priority="29" operator="greaterThan">
      <formula>$I$38</formula>
    </cfRule>
  </conditionalFormatting>
  <conditionalFormatting sqref="J40">
    <cfRule type="cellIs" dxfId="65" priority="24" operator="greaterThan">
      <formula>$I$40</formula>
    </cfRule>
  </conditionalFormatting>
  <conditionalFormatting sqref="J41">
    <cfRule type="cellIs" dxfId="64" priority="19" operator="greaterThan">
      <formula>$I$41</formula>
    </cfRule>
  </conditionalFormatting>
  <conditionalFormatting sqref="J42">
    <cfRule type="cellIs" dxfId="63" priority="14" operator="greaterThan">
      <formula>$I$42</formula>
    </cfRule>
  </conditionalFormatting>
  <conditionalFormatting sqref="J43">
    <cfRule type="cellIs" dxfId="62" priority="9" operator="lessThan">
      <formula>$I$43</formula>
    </cfRule>
  </conditionalFormatting>
  <conditionalFormatting sqref="J44">
    <cfRule type="cellIs" dxfId="61" priority="4" operator="lessThan">
      <formula>$I$44</formula>
    </cfRule>
  </conditionalFormatting>
  <conditionalFormatting sqref="P9:P38">
    <cfRule type="cellIs" dxfId="60" priority="216" operator="lessThan">
      <formula>0</formula>
    </cfRule>
  </conditionalFormatting>
  <conditionalFormatting sqref="Q13:U16">
    <cfRule type="cellIs" dxfId="59" priority="205" operator="greaterThan">
      <formula>0</formula>
    </cfRule>
    <cfRule type="cellIs" priority="206" operator="greaterThan">
      <formula>0</formula>
    </cfRule>
  </conditionalFormatting>
  <conditionalFormatting sqref="Q40:U42">
    <cfRule type="cellIs" dxfId="58" priority="154" operator="greaterThan">
      <formula>0</formula>
    </cfRule>
  </conditionalFormatting>
  <conditionalFormatting sqref="Q41:U42">
    <cfRule type="cellIs" priority="155" operator="greaterThan">
      <formula>0</formula>
    </cfRule>
  </conditionalFormatting>
  <conditionalFormatting sqref="Q43:U44">
    <cfRule type="cellIs" dxfId="57" priority="152" operator="lessThan">
      <formula>0</formula>
    </cfRule>
  </conditionalFormatting>
  <conditionalFormatting sqref="Q9:V12">
    <cfRule type="cellIs" dxfId="56" priority="208" operator="lessThan">
      <formula>0</formula>
    </cfRule>
  </conditionalFormatting>
  <conditionalFormatting sqref="Q17:V20">
    <cfRule type="cellIs" dxfId="55" priority="204" operator="lessThan">
      <formula>0</formula>
    </cfRule>
  </conditionalFormatting>
  <conditionalFormatting sqref="Q21:V24">
    <cfRule type="cellIs" dxfId="54" priority="198" operator="greaterThan">
      <formula>0</formula>
    </cfRule>
  </conditionalFormatting>
  <conditionalFormatting sqref="Q25:V36">
    <cfRule type="cellIs" dxfId="53" priority="202" operator="lessThan">
      <formula>0</formula>
    </cfRule>
  </conditionalFormatting>
  <conditionalFormatting sqref="Q37:V38">
    <cfRule type="cellIs" dxfId="52" priority="195" operator="greaterThan">
      <formula>0</formula>
    </cfRule>
  </conditionalFormatting>
  <conditionalFormatting sqref="V13">
    <cfRule type="cellIs" priority="2" operator="greaterThan">
      <formula>0</formula>
    </cfRule>
    <cfRule type="cellIs" dxfId="51" priority="1" operator="greaterThan">
      <formula>0</formula>
    </cfRule>
  </conditionalFormatting>
  <conditionalFormatting sqref="V14">
    <cfRule type="cellIs" dxfId="50" priority="217" operator="greaterThan">
      <formula>$E$14</formula>
    </cfRule>
  </conditionalFormatting>
  <conditionalFormatting sqref="V15:V16">
    <cfRule type="cellIs" dxfId="49" priority="199" operator="greaterThan">
      <formula>0</formula>
    </cfRule>
  </conditionalFormatting>
  <conditionalFormatting sqref="V16">
    <cfRule type="cellIs" priority="200" operator="greaterThan">
      <formula>0</formula>
    </cfRule>
  </conditionalFormatting>
  <printOptions horizontalCentered="1"/>
  <pageMargins left="0" right="0" top="0.27559055118110237" bottom="0.35433070866141736" header="0.31496062992125984" footer="0.11811023622047245"/>
  <pageSetup paperSize="9" scale="60" orientation="landscape"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N123"/>
  <sheetViews>
    <sheetView view="pageBreakPreview" zoomScaleNormal="145" zoomScaleSheetLayoutView="100" workbookViewId="0">
      <pane xSplit="9" ySplit="7" topLeftCell="J8" activePane="bottomRight" state="frozen"/>
      <selection pane="topRight" activeCell="K1" sqref="K1"/>
      <selection pane="bottomLeft" activeCell="A9" sqref="A9"/>
      <selection pane="bottomRight" activeCell="H14" sqref="H14"/>
    </sheetView>
  </sheetViews>
  <sheetFormatPr defaultRowHeight="12.75"/>
  <cols>
    <col min="1" max="1" width="8.42578125" style="1747" customWidth="1"/>
    <col min="2" max="2" width="48.5703125" style="1747" bestFit="1" customWidth="1"/>
    <col min="3" max="3" width="8.42578125" style="1747" customWidth="1"/>
    <col min="4" max="4" width="10.85546875" style="1747" bestFit="1" customWidth="1"/>
    <col min="5" max="5" width="13.140625" style="1747" customWidth="1"/>
    <col min="6" max="7" width="10.5703125" style="1747" customWidth="1"/>
    <col min="8" max="8" width="11" style="1747" customWidth="1"/>
    <col min="9" max="9" width="10.5703125" style="1747" customWidth="1"/>
    <col min="10" max="10" width="12.5703125" style="1747" customWidth="1"/>
    <col min="11" max="11" width="9.5703125" style="1747" bestFit="1" customWidth="1"/>
    <col min="12" max="254" width="9.140625" style="1747"/>
    <col min="255" max="255" width="5.42578125" style="1747" customWidth="1"/>
    <col min="256" max="256" width="56.42578125" style="1747" customWidth="1"/>
    <col min="257" max="257" width="10.42578125" style="1747" customWidth="1"/>
    <col min="258" max="264" width="10.5703125" style="1747" customWidth="1"/>
    <col min="265" max="265" width="9.140625" style="1747"/>
    <col min="266" max="266" width="11.42578125" style="1747" bestFit="1" customWidth="1"/>
    <col min="267" max="267" width="9.5703125" style="1747" bestFit="1" customWidth="1"/>
    <col min="268" max="510" width="9.140625" style="1747"/>
    <col min="511" max="511" width="5.42578125" style="1747" customWidth="1"/>
    <col min="512" max="512" width="56.42578125" style="1747" customWidth="1"/>
    <col min="513" max="513" width="10.42578125" style="1747" customWidth="1"/>
    <col min="514" max="520" width="10.5703125" style="1747" customWidth="1"/>
    <col min="521" max="521" width="9.140625" style="1747"/>
    <col min="522" max="522" width="11.42578125" style="1747" bestFit="1" customWidth="1"/>
    <col min="523" max="523" width="9.5703125" style="1747" bestFit="1" customWidth="1"/>
    <col min="524" max="766" width="9.140625" style="1747"/>
    <col min="767" max="767" width="5.42578125" style="1747" customWidth="1"/>
    <col min="768" max="768" width="56.42578125" style="1747" customWidth="1"/>
    <col min="769" max="769" width="10.42578125" style="1747" customWidth="1"/>
    <col min="770" max="776" width="10.5703125" style="1747" customWidth="1"/>
    <col min="777" max="777" width="9.140625" style="1747"/>
    <col min="778" max="778" width="11.42578125" style="1747" bestFit="1" customWidth="1"/>
    <col min="779" max="779" width="9.5703125" style="1747" bestFit="1" customWidth="1"/>
    <col min="780" max="1022" width="9.140625" style="1747"/>
    <col min="1023" max="1023" width="5.42578125" style="1747" customWidth="1"/>
    <col min="1024" max="1024" width="56.42578125" style="1747" customWidth="1"/>
    <col min="1025" max="1025" width="10.42578125" style="1747" customWidth="1"/>
    <col min="1026" max="1032" width="10.5703125" style="1747" customWidth="1"/>
    <col min="1033" max="1033" width="9.140625" style="1747"/>
    <col min="1034" max="1034" width="11.42578125" style="1747" bestFit="1" customWidth="1"/>
    <col min="1035" max="1035" width="9.5703125" style="1747" bestFit="1" customWidth="1"/>
    <col min="1036" max="1278" width="9.140625" style="1747"/>
    <col min="1279" max="1279" width="5.42578125" style="1747" customWidth="1"/>
    <col min="1280" max="1280" width="56.42578125" style="1747" customWidth="1"/>
    <col min="1281" max="1281" width="10.42578125" style="1747" customWidth="1"/>
    <col min="1282" max="1288" width="10.5703125" style="1747" customWidth="1"/>
    <col min="1289" max="1289" width="9.140625" style="1747"/>
    <col min="1290" max="1290" width="11.42578125" style="1747" bestFit="1" customWidth="1"/>
    <col min="1291" max="1291" width="9.5703125" style="1747" bestFit="1" customWidth="1"/>
    <col min="1292" max="1534" width="9.140625" style="1747"/>
    <col min="1535" max="1535" width="5.42578125" style="1747" customWidth="1"/>
    <col min="1536" max="1536" width="56.42578125" style="1747" customWidth="1"/>
    <col min="1537" max="1537" width="10.42578125" style="1747" customWidth="1"/>
    <col min="1538" max="1544" width="10.5703125" style="1747" customWidth="1"/>
    <col min="1545" max="1545" width="9.140625" style="1747"/>
    <col min="1546" max="1546" width="11.42578125" style="1747" bestFit="1" customWidth="1"/>
    <col min="1547" max="1547" width="9.5703125" style="1747" bestFit="1" customWidth="1"/>
    <col min="1548" max="1790" width="9.140625" style="1747"/>
    <col min="1791" max="1791" width="5.42578125" style="1747" customWidth="1"/>
    <col min="1792" max="1792" width="56.42578125" style="1747" customWidth="1"/>
    <col min="1793" max="1793" width="10.42578125" style="1747" customWidth="1"/>
    <col min="1794" max="1800" width="10.5703125" style="1747" customWidth="1"/>
    <col min="1801" max="1801" width="9.140625" style="1747"/>
    <col min="1802" max="1802" width="11.42578125" style="1747" bestFit="1" customWidth="1"/>
    <col min="1803" max="1803" width="9.5703125" style="1747" bestFit="1" customWidth="1"/>
    <col min="1804" max="2046" width="9.140625" style="1747"/>
    <col min="2047" max="2047" width="5.42578125" style="1747" customWidth="1"/>
    <col min="2048" max="2048" width="56.42578125" style="1747" customWidth="1"/>
    <col min="2049" max="2049" width="10.42578125" style="1747" customWidth="1"/>
    <col min="2050" max="2056" width="10.5703125" style="1747" customWidth="1"/>
    <col min="2057" max="2057" width="9.140625" style="1747"/>
    <col min="2058" max="2058" width="11.42578125" style="1747" bestFit="1" customWidth="1"/>
    <col min="2059" max="2059" width="9.5703125" style="1747" bestFit="1" customWidth="1"/>
    <col min="2060" max="2302" width="9.140625" style="1747"/>
    <col min="2303" max="2303" width="5.42578125" style="1747" customWidth="1"/>
    <col min="2304" max="2304" width="56.42578125" style="1747" customWidth="1"/>
    <col min="2305" max="2305" width="10.42578125" style="1747" customWidth="1"/>
    <col min="2306" max="2312" width="10.5703125" style="1747" customWidth="1"/>
    <col min="2313" max="2313" width="9.140625" style="1747"/>
    <col min="2314" max="2314" width="11.42578125" style="1747" bestFit="1" customWidth="1"/>
    <col min="2315" max="2315" width="9.5703125" style="1747" bestFit="1" customWidth="1"/>
    <col min="2316" max="2558" width="9.140625" style="1747"/>
    <col min="2559" max="2559" width="5.42578125" style="1747" customWidth="1"/>
    <col min="2560" max="2560" width="56.42578125" style="1747" customWidth="1"/>
    <col min="2561" max="2561" width="10.42578125" style="1747" customWidth="1"/>
    <col min="2562" max="2568" width="10.5703125" style="1747" customWidth="1"/>
    <col min="2569" max="2569" width="9.140625" style="1747"/>
    <col min="2570" max="2570" width="11.42578125" style="1747" bestFit="1" customWidth="1"/>
    <col min="2571" max="2571" width="9.5703125" style="1747" bestFit="1" customWidth="1"/>
    <col min="2572" max="2814" width="9.140625" style="1747"/>
    <col min="2815" max="2815" width="5.42578125" style="1747" customWidth="1"/>
    <col min="2816" max="2816" width="56.42578125" style="1747" customWidth="1"/>
    <col min="2817" max="2817" width="10.42578125" style="1747" customWidth="1"/>
    <col min="2818" max="2824" width="10.5703125" style="1747" customWidth="1"/>
    <col min="2825" max="2825" width="9.140625" style="1747"/>
    <col min="2826" max="2826" width="11.42578125" style="1747" bestFit="1" customWidth="1"/>
    <col min="2827" max="2827" width="9.5703125" style="1747" bestFit="1" customWidth="1"/>
    <col min="2828" max="3070" width="9.140625" style="1747"/>
    <col min="3071" max="3071" width="5.42578125" style="1747" customWidth="1"/>
    <col min="3072" max="3072" width="56.42578125" style="1747" customWidth="1"/>
    <col min="3073" max="3073" width="10.42578125" style="1747" customWidth="1"/>
    <col min="3074" max="3080" width="10.5703125" style="1747" customWidth="1"/>
    <col min="3081" max="3081" width="9.140625" style="1747"/>
    <col min="3082" max="3082" width="11.42578125" style="1747" bestFit="1" customWidth="1"/>
    <col min="3083" max="3083" width="9.5703125" style="1747" bestFit="1" customWidth="1"/>
    <col min="3084" max="3326" width="9.140625" style="1747"/>
    <col min="3327" max="3327" width="5.42578125" style="1747" customWidth="1"/>
    <col min="3328" max="3328" width="56.42578125" style="1747" customWidth="1"/>
    <col min="3329" max="3329" width="10.42578125" style="1747" customWidth="1"/>
    <col min="3330" max="3336" width="10.5703125" style="1747" customWidth="1"/>
    <col min="3337" max="3337" width="9.140625" style="1747"/>
    <col min="3338" max="3338" width="11.42578125" style="1747" bestFit="1" customWidth="1"/>
    <col min="3339" max="3339" width="9.5703125" style="1747" bestFit="1" customWidth="1"/>
    <col min="3340" max="3582" width="9.140625" style="1747"/>
    <col min="3583" max="3583" width="5.42578125" style="1747" customWidth="1"/>
    <col min="3584" max="3584" width="56.42578125" style="1747" customWidth="1"/>
    <col min="3585" max="3585" width="10.42578125" style="1747" customWidth="1"/>
    <col min="3586" max="3592" width="10.5703125" style="1747" customWidth="1"/>
    <col min="3593" max="3593" width="9.140625" style="1747"/>
    <col min="3594" max="3594" width="11.42578125" style="1747" bestFit="1" customWidth="1"/>
    <col min="3595" max="3595" width="9.5703125" style="1747" bestFit="1" customWidth="1"/>
    <col min="3596" max="3838" width="9.140625" style="1747"/>
    <col min="3839" max="3839" width="5.42578125" style="1747" customWidth="1"/>
    <col min="3840" max="3840" width="56.42578125" style="1747" customWidth="1"/>
    <col min="3841" max="3841" width="10.42578125" style="1747" customWidth="1"/>
    <col min="3842" max="3848" width="10.5703125" style="1747" customWidth="1"/>
    <col min="3849" max="3849" width="9.140625" style="1747"/>
    <col min="3850" max="3850" width="11.42578125" style="1747" bestFit="1" customWidth="1"/>
    <col min="3851" max="3851" width="9.5703125" style="1747" bestFit="1" customWidth="1"/>
    <col min="3852" max="4094" width="9.140625" style="1747"/>
    <col min="4095" max="4095" width="5.42578125" style="1747" customWidth="1"/>
    <col min="4096" max="4096" width="56.42578125" style="1747" customWidth="1"/>
    <col min="4097" max="4097" width="10.42578125" style="1747" customWidth="1"/>
    <col min="4098" max="4104" width="10.5703125" style="1747" customWidth="1"/>
    <col min="4105" max="4105" width="9.140625" style="1747"/>
    <col min="4106" max="4106" width="11.42578125" style="1747" bestFit="1" customWidth="1"/>
    <col min="4107" max="4107" width="9.5703125" style="1747" bestFit="1" customWidth="1"/>
    <col min="4108" max="4350" width="9.140625" style="1747"/>
    <col min="4351" max="4351" width="5.42578125" style="1747" customWidth="1"/>
    <col min="4352" max="4352" width="56.42578125" style="1747" customWidth="1"/>
    <col min="4353" max="4353" width="10.42578125" style="1747" customWidth="1"/>
    <col min="4354" max="4360" width="10.5703125" style="1747" customWidth="1"/>
    <col min="4361" max="4361" width="9.140625" style="1747"/>
    <col min="4362" max="4362" width="11.42578125" style="1747" bestFit="1" customWidth="1"/>
    <col min="4363" max="4363" width="9.5703125" style="1747" bestFit="1" customWidth="1"/>
    <col min="4364" max="4606" width="9.140625" style="1747"/>
    <col min="4607" max="4607" width="5.42578125" style="1747" customWidth="1"/>
    <col min="4608" max="4608" width="56.42578125" style="1747" customWidth="1"/>
    <col min="4609" max="4609" width="10.42578125" style="1747" customWidth="1"/>
    <col min="4610" max="4616" width="10.5703125" style="1747" customWidth="1"/>
    <col min="4617" max="4617" width="9.140625" style="1747"/>
    <col min="4618" max="4618" width="11.42578125" style="1747" bestFit="1" customWidth="1"/>
    <col min="4619" max="4619" width="9.5703125" style="1747" bestFit="1" customWidth="1"/>
    <col min="4620" max="4862" width="9.140625" style="1747"/>
    <col min="4863" max="4863" width="5.42578125" style="1747" customWidth="1"/>
    <col min="4864" max="4864" width="56.42578125" style="1747" customWidth="1"/>
    <col min="4865" max="4865" width="10.42578125" style="1747" customWidth="1"/>
    <col min="4866" max="4872" width="10.5703125" style="1747" customWidth="1"/>
    <col min="4873" max="4873" width="9.140625" style="1747"/>
    <col min="4874" max="4874" width="11.42578125" style="1747" bestFit="1" customWidth="1"/>
    <col min="4875" max="4875" width="9.5703125" style="1747" bestFit="1" customWidth="1"/>
    <col min="4876" max="5118" width="9.140625" style="1747"/>
    <col min="5119" max="5119" width="5.42578125" style="1747" customWidth="1"/>
    <col min="5120" max="5120" width="56.42578125" style="1747" customWidth="1"/>
    <col min="5121" max="5121" width="10.42578125" style="1747" customWidth="1"/>
    <col min="5122" max="5128" width="10.5703125" style="1747" customWidth="1"/>
    <col min="5129" max="5129" width="9.140625" style="1747"/>
    <col min="5130" max="5130" width="11.42578125" style="1747" bestFit="1" customWidth="1"/>
    <col min="5131" max="5131" width="9.5703125" style="1747" bestFit="1" customWidth="1"/>
    <col min="5132" max="5374" width="9.140625" style="1747"/>
    <col min="5375" max="5375" width="5.42578125" style="1747" customWidth="1"/>
    <col min="5376" max="5376" width="56.42578125" style="1747" customWidth="1"/>
    <col min="5377" max="5377" width="10.42578125" style="1747" customWidth="1"/>
    <col min="5378" max="5384" width="10.5703125" style="1747" customWidth="1"/>
    <col min="5385" max="5385" width="9.140625" style="1747"/>
    <col min="5386" max="5386" width="11.42578125" style="1747" bestFit="1" customWidth="1"/>
    <col min="5387" max="5387" width="9.5703125" style="1747" bestFit="1" customWidth="1"/>
    <col min="5388" max="5630" width="9.140625" style="1747"/>
    <col min="5631" max="5631" width="5.42578125" style="1747" customWidth="1"/>
    <col min="5632" max="5632" width="56.42578125" style="1747" customWidth="1"/>
    <col min="5633" max="5633" width="10.42578125" style="1747" customWidth="1"/>
    <col min="5634" max="5640" width="10.5703125" style="1747" customWidth="1"/>
    <col min="5641" max="5641" width="9.140625" style="1747"/>
    <col min="5642" max="5642" width="11.42578125" style="1747" bestFit="1" customWidth="1"/>
    <col min="5643" max="5643" width="9.5703125" style="1747" bestFit="1" customWidth="1"/>
    <col min="5644" max="5886" width="9.140625" style="1747"/>
    <col min="5887" max="5887" width="5.42578125" style="1747" customWidth="1"/>
    <col min="5888" max="5888" width="56.42578125" style="1747" customWidth="1"/>
    <col min="5889" max="5889" width="10.42578125" style="1747" customWidth="1"/>
    <col min="5890" max="5896" width="10.5703125" style="1747" customWidth="1"/>
    <col min="5897" max="5897" width="9.140625" style="1747"/>
    <col min="5898" max="5898" width="11.42578125" style="1747" bestFit="1" customWidth="1"/>
    <col min="5899" max="5899" width="9.5703125" style="1747" bestFit="1" customWidth="1"/>
    <col min="5900" max="6142" width="9.140625" style="1747"/>
    <col min="6143" max="6143" width="5.42578125" style="1747" customWidth="1"/>
    <col min="6144" max="6144" width="56.42578125" style="1747" customWidth="1"/>
    <col min="6145" max="6145" width="10.42578125" style="1747" customWidth="1"/>
    <col min="6146" max="6152" width="10.5703125" style="1747" customWidth="1"/>
    <col min="6153" max="6153" width="9.140625" style="1747"/>
    <col min="6154" max="6154" width="11.42578125" style="1747" bestFit="1" customWidth="1"/>
    <col min="6155" max="6155" width="9.5703125" style="1747" bestFit="1" customWidth="1"/>
    <col min="6156" max="6398" width="9.140625" style="1747"/>
    <col min="6399" max="6399" width="5.42578125" style="1747" customWidth="1"/>
    <col min="6400" max="6400" width="56.42578125" style="1747" customWidth="1"/>
    <col min="6401" max="6401" width="10.42578125" style="1747" customWidth="1"/>
    <col min="6402" max="6408" width="10.5703125" style="1747" customWidth="1"/>
    <col min="6409" max="6409" width="9.140625" style="1747"/>
    <col min="6410" max="6410" width="11.42578125" style="1747" bestFit="1" customWidth="1"/>
    <col min="6411" max="6411" width="9.5703125" style="1747" bestFit="1" customWidth="1"/>
    <col min="6412" max="6654" width="9.140625" style="1747"/>
    <col min="6655" max="6655" width="5.42578125" style="1747" customWidth="1"/>
    <col min="6656" max="6656" width="56.42578125" style="1747" customWidth="1"/>
    <col min="6657" max="6657" width="10.42578125" style="1747" customWidth="1"/>
    <col min="6658" max="6664" width="10.5703125" style="1747" customWidth="1"/>
    <col min="6665" max="6665" width="9.140625" style="1747"/>
    <col min="6666" max="6666" width="11.42578125" style="1747" bestFit="1" customWidth="1"/>
    <col min="6667" max="6667" width="9.5703125" style="1747" bestFit="1" customWidth="1"/>
    <col min="6668" max="6910" width="9.140625" style="1747"/>
    <col min="6911" max="6911" width="5.42578125" style="1747" customWidth="1"/>
    <col min="6912" max="6912" width="56.42578125" style="1747" customWidth="1"/>
    <col min="6913" max="6913" width="10.42578125" style="1747" customWidth="1"/>
    <col min="6914" max="6920" width="10.5703125" style="1747" customWidth="1"/>
    <col min="6921" max="6921" width="9.140625" style="1747"/>
    <col min="6922" max="6922" width="11.42578125" style="1747" bestFit="1" customWidth="1"/>
    <col min="6923" max="6923" width="9.5703125" style="1747" bestFit="1" customWidth="1"/>
    <col min="6924" max="7166" width="9.140625" style="1747"/>
    <col min="7167" max="7167" width="5.42578125" style="1747" customWidth="1"/>
    <col min="7168" max="7168" width="56.42578125" style="1747" customWidth="1"/>
    <col min="7169" max="7169" width="10.42578125" style="1747" customWidth="1"/>
    <col min="7170" max="7176" width="10.5703125" style="1747" customWidth="1"/>
    <col min="7177" max="7177" width="9.140625" style="1747"/>
    <col min="7178" max="7178" width="11.42578125" style="1747" bestFit="1" customWidth="1"/>
    <col min="7179" max="7179" width="9.5703125" style="1747" bestFit="1" customWidth="1"/>
    <col min="7180" max="7422" width="9.140625" style="1747"/>
    <col min="7423" max="7423" width="5.42578125" style="1747" customWidth="1"/>
    <col min="7424" max="7424" width="56.42578125" style="1747" customWidth="1"/>
    <col min="7425" max="7425" width="10.42578125" style="1747" customWidth="1"/>
    <col min="7426" max="7432" width="10.5703125" style="1747" customWidth="1"/>
    <col min="7433" max="7433" width="9.140625" style="1747"/>
    <col min="7434" max="7434" width="11.42578125" style="1747" bestFit="1" customWidth="1"/>
    <col min="7435" max="7435" width="9.5703125" style="1747" bestFit="1" customWidth="1"/>
    <col min="7436" max="7678" width="9.140625" style="1747"/>
    <col min="7679" max="7679" width="5.42578125" style="1747" customWidth="1"/>
    <col min="7680" max="7680" width="56.42578125" style="1747" customWidth="1"/>
    <col min="7681" max="7681" width="10.42578125" style="1747" customWidth="1"/>
    <col min="7682" max="7688" width="10.5703125" style="1747" customWidth="1"/>
    <col min="7689" max="7689" width="9.140625" style="1747"/>
    <col min="7690" max="7690" width="11.42578125" style="1747" bestFit="1" customWidth="1"/>
    <col min="7691" max="7691" width="9.5703125" style="1747" bestFit="1" customWidth="1"/>
    <col min="7692" max="7934" width="9.140625" style="1747"/>
    <col min="7935" max="7935" width="5.42578125" style="1747" customWidth="1"/>
    <col min="7936" max="7936" width="56.42578125" style="1747" customWidth="1"/>
    <col min="7937" max="7937" width="10.42578125" style="1747" customWidth="1"/>
    <col min="7938" max="7944" width="10.5703125" style="1747" customWidth="1"/>
    <col min="7945" max="7945" width="9.140625" style="1747"/>
    <col min="7946" max="7946" width="11.42578125" style="1747" bestFit="1" customWidth="1"/>
    <col min="7947" max="7947" width="9.5703125" style="1747" bestFit="1" customWidth="1"/>
    <col min="7948" max="8190" width="9.140625" style="1747"/>
    <col min="8191" max="8191" width="5.42578125" style="1747" customWidth="1"/>
    <col min="8192" max="8192" width="56.42578125" style="1747" customWidth="1"/>
    <col min="8193" max="8193" width="10.42578125" style="1747" customWidth="1"/>
    <col min="8194" max="8200" width="10.5703125" style="1747" customWidth="1"/>
    <col min="8201" max="8201" width="9.140625" style="1747"/>
    <col min="8202" max="8202" width="11.42578125" style="1747" bestFit="1" customWidth="1"/>
    <col min="8203" max="8203" width="9.5703125" style="1747" bestFit="1" customWidth="1"/>
    <col min="8204" max="8446" width="9.140625" style="1747"/>
    <col min="8447" max="8447" width="5.42578125" style="1747" customWidth="1"/>
    <col min="8448" max="8448" width="56.42578125" style="1747" customWidth="1"/>
    <col min="8449" max="8449" width="10.42578125" style="1747" customWidth="1"/>
    <col min="8450" max="8456" width="10.5703125" style="1747" customWidth="1"/>
    <col min="8457" max="8457" width="9.140625" style="1747"/>
    <col min="8458" max="8458" width="11.42578125" style="1747" bestFit="1" customWidth="1"/>
    <col min="8459" max="8459" width="9.5703125" style="1747" bestFit="1" customWidth="1"/>
    <col min="8460" max="8702" width="9.140625" style="1747"/>
    <col min="8703" max="8703" width="5.42578125" style="1747" customWidth="1"/>
    <col min="8704" max="8704" width="56.42578125" style="1747" customWidth="1"/>
    <col min="8705" max="8705" width="10.42578125" style="1747" customWidth="1"/>
    <col min="8706" max="8712" width="10.5703125" style="1747" customWidth="1"/>
    <col min="8713" max="8713" width="9.140625" style="1747"/>
    <col min="8714" max="8714" width="11.42578125" style="1747" bestFit="1" customWidth="1"/>
    <col min="8715" max="8715" width="9.5703125" style="1747" bestFit="1" customWidth="1"/>
    <col min="8716" max="8958" width="9.140625" style="1747"/>
    <col min="8959" max="8959" width="5.42578125" style="1747" customWidth="1"/>
    <col min="8960" max="8960" width="56.42578125" style="1747" customWidth="1"/>
    <col min="8961" max="8961" width="10.42578125" style="1747" customWidth="1"/>
    <col min="8962" max="8968" width="10.5703125" style="1747" customWidth="1"/>
    <col min="8969" max="8969" width="9.140625" style="1747"/>
    <col min="8970" max="8970" width="11.42578125" style="1747" bestFit="1" customWidth="1"/>
    <col min="8971" max="8971" width="9.5703125" style="1747" bestFit="1" customWidth="1"/>
    <col min="8972" max="9214" width="9.140625" style="1747"/>
    <col min="9215" max="9215" width="5.42578125" style="1747" customWidth="1"/>
    <col min="9216" max="9216" width="56.42578125" style="1747" customWidth="1"/>
    <col min="9217" max="9217" width="10.42578125" style="1747" customWidth="1"/>
    <col min="9218" max="9224" width="10.5703125" style="1747" customWidth="1"/>
    <col min="9225" max="9225" width="9.140625" style="1747"/>
    <col min="9226" max="9226" width="11.42578125" style="1747" bestFit="1" customWidth="1"/>
    <col min="9227" max="9227" width="9.5703125" style="1747" bestFit="1" customWidth="1"/>
    <col min="9228" max="9470" width="9.140625" style="1747"/>
    <col min="9471" max="9471" width="5.42578125" style="1747" customWidth="1"/>
    <col min="9472" max="9472" width="56.42578125" style="1747" customWidth="1"/>
    <col min="9473" max="9473" width="10.42578125" style="1747" customWidth="1"/>
    <col min="9474" max="9480" width="10.5703125" style="1747" customWidth="1"/>
    <col min="9481" max="9481" width="9.140625" style="1747"/>
    <col min="9482" max="9482" width="11.42578125" style="1747" bestFit="1" customWidth="1"/>
    <col min="9483" max="9483" width="9.5703125" style="1747" bestFit="1" customWidth="1"/>
    <col min="9484" max="9726" width="9.140625" style="1747"/>
    <col min="9727" max="9727" width="5.42578125" style="1747" customWidth="1"/>
    <col min="9728" max="9728" width="56.42578125" style="1747" customWidth="1"/>
    <col min="9729" max="9729" width="10.42578125" style="1747" customWidth="1"/>
    <col min="9730" max="9736" width="10.5703125" style="1747" customWidth="1"/>
    <col min="9737" max="9737" width="9.140625" style="1747"/>
    <col min="9738" max="9738" width="11.42578125" style="1747" bestFit="1" customWidth="1"/>
    <col min="9739" max="9739" width="9.5703125" style="1747" bestFit="1" customWidth="1"/>
    <col min="9740" max="9982" width="9.140625" style="1747"/>
    <col min="9983" max="9983" width="5.42578125" style="1747" customWidth="1"/>
    <col min="9984" max="9984" width="56.42578125" style="1747" customWidth="1"/>
    <col min="9985" max="9985" width="10.42578125" style="1747" customWidth="1"/>
    <col min="9986" max="9992" width="10.5703125" style="1747" customWidth="1"/>
    <col min="9993" max="9993" width="9.140625" style="1747"/>
    <col min="9994" max="9994" width="11.42578125" style="1747" bestFit="1" customWidth="1"/>
    <col min="9995" max="9995" width="9.5703125" style="1747" bestFit="1" customWidth="1"/>
    <col min="9996" max="10238" width="9.140625" style="1747"/>
    <col min="10239" max="10239" width="5.42578125" style="1747" customWidth="1"/>
    <col min="10240" max="10240" width="56.42578125" style="1747" customWidth="1"/>
    <col min="10241" max="10241" width="10.42578125" style="1747" customWidth="1"/>
    <col min="10242" max="10248" width="10.5703125" style="1747" customWidth="1"/>
    <col min="10249" max="10249" width="9.140625" style="1747"/>
    <col min="10250" max="10250" width="11.42578125" style="1747" bestFit="1" customWidth="1"/>
    <col min="10251" max="10251" width="9.5703125" style="1747" bestFit="1" customWidth="1"/>
    <col min="10252" max="10494" width="9.140625" style="1747"/>
    <col min="10495" max="10495" width="5.42578125" style="1747" customWidth="1"/>
    <col min="10496" max="10496" width="56.42578125" style="1747" customWidth="1"/>
    <col min="10497" max="10497" width="10.42578125" style="1747" customWidth="1"/>
    <col min="10498" max="10504" width="10.5703125" style="1747" customWidth="1"/>
    <col min="10505" max="10505" width="9.140625" style="1747"/>
    <col min="10506" max="10506" width="11.42578125" style="1747" bestFit="1" customWidth="1"/>
    <col min="10507" max="10507" width="9.5703125" style="1747" bestFit="1" customWidth="1"/>
    <col min="10508" max="10750" width="9.140625" style="1747"/>
    <col min="10751" max="10751" width="5.42578125" style="1747" customWidth="1"/>
    <col min="10752" max="10752" width="56.42578125" style="1747" customWidth="1"/>
    <col min="10753" max="10753" width="10.42578125" style="1747" customWidth="1"/>
    <col min="10754" max="10760" width="10.5703125" style="1747" customWidth="1"/>
    <col min="10761" max="10761" width="9.140625" style="1747"/>
    <col min="10762" max="10762" width="11.42578125" style="1747" bestFit="1" customWidth="1"/>
    <col min="10763" max="10763" width="9.5703125" style="1747" bestFit="1" customWidth="1"/>
    <col min="10764" max="11006" width="9.140625" style="1747"/>
    <col min="11007" max="11007" width="5.42578125" style="1747" customWidth="1"/>
    <col min="11008" max="11008" width="56.42578125" style="1747" customWidth="1"/>
    <col min="11009" max="11009" width="10.42578125" style="1747" customWidth="1"/>
    <col min="11010" max="11016" width="10.5703125" style="1747" customWidth="1"/>
    <col min="11017" max="11017" width="9.140625" style="1747"/>
    <col min="11018" max="11018" width="11.42578125" style="1747" bestFit="1" customWidth="1"/>
    <col min="11019" max="11019" width="9.5703125" style="1747" bestFit="1" customWidth="1"/>
    <col min="11020" max="11262" width="9.140625" style="1747"/>
    <col min="11263" max="11263" width="5.42578125" style="1747" customWidth="1"/>
    <col min="11264" max="11264" width="56.42578125" style="1747" customWidth="1"/>
    <col min="11265" max="11265" width="10.42578125" style="1747" customWidth="1"/>
    <col min="11266" max="11272" width="10.5703125" style="1747" customWidth="1"/>
    <col min="11273" max="11273" width="9.140625" style="1747"/>
    <col min="11274" max="11274" width="11.42578125" style="1747" bestFit="1" customWidth="1"/>
    <col min="11275" max="11275" width="9.5703125" style="1747" bestFit="1" customWidth="1"/>
    <col min="11276" max="11518" width="9.140625" style="1747"/>
    <col min="11519" max="11519" width="5.42578125" style="1747" customWidth="1"/>
    <col min="11520" max="11520" width="56.42578125" style="1747" customWidth="1"/>
    <col min="11521" max="11521" width="10.42578125" style="1747" customWidth="1"/>
    <col min="11522" max="11528" width="10.5703125" style="1747" customWidth="1"/>
    <col min="11529" max="11529" width="9.140625" style="1747"/>
    <col min="11530" max="11530" width="11.42578125" style="1747" bestFit="1" customWidth="1"/>
    <col min="11531" max="11531" width="9.5703125" style="1747" bestFit="1" customWidth="1"/>
    <col min="11532" max="11774" width="9.140625" style="1747"/>
    <col min="11775" max="11775" width="5.42578125" style="1747" customWidth="1"/>
    <col min="11776" max="11776" width="56.42578125" style="1747" customWidth="1"/>
    <col min="11777" max="11777" width="10.42578125" style="1747" customWidth="1"/>
    <col min="11778" max="11784" width="10.5703125" style="1747" customWidth="1"/>
    <col min="11785" max="11785" width="9.140625" style="1747"/>
    <col min="11786" max="11786" width="11.42578125" style="1747" bestFit="1" customWidth="1"/>
    <col min="11787" max="11787" width="9.5703125" style="1747" bestFit="1" customWidth="1"/>
    <col min="11788" max="12030" width="9.140625" style="1747"/>
    <col min="12031" max="12031" width="5.42578125" style="1747" customWidth="1"/>
    <col min="12032" max="12032" width="56.42578125" style="1747" customWidth="1"/>
    <col min="12033" max="12033" width="10.42578125" style="1747" customWidth="1"/>
    <col min="12034" max="12040" width="10.5703125" style="1747" customWidth="1"/>
    <col min="12041" max="12041" width="9.140625" style="1747"/>
    <col min="12042" max="12042" width="11.42578125" style="1747" bestFit="1" customWidth="1"/>
    <col min="12043" max="12043" width="9.5703125" style="1747" bestFit="1" customWidth="1"/>
    <col min="12044" max="12286" width="9.140625" style="1747"/>
    <col min="12287" max="12287" width="5.42578125" style="1747" customWidth="1"/>
    <col min="12288" max="12288" width="56.42578125" style="1747" customWidth="1"/>
    <col min="12289" max="12289" width="10.42578125" style="1747" customWidth="1"/>
    <col min="12290" max="12296" width="10.5703125" style="1747" customWidth="1"/>
    <col min="12297" max="12297" width="9.140625" style="1747"/>
    <col min="12298" max="12298" width="11.42578125" style="1747" bestFit="1" customWidth="1"/>
    <col min="12299" max="12299" width="9.5703125" style="1747" bestFit="1" customWidth="1"/>
    <col min="12300" max="12542" width="9.140625" style="1747"/>
    <col min="12543" max="12543" width="5.42578125" style="1747" customWidth="1"/>
    <col min="12544" max="12544" width="56.42578125" style="1747" customWidth="1"/>
    <col min="12545" max="12545" width="10.42578125" style="1747" customWidth="1"/>
    <col min="12546" max="12552" width="10.5703125" style="1747" customWidth="1"/>
    <col min="12553" max="12553" width="9.140625" style="1747"/>
    <col min="12554" max="12554" width="11.42578125" style="1747" bestFit="1" customWidth="1"/>
    <col min="12555" max="12555" width="9.5703125" style="1747" bestFit="1" customWidth="1"/>
    <col min="12556" max="12798" width="9.140625" style="1747"/>
    <col min="12799" max="12799" width="5.42578125" style="1747" customWidth="1"/>
    <col min="12800" max="12800" width="56.42578125" style="1747" customWidth="1"/>
    <col min="12801" max="12801" width="10.42578125" style="1747" customWidth="1"/>
    <col min="12802" max="12808" width="10.5703125" style="1747" customWidth="1"/>
    <col min="12809" max="12809" width="9.140625" style="1747"/>
    <col min="12810" max="12810" width="11.42578125" style="1747" bestFit="1" customWidth="1"/>
    <col min="12811" max="12811" width="9.5703125" style="1747" bestFit="1" customWidth="1"/>
    <col min="12812" max="13054" width="9.140625" style="1747"/>
    <col min="13055" max="13055" width="5.42578125" style="1747" customWidth="1"/>
    <col min="13056" max="13056" width="56.42578125" style="1747" customWidth="1"/>
    <col min="13057" max="13057" width="10.42578125" style="1747" customWidth="1"/>
    <col min="13058" max="13064" width="10.5703125" style="1747" customWidth="1"/>
    <col min="13065" max="13065" width="9.140625" style="1747"/>
    <col min="13066" max="13066" width="11.42578125" style="1747" bestFit="1" customWidth="1"/>
    <col min="13067" max="13067" width="9.5703125" style="1747" bestFit="1" customWidth="1"/>
    <col min="13068" max="13310" width="9.140625" style="1747"/>
    <col min="13311" max="13311" width="5.42578125" style="1747" customWidth="1"/>
    <col min="13312" max="13312" width="56.42578125" style="1747" customWidth="1"/>
    <col min="13313" max="13313" width="10.42578125" style="1747" customWidth="1"/>
    <col min="13314" max="13320" width="10.5703125" style="1747" customWidth="1"/>
    <col min="13321" max="13321" width="9.140625" style="1747"/>
    <col min="13322" max="13322" width="11.42578125" style="1747" bestFit="1" customWidth="1"/>
    <col min="13323" max="13323" width="9.5703125" style="1747" bestFit="1" customWidth="1"/>
    <col min="13324" max="13566" width="9.140625" style="1747"/>
    <col min="13567" max="13567" width="5.42578125" style="1747" customWidth="1"/>
    <col min="13568" max="13568" width="56.42578125" style="1747" customWidth="1"/>
    <col min="13569" max="13569" width="10.42578125" style="1747" customWidth="1"/>
    <col min="13570" max="13576" width="10.5703125" style="1747" customWidth="1"/>
    <col min="13577" max="13577" width="9.140625" style="1747"/>
    <col min="13578" max="13578" width="11.42578125" style="1747" bestFit="1" customWidth="1"/>
    <col min="13579" max="13579" width="9.5703125" style="1747" bestFit="1" customWidth="1"/>
    <col min="13580" max="13822" width="9.140625" style="1747"/>
    <col min="13823" max="13823" width="5.42578125" style="1747" customWidth="1"/>
    <col min="13824" max="13824" width="56.42578125" style="1747" customWidth="1"/>
    <col min="13825" max="13825" width="10.42578125" style="1747" customWidth="1"/>
    <col min="13826" max="13832" width="10.5703125" style="1747" customWidth="1"/>
    <col min="13833" max="13833" width="9.140625" style="1747"/>
    <col min="13834" max="13834" width="11.42578125" style="1747" bestFit="1" customWidth="1"/>
    <col min="13835" max="13835" width="9.5703125" style="1747" bestFit="1" customWidth="1"/>
    <col min="13836" max="14078" width="9.140625" style="1747"/>
    <col min="14079" max="14079" width="5.42578125" style="1747" customWidth="1"/>
    <col min="14080" max="14080" width="56.42578125" style="1747" customWidth="1"/>
    <col min="14081" max="14081" width="10.42578125" style="1747" customWidth="1"/>
    <col min="14082" max="14088" width="10.5703125" style="1747" customWidth="1"/>
    <col min="14089" max="14089" width="9.140625" style="1747"/>
    <col min="14090" max="14090" width="11.42578125" style="1747" bestFit="1" customWidth="1"/>
    <col min="14091" max="14091" width="9.5703125" style="1747" bestFit="1" customWidth="1"/>
    <col min="14092" max="14334" width="9.140625" style="1747"/>
    <col min="14335" max="14335" width="5.42578125" style="1747" customWidth="1"/>
    <col min="14336" max="14336" width="56.42578125" style="1747" customWidth="1"/>
    <col min="14337" max="14337" width="10.42578125" style="1747" customWidth="1"/>
    <col min="14338" max="14344" width="10.5703125" style="1747" customWidth="1"/>
    <col min="14345" max="14345" width="9.140625" style="1747"/>
    <col min="14346" max="14346" width="11.42578125" style="1747" bestFit="1" customWidth="1"/>
    <col min="14347" max="14347" width="9.5703125" style="1747" bestFit="1" customWidth="1"/>
    <col min="14348" max="14590" width="9.140625" style="1747"/>
    <col min="14591" max="14591" width="5.42578125" style="1747" customWidth="1"/>
    <col min="14592" max="14592" width="56.42578125" style="1747" customWidth="1"/>
    <col min="14593" max="14593" width="10.42578125" style="1747" customWidth="1"/>
    <col min="14594" max="14600" width="10.5703125" style="1747" customWidth="1"/>
    <col min="14601" max="14601" width="9.140625" style="1747"/>
    <col min="14602" max="14602" width="11.42578125" style="1747" bestFit="1" customWidth="1"/>
    <col min="14603" max="14603" width="9.5703125" style="1747" bestFit="1" customWidth="1"/>
    <col min="14604" max="14846" width="9.140625" style="1747"/>
    <col min="14847" max="14847" width="5.42578125" style="1747" customWidth="1"/>
    <col min="14848" max="14848" width="56.42578125" style="1747" customWidth="1"/>
    <col min="14849" max="14849" width="10.42578125" style="1747" customWidth="1"/>
    <col min="14850" max="14856" width="10.5703125" style="1747" customWidth="1"/>
    <col min="14857" max="14857" width="9.140625" style="1747"/>
    <col min="14858" max="14858" width="11.42578125" style="1747" bestFit="1" customWidth="1"/>
    <col min="14859" max="14859" width="9.5703125" style="1747" bestFit="1" customWidth="1"/>
    <col min="14860" max="15102" width="9.140625" style="1747"/>
    <col min="15103" max="15103" width="5.42578125" style="1747" customWidth="1"/>
    <col min="15104" max="15104" width="56.42578125" style="1747" customWidth="1"/>
    <col min="15105" max="15105" width="10.42578125" style="1747" customWidth="1"/>
    <col min="15106" max="15112" width="10.5703125" style="1747" customWidth="1"/>
    <col min="15113" max="15113" width="9.140625" style="1747"/>
    <col min="15114" max="15114" width="11.42578125" style="1747" bestFit="1" customWidth="1"/>
    <col min="15115" max="15115" width="9.5703125" style="1747" bestFit="1" customWidth="1"/>
    <col min="15116" max="15358" width="9.140625" style="1747"/>
    <col min="15359" max="15359" width="5.42578125" style="1747" customWidth="1"/>
    <col min="15360" max="15360" width="56.42578125" style="1747" customWidth="1"/>
    <col min="15361" max="15361" width="10.42578125" style="1747" customWidth="1"/>
    <col min="15362" max="15368" width="10.5703125" style="1747" customWidth="1"/>
    <col min="15369" max="15369" width="9.140625" style="1747"/>
    <col min="15370" max="15370" width="11.42578125" style="1747" bestFit="1" customWidth="1"/>
    <col min="15371" max="15371" width="9.5703125" style="1747" bestFit="1" customWidth="1"/>
    <col min="15372" max="15614" width="9.140625" style="1747"/>
    <col min="15615" max="15615" width="5.42578125" style="1747" customWidth="1"/>
    <col min="15616" max="15616" width="56.42578125" style="1747" customWidth="1"/>
    <col min="15617" max="15617" width="10.42578125" style="1747" customWidth="1"/>
    <col min="15618" max="15624" width="10.5703125" style="1747" customWidth="1"/>
    <col min="15625" max="15625" width="9.140625" style="1747"/>
    <col min="15626" max="15626" width="11.42578125" style="1747" bestFit="1" customWidth="1"/>
    <col min="15627" max="15627" width="9.5703125" style="1747" bestFit="1" customWidth="1"/>
    <col min="15628" max="15870" width="9.140625" style="1747"/>
    <col min="15871" max="15871" width="5.42578125" style="1747" customWidth="1"/>
    <col min="15872" max="15872" width="56.42578125" style="1747" customWidth="1"/>
    <col min="15873" max="15873" width="10.42578125" style="1747" customWidth="1"/>
    <col min="15874" max="15880" width="10.5703125" style="1747" customWidth="1"/>
    <col min="15881" max="15881" width="9.140625" style="1747"/>
    <col min="15882" max="15882" width="11.42578125" style="1747" bestFit="1" customWidth="1"/>
    <col min="15883" max="15883" width="9.5703125" style="1747" bestFit="1" customWidth="1"/>
    <col min="15884" max="16126" width="9.140625" style="1747"/>
    <col min="16127" max="16127" width="5.42578125" style="1747" customWidth="1"/>
    <col min="16128" max="16128" width="56.42578125" style="1747" customWidth="1"/>
    <col min="16129" max="16129" width="10.42578125" style="1747" customWidth="1"/>
    <col min="16130" max="16136" width="10.5703125" style="1747" customWidth="1"/>
    <col min="16137" max="16137" width="9.140625" style="1747"/>
    <col min="16138" max="16138" width="11.42578125" style="1747" bestFit="1" customWidth="1"/>
    <col min="16139" max="16139" width="9.5703125" style="1747" bestFit="1" customWidth="1"/>
    <col min="16140" max="16384" width="9.140625" style="1747"/>
  </cols>
  <sheetData>
    <row r="1" spans="1:11" ht="13.5">
      <c r="B1" s="1748"/>
      <c r="C1" s="1748"/>
      <c r="D1" s="1748"/>
      <c r="E1" s="1748"/>
      <c r="F1" s="1748"/>
      <c r="G1" s="1748"/>
      <c r="H1" s="1748"/>
      <c r="I1" s="1749" t="s">
        <v>0</v>
      </c>
    </row>
    <row r="2" spans="1:11" s="1239" customFormat="1" ht="18.75">
      <c r="A2" s="4829" t="s">
        <v>1295</v>
      </c>
      <c r="B2" s="4829"/>
      <c r="C2" s="4829"/>
      <c r="D2" s="4829"/>
      <c r="E2" s="4829"/>
      <c r="F2" s="4829"/>
      <c r="G2" s="4829"/>
      <c r="H2" s="4829"/>
      <c r="I2" s="4829"/>
    </row>
    <row r="3" spans="1:11" s="1239" customFormat="1" ht="18.75">
      <c r="A3" s="4829" t="s">
        <v>1296</v>
      </c>
      <c r="B3" s="4829"/>
      <c r="C3" s="4829"/>
      <c r="D3" s="4829"/>
      <c r="E3" s="4829"/>
      <c r="F3" s="4829"/>
      <c r="G3" s="4829"/>
      <c r="H3" s="4829"/>
      <c r="I3" s="4829"/>
    </row>
    <row r="4" spans="1:11" ht="15.75">
      <c r="A4" s="4773" t="str">
        <f>'1. Обща информация'!A4:D4</f>
        <v>на ВОДОСНАБДЯВАНЕ И КАНАЛИЗАЦИЯ ЕООД, гр. ХАСКОВО</v>
      </c>
      <c r="B4" s="4773"/>
      <c r="C4" s="4773"/>
      <c r="D4" s="4773"/>
      <c r="E4" s="4773"/>
      <c r="F4" s="4773"/>
      <c r="G4" s="4773"/>
      <c r="H4" s="4773"/>
      <c r="I4" s="4773"/>
    </row>
    <row r="5" spans="1:11" ht="15.75">
      <c r="A5" s="4773" t="str">
        <f>'1. Обща информация'!A5:D5</f>
        <v>ЕИК по БУЛСТАТ: 126004284</v>
      </c>
      <c r="B5" s="4773"/>
      <c r="C5" s="4773"/>
      <c r="D5" s="4773"/>
      <c r="E5" s="4773"/>
      <c r="F5" s="4773"/>
      <c r="G5" s="4773"/>
      <c r="H5" s="4773"/>
      <c r="I5" s="4773"/>
    </row>
    <row r="6" spans="1:11" ht="13.5" thickBot="1"/>
    <row r="7" spans="1:11" s="1239" customFormat="1" ht="13.5" thickBot="1">
      <c r="A7" s="172" t="s">
        <v>1</v>
      </c>
      <c r="B7" s="359" t="s">
        <v>87</v>
      </c>
      <c r="C7" s="360" t="s">
        <v>166</v>
      </c>
      <c r="D7" s="4181" t="str">
        <f>'Приложение '!$C12</f>
        <v>2024 г.</v>
      </c>
      <c r="E7" s="4181" t="str">
        <f>'Приложение '!$C14</f>
        <v>2027 г.</v>
      </c>
      <c r="F7" s="4181" t="str">
        <f>'Приложение '!$C15</f>
        <v>2028 г.</v>
      </c>
      <c r="G7" s="4181" t="str">
        <f>'Приложение '!$C16</f>
        <v>2029 г.</v>
      </c>
      <c r="H7" s="4181" t="str">
        <f>'Приложение '!$C17</f>
        <v>2030 г.</v>
      </c>
      <c r="I7" s="4182" t="str">
        <f>'Приложение '!$C18</f>
        <v>2031 г.</v>
      </c>
      <c r="J7" s="3723"/>
      <c r="K7" s="3723"/>
    </row>
    <row r="8" spans="1:11" ht="13.5" thickBot="1">
      <c r="A8" s="165" t="s">
        <v>167</v>
      </c>
      <c r="B8" s="1324" t="s">
        <v>168</v>
      </c>
      <c r="C8" s="361"/>
      <c r="D8" s="1464"/>
      <c r="E8" s="170"/>
      <c r="F8" s="170"/>
      <c r="G8" s="170"/>
      <c r="H8" s="170"/>
      <c r="I8" s="171"/>
    </row>
    <row r="9" spans="1:11" ht="28.5" customHeight="1">
      <c r="A9" s="166" t="s">
        <v>205</v>
      </c>
      <c r="B9" s="169" t="s">
        <v>570</v>
      </c>
      <c r="C9" s="362" t="s">
        <v>781</v>
      </c>
      <c r="D9" s="787">
        <f>D10+D11+D12+D13-D14-D15-D16-D17</f>
        <v>27737550</v>
      </c>
      <c r="E9" s="199">
        <f t="shared" ref="E9:I9" si="0">E10+E11+E12+E13-E14-E15-E16-E17</f>
        <v>27042797.18</v>
      </c>
      <c r="F9" s="199">
        <f t="shared" si="0"/>
        <v>26501941.236400001</v>
      </c>
      <c r="G9" s="199">
        <f t="shared" si="0"/>
        <v>25971902.411672</v>
      </c>
      <c r="H9" s="199">
        <f t="shared" si="0"/>
        <v>25513545</v>
      </c>
      <c r="I9" s="200">
        <f t="shared" si="0"/>
        <v>24930674.0761698</v>
      </c>
    </row>
    <row r="10" spans="1:11" ht="15.75">
      <c r="A10" s="167" t="s">
        <v>90</v>
      </c>
      <c r="B10" s="363" t="s">
        <v>906</v>
      </c>
      <c r="C10" s="364" t="s">
        <v>781</v>
      </c>
      <c r="D10" s="782">
        <v>0</v>
      </c>
      <c r="E10" s="201">
        <v>0</v>
      </c>
      <c r="F10" s="201">
        <v>0</v>
      </c>
      <c r="G10" s="201">
        <v>0</v>
      </c>
      <c r="H10" s="201">
        <v>0</v>
      </c>
      <c r="I10" s="202">
        <v>0</v>
      </c>
    </row>
    <row r="11" spans="1:11" ht="15.75">
      <c r="A11" s="167" t="s">
        <v>91</v>
      </c>
      <c r="B11" s="363" t="s">
        <v>907</v>
      </c>
      <c r="C11" s="364" t="s">
        <v>781</v>
      </c>
      <c r="D11" s="782">
        <v>27737550</v>
      </c>
      <c r="E11" s="201">
        <v>27042797.18</v>
      </c>
      <c r="F11" s="201">
        <v>26501941.236400001</v>
      </c>
      <c r="G11" s="201">
        <v>25971902.411672</v>
      </c>
      <c r="H11" s="201">
        <v>25513545</v>
      </c>
      <c r="I11" s="202">
        <v>24930674.0761698</v>
      </c>
      <c r="J11" s="3724"/>
    </row>
    <row r="12" spans="1:11" ht="15.75">
      <c r="A12" s="167" t="s">
        <v>93</v>
      </c>
      <c r="B12" s="363" t="s">
        <v>908</v>
      </c>
      <c r="C12" s="364" t="s">
        <v>781</v>
      </c>
      <c r="D12" s="4534">
        <f>'4.2. Продад. и закупени кол-ва'!D103</f>
        <v>0</v>
      </c>
      <c r="E12" s="909">
        <f>'4.2. Продад. и закупени кол-ва'!E103</f>
        <v>0</v>
      </c>
      <c r="F12" s="909">
        <f>'4.2. Продад. и закупени кол-ва'!F103</f>
        <v>0</v>
      </c>
      <c r="G12" s="909">
        <f>'4.2. Продад. и закупени кол-ва'!G103</f>
        <v>0</v>
      </c>
      <c r="H12" s="909">
        <f>'4.2. Продад. и закупени кол-ва'!H103</f>
        <v>0</v>
      </c>
      <c r="I12" s="3725">
        <f>'4.2. Продад. и закупени кол-ва'!I103</f>
        <v>0</v>
      </c>
      <c r="J12" s="1325"/>
    </row>
    <row r="13" spans="1:11" ht="15.75">
      <c r="A13" s="167" t="s">
        <v>145</v>
      </c>
      <c r="B13" s="363" t="s">
        <v>909</v>
      </c>
      <c r="C13" s="364" t="s">
        <v>781</v>
      </c>
      <c r="D13" s="4535">
        <f>'4.2. Продад. и закупени кол-ва'!D105</f>
        <v>0</v>
      </c>
      <c r="E13" s="1373">
        <f>'4.2. Продад. и закупени кол-ва'!E105</f>
        <v>0</v>
      </c>
      <c r="F13" s="1373">
        <f>'4.2. Продад. и закупени кол-ва'!F105</f>
        <v>0</v>
      </c>
      <c r="G13" s="1373">
        <f>'4.2. Продад. и закупени кол-ва'!G105</f>
        <v>0</v>
      </c>
      <c r="H13" s="1373">
        <f>'4.2. Продад. и закупени кол-ва'!H105</f>
        <v>0</v>
      </c>
      <c r="I13" s="1374">
        <f>'4.2. Продад. и закупени кол-ва'!I105</f>
        <v>0</v>
      </c>
      <c r="J13" s="1325"/>
    </row>
    <row r="14" spans="1:11" ht="15.75">
      <c r="A14" s="167" t="s">
        <v>147</v>
      </c>
      <c r="B14" s="363" t="s">
        <v>995</v>
      </c>
      <c r="C14" s="364" t="s">
        <v>781</v>
      </c>
      <c r="D14" s="782">
        <v>0</v>
      </c>
      <c r="E14" s="203">
        <v>0</v>
      </c>
      <c r="F14" s="203">
        <v>0</v>
      </c>
      <c r="G14" s="203">
        <v>0</v>
      </c>
      <c r="H14" s="203">
        <v>0</v>
      </c>
      <c r="I14" s="204">
        <v>0</v>
      </c>
      <c r="J14" s="1325"/>
    </row>
    <row r="15" spans="1:11" ht="15.75">
      <c r="A15" s="167" t="s">
        <v>149</v>
      </c>
      <c r="B15" s="363" t="s">
        <v>1037</v>
      </c>
      <c r="C15" s="364" t="s">
        <v>781</v>
      </c>
      <c r="D15" s="782">
        <v>0</v>
      </c>
      <c r="E15" s="203">
        <v>0</v>
      </c>
      <c r="F15" s="203">
        <v>0</v>
      </c>
      <c r="G15" s="203">
        <v>0</v>
      </c>
      <c r="H15" s="203">
        <v>0</v>
      </c>
      <c r="I15" s="204">
        <v>0</v>
      </c>
      <c r="J15" s="1325"/>
    </row>
    <row r="16" spans="1:11" ht="15.75">
      <c r="A16" s="167" t="s">
        <v>151</v>
      </c>
      <c r="B16" s="363" t="s">
        <v>996</v>
      </c>
      <c r="C16" s="364" t="s">
        <v>781</v>
      </c>
      <c r="D16" s="782">
        <v>0</v>
      </c>
      <c r="E16" s="203">
        <v>0</v>
      </c>
      <c r="F16" s="203">
        <v>0</v>
      </c>
      <c r="G16" s="203">
        <v>0</v>
      </c>
      <c r="H16" s="203">
        <v>0</v>
      </c>
      <c r="I16" s="204">
        <v>0</v>
      </c>
      <c r="J16" s="1325"/>
    </row>
    <row r="17" spans="1:10" ht="16.5" thickBot="1">
      <c r="A17" s="168" t="s">
        <v>153</v>
      </c>
      <c r="B17" s="597" t="s">
        <v>1038</v>
      </c>
      <c r="C17" s="368" t="s">
        <v>781</v>
      </c>
      <c r="D17" s="783">
        <v>0</v>
      </c>
      <c r="E17" s="206">
        <v>0</v>
      </c>
      <c r="F17" s="206">
        <v>0</v>
      </c>
      <c r="G17" s="206">
        <v>0</v>
      </c>
      <c r="H17" s="206">
        <v>0</v>
      </c>
      <c r="I17" s="4536">
        <v>0</v>
      </c>
      <c r="J17" s="1325"/>
    </row>
    <row r="18" spans="1:10" ht="15.75">
      <c r="A18" s="4865" t="s">
        <v>95</v>
      </c>
      <c r="B18" s="4876" t="s">
        <v>571</v>
      </c>
      <c r="C18" s="365" t="s">
        <v>781</v>
      </c>
      <c r="D18" s="787">
        <f t="shared" ref="D18:I18" si="1">D20+D26</f>
        <v>8008063</v>
      </c>
      <c r="E18" s="208">
        <f t="shared" si="1"/>
        <v>7981690.333333333</v>
      </c>
      <c r="F18" s="225">
        <f t="shared" si="1"/>
        <v>8027872.0252977135</v>
      </c>
      <c r="G18" s="225">
        <f t="shared" si="1"/>
        <v>7942454.2529848581</v>
      </c>
      <c r="H18" s="225">
        <f t="shared" si="1"/>
        <v>8092488.4578720042</v>
      </c>
      <c r="I18" s="226">
        <f t="shared" si="1"/>
        <v>8554631.2979929335</v>
      </c>
      <c r="J18" s="1325"/>
    </row>
    <row r="19" spans="1:10" ht="13.5" thickBot="1">
      <c r="A19" s="4875"/>
      <c r="B19" s="4877"/>
      <c r="C19" s="366" t="s">
        <v>170</v>
      </c>
      <c r="D19" s="210">
        <f>IFERROR(D18/D9,0)</f>
        <v>0.28870837546935474</v>
      </c>
      <c r="E19" s="211">
        <f t="shared" ref="E19:I19" si="2">IFERROR(E18/E9,0)</f>
        <v>0.2951503234005815</v>
      </c>
      <c r="F19" s="211">
        <f t="shared" si="2"/>
        <v>0.30291637709435248</v>
      </c>
      <c r="G19" s="211">
        <f t="shared" si="2"/>
        <v>0.30580949085252412</v>
      </c>
      <c r="H19" s="211">
        <f t="shared" si="2"/>
        <v>0.31718400786217693</v>
      </c>
      <c r="I19" s="212">
        <f t="shared" si="2"/>
        <v>0.34313678289870037</v>
      </c>
      <c r="J19" s="1325"/>
    </row>
    <row r="20" spans="1:10" ht="15.75">
      <c r="A20" s="4878" t="s">
        <v>96</v>
      </c>
      <c r="B20" s="4880" t="s">
        <v>1776</v>
      </c>
      <c r="C20" s="367" t="s">
        <v>781</v>
      </c>
      <c r="D20" s="233">
        <f>'4.1. Фактурирани количества'!E39</f>
        <v>7653017</v>
      </c>
      <c r="E20" s="213">
        <f>'4.1. Фактурирани количества'!G39</f>
        <v>7626644.333333333</v>
      </c>
      <c r="F20" s="213">
        <f>'4.1. Фактурирани количества'!H39</f>
        <v>7672826.0252977135</v>
      </c>
      <c r="G20" s="213">
        <f>'4.1. Фактурирани количества'!I39</f>
        <v>7587408.2529848581</v>
      </c>
      <c r="H20" s="213">
        <f>'4.1. Фактурирани количества'!J39</f>
        <v>7737442.4578720042</v>
      </c>
      <c r="I20" s="213">
        <f>'4.1. Фактурирани количества'!K39</f>
        <v>8199585.2979929335</v>
      </c>
      <c r="J20" s="1325"/>
    </row>
    <row r="21" spans="1:10">
      <c r="A21" s="4879"/>
      <c r="B21" s="4881"/>
      <c r="C21" s="364" t="s">
        <v>170</v>
      </c>
      <c r="D21" s="216">
        <f>IFERROR(D20/D9,0)</f>
        <v>0.27590818222950475</v>
      </c>
      <c r="E21" s="217">
        <f t="shared" ref="E21:I21" si="3">IFERROR(E20/E9,0)</f>
        <v>0.28202128213917749</v>
      </c>
      <c r="F21" s="217">
        <f t="shared" si="3"/>
        <v>0.28951939621536882</v>
      </c>
      <c r="G21" s="217">
        <f t="shared" si="3"/>
        <v>0.29213910220049999</v>
      </c>
      <c r="H21" s="217">
        <f t="shared" si="3"/>
        <v>0.30326802715467427</v>
      </c>
      <c r="I21" s="218">
        <f t="shared" si="3"/>
        <v>0.32889545115952473</v>
      </c>
      <c r="J21" s="1325"/>
    </row>
    <row r="22" spans="1:10" ht="15.75">
      <c r="A22" s="82" t="s">
        <v>573</v>
      </c>
      <c r="B22" s="92" t="s">
        <v>574</v>
      </c>
      <c r="C22" s="364" t="s">
        <v>781</v>
      </c>
      <c r="D22" s="1373">
        <f>'4.1. Фактурирани количества'!E26</f>
        <v>6505065</v>
      </c>
      <c r="E22" s="909">
        <f>'4.1. Фактурирани количества'!G26</f>
        <v>6360043.333333333</v>
      </c>
      <c r="F22" s="909">
        <f>'4.1. Фактурирани количества'!H26</f>
        <v>6265817.3052977137</v>
      </c>
      <c r="G22" s="909">
        <f>'4.1. Фактурирани количества'!I26</f>
        <v>6175848.8815848585</v>
      </c>
      <c r="H22" s="909">
        <f>'4.1. Фактурирани количества'!J26</f>
        <v>6085880.4578720042</v>
      </c>
      <c r="I22" s="3725">
        <f>'4.1. Фактурирани количества'!K26</f>
        <v>6008044.2979929335</v>
      </c>
      <c r="J22" s="1325"/>
    </row>
    <row r="23" spans="1:10" ht="15.75">
      <c r="A23" s="82" t="s">
        <v>577</v>
      </c>
      <c r="B23" s="1326" t="s">
        <v>575</v>
      </c>
      <c r="C23" s="364" t="s">
        <v>781</v>
      </c>
      <c r="D23" s="1373">
        <f>'4.1. Фактурирани количества'!E30</f>
        <v>382651</v>
      </c>
      <c r="E23" s="909">
        <f>'4.1. Фактурирани количества'!G30</f>
        <v>357871</v>
      </c>
      <c r="F23" s="909">
        <f>'4.1. Фактурирани количества'!H30</f>
        <v>365175.42</v>
      </c>
      <c r="G23" s="909">
        <f>'4.1. Фактурирани количества'!I30</f>
        <v>372622.92839999998</v>
      </c>
      <c r="H23" s="909">
        <f>'4.1. Фактурирани количества'!J30</f>
        <v>450450</v>
      </c>
      <c r="I23" s="3725">
        <f>'4.1. Фактурирани количества'!K30</f>
        <v>600450</v>
      </c>
      <c r="J23" s="1325"/>
    </row>
    <row r="24" spans="1:10" ht="15.75">
      <c r="A24" s="82" t="s">
        <v>1179</v>
      </c>
      <c r="B24" s="92" t="s">
        <v>576</v>
      </c>
      <c r="C24" s="364" t="s">
        <v>781</v>
      </c>
      <c r="D24" s="1373">
        <f>'4.1. Фактурирани количества'!E34</f>
        <v>765301</v>
      </c>
      <c r="E24" s="909">
        <f>'4.1. Фактурирани количества'!G34</f>
        <v>908730</v>
      </c>
      <c r="F24" s="909">
        <f>'4.1. Фактурирани количества'!H34</f>
        <v>918114.3</v>
      </c>
      <c r="G24" s="909">
        <f>'4.1. Фактурирани количества'!I34</f>
        <v>927589.44300000009</v>
      </c>
      <c r="H24" s="909">
        <f>'4.1. Фактурирани количества'!J34</f>
        <v>1100900</v>
      </c>
      <c r="I24" s="3725">
        <f>'4.1. Фактурирани количества'!K34</f>
        <v>1500900</v>
      </c>
      <c r="J24" s="1325"/>
    </row>
    <row r="25" spans="1:10" ht="16.5" thickBot="1">
      <c r="A25" s="4013" t="s">
        <v>1206</v>
      </c>
      <c r="B25" s="4014" t="s">
        <v>1777</v>
      </c>
      <c r="C25" s="4015" t="s">
        <v>781</v>
      </c>
      <c r="D25" s="4018"/>
      <c r="E25" s="4016">
        <f>'4.1. Фактурирани количества'!G38</f>
        <v>0</v>
      </c>
      <c r="F25" s="4016">
        <f>'4.1. Фактурирани количества'!H38</f>
        <v>123719</v>
      </c>
      <c r="G25" s="4016">
        <f>'4.1. Фактурирани количества'!I38</f>
        <v>111347</v>
      </c>
      <c r="H25" s="4016">
        <f>'4.1. Фактурирани количества'!J38</f>
        <v>100212</v>
      </c>
      <c r="I25" s="4017">
        <f>'4.1. Фактурирани количества'!K38</f>
        <v>90191</v>
      </c>
      <c r="J25" s="1325"/>
    </row>
    <row r="26" spans="1:10" ht="15.75">
      <c r="A26" s="4882" t="s">
        <v>97</v>
      </c>
      <c r="B26" s="4880" t="s">
        <v>688</v>
      </c>
      <c r="C26" s="367" t="s">
        <v>781</v>
      </c>
      <c r="D26" s="213">
        <f>D28+D29</f>
        <v>355046</v>
      </c>
      <c r="E26" s="214">
        <f t="shared" ref="E26:I26" si="4">E28+E29</f>
        <v>355046</v>
      </c>
      <c r="F26" s="214">
        <f t="shared" si="4"/>
        <v>355046</v>
      </c>
      <c r="G26" s="214">
        <f t="shared" si="4"/>
        <v>355046</v>
      </c>
      <c r="H26" s="214">
        <f t="shared" si="4"/>
        <v>355046</v>
      </c>
      <c r="I26" s="215">
        <f t="shared" si="4"/>
        <v>355046</v>
      </c>
      <c r="J26" s="1325"/>
    </row>
    <row r="27" spans="1:10">
      <c r="A27" s="4883"/>
      <c r="B27" s="4881"/>
      <c r="C27" s="364" t="s">
        <v>170</v>
      </c>
      <c r="D27" s="221">
        <f t="shared" ref="D27:I27" si="5">IFERROR(D26/D9,0)</f>
        <v>1.280019323984995E-2</v>
      </c>
      <c r="E27" s="222">
        <f t="shared" si="5"/>
        <v>1.3129041261404011E-2</v>
      </c>
      <c r="F27" s="222">
        <f t="shared" si="5"/>
        <v>1.3396980878983684E-2</v>
      </c>
      <c r="G27" s="222">
        <f t="shared" si="5"/>
        <v>1.3670388652024168E-2</v>
      </c>
      <c r="H27" s="222">
        <f t="shared" si="5"/>
        <v>1.3915980707502622E-2</v>
      </c>
      <c r="I27" s="223">
        <f t="shared" si="5"/>
        <v>1.4241331739175628E-2</v>
      </c>
      <c r="J27" s="1325"/>
    </row>
    <row r="28" spans="1:10" ht="28.5" customHeight="1">
      <c r="A28" s="3913" t="s">
        <v>159</v>
      </c>
      <c r="B28" s="3912" t="s">
        <v>578</v>
      </c>
      <c r="C28" s="364" t="s">
        <v>781</v>
      </c>
      <c r="D28" s="4575">
        <v>355046</v>
      </c>
      <c r="E28" s="4575">
        <v>355046</v>
      </c>
      <c r="F28" s="4575">
        <v>355046</v>
      </c>
      <c r="G28" s="4575">
        <v>355046</v>
      </c>
      <c r="H28" s="4575">
        <v>355046</v>
      </c>
      <c r="I28" s="4575">
        <f>355046</f>
        <v>355046</v>
      </c>
      <c r="J28" s="1325"/>
    </row>
    <row r="29" spans="1:10" ht="27.75" customHeight="1" thickBot="1">
      <c r="A29" s="83" t="s">
        <v>164</v>
      </c>
      <c r="B29" s="93" t="s">
        <v>579</v>
      </c>
      <c r="C29" s="368" t="s">
        <v>781</v>
      </c>
      <c r="D29" s="205">
        <v>0</v>
      </c>
      <c r="E29" s="205">
        <v>0</v>
      </c>
      <c r="F29" s="205">
        <v>0</v>
      </c>
      <c r="G29" s="205">
        <v>0</v>
      </c>
      <c r="H29" s="205">
        <v>0</v>
      </c>
      <c r="I29" s="224">
        <v>0</v>
      </c>
      <c r="J29" s="1325"/>
    </row>
    <row r="30" spans="1:10" ht="15.75">
      <c r="A30" s="4884" t="s">
        <v>99</v>
      </c>
      <c r="B30" s="4876" t="s">
        <v>689</v>
      </c>
      <c r="C30" s="362" t="s">
        <v>781</v>
      </c>
      <c r="D30" s="199">
        <f>D33+D37</f>
        <v>19729487</v>
      </c>
      <c r="E30" s="225">
        <f t="shared" ref="E30:I30" si="6">E33+E37</f>
        <v>19061106.539999999</v>
      </c>
      <c r="F30" s="225">
        <f t="shared" si="6"/>
        <v>18474069.078799997</v>
      </c>
      <c r="G30" s="225">
        <f t="shared" si="6"/>
        <v>18029448.067935999</v>
      </c>
      <c r="H30" s="225">
        <f t="shared" si="6"/>
        <v>17421056.354289077</v>
      </c>
      <c r="I30" s="226">
        <f t="shared" si="6"/>
        <v>16376042.567318412</v>
      </c>
      <c r="J30" s="1325"/>
    </row>
    <row r="31" spans="1:10">
      <c r="A31" s="4866"/>
      <c r="B31" s="4885"/>
      <c r="C31" s="369" t="s">
        <v>170</v>
      </c>
      <c r="D31" s="227">
        <f t="shared" ref="D31:I31" si="7">IFERROR(D30/D9,0)</f>
        <v>0.71129162453064532</v>
      </c>
      <c r="E31" s="228">
        <f t="shared" si="7"/>
        <v>0.70484966525936865</v>
      </c>
      <c r="F31" s="228">
        <f t="shared" si="7"/>
        <v>0.69708361791347395</v>
      </c>
      <c r="G31" s="228">
        <f t="shared" si="7"/>
        <v>0.69419050565327123</v>
      </c>
      <c r="H31" s="228">
        <f t="shared" si="7"/>
        <v>0.68281598477550165</v>
      </c>
      <c r="I31" s="229">
        <f t="shared" si="7"/>
        <v>0.65686320864350767</v>
      </c>
      <c r="J31" s="1325"/>
    </row>
    <row r="32" spans="1:10" ht="29.25" thickBot="1">
      <c r="A32" s="4875"/>
      <c r="B32" s="4886"/>
      <c r="C32" s="366" t="s">
        <v>1041</v>
      </c>
      <c r="D32" s="230">
        <f>IFERROR(D30/'2. Променливи'!E26/365,0)</f>
        <v>16.860071441389859</v>
      </c>
      <c r="E32" s="231">
        <f>IFERROR(E30/'2. Променливи'!F26/365,0)</f>
        <v>16.288898845486628</v>
      </c>
      <c r="F32" s="231">
        <f>IFERROR(F30/'2. Променливи'!G26/365,0)</f>
        <v>15.787238891803892</v>
      </c>
      <c r="G32" s="231">
        <f>IFERROR(G30/'2. Променливи'!H26/365,0)</f>
        <v>15.40728263609841</v>
      </c>
      <c r="H32" s="231">
        <f>IFERROR(H30/'2. Променливи'!I26/365,0)</f>
        <v>14.887374148035001</v>
      </c>
      <c r="I32" s="232">
        <f>IFERROR(I30/'2. Променливи'!J26/365,0)</f>
        <v>13.994344992965596</v>
      </c>
      <c r="J32" s="1325"/>
    </row>
    <row r="33" spans="1:14" s="3727" customFormat="1" ht="15.75">
      <c r="A33" s="4878" t="s">
        <v>171</v>
      </c>
      <c r="B33" s="4887" t="s">
        <v>580</v>
      </c>
      <c r="C33" s="367" t="s">
        <v>781</v>
      </c>
      <c r="D33" s="233">
        <f>D35+D36</f>
        <v>1374655</v>
      </c>
      <c r="E33" s="234">
        <f t="shared" ref="E33:I33" si="8">E35+E36</f>
        <v>1237189.5</v>
      </c>
      <c r="F33" s="234">
        <f t="shared" si="8"/>
        <v>1113470.55</v>
      </c>
      <c r="G33" s="234">
        <f t="shared" si="8"/>
        <v>1002123.495</v>
      </c>
      <c r="H33" s="234">
        <f t="shared" si="8"/>
        <v>901911.1455000001</v>
      </c>
      <c r="I33" s="235">
        <f t="shared" si="8"/>
        <v>811720.03095000004</v>
      </c>
      <c r="J33" s="1327"/>
      <c r="K33" s="3726"/>
      <c r="L33" s="3726"/>
      <c r="M33" s="3726"/>
      <c r="N33" s="3726"/>
    </row>
    <row r="34" spans="1:14" s="3727" customFormat="1">
      <c r="A34" s="4879"/>
      <c r="B34" s="4888"/>
      <c r="C34" s="364" t="s">
        <v>170</v>
      </c>
      <c r="D34" s="236">
        <f t="shared" ref="D34:I34" si="9">IFERROR(D33/D9,0)</f>
        <v>4.9559351853354028E-2</v>
      </c>
      <c r="E34" s="237">
        <f t="shared" si="9"/>
        <v>4.5749316972098816E-2</v>
      </c>
      <c r="F34" s="237">
        <f t="shared" si="9"/>
        <v>4.2014678851927487E-2</v>
      </c>
      <c r="G34" s="237">
        <f t="shared" si="9"/>
        <v>3.858490914972932E-2</v>
      </c>
      <c r="H34" s="237">
        <f t="shared" si="9"/>
        <v>3.535028728857554E-2</v>
      </c>
      <c r="I34" s="238">
        <f t="shared" si="9"/>
        <v>3.2559088794389623E-2</v>
      </c>
      <c r="J34" s="1327"/>
    </row>
    <row r="35" spans="1:14" s="3727" customFormat="1" ht="15.75">
      <c r="A35" s="84" t="s">
        <v>581</v>
      </c>
      <c r="B35" s="94" t="s">
        <v>582</v>
      </c>
      <c r="C35" s="364" t="s">
        <v>781</v>
      </c>
      <c r="D35" s="4575">
        <v>995525</v>
      </c>
      <c r="E35" s="4575">
        <f>D35*0.9</f>
        <v>895972.5</v>
      </c>
      <c r="F35" s="4575">
        <f t="shared" ref="F35:H35" si="10">E35*0.9</f>
        <v>806375.25</v>
      </c>
      <c r="G35" s="4575">
        <f t="shared" si="10"/>
        <v>725737.72499999998</v>
      </c>
      <c r="H35" s="4575">
        <f t="shared" si="10"/>
        <v>653163.95250000001</v>
      </c>
      <c r="I35" s="4575">
        <f t="shared" ref="I35" si="11">H35*0.9</f>
        <v>587847.55725000007</v>
      </c>
      <c r="J35" s="1327"/>
    </row>
    <row r="36" spans="1:14" s="3727" customFormat="1" ht="16.5" thickBot="1">
      <c r="A36" s="85" t="s">
        <v>583</v>
      </c>
      <c r="B36" s="95" t="s">
        <v>584</v>
      </c>
      <c r="C36" s="368" t="s">
        <v>781</v>
      </c>
      <c r="D36" s="4576">
        <v>379130</v>
      </c>
      <c r="E36" s="4575">
        <f>D36*0.9</f>
        <v>341217</v>
      </c>
      <c r="F36" s="4575">
        <f t="shared" ref="F36:H36" si="12">E36*0.9</f>
        <v>307095.3</v>
      </c>
      <c r="G36" s="4575">
        <f t="shared" si="12"/>
        <v>276385.77</v>
      </c>
      <c r="H36" s="4575">
        <f t="shared" si="12"/>
        <v>248747.19300000003</v>
      </c>
      <c r="I36" s="4575">
        <f t="shared" ref="I36" si="13">H36*0.9</f>
        <v>223872.47370000003</v>
      </c>
      <c r="J36" s="1327"/>
    </row>
    <row r="37" spans="1:14" s="3727" customFormat="1" ht="15.75">
      <c r="A37" s="4878" t="s">
        <v>172</v>
      </c>
      <c r="B37" s="4871" t="s">
        <v>585</v>
      </c>
      <c r="C37" s="367" t="s">
        <v>781</v>
      </c>
      <c r="D37" s="233">
        <f>SUM(D39:D42)</f>
        <v>18354832</v>
      </c>
      <c r="E37" s="234">
        <f t="shared" ref="E37:I37" si="14">SUM(E39:E42)</f>
        <v>17823917.039999999</v>
      </c>
      <c r="F37" s="234">
        <f t="shared" si="14"/>
        <v>17360598.528799996</v>
      </c>
      <c r="G37" s="234">
        <f t="shared" si="14"/>
        <v>17027324.572935998</v>
      </c>
      <c r="H37" s="234">
        <f t="shared" si="14"/>
        <v>16519145.208789077</v>
      </c>
      <c r="I37" s="235">
        <f t="shared" si="14"/>
        <v>15564322.536368411</v>
      </c>
      <c r="J37" s="1327"/>
    </row>
    <row r="38" spans="1:14" s="3727" customFormat="1">
      <c r="A38" s="4879"/>
      <c r="B38" s="4872"/>
      <c r="C38" s="364" t="s">
        <v>170</v>
      </c>
      <c r="D38" s="236">
        <f t="shared" ref="D38:I38" si="15">IFERROR(D37/D9,0)</f>
        <v>0.66173227267729129</v>
      </c>
      <c r="E38" s="237">
        <f t="shared" si="15"/>
        <v>0.65910034828726982</v>
      </c>
      <c r="F38" s="237">
        <f t="shared" si="15"/>
        <v>0.6550689390615464</v>
      </c>
      <c r="G38" s="237">
        <f t="shared" si="15"/>
        <v>0.65560559650354189</v>
      </c>
      <c r="H38" s="237">
        <f t="shared" si="15"/>
        <v>0.64746569748692617</v>
      </c>
      <c r="I38" s="238">
        <f t="shared" si="15"/>
        <v>0.62430411984911804</v>
      </c>
      <c r="J38" s="1327"/>
    </row>
    <row r="39" spans="1:14" s="3727" customFormat="1" ht="25.5">
      <c r="A39" s="84" t="s">
        <v>586</v>
      </c>
      <c r="B39" s="96" t="s">
        <v>587</v>
      </c>
      <c r="C39" s="364" t="s">
        <v>781</v>
      </c>
      <c r="D39" s="201">
        <v>1749964</v>
      </c>
      <c r="E39" s="201">
        <f>D39*0.97</f>
        <v>1697465.0799999998</v>
      </c>
      <c r="F39" s="201">
        <f t="shared" ref="F39" si="16">E39*0.97</f>
        <v>1646541.1275999998</v>
      </c>
      <c r="G39" s="201">
        <f>F39*0.97+64</f>
        <v>1597208.8937719997</v>
      </c>
      <c r="H39" s="201">
        <v>1500000</v>
      </c>
      <c r="I39" s="201">
        <f>H39*0.97+3958-20748</f>
        <v>1438210</v>
      </c>
      <c r="J39" s="1327"/>
    </row>
    <row r="40" spans="1:14" s="3727" customFormat="1" ht="15.75">
      <c r="A40" s="84" t="s">
        <v>588</v>
      </c>
      <c r="B40" s="94" t="s">
        <v>589</v>
      </c>
      <c r="C40" s="364" t="s">
        <v>781</v>
      </c>
      <c r="D40" s="201">
        <v>16047887</v>
      </c>
      <c r="E40" s="201">
        <f>D40*0.97+19730</f>
        <v>15586180.389999999</v>
      </c>
      <c r="F40" s="201">
        <f>E40*0.97+67204+4195</f>
        <v>15189993.978299998</v>
      </c>
      <c r="G40" s="201">
        <f>F40*0.97+187480</f>
        <v>14921774.158950998</v>
      </c>
      <c r="H40" s="201">
        <f>G40*0.97+51933</f>
        <v>14526053.934182467</v>
      </c>
      <c r="I40" s="201">
        <v>13600000</v>
      </c>
      <c r="J40" s="1327"/>
    </row>
    <row r="41" spans="1:14" s="3727" customFormat="1" ht="15.75">
      <c r="A41" s="84" t="s">
        <v>590</v>
      </c>
      <c r="B41" s="94" t="s">
        <v>591</v>
      </c>
      <c r="C41" s="364" t="s">
        <v>781</v>
      </c>
      <c r="D41" s="4579">
        <v>185718</v>
      </c>
      <c r="E41" s="201">
        <f t="shared" ref="E41:E42" si="17">D41*0.97</f>
        <v>180146.46</v>
      </c>
      <c r="F41" s="201">
        <f t="shared" ref="F41:I42" si="18">E41*0.97</f>
        <v>174742.0662</v>
      </c>
      <c r="G41" s="201">
        <f t="shared" si="18"/>
        <v>169499.804214</v>
      </c>
      <c r="H41" s="201">
        <f t="shared" si="18"/>
        <v>164414.81008758</v>
      </c>
      <c r="I41" s="201">
        <f>H41*0.97+47814</f>
        <v>207296.36578495259</v>
      </c>
      <c r="J41" s="1327"/>
    </row>
    <row r="42" spans="1:14" ht="16.5" thickBot="1">
      <c r="A42" s="85" t="s">
        <v>592</v>
      </c>
      <c r="B42" s="97" t="s">
        <v>593</v>
      </c>
      <c r="C42" s="368" t="s">
        <v>781</v>
      </c>
      <c r="D42" s="205">
        <v>371263</v>
      </c>
      <c r="E42" s="201">
        <f t="shared" si="17"/>
        <v>360125.11</v>
      </c>
      <c r="F42" s="201">
        <f t="shared" ref="F42" si="19">E42*0.97</f>
        <v>349321.3567</v>
      </c>
      <c r="G42" s="201">
        <f t="shared" si="18"/>
        <v>338841.71599900001</v>
      </c>
      <c r="H42" s="201">
        <f t="shared" si="18"/>
        <v>328676.46451903001</v>
      </c>
      <c r="I42" s="201">
        <f t="shared" si="18"/>
        <v>318816.17058345908</v>
      </c>
      <c r="J42" s="1325"/>
    </row>
    <row r="43" spans="1:14" ht="15.75">
      <c r="A43" s="4865" t="s">
        <v>100</v>
      </c>
      <c r="B43" s="4868" t="s">
        <v>594</v>
      </c>
      <c r="C43" s="365" t="s">
        <v>781</v>
      </c>
      <c r="D43" s="207">
        <f t="shared" ref="D43:I43" si="20">D30+D26</f>
        <v>20084533</v>
      </c>
      <c r="E43" s="208">
        <f t="shared" si="20"/>
        <v>19416152.539999999</v>
      </c>
      <c r="F43" s="208">
        <f t="shared" si="20"/>
        <v>18829115.078799997</v>
      </c>
      <c r="G43" s="208">
        <f t="shared" si="20"/>
        <v>18384494.067935999</v>
      </c>
      <c r="H43" s="208">
        <f t="shared" si="20"/>
        <v>17776102.354289077</v>
      </c>
      <c r="I43" s="209">
        <f t="shared" si="20"/>
        <v>16731088.567318412</v>
      </c>
      <c r="J43" s="1325"/>
      <c r="L43" s="1747" t="s">
        <v>202</v>
      </c>
    </row>
    <row r="44" spans="1:14">
      <c r="A44" s="4866"/>
      <c r="B44" s="4869"/>
      <c r="C44" s="369" t="s">
        <v>170</v>
      </c>
      <c r="D44" s="921">
        <f t="shared" ref="D44:I44" si="21">IFERROR(D43/D9,0)</f>
        <v>0.72409181777049525</v>
      </c>
      <c r="E44" s="922">
        <f t="shared" si="21"/>
        <v>0.71797870652077267</v>
      </c>
      <c r="F44" s="922">
        <f t="shared" si="21"/>
        <v>0.71048059879245762</v>
      </c>
      <c r="G44" s="922">
        <f t="shared" si="21"/>
        <v>0.70786089430529542</v>
      </c>
      <c r="H44" s="922">
        <f t="shared" si="21"/>
        <v>0.69673196548300431</v>
      </c>
      <c r="I44" s="923">
        <f t="shared" si="21"/>
        <v>0.6711045403826833</v>
      </c>
      <c r="J44" s="1325"/>
    </row>
    <row r="45" spans="1:14" ht="28.5">
      <c r="A45" s="4866"/>
      <c r="B45" s="4869"/>
      <c r="C45" s="369" t="s">
        <v>1041</v>
      </c>
      <c r="D45" s="239">
        <f>IFERROR(D43/'2. Променливи'!E26/365,0)</f>
        <v>17.163480289525634</v>
      </c>
      <c r="E45" s="240">
        <f>IFERROR(E43/'2. Променливи'!F26/365,0)</f>
        <v>16.592307693622402</v>
      </c>
      <c r="F45" s="240">
        <f>IFERROR(F43/'2. Променливи'!G26/365,0)</f>
        <v>16.090647739939666</v>
      </c>
      <c r="G45" s="240">
        <f>IFERROR(G43/'2. Променливи'!H26/365,0)</f>
        <v>15.710691484234184</v>
      </c>
      <c r="H45" s="240">
        <f>IFERROR(H43/'2. Променливи'!I26/365,0)</f>
        <v>15.190782996170773</v>
      </c>
      <c r="I45" s="241">
        <f>IFERROR(I43/'2. Променливи'!J26/365,0)</f>
        <v>14.29775384110137</v>
      </c>
      <c r="J45" s="1325"/>
    </row>
    <row r="46" spans="1:14" ht="13.5" thickBot="1">
      <c r="A46" s="4867"/>
      <c r="B46" s="4870"/>
      <c r="C46" s="370" t="s">
        <v>725</v>
      </c>
      <c r="D46" s="242">
        <f t="shared" ref="D46:I46" si="22">D9-D20-D43</f>
        <v>0</v>
      </c>
      <c r="E46" s="243">
        <f t="shared" si="22"/>
        <v>0.30666666850447655</v>
      </c>
      <c r="F46" s="243">
        <f t="shared" si="22"/>
        <v>0.13230229169130325</v>
      </c>
      <c r="G46" s="243">
        <f t="shared" si="22"/>
        <v>9.0751141309738159E-2</v>
      </c>
      <c r="H46" s="243">
        <f t="shared" si="22"/>
        <v>0.18783891946077347</v>
      </c>
      <c r="I46" s="244">
        <f t="shared" si="22"/>
        <v>0.21085845492780209</v>
      </c>
      <c r="J46" s="1325"/>
    </row>
    <row r="47" spans="1:14" ht="18.75" customHeight="1" thickBot="1">
      <c r="A47" s="86" t="s">
        <v>173</v>
      </c>
      <c r="B47" s="1328" t="s">
        <v>174</v>
      </c>
      <c r="C47" s="371"/>
      <c r="D47" s="1750"/>
      <c r="E47" s="1750"/>
      <c r="F47" s="1750"/>
      <c r="G47" s="1750"/>
      <c r="H47" s="1750"/>
      <c r="I47" s="1751"/>
      <c r="K47" s="3728"/>
    </row>
    <row r="48" spans="1:14" ht="15.75">
      <c r="A48" s="4860">
        <v>5</v>
      </c>
      <c r="B48" s="4862" t="s">
        <v>175</v>
      </c>
      <c r="C48" s="362" t="s">
        <v>781</v>
      </c>
      <c r="D48" s="193">
        <f t="shared" ref="D48:I48" si="23">D50+D51</f>
        <v>5745788</v>
      </c>
      <c r="E48" s="194">
        <f t="shared" si="23"/>
        <v>5761148</v>
      </c>
      <c r="F48" s="194">
        <f t="shared" si="23"/>
        <v>5702544.4887824822</v>
      </c>
      <c r="G48" s="194">
        <f t="shared" si="23"/>
        <v>5643940.4462371534</v>
      </c>
      <c r="H48" s="194">
        <f t="shared" si="23"/>
        <v>5585336.4036918264</v>
      </c>
      <c r="I48" s="195">
        <f t="shared" si="23"/>
        <v>5534433.3120866613</v>
      </c>
      <c r="J48" s="3729"/>
    </row>
    <row r="49" spans="1:10" ht="13.5" thickBot="1">
      <c r="A49" s="4861"/>
      <c r="B49" s="4863"/>
      <c r="C49" s="366" t="s">
        <v>170</v>
      </c>
      <c r="D49" s="196">
        <f t="shared" ref="D49:I49" si="24">IFERROR(D48/D20,0)</f>
        <v>0.75078730388290005</v>
      </c>
      <c r="E49" s="197">
        <f t="shared" si="24"/>
        <v>0.75539749176713067</v>
      </c>
      <c r="F49" s="197">
        <f t="shared" si="24"/>
        <v>0.74321305735082366</v>
      </c>
      <c r="G49" s="197">
        <f t="shared" si="24"/>
        <v>0.74385617038820184</v>
      </c>
      <c r="H49" s="197">
        <f t="shared" si="24"/>
        <v>0.72185821530851646</v>
      </c>
      <c r="I49" s="198">
        <f t="shared" si="24"/>
        <v>0.67496502700464145</v>
      </c>
      <c r="J49" s="3729"/>
    </row>
    <row r="50" spans="1:10" ht="33" customHeight="1">
      <c r="A50" s="87" t="s">
        <v>105</v>
      </c>
      <c r="B50" s="1329" t="s">
        <v>177</v>
      </c>
      <c r="C50" s="367" t="s">
        <v>781</v>
      </c>
      <c r="D50" s="1375">
        <f>'4.1. Фактурирани количества'!E62+'4.1. Фактурирани количества'!E66</f>
        <v>4078944.9011609023</v>
      </c>
      <c r="E50" s="1376">
        <f>'4.1. Фактурирани количества'!G62+'4.1. Фактурирани количества'!G66</f>
        <v>4089849.3838810953</v>
      </c>
      <c r="F50" s="1376">
        <f>'4.1. Фактурирани количества'!H62+'4.1. Фактурирани количества'!H66</f>
        <v>4031210.4887824822</v>
      </c>
      <c r="G50" s="1376">
        <f>'4.1. Фактурирани количества'!I62+'4.1. Фактурирани количества'!I66</f>
        <v>3972571.4462371534</v>
      </c>
      <c r="H50" s="1376">
        <f>'4.1. Фактурирани количества'!J62+'4.1. Фактурирани количества'!J66</f>
        <v>3913932.4036918264</v>
      </c>
      <c r="I50" s="1377">
        <f>'4.1. Фактурирани количества'!K62+'4.1. Фактурирани количества'!K66</f>
        <v>3862994.3120866613</v>
      </c>
    </row>
    <row r="51" spans="1:10" ht="16.5" thickBot="1">
      <c r="A51" s="88" t="s">
        <v>109</v>
      </c>
      <c r="B51" s="1330" t="s">
        <v>179</v>
      </c>
      <c r="C51" s="364" t="s">
        <v>781</v>
      </c>
      <c r="D51" s="1378">
        <f>'4.1. Фактурирани количества'!E70</f>
        <v>1666843.0988390977</v>
      </c>
      <c r="E51" s="1379">
        <f>'4.1. Фактурирани количества'!G70</f>
        <v>1671298.6161189049</v>
      </c>
      <c r="F51" s="1379">
        <f>'4.1. Фактурирани количества'!H70</f>
        <v>1671334</v>
      </c>
      <c r="G51" s="1379">
        <f>'4.1. Фактурирани количества'!I70</f>
        <v>1671369</v>
      </c>
      <c r="H51" s="1379">
        <f>'4.1. Фактурирани количества'!J70</f>
        <v>1671404</v>
      </c>
      <c r="I51" s="1380">
        <f>'4.1. Фактурирани количества'!K70</f>
        <v>1671439</v>
      </c>
    </row>
    <row r="52" spans="1:10" ht="18" customHeight="1" thickBot="1">
      <c r="A52" s="89" t="s">
        <v>183</v>
      </c>
      <c r="B52" s="1328" t="s">
        <v>184</v>
      </c>
      <c r="C52" s="371"/>
      <c r="D52" s="1752"/>
      <c r="E52" s="1752"/>
      <c r="F52" s="1752"/>
      <c r="G52" s="1752"/>
      <c r="H52" s="1752"/>
      <c r="I52" s="1753"/>
    </row>
    <row r="53" spans="1:10" ht="15.75">
      <c r="A53" s="4860">
        <v>6</v>
      </c>
      <c r="B53" s="4862" t="s">
        <v>185</v>
      </c>
      <c r="C53" s="362" t="s">
        <v>781</v>
      </c>
      <c r="D53" s="193">
        <f t="shared" ref="D53:I53" si="25">D55+D56</f>
        <v>4372096</v>
      </c>
      <c r="E53" s="194">
        <f t="shared" si="25"/>
        <v>4464860.333333333</v>
      </c>
      <c r="F53" s="194">
        <f t="shared" si="25"/>
        <v>4468577.6961832568</v>
      </c>
      <c r="G53" s="194">
        <f t="shared" si="25"/>
        <v>4409914.3923665136</v>
      </c>
      <c r="H53" s="194">
        <f t="shared" si="25"/>
        <v>4351251.0885497713</v>
      </c>
      <c r="I53" s="195">
        <f t="shared" si="25"/>
        <v>4300296.5068105608</v>
      </c>
    </row>
    <row r="54" spans="1:10" ht="13.5" thickBot="1">
      <c r="A54" s="4861"/>
      <c r="B54" s="4863"/>
      <c r="C54" s="366" t="s">
        <v>170</v>
      </c>
      <c r="D54" s="196">
        <f t="shared" ref="D54:I54" si="26">IFERROR(D53/D20,0)</f>
        <v>0.57129051196410519</v>
      </c>
      <c r="E54" s="197">
        <f t="shared" si="26"/>
        <v>0.58542920558377509</v>
      </c>
      <c r="F54" s="197">
        <f t="shared" si="26"/>
        <v>0.58239007133096976</v>
      </c>
      <c r="G54" s="197">
        <f t="shared" si="26"/>
        <v>0.58121485563026998</v>
      </c>
      <c r="H54" s="197">
        <f t="shared" si="26"/>
        <v>0.56236296583024636</v>
      </c>
      <c r="I54" s="198">
        <f t="shared" si="26"/>
        <v>0.52445292664534782</v>
      </c>
    </row>
    <row r="55" spans="1:10" ht="32.25" customHeight="1">
      <c r="A55" s="90" t="s">
        <v>268</v>
      </c>
      <c r="B55" s="1329" t="s">
        <v>177</v>
      </c>
      <c r="C55" s="1381" t="s">
        <v>781</v>
      </c>
      <c r="D55" s="1375">
        <f>'4.1. Фактурирани количества'!E95+'4.1. Фактурирани количества'!E99</f>
        <v>4155053</v>
      </c>
      <c r="E55" s="1376">
        <f>'4.1. Фактурирани количества'!G95+'4.1. Фактурирани количества'!G99</f>
        <v>4205070.333333333</v>
      </c>
      <c r="F55" s="1376">
        <f>'4.1. Фактурирани количества'!H95+'4.1. Фактурирани количества'!H99</f>
        <v>4146371.6961832568</v>
      </c>
      <c r="G55" s="1376">
        <f>'4.1. Фактурирани количества'!I95+'4.1. Фактурирани количества'!I99</f>
        <v>4087673.3923665136</v>
      </c>
      <c r="H55" s="1376">
        <f>'4.1. Фактурирани количества'!J95+'4.1. Фактурирани количества'!J99</f>
        <v>4028975.0885497713</v>
      </c>
      <c r="I55" s="1377">
        <f>'4.1. Фактурирани количества'!K95+'4.1. Фактурирани количества'!K99</f>
        <v>3977985.5068105613</v>
      </c>
    </row>
    <row r="56" spans="1:10" ht="15.75">
      <c r="A56" s="88" t="s">
        <v>270</v>
      </c>
      <c r="B56" s="1330" t="s">
        <v>179</v>
      </c>
      <c r="C56" s="1382" t="s">
        <v>781</v>
      </c>
      <c r="D56" s="4393">
        <f>'4.1. Фактурирани количества'!E103</f>
        <v>217043</v>
      </c>
      <c r="E56" s="219">
        <f>'4.1. Фактурирани количества'!G103</f>
        <v>259790</v>
      </c>
      <c r="F56" s="219">
        <f>'4.1. Фактурирани количества'!H103</f>
        <v>322206</v>
      </c>
      <c r="G56" s="219">
        <f>'4.1. Фактурирани количества'!I103</f>
        <v>322241</v>
      </c>
      <c r="H56" s="219">
        <f>'4.1. Фактурирани количества'!J103</f>
        <v>322276</v>
      </c>
      <c r="I56" s="220">
        <f>'4.1. Фактурирани количества'!K103</f>
        <v>322311</v>
      </c>
    </row>
    <row r="57" spans="1:10" ht="30" customHeight="1">
      <c r="A57" s="1331"/>
      <c r="B57" s="3730" t="s">
        <v>186</v>
      </c>
      <c r="C57" s="1382" t="s">
        <v>1434</v>
      </c>
      <c r="D57" s="1384">
        <f>D56-SUM(D58:D60)</f>
        <v>0.15443227550713345</v>
      </c>
      <c r="E57" s="1385">
        <f t="shared" ref="E57:I57" si="27">E56-SUM(E58:E60)</f>
        <v>0</v>
      </c>
      <c r="F57" s="1385">
        <f t="shared" si="27"/>
        <v>0</v>
      </c>
      <c r="G57" s="1385">
        <f t="shared" si="27"/>
        <v>0</v>
      </c>
      <c r="H57" s="1385">
        <f t="shared" si="27"/>
        <v>0</v>
      </c>
      <c r="I57" s="1386">
        <f t="shared" si="27"/>
        <v>0</v>
      </c>
    </row>
    <row r="58" spans="1:10" ht="15.75">
      <c r="A58" s="88" t="s">
        <v>351</v>
      </c>
      <c r="B58" s="1332" t="s">
        <v>997</v>
      </c>
      <c r="C58" s="1382" t="s">
        <v>781</v>
      </c>
      <c r="D58" s="518">
        <v>164876</v>
      </c>
      <c r="E58" s="203">
        <v>160790</v>
      </c>
      <c r="F58" s="203">
        <v>164897.54152296222</v>
      </c>
      <c r="G58" s="203">
        <v>164915.45370943082</v>
      </c>
      <c r="H58" s="203">
        <v>164933.36589589942</v>
      </c>
      <c r="I58" s="204">
        <v>164951.27808236802</v>
      </c>
    </row>
    <row r="59" spans="1:10" ht="15.75">
      <c r="A59" s="88" t="s">
        <v>718</v>
      </c>
      <c r="B59" s="1332" t="s">
        <v>998</v>
      </c>
      <c r="C59" s="1382" t="s">
        <v>781</v>
      </c>
      <c r="D59" s="201">
        <v>42368.842418530672</v>
      </c>
      <c r="E59" s="201">
        <v>60000</v>
      </c>
      <c r="F59" s="203">
        <v>82796.736596517454</v>
      </c>
      <c r="G59" s="201">
        <v>82805.730487943685</v>
      </c>
      <c r="H59" s="203">
        <v>82814.724379369902</v>
      </c>
      <c r="I59" s="202">
        <v>82823.718270796133</v>
      </c>
    </row>
    <row r="60" spans="1:10" ht="16.5" thickBot="1">
      <c r="A60" s="91" t="s">
        <v>719</v>
      </c>
      <c r="B60" s="1333" t="s">
        <v>999</v>
      </c>
      <c r="C60" s="1383" t="s">
        <v>781</v>
      </c>
      <c r="D60" s="205">
        <v>9798.0031491938407</v>
      </c>
      <c r="E60" s="205">
        <v>39000</v>
      </c>
      <c r="F60" s="206">
        <v>74511.721880520345</v>
      </c>
      <c r="G60" s="205">
        <v>74519.815802625526</v>
      </c>
      <c r="H60" s="206">
        <v>74527.909724730693</v>
      </c>
      <c r="I60" s="224">
        <v>74536.003646835859</v>
      </c>
    </row>
    <row r="61" spans="1:10" s="3731" customFormat="1" ht="16.5" customHeight="1" thickBot="1">
      <c r="A61" s="506" t="s">
        <v>1116</v>
      </c>
      <c r="B61" s="1754" t="s">
        <v>1029</v>
      </c>
      <c r="C61" s="908"/>
      <c r="D61" s="507"/>
      <c r="E61" s="508"/>
      <c r="F61" s="508"/>
      <c r="G61" s="508"/>
      <c r="H61" s="508"/>
      <c r="I61" s="509"/>
    </row>
    <row r="62" spans="1:10" s="3731" customFormat="1" ht="27" customHeight="1" thickBot="1">
      <c r="A62" s="510" t="s">
        <v>205</v>
      </c>
      <c r="B62" s="511" t="s">
        <v>570</v>
      </c>
      <c r="C62" s="512" t="s">
        <v>781</v>
      </c>
      <c r="D62" s="513">
        <f>D63+D64+D65+D66</f>
        <v>0</v>
      </c>
      <c r="E62" s="514">
        <f t="shared" ref="E62:I62" si="28">E63+E64+E65+E66</f>
        <v>0</v>
      </c>
      <c r="F62" s="514">
        <f t="shared" si="28"/>
        <v>0</v>
      </c>
      <c r="G62" s="514">
        <f t="shared" si="28"/>
        <v>0</v>
      </c>
      <c r="H62" s="514">
        <f t="shared" si="28"/>
        <v>0</v>
      </c>
      <c r="I62" s="515">
        <f t="shared" si="28"/>
        <v>0</v>
      </c>
    </row>
    <row r="63" spans="1:10" s="3732" customFormat="1" ht="30" customHeight="1">
      <c r="A63" s="516" t="s">
        <v>90</v>
      </c>
      <c r="B63" s="1329" t="s">
        <v>906</v>
      </c>
      <c r="C63" s="517" t="s">
        <v>781</v>
      </c>
      <c r="D63" s="518"/>
      <c r="E63" s="519"/>
      <c r="F63" s="519"/>
      <c r="G63" s="519"/>
      <c r="H63" s="519"/>
      <c r="I63" s="520"/>
    </row>
    <row r="64" spans="1:10" s="3732" customFormat="1" ht="27" customHeight="1">
      <c r="A64" s="516" t="s">
        <v>91</v>
      </c>
      <c r="B64" s="1330" t="s">
        <v>907</v>
      </c>
      <c r="C64" s="517" t="s">
        <v>781</v>
      </c>
      <c r="D64" s="518"/>
      <c r="E64" s="519"/>
      <c r="F64" s="519"/>
      <c r="G64" s="519"/>
      <c r="H64" s="519"/>
      <c r="I64" s="520"/>
    </row>
    <row r="65" spans="1:9" s="3732" customFormat="1" ht="34.5" customHeight="1">
      <c r="A65" s="516" t="s">
        <v>93</v>
      </c>
      <c r="B65" s="1330" t="s">
        <v>908</v>
      </c>
      <c r="C65" s="517" t="s">
        <v>781</v>
      </c>
      <c r="D65" s="4405">
        <f>'4.2. Продад. и закупени кол-ва'!D109</f>
        <v>0</v>
      </c>
      <c r="E65" s="4406">
        <f>'4.2. Продад. и закупени кол-ва'!E109</f>
        <v>0</v>
      </c>
      <c r="F65" s="4406">
        <f>'4.2. Продад. и закупени кол-ва'!F109</f>
        <v>0</v>
      </c>
      <c r="G65" s="4406">
        <f>'4.2. Продад. и закупени кол-ва'!G109</f>
        <v>0</v>
      </c>
      <c r="H65" s="4406">
        <f>'4.2. Продад. и закупени кол-ва'!H109</f>
        <v>0</v>
      </c>
      <c r="I65" s="4407">
        <f>'4.2. Продад. и закупени кол-ва'!I109</f>
        <v>0</v>
      </c>
    </row>
    <row r="66" spans="1:9" s="3732" customFormat="1" ht="38.25" customHeight="1" thickBot="1">
      <c r="A66" s="521" t="s">
        <v>145</v>
      </c>
      <c r="B66" s="3733" t="s">
        <v>909</v>
      </c>
      <c r="C66" s="517" t="s">
        <v>781</v>
      </c>
      <c r="D66" s="518"/>
      <c r="E66" s="519"/>
      <c r="F66" s="519"/>
      <c r="G66" s="519"/>
      <c r="H66" s="519"/>
      <c r="I66" s="520"/>
    </row>
    <row r="67" spans="1:9" s="3731" customFormat="1" ht="15.75">
      <c r="A67" s="4834" t="s">
        <v>95</v>
      </c>
      <c r="B67" s="4853" t="s">
        <v>571</v>
      </c>
      <c r="C67" s="512" t="s">
        <v>781</v>
      </c>
      <c r="D67" s="522">
        <f t="shared" ref="D67:I67" si="29">D69+D71</f>
        <v>0</v>
      </c>
      <c r="E67" s="523">
        <f t="shared" si="29"/>
        <v>0</v>
      </c>
      <c r="F67" s="523">
        <f t="shared" si="29"/>
        <v>0</v>
      </c>
      <c r="G67" s="523">
        <f t="shared" si="29"/>
        <v>0</v>
      </c>
      <c r="H67" s="523">
        <f t="shared" si="29"/>
        <v>0</v>
      </c>
      <c r="I67" s="524">
        <f t="shared" si="29"/>
        <v>0</v>
      </c>
    </row>
    <row r="68" spans="1:9" s="3731" customFormat="1">
      <c r="A68" s="4852"/>
      <c r="B68" s="4859"/>
      <c r="C68" s="525" t="s">
        <v>170</v>
      </c>
      <c r="D68" s="526">
        <f>IFERROR(D67/D62,0)</f>
        <v>0</v>
      </c>
      <c r="E68" s="527">
        <f t="shared" ref="E68:I68" si="30">IFERROR(E67/E62,0)</f>
        <v>0</v>
      </c>
      <c r="F68" s="527">
        <f t="shared" si="30"/>
        <v>0</v>
      </c>
      <c r="G68" s="527">
        <f t="shared" si="30"/>
        <v>0</v>
      </c>
      <c r="H68" s="527">
        <f t="shared" si="30"/>
        <v>0</v>
      </c>
      <c r="I68" s="528">
        <f t="shared" si="30"/>
        <v>0</v>
      </c>
    </row>
    <row r="69" spans="1:9" s="3731" customFormat="1" ht="15.75">
      <c r="A69" s="4831" t="s">
        <v>96</v>
      </c>
      <c r="B69" s="4864" t="s">
        <v>572</v>
      </c>
      <c r="C69" s="529" t="s">
        <v>781</v>
      </c>
      <c r="D69" s="1763"/>
      <c r="E69" s="1764"/>
      <c r="F69" s="1764"/>
      <c r="G69" s="1764"/>
      <c r="H69" s="1764"/>
      <c r="I69" s="3915"/>
    </row>
    <row r="70" spans="1:9" s="3731" customFormat="1">
      <c r="A70" s="4856"/>
      <c r="B70" s="4858"/>
      <c r="C70" s="517" t="s">
        <v>170</v>
      </c>
      <c r="D70" s="533">
        <f t="shared" ref="D70:I70" si="31">IFERROR(D69/D62,0)</f>
        <v>0</v>
      </c>
      <c r="E70" s="534">
        <f t="shared" si="31"/>
        <v>0</v>
      </c>
      <c r="F70" s="534">
        <f t="shared" si="31"/>
        <v>0</v>
      </c>
      <c r="G70" s="534">
        <f t="shared" si="31"/>
        <v>0</v>
      </c>
      <c r="H70" s="534">
        <f t="shared" si="31"/>
        <v>0</v>
      </c>
      <c r="I70" s="535">
        <f t="shared" si="31"/>
        <v>0</v>
      </c>
    </row>
    <row r="71" spans="1:9" s="3731" customFormat="1" ht="15.75">
      <c r="A71" s="4849" t="s">
        <v>97</v>
      </c>
      <c r="B71" s="4851" t="s">
        <v>688</v>
      </c>
      <c r="C71" s="529" t="s">
        <v>781</v>
      </c>
      <c r="D71" s="530">
        <f>D73+D74</f>
        <v>0</v>
      </c>
      <c r="E71" s="531">
        <f t="shared" ref="E71:I71" si="32">E73+E74</f>
        <v>0</v>
      </c>
      <c r="F71" s="531">
        <f t="shared" si="32"/>
        <v>0</v>
      </c>
      <c r="G71" s="531">
        <f t="shared" si="32"/>
        <v>0</v>
      </c>
      <c r="H71" s="531">
        <f t="shared" si="32"/>
        <v>0</v>
      </c>
      <c r="I71" s="532">
        <f t="shared" si="32"/>
        <v>0</v>
      </c>
    </row>
    <row r="72" spans="1:9" s="3731" customFormat="1">
      <c r="A72" s="4850"/>
      <c r="B72" s="4842"/>
      <c r="C72" s="517" t="s">
        <v>170</v>
      </c>
      <c r="D72" s="533">
        <f t="shared" ref="D72:I72" si="33">IFERROR(D71/D62,0)</f>
        <v>0</v>
      </c>
      <c r="E72" s="534">
        <f t="shared" si="33"/>
        <v>0</v>
      </c>
      <c r="F72" s="534">
        <f t="shared" si="33"/>
        <v>0</v>
      </c>
      <c r="G72" s="534">
        <f t="shared" si="33"/>
        <v>0</v>
      </c>
      <c r="H72" s="534">
        <f t="shared" si="33"/>
        <v>0</v>
      </c>
      <c r="I72" s="535">
        <f t="shared" si="33"/>
        <v>0</v>
      </c>
    </row>
    <row r="73" spans="1:9" s="3731" customFormat="1" ht="27" customHeight="1">
      <c r="A73" s="537" t="s">
        <v>159</v>
      </c>
      <c r="B73" s="538" t="s">
        <v>578</v>
      </c>
      <c r="C73" s="517" t="s">
        <v>781</v>
      </c>
      <c r="D73" s="518"/>
      <c r="E73" s="519"/>
      <c r="F73" s="519"/>
      <c r="G73" s="519"/>
      <c r="H73" s="519"/>
      <c r="I73" s="520"/>
    </row>
    <row r="74" spans="1:9" s="3731" customFormat="1" ht="27.75" customHeight="1" thickBot="1">
      <c r="A74" s="539" t="s">
        <v>164</v>
      </c>
      <c r="B74" s="540" t="s">
        <v>579</v>
      </c>
      <c r="C74" s="536" t="s">
        <v>781</v>
      </c>
      <c r="D74" s="541"/>
      <c r="E74" s="542"/>
      <c r="F74" s="542"/>
      <c r="G74" s="542"/>
      <c r="H74" s="542"/>
      <c r="I74" s="543"/>
    </row>
    <row r="75" spans="1:9" s="3731" customFormat="1" ht="15.75">
      <c r="A75" s="4834" t="s">
        <v>99</v>
      </c>
      <c r="B75" s="4853" t="s">
        <v>689</v>
      </c>
      <c r="C75" s="512" t="s">
        <v>781</v>
      </c>
      <c r="D75" s="522">
        <f>D78+D82</f>
        <v>0</v>
      </c>
      <c r="E75" s="523">
        <f t="shared" ref="E75:I75" si="34">E78+E82</f>
        <v>0</v>
      </c>
      <c r="F75" s="523">
        <f t="shared" si="34"/>
        <v>0</v>
      </c>
      <c r="G75" s="523">
        <f t="shared" si="34"/>
        <v>0</v>
      </c>
      <c r="H75" s="523">
        <f t="shared" si="34"/>
        <v>0</v>
      </c>
      <c r="I75" s="524">
        <f t="shared" si="34"/>
        <v>0</v>
      </c>
    </row>
    <row r="76" spans="1:9" s="3734" customFormat="1">
      <c r="A76" s="4835"/>
      <c r="B76" s="4854"/>
      <c r="C76" s="525" t="s">
        <v>170</v>
      </c>
      <c r="D76" s="526">
        <f t="shared" ref="D76:I76" si="35">IFERROR(D75/D62,0)</f>
        <v>0</v>
      </c>
      <c r="E76" s="527">
        <f t="shared" si="35"/>
        <v>0</v>
      </c>
      <c r="F76" s="527">
        <f t="shared" si="35"/>
        <v>0</v>
      </c>
      <c r="G76" s="527">
        <f t="shared" si="35"/>
        <v>0</v>
      </c>
      <c r="H76" s="527">
        <f t="shared" si="35"/>
        <v>0</v>
      </c>
      <c r="I76" s="528">
        <f t="shared" si="35"/>
        <v>0</v>
      </c>
    </row>
    <row r="77" spans="1:9" s="3734" customFormat="1" ht="28.5">
      <c r="A77" s="4852"/>
      <c r="B77" s="4859"/>
      <c r="C77" s="525" t="s">
        <v>1115</v>
      </c>
      <c r="D77" s="567">
        <f>IFERROR(D75/'2. Променливи'!E123/365,0)</f>
        <v>0</v>
      </c>
      <c r="E77" s="568">
        <f>IFERROR(E75/'2. Променливи'!F123/365,0)</f>
        <v>0</v>
      </c>
      <c r="F77" s="568">
        <f>IFERROR(F75/'2. Променливи'!G123/365,0)</f>
        <v>0</v>
      </c>
      <c r="G77" s="545">
        <f>IFERROR(G75/'2. Променливи'!H123/365,0)</f>
        <v>0</v>
      </c>
      <c r="H77" s="545">
        <f>IFERROR(H75/'2. Променливи'!I123/365,0)</f>
        <v>0</v>
      </c>
      <c r="I77" s="3735">
        <f>IFERROR(I75/'2. Променливи'!J123/365,0)</f>
        <v>0</v>
      </c>
    </row>
    <row r="78" spans="1:9" s="3734" customFormat="1" ht="15.75">
      <c r="A78" s="4830" t="s">
        <v>171</v>
      </c>
      <c r="B78" s="4847" t="s">
        <v>580</v>
      </c>
      <c r="C78" s="529" t="s">
        <v>781</v>
      </c>
      <c r="D78" s="546">
        <f>D80+D81</f>
        <v>0</v>
      </c>
      <c r="E78" s="547">
        <f t="shared" ref="E78:I78" si="36">E80+E81</f>
        <v>0</v>
      </c>
      <c r="F78" s="547">
        <f t="shared" si="36"/>
        <v>0</v>
      </c>
      <c r="G78" s="547">
        <f t="shared" si="36"/>
        <v>0</v>
      </c>
      <c r="H78" s="547">
        <f t="shared" si="36"/>
        <v>0</v>
      </c>
      <c r="I78" s="548">
        <f t="shared" si="36"/>
        <v>0</v>
      </c>
    </row>
    <row r="79" spans="1:9" s="3734" customFormat="1">
      <c r="A79" s="4831"/>
      <c r="B79" s="4848"/>
      <c r="C79" s="517" t="s">
        <v>170</v>
      </c>
      <c r="D79" s="549">
        <f t="shared" ref="D79:I79" si="37">IFERROR(D78/D62,0)</f>
        <v>0</v>
      </c>
      <c r="E79" s="550">
        <f t="shared" si="37"/>
        <v>0</v>
      </c>
      <c r="F79" s="550">
        <f t="shared" si="37"/>
        <v>0</v>
      </c>
      <c r="G79" s="550">
        <f>IFERROR(G78/G62,0)</f>
        <v>0</v>
      </c>
      <c r="H79" s="550">
        <f t="shared" si="37"/>
        <v>0</v>
      </c>
      <c r="I79" s="551">
        <f t="shared" si="37"/>
        <v>0</v>
      </c>
    </row>
    <row r="80" spans="1:9" s="3734" customFormat="1" ht="15.75">
      <c r="A80" s="552" t="s">
        <v>581</v>
      </c>
      <c r="B80" s="553" t="s">
        <v>582</v>
      </c>
      <c r="C80" s="517" t="s">
        <v>781</v>
      </c>
      <c r="D80" s="518"/>
      <c r="E80" s="519"/>
      <c r="F80" s="519"/>
      <c r="G80" s="519"/>
      <c r="H80" s="519"/>
      <c r="I80" s="520"/>
    </row>
    <row r="81" spans="1:9" s="3734" customFormat="1" ht="16.5" thickBot="1">
      <c r="A81" s="554" t="s">
        <v>583</v>
      </c>
      <c r="B81" s="555" t="s">
        <v>584</v>
      </c>
      <c r="C81" s="536" t="s">
        <v>781</v>
      </c>
      <c r="D81" s="541"/>
      <c r="E81" s="542"/>
      <c r="F81" s="542"/>
      <c r="G81" s="542"/>
      <c r="H81" s="542"/>
      <c r="I81" s="543"/>
    </row>
    <row r="82" spans="1:9" s="3734" customFormat="1" ht="15.75">
      <c r="A82" s="4830" t="s">
        <v>172</v>
      </c>
      <c r="B82" s="4832" t="s">
        <v>585</v>
      </c>
      <c r="C82" s="556" t="s">
        <v>781</v>
      </c>
      <c r="D82" s="546">
        <f>SUM(D84:D87)</f>
        <v>0</v>
      </c>
      <c r="E82" s="547">
        <f t="shared" ref="E82:I82" si="38">SUM(E84:E87)</f>
        <v>0</v>
      </c>
      <c r="F82" s="547">
        <f t="shared" si="38"/>
        <v>0</v>
      </c>
      <c r="G82" s="547">
        <f t="shared" si="38"/>
        <v>0</v>
      </c>
      <c r="H82" s="547">
        <f t="shared" si="38"/>
        <v>0</v>
      </c>
      <c r="I82" s="548">
        <f t="shared" si="38"/>
        <v>0</v>
      </c>
    </row>
    <row r="83" spans="1:9" s="3734" customFormat="1">
      <c r="A83" s="4831"/>
      <c r="B83" s="4833"/>
      <c r="C83" s="517" t="s">
        <v>170</v>
      </c>
      <c r="D83" s="549">
        <f t="shared" ref="D83:I83" si="39">IFERROR(D82/D62,0)</f>
        <v>0</v>
      </c>
      <c r="E83" s="550">
        <f t="shared" si="39"/>
        <v>0</v>
      </c>
      <c r="F83" s="550">
        <f t="shared" si="39"/>
        <v>0</v>
      </c>
      <c r="G83" s="550">
        <f t="shared" si="39"/>
        <v>0</v>
      </c>
      <c r="H83" s="550">
        <f t="shared" si="39"/>
        <v>0</v>
      </c>
      <c r="I83" s="551">
        <f t="shared" si="39"/>
        <v>0</v>
      </c>
    </row>
    <row r="84" spans="1:9" s="3734" customFormat="1" ht="36.75" customHeight="1">
      <c r="A84" s="552" t="s">
        <v>586</v>
      </c>
      <c r="B84" s="557" t="s">
        <v>587</v>
      </c>
      <c r="C84" s="517" t="s">
        <v>781</v>
      </c>
      <c r="D84" s="518"/>
      <c r="E84" s="519"/>
      <c r="F84" s="519"/>
      <c r="G84" s="519"/>
      <c r="H84" s="519"/>
      <c r="I84" s="520"/>
    </row>
    <row r="85" spans="1:9" s="3731" customFormat="1" ht="31.5" customHeight="1">
      <c r="A85" s="552" t="s">
        <v>588</v>
      </c>
      <c r="B85" s="557" t="s">
        <v>589</v>
      </c>
      <c r="C85" s="517" t="s">
        <v>781</v>
      </c>
      <c r="D85" s="518"/>
      <c r="E85" s="519"/>
      <c r="F85" s="519"/>
      <c r="G85" s="519"/>
      <c r="H85" s="519"/>
      <c r="I85" s="520"/>
    </row>
    <row r="86" spans="1:9" s="3731" customFormat="1" ht="36" customHeight="1">
      <c r="A86" s="552" t="s">
        <v>590</v>
      </c>
      <c r="B86" s="557" t="s">
        <v>591</v>
      </c>
      <c r="C86" s="517" t="s">
        <v>781</v>
      </c>
      <c r="D86" s="518"/>
      <c r="E86" s="519"/>
      <c r="F86" s="519"/>
      <c r="G86" s="519"/>
      <c r="H86" s="519"/>
      <c r="I86" s="520"/>
    </row>
    <row r="87" spans="1:9" s="3731" customFormat="1" ht="16.5" thickBot="1">
      <c r="A87" s="554" t="s">
        <v>592</v>
      </c>
      <c r="B87" s="558" t="s">
        <v>593</v>
      </c>
      <c r="C87" s="536" t="s">
        <v>781</v>
      </c>
      <c r="D87" s="541"/>
      <c r="E87" s="542"/>
      <c r="F87" s="542"/>
      <c r="G87" s="542"/>
      <c r="H87" s="542"/>
      <c r="I87" s="543"/>
    </row>
    <row r="88" spans="1:9" s="3731" customFormat="1" ht="15.75">
      <c r="A88" s="4834" t="s">
        <v>100</v>
      </c>
      <c r="B88" s="4837" t="s">
        <v>594</v>
      </c>
      <c r="C88" s="559" t="s">
        <v>781</v>
      </c>
      <c r="D88" s="522">
        <f>D75+D71</f>
        <v>0</v>
      </c>
      <c r="E88" s="523">
        <f t="shared" ref="E88:I88" si="40">E75+E71</f>
        <v>0</v>
      </c>
      <c r="F88" s="523">
        <f t="shared" si="40"/>
        <v>0</v>
      </c>
      <c r="G88" s="523">
        <f t="shared" si="40"/>
        <v>0</v>
      </c>
      <c r="H88" s="523">
        <f t="shared" si="40"/>
        <v>0</v>
      </c>
      <c r="I88" s="524">
        <f t="shared" si="40"/>
        <v>0</v>
      </c>
    </row>
    <row r="89" spans="1:9" s="3731" customFormat="1">
      <c r="A89" s="4835"/>
      <c r="B89" s="4838"/>
      <c r="C89" s="525" t="s">
        <v>170</v>
      </c>
      <c r="D89" s="918">
        <f t="shared" ref="D89:I89" si="41">IFERROR(D88/D62,0)</f>
        <v>0</v>
      </c>
      <c r="E89" s="919">
        <f t="shared" si="41"/>
        <v>0</v>
      </c>
      <c r="F89" s="919">
        <f t="shared" si="41"/>
        <v>0</v>
      </c>
      <c r="G89" s="919">
        <f t="shared" si="41"/>
        <v>0</v>
      </c>
      <c r="H89" s="919">
        <f t="shared" si="41"/>
        <v>0</v>
      </c>
      <c r="I89" s="920">
        <f t="shared" si="41"/>
        <v>0</v>
      </c>
    </row>
    <row r="90" spans="1:9" s="3731" customFormat="1" ht="28.5">
      <c r="A90" s="4835"/>
      <c r="B90" s="4838"/>
      <c r="C90" s="525" t="s">
        <v>1115</v>
      </c>
      <c r="D90" s="544">
        <f>IFERROR(D88/'2. Променливи'!E123/365,0)</f>
        <v>0</v>
      </c>
      <c r="E90" s="545">
        <f>IFERROR(E88/'2. Променливи'!F123/365,0)</f>
        <v>0</v>
      </c>
      <c r="F90" s="569">
        <f>IFERROR(F88/'2. Променливи'!G123/365,0)</f>
        <v>0</v>
      </c>
      <c r="G90" s="568">
        <f>IFERROR(G88/'2. Променливи'!H123/365,0)</f>
        <v>0</v>
      </c>
      <c r="H90" s="568">
        <f>IFERROR(H88/'2. Променливи'!I123/365,0)</f>
        <v>0</v>
      </c>
      <c r="I90" s="570">
        <f>IFERROR(I88/'2. Променливи'!J123/365,0)</f>
        <v>0</v>
      </c>
    </row>
    <row r="91" spans="1:9" s="3731" customFormat="1" ht="13.5" thickBot="1">
      <c r="A91" s="4836"/>
      <c r="B91" s="4839"/>
      <c r="C91" s="560" t="s">
        <v>725</v>
      </c>
      <c r="D91" s="561">
        <f t="shared" ref="D91:I91" si="42">D62-D69-D88</f>
        <v>0</v>
      </c>
      <c r="E91" s="562">
        <f t="shared" si="42"/>
        <v>0</v>
      </c>
      <c r="F91" s="562">
        <f t="shared" si="42"/>
        <v>0</v>
      </c>
      <c r="G91" s="562">
        <f t="shared" si="42"/>
        <v>0</v>
      </c>
      <c r="H91" s="562">
        <f t="shared" si="42"/>
        <v>0</v>
      </c>
      <c r="I91" s="563">
        <f t="shared" si="42"/>
        <v>0</v>
      </c>
    </row>
    <row r="92" spans="1:9" s="3731" customFormat="1" ht="27" customHeight="1" thickBot="1">
      <c r="A92" s="506" t="s">
        <v>1117</v>
      </c>
      <c r="B92" s="3736" t="s">
        <v>1294</v>
      </c>
      <c r="C92" s="908"/>
      <c r="D92" s="507"/>
      <c r="E92" s="508"/>
      <c r="F92" s="508"/>
      <c r="G92" s="508"/>
      <c r="H92" s="508"/>
      <c r="I92" s="509"/>
    </row>
    <row r="93" spans="1:9" s="3731" customFormat="1" ht="24.75" customHeight="1">
      <c r="A93" s="510" t="s">
        <v>205</v>
      </c>
      <c r="B93" s="511" t="s">
        <v>570</v>
      </c>
      <c r="C93" s="512" t="s">
        <v>781</v>
      </c>
      <c r="D93" s="513">
        <f>D94+D95+D96+D97</f>
        <v>0</v>
      </c>
      <c r="E93" s="514">
        <f t="shared" ref="E93:I93" si="43">E94+E95+E96+E97</f>
        <v>0</v>
      </c>
      <c r="F93" s="514">
        <f t="shared" si="43"/>
        <v>0</v>
      </c>
      <c r="G93" s="514">
        <f t="shared" si="43"/>
        <v>0</v>
      </c>
      <c r="H93" s="514">
        <f t="shared" si="43"/>
        <v>0</v>
      </c>
      <c r="I93" s="515">
        <f t="shared" si="43"/>
        <v>0</v>
      </c>
    </row>
    <row r="94" spans="1:9" s="3737" customFormat="1" ht="33" customHeight="1">
      <c r="A94" s="516" t="s">
        <v>90</v>
      </c>
      <c r="B94" s="557" t="s">
        <v>906</v>
      </c>
      <c r="C94" s="517" t="s">
        <v>781</v>
      </c>
      <c r="D94" s="909">
        <f>'4.2. Продад. и закупени кол-ва'!D11+'4.2. Продад. и закупени кол-ва'!D30+'4.2. Продад. и закупени кол-ва'!D49</f>
        <v>0</v>
      </c>
      <c r="E94" s="909">
        <f>'4.2. Продад. и закупени кол-ва'!E11+'4.2. Продад. и закупени кол-ва'!E30+'4.2. Продад. и закупени кол-ва'!E49</f>
        <v>0</v>
      </c>
      <c r="F94" s="909">
        <f>'4.2. Продад. и закупени кол-ва'!F11+'4.2. Продад. и закупени кол-ва'!F30+'4.2. Продад. и закупени кол-ва'!F49</f>
        <v>0</v>
      </c>
      <c r="G94" s="909">
        <f>'4.2. Продад. и закупени кол-ва'!G11+'4.2. Продад. и закупени кол-ва'!G30+'4.2. Продад. и закупени кол-ва'!G49</f>
        <v>0</v>
      </c>
      <c r="H94" s="909">
        <f>'4.2. Продад. и закупени кол-ва'!H11+'4.2. Продад. и закупени кол-ва'!H30+'4.2. Продад. и закупени кол-ва'!H49</f>
        <v>0</v>
      </c>
      <c r="I94" s="910">
        <f>'4.2. Продад. и закупени кол-ва'!I11+'4.2. Продад. и закупени кол-ва'!I30+'4.2. Продад. и закупени кол-ва'!I49</f>
        <v>0</v>
      </c>
    </row>
    <row r="95" spans="1:9" s="3737" customFormat="1" ht="22.5" customHeight="1">
      <c r="A95" s="516" t="s">
        <v>91</v>
      </c>
      <c r="B95" s="557" t="s">
        <v>907</v>
      </c>
      <c r="C95" s="517" t="s">
        <v>781</v>
      </c>
      <c r="D95" s="909">
        <f>'4.2. Продад. и закупени кол-ва'!D12+'4.2. Продад. и закупени кол-ва'!D31+'4.2. Продад. и закупени кол-ва'!D50</f>
        <v>0</v>
      </c>
      <c r="E95" s="909">
        <f>'4.2. Продад. и закупени кол-ва'!E12+'4.2. Продад. и закупени кол-ва'!E31+'4.2. Продад. и закупени кол-ва'!E50</f>
        <v>0</v>
      </c>
      <c r="F95" s="909">
        <f>'4.2. Продад. и закупени кол-ва'!F12+'4.2. Продад. и закупени кол-ва'!F31+'4.2. Продад. и закупени кол-ва'!F50</f>
        <v>0</v>
      </c>
      <c r="G95" s="909">
        <f>'4.2. Продад. и закупени кол-ва'!G12+'4.2. Продад. и закупени кол-ва'!G31+'4.2. Продад. и закупени кол-ва'!G50</f>
        <v>0</v>
      </c>
      <c r="H95" s="909">
        <f>'4.2. Продад. и закупени кол-ва'!H12+'4.2. Продад. и закупени кол-ва'!H31+'4.2. Продад. и закупени кол-ва'!H50</f>
        <v>0</v>
      </c>
      <c r="I95" s="3725">
        <f>'4.2. Продад. и закупени кол-ва'!I12+'4.2. Продад. и закупени кол-ва'!I31+'4.2. Продад. и закупени кол-ва'!I50</f>
        <v>0</v>
      </c>
    </row>
    <row r="96" spans="1:9" s="3737" customFormat="1" ht="36" customHeight="1">
      <c r="A96" s="516" t="s">
        <v>93</v>
      </c>
      <c r="B96" s="557" t="s">
        <v>908</v>
      </c>
      <c r="C96" s="517" t="s">
        <v>781</v>
      </c>
      <c r="D96" s="909">
        <f>'4.2. Продад. и закупени кол-ва'!D13+'4.2. Продад. и закупени кол-ва'!D32+'4.2. Продад. и закупени кол-ва'!D51</f>
        <v>0</v>
      </c>
      <c r="E96" s="909">
        <f>'4.2. Продад. и закупени кол-ва'!E13+'4.2. Продад. и закупени кол-ва'!E32+'4.2. Продад. и закупени кол-ва'!E51</f>
        <v>0</v>
      </c>
      <c r="F96" s="909">
        <f>'4.2. Продад. и закупени кол-ва'!F13+'4.2. Продад. и закупени кол-ва'!F32+'4.2. Продад. и закупени кол-ва'!F51</f>
        <v>0</v>
      </c>
      <c r="G96" s="909">
        <f>'4.2. Продад. и закупени кол-ва'!G13+'4.2. Продад. и закупени кол-ва'!G32+'4.2. Продад. и закупени кол-ва'!G51</f>
        <v>0</v>
      </c>
      <c r="H96" s="909">
        <f>'4.2. Продад. и закупени кол-ва'!H13+'4.2. Продад. и закупени кол-ва'!H32+'4.2. Продад. и закупени кол-ва'!H51</f>
        <v>0</v>
      </c>
      <c r="I96" s="910">
        <f>'4.2. Продад. и закупени кол-ва'!I13+'4.2. Продад. и закупени кол-ва'!I32+'4.2. Продад. и закупени кол-ва'!I51</f>
        <v>0</v>
      </c>
    </row>
    <row r="97" spans="1:9" s="3737" customFormat="1" ht="34.5" customHeight="1" thickBot="1">
      <c r="A97" s="521" t="s">
        <v>145</v>
      </c>
      <c r="B97" s="557" t="s">
        <v>909</v>
      </c>
      <c r="C97" s="517" t="s">
        <v>781</v>
      </c>
      <c r="D97" s="909">
        <f>'4.2. Продад. и закупени кол-ва'!D14+'4.2. Продад. и закупени кол-ва'!D33+'4.2. Продад. и закупени кол-ва'!D52</f>
        <v>0</v>
      </c>
      <c r="E97" s="909">
        <f>'4.2. Продад. и закупени кол-ва'!E14+'4.2. Продад. и закупени кол-ва'!E33+'4.2. Продад. и закупени кол-ва'!E52</f>
        <v>0</v>
      </c>
      <c r="F97" s="909">
        <f>'4.2. Продад. и закупени кол-ва'!F14+'4.2. Продад. и закупени кол-ва'!F33+'4.2. Продад. и закупени кол-ва'!F52</f>
        <v>0</v>
      </c>
      <c r="G97" s="909">
        <f>'4.2. Продад. и закупени кол-ва'!G14+'4.2. Продад. и закупени кол-ва'!G33+'4.2. Продад. и закупени кол-ва'!G52</f>
        <v>0</v>
      </c>
      <c r="H97" s="909">
        <f>'4.2. Продад. и закупени кол-ва'!H14+'4.2. Продад. и закупени кол-ва'!H33+'4.2. Продад. и закупени кол-ва'!H52</f>
        <v>0</v>
      </c>
      <c r="I97" s="911">
        <f>'4.2. Продад. и закупени кол-ва'!I14+'4.2. Продад. и закупени кол-ва'!I33+'4.2. Продад. и закупени кол-ва'!I52</f>
        <v>0</v>
      </c>
    </row>
    <row r="98" spans="1:9" s="3737" customFormat="1" ht="15.75">
      <c r="A98" s="4834" t="s">
        <v>95</v>
      </c>
      <c r="B98" s="4853" t="s">
        <v>571</v>
      </c>
      <c r="C98" s="512" t="s">
        <v>781</v>
      </c>
      <c r="D98" s="522">
        <f t="shared" ref="D98:I98" si="44">D100+D102</f>
        <v>0</v>
      </c>
      <c r="E98" s="523">
        <f t="shared" si="44"/>
        <v>0</v>
      </c>
      <c r="F98" s="523">
        <f t="shared" si="44"/>
        <v>0</v>
      </c>
      <c r="G98" s="523">
        <f t="shared" si="44"/>
        <v>0</v>
      </c>
      <c r="H98" s="523">
        <f t="shared" si="44"/>
        <v>0</v>
      </c>
      <c r="I98" s="524">
        <f t="shared" si="44"/>
        <v>0</v>
      </c>
    </row>
    <row r="99" spans="1:9" s="3737" customFormat="1" ht="13.5" thickBot="1">
      <c r="A99" s="4835"/>
      <c r="B99" s="4854"/>
      <c r="C99" s="740" t="s">
        <v>170</v>
      </c>
      <c r="D99" s="741">
        <f t="shared" ref="D99:I99" si="45">IFERROR(D98/D93,0)</f>
        <v>0</v>
      </c>
      <c r="E99" s="743">
        <f t="shared" si="45"/>
        <v>0</v>
      </c>
      <c r="F99" s="743">
        <f t="shared" si="45"/>
        <v>0</v>
      </c>
      <c r="G99" s="743">
        <f t="shared" si="45"/>
        <v>0</v>
      </c>
      <c r="H99" s="743">
        <f t="shared" si="45"/>
        <v>0</v>
      </c>
      <c r="I99" s="746">
        <f t="shared" si="45"/>
        <v>0</v>
      </c>
    </row>
    <row r="100" spans="1:9" s="3737" customFormat="1" ht="15.75">
      <c r="A100" s="4855" t="s">
        <v>96</v>
      </c>
      <c r="B100" s="4857" t="s">
        <v>572</v>
      </c>
      <c r="C100" s="556" t="s">
        <v>781</v>
      </c>
      <c r="D100" s="1387">
        <f>'4.2. Продад. и закупени кол-ва'!D15+'4.2. Продад. и закупени кол-ва'!D34+'4.2. Продад. и закупени кол-ва'!D53</f>
        <v>0</v>
      </c>
      <c r="E100" s="791">
        <f>'4.2. Продад. и закупени кол-ва'!E15+'4.2. Продад. и закупени кол-ва'!E34+'4.2. Продад. и закупени кол-ва'!E53</f>
        <v>0</v>
      </c>
      <c r="F100" s="791">
        <f>'4.2. Продад. и закупени кол-ва'!F15+'4.2. Продад. и закупени кол-ва'!F34+'4.2. Продад. и закупени кол-ва'!F53</f>
        <v>0</v>
      </c>
      <c r="G100" s="791">
        <f>'4.2. Продад. и закупени кол-ва'!G15+'4.2. Продад. и закупени кол-ва'!G34+'4.2. Продад. и закупени кол-ва'!G53</f>
        <v>0</v>
      </c>
      <c r="H100" s="791">
        <f>'4.2. Продад. и закупени кол-ва'!H15+'4.2. Продад. и закупени кол-ва'!H34+'4.2. Продад. и закупени кол-ва'!H53</f>
        <v>0</v>
      </c>
      <c r="I100" s="792">
        <f>'4.2. Продад. и закупени кол-ва'!I15+'4.2. Продад. и закупени кол-ва'!I34+'4.2. Продад. и закупени кол-ва'!I53</f>
        <v>0</v>
      </c>
    </row>
    <row r="101" spans="1:9" s="3737" customFormat="1">
      <c r="A101" s="4856"/>
      <c r="B101" s="4858"/>
      <c r="C101" s="517" t="s">
        <v>170</v>
      </c>
      <c r="D101" s="533">
        <f t="shared" ref="D101:I101" si="46">IFERROR(D100/D93,0)</f>
        <v>0</v>
      </c>
      <c r="E101" s="534">
        <f t="shared" si="46"/>
        <v>0</v>
      </c>
      <c r="F101" s="534">
        <f t="shared" si="46"/>
        <v>0</v>
      </c>
      <c r="G101" s="534">
        <f t="shared" si="46"/>
        <v>0</v>
      </c>
      <c r="H101" s="534">
        <f t="shared" si="46"/>
        <v>0</v>
      </c>
      <c r="I101" s="535">
        <f t="shared" si="46"/>
        <v>0</v>
      </c>
    </row>
    <row r="102" spans="1:9" s="3737" customFormat="1" ht="15.75">
      <c r="A102" s="4840" t="s">
        <v>97</v>
      </c>
      <c r="B102" s="4842" t="s">
        <v>688</v>
      </c>
      <c r="C102" s="517" t="s">
        <v>781</v>
      </c>
      <c r="D102" s="3738">
        <f>'4.2. Продад. и закупени кол-ва'!D17+'4.2. Продад. и закупени кол-ва'!D36+'4.2. Продад. и закупени кол-ва'!D55</f>
        <v>0</v>
      </c>
      <c r="E102" s="3739">
        <f>'4.2. Продад. и закупени кол-ва'!E17+'4.2. Продад. и закупени кол-ва'!E36+'4.2. Продад. и закупени кол-ва'!E55</f>
        <v>0</v>
      </c>
      <c r="F102" s="3739">
        <f>'4.2. Продад. и закупени кол-ва'!F17+'4.2. Продад. и закупени кол-ва'!F36+'4.2. Продад. и закупени кол-ва'!F55</f>
        <v>0</v>
      </c>
      <c r="G102" s="3739">
        <f>'4.2. Продад. и закупени кол-ва'!G17+'4.2. Продад. и закупени кол-ва'!G36+'4.2. Продад. и закупени кол-ва'!G55</f>
        <v>0</v>
      </c>
      <c r="H102" s="3739">
        <f>'4.2. Продад. и закупени кол-ва'!H17+'4.2. Продад. и закупени кол-ва'!H36+'4.2. Продад. и закупени кол-ва'!H55</f>
        <v>0</v>
      </c>
      <c r="I102" s="3740">
        <f>'4.2. Продад. и закупени кол-ва'!I17+'4.2. Продад. и закупени кол-ва'!I36+'4.2. Продад. и закупени кол-ва'!I55</f>
        <v>0</v>
      </c>
    </row>
    <row r="103" spans="1:9" s="3737" customFormat="1" ht="13.5" thickBot="1">
      <c r="A103" s="4841"/>
      <c r="B103" s="4843"/>
      <c r="C103" s="536" t="s">
        <v>170</v>
      </c>
      <c r="D103" s="902">
        <f t="shared" ref="D103:I103" si="47">IFERROR(D102/D93,0)</f>
        <v>0</v>
      </c>
      <c r="E103" s="903">
        <f t="shared" si="47"/>
        <v>0</v>
      </c>
      <c r="F103" s="903">
        <f t="shared" si="47"/>
        <v>0</v>
      </c>
      <c r="G103" s="903">
        <f t="shared" si="47"/>
        <v>0</v>
      </c>
      <c r="H103" s="903">
        <f t="shared" si="47"/>
        <v>0</v>
      </c>
      <c r="I103" s="904">
        <f t="shared" si="47"/>
        <v>0</v>
      </c>
    </row>
    <row r="104" spans="1:9" s="3737" customFormat="1" ht="15.75">
      <c r="A104" s="4834" t="s">
        <v>99</v>
      </c>
      <c r="B104" s="4844" t="s">
        <v>689</v>
      </c>
      <c r="C104" s="512" t="s">
        <v>781</v>
      </c>
      <c r="D104" s="522">
        <f t="shared" ref="D104:I104" si="48">D106+D108</f>
        <v>0</v>
      </c>
      <c r="E104" s="523">
        <f t="shared" si="48"/>
        <v>0</v>
      </c>
      <c r="F104" s="523">
        <f t="shared" si="48"/>
        <v>0</v>
      </c>
      <c r="G104" s="523">
        <f t="shared" si="48"/>
        <v>0</v>
      </c>
      <c r="H104" s="523">
        <f t="shared" si="48"/>
        <v>0</v>
      </c>
      <c r="I104" s="524">
        <f t="shared" si="48"/>
        <v>0</v>
      </c>
    </row>
    <row r="105" spans="1:9" s="3737" customFormat="1" ht="13.5" thickBot="1">
      <c r="A105" s="4836"/>
      <c r="B105" s="4845"/>
      <c r="C105" s="560" t="s">
        <v>170</v>
      </c>
      <c r="D105" s="899">
        <f t="shared" ref="D105:I105" si="49">IFERROR(D104/D93,0)</f>
        <v>0</v>
      </c>
      <c r="E105" s="745">
        <f t="shared" si="49"/>
        <v>0</v>
      </c>
      <c r="F105" s="745">
        <f t="shared" si="49"/>
        <v>0</v>
      </c>
      <c r="G105" s="745">
        <f t="shared" si="49"/>
        <v>0</v>
      </c>
      <c r="H105" s="745">
        <f t="shared" si="49"/>
        <v>0</v>
      </c>
      <c r="I105" s="900">
        <f t="shared" si="49"/>
        <v>0</v>
      </c>
    </row>
    <row r="106" spans="1:9" s="3737" customFormat="1" ht="15.75">
      <c r="A106" s="4846" t="s">
        <v>171</v>
      </c>
      <c r="B106" s="4847" t="s">
        <v>580</v>
      </c>
      <c r="C106" s="556" t="s">
        <v>781</v>
      </c>
      <c r="D106" s="742">
        <f>'4.2. Продад. и закупени кол-ва'!D21+'4.2. Продад. и закупени кол-ва'!D40+'4.2. Продад. и закупени кол-ва'!D59</f>
        <v>0</v>
      </c>
      <c r="E106" s="744">
        <f>'4.2. Продад. и закупени кол-ва'!E21+'4.2. Продад. и закупени кол-ва'!E40+'4.2. Продад. и закупени кол-ва'!E59</f>
        <v>0</v>
      </c>
      <c r="F106" s="547">
        <f>'4.2. Продад. и закупени кол-ва'!F21+'4.2. Продад. и закупени кол-ва'!F40+'4.2. Продад. и закупени кол-ва'!F59</f>
        <v>0</v>
      </c>
      <c r="G106" s="744">
        <f>'4.2. Продад. и закупени кол-ва'!G21+'4.2. Продад. и закупени кол-ва'!G40+'4.2. Продад. и закупени кол-ва'!G59</f>
        <v>0</v>
      </c>
      <c r="H106" s="547">
        <f>'4.2. Продад. и закупени кол-ва'!H21+'4.2. Продад. и закупени кол-ва'!H40+'4.2. Продад. и закупени кол-ва'!H59</f>
        <v>0</v>
      </c>
      <c r="I106" s="747">
        <f>'4.2. Продад. и закупени кол-ва'!I21+'4.2. Продад. и закупени кол-ва'!I40+'4.2. Продад. и закупени кол-ва'!I59</f>
        <v>0</v>
      </c>
    </row>
    <row r="107" spans="1:9" s="3737" customFormat="1">
      <c r="A107" s="4831"/>
      <c r="B107" s="4848"/>
      <c r="C107" s="901" t="s">
        <v>170</v>
      </c>
      <c r="D107" s="549">
        <f t="shared" ref="D107:I107" si="50">IFERROR(D106/D93,0)</f>
        <v>0</v>
      </c>
      <c r="E107" s="550">
        <f t="shared" si="50"/>
        <v>0</v>
      </c>
      <c r="F107" s="550">
        <f t="shared" si="50"/>
        <v>0</v>
      </c>
      <c r="G107" s="550">
        <f t="shared" si="50"/>
        <v>0</v>
      </c>
      <c r="H107" s="550">
        <f t="shared" si="50"/>
        <v>0</v>
      </c>
      <c r="I107" s="551">
        <f t="shared" si="50"/>
        <v>0</v>
      </c>
    </row>
    <row r="108" spans="1:9" s="3737" customFormat="1" ht="15.75">
      <c r="A108" s="4830" t="s">
        <v>172</v>
      </c>
      <c r="B108" s="4832" t="s">
        <v>585</v>
      </c>
      <c r="C108" s="517" t="s">
        <v>781</v>
      </c>
      <c r="D108" s="546">
        <f>'4.2. Продад. и закупени кол-ва'!D23+'4.2. Продад. и закупени кол-ва'!D42+'4.2. Продад. и закупени кол-ва'!D61</f>
        <v>0</v>
      </c>
      <c r="E108" s="547">
        <f>'4.2. Продад. и закупени кол-ва'!E23+'4.2. Продад. и закупени кол-ва'!E42+'4.2. Продад. и закупени кол-ва'!E61</f>
        <v>0</v>
      </c>
      <c r="F108" s="547">
        <f>'4.2. Продад. и закупени кол-ва'!F23+'4.2. Продад. и закупени кол-ва'!F42+'4.2. Продад. и закупени кол-ва'!F61</f>
        <v>0</v>
      </c>
      <c r="G108" s="547">
        <f>'4.2. Продад. и закупени кол-ва'!G23+'4.2. Продад. и закупени кол-ва'!G42+'4.2. Продад. и закупени кол-ва'!G61</f>
        <v>0</v>
      </c>
      <c r="H108" s="547">
        <f>'4.2. Продад. и закупени кол-ва'!H23+'4.2. Продад. и закупени кол-ва'!H42+'4.2. Продад. и закупени кол-ва'!H61</f>
        <v>0</v>
      </c>
      <c r="I108" s="548">
        <f>'4.2. Продад. и закупени кол-ва'!I23+'4.2. Продад. и закупени кол-ва'!I42+'4.2. Продад. и закупени кол-ва'!I61</f>
        <v>0</v>
      </c>
    </row>
    <row r="109" spans="1:9" s="3737" customFormat="1" ht="13.5" thickBot="1">
      <c r="A109" s="4831"/>
      <c r="B109" s="4833"/>
      <c r="C109" s="517" t="s">
        <v>170</v>
      </c>
      <c r="D109" s="549">
        <f t="shared" ref="D109:I109" si="51">IFERROR(D108/D93,0)</f>
        <v>0</v>
      </c>
      <c r="E109" s="550">
        <f t="shared" si="51"/>
        <v>0</v>
      </c>
      <c r="F109" s="550">
        <f t="shared" si="51"/>
        <v>0</v>
      </c>
      <c r="G109" s="550">
        <f t="shared" si="51"/>
        <v>0</v>
      </c>
      <c r="H109" s="550">
        <f t="shared" si="51"/>
        <v>0</v>
      </c>
      <c r="I109" s="551">
        <f t="shared" si="51"/>
        <v>0</v>
      </c>
    </row>
    <row r="110" spans="1:9" s="3737" customFormat="1" ht="15.75">
      <c r="A110" s="4834" t="s">
        <v>100</v>
      </c>
      <c r="B110" s="4837" t="s">
        <v>594</v>
      </c>
      <c r="C110" s="559" t="s">
        <v>781</v>
      </c>
      <c r="D110" s="780">
        <f t="shared" ref="D110:I110" si="52">D104+D102</f>
        <v>0</v>
      </c>
      <c r="E110" s="523">
        <f t="shared" si="52"/>
        <v>0</v>
      </c>
      <c r="F110" s="887">
        <f t="shared" si="52"/>
        <v>0</v>
      </c>
      <c r="G110" s="888">
        <f t="shared" si="52"/>
        <v>0</v>
      </c>
      <c r="H110" s="888">
        <f t="shared" si="52"/>
        <v>0</v>
      </c>
      <c r="I110" s="524">
        <f t="shared" si="52"/>
        <v>0</v>
      </c>
    </row>
    <row r="111" spans="1:9" s="3737" customFormat="1">
      <c r="A111" s="4835"/>
      <c r="B111" s="4838"/>
      <c r="C111" s="525" t="s">
        <v>170</v>
      </c>
      <c r="D111" s="918">
        <f t="shared" ref="D111:I111" si="53">IFERROR(D110/D93,0)</f>
        <v>0</v>
      </c>
      <c r="E111" s="919">
        <f t="shared" si="53"/>
        <v>0</v>
      </c>
      <c r="F111" s="919">
        <f t="shared" si="53"/>
        <v>0</v>
      </c>
      <c r="G111" s="919">
        <f t="shared" si="53"/>
        <v>0</v>
      </c>
      <c r="H111" s="919">
        <f t="shared" si="53"/>
        <v>0</v>
      </c>
      <c r="I111" s="920">
        <f t="shared" si="53"/>
        <v>0</v>
      </c>
    </row>
    <row r="112" spans="1:9" s="3737" customFormat="1" ht="13.5" thickBot="1">
      <c r="A112" s="4836"/>
      <c r="B112" s="4839"/>
      <c r="C112" s="560" t="s">
        <v>725</v>
      </c>
      <c r="D112" s="561">
        <f t="shared" ref="D112:I112" si="54">D93-D100-D110</f>
        <v>0</v>
      </c>
      <c r="E112" s="562">
        <f t="shared" si="54"/>
        <v>0</v>
      </c>
      <c r="F112" s="562">
        <f t="shared" si="54"/>
        <v>0</v>
      </c>
      <c r="G112" s="562">
        <f t="shared" si="54"/>
        <v>0</v>
      </c>
      <c r="H112" s="562">
        <f t="shared" si="54"/>
        <v>0</v>
      </c>
      <c r="I112" s="563">
        <f t="shared" si="54"/>
        <v>0</v>
      </c>
    </row>
    <row r="113" spans="1:12" s="3737" customFormat="1" ht="25.5">
      <c r="A113" s="885"/>
      <c r="B113" s="912" t="s">
        <v>1331</v>
      </c>
      <c r="C113" s="913"/>
      <c r="D113" s="913">
        <f t="shared" ref="D113:I113" si="55">D100-(D14+D16)</f>
        <v>0</v>
      </c>
      <c r="E113" s="914">
        <f t="shared" si="55"/>
        <v>0</v>
      </c>
      <c r="F113" s="914">
        <f t="shared" si="55"/>
        <v>0</v>
      </c>
      <c r="G113" s="914">
        <f t="shared" si="55"/>
        <v>0</v>
      </c>
      <c r="H113" s="913">
        <f t="shared" si="55"/>
        <v>0</v>
      </c>
      <c r="I113" s="913">
        <f t="shared" si="55"/>
        <v>0</v>
      </c>
    </row>
    <row r="114" spans="1:12" s="3737" customFormat="1" ht="25.5">
      <c r="A114" s="886"/>
      <c r="B114" s="912" t="s">
        <v>1332</v>
      </c>
      <c r="C114" s="915"/>
      <c r="D114" s="916">
        <f t="shared" ref="D114:I114" si="56">D110-(D15+D17)</f>
        <v>0</v>
      </c>
      <c r="E114" s="917">
        <f t="shared" si="56"/>
        <v>0</v>
      </c>
      <c r="F114" s="917">
        <f t="shared" si="56"/>
        <v>0</v>
      </c>
      <c r="G114" s="917">
        <f t="shared" si="56"/>
        <v>0</v>
      </c>
      <c r="H114" s="916">
        <f t="shared" si="56"/>
        <v>0</v>
      </c>
      <c r="I114" s="916">
        <f t="shared" si="56"/>
        <v>0</v>
      </c>
    </row>
    <row r="115" spans="1:12">
      <c r="J115" s="46"/>
      <c r="K115" s="46"/>
    </row>
    <row r="116" spans="1:12">
      <c r="B116" s="1755" t="str">
        <f>'Приложение '!B82</f>
        <v>Дата: 29.06.2026</v>
      </c>
      <c r="F116" s="1756"/>
      <c r="J116" s="48"/>
      <c r="K116" s="48"/>
    </row>
    <row r="117" spans="1:12">
      <c r="C117" s="4873"/>
      <c r="D117" s="4873"/>
      <c r="F117" s="1756"/>
      <c r="G117" s="1757"/>
      <c r="I117" s="1758"/>
      <c r="J117" s="48"/>
      <c r="K117" s="48"/>
      <c r="L117" s="47"/>
    </row>
    <row r="118" spans="1:12">
      <c r="F118" s="1756"/>
      <c r="I118" s="1758"/>
      <c r="J118" s="48"/>
      <c r="K118" s="48"/>
      <c r="L118" s="47"/>
    </row>
    <row r="119" spans="1:12">
      <c r="A119" s="1759" t="s">
        <v>187</v>
      </c>
      <c r="G119" s="1760"/>
      <c r="I119" s="1758"/>
      <c r="J119" s="48"/>
      <c r="K119" s="48"/>
      <c r="L119" s="1758"/>
    </row>
    <row r="120" spans="1:12">
      <c r="A120" s="1761" t="s">
        <v>188</v>
      </c>
      <c r="B120" s="1759"/>
      <c r="C120" s="1759"/>
      <c r="D120" s="1759"/>
      <c r="E120" s="1762"/>
      <c r="F120" s="1762"/>
    </row>
    <row r="121" spans="1:12" s="1759" customFormat="1" ht="30.75" customHeight="1">
      <c r="A121" s="4828" t="s">
        <v>726</v>
      </c>
      <c r="B121" s="4828"/>
      <c r="C121" s="4828"/>
      <c r="D121" s="4828"/>
      <c r="E121" s="4828"/>
      <c r="F121" s="4828"/>
      <c r="G121" s="4828"/>
      <c r="H121" s="4828"/>
      <c r="I121" s="4828"/>
    </row>
    <row r="122" spans="1:12" s="1759" customFormat="1" ht="63" customHeight="1">
      <c r="A122" s="4828" t="s">
        <v>1476</v>
      </c>
      <c r="B122" s="4828"/>
      <c r="C122" s="4828"/>
      <c r="D122" s="4828"/>
      <c r="E122" s="4828"/>
      <c r="F122" s="4828"/>
      <c r="G122" s="4828"/>
      <c r="H122" s="4828"/>
      <c r="I122" s="4828"/>
    </row>
    <row r="123" spans="1:12" ht="79.5" customHeight="1">
      <c r="A123" s="4874" t="s">
        <v>1471</v>
      </c>
      <c r="B123" s="4874"/>
      <c r="C123" s="4874"/>
      <c r="D123" s="4874"/>
      <c r="E123" s="4874"/>
      <c r="F123" s="4874"/>
      <c r="G123" s="4874"/>
      <c r="H123" s="4874"/>
      <c r="I123" s="4874"/>
    </row>
  </sheetData>
  <sheetProtection password="EF75" sheet="1" objects="1" scenarios="1" formatCells="0" formatColumns="0" formatRows="0"/>
  <mergeCells count="54">
    <mergeCell ref="C117:D117"/>
    <mergeCell ref="A123:I123"/>
    <mergeCell ref="A121:I121"/>
    <mergeCell ref="A4:I4"/>
    <mergeCell ref="A5:I5"/>
    <mergeCell ref="A18:A19"/>
    <mergeCell ref="B18:B19"/>
    <mergeCell ref="A20:A21"/>
    <mergeCell ref="B20:B21"/>
    <mergeCell ref="A26:A27"/>
    <mergeCell ref="B26:B27"/>
    <mergeCell ref="A30:A32"/>
    <mergeCell ref="B30:B32"/>
    <mergeCell ref="A33:A34"/>
    <mergeCell ref="B33:B34"/>
    <mergeCell ref="A37:A38"/>
    <mergeCell ref="A43:A46"/>
    <mergeCell ref="B43:B46"/>
    <mergeCell ref="B37:B38"/>
    <mergeCell ref="A48:A49"/>
    <mergeCell ref="B48:B49"/>
    <mergeCell ref="A53:A54"/>
    <mergeCell ref="B53:B54"/>
    <mergeCell ref="A67:A68"/>
    <mergeCell ref="B67:B68"/>
    <mergeCell ref="A69:A70"/>
    <mergeCell ref="B69:B70"/>
    <mergeCell ref="A71:A72"/>
    <mergeCell ref="B71:B72"/>
    <mergeCell ref="A75:A77"/>
    <mergeCell ref="B98:B99"/>
    <mergeCell ref="A100:A101"/>
    <mergeCell ref="B100:B101"/>
    <mergeCell ref="B75:B77"/>
    <mergeCell ref="A78:A79"/>
    <mergeCell ref="B78:B79"/>
    <mergeCell ref="A82:A83"/>
    <mergeCell ref="B82:B83"/>
    <mergeCell ref="A122:I122"/>
    <mergeCell ref="A2:I2"/>
    <mergeCell ref="A3:I3"/>
    <mergeCell ref="A108:A109"/>
    <mergeCell ref="B108:B109"/>
    <mergeCell ref="A110:A112"/>
    <mergeCell ref="B110:B112"/>
    <mergeCell ref="A102:A103"/>
    <mergeCell ref="B102:B103"/>
    <mergeCell ref="A104:A105"/>
    <mergeCell ref="B104:B105"/>
    <mergeCell ref="A106:A107"/>
    <mergeCell ref="B106:B107"/>
    <mergeCell ref="A88:A91"/>
    <mergeCell ref="B88:B91"/>
    <mergeCell ref="A98:A99"/>
  </mergeCells>
  <printOptions horizontalCentered="1"/>
  <pageMargins left="0.59055118110236227" right="0.19685039370078741" top="0.59055118110236227" bottom="0.19685039370078741" header="0.31496062992125984" footer="0.11811023622047245"/>
  <pageSetup paperSize="9" scale="73" orientation="portrait" r:id="rId1"/>
  <headerFooter alignWithMargins="0">
    <oddFooter>&amp;C&amp;A&amp;RСтр. &amp;P от &amp;N</oddFooter>
  </headerFooter>
  <rowBreaks count="2" manualBreakCount="2">
    <brk id="56" max="8" man="1"/>
    <brk id="103" max="8" man="1"/>
  </rowBreaks>
  <ignoredErrors>
    <ignoredError sqref="D18 D43 E18:I18 E43:I43" unlockedFormula="1"/>
    <ignoredError sqref="A18:A21 A9:A14 A26:A3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M139"/>
  <sheetViews>
    <sheetView showGridLines="0" view="pageBreakPreview" topLeftCell="A93" zoomScale="90" zoomScaleNormal="70" zoomScaleSheetLayoutView="90" workbookViewId="0">
      <selection activeCell="G107" sqref="G107:K107"/>
    </sheetView>
  </sheetViews>
  <sheetFormatPr defaultColWidth="9.140625" defaultRowHeight="12.75"/>
  <cols>
    <col min="1" max="1" width="46.85546875" style="1765" customWidth="1"/>
    <col min="2" max="2" width="62.85546875" style="1765" customWidth="1"/>
    <col min="3" max="3" width="6.85546875" style="1765" customWidth="1"/>
    <col min="4" max="11" width="8.5703125" style="1765" customWidth="1"/>
    <col min="12" max="12" width="12.5703125" style="1765" customWidth="1"/>
    <col min="13" max="13" width="15.5703125" style="1765" customWidth="1"/>
    <col min="14" max="14" width="11.5703125" style="1765" customWidth="1"/>
    <col min="15" max="16384" width="9.140625" style="1765"/>
  </cols>
  <sheetData>
    <row r="1" spans="1:13" ht="13.5">
      <c r="M1" s="1766" t="s">
        <v>0</v>
      </c>
    </row>
    <row r="2" spans="1:13" ht="15.75">
      <c r="A2" s="4940" t="s">
        <v>1166</v>
      </c>
      <c r="B2" s="4940"/>
      <c r="C2" s="4940"/>
      <c r="D2" s="4940"/>
      <c r="E2" s="4940"/>
      <c r="F2" s="4940"/>
      <c r="G2" s="4940"/>
      <c r="H2" s="4940"/>
      <c r="I2" s="4940"/>
      <c r="J2" s="4940"/>
      <c r="K2" s="4940"/>
      <c r="L2" s="4940"/>
      <c r="M2" s="4940"/>
    </row>
    <row r="3" spans="1:13" ht="15.75">
      <c r="A3" s="4941" t="s">
        <v>1740</v>
      </c>
      <c r="B3" s="4941"/>
      <c r="C3" s="4941"/>
      <c r="D3" s="4941"/>
      <c r="E3" s="4941"/>
      <c r="F3" s="4941"/>
      <c r="G3" s="4941"/>
      <c r="H3" s="4941"/>
      <c r="I3" s="4941"/>
      <c r="J3" s="4941"/>
      <c r="K3" s="4941"/>
      <c r="L3" s="4941"/>
      <c r="M3" s="4941"/>
    </row>
    <row r="4" spans="1:13" ht="15.75">
      <c r="A4" s="4941" t="str">
        <f>'1. Обща информация'!A4</f>
        <v>на ВОДОСНАБДЯВАНЕ И КАНАЛИЗАЦИЯ ЕООД, гр. ХАСКОВО</v>
      </c>
      <c r="B4" s="4941"/>
      <c r="C4" s="4941"/>
      <c r="D4" s="4941"/>
      <c r="E4" s="4941"/>
      <c r="F4" s="4941"/>
      <c r="G4" s="4941"/>
      <c r="H4" s="4941"/>
      <c r="I4" s="4941"/>
      <c r="J4" s="4941"/>
      <c r="K4" s="4941"/>
      <c r="L4" s="4941"/>
      <c r="M4" s="4941"/>
    </row>
    <row r="5" spans="1:13" ht="15.75">
      <c r="A5" s="4941" t="str">
        <f>'1. Обща информация'!A5</f>
        <v>ЕИК по БУЛСТАТ: 126004284</v>
      </c>
      <c r="B5" s="4941"/>
      <c r="C5" s="4941"/>
      <c r="D5" s="4941"/>
      <c r="E5" s="4941"/>
      <c r="F5" s="4941"/>
      <c r="G5" s="4941"/>
      <c r="H5" s="4941"/>
      <c r="I5" s="4941"/>
      <c r="J5" s="4941"/>
      <c r="K5" s="4941"/>
      <c r="L5" s="4941"/>
      <c r="M5" s="4941"/>
    </row>
    <row r="6" spans="1:13" ht="18" customHeight="1" thickBot="1">
      <c r="A6" s="4942" t="s">
        <v>1401</v>
      </c>
      <c r="B6" s="4943"/>
      <c r="C6" s="1767"/>
      <c r="G6" s="1768"/>
      <c r="H6" s="1768"/>
      <c r="I6" s="1768"/>
      <c r="J6" s="1768"/>
      <c r="K6" s="1768"/>
    </row>
    <row r="7" spans="1:13" ht="16.5" customHeight="1">
      <c r="A7" s="4929" t="s">
        <v>82</v>
      </c>
      <c r="B7" s="4910" t="s">
        <v>1129</v>
      </c>
      <c r="C7" s="4910" t="s">
        <v>166</v>
      </c>
      <c r="D7" s="4183" t="str">
        <f>CONCATENATE(LEFT(G7,4)-4, " г. ")</f>
        <v xml:space="preserve">2023 г. </v>
      </c>
      <c r="E7" s="4184" t="str">
        <f>CONCATENATE(LEFT(H7,4)-4, " г. ")</f>
        <v xml:space="preserve">2024 г. </v>
      </c>
      <c r="F7" s="4185" t="str">
        <f>CONCATENATE(LEFT(I7,4)-4, " г. ")</f>
        <v xml:space="preserve">2025 г. </v>
      </c>
      <c r="G7" s="4186" t="str">
        <f>'Приложение '!$C14</f>
        <v>2027 г.</v>
      </c>
      <c r="H7" s="4187" t="str">
        <f>'Приложение '!$C15</f>
        <v>2028 г.</v>
      </c>
      <c r="I7" s="4187" t="str">
        <f>'Приложение '!$C16</f>
        <v>2029 г.</v>
      </c>
      <c r="J7" s="4187" t="str">
        <f>'Приложение '!$C17</f>
        <v>2030 г.</v>
      </c>
      <c r="K7" s="4185" t="str">
        <f>'Приложение '!$C18</f>
        <v>2031 г.</v>
      </c>
      <c r="L7" s="4915" t="str">
        <f>CONCATENATE("Средноаритметична",D7," - ",F7)</f>
        <v xml:space="preserve">Средноаритметична2023 г.  - 2025 г. </v>
      </c>
      <c r="M7" s="4910" t="s">
        <v>1130</v>
      </c>
    </row>
    <row r="8" spans="1:13" ht="20.25" customHeight="1" thickBot="1">
      <c r="A8" s="4930"/>
      <c r="B8" s="4911"/>
      <c r="C8" s="4911"/>
      <c r="D8" s="4921" t="s">
        <v>1329</v>
      </c>
      <c r="E8" s="4922"/>
      <c r="F8" s="4923"/>
      <c r="G8" s="4921" t="s">
        <v>1330</v>
      </c>
      <c r="H8" s="4922"/>
      <c r="I8" s="4922"/>
      <c r="J8" s="4922"/>
      <c r="K8" s="4923"/>
      <c r="L8" s="4916"/>
      <c r="M8" s="4911"/>
    </row>
    <row r="9" spans="1:13">
      <c r="A9" s="4935" t="s">
        <v>1417</v>
      </c>
      <c r="B9" s="3987" t="s">
        <v>1131</v>
      </c>
      <c r="C9" s="1770" t="s">
        <v>676</v>
      </c>
      <c r="D9" s="970"/>
      <c r="E9" s="971"/>
      <c r="F9" s="972"/>
      <c r="G9" s="4651">
        <v>191600</v>
      </c>
      <c r="H9" s="4652">
        <v>188683.39655278841</v>
      </c>
      <c r="I9" s="4652">
        <v>185895.10735546594</v>
      </c>
      <c r="J9" s="4652">
        <v>183106.81815814349</v>
      </c>
      <c r="K9" s="4653">
        <v>180684.16705569168</v>
      </c>
      <c r="L9" s="4931">
        <f>IFERROR(AVERAGE(D13:F13),0)</f>
        <v>206435.33333333334</v>
      </c>
      <c r="M9" s="717"/>
    </row>
    <row r="10" spans="1:13">
      <c r="A10" s="4936"/>
      <c r="B10" s="3988" t="s">
        <v>1428</v>
      </c>
      <c r="C10" s="1771" t="s">
        <v>170</v>
      </c>
      <c r="D10" s="975"/>
      <c r="E10" s="976"/>
      <c r="F10" s="3956"/>
      <c r="G10" s="1772"/>
      <c r="H10" s="978">
        <f>IFERROR((H9-G9)/G9,0)</f>
        <v>-1.5222356196302642E-2</v>
      </c>
      <c r="I10" s="978">
        <f>IFERROR((I9-H9)/H9,0)</f>
        <v>-1.477760761287965E-2</v>
      </c>
      <c r="J10" s="978">
        <f>IFERROR((J9-I9)/I9,0)</f>
        <v>-1.4999260803517118E-2</v>
      </c>
      <c r="K10" s="979">
        <f>IFERROR((K9-J9)/J9,0)</f>
        <v>-1.3230807715523979E-2</v>
      </c>
      <c r="L10" s="4932"/>
      <c r="M10" s="3998"/>
    </row>
    <row r="11" spans="1:13" ht="22.5" customHeight="1">
      <c r="A11" s="4937"/>
      <c r="B11" s="3989" t="s">
        <v>1775</v>
      </c>
      <c r="C11" s="1774" t="s">
        <v>676</v>
      </c>
      <c r="D11" s="986"/>
      <c r="E11" s="987"/>
      <c r="F11" s="988"/>
      <c r="G11" s="896">
        <v>130</v>
      </c>
      <c r="H11" s="896">
        <v>130</v>
      </c>
      <c r="I11" s="896">
        <v>130</v>
      </c>
      <c r="J11" s="896">
        <v>130</v>
      </c>
      <c r="K11" s="896">
        <v>130</v>
      </c>
      <c r="L11" s="4932"/>
      <c r="M11" s="720"/>
    </row>
    <row r="12" spans="1:13" ht="25.5">
      <c r="A12" s="4938"/>
      <c r="B12" s="3985" t="s">
        <v>1774</v>
      </c>
      <c r="C12" s="1774" t="s">
        <v>676</v>
      </c>
      <c r="D12" s="986"/>
      <c r="E12" s="987"/>
      <c r="F12" s="988"/>
      <c r="G12" s="3977">
        <f>G11</f>
        <v>130</v>
      </c>
      <c r="H12" s="3978">
        <f>SUM(G11:H11)</f>
        <v>260</v>
      </c>
      <c r="I12" s="3978">
        <f>SUM(G11:I11)</f>
        <v>390</v>
      </c>
      <c r="J12" s="3978">
        <f>SUM(G11:J11)</f>
        <v>520</v>
      </c>
      <c r="K12" s="3978">
        <f>SUM(G11:K11)</f>
        <v>650</v>
      </c>
      <c r="L12" s="4932"/>
      <c r="M12" s="3998"/>
    </row>
    <row r="13" spans="1:13" ht="13.5" thickBot="1">
      <c r="A13" s="4939"/>
      <c r="B13" s="3990" t="s">
        <v>1028</v>
      </c>
      <c r="C13" s="1776" t="s">
        <v>676</v>
      </c>
      <c r="D13" s="1879">
        <v>207114</v>
      </c>
      <c r="E13" s="4577">
        <v>205718</v>
      </c>
      <c r="F13" s="4627">
        <v>206474</v>
      </c>
      <c r="G13" s="3971">
        <f>G9+G12</f>
        <v>191730</v>
      </c>
      <c r="H13" s="3971">
        <f t="shared" ref="H13:K13" si="0">H9+H12</f>
        <v>188943.39655278841</v>
      </c>
      <c r="I13" s="3971">
        <f t="shared" si="0"/>
        <v>186285.10735546594</v>
      </c>
      <c r="J13" s="3971">
        <f t="shared" si="0"/>
        <v>183626.81815814349</v>
      </c>
      <c r="K13" s="3971">
        <f t="shared" si="0"/>
        <v>181334.16705569168</v>
      </c>
      <c r="L13" s="4933"/>
      <c r="M13" s="720"/>
    </row>
    <row r="14" spans="1:13" ht="12.75" customHeight="1">
      <c r="A14" s="4890" t="s">
        <v>1132</v>
      </c>
      <c r="B14" s="3987" t="s">
        <v>1131</v>
      </c>
      <c r="C14" s="1770" t="s">
        <v>676</v>
      </c>
      <c r="D14" s="970"/>
      <c r="E14" s="971"/>
      <c r="F14" s="972"/>
      <c r="G14" s="4001">
        <v>155841</v>
      </c>
      <c r="H14" s="4001">
        <v>155841</v>
      </c>
      <c r="I14" s="4001">
        <v>155841</v>
      </c>
      <c r="J14" s="4001">
        <v>155841</v>
      </c>
      <c r="K14" s="4001">
        <v>155841</v>
      </c>
      <c r="L14" s="4931">
        <f>IFERROR(AVERAGE(D17:F17),0)</f>
        <v>157401.33333333334</v>
      </c>
      <c r="M14" s="717"/>
    </row>
    <row r="15" spans="1:13" ht="25.5">
      <c r="A15" s="4891"/>
      <c r="B15" s="3989" t="s">
        <v>1773</v>
      </c>
      <c r="C15" s="1774" t="s">
        <v>676</v>
      </c>
      <c r="D15" s="986"/>
      <c r="E15" s="987"/>
      <c r="F15" s="988"/>
      <c r="G15" s="897">
        <v>100</v>
      </c>
      <c r="H15" s="897">
        <v>100</v>
      </c>
      <c r="I15" s="897">
        <v>100</v>
      </c>
      <c r="J15" s="897">
        <v>100</v>
      </c>
      <c r="K15" s="897">
        <v>100</v>
      </c>
      <c r="L15" s="4932"/>
      <c r="M15" s="716"/>
    </row>
    <row r="16" spans="1:13" ht="25.5">
      <c r="A16" s="4891"/>
      <c r="B16" s="3985" t="s">
        <v>1774</v>
      </c>
      <c r="C16" s="1774" t="s">
        <v>676</v>
      </c>
      <c r="D16" s="986"/>
      <c r="E16" s="987"/>
      <c r="F16" s="988"/>
      <c r="G16" s="3977">
        <f>G15</f>
        <v>100</v>
      </c>
      <c r="H16" s="3978">
        <f>SUM(G15:H15)</f>
        <v>200</v>
      </c>
      <c r="I16" s="3978">
        <f>SUM(G15:I15)</f>
        <v>300</v>
      </c>
      <c r="J16" s="3978">
        <f>SUM(G15:J15)</f>
        <v>400</v>
      </c>
      <c r="K16" s="3978">
        <f>SUM(G15:K15)</f>
        <v>500</v>
      </c>
      <c r="L16" s="4932"/>
      <c r="M16" s="3998"/>
    </row>
    <row r="17" spans="1:13">
      <c r="A17" s="4891"/>
      <c r="B17" s="3991" t="s">
        <v>1028</v>
      </c>
      <c r="C17" s="1778" t="s">
        <v>676</v>
      </c>
      <c r="D17" s="1779">
        <f>D18+D19+D20</f>
        <v>157033</v>
      </c>
      <c r="E17" s="1780">
        <f>E18+E19+E20</f>
        <v>157925</v>
      </c>
      <c r="F17" s="4655">
        <f>F18+F19+F20</f>
        <v>157246</v>
      </c>
      <c r="G17" s="3972">
        <f>G14+G16</f>
        <v>155941</v>
      </c>
      <c r="H17" s="3972">
        <f t="shared" ref="H17:K17" si="1">H14+H16</f>
        <v>156041</v>
      </c>
      <c r="I17" s="3972">
        <f t="shared" si="1"/>
        <v>156141</v>
      </c>
      <c r="J17" s="3972">
        <f t="shared" si="1"/>
        <v>156241</v>
      </c>
      <c r="K17" s="3972">
        <f t="shared" si="1"/>
        <v>156341</v>
      </c>
      <c r="L17" s="4934"/>
      <c r="M17" s="3998"/>
    </row>
    <row r="18" spans="1:13">
      <c r="A18" s="4891"/>
      <c r="B18" s="3992" t="s">
        <v>1133</v>
      </c>
      <c r="C18" s="1774" t="s">
        <v>676</v>
      </c>
      <c r="D18" s="724">
        <v>109923</v>
      </c>
      <c r="E18" s="723">
        <v>110547</v>
      </c>
      <c r="F18" s="726">
        <v>110072</v>
      </c>
      <c r="G18" s="898">
        <v>108770</v>
      </c>
      <c r="H18" s="725">
        <f>108203+670</f>
        <v>108873</v>
      </c>
      <c r="I18" s="725">
        <f>107639+1337</f>
        <v>108976</v>
      </c>
      <c r="J18" s="725">
        <f>107077+2002</f>
        <v>109079</v>
      </c>
      <c r="K18" s="725">
        <f>106519+2663</f>
        <v>109182</v>
      </c>
      <c r="L18" s="1363">
        <f>IFERROR(AVERAGE(D18:F18),0)</f>
        <v>110180.66666666667</v>
      </c>
      <c r="M18" s="716"/>
    </row>
    <row r="19" spans="1:13">
      <c r="A19" s="4891"/>
      <c r="B19" s="3992" t="s">
        <v>1134</v>
      </c>
      <c r="C19" s="1774" t="s">
        <v>676</v>
      </c>
      <c r="D19" s="724">
        <v>1555</v>
      </c>
      <c r="E19" s="723">
        <v>1564</v>
      </c>
      <c r="F19" s="726">
        <v>1557</v>
      </c>
      <c r="G19" s="723">
        <v>1556</v>
      </c>
      <c r="H19" s="719">
        <v>1555</v>
      </c>
      <c r="I19" s="719">
        <v>1554</v>
      </c>
      <c r="J19" s="719">
        <v>1553</v>
      </c>
      <c r="K19" s="718">
        <v>1552</v>
      </c>
      <c r="L19" s="1363">
        <f>IFERROR(AVERAGE(D19:F19),0)</f>
        <v>1558.6666666666667</v>
      </c>
      <c r="M19" s="716"/>
    </row>
    <row r="20" spans="1:13">
      <c r="A20" s="4891"/>
      <c r="B20" s="3992" t="s">
        <v>1135</v>
      </c>
      <c r="C20" s="3963" t="s">
        <v>676</v>
      </c>
      <c r="D20" s="724">
        <v>45555</v>
      </c>
      <c r="E20" s="3960">
        <v>45814</v>
      </c>
      <c r="F20" s="3961">
        <v>45617</v>
      </c>
      <c r="G20" s="3960">
        <v>45615</v>
      </c>
      <c r="H20" s="3962">
        <v>45613</v>
      </c>
      <c r="I20" s="3962">
        <v>45611</v>
      </c>
      <c r="J20" s="3962">
        <v>45609</v>
      </c>
      <c r="K20" s="718">
        <v>45607</v>
      </c>
      <c r="L20" s="1363">
        <f>IFERROR(AVERAGE(D20:F20),0)</f>
        <v>45662</v>
      </c>
      <c r="M20" s="716"/>
    </row>
    <row r="21" spans="1:13" ht="13.5" thickBot="1">
      <c r="A21" s="4892"/>
      <c r="B21" s="3986" t="s">
        <v>1772</v>
      </c>
      <c r="C21" s="4004" t="s">
        <v>676</v>
      </c>
      <c r="D21" s="3965"/>
      <c r="E21" s="3966"/>
      <c r="F21" s="3969"/>
      <c r="G21" s="3979">
        <f>G17-G18-G19-G20</f>
        <v>0</v>
      </c>
      <c r="H21" s="3980">
        <f>H17-H18-H19-H20</f>
        <v>0</v>
      </c>
      <c r="I21" s="3981">
        <f>I17-I18-I19-I20</f>
        <v>0</v>
      </c>
      <c r="J21" s="3982">
        <f>J17-J18-J19-J20</f>
        <v>0</v>
      </c>
      <c r="K21" s="3983">
        <f>K17-K18-K19-K20</f>
        <v>0</v>
      </c>
      <c r="L21" s="3967"/>
      <c r="M21" s="4009"/>
    </row>
    <row r="22" spans="1:13" ht="15.75">
      <c r="A22" s="4902" t="s">
        <v>1136</v>
      </c>
      <c r="B22" s="3993" t="s">
        <v>1308</v>
      </c>
      <c r="C22" s="1781" t="s">
        <v>1429</v>
      </c>
      <c r="D22" s="1782"/>
      <c r="E22" s="1783"/>
      <c r="F22" s="1784"/>
      <c r="G22" s="976">
        <f>L22</f>
        <v>6357493.333333333</v>
      </c>
      <c r="H22" s="992">
        <f>(G22+(H10)*G22)</f>
        <v>6260717.3052977137</v>
      </c>
      <c r="I22" s="992">
        <f>(H22+(I10)*H22)</f>
        <v>6168198.8815848585</v>
      </c>
      <c r="J22" s="992">
        <f>(I22+(J10)*I22)</f>
        <v>6075680.4578720042</v>
      </c>
      <c r="K22" s="3999">
        <f>(J22+(K10)*J22)</f>
        <v>5995294.2979929335</v>
      </c>
      <c r="L22" s="4925">
        <f>IFERROR(AVERAGE(D26:F26),0)</f>
        <v>6357493.333333333</v>
      </c>
      <c r="M22" s="4000"/>
    </row>
    <row r="23" spans="1:13">
      <c r="A23" s="4902"/>
      <c r="B23" s="3988" t="s">
        <v>1428</v>
      </c>
      <c r="C23" s="1771" t="s">
        <v>170</v>
      </c>
      <c r="D23" s="975"/>
      <c r="E23" s="976"/>
      <c r="F23" s="3956"/>
      <c r="G23" s="977"/>
      <c r="H23" s="978">
        <f>IFERROR((H22-G22)/G22,0)</f>
        <v>-1.5222356196302626E-2</v>
      </c>
      <c r="I23" s="978">
        <f t="shared" ref="I23:K23" si="2">IFERROR((I22-H22)/H22,0)</f>
        <v>-1.4777607612879705E-2</v>
      </c>
      <c r="J23" s="978">
        <f t="shared" si="2"/>
        <v>-1.499926080351718E-2</v>
      </c>
      <c r="K23" s="993">
        <f t="shared" si="2"/>
        <v>-1.3230807715523901E-2</v>
      </c>
      <c r="L23" s="4925"/>
      <c r="M23" s="3998"/>
    </row>
    <row r="24" spans="1:13" ht="25.5">
      <c r="A24" s="4903"/>
      <c r="B24" s="3989" t="s">
        <v>1309</v>
      </c>
      <c r="C24" s="1781" t="s">
        <v>1429</v>
      </c>
      <c r="D24" s="986"/>
      <c r="E24" s="987"/>
      <c r="F24" s="988"/>
      <c r="G24" s="897">
        <v>2550</v>
      </c>
      <c r="H24" s="897">
        <v>2550</v>
      </c>
      <c r="I24" s="897">
        <v>2550</v>
      </c>
      <c r="J24" s="897">
        <v>2550</v>
      </c>
      <c r="K24" s="897">
        <v>2550</v>
      </c>
      <c r="L24" s="4925"/>
      <c r="M24" s="720"/>
    </row>
    <row r="25" spans="1:13" ht="25.5">
      <c r="A25" s="4904"/>
      <c r="B25" s="3985" t="s">
        <v>1774</v>
      </c>
      <c r="C25" s="1781" t="s">
        <v>1429</v>
      </c>
      <c r="D25" s="986"/>
      <c r="E25" s="987"/>
      <c r="F25" s="988"/>
      <c r="G25" s="3977">
        <f>G24</f>
        <v>2550</v>
      </c>
      <c r="H25" s="3978">
        <f>SUM(G24:H24)</f>
        <v>5100</v>
      </c>
      <c r="I25" s="3978">
        <f>SUM(G24:I24)</f>
        <v>7650</v>
      </c>
      <c r="J25" s="3978">
        <f>SUM(G24:J24)</f>
        <v>10200</v>
      </c>
      <c r="K25" s="3978">
        <f>SUM(G24:K24)</f>
        <v>12750</v>
      </c>
      <c r="L25" s="4925"/>
      <c r="M25" s="3998"/>
    </row>
    <row r="26" spans="1:13" ht="16.5" thickBot="1">
      <c r="A26" s="4904"/>
      <c r="B26" s="3994" t="s">
        <v>1028</v>
      </c>
      <c r="C26" s="1765" t="s">
        <v>1429</v>
      </c>
      <c r="D26" s="1881">
        <v>6249946</v>
      </c>
      <c r="E26" s="4578">
        <v>6505065</v>
      </c>
      <c r="F26" s="4625">
        <v>6317469</v>
      </c>
      <c r="G26" s="3971">
        <f>G22+G25</f>
        <v>6360043.333333333</v>
      </c>
      <c r="H26" s="3971">
        <f t="shared" ref="H26:K26" si="3">H22+H25</f>
        <v>6265817.3052977137</v>
      </c>
      <c r="I26" s="3971">
        <f t="shared" si="3"/>
        <v>6175848.8815848585</v>
      </c>
      <c r="J26" s="3971">
        <f t="shared" si="3"/>
        <v>6085880.4578720042</v>
      </c>
      <c r="K26" s="3971">
        <f t="shared" si="3"/>
        <v>6008044.2979929335</v>
      </c>
      <c r="L26" s="4926"/>
      <c r="M26" s="3968"/>
    </row>
    <row r="27" spans="1:13" ht="15.75">
      <c r="A27" s="4901" t="s">
        <v>1138</v>
      </c>
      <c r="B27" s="3987" t="s">
        <v>1310</v>
      </c>
      <c r="C27" s="1770" t="s">
        <v>1429</v>
      </c>
      <c r="D27" s="970"/>
      <c r="E27" s="971"/>
      <c r="F27" s="972"/>
      <c r="G27" s="973">
        <f>L27</f>
        <v>357721</v>
      </c>
      <c r="H27" s="4663">
        <f>G27*1.02</f>
        <v>364875.42</v>
      </c>
      <c r="I27" s="4663">
        <f t="shared" ref="I27" si="4">H27*1.02</f>
        <v>372172.92839999998</v>
      </c>
      <c r="J27" s="4702">
        <v>450000</v>
      </c>
      <c r="K27" s="4702">
        <v>600000</v>
      </c>
      <c r="L27" s="4924">
        <f>IFERROR(AVERAGE(D30:F30),0)</f>
        <v>357721</v>
      </c>
      <c r="M27" s="717"/>
    </row>
    <row r="28" spans="1:13" ht="25.5">
      <c r="A28" s="4903"/>
      <c r="B28" s="3989" t="s">
        <v>1309</v>
      </c>
      <c r="C28" s="1781" t="s">
        <v>1429</v>
      </c>
      <c r="D28" s="986"/>
      <c r="E28" s="987"/>
      <c r="F28" s="988"/>
      <c r="G28" s="897">
        <v>150</v>
      </c>
      <c r="H28" s="897">
        <v>150</v>
      </c>
      <c r="I28" s="897">
        <v>150</v>
      </c>
      <c r="J28" s="897"/>
      <c r="K28" s="897"/>
      <c r="L28" s="4925"/>
      <c r="M28" s="720"/>
    </row>
    <row r="29" spans="1:13" ht="25.5">
      <c r="A29" s="4904"/>
      <c r="B29" s="3985" t="s">
        <v>1774</v>
      </c>
      <c r="C29" s="1781" t="s">
        <v>1429</v>
      </c>
      <c r="D29" s="986"/>
      <c r="E29" s="987"/>
      <c r="F29" s="988"/>
      <c r="G29" s="3977">
        <f>G28</f>
        <v>150</v>
      </c>
      <c r="H29" s="3978">
        <f>SUM(G28:H28)</f>
        <v>300</v>
      </c>
      <c r="I29" s="3978">
        <f>SUM(G28:I28)</f>
        <v>450</v>
      </c>
      <c r="J29" s="3978">
        <f>SUM(G28:J28)</f>
        <v>450</v>
      </c>
      <c r="K29" s="3978">
        <f>SUM(G28:K28)</f>
        <v>450</v>
      </c>
      <c r="L29" s="4925"/>
      <c r="M29" s="3998"/>
    </row>
    <row r="30" spans="1:13" ht="16.5" thickBot="1">
      <c r="A30" s="4905"/>
      <c r="B30" s="3990" t="s">
        <v>1028</v>
      </c>
      <c r="C30" s="1785" t="s">
        <v>1429</v>
      </c>
      <c r="D30" s="1879">
        <v>404352</v>
      </c>
      <c r="E30" s="4577">
        <v>382651</v>
      </c>
      <c r="F30" s="4626">
        <v>286160</v>
      </c>
      <c r="G30" s="3971">
        <f>G27+G29</f>
        <v>357871</v>
      </c>
      <c r="H30" s="3971">
        <f t="shared" ref="H30:K30" si="5">H27+H29</f>
        <v>365175.42</v>
      </c>
      <c r="I30" s="3971">
        <f t="shared" si="5"/>
        <v>372622.92839999998</v>
      </c>
      <c r="J30" s="3971">
        <f t="shared" si="5"/>
        <v>450450</v>
      </c>
      <c r="K30" s="3971">
        <f t="shared" si="5"/>
        <v>600450</v>
      </c>
      <c r="L30" s="4926"/>
      <c r="M30" s="720"/>
    </row>
    <row r="31" spans="1:13" ht="15.75">
      <c r="A31" s="4902" t="s">
        <v>1139</v>
      </c>
      <c r="B31" s="3993" t="s">
        <v>1310</v>
      </c>
      <c r="C31" s="1781" t="s">
        <v>1429</v>
      </c>
      <c r="D31" s="1782"/>
      <c r="E31" s="1783"/>
      <c r="F31" s="1784"/>
      <c r="G31" s="973">
        <f>L31</f>
        <v>908430</v>
      </c>
      <c r="H31" s="4663">
        <f>G31*1.01</f>
        <v>917514.3</v>
      </c>
      <c r="I31" s="4663">
        <f t="shared" ref="I31" si="6">H31*1.01</f>
        <v>926689.44300000009</v>
      </c>
      <c r="J31" s="4702">
        <v>1100000</v>
      </c>
      <c r="K31" s="4702">
        <v>1500000</v>
      </c>
      <c r="L31" s="4924">
        <f>IFERROR(AVERAGE(D34:F34),0)</f>
        <v>908430</v>
      </c>
      <c r="M31" s="717"/>
    </row>
    <row r="32" spans="1:13" ht="25.5">
      <c r="A32" s="4903"/>
      <c r="B32" s="3989" t="s">
        <v>1309</v>
      </c>
      <c r="C32" s="1781" t="s">
        <v>1429</v>
      </c>
      <c r="D32" s="986"/>
      <c r="E32" s="987"/>
      <c r="F32" s="988"/>
      <c r="G32" s="897">
        <v>300</v>
      </c>
      <c r="H32" s="897">
        <v>300</v>
      </c>
      <c r="I32" s="897">
        <v>300</v>
      </c>
      <c r="J32" s="897"/>
      <c r="K32" s="897"/>
      <c r="L32" s="4925"/>
      <c r="M32" s="720"/>
    </row>
    <row r="33" spans="1:13" ht="25.5">
      <c r="A33" s="4904"/>
      <c r="B33" s="3985" t="s">
        <v>1774</v>
      </c>
      <c r="C33" s="1781" t="s">
        <v>1429</v>
      </c>
      <c r="D33" s="986"/>
      <c r="E33" s="987"/>
      <c r="F33" s="988"/>
      <c r="G33" s="3977">
        <f>G32</f>
        <v>300</v>
      </c>
      <c r="H33" s="3978">
        <f>SUM(G32:H32)</f>
        <v>600</v>
      </c>
      <c r="I33" s="3978">
        <f>SUM(G32:I32)</f>
        <v>900</v>
      </c>
      <c r="J33" s="3978">
        <f>SUM(G32:J32)</f>
        <v>900</v>
      </c>
      <c r="K33" s="3978">
        <f>SUM(G32:K32)</f>
        <v>900</v>
      </c>
      <c r="L33" s="4925"/>
      <c r="M33" s="3998"/>
    </row>
    <row r="34" spans="1:13" ht="16.5" thickBot="1">
      <c r="A34" s="4904"/>
      <c r="B34" s="3994" t="s">
        <v>1028</v>
      </c>
      <c r="C34" s="1765" t="s">
        <v>1429</v>
      </c>
      <c r="D34" s="1881">
        <v>993253</v>
      </c>
      <c r="E34" s="4578">
        <v>765301</v>
      </c>
      <c r="F34" s="4625">
        <v>966736</v>
      </c>
      <c r="G34" s="3971">
        <f>G31+G33</f>
        <v>908730</v>
      </c>
      <c r="H34" s="3971">
        <f t="shared" ref="H34:K34" si="7">H31+H33</f>
        <v>918114.3</v>
      </c>
      <c r="I34" s="3971">
        <f t="shared" si="7"/>
        <v>927589.44300000009</v>
      </c>
      <c r="J34" s="3971">
        <f t="shared" si="7"/>
        <v>1100900</v>
      </c>
      <c r="K34" s="3971">
        <f t="shared" si="7"/>
        <v>1500900</v>
      </c>
      <c r="L34" s="4926"/>
      <c r="M34" s="720"/>
    </row>
    <row r="35" spans="1:13" ht="15.75">
      <c r="A35" s="4944" t="s">
        <v>1140</v>
      </c>
      <c r="B35" s="3987" t="s">
        <v>1311</v>
      </c>
      <c r="C35" s="1770" t="s">
        <v>1429</v>
      </c>
      <c r="D35" s="970"/>
      <c r="E35" s="971"/>
      <c r="F35" s="972"/>
      <c r="G35" s="980">
        <f>G22+G27+G31</f>
        <v>7623644.333333333</v>
      </c>
      <c r="H35" s="981">
        <f>H22+H27+H31</f>
        <v>7543107.0252977135</v>
      </c>
      <c r="I35" s="981">
        <f>I22+I27+I31</f>
        <v>7467061.2529848581</v>
      </c>
      <c r="J35" s="981">
        <f>J22+J27+J31</f>
        <v>7625680.4578720042</v>
      </c>
      <c r="K35" s="1786">
        <f>K22+K27+K31</f>
        <v>8095294.2979929335</v>
      </c>
      <c r="L35" s="4924">
        <f>IFERROR(AVERAGE(D39:F39),0)</f>
        <v>7623644.333333333</v>
      </c>
      <c r="M35" s="4010"/>
    </row>
    <row r="36" spans="1:13" ht="25.5">
      <c r="A36" s="4945"/>
      <c r="B36" s="3989" t="s">
        <v>1309</v>
      </c>
      <c r="C36" s="1781" t="s">
        <v>1429</v>
      </c>
      <c r="D36" s="986"/>
      <c r="E36" s="987"/>
      <c r="F36" s="988"/>
      <c r="G36" s="983">
        <f t="shared" ref="G36:K37" si="8">G24+G28+G32</f>
        <v>3000</v>
      </c>
      <c r="H36" s="984">
        <f t="shared" si="8"/>
        <v>3000</v>
      </c>
      <c r="I36" s="984">
        <f t="shared" si="8"/>
        <v>3000</v>
      </c>
      <c r="J36" s="984">
        <f t="shared" si="8"/>
        <v>2550</v>
      </c>
      <c r="K36" s="1787">
        <f t="shared" si="8"/>
        <v>2550</v>
      </c>
      <c r="L36" s="4925"/>
      <c r="M36" s="3998"/>
    </row>
    <row r="37" spans="1:13" ht="25.5">
      <c r="A37" s="4945"/>
      <c r="B37" s="3985" t="s">
        <v>1774</v>
      </c>
      <c r="C37" s="1781" t="s">
        <v>1429</v>
      </c>
      <c r="D37" s="986"/>
      <c r="E37" s="987"/>
      <c r="F37" s="988"/>
      <c r="G37" s="3973">
        <f t="shared" si="8"/>
        <v>3000</v>
      </c>
      <c r="H37" s="3974">
        <f t="shared" si="8"/>
        <v>6000</v>
      </c>
      <c r="I37" s="3974">
        <f t="shared" si="8"/>
        <v>9000</v>
      </c>
      <c r="J37" s="3974">
        <f t="shared" si="8"/>
        <v>11550</v>
      </c>
      <c r="K37" s="3975">
        <f t="shared" si="8"/>
        <v>14100</v>
      </c>
      <c r="L37" s="4925"/>
      <c r="M37" s="3998"/>
    </row>
    <row r="38" spans="1:13" ht="15.75">
      <c r="A38" s="4945"/>
      <c r="B38" s="1773" t="s">
        <v>1137</v>
      </c>
      <c r="C38" s="1781" t="s">
        <v>1429</v>
      </c>
      <c r="D38" s="986"/>
      <c r="E38" s="987"/>
      <c r="F38" s="988"/>
      <c r="G38" s="1883"/>
      <c r="H38" s="1884">
        <v>123719</v>
      </c>
      <c r="I38" s="1884">
        <v>111347</v>
      </c>
      <c r="J38" s="1884">
        <v>100212</v>
      </c>
      <c r="K38" s="1884">
        <v>90191</v>
      </c>
      <c r="L38" s="4925"/>
      <c r="M38" s="720"/>
    </row>
    <row r="39" spans="1:13" ht="16.5" thickBot="1">
      <c r="A39" s="4946"/>
      <c r="B39" s="1775" t="s">
        <v>1028</v>
      </c>
      <c r="C39" s="1785" t="s">
        <v>1429</v>
      </c>
      <c r="D39" s="1371">
        <f>D26+D30+D34</f>
        <v>7647551</v>
      </c>
      <c r="E39" s="994">
        <f>E26+E30+E34</f>
        <v>7653017</v>
      </c>
      <c r="F39" s="1372">
        <f>F26+F30+F34</f>
        <v>7570365</v>
      </c>
      <c r="G39" s="3971">
        <f>G35+G37+G38</f>
        <v>7626644.333333333</v>
      </c>
      <c r="H39" s="3971">
        <f t="shared" ref="H39:K39" si="9">H35+H37+H38</f>
        <v>7672826.0252977135</v>
      </c>
      <c r="I39" s="3971">
        <f t="shared" si="9"/>
        <v>7587408.2529848581</v>
      </c>
      <c r="J39" s="3971">
        <f t="shared" si="9"/>
        <v>7737442.4578720042</v>
      </c>
      <c r="K39" s="3971">
        <f t="shared" si="9"/>
        <v>8199585.2979929335</v>
      </c>
      <c r="L39" s="4926"/>
      <c r="M39" s="4009"/>
    </row>
    <row r="40" spans="1:13" s="1794" customFormat="1" ht="15.75">
      <c r="A40" s="4899" t="s">
        <v>1167</v>
      </c>
      <c r="B40" s="4900"/>
      <c r="C40" s="1788" t="s">
        <v>1430</v>
      </c>
      <c r="D40" s="1789"/>
      <c r="E40" s="1790"/>
      <c r="F40" s="1790"/>
      <c r="G40" s="1791"/>
      <c r="H40" s="1792">
        <f>-H38-('4. Отчет и прогн. потребление'!F33-'4. Отчет и прогн. потребление'!E33)</f>
        <v>-5.0000000046566129E-2</v>
      </c>
      <c r="I40" s="1792">
        <f>-I38-('4. Отчет и прогн. потребление'!G33-'4. Отчет и прогн. потребление'!F33)</f>
        <v>5.5000000051222742E-2</v>
      </c>
      <c r="J40" s="1792">
        <f>-J38-('4. Отчет и прогн. потребление'!H33-'4. Отчет и прогн. потребление'!G33)</f>
        <v>0.34949999989476055</v>
      </c>
      <c r="K40" s="1792">
        <f>-K38-('4. Отчет и прогн. потребление'!I33-'4. Отчет и прогн. потребление'!H33)</f>
        <v>0.11455000005662441</v>
      </c>
      <c r="L40" s="1793"/>
    </row>
    <row r="41" spans="1:13" hidden="1">
      <c r="D41" s="1795"/>
      <c r="E41" s="1795"/>
      <c r="F41" s="1795"/>
      <c r="G41" s="1795"/>
      <c r="H41" s="1795"/>
      <c r="I41" s="1795"/>
      <c r="J41" s="1795"/>
      <c r="K41" s="1795"/>
      <c r="L41" s="1795"/>
    </row>
    <row r="42" spans="1:13" ht="13.5" thickBot="1">
      <c r="A42" s="3741" t="s">
        <v>1141</v>
      </c>
      <c r="B42" s="1796"/>
      <c r="C42" s="1797"/>
      <c r="D42" s="1795"/>
      <c r="E42" s="1795"/>
      <c r="F42" s="1795"/>
      <c r="G42" s="1795"/>
      <c r="H42" s="1795"/>
      <c r="I42" s="1795"/>
      <c r="J42" s="1795"/>
      <c r="K42" s="1795"/>
      <c r="L42" s="1795"/>
    </row>
    <row r="43" spans="1:13" ht="13.5" hidden="1" thickBot="1">
      <c r="A43" s="4919" t="s">
        <v>82</v>
      </c>
      <c r="B43" s="4947" t="s">
        <v>1129</v>
      </c>
      <c r="C43" s="4910" t="s">
        <v>166</v>
      </c>
      <c r="D43" s="1798" t="str">
        <f t="shared" ref="D43:K43" si="10">D7</f>
        <v xml:space="preserve">2023 г. </v>
      </c>
      <c r="E43" s="1799" t="str">
        <f t="shared" si="10"/>
        <v xml:space="preserve">2024 г. </v>
      </c>
      <c r="F43" s="1800" t="str">
        <f t="shared" si="10"/>
        <v xml:space="preserve">2025 г. </v>
      </c>
      <c r="G43" s="1799" t="str">
        <f t="shared" si="10"/>
        <v>2027 г.</v>
      </c>
      <c r="H43" s="1799" t="str">
        <f t="shared" si="10"/>
        <v>2028 г.</v>
      </c>
      <c r="I43" s="1799" t="str">
        <f t="shared" si="10"/>
        <v>2029 г.</v>
      </c>
      <c r="J43" s="1799" t="str">
        <f t="shared" si="10"/>
        <v>2030 г.</v>
      </c>
      <c r="K43" s="1799" t="str">
        <f t="shared" si="10"/>
        <v>2031 г.</v>
      </c>
      <c r="L43" s="4915" t="s">
        <v>1427</v>
      </c>
      <c r="M43" s="4910" t="s">
        <v>1130</v>
      </c>
    </row>
    <row r="44" spans="1:13" ht="13.5" hidden="1" thickBot="1">
      <c r="A44" s="4920"/>
      <c r="B44" s="4948"/>
      <c r="C44" s="4911"/>
      <c r="D44" s="4921" t="s">
        <v>1329</v>
      </c>
      <c r="E44" s="4922"/>
      <c r="F44" s="4923"/>
      <c r="G44" s="4922" t="s">
        <v>1330</v>
      </c>
      <c r="H44" s="4922"/>
      <c r="I44" s="4922"/>
      <c r="J44" s="4922"/>
      <c r="K44" s="4923"/>
      <c r="L44" s="4916"/>
      <c r="M44" s="4911"/>
    </row>
    <row r="45" spans="1:13" ht="18" customHeight="1">
      <c r="A45" s="4906" t="s">
        <v>1418</v>
      </c>
      <c r="B45" s="3987" t="s">
        <v>1131</v>
      </c>
      <c r="C45" s="1770" t="s">
        <v>676</v>
      </c>
      <c r="D45" s="970"/>
      <c r="E45" s="971"/>
      <c r="F45" s="972"/>
      <c r="G45" s="4651">
        <v>136052.89494781918</v>
      </c>
      <c r="H45" s="4652">
        <v>134071.63690561158</v>
      </c>
      <c r="I45" s="4652">
        <v>132090.37886340395</v>
      </c>
      <c r="J45" s="4652">
        <v>130109.12082119638</v>
      </c>
      <c r="K45" s="4653">
        <v>128387.67206157526</v>
      </c>
      <c r="L45" s="4924">
        <f>IFERROR(AVERAGE(D49:F49),0)</f>
        <v>147086.33333333334</v>
      </c>
      <c r="M45" s="717"/>
    </row>
    <row r="46" spans="1:13" ht="18" customHeight="1">
      <c r="A46" s="4907"/>
      <c r="B46" s="3988" t="s">
        <v>1165</v>
      </c>
      <c r="C46" s="1771" t="s">
        <v>170</v>
      </c>
      <c r="D46" s="975"/>
      <c r="E46" s="976"/>
      <c r="F46" s="3956"/>
      <c r="G46" s="977"/>
      <c r="H46" s="978">
        <f>IFERROR((H45-G45)/G45,0)</f>
        <v>-1.456241003153573E-2</v>
      </c>
      <c r="I46" s="978">
        <f>IFERROR((I45-H45)/H45,0)</f>
        <v>-1.4777607612879844E-2</v>
      </c>
      <c r="J46" s="978">
        <f>IFERROR((J45-I45)/I45,0)</f>
        <v>-1.4999260803517035E-2</v>
      </c>
      <c r="K46" s="979">
        <f>IFERROR((K45-J45)/J45,0)</f>
        <v>-1.3230807715523971E-2</v>
      </c>
      <c r="L46" s="4925"/>
      <c r="M46" s="3998"/>
    </row>
    <row r="47" spans="1:13" ht="24" customHeight="1">
      <c r="A47" s="4908"/>
      <c r="B47" s="3989" t="s">
        <v>1773</v>
      </c>
      <c r="C47" s="1774" t="s">
        <v>676</v>
      </c>
      <c r="D47" s="986"/>
      <c r="E47" s="987"/>
      <c r="F47" s="988"/>
      <c r="G47" s="723">
        <v>33</v>
      </c>
      <c r="H47" s="719">
        <v>33</v>
      </c>
      <c r="I47" s="719">
        <v>33</v>
      </c>
      <c r="J47" s="719">
        <v>33</v>
      </c>
      <c r="K47" s="718">
        <v>33</v>
      </c>
      <c r="L47" s="4925"/>
      <c r="M47" s="716"/>
    </row>
    <row r="48" spans="1:13" ht="25.5">
      <c r="A48" s="4909"/>
      <c r="B48" s="3985" t="s">
        <v>1774</v>
      </c>
      <c r="C48" s="1774" t="s">
        <v>676</v>
      </c>
      <c r="D48" s="986"/>
      <c r="E48" s="987"/>
      <c r="F48" s="988"/>
      <c r="G48" s="3977">
        <f>G47</f>
        <v>33</v>
      </c>
      <c r="H48" s="3978">
        <f>SUM(G47:H47)</f>
        <v>66</v>
      </c>
      <c r="I48" s="3978">
        <f>SUM(G47:I47)</f>
        <v>99</v>
      </c>
      <c r="J48" s="3978">
        <f>SUM(G47:J47)</f>
        <v>132</v>
      </c>
      <c r="K48" s="3978">
        <f>SUM(G47:K47)</f>
        <v>165</v>
      </c>
      <c r="L48" s="4925"/>
      <c r="M48" s="3998"/>
    </row>
    <row r="49" spans="1:13" ht="18" customHeight="1" thickBot="1">
      <c r="A49" s="4927"/>
      <c r="B49" s="3990" t="s">
        <v>1028</v>
      </c>
      <c r="C49" s="1776" t="s">
        <v>676</v>
      </c>
      <c r="D49" s="1881">
        <v>148126</v>
      </c>
      <c r="E49" s="1882">
        <v>146420</v>
      </c>
      <c r="F49" s="1882">
        <v>146713</v>
      </c>
      <c r="G49" s="3976">
        <f>G45+G48</f>
        <v>136085.89494781918</v>
      </c>
      <c r="H49" s="3976">
        <f t="shared" ref="H49:K49" si="11">H45+H48</f>
        <v>134137.63690561158</v>
      </c>
      <c r="I49" s="3976">
        <f t="shared" si="11"/>
        <v>132189.37886340395</v>
      </c>
      <c r="J49" s="3976">
        <f t="shared" si="11"/>
        <v>130241.12082119638</v>
      </c>
      <c r="K49" s="3976">
        <f t="shared" si="11"/>
        <v>128552.67206157526</v>
      </c>
      <c r="L49" s="4926"/>
      <c r="M49" s="720"/>
    </row>
    <row r="50" spans="1:13" ht="12.75" customHeight="1">
      <c r="A50" s="4893" t="s">
        <v>850</v>
      </c>
      <c r="B50" s="3987" t="s">
        <v>1131</v>
      </c>
      <c r="C50" s="1770" t="s">
        <v>676</v>
      </c>
      <c r="D50" s="970"/>
      <c r="E50" s="971"/>
      <c r="F50" s="972"/>
      <c r="G50" s="895">
        <v>99738</v>
      </c>
      <c r="H50" s="728">
        <v>99309</v>
      </c>
      <c r="I50" s="727">
        <v>98882</v>
      </c>
      <c r="J50" s="727">
        <v>98457</v>
      </c>
      <c r="K50" s="4001">
        <v>98034</v>
      </c>
      <c r="L50" s="4924">
        <f>IFERROR(AVERAGE(D53:F53),0)</f>
        <v>102173.96666666667</v>
      </c>
      <c r="M50" s="717"/>
    </row>
    <row r="51" spans="1:13" ht="25.5">
      <c r="A51" s="4894"/>
      <c r="B51" s="3989" t="s">
        <v>1773</v>
      </c>
      <c r="C51" s="1774" t="s">
        <v>676</v>
      </c>
      <c r="D51" s="986"/>
      <c r="E51" s="987"/>
      <c r="F51" s="988"/>
      <c r="G51" s="723">
        <v>25</v>
      </c>
      <c r="H51" s="769">
        <v>25</v>
      </c>
      <c r="I51" s="769">
        <v>25</v>
      </c>
      <c r="J51" s="769">
        <v>25</v>
      </c>
      <c r="K51" s="769">
        <v>25</v>
      </c>
      <c r="L51" s="4925"/>
      <c r="M51" s="716"/>
    </row>
    <row r="52" spans="1:13" ht="25.5">
      <c r="A52" s="4894"/>
      <c r="B52" s="3985" t="s">
        <v>1774</v>
      </c>
      <c r="C52" s="1774" t="s">
        <v>676</v>
      </c>
      <c r="D52" s="986"/>
      <c r="E52" s="987"/>
      <c r="F52" s="988"/>
      <c r="G52" s="3977">
        <f>G51</f>
        <v>25</v>
      </c>
      <c r="H52" s="3978">
        <f>SUM(G51:H51)</f>
        <v>50</v>
      </c>
      <c r="I52" s="3978">
        <f>SUM(G51:I51)</f>
        <v>75</v>
      </c>
      <c r="J52" s="3978">
        <f>SUM(G51:J51)</f>
        <v>100</v>
      </c>
      <c r="K52" s="4006">
        <f>SUM(G51:K51)</f>
        <v>125</v>
      </c>
      <c r="L52" s="4925"/>
      <c r="M52" s="3998"/>
    </row>
    <row r="53" spans="1:13">
      <c r="A53" s="4894"/>
      <c r="B53" s="3991" t="s">
        <v>1028</v>
      </c>
      <c r="C53" s="1778" t="s">
        <v>676</v>
      </c>
      <c r="D53" s="989">
        <f>D54+D55+D56</f>
        <v>100967.00000000001</v>
      </c>
      <c r="E53" s="990">
        <f>E54+E55+E56</f>
        <v>103345</v>
      </c>
      <c r="F53" s="991">
        <f>F54+F55+F56</f>
        <v>102209.90000000001</v>
      </c>
      <c r="G53" s="3972">
        <f>G50+G52</f>
        <v>99763</v>
      </c>
      <c r="H53" s="3972">
        <f t="shared" ref="H53:K53" si="12">H50+H52</f>
        <v>99359</v>
      </c>
      <c r="I53" s="3972">
        <f t="shared" si="12"/>
        <v>98957</v>
      </c>
      <c r="J53" s="3972">
        <f t="shared" si="12"/>
        <v>98557</v>
      </c>
      <c r="K53" s="4007">
        <f t="shared" si="12"/>
        <v>98159</v>
      </c>
      <c r="L53" s="4928"/>
      <c r="M53" s="3998"/>
    </row>
    <row r="54" spans="1:13">
      <c r="A54" s="4894"/>
      <c r="B54" s="3992" t="s">
        <v>1142</v>
      </c>
      <c r="C54" s="1774" t="s">
        <v>676</v>
      </c>
      <c r="D54" s="724">
        <v>70676.835703323508</v>
      </c>
      <c r="E54" s="723">
        <v>72341.172803545982</v>
      </c>
      <c r="F54" s="726">
        <v>71546.8</v>
      </c>
      <c r="G54" s="723">
        <f>70907.5904933995-1534</f>
        <v>69373.590493399504</v>
      </c>
      <c r="H54" s="725">
        <f>70602.7407707297-1502</f>
        <v>69100.740770729695</v>
      </c>
      <c r="I54" s="725">
        <f>70299.2560468182-1471</f>
        <v>68828.256046818206</v>
      </c>
      <c r="J54" s="725">
        <f>69996.6813220788-1509+71</f>
        <v>68558.681322078803</v>
      </c>
      <c r="K54" s="769">
        <f>69695.9265956837+71-1478</f>
        <v>68288.926595683704</v>
      </c>
      <c r="L54" s="4008">
        <f>IFERROR(AVERAGE(D54:F54),0)</f>
        <v>71521.602835623155</v>
      </c>
      <c r="M54" s="716"/>
    </row>
    <row r="55" spans="1:13">
      <c r="A55" s="4894"/>
      <c r="B55" s="3992" t="s">
        <v>1143</v>
      </c>
      <c r="C55" s="1774" t="s">
        <v>676</v>
      </c>
      <c r="D55" s="724">
        <v>999.81331949335481</v>
      </c>
      <c r="E55" s="723">
        <v>1023.4705081526041</v>
      </c>
      <c r="F55" s="726">
        <v>1012.0500000000001</v>
      </c>
      <c r="G55" s="723">
        <v>1003</v>
      </c>
      <c r="H55" s="719">
        <v>998.76515286595816</v>
      </c>
      <c r="I55" s="719">
        <v>994.47197722771648</v>
      </c>
      <c r="J55" s="719">
        <v>990.19167467984437</v>
      </c>
      <c r="K55" s="3970">
        <v>985.93711831271128</v>
      </c>
      <c r="L55" s="4008">
        <f>IFERROR(AVERAGE(D55:F55),0)</f>
        <v>1011.777942548653</v>
      </c>
      <c r="M55" s="716"/>
    </row>
    <row r="56" spans="1:13">
      <c r="A56" s="4894"/>
      <c r="B56" s="3992" t="s">
        <v>1144</v>
      </c>
      <c r="C56" s="1774" t="s">
        <v>676</v>
      </c>
      <c r="D56" s="724">
        <v>29290.350977183141</v>
      </c>
      <c r="E56" s="723">
        <v>29980.356688301406</v>
      </c>
      <c r="F56" s="726">
        <v>29651.050000000007</v>
      </c>
      <c r="G56" s="723">
        <v>29385.981868460774</v>
      </c>
      <c r="H56" s="719">
        <v>29259.644076404325</v>
      </c>
      <c r="I56" s="719">
        <v>29133.871975954102</v>
      </c>
      <c r="J56" s="719">
        <v>29008.477003241362</v>
      </c>
      <c r="K56" s="3970">
        <v>28883.836286003581</v>
      </c>
      <c r="L56" s="4008">
        <f>IFERROR(AVERAGE(D56:F56),0)</f>
        <v>29640.58588849485</v>
      </c>
      <c r="M56" s="716"/>
    </row>
    <row r="57" spans="1:13" ht="13.5" thickBot="1">
      <c r="A57" s="4894"/>
      <c r="B57" s="3986" t="s">
        <v>1772</v>
      </c>
      <c r="C57" s="4004" t="s">
        <v>676</v>
      </c>
      <c r="D57" s="3965"/>
      <c r="E57" s="3966"/>
      <c r="F57" s="3964"/>
      <c r="G57" s="3979">
        <f>G53-G54-G55-G56</f>
        <v>0.42763813972123899</v>
      </c>
      <c r="H57" s="3980">
        <f>H53-H54-H55-H56</f>
        <v>-0.14999999997962732</v>
      </c>
      <c r="I57" s="3981">
        <f>I53-I54-I55-I56</f>
        <v>0.39999999997598934</v>
      </c>
      <c r="J57" s="3982">
        <f>J53-J54-J55-J56</f>
        <v>-0.35000000000945874</v>
      </c>
      <c r="K57" s="3982">
        <f>K53-K54-K55-K56</f>
        <v>0.30000000000291038</v>
      </c>
      <c r="L57" s="3967"/>
      <c r="M57" s="3998"/>
    </row>
    <row r="58" spans="1:13" ht="15.75">
      <c r="A58" s="4901" t="s">
        <v>1136</v>
      </c>
      <c r="B58" s="3993" t="s">
        <v>1308</v>
      </c>
      <c r="C58" s="1781" t="s">
        <v>1429</v>
      </c>
      <c r="D58" s="1782"/>
      <c r="E58" s="1783"/>
      <c r="F58" s="972"/>
      <c r="G58" s="976">
        <f>L58</f>
        <v>4032714.5313278101</v>
      </c>
      <c r="H58" s="976">
        <f>(G58+(H46)*G58)</f>
        <v>3973988.4887824822</v>
      </c>
      <c r="I58" s="976">
        <f>(H58+(I46)*H58)</f>
        <v>3915262.4462371534</v>
      </c>
      <c r="J58" s="976">
        <f>(I58+(J46)*I58)</f>
        <v>3856536.4036918264</v>
      </c>
      <c r="K58" s="976">
        <f>(J58+(K46)*J58)</f>
        <v>3805511.3120866613</v>
      </c>
      <c r="L58" s="4925">
        <f>IFERROR(AVERAGE(D62:F62),0)</f>
        <v>4032714.5313278101</v>
      </c>
      <c r="M58" s="3998"/>
    </row>
    <row r="59" spans="1:13">
      <c r="A59" s="4902"/>
      <c r="B59" s="3988" t="s">
        <v>1165</v>
      </c>
      <c r="C59" s="1771" t="s">
        <v>170</v>
      </c>
      <c r="D59" s="975"/>
      <c r="E59" s="976"/>
      <c r="F59" s="3956"/>
      <c r="G59" s="977"/>
      <c r="H59" s="978">
        <f>IFERROR((H58-G58)/G58,0)</f>
        <v>-1.4562410031535706E-2</v>
      </c>
      <c r="I59" s="978">
        <f>IFERROR((I58-H58)/H58,0)</f>
        <v>-1.4777607612879837E-2</v>
      </c>
      <c r="J59" s="978">
        <f>IFERROR((J58-I58)/I58,0)</f>
        <v>-1.4999260803516991E-2</v>
      </c>
      <c r="K59" s="979">
        <f>IFERROR((K58-J58)/J58,0)</f>
        <v>-1.3230807715524012E-2</v>
      </c>
      <c r="L59" s="4925"/>
      <c r="M59" s="3998"/>
    </row>
    <row r="60" spans="1:13" ht="25.5">
      <c r="A60" s="4903"/>
      <c r="B60" s="3989" t="s">
        <v>1309</v>
      </c>
      <c r="C60" s="1781" t="s">
        <v>1429</v>
      </c>
      <c r="D60" s="986"/>
      <c r="E60" s="987"/>
      <c r="F60" s="988"/>
      <c r="G60" s="723">
        <v>85</v>
      </c>
      <c r="H60" s="723">
        <v>85</v>
      </c>
      <c r="I60" s="723">
        <v>85</v>
      </c>
      <c r="J60" s="723">
        <v>85</v>
      </c>
      <c r="K60" s="723">
        <v>85</v>
      </c>
      <c r="L60" s="4925"/>
      <c r="M60" s="716"/>
    </row>
    <row r="61" spans="1:13" ht="25.5">
      <c r="A61" s="4904"/>
      <c r="B61" s="3985" t="s">
        <v>1774</v>
      </c>
      <c r="C61" s="1781" t="s">
        <v>1429</v>
      </c>
      <c r="D61" s="986"/>
      <c r="E61" s="987"/>
      <c r="F61" s="988"/>
      <c r="G61" s="3977">
        <f>G60</f>
        <v>85</v>
      </c>
      <c r="H61" s="3978">
        <f>SUM(G60:H60)</f>
        <v>170</v>
      </c>
      <c r="I61" s="3978">
        <f>SUM(G60:I60)</f>
        <v>255</v>
      </c>
      <c r="J61" s="3978">
        <f>SUM(G60:J60)</f>
        <v>340</v>
      </c>
      <c r="K61" s="3978">
        <f>SUM(G60:K60)</f>
        <v>425</v>
      </c>
      <c r="L61" s="4925"/>
      <c r="M61" s="3998"/>
    </row>
    <row r="62" spans="1:13" ht="16.5" thickBot="1">
      <c r="A62" s="4905"/>
      <c r="B62" s="3990" t="s">
        <v>1028</v>
      </c>
      <c r="C62" s="1785" t="s">
        <v>1429</v>
      </c>
      <c r="D62" s="4656">
        <v>4049806.4157788493</v>
      </c>
      <c r="E62" s="4657">
        <v>4022047.941031503</v>
      </c>
      <c r="F62" s="4658">
        <v>4026289.2371730786</v>
      </c>
      <c r="G62" s="3976">
        <f>G58+G61</f>
        <v>4032799.5313278101</v>
      </c>
      <c r="H62" s="3976">
        <f t="shared" ref="H62:K62" si="13">H58+H61</f>
        <v>3974158.4887824822</v>
      </c>
      <c r="I62" s="3976">
        <f t="shared" si="13"/>
        <v>3915517.4462371534</v>
      </c>
      <c r="J62" s="3976">
        <f t="shared" si="13"/>
        <v>3856876.4036918264</v>
      </c>
      <c r="K62" s="3976">
        <f t="shared" si="13"/>
        <v>3805936.3120866613</v>
      </c>
      <c r="L62" s="4925"/>
      <c r="M62" s="4005"/>
    </row>
    <row r="63" spans="1:13" ht="15.75">
      <c r="A63" s="4902" t="s">
        <v>1138</v>
      </c>
      <c r="B63" s="3993" t="s">
        <v>1310</v>
      </c>
      <c r="C63" s="1781" t="s">
        <v>1429</v>
      </c>
      <c r="D63" s="970"/>
      <c r="E63" s="971"/>
      <c r="F63" s="972"/>
      <c r="G63" s="973">
        <f>L63</f>
        <v>57047.852553284982</v>
      </c>
      <c r="H63" s="722">
        <v>57048</v>
      </c>
      <c r="I63" s="722">
        <v>57048</v>
      </c>
      <c r="J63" s="722">
        <v>57048</v>
      </c>
      <c r="K63" s="722">
        <v>57048</v>
      </c>
      <c r="L63" s="4924">
        <f>IFERROR(AVERAGE(D66:F66),0)</f>
        <v>57047.852553284982</v>
      </c>
      <c r="M63" s="717"/>
    </row>
    <row r="64" spans="1:13" ht="25.5">
      <c r="A64" s="4903"/>
      <c r="B64" s="3989" t="s">
        <v>1309</v>
      </c>
      <c r="C64" s="1781" t="s">
        <v>1429</v>
      </c>
      <c r="D64" s="986"/>
      <c r="E64" s="987"/>
      <c r="F64" s="988"/>
      <c r="G64" s="723">
        <v>2</v>
      </c>
      <c r="H64" s="723">
        <v>2</v>
      </c>
      <c r="I64" s="723">
        <v>2</v>
      </c>
      <c r="J64" s="723">
        <v>2</v>
      </c>
      <c r="K64" s="723">
        <v>2</v>
      </c>
      <c r="L64" s="4925"/>
      <c r="M64" s="716"/>
    </row>
    <row r="65" spans="1:13" ht="25.5">
      <c r="A65" s="4904"/>
      <c r="B65" s="3985" t="s">
        <v>1774</v>
      </c>
      <c r="C65" s="1781" t="s">
        <v>1429</v>
      </c>
      <c r="D65" s="986"/>
      <c r="E65" s="987"/>
      <c r="F65" s="988"/>
      <c r="G65" s="3977">
        <f>G64</f>
        <v>2</v>
      </c>
      <c r="H65" s="3978">
        <f>SUM(G64:H64)</f>
        <v>4</v>
      </c>
      <c r="I65" s="3978">
        <f>SUM(G64:I64)</f>
        <v>6</v>
      </c>
      <c r="J65" s="3978">
        <f>SUM(G64:J64)</f>
        <v>8</v>
      </c>
      <c r="K65" s="3978">
        <f>SUM(G64:K64)</f>
        <v>10</v>
      </c>
      <c r="L65" s="4925"/>
      <c r="M65" s="3998"/>
    </row>
    <row r="66" spans="1:13" ht="16.5" thickBot="1">
      <c r="A66" s="4904"/>
      <c r="B66" s="3994" t="s">
        <v>1028</v>
      </c>
      <c r="C66" s="1765" t="s">
        <v>1429</v>
      </c>
      <c r="D66" s="4656">
        <v>57289.638897556564</v>
      </c>
      <c r="E66" s="4657">
        <v>56896.960129399551</v>
      </c>
      <c r="F66" s="4658">
        <v>56956.958632898815</v>
      </c>
      <c r="G66" s="3971">
        <f>G63+G65</f>
        <v>57049.852553284982</v>
      </c>
      <c r="H66" s="3971">
        <f t="shared" ref="H66:K66" si="14">H63+H65</f>
        <v>57052</v>
      </c>
      <c r="I66" s="3971">
        <f t="shared" si="14"/>
        <v>57054</v>
      </c>
      <c r="J66" s="3971">
        <f t="shared" si="14"/>
        <v>57056</v>
      </c>
      <c r="K66" s="3971">
        <f t="shared" si="14"/>
        <v>57058</v>
      </c>
      <c r="L66" s="4926"/>
      <c r="M66" s="715"/>
    </row>
    <row r="67" spans="1:13" ht="15.75">
      <c r="A67" s="4901" t="s">
        <v>1139</v>
      </c>
      <c r="B67" s="3987" t="s">
        <v>1310</v>
      </c>
      <c r="C67" s="1770" t="s">
        <v>1429</v>
      </c>
      <c r="D67" s="970"/>
      <c r="E67" s="971"/>
      <c r="F67" s="972"/>
      <c r="G67" s="973">
        <f>L67</f>
        <v>1671263.6161189049</v>
      </c>
      <c r="H67" s="722">
        <v>1671264</v>
      </c>
      <c r="I67" s="722">
        <v>1671264</v>
      </c>
      <c r="J67" s="722">
        <v>1671264</v>
      </c>
      <c r="K67" s="722">
        <v>1671264</v>
      </c>
      <c r="L67" s="4924">
        <f>IFERROR(AVERAGE(D70:F70),0)</f>
        <v>1671263.6161189049</v>
      </c>
      <c r="M67" s="717"/>
    </row>
    <row r="68" spans="1:13" ht="25.5">
      <c r="A68" s="4903"/>
      <c r="B68" s="3989" t="s">
        <v>1309</v>
      </c>
      <c r="C68" s="1781" t="s">
        <v>1429</v>
      </c>
      <c r="D68" s="986"/>
      <c r="E68" s="987"/>
      <c r="F68" s="988"/>
      <c r="G68" s="723">
        <v>35</v>
      </c>
      <c r="H68" s="723">
        <v>35</v>
      </c>
      <c r="I68" s="723">
        <v>35</v>
      </c>
      <c r="J68" s="723">
        <v>35</v>
      </c>
      <c r="K68" s="723">
        <v>35</v>
      </c>
      <c r="L68" s="4925"/>
      <c r="M68" s="716"/>
    </row>
    <row r="69" spans="1:13" ht="25.5">
      <c r="A69" s="4904"/>
      <c r="B69" s="3985" t="s">
        <v>1774</v>
      </c>
      <c r="C69" s="1781" t="s">
        <v>1429</v>
      </c>
      <c r="D69" s="986"/>
      <c r="E69" s="987"/>
      <c r="F69" s="988"/>
      <c r="G69" s="3977">
        <f>G68</f>
        <v>35</v>
      </c>
      <c r="H69" s="3978">
        <f>SUM(G68:H68)</f>
        <v>70</v>
      </c>
      <c r="I69" s="3978">
        <f>SUM(G68:I68)</f>
        <v>105</v>
      </c>
      <c r="J69" s="3978">
        <f>SUM(G68:J68)</f>
        <v>140</v>
      </c>
      <c r="K69" s="3978">
        <f>SUM(G68:K68)</f>
        <v>175</v>
      </c>
      <c r="L69" s="4925"/>
      <c r="M69" s="3998"/>
    </row>
    <row r="70" spans="1:13" ht="16.5" thickBot="1">
      <c r="A70" s="4905"/>
      <c r="B70" s="3990" t="s">
        <v>1028</v>
      </c>
      <c r="C70" s="1785" t="s">
        <v>1429</v>
      </c>
      <c r="D70" s="4656">
        <v>1678346.9453235944</v>
      </c>
      <c r="E70" s="4657">
        <v>1666843.0988390977</v>
      </c>
      <c r="F70" s="4658">
        <v>1668600.8041940229</v>
      </c>
      <c r="G70" s="3976">
        <f>G67+G69</f>
        <v>1671298.6161189049</v>
      </c>
      <c r="H70" s="3976">
        <f t="shared" ref="H70:K70" si="15">H67+H69</f>
        <v>1671334</v>
      </c>
      <c r="I70" s="3976">
        <f t="shared" si="15"/>
        <v>1671369</v>
      </c>
      <c r="J70" s="3976">
        <f t="shared" si="15"/>
        <v>1671404</v>
      </c>
      <c r="K70" s="3976">
        <f t="shared" si="15"/>
        <v>1671439</v>
      </c>
      <c r="L70" s="4925"/>
      <c r="M70" s="4005"/>
    </row>
    <row r="71" spans="1:13" ht="15.75">
      <c r="A71" s="4944" t="s">
        <v>1145</v>
      </c>
      <c r="B71" s="3987" t="s">
        <v>1310</v>
      </c>
      <c r="C71" s="1801" t="s">
        <v>1429</v>
      </c>
      <c r="D71" s="970"/>
      <c r="E71" s="971"/>
      <c r="F71" s="972"/>
      <c r="G71" s="980">
        <f>G58+G63+G67</f>
        <v>5761026</v>
      </c>
      <c r="H71" s="981">
        <f>H58+H63+H67</f>
        <v>5702300.4887824822</v>
      </c>
      <c r="I71" s="981">
        <f>I58+I63+I67</f>
        <v>5643574.4462371534</v>
      </c>
      <c r="J71" s="981">
        <f>J58+J63+J67</f>
        <v>5584848.4036918264</v>
      </c>
      <c r="K71" s="982">
        <f>K58+K63+K67</f>
        <v>5533823.3120866613</v>
      </c>
      <c r="L71" s="4924">
        <f>IFERROR(AVERAGE(D74:F74),0)</f>
        <v>5761026</v>
      </c>
      <c r="M71" s="4010"/>
    </row>
    <row r="72" spans="1:13" ht="25.5">
      <c r="A72" s="4945"/>
      <c r="B72" s="3989" t="s">
        <v>1309</v>
      </c>
      <c r="C72" s="1802" t="s">
        <v>1429</v>
      </c>
      <c r="D72" s="986"/>
      <c r="E72" s="987"/>
      <c r="F72" s="988"/>
      <c r="G72" s="983">
        <f t="shared" ref="G72:K73" si="16">G60+G64+G68</f>
        <v>122</v>
      </c>
      <c r="H72" s="984">
        <f t="shared" si="16"/>
        <v>122</v>
      </c>
      <c r="I72" s="984">
        <f t="shared" si="16"/>
        <v>122</v>
      </c>
      <c r="J72" s="984">
        <f t="shared" si="16"/>
        <v>122</v>
      </c>
      <c r="K72" s="985">
        <f t="shared" si="16"/>
        <v>122</v>
      </c>
      <c r="L72" s="4925"/>
      <c r="M72" s="3998"/>
    </row>
    <row r="73" spans="1:13" ht="25.5">
      <c r="A73" s="4949"/>
      <c r="B73" s="3985" t="s">
        <v>1774</v>
      </c>
      <c r="C73" s="1802" t="s">
        <v>1429</v>
      </c>
      <c r="D73" s="986"/>
      <c r="E73" s="987"/>
      <c r="F73" s="988"/>
      <c r="G73" s="3973">
        <f t="shared" si="16"/>
        <v>122</v>
      </c>
      <c r="H73" s="3974">
        <f t="shared" si="16"/>
        <v>244</v>
      </c>
      <c r="I73" s="3974">
        <f t="shared" si="16"/>
        <v>366</v>
      </c>
      <c r="J73" s="3974">
        <f t="shared" si="16"/>
        <v>488</v>
      </c>
      <c r="K73" s="3975">
        <f t="shared" si="16"/>
        <v>610</v>
      </c>
      <c r="L73" s="4925"/>
      <c r="M73" s="3998"/>
    </row>
    <row r="74" spans="1:13" ht="16.5" thickBot="1">
      <c r="A74" s="4946"/>
      <c r="B74" s="3990" t="s">
        <v>1028</v>
      </c>
      <c r="C74" s="1803" t="s">
        <v>1429</v>
      </c>
      <c r="D74" s="1371">
        <f>D62+D66+D70</f>
        <v>5785443</v>
      </c>
      <c r="E74" s="994">
        <f t="shared" ref="E74:F74" si="17">E62+E66+E70</f>
        <v>5745788</v>
      </c>
      <c r="F74" s="1372">
        <f t="shared" si="17"/>
        <v>5751847</v>
      </c>
      <c r="G74" s="3971">
        <f>G71+G73</f>
        <v>5761148</v>
      </c>
      <c r="H74" s="3971">
        <f t="shared" ref="H74:K74" si="18">H71+H73</f>
        <v>5702544.4887824822</v>
      </c>
      <c r="I74" s="3971">
        <f t="shared" si="18"/>
        <v>5643940.4462371534</v>
      </c>
      <c r="J74" s="3971">
        <f t="shared" si="18"/>
        <v>5585336.4036918264</v>
      </c>
      <c r="K74" s="3971">
        <f t="shared" si="18"/>
        <v>5534433.3120866613</v>
      </c>
      <c r="L74" s="4926"/>
      <c r="M74" s="4009"/>
    </row>
    <row r="75" spans="1:13" ht="13.5" thickBot="1">
      <c r="A75" s="3742" t="s">
        <v>1146</v>
      </c>
      <c r="B75" s="3995"/>
      <c r="D75" s="1795"/>
      <c r="E75" s="1795"/>
      <c r="F75" s="1795"/>
      <c r="G75" s="1795"/>
      <c r="H75" s="1795"/>
      <c r="I75" s="1795"/>
      <c r="J75" s="1795"/>
      <c r="K75" s="1795"/>
      <c r="L75" s="1795"/>
      <c r="M75" s="4011"/>
    </row>
    <row r="76" spans="1:13" ht="13.5" hidden="1" thickBot="1">
      <c r="A76" s="4919" t="s">
        <v>82</v>
      </c>
      <c r="B76" s="4917" t="s">
        <v>1129</v>
      </c>
      <c r="C76" s="4910" t="s">
        <v>166</v>
      </c>
      <c r="D76" s="1798" t="str">
        <f t="shared" ref="D76:K76" si="19">D7</f>
        <v xml:space="preserve">2023 г. </v>
      </c>
      <c r="E76" s="1799" t="str">
        <f t="shared" si="19"/>
        <v xml:space="preserve">2024 г. </v>
      </c>
      <c r="F76" s="1800" t="str">
        <f t="shared" si="19"/>
        <v xml:space="preserve">2025 г. </v>
      </c>
      <c r="G76" s="1799" t="str">
        <f t="shared" si="19"/>
        <v>2027 г.</v>
      </c>
      <c r="H76" s="1799" t="str">
        <f t="shared" si="19"/>
        <v>2028 г.</v>
      </c>
      <c r="I76" s="1799" t="str">
        <f t="shared" si="19"/>
        <v>2029 г.</v>
      </c>
      <c r="J76" s="1799" t="str">
        <f t="shared" si="19"/>
        <v>2030 г.</v>
      </c>
      <c r="K76" s="1799" t="str">
        <f t="shared" si="19"/>
        <v>2031 г.</v>
      </c>
      <c r="L76" s="4915" t="s">
        <v>1427</v>
      </c>
      <c r="M76" s="4913" t="s">
        <v>1130</v>
      </c>
    </row>
    <row r="77" spans="1:13" ht="13.5" hidden="1" thickBot="1">
      <c r="A77" s="4920"/>
      <c r="B77" s="4918"/>
      <c r="C77" s="4911"/>
      <c r="D77" s="4921" t="s">
        <v>1329</v>
      </c>
      <c r="E77" s="4922"/>
      <c r="F77" s="4923"/>
      <c r="G77" s="4922" t="s">
        <v>1330</v>
      </c>
      <c r="H77" s="4922"/>
      <c r="I77" s="4922"/>
      <c r="J77" s="4922"/>
      <c r="K77" s="4923"/>
      <c r="L77" s="4916"/>
      <c r="M77" s="4914"/>
    </row>
    <row r="78" spans="1:13" ht="17.25" customHeight="1">
      <c r="A78" s="4906" t="s">
        <v>1419</v>
      </c>
      <c r="B78" s="3987" t="s">
        <v>1131</v>
      </c>
      <c r="C78" s="1770" t="s">
        <v>676</v>
      </c>
      <c r="D78" s="970"/>
      <c r="E78" s="971"/>
      <c r="F78" s="972"/>
      <c r="G78" s="4651">
        <v>102160.45730048804</v>
      </c>
      <c r="H78" s="4652">
        <v>100672.75483226913</v>
      </c>
      <c r="I78" s="4652">
        <v>99185.052364050222</v>
      </c>
      <c r="J78" s="4652">
        <v>97697.349895831328</v>
      </c>
      <c r="K78" s="4653">
        <v>96404.735045043315</v>
      </c>
      <c r="L78" s="4924">
        <f>IFERROR(AVERAGE(D82:F82),0)</f>
        <v>111270.33333333333</v>
      </c>
      <c r="M78" s="717"/>
    </row>
    <row r="79" spans="1:13" ht="17.25" customHeight="1">
      <c r="A79" s="4907"/>
      <c r="B79" s="3988" t="s">
        <v>1165</v>
      </c>
      <c r="C79" s="1771" t="s">
        <v>170</v>
      </c>
      <c r="D79" s="975"/>
      <c r="E79" s="976"/>
      <c r="F79" s="3956"/>
      <c r="G79" s="977"/>
      <c r="H79" s="978">
        <f>IFERROR((H78-G78)/G78,0)</f>
        <v>-1.456241003153576E-2</v>
      </c>
      <c r="I79" s="978">
        <f>IFERROR((I78-H78)/H78,0)</f>
        <v>-1.4777607612879657E-2</v>
      </c>
      <c r="J79" s="978">
        <f>IFERROR((J78-I78)/I78,0)</f>
        <v>-1.4999260803517135E-2</v>
      </c>
      <c r="K79" s="979">
        <f>IFERROR((K78-J78)/J78,0)</f>
        <v>-1.3230807715524004E-2</v>
      </c>
      <c r="L79" s="4925"/>
      <c r="M79" s="3998"/>
    </row>
    <row r="80" spans="1:13" ht="22.5" customHeight="1">
      <c r="A80" s="4908"/>
      <c r="B80" s="3989" t="s">
        <v>1773</v>
      </c>
      <c r="C80" s="1774" t="s">
        <v>676</v>
      </c>
      <c r="D80" s="986"/>
      <c r="E80" s="987"/>
      <c r="F80" s="988"/>
      <c r="G80" s="723">
        <v>33</v>
      </c>
      <c r="H80" s="725">
        <v>33</v>
      </c>
      <c r="I80" s="725">
        <v>33</v>
      </c>
      <c r="J80" s="725">
        <v>33</v>
      </c>
      <c r="K80" s="725">
        <v>33</v>
      </c>
      <c r="L80" s="4925"/>
      <c r="M80" s="716"/>
    </row>
    <row r="81" spans="1:13" ht="25.5">
      <c r="A81" s="4909"/>
      <c r="B81" s="3985" t="s">
        <v>1774</v>
      </c>
      <c r="C81" s="1774" t="s">
        <v>676</v>
      </c>
      <c r="D81" s="986"/>
      <c r="E81" s="987"/>
      <c r="F81" s="988"/>
      <c r="G81" s="3977">
        <f>G80</f>
        <v>33</v>
      </c>
      <c r="H81" s="3978">
        <f>SUM(G80:H80)</f>
        <v>66</v>
      </c>
      <c r="I81" s="3978">
        <f>SUM(G80:I80)</f>
        <v>99</v>
      </c>
      <c r="J81" s="3978">
        <f>SUM(G80:J80)</f>
        <v>132</v>
      </c>
      <c r="K81" s="3978">
        <f>SUM(G80:K80)</f>
        <v>165</v>
      </c>
      <c r="L81" s="4925"/>
      <c r="M81" s="3998"/>
    </row>
    <row r="82" spans="1:13" ht="17.25" customHeight="1" thickBot="1">
      <c r="A82" s="4909"/>
      <c r="B82" s="3994" t="s">
        <v>1028</v>
      </c>
      <c r="C82" s="1776" t="s">
        <v>676</v>
      </c>
      <c r="D82" s="1879">
        <v>112539</v>
      </c>
      <c r="E82" s="1880">
        <v>111107</v>
      </c>
      <c r="F82" s="4627">
        <v>110165</v>
      </c>
      <c r="G82" s="3971">
        <f>G78+G81</f>
        <v>102193.45730048804</v>
      </c>
      <c r="H82" s="3971">
        <f t="shared" ref="H82:K82" si="20">H78+H81</f>
        <v>100738.75483226913</v>
      </c>
      <c r="I82" s="3971">
        <f t="shared" si="20"/>
        <v>99284.052364050222</v>
      </c>
      <c r="J82" s="3971">
        <f t="shared" si="20"/>
        <v>97829.349895831328</v>
      </c>
      <c r="K82" s="3971">
        <f t="shared" si="20"/>
        <v>96569.735045043315</v>
      </c>
      <c r="L82" s="4926"/>
      <c r="M82" s="716"/>
    </row>
    <row r="83" spans="1:13" ht="12.75" customHeight="1">
      <c r="A83" s="4893" t="s">
        <v>851</v>
      </c>
      <c r="B83" s="3987" t="s">
        <v>1131</v>
      </c>
      <c r="C83" s="1770" t="s">
        <v>676</v>
      </c>
      <c r="D83" s="970"/>
      <c r="E83" s="971"/>
      <c r="F83" s="972"/>
      <c r="G83" s="895">
        <v>80808</v>
      </c>
      <c r="H83" s="722">
        <v>80480</v>
      </c>
      <c r="I83" s="722">
        <v>80155</v>
      </c>
      <c r="J83" s="722">
        <v>79831</v>
      </c>
      <c r="K83" s="721">
        <v>79509</v>
      </c>
      <c r="L83" s="4924">
        <f>IFERROR(AVERAGE(D86:F86),0)</f>
        <v>82873.666666666672</v>
      </c>
      <c r="M83" s="717"/>
    </row>
    <row r="84" spans="1:13" ht="25.5">
      <c r="A84" s="4894"/>
      <c r="B84" s="3989" t="s">
        <v>1773</v>
      </c>
      <c r="C84" s="1774" t="s">
        <v>676</v>
      </c>
      <c r="D84" s="986"/>
      <c r="E84" s="987"/>
      <c r="F84" s="988"/>
      <c r="G84" s="723">
        <v>25</v>
      </c>
      <c r="H84" s="719">
        <v>25</v>
      </c>
      <c r="I84" s="719">
        <v>25</v>
      </c>
      <c r="J84" s="719">
        <v>25</v>
      </c>
      <c r="K84" s="3970">
        <v>25</v>
      </c>
      <c r="L84" s="4925"/>
      <c r="M84" s="716"/>
    </row>
    <row r="85" spans="1:13" ht="25.5">
      <c r="A85" s="4894"/>
      <c r="B85" s="3985" t="s">
        <v>1774</v>
      </c>
      <c r="C85" s="1774" t="s">
        <v>676</v>
      </c>
      <c r="D85" s="986"/>
      <c r="E85" s="987"/>
      <c r="F85" s="988"/>
      <c r="G85" s="3977">
        <f>G84</f>
        <v>25</v>
      </c>
      <c r="H85" s="3978">
        <f>SUM(G84:H84)</f>
        <v>50</v>
      </c>
      <c r="I85" s="3978">
        <f>SUM(G84:I84)</f>
        <v>75</v>
      </c>
      <c r="J85" s="3978">
        <f>SUM(G84:J84)</f>
        <v>100</v>
      </c>
      <c r="K85" s="3978">
        <f>SUM(G84:K84)</f>
        <v>125</v>
      </c>
      <c r="L85" s="4925"/>
      <c r="M85" s="3998"/>
    </row>
    <row r="86" spans="1:13">
      <c r="A86" s="4894"/>
      <c r="B86" s="3991" t="s">
        <v>1028</v>
      </c>
      <c r="C86" s="1778" t="s">
        <v>676</v>
      </c>
      <c r="D86" s="989">
        <f>D87+D88+D89</f>
        <v>82083</v>
      </c>
      <c r="E86" s="990">
        <f>E87+E88+E89</f>
        <v>82620</v>
      </c>
      <c r="F86" s="991">
        <f>F87+F88+F89</f>
        <v>83918</v>
      </c>
      <c r="G86" s="3972">
        <f>G83+G85</f>
        <v>80833</v>
      </c>
      <c r="H86" s="3972">
        <f t="shared" ref="H86:K86" si="21">H83+H85</f>
        <v>80530</v>
      </c>
      <c r="I86" s="3972">
        <f t="shared" si="21"/>
        <v>80230</v>
      </c>
      <c r="J86" s="3972">
        <f t="shared" si="21"/>
        <v>79931</v>
      </c>
      <c r="K86" s="3972">
        <f t="shared" si="21"/>
        <v>79634</v>
      </c>
      <c r="L86" s="4928"/>
      <c r="M86" s="3998"/>
    </row>
    <row r="87" spans="1:13">
      <c r="A87" s="4894"/>
      <c r="B87" s="3992" t="s">
        <v>1147</v>
      </c>
      <c r="C87" s="1774" t="s">
        <v>676</v>
      </c>
      <c r="D87" s="724">
        <v>57458.04772882133</v>
      </c>
      <c r="E87" s="723">
        <v>57833.94738685499</v>
      </c>
      <c r="F87" s="726">
        <v>58742.546560277144</v>
      </c>
      <c r="G87" s="723">
        <f>G86*0.7</f>
        <v>56583.1</v>
      </c>
      <c r="H87" s="723">
        <f t="shared" ref="H87:K87" si="22">H86*0.7</f>
        <v>56371</v>
      </c>
      <c r="I87" s="723">
        <f t="shared" si="22"/>
        <v>56161</v>
      </c>
      <c r="J87" s="723">
        <f t="shared" si="22"/>
        <v>55951.7</v>
      </c>
      <c r="K87" s="723">
        <f t="shared" si="22"/>
        <v>55743.799999999996</v>
      </c>
      <c r="L87" s="1364">
        <f>IFERROR(AVERAGE(D87:F87),0)</f>
        <v>58011.513891984483</v>
      </c>
      <c r="M87" s="716"/>
    </row>
    <row r="88" spans="1:13">
      <c r="A88" s="4894"/>
      <c r="B88" s="3992" t="s">
        <v>1148</v>
      </c>
      <c r="C88" s="1774" t="s">
        <v>676</v>
      </c>
      <c r="D88" s="724">
        <v>812.81682830997306</v>
      </c>
      <c r="E88" s="723">
        <v>818.1344048703138</v>
      </c>
      <c r="F88" s="726">
        <v>830.98769048543932</v>
      </c>
      <c r="G88" s="723">
        <f>G86*0.01</f>
        <v>808.33</v>
      </c>
      <c r="H88" s="723">
        <f t="shared" ref="H88:K88" si="23">H86*0.01</f>
        <v>805.30000000000007</v>
      </c>
      <c r="I88" s="723">
        <f t="shared" si="23"/>
        <v>802.30000000000007</v>
      </c>
      <c r="J88" s="723">
        <f t="shared" si="23"/>
        <v>799.31000000000006</v>
      </c>
      <c r="K88" s="723">
        <f t="shared" si="23"/>
        <v>796.34</v>
      </c>
      <c r="L88" s="1364">
        <f>IFERROR(AVERAGE(D88:F88),0)</f>
        <v>820.64630788857539</v>
      </c>
      <c r="M88" s="716"/>
    </row>
    <row r="89" spans="1:13">
      <c r="A89" s="4894"/>
      <c r="B89" s="3996" t="s">
        <v>1149</v>
      </c>
      <c r="C89" s="1817" t="s">
        <v>676</v>
      </c>
      <c r="D89" s="3959">
        <v>23812.135442868697</v>
      </c>
      <c r="E89" s="3962">
        <v>23967.918208274696</v>
      </c>
      <c r="F89" s="3961">
        <v>24344.465749237424</v>
      </c>
      <c r="G89" s="3960">
        <f>G86*0.29</f>
        <v>23441.57</v>
      </c>
      <c r="H89" s="3960">
        <f t="shared" ref="H89:K89" si="24">H86*0.29</f>
        <v>23353.699999999997</v>
      </c>
      <c r="I89" s="3960">
        <f t="shared" si="24"/>
        <v>23266.699999999997</v>
      </c>
      <c r="J89" s="3960">
        <f t="shared" si="24"/>
        <v>23179.989999999998</v>
      </c>
      <c r="K89" s="3960">
        <f t="shared" si="24"/>
        <v>23093.859999999997</v>
      </c>
      <c r="L89" s="1364">
        <f>IFERROR(AVERAGE(D89:F89),0)</f>
        <v>24041.506466793606</v>
      </c>
      <c r="M89" s="716"/>
    </row>
    <row r="90" spans="1:13" ht="13.5" thickBot="1">
      <c r="A90" s="4895"/>
      <c r="B90" s="3997" t="s">
        <v>1772</v>
      </c>
      <c r="C90" s="4003" t="s">
        <v>676</v>
      </c>
      <c r="D90" s="3965"/>
      <c r="E90" s="3966"/>
      <c r="F90" s="3969"/>
      <c r="G90" s="3984">
        <f>G86-G87-G88-G89</f>
        <v>0</v>
      </c>
      <c r="H90" s="3980">
        <f>H86-H87-H88-H89</f>
        <v>0</v>
      </c>
      <c r="I90" s="3980">
        <f>I86-I87-I88-I89</f>
        <v>0</v>
      </c>
      <c r="J90" s="3980">
        <f>J86-J87-J88-J89</f>
        <v>0</v>
      </c>
      <c r="K90" s="3983">
        <f>K86-K87-K88-K89</f>
        <v>0</v>
      </c>
      <c r="L90" s="3967"/>
      <c r="M90" s="4009"/>
    </row>
    <row r="91" spans="1:13" ht="15.75">
      <c r="A91" s="4901" t="s">
        <v>1136</v>
      </c>
      <c r="B91" s="3987" t="s">
        <v>1308</v>
      </c>
      <c r="C91" s="1770" t="s">
        <v>1429</v>
      </c>
      <c r="D91" s="970"/>
      <c r="E91" s="971"/>
      <c r="F91" s="972"/>
      <c r="G91" s="973">
        <f>L91</f>
        <v>4036784</v>
      </c>
      <c r="H91" s="974">
        <f>(G91+(H79)*G91)</f>
        <v>3977998.6961832568</v>
      </c>
      <c r="I91" s="974">
        <f>(H91+(I79)*H91)</f>
        <v>3919213.3923665136</v>
      </c>
      <c r="J91" s="974">
        <f>(I91+(J79)*I91)</f>
        <v>3860428.0885497713</v>
      </c>
      <c r="K91" s="974">
        <f>(J91+(K79)*J91)</f>
        <v>3809351.5068105613</v>
      </c>
      <c r="L91" s="4924">
        <f>IFERROR(AVERAGE(D95:F95),0)</f>
        <v>4036784</v>
      </c>
      <c r="M91" s="3998"/>
    </row>
    <row r="92" spans="1:13">
      <c r="A92" s="4902"/>
      <c r="B92" s="3988" t="s">
        <v>1165</v>
      </c>
      <c r="C92" s="1771" t="s">
        <v>170</v>
      </c>
      <c r="D92" s="975"/>
      <c r="E92" s="976"/>
      <c r="F92" s="3956"/>
      <c r="G92" s="977"/>
      <c r="H92" s="978">
        <f>IFERROR((H91-G91)/G91,0)</f>
        <v>-1.4562410031535796E-2</v>
      </c>
      <c r="I92" s="978">
        <f>IFERROR((I91-H91)/H91,0)</f>
        <v>-1.4777607612879695E-2</v>
      </c>
      <c r="J92" s="978">
        <f>IFERROR((J91-I91)/I91,0)</f>
        <v>-1.4999260803517083E-2</v>
      </c>
      <c r="K92" s="979">
        <f>IFERROR((K91-J91)/J91,0)</f>
        <v>-1.3230807715524045E-2</v>
      </c>
      <c r="L92" s="4925"/>
      <c r="M92" s="3998"/>
    </row>
    <row r="93" spans="1:13" ht="25.5">
      <c r="A93" s="4903"/>
      <c r="B93" s="3989" t="s">
        <v>1309</v>
      </c>
      <c r="C93" s="1781" t="s">
        <v>1429</v>
      </c>
      <c r="D93" s="986"/>
      <c r="E93" s="987"/>
      <c r="F93" s="988"/>
      <c r="G93" s="723">
        <v>85</v>
      </c>
      <c r="H93" s="719">
        <v>85</v>
      </c>
      <c r="I93" s="719">
        <v>85</v>
      </c>
      <c r="J93" s="719">
        <v>85</v>
      </c>
      <c r="K93" s="718">
        <v>85</v>
      </c>
      <c r="L93" s="4925"/>
      <c r="M93" s="716"/>
    </row>
    <row r="94" spans="1:13" ht="25.5">
      <c r="A94" s="4904"/>
      <c r="B94" s="3985" t="s">
        <v>1774</v>
      </c>
      <c r="C94" s="1781" t="s">
        <v>1429</v>
      </c>
      <c r="D94" s="986"/>
      <c r="E94" s="987"/>
      <c r="F94" s="988"/>
      <c r="G94" s="3977">
        <f>G93</f>
        <v>85</v>
      </c>
      <c r="H94" s="3978">
        <f>SUM(G93:H93)</f>
        <v>170</v>
      </c>
      <c r="I94" s="3978">
        <f>SUM(G93:I93)</f>
        <v>255</v>
      </c>
      <c r="J94" s="3978">
        <f>SUM(G93:J93)</f>
        <v>340</v>
      </c>
      <c r="K94" s="3978">
        <f>SUM(G93:K93)</f>
        <v>425</v>
      </c>
      <c r="L94" s="4925"/>
      <c r="M94" s="3998"/>
    </row>
    <row r="95" spans="1:13" ht="16.5" thickBot="1">
      <c r="A95" s="4905"/>
      <c r="B95" s="3994" t="s">
        <v>1028</v>
      </c>
      <c r="C95" s="1785" t="s">
        <v>1429</v>
      </c>
      <c r="D95" s="4659">
        <f>4266263*0.96</f>
        <v>4095612.48</v>
      </c>
      <c r="E95" s="4660">
        <f>4155053*0.96</f>
        <v>3988850.88</v>
      </c>
      <c r="F95" s="4661">
        <f>4193634*0.96</f>
        <v>4025888.6399999997</v>
      </c>
      <c r="G95" s="3971">
        <f>G91+G94</f>
        <v>4036869</v>
      </c>
      <c r="H95" s="3971">
        <f t="shared" ref="H95:K95" si="25">H91+H94</f>
        <v>3978168.6961832568</v>
      </c>
      <c r="I95" s="3971">
        <f t="shared" si="25"/>
        <v>3919468.3923665136</v>
      </c>
      <c r="J95" s="3971">
        <f t="shared" si="25"/>
        <v>3860768.0885497713</v>
      </c>
      <c r="K95" s="3971">
        <f t="shared" si="25"/>
        <v>3809776.5068105613</v>
      </c>
      <c r="L95" s="4926"/>
      <c r="M95" s="716"/>
    </row>
    <row r="96" spans="1:13" ht="15.75">
      <c r="A96" s="4901" t="s">
        <v>1138</v>
      </c>
      <c r="B96" s="3987" t="s">
        <v>1310</v>
      </c>
      <c r="C96" s="1781" t="s">
        <v>1429</v>
      </c>
      <c r="D96" s="970"/>
      <c r="E96" s="971"/>
      <c r="F96" s="972"/>
      <c r="G96" s="973">
        <f>L96</f>
        <v>168199.33333333334</v>
      </c>
      <c r="H96" s="722">
        <v>168199</v>
      </c>
      <c r="I96" s="722">
        <v>168199</v>
      </c>
      <c r="J96" s="722">
        <v>168199</v>
      </c>
      <c r="K96" s="722">
        <v>168199</v>
      </c>
      <c r="L96" s="4924">
        <f>IFERROR(AVERAGE(D99:F99),0)</f>
        <v>168199.33333333334</v>
      </c>
      <c r="M96" s="717"/>
    </row>
    <row r="97" spans="1:13" ht="25.5">
      <c r="A97" s="4903"/>
      <c r="B97" s="3989" t="s">
        <v>1309</v>
      </c>
      <c r="C97" s="1781" t="s">
        <v>1429</v>
      </c>
      <c r="D97" s="986"/>
      <c r="E97" s="987"/>
      <c r="F97" s="988"/>
      <c r="G97" s="723">
        <v>2</v>
      </c>
      <c r="H97" s="719">
        <v>2</v>
      </c>
      <c r="I97" s="719">
        <v>2</v>
      </c>
      <c r="J97" s="719">
        <v>2</v>
      </c>
      <c r="K97" s="718">
        <v>2</v>
      </c>
      <c r="L97" s="4925"/>
      <c r="M97" s="716"/>
    </row>
    <row r="98" spans="1:13" ht="25.5">
      <c r="A98" s="4904"/>
      <c r="B98" s="3985" t="s">
        <v>1774</v>
      </c>
      <c r="C98" s="1802" t="s">
        <v>1429</v>
      </c>
      <c r="D98" s="986"/>
      <c r="E98" s="987"/>
      <c r="F98" s="988"/>
      <c r="G98" s="3977">
        <f>G97</f>
        <v>2</v>
      </c>
      <c r="H98" s="3978">
        <f>SUM(G97:H97)</f>
        <v>4</v>
      </c>
      <c r="I98" s="3978">
        <f>SUM(G97:I97)</f>
        <v>6</v>
      </c>
      <c r="J98" s="3978">
        <f>SUM(G97:J97)</f>
        <v>8</v>
      </c>
      <c r="K98" s="3978">
        <f>SUM(G97:K97)</f>
        <v>10</v>
      </c>
      <c r="L98" s="4925"/>
      <c r="M98" s="3998"/>
    </row>
    <row r="99" spans="1:13" ht="16.5" thickBot="1">
      <c r="A99" s="4905"/>
      <c r="B99" s="3990" t="s">
        <v>1028</v>
      </c>
      <c r="C99" s="1765" t="s">
        <v>1429</v>
      </c>
      <c r="D99" s="4656">
        <f>4266263*0.04</f>
        <v>170650.52</v>
      </c>
      <c r="E99" s="4662">
        <f>4155053*0.04</f>
        <v>166202.12</v>
      </c>
      <c r="F99" s="4658">
        <f>4193634*0.04</f>
        <v>167745.36000000002</v>
      </c>
      <c r="G99" s="3976">
        <f>G96+G98</f>
        <v>168201.33333333334</v>
      </c>
      <c r="H99" s="3976">
        <f t="shared" ref="H99:K99" si="26">H96+H98</f>
        <v>168203</v>
      </c>
      <c r="I99" s="3976">
        <f t="shared" si="26"/>
        <v>168205</v>
      </c>
      <c r="J99" s="3976">
        <f t="shared" si="26"/>
        <v>168207</v>
      </c>
      <c r="K99" s="3976">
        <f t="shared" si="26"/>
        <v>168209</v>
      </c>
      <c r="L99" s="4925"/>
      <c r="M99" s="4005"/>
    </row>
    <row r="100" spans="1:13" ht="15.75">
      <c r="A100" s="4902" t="s">
        <v>1139</v>
      </c>
      <c r="B100" s="3993" t="s">
        <v>1310</v>
      </c>
      <c r="C100" s="1770" t="s">
        <v>1429</v>
      </c>
      <c r="D100" s="970"/>
      <c r="E100" s="971"/>
      <c r="F100" s="972"/>
      <c r="G100" s="973">
        <f>L100</f>
        <v>259755</v>
      </c>
      <c r="H100" s="722">
        <v>322136</v>
      </c>
      <c r="I100" s="722">
        <v>322136</v>
      </c>
      <c r="J100" s="722">
        <v>322136</v>
      </c>
      <c r="K100" s="722">
        <v>322136</v>
      </c>
      <c r="L100" s="4924">
        <f>IFERROR(AVERAGE(D103:F103),0)</f>
        <v>259755</v>
      </c>
      <c r="M100" s="717"/>
    </row>
    <row r="101" spans="1:13" ht="25.5">
      <c r="A101" s="4903"/>
      <c r="B101" s="3989" t="s">
        <v>1309</v>
      </c>
      <c r="C101" s="1781" t="s">
        <v>1429</v>
      </c>
      <c r="D101" s="986"/>
      <c r="E101" s="987"/>
      <c r="F101" s="988"/>
      <c r="G101" s="723">
        <v>35</v>
      </c>
      <c r="H101" s="723">
        <v>35</v>
      </c>
      <c r="I101" s="723">
        <v>35</v>
      </c>
      <c r="J101" s="723">
        <v>35</v>
      </c>
      <c r="K101" s="723">
        <v>35</v>
      </c>
      <c r="L101" s="4925"/>
      <c r="M101" s="716"/>
    </row>
    <row r="102" spans="1:13" ht="25.5">
      <c r="A102" s="4904"/>
      <c r="B102" s="3985" t="s">
        <v>1774</v>
      </c>
      <c r="C102" s="1802" t="s">
        <v>1429</v>
      </c>
      <c r="D102" s="986"/>
      <c r="E102" s="987"/>
      <c r="F102" s="988"/>
      <c r="G102" s="3977">
        <f>G101</f>
        <v>35</v>
      </c>
      <c r="H102" s="3978">
        <f>SUM(G101:H101)</f>
        <v>70</v>
      </c>
      <c r="I102" s="3978">
        <f>SUM(G101:I101)</f>
        <v>105</v>
      </c>
      <c r="J102" s="3978">
        <f>SUM(G101:J101)</f>
        <v>140</v>
      </c>
      <c r="K102" s="3978">
        <f>SUM(G101:K101)</f>
        <v>175</v>
      </c>
      <c r="L102" s="4925"/>
      <c r="M102" s="3998"/>
    </row>
    <row r="103" spans="1:13" ht="16.5" thickBot="1">
      <c r="A103" s="4904"/>
      <c r="B103" s="3994" t="s">
        <v>1028</v>
      </c>
      <c r="C103" s="1785" t="s">
        <v>1429</v>
      </c>
      <c r="D103" s="1879">
        <v>197031</v>
      </c>
      <c r="E103" s="1880">
        <v>217043</v>
      </c>
      <c r="F103" s="4542">
        <v>365191</v>
      </c>
      <c r="G103" s="3971">
        <f>G100+G102</f>
        <v>259790</v>
      </c>
      <c r="H103" s="3971">
        <f t="shared" ref="H103:K103" si="27">H100+H102</f>
        <v>322206</v>
      </c>
      <c r="I103" s="3971">
        <f t="shared" si="27"/>
        <v>322241</v>
      </c>
      <c r="J103" s="3971">
        <f t="shared" si="27"/>
        <v>322276</v>
      </c>
      <c r="K103" s="3971">
        <f t="shared" si="27"/>
        <v>322311</v>
      </c>
      <c r="L103" s="4926"/>
      <c r="M103" s="715"/>
    </row>
    <row r="104" spans="1:13" ht="15.75">
      <c r="A104" s="4944" t="s">
        <v>1150</v>
      </c>
      <c r="B104" s="3987" t="s">
        <v>1310</v>
      </c>
      <c r="C104" s="1801" t="s">
        <v>1429</v>
      </c>
      <c r="D104" s="970"/>
      <c r="E104" s="971"/>
      <c r="F104" s="972"/>
      <c r="G104" s="980">
        <f>G91+G96+G100</f>
        <v>4464738.333333333</v>
      </c>
      <c r="H104" s="981">
        <f>H91+H96+H100</f>
        <v>4468333.6961832568</v>
      </c>
      <c r="I104" s="981">
        <f>I91+I96+I100</f>
        <v>4409548.3923665136</v>
      </c>
      <c r="J104" s="981">
        <f>J91+J96+J100</f>
        <v>4350763.0885497713</v>
      </c>
      <c r="K104" s="982">
        <f>K91+K96+K100</f>
        <v>4299686.5068105608</v>
      </c>
      <c r="L104" s="4924">
        <f>IFERROR(AVERAGE(D107:F107),0)</f>
        <v>4464738.333333333</v>
      </c>
      <c r="M104" s="4010"/>
    </row>
    <row r="105" spans="1:13" ht="25.5">
      <c r="A105" s="4945"/>
      <c r="B105" s="3989" t="s">
        <v>1309</v>
      </c>
      <c r="C105" s="1802" t="s">
        <v>1429</v>
      </c>
      <c r="D105" s="986"/>
      <c r="E105" s="987"/>
      <c r="F105" s="988"/>
      <c r="G105" s="983">
        <f t="shared" ref="G105:K106" si="28">G93+G97+G101</f>
        <v>122</v>
      </c>
      <c r="H105" s="984">
        <f t="shared" si="28"/>
        <v>122</v>
      </c>
      <c r="I105" s="984">
        <f t="shared" si="28"/>
        <v>122</v>
      </c>
      <c r="J105" s="984">
        <f t="shared" si="28"/>
        <v>122</v>
      </c>
      <c r="K105" s="985">
        <f t="shared" si="28"/>
        <v>122</v>
      </c>
      <c r="L105" s="4925"/>
      <c r="M105" s="3998"/>
    </row>
    <row r="106" spans="1:13" ht="25.5">
      <c r="A106" s="4945"/>
      <c r="B106" s="3985" t="s">
        <v>1774</v>
      </c>
      <c r="C106" s="1802" t="s">
        <v>1429</v>
      </c>
      <c r="D106" s="986"/>
      <c r="E106" s="987"/>
      <c r="F106" s="988"/>
      <c r="G106" s="3973">
        <f t="shared" si="28"/>
        <v>122</v>
      </c>
      <c r="H106" s="3974">
        <f t="shared" si="28"/>
        <v>244</v>
      </c>
      <c r="I106" s="3974">
        <f t="shared" si="28"/>
        <v>366</v>
      </c>
      <c r="J106" s="3974">
        <f t="shared" si="28"/>
        <v>488</v>
      </c>
      <c r="K106" s="3975">
        <f t="shared" si="28"/>
        <v>610</v>
      </c>
      <c r="L106" s="4925"/>
      <c r="M106" s="3998"/>
    </row>
    <row r="107" spans="1:13" ht="15.75">
      <c r="A107" s="4945"/>
      <c r="B107" s="1777" t="s">
        <v>1028</v>
      </c>
      <c r="C107" s="1802" t="s">
        <v>1429</v>
      </c>
      <c r="D107" s="1779">
        <f>D95+D99+D103</f>
        <v>4463294</v>
      </c>
      <c r="E107" s="1780">
        <f>E95+E99+E103</f>
        <v>4372096</v>
      </c>
      <c r="F107" s="991">
        <f>F95+F99+F103</f>
        <v>4558825</v>
      </c>
      <c r="G107" s="3972">
        <f>G104+G106</f>
        <v>4464860.333333333</v>
      </c>
      <c r="H107" s="3972">
        <f t="shared" ref="H107:K107" si="29">H104+H106</f>
        <v>4468577.6961832568</v>
      </c>
      <c r="I107" s="3972">
        <f t="shared" si="29"/>
        <v>4409914.3923665136</v>
      </c>
      <c r="J107" s="3972">
        <f t="shared" si="29"/>
        <v>4351251.0885497713</v>
      </c>
      <c r="K107" s="3972">
        <f t="shared" si="29"/>
        <v>4300296.5068105608</v>
      </c>
      <c r="L107" s="4928"/>
      <c r="M107" s="3998"/>
    </row>
    <row r="108" spans="1:13" ht="13.5" thickBot="1">
      <c r="A108" s="1804" t="s">
        <v>1151</v>
      </c>
      <c r="E108" s="1795"/>
      <c r="F108" s="1795"/>
      <c r="G108" s="1795"/>
      <c r="H108" s="1795"/>
      <c r="I108" s="1795"/>
      <c r="J108" s="1795"/>
      <c r="K108" s="1795"/>
      <c r="L108" s="1795"/>
      <c r="M108" s="1795"/>
    </row>
    <row r="109" spans="1:13" ht="26.25" hidden="1" thickBot="1">
      <c r="A109" s="1805" t="s">
        <v>82</v>
      </c>
      <c r="B109" s="1806" t="s">
        <v>1129</v>
      </c>
      <c r="C109" s="1769" t="s">
        <v>166</v>
      </c>
      <c r="D109" s="1798" t="str">
        <f t="shared" ref="D109:K109" si="30">D7</f>
        <v xml:space="preserve">2023 г. </v>
      </c>
      <c r="E109" s="1799" t="str">
        <f t="shared" si="30"/>
        <v xml:space="preserve">2024 г. </v>
      </c>
      <c r="F109" s="1800" t="str">
        <f t="shared" si="30"/>
        <v xml:space="preserve">2025 г. </v>
      </c>
      <c r="G109" s="1799" t="str">
        <f t="shared" si="30"/>
        <v>2027 г.</v>
      </c>
      <c r="H109" s="1799" t="str">
        <f t="shared" si="30"/>
        <v>2028 г.</v>
      </c>
      <c r="I109" s="1799" t="str">
        <f t="shared" si="30"/>
        <v>2029 г.</v>
      </c>
      <c r="J109" s="1799" t="str">
        <f t="shared" si="30"/>
        <v>2030 г.</v>
      </c>
      <c r="K109" s="1799" t="str">
        <f t="shared" si="30"/>
        <v>2031 г.</v>
      </c>
      <c r="L109" s="1807"/>
      <c r="M109" s="3957" t="s">
        <v>1130</v>
      </c>
    </row>
    <row r="110" spans="1:13">
      <c r="A110" s="4901" t="s">
        <v>1439</v>
      </c>
      <c r="B110" s="1808" t="s">
        <v>210</v>
      </c>
      <c r="C110" s="1770" t="s">
        <v>1433</v>
      </c>
      <c r="D110" s="1809">
        <f t="shared" ref="D110:K110" si="31">IFERROR((D26/D13/365)*1000,0)</f>
        <v>82.674950636013961</v>
      </c>
      <c r="E110" s="980">
        <f t="shared" si="31"/>
        <v>86.633624137950775</v>
      </c>
      <c r="F110" s="1810">
        <f t="shared" si="31"/>
        <v>83.827185246449147</v>
      </c>
      <c r="G110" s="980">
        <f t="shared" si="31"/>
        <v>90.881845593844275</v>
      </c>
      <c r="H110" s="981">
        <f t="shared" si="31"/>
        <v>90.855902177264866</v>
      </c>
      <c r="I110" s="981">
        <f t="shared" si="31"/>
        <v>90.829235693348267</v>
      </c>
      <c r="J110" s="981">
        <f t="shared" si="31"/>
        <v>90.80179713020226</v>
      </c>
      <c r="K110" s="981">
        <f t="shared" si="31"/>
        <v>90.773821636777328</v>
      </c>
      <c r="L110" s="1811"/>
      <c r="M110" s="717"/>
    </row>
    <row r="111" spans="1:13">
      <c r="A111" s="4903"/>
      <c r="B111" s="1812" t="s">
        <v>174</v>
      </c>
      <c r="C111" s="1774" t="s">
        <v>1433</v>
      </c>
      <c r="D111" s="1813">
        <f t="shared" ref="D111:K111" si="32">IFERROR((D62/D49/365)*1000,0)</f>
        <v>74.904878571147023</v>
      </c>
      <c r="E111" s="983">
        <f t="shared" si="32"/>
        <v>75.258225839936969</v>
      </c>
      <c r="F111" s="1814">
        <f t="shared" si="32"/>
        <v>75.187130090125237</v>
      </c>
      <c r="G111" s="983">
        <f t="shared" si="32"/>
        <v>81.189647490585401</v>
      </c>
      <c r="H111" s="984">
        <f t="shared" si="32"/>
        <v>81.171144056911828</v>
      </c>
      <c r="I111" s="984">
        <f t="shared" si="32"/>
        <v>81.152095201756239</v>
      </c>
      <c r="J111" s="984">
        <f t="shared" si="32"/>
        <v>81.132476448476055</v>
      </c>
      <c r="K111" s="984">
        <f t="shared" si="32"/>
        <v>81.112454573061299</v>
      </c>
      <c r="L111" s="1815"/>
      <c r="M111" s="716"/>
    </row>
    <row r="112" spans="1:13" ht="13.5" thickBot="1">
      <c r="A112" s="4904"/>
      <c r="B112" s="1816" t="s">
        <v>184</v>
      </c>
      <c r="C112" s="1817" t="s">
        <v>1433</v>
      </c>
      <c r="D112" s="1818">
        <f t="shared" ref="D112:K112" si="33">IFERROR((D95/D82/365)*1000,0)</f>
        <v>99.706378318529943</v>
      </c>
      <c r="E112" s="1819">
        <f t="shared" si="33"/>
        <v>98.358866456141072</v>
      </c>
      <c r="F112" s="1820">
        <f t="shared" si="33"/>
        <v>100.1210174775197</v>
      </c>
      <c r="G112" s="1819">
        <f t="shared" si="33"/>
        <v>108.22527547896487</v>
      </c>
      <c r="H112" s="1821">
        <f t="shared" si="33"/>
        <v>108.19165212491829</v>
      </c>
      <c r="I112" s="1821">
        <f t="shared" si="33"/>
        <v>108.15704347716226</v>
      </c>
      <c r="J112" s="1821">
        <f t="shared" si="33"/>
        <v>108.12140558234765</v>
      </c>
      <c r="K112" s="1821">
        <f t="shared" si="33"/>
        <v>108.08504185505947</v>
      </c>
      <c r="L112" s="1822"/>
      <c r="M112" s="715"/>
    </row>
    <row r="113" spans="1:13" ht="28.5">
      <c r="A113" s="4901" t="s">
        <v>1440</v>
      </c>
      <c r="B113" s="1808" t="s">
        <v>210</v>
      </c>
      <c r="C113" s="1823" t="s">
        <v>1432</v>
      </c>
      <c r="D113" s="1824">
        <f t="shared" ref="D113:K113" si="34">IFERROR((D26/D18/12),0)</f>
        <v>4.7381242627414943</v>
      </c>
      <c r="E113" s="1825">
        <f t="shared" si="34"/>
        <v>4.9036948085429728</v>
      </c>
      <c r="F113" s="1826">
        <f t="shared" si="34"/>
        <v>4.7828307834871717</v>
      </c>
      <c r="G113" s="1825">
        <f t="shared" si="34"/>
        <v>4.8727002952202918</v>
      </c>
      <c r="H113" s="1827">
        <f t="shared" si="34"/>
        <v>4.7959681657357001</v>
      </c>
      <c r="I113" s="1827">
        <f t="shared" si="34"/>
        <v>4.7226368509158432</v>
      </c>
      <c r="J113" s="1827">
        <f t="shared" si="34"/>
        <v>4.6494440251805296</v>
      </c>
      <c r="K113" s="1827">
        <f t="shared" si="34"/>
        <v>4.5856492660518926</v>
      </c>
      <c r="L113" s="1811"/>
      <c r="M113" s="717"/>
    </row>
    <row r="114" spans="1:13" ht="28.5">
      <c r="A114" s="4903"/>
      <c r="B114" s="1812" t="s">
        <v>174</v>
      </c>
      <c r="C114" s="1828" t="s">
        <v>1432</v>
      </c>
      <c r="D114" s="1829">
        <f t="shared" ref="D114:K114" si="35">IFERROR((D62/D54/12),0)</f>
        <v>4.7750279794388266</v>
      </c>
      <c r="E114" s="1830">
        <f t="shared" si="35"/>
        <v>4.6331936401257243</v>
      </c>
      <c r="F114" s="1831">
        <f t="shared" si="35"/>
        <v>4.6895752584008861</v>
      </c>
      <c r="G114" s="1830">
        <f t="shared" si="35"/>
        <v>4.8443020639478886</v>
      </c>
      <c r="H114" s="1832">
        <f t="shared" si="35"/>
        <v>4.7927109083248931</v>
      </c>
      <c r="I114" s="1832">
        <f t="shared" si="35"/>
        <v>4.7406855739278413</v>
      </c>
      <c r="J114" s="1832">
        <f t="shared" si="35"/>
        <v>4.6880476808531091</v>
      </c>
      <c r="K114" s="1832">
        <f t="shared" si="35"/>
        <v>4.6444039341599748</v>
      </c>
      <c r="L114" s="1815"/>
      <c r="M114" s="716"/>
    </row>
    <row r="115" spans="1:13" ht="29.25" thickBot="1">
      <c r="A115" s="4905"/>
      <c r="B115" s="1833" t="s">
        <v>184</v>
      </c>
      <c r="C115" s="1781" t="s">
        <v>1432</v>
      </c>
      <c r="D115" s="1834">
        <f t="shared" ref="D115:K115" si="36">IFERROR((D95/D87/12),0)</f>
        <v>5.9400041158864711</v>
      </c>
      <c r="E115" s="1835">
        <f t="shared" si="36"/>
        <v>5.7475627208450204</v>
      </c>
      <c r="F115" s="1836">
        <f t="shared" si="36"/>
        <v>5.7112049041957151</v>
      </c>
      <c r="G115" s="1835">
        <f t="shared" si="36"/>
        <v>5.9453396862314021</v>
      </c>
      <c r="H115" s="1837">
        <f t="shared" si="36"/>
        <v>5.8809327139002576</v>
      </c>
      <c r="I115" s="1837">
        <f t="shared" si="36"/>
        <v>5.8158217629768485</v>
      </c>
      <c r="J115" s="1837">
        <f t="shared" si="36"/>
        <v>5.7501501124329435</v>
      </c>
      <c r="K115" s="1837">
        <f t="shared" si="36"/>
        <v>5.695366580095846</v>
      </c>
      <c r="L115" s="1822"/>
      <c r="M115" s="715"/>
    </row>
    <row r="116" spans="1:13" ht="28.5">
      <c r="A116" s="4902" t="s">
        <v>1441</v>
      </c>
      <c r="B116" s="1838" t="s">
        <v>210</v>
      </c>
      <c r="C116" s="1823" t="s">
        <v>1432</v>
      </c>
      <c r="D116" s="1809">
        <f t="shared" ref="D116:K116" si="37">IFERROR((D30/D19/12),0)</f>
        <v>21.669453376205791</v>
      </c>
      <c r="E116" s="980">
        <f t="shared" si="37"/>
        <v>20.388480392156861</v>
      </c>
      <c r="F116" s="1810">
        <f t="shared" si="37"/>
        <v>15.315778205951617</v>
      </c>
      <c r="G116" s="980">
        <f t="shared" si="37"/>
        <v>19.166184661525278</v>
      </c>
      <c r="H116" s="981">
        <f t="shared" si="37"/>
        <v>19.569958199356911</v>
      </c>
      <c r="I116" s="981">
        <f t="shared" si="37"/>
        <v>19.981924517374516</v>
      </c>
      <c r="J116" s="981">
        <f t="shared" si="37"/>
        <v>24.170959433354795</v>
      </c>
      <c r="K116" s="981">
        <f t="shared" si="37"/>
        <v>32.240657216494846</v>
      </c>
      <c r="L116" s="1811"/>
      <c r="M116" s="717"/>
    </row>
    <row r="117" spans="1:13" ht="28.5">
      <c r="A117" s="4903"/>
      <c r="B117" s="1812" t="s">
        <v>174</v>
      </c>
      <c r="C117" s="1828" t="s">
        <v>1432</v>
      </c>
      <c r="D117" s="1813">
        <f t="shared" ref="D117:K117" si="38">IFERROR((D66/D55/12),0)</f>
        <v>4.7750279794388275</v>
      </c>
      <c r="E117" s="983">
        <f t="shared" si="38"/>
        <v>4.6326819447636325</v>
      </c>
      <c r="F117" s="1814">
        <f t="shared" si="38"/>
        <v>4.6898999253082696</v>
      </c>
      <c r="G117" s="983">
        <f t="shared" si="38"/>
        <v>4.7399345757132751</v>
      </c>
      <c r="H117" s="984">
        <f t="shared" si="38"/>
        <v>4.7602114668205697</v>
      </c>
      <c r="I117" s="984">
        <f t="shared" si="38"/>
        <v>4.780929084853744</v>
      </c>
      <c r="J117" s="984">
        <f t="shared" si="38"/>
        <v>4.8017639293967793</v>
      </c>
      <c r="K117" s="984">
        <f t="shared" si="38"/>
        <v>4.8226537423304867</v>
      </c>
      <c r="L117" s="1815"/>
      <c r="M117" s="716"/>
    </row>
    <row r="118" spans="1:13" ht="29.25" thickBot="1">
      <c r="A118" s="4905"/>
      <c r="B118" s="1833" t="s">
        <v>184</v>
      </c>
      <c r="C118" s="1781" t="s">
        <v>1432</v>
      </c>
      <c r="D118" s="1818">
        <f>IFERROR((D99/D88/12),0)</f>
        <v>17.495795081205479</v>
      </c>
      <c r="E118" s="1819">
        <f t="shared" ref="E118:K118" si="39">IFERROR((E99/E88/12),0)</f>
        <v>16.928974731067715</v>
      </c>
      <c r="F118" s="1820">
        <f t="shared" si="39"/>
        <v>16.821885763234345</v>
      </c>
      <c r="G118" s="1819">
        <f t="shared" si="39"/>
        <v>17.340415149478279</v>
      </c>
      <c r="H118" s="1821">
        <f t="shared" si="39"/>
        <v>17.405832195041185</v>
      </c>
      <c r="I118" s="1821">
        <f t="shared" si="39"/>
        <v>17.471124683202458</v>
      </c>
      <c r="J118" s="1821">
        <f t="shared" si="39"/>
        <v>17.536687893307978</v>
      </c>
      <c r="K118" s="1821">
        <f t="shared" si="39"/>
        <v>17.602301362064779</v>
      </c>
      <c r="L118" s="1822"/>
      <c r="M118" s="715"/>
    </row>
    <row r="119" spans="1:13" ht="28.5">
      <c r="A119" s="4901" t="s">
        <v>1442</v>
      </c>
      <c r="B119" s="1808" t="s">
        <v>210</v>
      </c>
      <c r="C119" s="1823" t="s">
        <v>1432</v>
      </c>
      <c r="D119" s="1809">
        <f t="shared" ref="D119:K119" si="40">IFERROR((D34/D20/12),0)</f>
        <v>1.816948377419237</v>
      </c>
      <c r="E119" s="980">
        <f t="shared" si="40"/>
        <v>1.3920435529168669</v>
      </c>
      <c r="F119" s="1810">
        <f t="shared" si="40"/>
        <v>1.7660375152538161</v>
      </c>
      <c r="G119" s="980">
        <f t="shared" si="40"/>
        <v>1.6601446892469582</v>
      </c>
      <c r="H119" s="981">
        <f t="shared" si="40"/>
        <v>1.6773622651437092</v>
      </c>
      <c r="I119" s="981">
        <f t="shared" si="40"/>
        <v>1.694747325206639</v>
      </c>
      <c r="J119" s="981">
        <f t="shared" si="40"/>
        <v>2.011481652013126</v>
      </c>
      <c r="K119" s="981">
        <f t="shared" si="40"/>
        <v>2.7424518166070997</v>
      </c>
      <c r="L119" s="1811"/>
      <c r="M119" s="717"/>
    </row>
    <row r="120" spans="1:13" ht="28.5">
      <c r="A120" s="4903"/>
      <c r="B120" s="1812" t="s">
        <v>174</v>
      </c>
      <c r="C120" s="1828" t="s">
        <v>1432</v>
      </c>
      <c r="D120" s="1813">
        <f t="shared" ref="D120:K120" si="41">IFERROR((D70/D56/12),0)</f>
        <v>4.7750279794388257</v>
      </c>
      <c r="E120" s="983">
        <f t="shared" si="41"/>
        <v>4.6331534015446243</v>
      </c>
      <c r="F120" s="1814">
        <f t="shared" si="41"/>
        <v>4.6895495105963718</v>
      </c>
      <c r="G120" s="983">
        <f t="shared" si="41"/>
        <v>4.7395008034785322</v>
      </c>
      <c r="H120" s="984">
        <f t="shared" si="41"/>
        <v>4.7600658767291808</v>
      </c>
      <c r="I120" s="984">
        <f t="shared" si="41"/>
        <v>4.7807153856842852</v>
      </c>
      <c r="J120" s="984">
        <f t="shared" si="41"/>
        <v>4.801481534211649</v>
      </c>
      <c r="K120" s="984">
        <f t="shared" si="41"/>
        <v>4.8223020638303611</v>
      </c>
      <c r="L120" s="1815"/>
      <c r="M120" s="716"/>
    </row>
    <row r="121" spans="1:13" ht="29.25" thickBot="1">
      <c r="A121" s="4904"/>
      <c r="B121" s="1816" t="s">
        <v>184</v>
      </c>
      <c r="C121" s="1781" t="s">
        <v>1432</v>
      </c>
      <c r="D121" s="1818">
        <f>IFERROR((D103/D89/12),0)</f>
        <v>0.68953286610492837</v>
      </c>
      <c r="E121" s="1819">
        <f t="shared" ref="E121:K121" si="42">IFERROR((E103/E89/12),0)</f>
        <v>0.75463027324677412</v>
      </c>
      <c r="F121" s="1820">
        <f t="shared" si="42"/>
        <v>1.2500822013022248</v>
      </c>
      <c r="G121" s="1819">
        <f t="shared" si="42"/>
        <v>0.92353740242938798</v>
      </c>
      <c r="H121" s="1821">
        <f t="shared" si="42"/>
        <v>1.14973216235543</v>
      </c>
      <c r="I121" s="1821">
        <f t="shared" si="42"/>
        <v>1.154156655936023</v>
      </c>
      <c r="J121" s="1821">
        <f t="shared" si="42"/>
        <v>1.1585998670980158</v>
      </c>
      <c r="K121" s="1821">
        <f t="shared" si="42"/>
        <v>1.163047234199913</v>
      </c>
      <c r="L121" s="1822"/>
      <c r="M121" s="715"/>
    </row>
    <row r="122" spans="1:13" ht="29.25" thickBot="1">
      <c r="A122" s="1839" t="s">
        <v>1443</v>
      </c>
      <c r="B122" s="1840" t="s">
        <v>210</v>
      </c>
      <c r="C122" s="1841" t="s">
        <v>1432</v>
      </c>
      <c r="D122" s="1842"/>
      <c r="E122" s="1843"/>
      <c r="F122" s="4002"/>
      <c r="G122" s="1844">
        <f>IFERROR(G38/12,0)</f>
        <v>0</v>
      </c>
      <c r="H122" s="1845">
        <f>IFERROR(H38/12,0)</f>
        <v>10309.916666666666</v>
      </c>
      <c r="I122" s="1845">
        <f>IFERROR(I38/12,0)</f>
        <v>9278.9166666666661</v>
      </c>
      <c r="J122" s="1845">
        <f>IFERROR(J38/12,0)</f>
        <v>8351</v>
      </c>
      <c r="K122" s="1845">
        <f>IFERROR(K38/12,0)</f>
        <v>7515.916666666667</v>
      </c>
      <c r="L122" s="1846"/>
      <c r="M122" s="714"/>
    </row>
    <row r="123" spans="1:13" ht="13.5" thickBot="1"/>
    <row r="124" spans="1:13" s="1794" customFormat="1" ht="33" customHeight="1">
      <c r="A124" s="4896" t="s">
        <v>849</v>
      </c>
      <c r="B124" s="1847" t="s">
        <v>1168</v>
      </c>
      <c r="C124" s="1848" t="s">
        <v>170</v>
      </c>
      <c r="D124" s="1849">
        <f t="shared" ref="D124:K124" si="43">IFERROR(D49/D13,0)</f>
        <v>0.71519066794132702</v>
      </c>
      <c r="E124" s="1850">
        <f t="shared" si="43"/>
        <v>0.7117510378284837</v>
      </c>
      <c r="F124" s="1851">
        <f t="shared" si="43"/>
        <v>0.71056404196169975</v>
      </c>
      <c r="G124" s="1850">
        <f t="shared" si="43"/>
        <v>0.709778829331973</v>
      </c>
      <c r="H124" s="1850">
        <f t="shared" si="43"/>
        <v>0.70993556458129625</v>
      </c>
      <c r="I124" s="1850">
        <f t="shared" si="43"/>
        <v>0.70960787332914665</v>
      </c>
      <c r="J124" s="1850">
        <f t="shared" si="43"/>
        <v>0.70927069437662338</v>
      </c>
      <c r="K124" s="1852">
        <f t="shared" si="43"/>
        <v>0.70892691735305413</v>
      </c>
      <c r="L124" s="1853"/>
    </row>
    <row r="125" spans="1:13" s="1794" customFormat="1" ht="39" thickBot="1">
      <c r="A125" s="4897"/>
      <c r="B125" s="1854" t="s">
        <v>1169</v>
      </c>
      <c r="C125" s="1855" t="s">
        <v>170</v>
      </c>
      <c r="D125" s="1856">
        <f t="shared" ref="D125:K125" si="44">IFERROR(D82/D13,0)</f>
        <v>0.54336742084069645</v>
      </c>
      <c r="E125" s="1857">
        <f t="shared" si="44"/>
        <v>0.54009372053004601</v>
      </c>
      <c r="F125" s="1858">
        <f t="shared" si="44"/>
        <v>0.53355386150314321</v>
      </c>
      <c r="G125" s="1857">
        <f t="shared" si="44"/>
        <v>0.53300713138521894</v>
      </c>
      <c r="H125" s="1857">
        <f t="shared" si="44"/>
        <v>0.53316896314036566</v>
      </c>
      <c r="I125" s="1857">
        <f t="shared" si="44"/>
        <v>0.53296827520730439</v>
      </c>
      <c r="J125" s="1857">
        <f t="shared" si="44"/>
        <v>0.53276177672249658</v>
      </c>
      <c r="K125" s="1859">
        <f t="shared" si="44"/>
        <v>0.53255123738145083</v>
      </c>
      <c r="L125" s="1860"/>
    </row>
    <row r="126" spans="1:13" s="1794" customFormat="1" ht="38.25">
      <c r="A126" s="4896" t="s">
        <v>852</v>
      </c>
      <c r="B126" s="1861" t="s">
        <v>1170</v>
      </c>
      <c r="C126" s="1862" t="s">
        <v>170</v>
      </c>
      <c r="D126" s="1849">
        <f t="shared" ref="D126:K126" si="45">IFERROR(D53/D17,0)</f>
        <v>0.64296676494749516</v>
      </c>
      <c r="E126" s="1850">
        <f t="shared" si="45"/>
        <v>0.65439290802596173</v>
      </c>
      <c r="F126" s="1851">
        <f t="shared" si="45"/>
        <v>0.65</v>
      </c>
      <c r="G126" s="1850">
        <f t="shared" si="45"/>
        <v>0.63974836636933197</v>
      </c>
      <c r="H126" s="1850">
        <f t="shared" si="45"/>
        <v>0.63674931588492767</v>
      </c>
      <c r="I126" s="1850">
        <f t="shared" si="45"/>
        <v>0.6337669158004624</v>
      </c>
      <c r="J126" s="1850">
        <f t="shared" si="45"/>
        <v>0.63080113414532679</v>
      </c>
      <c r="K126" s="1852">
        <f t="shared" si="45"/>
        <v>0.62785193903070846</v>
      </c>
      <c r="L126" s="1853"/>
    </row>
    <row r="127" spans="1:13" s="1794" customFormat="1" ht="39" thickBot="1">
      <c r="A127" s="4897"/>
      <c r="B127" s="1863" t="s">
        <v>1171</v>
      </c>
      <c r="C127" s="1855" t="s">
        <v>170</v>
      </c>
      <c r="D127" s="1856">
        <f t="shared" ref="D127:K127" si="46">IFERROR(D86/D17,0)</f>
        <v>0.52271178669451646</v>
      </c>
      <c r="E127" s="1857">
        <f t="shared" si="46"/>
        <v>0.52315972771885388</v>
      </c>
      <c r="F127" s="1858">
        <f t="shared" si="46"/>
        <v>0.53367335258130577</v>
      </c>
      <c r="G127" s="1857">
        <f t="shared" si="46"/>
        <v>0.51835630142169153</v>
      </c>
      <c r="H127" s="1857">
        <f t="shared" si="46"/>
        <v>0.51608231170013008</v>
      </c>
      <c r="I127" s="1857">
        <f t="shared" si="46"/>
        <v>0.51383044812060896</v>
      </c>
      <c r="J127" s="1857">
        <f t="shared" si="46"/>
        <v>0.5115878674611658</v>
      </c>
      <c r="K127" s="1859">
        <f t="shared" si="46"/>
        <v>0.50936094818377775</v>
      </c>
      <c r="L127" s="1864"/>
    </row>
    <row r="128" spans="1:13" s="1794" customFormat="1" ht="25.5">
      <c r="A128" s="4896" t="s">
        <v>1172</v>
      </c>
      <c r="B128" s="1861" t="s">
        <v>1173</v>
      </c>
      <c r="C128" s="1862" t="s">
        <v>170</v>
      </c>
      <c r="D128" s="1849">
        <f t="shared" ref="D128:K128" si="47">IFERROR(D74/D39,0)</f>
        <v>0.75650924067064085</v>
      </c>
      <c r="E128" s="1850">
        <f t="shared" si="47"/>
        <v>0.75078730388290005</v>
      </c>
      <c r="F128" s="1851">
        <f t="shared" si="47"/>
        <v>0.75978463389810136</v>
      </c>
      <c r="G128" s="1850">
        <f t="shared" si="47"/>
        <v>0.75539749176713067</v>
      </c>
      <c r="H128" s="1850">
        <f t="shared" si="47"/>
        <v>0.74321305735082366</v>
      </c>
      <c r="I128" s="1850">
        <f t="shared" si="47"/>
        <v>0.74385617038820184</v>
      </c>
      <c r="J128" s="1850">
        <f t="shared" si="47"/>
        <v>0.72185821530851646</v>
      </c>
      <c r="K128" s="1852">
        <f t="shared" si="47"/>
        <v>0.67496502700464145</v>
      </c>
      <c r="L128" s="1853"/>
    </row>
    <row r="129" spans="1:12" s="1794" customFormat="1" ht="26.25" thickBot="1">
      <c r="A129" s="4898"/>
      <c r="B129" s="1854" t="s">
        <v>1174</v>
      </c>
      <c r="C129" s="1865" t="s">
        <v>170</v>
      </c>
      <c r="D129" s="1866">
        <f t="shared" ref="D129:K129" si="48">IFERROR(D107/D39,0)</f>
        <v>0.5836239601409654</v>
      </c>
      <c r="E129" s="1867">
        <f t="shared" si="48"/>
        <v>0.57129051196410519</v>
      </c>
      <c r="F129" s="1868">
        <f t="shared" si="48"/>
        <v>0.60219355341519198</v>
      </c>
      <c r="G129" s="1867">
        <f t="shared" si="48"/>
        <v>0.58542920558377509</v>
      </c>
      <c r="H129" s="1867">
        <f t="shared" si="48"/>
        <v>0.58239007133096976</v>
      </c>
      <c r="I129" s="1867">
        <f t="shared" si="48"/>
        <v>0.58121485563026998</v>
      </c>
      <c r="J129" s="1867">
        <f t="shared" si="48"/>
        <v>0.56236296583024636</v>
      </c>
      <c r="K129" s="1869">
        <f t="shared" si="48"/>
        <v>0.52445292664534782</v>
      </c>
      <c r="L129" s="1870"/>
    </row>
    <row r="130" spans="1:12" s="1794" customFormat="1">
      <c r="A130" s="1871"/>
      <c r="B130" s="1871"/>
      <c r="C130" s="1871"/>
      <c r="D130" s="1872"/>
      <c r="E130" s="1872"/>
      <c r="F130" s="1872"/>
      <c r="G130" s="1872"/>
      <c r="H130" s="1872"/>
      <c r="I130" s="1872"/>
      <c r="J130" s="1872"/>
      <c r="K130" s="1872"/>
      <c r="L130" s="1873"/>
    </row>
    <row r="132" spans="1:12">
      <c r="A132" s="1874" t="str">
        <f>'Приложение '!B82</f>
        <v>Дата: 29.06.2026</v>
      </c>
      <c r="F132" s="1875"/>
      <c r="G132" s="1876"/>
      <c r="H132" s="1877"/>
      <c r="I132" s="1875"/>
      <c r="J132" s="1875"/>
    </row>
    <row r="133" spans="1:12">
      <c r="F133" s="1875"/>
      <c r="G133" s="1876"/>
      <c r="H133" s="1878"/>
      <c r="I133" s="1875"/>
      <c r="J133" s="1875"/>
    </row>
    <row r="134" spans="1:12">
      <c r="F134" s="1875"/>
      <c r="G134" s="1876"/>
      <c r="H134" s="1877"/>
      <c r="I134" s="1875"/>
      <c r="J134" s="1875"/>
    </row>
    <row r="135" spans="1:12" hidden="1"/>
    <row r="136" spans="1:12">
      <c r="A136" s="4912" t="s">
        <v>187</v>
      </c>
      <c r="B136" s="4912"/>
      <c r="C136" s="4912"/>
      <c r="D136" s="4912"/>
      <c r="E136" s="4912"/>
    </row>
    <row r="137" spans="1:12">
      <c r="A137" s="4889" t="s">
        <v>188</v>
      </c>
      <c r="B137" s="4889"/>
      <c r="C137" s="4889"/>
      <c r="D137" s="4889"/>
      <c r="E137" s="4889"/>
    </row>
    <row r="138" spans="1:12">
      <c r="A138" s="3958" t="s">
        <v>1444</v>
      </c>
      <c r="B138" s="3958"/>
      <c r="C138" s="3958"/>
      <c r="D138" s="3958"/>
      <c r="E138" s="3958"/>
    </row>
    <row r="139" spans="1:12">
      <c r="A139" s="4889" t="s">
        <v>1435</v>
      </c>
      <c r="B139" s="4889"/>
      <c r="C139" s="4889"/>
      <c r="D139" s="4889"/>
      <c r="E139" s="4889"/>
    </row>
  </sheetData>
  <sheetProtection password="EF75" sheet="1" objects="1" scenarios="1" formatCells="0" formatColumns="0" formatRows="0"/>
  <mergeCells count="73">
    <mergeCell ref="A104:A107"/>
    <mergeCell ref="L83:L86"/>
    <mergeCell ref="L91:L95"/>
    <mergeCell ref="L96:L99"/>
    <mergeCell ref="A91:A95"/>
    <mergeCell ref="A100:A103"/>
    <mergeCell ref="A67:A70"/>
    <mergeCell ref="A71:A74"/>
    <mergeCell ref="L71:L74"/>
    <mergeCell ref="L67:L70"/>
    <mergeCell ref="L78:L82"/>
    <mergeCell ref="L35:L39"/>
    <mergeCell ref="L45:L49"/>
    <mergeCell ref="L50:L53"/>
    <mergeCell ref="A35:A39"/>
    <mergeCell ref="L58:L62"/>
    <mergeCell ref="A43:A44"/>
    <mergeCell ref="B43:B44"/>
    <mergeCell ref="D44:F44"/>
    <mergeCell ref="G44:K44"/>
    <mergeCell ref="A2:M2"/>
    <mergeCell ref="A3:M3"/>
    <mergeCell ref="A4:M4"/>
    <mergeCell ref="A5:M5"/>
    <mergeCell ref="A6:B6"/>
    <mergeCell ref="L9:L13"/>
    <mergeCell ref="L14:L17"/>
    <mergeCell ref="L22:L26"/>
    <mergeCell ref="A27:A30"/>
    <mergeCell ref="A31:A34"/>
    <mergeCell ref="A22:A26"/>
    <mergeCell ref="A9:A13"/>
    <mergeCell ref="L27:L30"/>
    <mergeCell ref="L31:L34"/>
    <mergeCell ref="A7:A8"/>
    <mergeCell ref="B7:B8"/>
    <mergeCell ref="L7:L8"/>
    <mergeCell ref="M7:M8"/>
    <mergeCell ref="D8:F8"/>
    <mergeCell ref="G8:K8"/>
    <mergeCell ref="C7:C8"/>
    <mergeCell ref="A116:A118"/>
    <mergeCell ref="C43:C44"/>
    <mergeCell ref="C76:C77"/>
    <mergeCell ref="A136:E136"/>
    <mergeCell ref="M76:M77"/>
    <mergeCell ref="L76:L77"/>
    <mergeCell ref="B76:B77"/>
    <mergeCell ref="A76:A77"/>
    <mergeCell ref="D77:F77"/>
    <mergeCell ref="G77:K77"/>
    <mergeCell ref="M43:M44"/>
    <mergeCell ref="L43:L44"/>
    <mergeCell ref="L63:L66"/>
    <mergeCell ref="A45:A49"/>
    <mergeCell ref="L100:L103"/>
    <mergeCell ref="L104:L107"/>
    <mergeCell ref="A137:E137"/>
    <mergeCell ref="A14:A21"/>
    <mergeCell ref="A50:A57"/>
    <mergeCell ref="A83:A90"/>
    <mergeCell ref="A139:E139"/>
    <mergeCell ref="A126:A127"/>
    <mergeCell ref="A128:A129"/>
    <mergeCell ref="A40:B40"/>
    <mergeCell ref="A58:A62"/>
    <mergeCell ref="A63:A66"/>
    <mergeCell ref="A78:A82"/>
    <mergeCell ref="A124:A125"/>
    <mergeCell ref="A96:A99"/>
    <mergeCell ref="A119:A121"/>
    <mergeCell ref="A110:A112"/>
    <mergeCell ref="A113:A115"/>
  </mergeCells>
  <printOptions horizontalCentered="1"/>
  <pageMargins left="0.11811023622047245" right="0.11811023622047245" top="0.74803149606299213" bottom="0.15748031496062992" header="0.31496062992125984" footer="0.19685039370078741"/>
  <pageSetup paperSize="9" scale="68" orientation="landscape" r:id="rId1"/>
  <headerFooter alignWithMargins="0">
    <oddFooter>&amp;C&amp;A&amp;RСтр. &amp;P от &amp;N</oddFooter>
  </headerFooter>
  <rowBreaks count="3" manualBreakCount="3">
    <brk id="41" max="12" man="1"/>
    <brk id="74" max="12" man="1"/>
    <brk id="10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Y120"/>
  <sheetViews>
    <sheetView showGridLines="0" view="pageBreakPreview" zoomScale="130" zoomScaleNormal="70" zoomScaleSheetLayoutView="130" workbookViewId="0">
      <pane xSplit="2" ySplit="8" topLeftCell="E9" activePane="bottomRight" state="frozen"/>
      <selection pane="topRight" activeCell="C1" sqref="C1"/>
      <selection pane="bottomLeft" activeCell="A9" sqref="A9"/>
      <selection pane="bottomRight" activeCell="F19" sqref="F19"/>
    </sheetView>
  </sheetViews>
  <sheetFormatPr defaultRowHeight="15"/>
  <cols>
    <col min="1" max="1" width="5.42578125" style="1896" customWidth="1"/>
    <col min="2" max="2" width="46.5703125" style="1906" customWidth="1"/>
    <col min="3" max="3" width="10.42578125" style="1906" customWidth="1"/>
    <col min="4" max="9" width="9.5703125" style="1906" customWidth="1"/>
    <col min="10" max="10" width="2.140625" style="1906" customWidth="1"/>
    <col min="11" max="11" width="10.85546875" style="1906" customWidth="1"/>
    <col min="12" max="17" width="10.5703125" style="1906" customWidth="1"/>
    <col min="18" max="238" width="9.140625" style="1906"/>
    <col min="239" max="239" width="5.42578125" style="1906" customWidth="1"/>
    <col min="240" max="240" width="56.42578125" style="1906" customWidth="1"/>
    <col min="241" max="241" width="10.42578125" style="1906" customWidth="1"/>
    <col min="242" max="248" width="10.5703125" style="1906" customWidth="1"/>
    <col min="249" max="249" width="9.140625" style="1906"/>
    <col min="250" max="250" width="11.42578125" style="1906" bestFit="1" customWidth="1"/>
    <col min="251" max="251" width="9.5703125" style="1906" bestFit="1" customWidth="1"/>
    <col min="252" max="494" width="9.140625" style="1906"/>
    <col min="495" max="495" width="5.42578125" style="1906" customWidth="1"/>
    <col min="496" max="496" width="56.42578125" style="1906" customWidth="1"/>
    <col min="497" max="497" width="10.42578125" style="1906" customWidth="1"/>
    <col min="498" max="504" width="10.5703125" style="1906" customWidth="1"/>
    <col min="505" max="505" width="9.140625" style="1906"/>
    <col min="506" max="506" width="11.42578125" style="1906" bestFit="1" customWidth="1"/>
    <col min="507" max="507" width="9.5703125" style="1906" bestFit="1" customWidth="1"/>
    <col min="508" max="750" width="9.140625" style="1906"/>
    <col min="751" max="751" width="5.42578125" style="1906" customWidth="1"/>
    <col min="752" max="752" width="56.42578125" style="1906" customWidth="1"/>
    <col min="753" max="753" width="10.42578125" style="1906" customWidth="1"/>
    <col min="754" max="760" width="10.5703125" style="1906" customWidth="1"/>
    <col min="761" max="761" width="9.140625" style="1906"/>
    <col min="762" max="762" width="11.42578125" style="1906" bestFit="1" customWidth="1"/>
    <col min="763" max="763" width="9.5703125" style="1906" bestFit="1" customWidth="1"/>
    <col min="764" max="1006" width="9.140625" style="1906"/>
    <col min="1007" max="1007" width="5.42578125" style="1906" customWidth="1"/>
    <col min="1008" max="1008" width="56.42578125" style="1906" customWidth="1"/>
    <col min="1009" max="1009" width="10.42578125" style="1906" customWidth="1"/>
    <col min="1010" max="1016" width="10.5703125" style="1906" customWidth="1"/>
    <col min="1017" max="1017" width="9.140625" style="1906"/>
    <col min="1018" max="1018" width="11.42578125" style="1906" bestFit="1" customWidth="1"/>
    <col min="1019" max="1019" width="9.5703125" style="1906" bestFit="1" customWidth="1"/>
    <col min="1020" max="1262" width="9.140625" style="1906"/>
    <col min="1263" max="1263" width="5.42578125" style="1906" customWidth="1"/>
    <col min="1264" max="1264" width="56.42578125" style="1906" customWidth="1"/>
    <col min="1265" max="1265" width="10.42578125" style="1906" customWidth="1"/>
    <col min="1266" max="1272" width="10.5703125" style="1906" customWidth="1"/>
    <col min="1273" max="1273" width="9.140625" style="1906"/>
    <col min="1274" max="1274" width="11.42578125" style="1906" bestFit="1" customWidth="1"/>
    <col min="1275" max="1275" width="9.5703125" style="1906" bestFit="1" customWidth="1"/>
    <col min="1276" max="1518" width="9.140625" style="1906"/>
    <col min="1519" max="1519" width="5.42578125" style="1906" customWidth="1"/>
    <col min="1520" max="1520" width="56.42578125" style="1906" customWidth="1"/>
    <col min="1521" max="1521" width="10.42578125" style="1906" customWidth="1"/>
    <col min="1522" max="1528" width="10.5703125" style="1906" customWidth="1"/>
    <col min="1529" max="1529" width="9.140625" style="1906"/>
    <col min="1530" max="1530" width="11.42578125" style="1906" bestFit="1" customWidth="1"/>
    <col min="1531" max="1531" width="9.5703125" style="1906" bestFit="1" customWidth="1"/>
    <col min="1532" max="1774" width="9.140625" style="1906"/>
    <col min="1775" max="1775" width="5.42578125" style="1906" customWidth="1"/>
    <col min="1776" max="1776" width="56.42578125" style="1906" customWidth="1"/>
    <col min="1777" max="1777" width="10.42578125" style="1906" customWidth="1"/>
    <col min="1778" max="1784" width="10.5703125" style="1906" customWidth="1"/>
    <col min="1785" max="1785" width="9.140625" style="1906"/>
    <col min="1786" max="1786" width="11.42578125" style="1906" bestFit="1" customWidth="1"/>
    <col min="1787" max="1787" width="9.5703125" style="1906" bestFit="1" customWidth="1"/>
    <col min="1788" max="2030" width="9.140625" style="1906"/>
    <col min="2031" max="2031" width="5.42578125" style="1906" customWidth="1"/>
    <col min="2032" max="2032" width="56.42578125" style="1906" customWidth="1"/>
    <col min="2033" max="2033" width="10.42578125" style="1906" customWidth="1"/>
    <col min="2034" max="2040" width="10.5703125" style="1906" customWidth="1"/>
    <col min="2041" max="2041" width="9.140625" style="1906"/>
    <col min="2042" max="2042" width="11.42578125" style="1906" bestFit="1" customWidth="1"/>
    <col min="2043" max="2043" width="9.5703125" style="1906" bestFit="1" customWidth="1"/>
    <col min="2044" max="2286" width="9.140625" style="1906"/>
    <col min="2287" max="2287" width="5.42578125" style="1906" customWidth="1"/>
    <col min="2288" max="2288" width="56.42578125" style="1906" customWidth="1"/>
    <col min="2289" max="2289" width="10.42578125" style="1906" customWidth="1"/>
    <col min="2290" max="2296" width="10.5703125" style="1906" customWidth="1"/>
    <col min="2297" max="2297" width="9.140625" style="1906"/>
    <col min="2298" max="2298" width="11.42578125" style="1906" bestFit="1" customWidth="1"/>
    <col min="2299" max="2299" width="9.5703125" style="1906" bestFit="1" customWidth="1"/>
    <col min="2300" max="2542" width="9.140625" style="1906"/>
    <col min="2543" max="2543" width="5.42578125" style="1906" customWidth="1"/>
    <col min="2544" max="2544" width="56.42578125" style="1906" customWidth="1"/>
    <col min="2545" max="2545" width="10.42578125" style="1906" customWidth="1"/>
    <col min="2546" max="2552" width="10.5703125" style="1906" customWidth="1"/>
    <col min="2553" max="2553" width="9.140625" style="1906"/>
    <col min="2554" max="2554" width="11.42578125" style="1906" bestFit="1" customWidth="1"/>
    <col min="2555" max="2555" width="9.5703125" style="1906" bestFit="1" customWidth="1"/>
    <col min="2556" max="2798" width="9.140625" style="1906"/>
    <col min="2799" max="2799" width="5.42578125" style="1906" customWidth="1"/>
    <col min="2800" max="2800" width="56.42578125" style="1906" customWidth="1"/>
    <col min="2801" max="2801" width="10.42578125" style="1906" customWidth="1"/>
    <col min="2802" max="2808" width="10.5703125" style="1906" customWidth="1"/>
    <col min="2809" max="2809" width="9.140625" style="1906"/>
    <col min="2810" max="2810" width="11.42578125" style="1906" bestFit="1" customWidth="1"/>
    <col min="2811" max="2811" width="9.5703125" style="1906" bestFit="1" customWidth="1"/>
    <col min="2812" max="3054" width="9.140625" style="1906"/>
    <col min="3055" max="3055" width="5.42578125" style="1906" customWidth="1"/>
    <col min="3056" max="3056" width="56.42578125" style="1906" customWidth="1"/>
    <col min="3057" max="3057" width="10.42578125" style="1906" customWidth="1"/>
    <col min="3058" max="3064" width="10.5703125" style="1906" customWidth="1"/>
    <col min="3065" max="3065" width="9.140625" style="1906"/>
    <col min="3066" max="3066" width="11.42578125" style="1906" bestFit="1" customWidth="1"/>
    <col min="3067" max="3067" width="9.5703125" style="1906" bestFit="1" customWidth="1"/>
    <col min="3068" max="3310" width="9.140625" style="1906"/>
    <col min="3311" max="3311" width="5.42578125" style="1906" customWidth="1"/>
    <col min="3312" max="3312" width="56.42578125" style="1906" customWidth="1"/>
    <col min="3313" max="3313" width="10.42578125" style="1906" customWidth="1"/>
    <col min="3314" max="3320" width="10.5703125" style="1906" customWidth="1"/>
    <col min="3321" max="3321" width="9.140625" style="1906"/>
    <col min="3322" max="3322" width="11.42578125" style="1906" bestFit="1" customWidth="1"/>
    <col min="3323" max="3323" width="9.5703125" style="1906" bestFit="1" customWidth="1"/>
    <col min="3324" max="3566" width="9.140625" style="1906"/>
    <col min="3567" max="3567" width="5.42578125" style="1906" customWidth="1"/>
    <col min="3568" max="3568" width="56.42578125" style="1906" customWidth="1"/>
    <col min="3569" max="3569" width="10.42578125" style="1906" customWidth="1"/>
    <col min="3570" max="3576" width="10.5703125" style="1906" customWidth="1"/>
    <col min="3577" max="3577" width="9.140625" style="1906"/>
    <col min="3578" max="3578" width="11.42578125" style="1906" bestFit="1" customWidth="1"/>
    <col min="3579" max="3579" width="9.5703125" style="1906" bestFit="1" customWidth="1"/>
    <col min="3580" max="3822" width="9.140625" style="1906"/>
    <col min="3823" max="3823" width="5.42578125" style="1906" customWidth="1"/>
    <col min="3824" max="3824" width="56.42578125" style="1906" customWidth="1"/>
    <col min="3825" max="3825" width="10.42578125" style="1906" customWidth="1"/>
    <col min="3826" max="3832" width="10.5703125" style="1906" customWidth="1"/>
    <col min="3833" max="3833" width="9.140625" style="1906"/>
    <col min="3834" max="3834" width="11.42578125" style="1906" bestFit="1" customWidth="1"/>
    <col min="3835" max="3835" width="9.5703125" style="1906" bestFit="1" customWidth="1"/>
    <col min="3836" max="4078" width="9.140625" style="1906"/>
    <col min="4079" max="4079" width="5.42578125" style="1906" customWidth="1"/>
    <col min="4080" max="4080" width="56.42578125" style="1906" customWidth="1"/>
    <col min="4081" max="4081" width="10.42578125" style="1906" customWidth="1"/>
    <col min="4082" max="4088" width="10.5703125" style="1906" customWidth="1"/>
    <col min="4089" max="4089" width="9.140625" style="1906"/>
    <col min="4090" max="4090" width="11.42578125" style="1906" bestFit="1" customWidth="1"/>
    <col min="4091" max="4091" width="9.5703125" style="1906" bestFit="1" customWidth="1"/>
    <col min="4092" max="4334" width="9.140625" style="1906"/>
    <col min="4335" max="4335" width="5.42578125" style="1906" customWidth="1"/>
    <col min="4336" max="4336" width="56.42578125" style="1906" customWidth="1"/>
    <col min="4337" max="4337" width="10.42578125" style="1906" customWidth="1"/>
    <col min="4338" max="4344" width="10.5703125" style="1906" customWidth="1"/>
    <col min="4345" max="4345" width="9.140625" style="1906"/>
    <col min="4346" max="4346" width="11.42578125" style="1906" bestFit="1" customWidth="1"/>
    <col min="4347" max="4347" width="9.5703125" style="1906" bestFit="1" customWidth="1"/>
    <col min="4348" max="4590" width="9.140625" style="1906"/>
    <col min="4591" max="4591" width="5.42578125" style="1906" customWidth="1"/>
    <col min="4592" max="4592" width="56.42578125" style="1906" customWidth="1"/>
    <col min="4593" max="4593" width="10.42578125" style="1906" customWidth="1"/>
    <col min="4594" max="4600" width="10.5703125" style="1906" customWidth="1"/>
    <col min="4601" max="4601" width="9.140625" style="1906"/>
    <col min="4602" max="4602" width="11.42578125" style="1906" bestFit="1" customWidth="1"/>
    <col min="4603" max="4603" width="9.5703125" style="1906" bestFit="1" customWidth="1"/>
    <col min="4604" max="4846" width="9.140625" style="1906"/>
    <col min="4847" max="4847" width="5.42578125" style="1906" customWidth="1"/>
    <col min="4848" max="4848" width="56.42578125" style="1906" customWidth="1"/>
    <col min="4849" max="4849" width="10.42578125" style="1906" customWidth="1"/>
    <col min="4850" max="4856" width="10.5703125" style="1906" customWidth="1"/>
    <col min="4857" max="4857" width="9.140625" style="1906"/>
    <col min="4858" max="4858" width="11.42578125" style="1906" bestFit="1" customWidth="1"/>
    <col min="4859" max="4859" width="9.5703125" style="1906" bestFit="1" customWidth="1"/>
    <col min="4860" max="5102" width="9.140625" style="1906"/>
    <col min="5103" max="5103" width="5.42578125" style="1906" customWidth="1"/>
    <col min="5104" max="5104" width="56.42578125" style="1906" customWidth="1"/>
    <col min="5105" max="5105" width="10.42578125" style="1906" customWidth="1"/>
    <col min="5106" max="5112" width="10.5703125" style="1906" customWidth="1"/>
    <col min="5113" max="5113" width="9.140625" style="1906"/>
    <col min="5114" max="5114" width="11.42578125" style="1906" bestFit="1" customWidth="1"/>
    <col min="5115" max="5115" width="9.5703125" style="1906" bestFit="1" customWidth="1"/>
    <col min="5116" max="5358" width="9.140625" style="1906"/>
    <col min="5359" max="5359" width="5.42578125" style="1906" customWidth="1"/>
    <col min="5360" max="5360" width="56.42578125" style="1906" customWidth="1"/>
    <col min="5361" max="5361" width="10.42578125" style="1906" customWidth="1"/>
    <col min="5362" max="5368" width="10.5703125" style="1906" customWidth="1"/>
    <col min="5369" max="5369" width="9.140625" style="1906"/>
    <col min="5370" max="5370" width="11.42578125" style="1906" bestFit="1" customWidth="1"/>
    <col min="5371" max="5371" width="9.5703125" style="1906" bestFit="1" customWidth="1"/>
    <col min="5372" max="5614" width="9.140625" style="1906"/>
    <col min="5615" max="5615" width="5.42578125" style="1906" customWidth="1"/>
    <col min="5616" max="5616" width="56.42578125" style="1906" customWidth="1"/>
    <col min="5617" max="5617" width="10.42578125" style="1906" customWidth="1"/>
    <col min="5618" max="5624" width="10.5703125" style="1906" customWidth="1"/>
    <col min="5625" max="5625" width="9.140625" style="1906"/>
    <col min="5626" max="5626" width="11.42578125" style="1906" bestFit="1" customWidth="1"/>
    <col min="5627" max="5627" width="9.5703125" style="1906" bestFit="1" customWidth="1"/>
    <col min="5628" max="5870" width="9.140625" style="1906"/>
    <col min="5871" max="5871" width="5.42578125" style="1906" customWidth="1"/>
    <col min="5872" max="5872" width="56.42578125" style="1906" customWidth="1"/>
    <col min="5873" max="5873" width="10.42578125" style="1906" customWidth="1"/>
    <col min="5874" max="5880" width="10.5703125" style="1906" customWidth="1"/>
    <col min="5881" max="5881" width="9.140625" style="1906"/>
    <col min="5882" max="5882" width="11.42578125" style="1906" bestFit="1" customWidth="1"/>
    <col min="5883" max="5883" width="9.5703125" style="1906" bestFit="1" customWidth="1"/>
    <col min="5884" max="6126" width="9.140625" style="1906"/>
    <col min="6127" max="6127" width="5.42578125" style="1906" customWidth="1"/>
    <col min="6128" max="6128" width="56.42578125" style="1906" customWidth="1"/>
    <col min="6129" max="6129" width="10.42578125" style="1906" customWidth="1"/>
    <col min="6130" max="6136" width="10.5703125" style="1906" customWidth="1"/>
    <col min="6137" max="6137" width="9.140625" style="1906"/>
    <col min="6138" max="6138" width="11.42578125" style="1906" bestFit="1" customWidth="1"/>
    <col min="6139" max="6139" width="9.5703125" style="1906" bestFit="1" customWidth="1"/>
    <col min="6140" max="6382" width="9.140625" style="1906"/>
    <col min="6383" max="6383" width="5.42578125" style="1906" customWidth="1"/>
    <col min="6384" max="6384" width="56.42578125" style="1906" customWidth="1"/>
    <col min="6385" max="6385" width="10.42578125" style="1906" customWidth="1"/>
    <col min="6386" max="6392" width="10.5703125" style="1906" customWidth="1"/>
    <col min="6393" max="6393" width="9.140625" style="1906"/>
    <col min="6394" max="6394" width="11.42578125" style="1906" bestFit="1" customWidth="1"/>
    <col min="6395" max="6395" width="9.5703125" style="1906" bestFit="1" customWidth="1"/>
    <col min="6396" max="6638" width="9.140625" style="1906"/>
    <col min="6639" max="6639" width="5.42578125" style="1906" customWidth="1"/>
    <col min="6640" max="6640" width="56.42578125" style="1906" customWidth="1"/>
    <col min="6641" max="6641" width="10.42578125" style="1906" customWidth="1"/>
    <col min="6642" max="6648" width="10.5703125" style="1906" customWidth="1"/>
    <col min="6649" max="6649" width="9.140625" style="1906"/>
    <col min="6650" max="6650" width="11.42578125" style="1906" bestFit="1" customWidth="1"/>
    <col min="6651" max="6651" width="9.5703125" style="1906" bestFit="1" customWidth="1"/>
    <col min="6652" max="6894" width="9.140625" style="1906"/>
    <col min="6895" max="6895" width="5.42578125" style="1906" customWidth="1"/>
    <col min="6896" max="6896" width="56.42578125" style="1906" customWidth="1"/>
    <col min="6897" max="6897" width="10.42578125" style="1906" customWidth="1"/>
    <col min="6898" max="6904" width="10.5703125" style="1906" customWidth="1"/>
    <col min="6905" max="6905" width="9.140625" style="1906"/>
    <col min="6906" max="6906" width="11.42578125" style="1906" bestFit="1" customWidth="1"/>
    <col min="6907" max="6907" width="9.5703125" style="1906" bestFit="1" customWidth="1"/>
    <col min="6908" max="7150" width="9.140625" style="1906"/>
    <col min="7151" max="7151" width="5.42578125" style="1906" customWidth="1"/>
    <col min="7152" max="7152" width="56.42578125" style="1906" customWidth="1"/>
    <col min="7153" max="7153" width="10.42578125" style="1906" customWidth="1"/>
    <col min="7154" max="7160" width="10.5703125" style="1906" customWidth="1"/>
    <col min="7161" max="7161" width="9.140625" style="1906"/>
    <col min="7162" max="7162" width="11.42578125" style="1906" bestFit="1" customWidth="1"/>
    <col min="7163" max="7163" width="9.5703125" style="1906" bestFit="1" customWidth="1"/>
    <col min="7164" max="7406" width="9.140625" style="1906"/>
    <col min="7407" max="7407" width="5.42578125" style="1906" customWidth="1"/>
    <col min="7408" max="7408" width="56.42578125" style="1906" customWidth="1"/>
    <col min="7409" max="7409" width="10.42578125" style="1906" customWidth="1"/>
    <col min="7410" max="7416" width="10.5703125" style="1906" customWidth="1"/>
    <col min="7417" max="7417" width="9.140625" style="1906"/>
    <col min="7418" max="7418" width="11.42578125" style="1906" bestFit="1" customWidth="1"/>
    <col min="7419" max="7419" width="9.5703125" style="1906" bestFit="1" customWidth="1"/>
    <col min="7420" max="7662" width="9.140625" style="1906"/>
    <col min="7663" max="7663" width="5.42578125" style="1906" customWidth="1"/>
    <col min="7664" max="7664" width="56.42578125" style="1906" customWidth="1"/>
    <col min="7665" max="7665" width="10.42578125" style="1906" customWidth="1"/>
    <col min="7666" max="7672" width="10.5703125" style="1906" customWidth="1"/>
    <col min="7673" max="7673" width="9.140625" style="1906"/>
    <col min="7674" max="7674" width="11.42578125" style="1906" bestFit="1" customWidth="1"/>
    <col min="7675" max="7675" width="9.5703125" style="1906" bestFit="1" customWidth="1"/>
    <col min="7676" max="7918" width="9.140625" style="1906"/>
    <col min="7919" max="7919" width="5.42578125" style="1906" customWidth="1"/>
    <col min="7920" max="7920" width="56.42578125" style="1906" customWidth="1"/>
    <col min="7921" max="7921" width="10.42578125" style="1906" customWidth="1"/>
    <col min="7922" max="7928" width="10.5703125" style="1906" customWidth="1"/>
    <col min="7929" max="7929" width="9.140625" style="1906"/>
    <col min="7930" max="7930" width="11.42578125" style="1906" bestFit="1" customWidth="1"/>
    <col min="7931" max="7931" width="9.5703125" style="1906" bestFit="1" customWidth="1"/>
    <col min="7932" max="8174" width="9.140625" style="1906"/>
    <col min="8175" max="8175" width="5.42578125" style="1906" customWidth="1"/>
    <col min="8176" max="8176" width="56.42578125" style="1906" customWidth="1"/>
    <col min="8177" max="8177" width="10.42578125" style="1906" customWidth="1"/>
    <col min="8178" max="8184" width="10.5703125" style="1906" customWidth="1"/>
    <col min="8185" max="8185" width="9.140625" style="1906"/>
    <col min="8186" max="8186" width="11.42578125" style="1906" bestFit="1" customWidth="1"/>
    <col min="8187" max="8187" width="9.5703125" style="1906" bestFit="1" customWidth="1"/>
    <col min="8188" max="8430" width="9.140625" style="1906"/>
    <col min="8431" max="8431" width="5.42578125" style="1906" customWidth="1"/>
    <col min="8432" max="8432" width="56.42578125" style="1906" customWidth="1"/>
    <col min="8433" max="8433" width="10.42578125" style="1906" customWidth="1"/>
    <col min="8434" max="8440" width="10.5703125" style="1906" customWidth="1"/>
    <col min="8441" max="8441" width="9.140625" style="1906"/>
    <col min="8442" max="8442" width="11.42578125" style="1906" bestFit="1" customWidth="1"/>
    <col min="8443" max="8443" width="9.5703125" style="1906" bestFit="1" customWidth="1"/>
    <col min="8444" max="8686" width="9.140625" style="1906"/>
    <col min="8687" max="8687" width="5.42578125" style="1906" customWidth="1"/>
    <col min="8688" max="8688" width="56.42578125" style="1906" customWidth="1"/>
    <col min="8689" max="8689" width="10.42578125" style="1906" customWidth="1"/>
    <col min="8690" max="8696" width="10.5703125" style="1906" customWidth="1"/>
    <col min="8697" max="8697" width="9.140625" style="1906"/>
    <col min="8698" max="8698" width="11.42578125" style="1906" bestFit="1" customWidth="1"/>
    <col min="8699" max="8699" width="9.5703125" style="1906" bestFit="1" customWidth="1"/>
    <col min="8700" max="8942" width="9.140625" style="1906"/>
    <col min="8943" max="8943" width="5.42578125" style="1906" customWidth="1"/>
    <col min="8944" max="8944" width="56.42578125" style="1906" customWidth="1"/>
    <col min="8945" max="8945" width="10.42578125" style="1906" customWidth="1"/>
    <col min="8946" max="8952" width="10.5703125" style="1906" customWidth="1"/>
    <col min="8953" max="8953" width="9.140625" style="1906"/>
    <col min="8954" max="8954" width="11.42578125" style="1906" bestFit="1" customWidth="1"/>
    <col min="8955" max="8955" width="9.5703125" style="1906" bestFit="1" customWidth="1"/>
    <col min="8956" max="9198" width="9.140625" style="1906"/>
    <col min="9199" max="9199" width="5.42578125" style="1906" customWidth="1"/>
    <col min="9200" max="9200" width="56.42578125" style="1906" customWidth="1"/>
    <col min="9201" max="9201" width="10.42578125" style="1906" customWidth="1"/>
    <col min="9202" max="9208" width="10.5703125" style="1906" customWidth="1"/>
    <col min="9209" max="9209" width="9.140625" style="1906"/>
    <col min="9210" max="9210" width="11.42578125" style="1906" bestFit="1" customWidth="1"/>
    <col min="9211" max="9211" width="9.5703125" style="1906" bestFit="1" customWidth="1"/>
    <col min="9212" max="9454" width="9.140625" style="1906"/>
    <col min="9455" max="9455" width="5.42578125" style="1906" customWidth="1"/>
    <col min="9456" max="9456" width="56.42578125" style="1906" customWidth="1"/>
    <col min="9457" max="9457" width="10.42578125" style="1906" customWidth="1"/>
    <col min="9458" max="9464" width="10.5703125" style="1906" customWidth="1"/>
    <col min="9465" max="9465" width="9.140625" style="1906"/>
    <col min="9466" max="9466" width="11.42578125" style="1906" bestFit="1" customWidth="1"/>
    <col min="9467" max="9467" width="9.5703125" style="1906" bestFit="1" customWidth="1"/>
    <col min="9468" max="9710" width="9.140625" style="1906"/>
    <col min="9711" max="9711" width="5.42578125" style="1906" customWidth="1"/>
    <col min="9712" max="9712" width="56.42578125" style="1906" customWidth="1"/>
    <col min="9713" max="9713" width="10.42578125" style="1906" customWidth="1"/>
    <col min="9714" max="9720" width="10.5703125" style="1906" customWidth="1"/>
    <col min="9721" max="9721" width="9.140625" style="1906"/>
    <col min="9722" max="9722" width="11.42578125" style="1906" bestFit="1" customWidth="1"/>
    <col min="9723" max="9723" width="9.5703125" style="1906" bestFit="1" customWidth="1"/>
    <col min="9724" max="9966" width="9.140625" style="1906"/>
    <col min="9967" max="9967" width="5.42578125" style="1906" customWidth="1"/>
    <col min="9968" max="9968" width="56.42578125" style="1906" customWidth="1"/>
    <col min="9969" max="9969" width="10.42578125" style="1906" customWidth="1"/>
    <col min="9970" max="9976" width="10.5703125" style="1906" customWidth="1"/>
    <col min="9977" max="9977" width="9.140625" style="1906"/>
    <col min="9978" max="9978" width="11.42578125" style="1906" bestFit="1" customWidth="1"/>
    <col min="9979" max="9979" width="9.5703125" style="1906" bestFit="1" customWidth="1"/>
    <col min="9980" max="10222" width="9.140625" style="1906"/>
    <col min="10223" max="10223" width="5.42578125" style="1906" customWidth="1"/>
    <col min="10224" max="10224" width="56.42578125" style="1906" customWidth="1"/>
    <col min="10225" max="10225" width="10.42578125" style="1906" customWidth="1"/>
    <col min="10226" max="10232" width="10.5703125" style="1906" customWidth="1"/>
    <col min="10233" max="10233" width="9.140625" style="1906"/>
    <col min="10234" max="10234" width="11.42578125" style="1906" bestFit="1" customWidth="1"/>
    <col min="10235" max="10235" width="9.5703125" style="1906" bestFit="1" customWidth="1"/>
    <col min="10236" max="10478" width="9.140625" style="1906"/>
    <col min="10479" max="10479" width="5.42578125" style="1906" customWidth="1"/>
    <col min="10480" max="10480" width="56.42578125" style="1906" customWidth="1"/>
    <col min="10481" max="10481" width="10.42578125" style="1906" customWidth="1"/>
    <col min="10482" max="10488" width="10.5703125" style="1906" customWidth="1"/>
    <col min="10489" max="10489" width="9.140625" style="1906"/>
    <col min="10490" max="10490" width="11.42578125" style="1906" bestFit="1" customWidth="1"/>
    <col min="10491" max="10491" width="9.5703125" style="1906" bestFit="1" customWidth="1"/>
    <col min="10492" max="10734" width="9.140625" style="1906"/>
    <col min="10735" max="10735" width="5.42578125" style="1906" customWidth="1"/>
    <col min="10736" max="10736" width="56.42578125" style="1906" customWidth="1"/>
    <col min="10737" max="10737" width="10.42578125" style="1906" customWidth="1"/>
    <col min="10738" max="10744" width="10.5703125" style="1906" customWidth="1"/>
    <col min="10745" max="10745" width="9.140625" style="1906"/>
    <col min="10746" max="10746" width="11.42578125" style="1906" bestFit="1" customWidth="1"/>
    <col min="10747" max="10747" width="9.5703125" style="1906" bestFit="1" customWidth="1"/>
    <col min="10748" max="10990" width="9.140625" style="1906"/>
    <col min="10991" max="10991" width="5.42578125" style="1906" customWidth="1"/>
    <col min="10992" max="10992" width="56.42578125" style="1906" customWidth="1"/>
    <col min="10993" max="10993" width="10.42578125" style="1906" customWidth="1"/>
    <col min="10994" max="11000" width="10.5703125" style="1906" customWidth="1"/>
    <col min="11001" max="11001" width="9.140625" style="1906"/>
    <col min="11002" max="11002" width="11.42578125" style="1906" bestFit="1" customWidth="1"/>
    <col min="11003" max="11003" width="9.5703125" style="1906" bestFit="1" customWidth="1"/>
    <col min="11004" max="11246" width="9.140625" style="1906"/>
    <col min="11247" max="11247" width="5.42578125" style="1906" customWidth="1"/>
    <col min="11248" max="11248" width="56.42578125" style="1906" customWidth="1"/>
    <col min="11249" max="11249" width="10.42578125" style="1906" customWidth="1"/>
    <col min="11250" max="11256" width="10.5703125" style="1906" customWidth="1"/>
    <col min="11257" max="11257" width="9.140625" style="1906"/>
    <col min="11258" max="11258" width="11.42578125" style="1906" bestFit="1" customWidth="1"/>
    <col min="11259" max="11259" width="9.5703125" style="1906" bestFit="1" customWidth="1"/>
    <col min="11260" max="11502" width="9.140625" style="1906"/>
    <col min="11503" max="11503" width="5.42578125" style="1906" customWidth="1"/>
    <col min="11504" max="11504" width="56.42578125" style="1906" customWidth="1"/>
    <col min="11505" max="11505" width="10.42578125" style="1906" customWidth="1"/>
    <col min="11506" max="11512" width="10.5703125" style="1906" customWidth="1"/>
    <col min="11513" max="11513" width="9.140625" style="1906"/>
    <col min="11514" max="11514" width="11.42578125" style="1906" bestFit="1" customWidth="1"/>
    <col min="11515" max="11515" width="9.5703125" style="1906" bestFit="1" customWidth="1"/>
    <col min="11516" max="11758" width="9.140625" style="1906"/>
    <col min="11759" max="11759" width="5.42578125" style="1906" customWidth="1"/>
    <col min="11760" max="11760" width="56.42578125" style="1906" customWidth="1"/>
    <col min="11761" max="11761" width="10.42578125" style="1906" customWidth="1"/>
    <col min="11762" max="11768" width="10.5703125" style="1906" customWidth="1"/>
    <col min="11769" max="11769" width="9.140625" style="1906"/>
    <col min="11770" max="11770" width="11.42578125" style="1906" bestFit="1" customWidth="1"/>
    <col min="11771" max="11771" width="9.5703125" style="1906" bestFit="1" customWidth="1"/>
    <col min="11772" max="12014" width="9.140625" style="1906"/>
    <col min="12015" max="12015" width="5.42578125" style="1906" customWidth="1"/>
    <col min="12016" max="12016" width="56.42578125" style="1906" customWidth="1"/>
    <col min="12017" max="12017" width="10.42578125" style="1906" customWidth="1"/>
    <col min="12018" max="12024" width="10.5703125" style="1906" customWidth="1"/>
    <col min="12025" max="12025" width="9.140625" style="1906"/>
    <col min="12026" max="12026" width="11.42578125" style="1906" bestFit="1" customWidth="1"/>
    <col min="12027" max="12027" width="9.5703125" style="1906" bestFit="1" customWidth="1"/>
    <col min="12028" max="12270" width="9.140625" style="1906"/>
    <col min="12271" max="12271" width="5.42578125" style="1906" customWidth="1"/>
    <col min="12272" max="12272" width="56.42578125" style="1906" customWidth="1"/>
    <col min="12273" max="12273" width="10.42578125" style="1906" customWidth="1"/>
    <col min="12274" max="12280" width="10.5703125" style="1906" customWidth="1"/>
    <col min="12281" max="12281" width="9.140625" style="1906"/>
    <col min="12282" max="12282" width="11.42578125" style="1906" bestFit="1" customWidth="1"/>
    <col min="12283" max="12283" width="9.5703125" style="1906" bestFit="1" customWidth="1"/>
    <col min="12284" max="12526" width="9.140625" style="1906"/>
    <col min="12527" max="12527" width="5.42578125" style="1906" customWidth="1"/>
    <col min="12528" max="12528" width="56.42578125" style="1906" customWidth="1"/>
    <col min="12529" max="12529" width="10.42578125" style="1906" customWidth="1"/>
    <col min="12530" max="12536" width="10.5703125" style="1906" customWidth="1"/>
    <col min="12537" max="12537" width="9.140625" style="1906"/>
    <col min="12538" max="12538" width="11.42578125" style="1906" bestFit="1" customWidth="1"/>
    <col min="12539" max="12539" width="9.5703125" style="1906" bestFit="1" customWidth="1"/>
    <col min="12540" max="12782" width="9.140625" style="1906"/>
    <col min="12783" max="12783" width="5.42578125" style="1906" customWidth="1"/>
    <col min="12784" max="12784" width="56.42578125" style="1906" customWidth="1"/>
    <col min="12785" max="12785" width="10.42578125" style="1906" customWidth="1"/>
    <col min="12786" max="12792" width="10.5703125" style="1906" customWidth="1"/>
    <col min="12793" max="12793" width="9.140625" style="1906"/>
    <col min="12794" max="12794" width="11.42578125" style="1906" bestFit="1" customWidth="1"/>
    <col min="12795" max="12795" width="9.5703125" style="1906" bestFit="1" customWidth="1"/>
    <col min="12796" max="13038" width="9.140625" style="1906"/>
    <col min="13039" max="13039" width="5.42578125" style="1906" customWidth="1"/>
    <col min="13040" max="13040" width="56.42578125" style="1906" customWidth="1"/>
    <col min="13041" max="13041" width="10.42578125" style="1906" customWidth="1"/>
    <col min="13042" max="13048" width="10.5703125" style="1906" customWidth="1"/>
    <col min="13049" max="13049" width="9.140625" style="1906"/>
    <col min="13050" max="13050" width="11.42578125" style="1906" bestFit="1" customWidth="1"/>
    <col min="13051" max="13051" width="9.5703125" style="1906" bestFit="1" customWidth="1"/>
    <col min="13052" max="13294" width="9.140625" style="1906"/>
    <col min="13295" max="13295" width="5.42578125" style="1906" customWidth="1"/>
    <col min="13296" max="13296" width="56.42578125" style="1906" customWidth="1"/>
    <col min="13297" max="13297" width="10.42578125" style="1906" customWidth="1"/>
    <col min="13298" max="13304" width="10.5703125" style="1906" customWidth="1"/>
    <col min="13305" max="13305" width="9.140625" style="1906"/>
    <col min="13306" max="13306" width="11.42578125" style="1906" bestFit="1" customWidth="1"/>
    <col min="13307" max="13307" width="9.5703125" style="1906" bestFit="1" customWidth="1"/>
    <col min="13308" max="13550" width="9.140625" style="1906"/>
    <col min="13551" max="13551" width="5.42578125" style="1906" customWidth="1"/>
    <col min="13552" max="13552" width="56.42578125" style="1906" customWidth="1"/>
    <col min="13553" max="13553" width="10.42578125" style="1906" customWidth="1"/>
    <col min="13554" max="13560" width="10.5703125" style="1906" customWidth="1"/>
    <col min="13561" max="13561" width="9.140625" style="1906"/>
    <col min="13562" max="13562" width="11.42578125" style="1906" bestFit="1" customWidth="1"/>
    <col min="13563" max="13563" width="9.5703125" style="1906" bestFit="1" customWidth="1"/>
    <col min="13564" max="13806" width="9.140625" style="1906"/>
    <col min="13807" max="13807" width="5.42578125" style="1906" customWidth="1"/>
    <col min="13808" max="13808" width="56.42578125" style="1906" customWidth="1"/>
    <col min="13809" max="13809" width="10.42578125" style="1906" customWidth="1"/>
    <col min="13810" max="13816" width="10.5703125" style="1906" customWidth="1"/>
    <col min="13817" max="13817" width="9.140625" style="1906"/>
    <col min="13818" max="13818" width="11.42578125" style="1906" bestFit="1" customWidth="1"/>
    <col min="13819" max="13819" width="9.5703125" style="1906" bestFit="1" customWidth="1"/>
    <col min="13820" max="14062" width="9.140625" style="1906"/>
    <col min="14063" max="14063" width="5.42578125" style="1906" customWidth="1"/>
    <col min="14064" max="14064" width="56.42578125" style="1906" customWidth="1"/>
    <col min="14065" max="14065" width="10.42578125" style="1906" customWidth="1"/>
    <col min="14066" max="14072" width="10.5703125" style="1906" customWidth="1"/>
    <col min="14073" max="14073" width="9.140625" style="1906"/>
    <col min="14074" max="14074" width="11.42578125" style="1906" bestFit="1" customWidth="1"/>
    <col min="14075" max="14075" width="9.5703125" style="1906" bestFit="1" customWidth="1"/>
    <col min="14076" max="14318" width="9.140625" style="1906"/>
    <col min="14319" max="14319" width="5.42578125" style="1906" customWidth="1"/>
    <col min="14320" max="14320" width="56.42578125" style="1906" customWidth="1"/>
    <col min="14321" max="14321" width="10.42578125" style="1906" customWidth="1"/>
    <col min="14322" max="14328" width="10.5703125" style="1906" customWidth="1"/>
    <col min="14329" max="14329" width="9.140625" style="1906"/>
    <col min="14330" max="14330" width="11.42578125" style="1906" bestFit="1" customWidth="1"/>
    <col min="14331" max="14331" width="9.5703125" style="1906" bestFit="1" customWidth="1"/>
    <col min="14332" max="14574" width="9.140625" style="1906"/>
    <col min="14575" max="14575" width="5.42578125" style="1906" customWidth="1"/>
    <col min="14576" max="14576" width="56.42578125" style="1906" customWidth="1"/>
    <col min="14577" max="14577" width="10.42578125" style="1906" customWidth="1"/>
    <col min="14578" max="14584" width="10.5703125" style="1906" customWidth="1"/>
    <col min="14585" max="14585" width="9.140625" style="1906"/>
    <col min="14586" max="14586" width="11.42578125" style="1906" bestFit="1" customWidth="1"/>
    <col min="14587" max="14587" width="9.5703125" style="1906" bestFit="1" customWidth="1"/>
    <col min="14588" max="14830" width="9.140625" style="1906"/>
    <col min="14831" max="14831" width="5.42578125" style="1906" customWidth="1"/>
    <col min="14832" max="14832" width="56.42578125" style="1906" customWidth="1"/>
    <col min="14833" max="14833" width="10.42578125" style="1906" customWidth="1"/>
    <col min="14834" max="14840" width="10.5703125" style="1906" customWidth="1"/>
    <col min="14841" max="14841" width="9.140625" style="1906"/>
    <col min="14842" max="14842" width="11.42578125" style="1906" bestFit="1" customWidth="1"/>
    <col min="14843" max="14843" width="9.5703125" style="1906" bestFit="1" customWidth="1"/>
    <col min="14844" max="15086" width="9.140625" style="1906"/>
    <col min="15087" max="15087" width="5.42578125" style="1906" customWidth="1"/>
    <col min="15088" max="15088" width="56.42578125" style="1906" customWidth="1"/>
    <col min="15089" max="15089" width="10.42578125" style="1906" customWidth="1"/>
    <col min="15090" max="15096" width="10.5703125" style="1906" customWidth="1"/>
    <col min="15097" max="15097" width="9.140625" style="1906"/>
    <col min="15098" max="15098" width="11.42578125" style="1906" bestFit="1" customWidth="1"/>
    <col min="15099" max="15099" width="9.5703125" style="1906" bestFit="1" customWidth="1"/>
    <col min="15100" max="15342" width="9.140625" style="1906"/>
    <col min="15343" max="15343" width="5.42578125" style="1906" customWidth="1"/>
    <col min="15344" max="15344" width="56.42578125" style="1906" customWidth="1"/>
    <col min="15345" max="15345" width="10.42578125" style="1906" customWidth="1"/>
    <col min="15346" max="15352" width="10.5703125" style="1906" customWidth="1"/>
    <col min="15353" max="15353" width="9.140625" style="1906"/>
    <col min="15354" max="15354" width="11.42578125" style="1906" bestFit="1" customWidth="1"/>
    <col min="15355" max="15355" width="9.5703125" style="1906" bestFit="1" customWidth="1"/>
    <col min="15356" max="15598" width="9.140625" style="1906"/>
    <col min="15599" max="15599" width="5.42578125" style="1906" customWidth="1"/>
    <col min="15600" max="15600" width="56.42578125" style="1906" customWidth="1"/>
    <col min="15601" max="15601" width="10.42578125" style="1906" customWidth="1"/>
    <col min="15602" max="15608" width="10.5703125" style="1906" customWidth="1"/>
    <col min="15609" max="15609" width="9.140625" style="1906"/>
    <col min="15610" max="15610" width="11.42578125" style="1906" bestFit="1" customWidth="1"/>
    <col min="15611" max="15611" width="9.5703125" style="1906" bestFit="1" customWidth="1"/>
    <col min="15612" max="15854" width="9.140625" style="1906"/>
    <col min="15855" max="15855" width="5.42578125" style="1906" customWidth="1"/>
    <col min="15856" max="15856" width="56.42578125" style="1906" customWidth="1"/>
    <col min="15857" max="15857" width="10.42578125" style="1906" customWidth="1"/>
    <col min="15858" max="15864" width="10.5703125" style="1906" customWidth="1"/>
    <col min="15865" max="15865" width="9.140625" style="1906"/>
    <col min="15866" max="15866" width="11.42578125" style="1906" bestFit="1" customWidth="1"/>
    <col min="15867" max="15867" width="9.5703125" style="1906" bestFit="1" customWidth="1"/>
    <col min="15868" max="16110" width="9.140625" style="1906"/>
    <col min="16111" max="16111" width="5.42578125" style="1906" customWidth="1"/>
    <col min="16112" max="16112" width="56.42578125" style="1906" customWidth="1"/>
    <col min="16113" max="16113" width="10.42578125" style="1906" customWidth="1"/>
    <col min="16114" max="16120" width="10.5703125" style="1906" customWidth="1"/>
    <col min="16121" max="16121" width="9.140625" style="1906"/>
    <col min="16122" max="16122" width="11.42578125" style="1906" bestFit="1" customWidth="1"/>
    <col min="16123" max="16123" width="9.5703125" style="1906" bestFit="1" customWidth="1"/>
    <col min="16124" max="16384" width="9.140625" style="1906"/>
  </cols>
  <sheetData>
    <row r="1" spans="1:25" ht="16.5" thickBot="1">
      <c r="A1" s="4792" t="str">
        <f>+'1. Обща информация'!B40</f>
        <v>Фиксиран курс на лева към 1 евро</v>
      </c>
      <c r="B1" s="4792"/>
      <c r="C1" s="4793">
        <f>+'1. Обща информация'!$C$40</f>
        <v>1.95583</v>
      </c>
      <c r="D1" s="4793"/>
      <c r="E1" s="4428"/>
      <c r="F1" s="4428"/>
      <c r="G1" s="4428"/>
      <c r="H1" s="4428"/>
      <c r="I1" s="4416" t="s">
        <v>0</v>
      </c>
    </row>
    <row r="2" spans="1:25" s="3743" customFormat="1" ht="18.75">
      <c r="A2" s="4974" t="s">
        <v>1380</v>
      </c>
      <c r="B2" s="4974"/>
      <c r="C2" s="4974"/>
      <c r="D2" s="4974"/>
      <c r="E2" s="4974"/>
      <c r="F2" s="4974"/>
      <c r="G2" s="4974"/>
      <c r="H2" s="4974"/>
      <c r="I2" s="4974"/>
    </row>
    <row r="3" spans="1:25" s="3744" customFormat="1" ht="15.75">
      <c r="A3" s="4975" t="s">
        <v>1288</v>
      </c>
      <c r="B3" s="4975"/>
      <c r="C3" s="4975"/>
      <c r="D3" s="4975"/>
      <c r="E3" s="4975"/>
      <c r="F3" s="4975"/>
      <c r="G3" s="4975"/>
      <c r="H3" s="4975"/>
      <c r="I3" s="4975"/>
    </row>
    <row r="4" spans="1:25" s="3744" customFormat="1" ht="15.75">
      <c r="A4" s="4976" t="str">
        <f>'1. Обща информация'!A4</f>
        <v>на ВОДОСНАБДЯВАНЕ И КАНАЛИЗАЦИЯ ЕООД, гр. ХАСКОВО</v>
      </c>
      <c r="B4" s="4976"/>
      <c r="C4" s="4976"/>
      <c r="D4" s="4976"/>
      <c r="E4" s="4976"/>
      <c r="F4" s="4976"/>
      <c r="G4" s="4976"/>
      <c r="H4" s="4976"/>
      <c r="I4" s="4976"/>
      <c r="J4" s="180"/>
      <c r="K4" s="180"/>
      <c r="L4" s="180"/>
      <c r="M4" s="180"/>
      <c r="N4" s="180"/>
      <c r="O4" s="180"/>
      <c r="P4" s="180"/>
      <c r="Q4" s="180"/>
      <c r="R4" s="180"/>
      <c r="S4" s="180"/>
      <c r="T4" s="180"/>
      <c r="U4" s="180"/>
      <c r="V4" s="180"/>
      <c r="W4" s="180"/>
      <c r="X4" s="180"/>
      <c r="Y4" s="180"/>
    </row>
    <row r="5" spans="1:25" s="3744" customFormat="1" ht="15.75">
      <c r="A5" s="4976" t="str">
        <f>'1. Обща информация'!A5</f>
        <v>ЕИК по БУЛСТАТ: 126004284</v>
      </c>
      <c r="B5" s="4976"/>
      <c r="C5" s="4976"/>
      <c r="D5" s="4976"/>
      <c r="E5" s="4976"/>
      <c r="F5" s="4976"/>
      <c r="G5" s="4976"/>
      <c r="H5" s="4976"/>
      <c r="I5" s="4976"/>
      <c r="J5" s="180"/>
      <c r="K5" s="180"/>
      <c r="L5" s="180"/>
      <c r="M5" s="180"/>
      <c r="N5" s="180"/>
      <c r="O5" s="180"/>
      <c r="P5" s="180"/>
      <c r="Q5" s="180"/>
      <c r="R5" s="180"/>
      <c r="S5" s="180"/>
      <c r="T5" s="180"/>
      <c r="U5" s="180"/>
      <c r="V5" s="180"/>
      <c r="W5" s="180"/>
      <c r="X5" s="180"/>
      <c r="Y5" s="180"/>
    </row>
    <row r="6" spans="1:25" s="3744" customFormat="1" ht="16.5" thickBot="1">
      <c r="A6" s="3668"/>
      <c r="B6" s="3668"/>
      <c r="C6" s="3668"/>
      <c r="D6" s="738"/>
      <c r="E6" s="3668"/>
      <c r="F6" s="3668"/>
      <c r="G6" s="3668"/>
      <c r="H6" s="3668"/>
      <c r="I6" s="738"/>
      <c r="J6" s="180"/>
      <c r="K6" s="180"/>
      <c r="L6" s="180"/>
      <c r="M6" s="180"/>
      <c r="N6" s="180"/>
      <c r="O6" s="180"/>
      <c r="P6" s="180"/>
      <c r="Q6" s="180"/>
      <c r="R6" s="180"/>
      <c r="S6" s="180"/>
      <c r="T6" s="180"/>
      <c r="U6" s="180"/>
      <c r="V6" s="180"/>
      <c r="W6" s="180"/>
      <c r="X6" s="180"/>
      <c r="Y6" s="180"/>
    </row>
    <row r="7" spans="1:25" s="3745" customFormat="1" ht="19.5" thickBot="1">
      <c r="A7" s="737" t="s">
        <v>1</v>
      </c>
      <c r="B7" s="1885" t="s">
        <v>87</v>
      </c>
      <c r="C7" s="1885" t="s">
        <v>166</v>
      </c>
      <c r="D7" s="4181" t="str">
        <f>'Приложение '!$C12</f>
        <v>2024 г.</v>
      </c>
      <c r="E7" s="4181" t="str">
        <f>'Приложение '!$C14</f>
        <v>2027 г.</v>
      </c>
      <c r="F7" s="4181" t="str">
        <f>'Приложение '!$C15</f>
        <v>2028 г.</v>
      </c>
      <c r="G7" s="4181" t="str">
        <f>'Приложение '!$C16</f>
        <v>2029 г.</v>
      </c>
      <c r="H7" s="4181" t="str">
        <f>'Приложение '!$C17</f>
        <v>2030 г.</v>
      </c>
      <c r="I7" s="4182" t="str">
        <f>'Приложение '!$C18</f>
        <v>2031 г.</v>
      </c>
      <c r="J7" s="4422"/>
      <c r="K7" s="4424" t="s">
        <v>166</v>
      </c>
      <c r="L7" s="4424" t="str">
        <f>'Приложение '!$C$12</f>
        <v>2024 г.</v>
      </c>
      <c r="M7" s="4424" t="str">
        <f>'Приложение '!$C$14</f>
        <v>2027 г.</v>
      </c>
      <c r="N7" s="4424" t="str">
        <f>'Приложение '!$C$15</f>
        <v>2028 г.</v>
      </c>
      <c r="O7" s="4424" t="str">
        <f>'Приложение '!$C$16</f>
        <v>2029 г.</v>
      </c>
      <c r="P7" s="4424" t="str">
        <f>'Приложение '!$C$17</f>
        <v>2030 г.</v>
      </c>
      <c r="Q7" s="4424" t="str">
        <f>'Приложение '!$C$18</f>
        <v>2031 г.</v>
      </c>
    </row>
    <row r="8" spans="1:25" s="3746" customFormat="1" ht="13.5" thickBot="1">
      <c r="A8" s="172" t="s">
        <v>167</v>
      </c>
      <c r="B8" s="4977" t="s">
        <v>1152</v>
      </c>
      <c r="C8" s="4978"/>
      <c r="D8" s="4978"/>
      <c r="E8" s="4978"/>
      <c r="F8" s="4978"/>
      <c r="G8" s="4978"/>
      <c r="H8" s="4978"/>
      <c r="I8" s="4979"/>
      <c r="J8" s="4422"/>
    </row>
    <row r="9" spans="1:25" s="1897" customFormat="1" ht="13.5" thickBot="1">
      <c r="A9" s="1886" t="s">
        <v>205</v>
      </c>
      <c r="B9" s="1887" t="str">
        <f>"Доставяне на вода на друг ВиК оператор - "&amp;'1. Обща информация'!B33</f>
        <v xml:space="preserve">Доставяне на вода на друг ВиК оператор - </v>
      </c>
      <c r="C9" s="1886"/>
      <c r="D9" s="1888"/>
      <c r="E9" s="1889"/>
      <c r="F9" s="1889"/>
      <c r="G9" s="1889"/>
      <c r="H9" s="1889"/>
      <c r="I9" s="1890"/>
      <c r="J9" s="4422"/>
    </row>
    <row r="10" spans="1:25" s="1897" customFormat="1" ht="15.75">
      <c r="A10" s="3914" t="s">
        <v>463</v>
      </c>
      <c r="B10" s="731" t="s">
        <v>570</v>
      </c>
      <c r="C10" s="362" t="s">
        <v>781</v>
      </c>
      <c r="D10" s="781">
        <f>D11+D12+D13+D14</f>
        <v>0</v>
      </c>
      <c r="E10" s="208">
        <f>E11+E12+E13+E14</f>
        <v>0</v>
      </c>
      <c r="F10" s="208">
        <f>F11+F12+F13+F14</f>
        <v>0</v>
      </c>
      <c r="G10" s="208">
        <f t="shared" ref="G10:I10" si="0">G11+G12+G13+G14</f>
        <v>0</v>
      </c>
      <c r="H10" s="208">
        <f t="shared" si="0"/>
        <v>0</v>
      </c>
      <c r="I10" s="209">
        <f t="shared" si="0"/>
        <v>0</v>
      </c>
      <c r="J10" s="4422"/>
    </row>
    <row r="11" spans="1:25" s="1747" customFormat="1" ht="15.75">
      <c r="A11" s="81" t="s">
        <v>463</v>
      </c>
      <c r="B11" s="1891" t="s">
        <v>906</v>
      </c>
      <c r="C11" s="364" t="s">
        <v>781</v>
      </c>
      <c r="D11" s="782"/>
      <c r="E11" s="203"/>
      <c r="F11" s="203"/>
      <c r="G11" s="203"/>
      <c r="H11" s="203"/>
      <c r="I11" s="204"/>
      <c r="J11" s="4422"/>
    </row>
    <row r="12" spans="1:25" s="1747" customFormat="1" ht="15.75">
      <c r="A12" s="81" t="s">
        <v>465</v>
      </c>
      <c r="B12" s="732" t="s">
        <v>907</v>
      </c>
      <c r="C12" s="364" t="s">
        <v>781</v>
      </c>
      <c r="D12" s="782"/>
      <c r="E12" s="203"/>
      <c r="F12" s="203"/>
      <c r="G12" s="203"/>
      <c r="H12" s="203"/>
      <c r="I12" s="204"/>
      <c r="J12" s="4422"/>
    </row>
    <row r="13" spans="1:25" s="1747" customFormat="1" ht="15.75">
      <c r="A13" s="81" t="s">
        <v>466</v>
      </c>
      <c r="B13" s="732" t="s">
        <v>908</v>
      </c>
      <c r="C13" s="364" t="s">
        <v>781</v>
      </c>
      <c r="D13" s="782"/>
      <c r="E13" s="203"/>
      <c r="F13" s="203"/>
      <c r="G13" s="203"/>
      <c r="H13" s="203"/>
      <c r="I13" s="204"/>
      <c r="J13" s="4422"/>
    </row>
    <row r="14" spans="1:25" s="1747" customFormat="1" ht="26.25" thickBot="1">
      <c r="A14" s="733" t="s">
        <v>468</v>
      </c>
      <c r="B14" s="3747" t="s">
        <v>909</v>
      </c>
      <c r="C14" s="734" t="s">
        <v>781</v>
      </c>
      <c r="D14" s="783"/>
      <c r="E14" s="784"/>
      <c r="F14" s="784"/>
      <c r="G14" s="784"/>
      <c r="H14" s="784"/>
      <c r="I14" s="785"/>
      <c r="J14" s="4422"/>
    </row>
    <row r="15" spans="1:25" s="1897" customFormat="1" ht="15.75">
      <c r="A15" s="4878" t="s">
        <v>477</v>
      </c>
      <c r="B15" s="4880" t="s">
        <v>572</v>
      </c>
      <c r="C15" s="367" t="s">
        <v>781</v>
      </c>
      <c r="D15" s="1911"/>
      <c r="E15" s="1912"/>
      <c r="F15" s="1912"/>
      <c r="G15" s="1912"/>
      <c r="H15" s="1912"/>
      <c r="I15" s="1913"/>
      <c r="J15" s="4422"/>
    </row>
    <row r="16" spans="1:25" s="1897" customFormat="1" ht="13.5" thickBot="1">
      <c r="A16" s="4879"/>
      <c r="B16" s="4881"/>
      <c r="C16" s="364" t="s">
        <v>170</v>
      </c>
      <c r="D16" s="786">
        <f>IFERROR(D15/D10,0)</f>
        <v>0</v>
      </c>
      <c r="E16" s="222">
        <f t="shared" ref="E16:I16" si="1">IFERROR(E15/E10,0)</f>
        <v>0</v>
      </c>
      <c r="F16" s="222">
        <f t="shared" si="1"/>
        <v>0</v>
      </c>
      <c r="G16" s="222">
        <f t="shared" si="1"/>
        <v>0</v>
      </c>
      <c r="H16" s="222">
        <f t="shared" si="1"/>
        <v>0</v>
      </c>
      <c r="I16" s="223">
        <f t="shared" si="1"/>
        <v>0</v>
      </c>
      <c r="J16" s="4422"/>
    </row>
    <row r="17" spans="1:10" s="1897" customFormat="1" ht="15.75">
      <c r="A17" s="4972" t="s">
        <v>479</v>
      </c>
      <c r="B17" s="4973" t="s">
        <v>688</v>
      </c>
      <c r="C17" s="556" t="s">
        <v>781</v>
      </c>
      <c r="D17" s="1914"/>
      <c r="E17" s="1915"/>
      <c r="F17" s="1915"/>
      <c r="G17" s="1915"/>
      <c r="H17" s="1915"/>
      <c r="I17" s="1916"/>
      <c r="J17" s="4422"/>
    </row>
    <row r="18" spans="1:10" s="1897" customFormat="1" ht="13.5" thickBot="1">
      <c r="A18" s="4841"/>
      <c r="B18" s="4843"/>
      <c r="C18" s="536" t="s">
        <v>170</v>
      </c>
      <c r="D18" s="902">
        <f t="shared" ref="D18:I18" si="2">IFERROR(D17/D10,0)</f>
        <v>0</v>
      </c>
      <c r="E18" s="903">
        <f t="shared" si="2"/>
        <v>0</v>
      </c>
      <c r="F18" s="903">
        <f t="shared" si="2"/>
        <v>0</v>
      </c>
      <c r="G18" s="903">
        <f t="shared" si="2"/>
        <v>0</v>
      </c>
      <c r="H18" s="903">
        <f t="shared" si="2"/>
        <v>0</v>
      </c>
      <c r="I18" s="904">
        <f t="shared" si="2"/>
        <v>0</v>
      </c>
      <c r="J18" s="4422"/>
    </row>
    <row r="19" spans="1:10" s="1897" customFormat="1" ht="15.75">
      <c r="A19" s="4834" t="s">
        <v>219</v>
      </c>
      <c r="B19" s="4844" t="s">
        <v>689</v>
      </c>
      <c r="C19" s="512" t="s">
        <v>781</v>
      </c>
      <c r="D19" s="522">
        <f>D21+D23</f>
        <v>0</v>
      </c>
      <c r="E19" s="523">
        <f t="shared" ref="E19:I19" si="3">E21+E23</f>
        <v>0</v>
      </c>
      <c r="F19" s="523">
        <f t="shared" si="3"/>
        <v>0</v>
      </c>
      <c r="G19" s="523">
        <f t="shared" si="3"/>
        <v>0</v>
      </c>
      <c r="H19" s="523">
        <f t="shared" si="3"/>
        <v>0</v>
      </c>
      <c r="I19" s="524">
        <f t="shared" si="3"/>
        <v>0</v>
      </c>
      <c r="J19" s="4422"/>
    </row>
    <row r="20" spans="1:10" s="1897" customFormat="1" ht="13.5" thickBot="1">
      <c r="A20" s="4836"/>
      <c r="B20" s="4845"/>
      <c r="C20" s="560" t="s">
        <v>170</v>
      </c>
      <c r="D20" s="899">
        <f t="shared" ref="D20:I20" si="4">IFERROR(D19/D10,0)</f>
        <v>0</v>
      </c>
      <c r="E20" s="745">
        <f t="shared" si="4"/>
        <v>0</v>
      </c>
      <c r="F20" s="745">
        <f t="shared" si="4"/>
        <v>0</v>
      </c>
      <c r="G20" s="745">
        <f t="shared" si="4"/>
        <v>0</v>
      </c>
      <c r="H20" s="745">
        <f t="shared" si="4"/>
        <v>0</v>
      </c>
      <c r="I20" s="900">
        <f t="shared" si="4"/>
        <v>0</v>
      </c>
      <c r="J20" s="4422"/>
    </row>
    <row r="21" spans="1:10" s="1897" customFormat="1" ht="15.75">
      <c r="A21" s="4846" t="s">
        <v>171</v>
      </c>
      <c r="B21" s="4958" t="s">
        <v>580</v>
      </c>
      <c r="C21" s="556" t="s">
        <v>781</v>
      </c>
      <c r="D21" s="1914"/>
      <c r="E21" s="1915"/>
      <c r="F21" s="1915"/>
      <c r="G21" s="1915"/>
      <c r="H21" s="1915"/>
      <c r="I21" s="1916"/>
      <c r="J21" s="4422"/>
    </row>
    <row r="22" spans="1:10" s="1897" customFormat="1" ht="12.75">
      <c r="A22" s="4831"/>
      <c r="B22" s="4848"/>
      <c r="C22" s="901" t="s">
        <v>170</v>
      </c>
      <c r="D22" s="549">
        <f t="shared" ref="D22:I22" si="5">IFERROR(D21/D10,0)</f>
        <v>0</v>
      </c>
      <c r="E22" s="550">
        <f t="shared" si="5"/>
        <v>0</v>
      </c>
      <c r="F22" s="550">
        <f t="shared" si="5"/>
        <v>0</v>
      </c>
      <c r="G22" s="550">
        <f t="shared" si="5"/>
        <v>0</v>
      </c>
      <c r="H22" s="550">
        <f t="shared" si="5"/>
        <v>0</v>
      </c>
      <c r="I22" s="551">
        <f t="shared" si="5"/>
        <v>0</v>
      </c>
      <c r="J22" s="4422"/>
    </row>
    <row r="23" spans="1:10" s="1897" customFormat="1" ht="15.75">
      <c r="A23" s="4830" t="s">
        <v>172</v>
      </c>
      <c r="B23" s="4832" t="s">
        <v>585</v>
      </c>
      <c r="C23" s="517" t="s">
        <v>781</v>
      </c>
      <c r="D23" s="1917"/>
      <c r="E23" s="1918"/>
      <c r="F23" s="1918"/>
      <c r="G23" s="1918"/>
      <c r="H23" s="1918"/>
      <c r="I23" s="1919"/>
      <c r="J23" s="4422"/>
    </row>
    <row r="24" spans="1:10" s="1897" customFormat="1" ht="13.5" thickBot="1">
      <c r="A24" s="4959"/>
      <c r="B24" s="4960"/>
      <c r="C24" s="536" t="s">
        <v>170</v>
      </c>
      <c r="D24" s="905">
        <f t="shared" ref="D24:I24" si="6">IFERROR(D23/D10,0)</f>
        <v>0</v>
      </c>
      <c r="E24" s="906">
        <f t="shared" si="6"/>
        <v>0</v>
      </c>
      <c r="F24" s="906">
        <f t="shared" si="6"/>
        <v>0</v>
      </c>
      <c r="G24" s="906">
        <f t="shared" si="6"/>
        <v>0</v>
      </c>
      <c r="H24" s="906">
        <f t="shared" si="6"/>
        <v>0</v>
      </c>
      <c r="I24" s="907">
        <f t="shared" si="6"/>
        <v>0</v>
      </c>
      <c r="J24" s="4422"/>
    </row>
    <row r="25" spans="1:10" s="1897" customFormat="1" ht="15.75">
      <c r="A25" s="4980" t="s">
        <v>221</v>
      </c>
      <c r="B25" s="4983" t="s">
        <v>594</v>
      </c>
      <c r="C25" s="362" t="s">
        <v>781</v>
      </c>
      <c r="D25" s="787">
        <f>D19+D17</f>
        <v>0</v>
      </c>
      <c r="E25" s="225">
        <f t="shared" ref="E25:I25" si="7">E19+E17</f>
        <v>0</v>
      </c>
      <c r="F25" s="225">
        <f t="shared" si="7"/>
        <v>0</v>
      </c>
      <c r="G25" s="225">
        <f t="shared" si="7"/>
        <v>0</v>
      </c>
      <c r="H25" s="225">
        <f t="shared" si="7"/>
        <v>0</v>
      </c>
      <c r="I25" s="226">
        <f t="shared" si="7"/>
        <v>0</v>
      </c>
      <c r="J25" s="4422"/>
    </row>
    <row r="26" spans="1:10" s="1897" customFormat="1" ht="12.75">
      <c r="A26" s="4981"/>
      <c r="B26" s="4984"/>
      <c r="C26" s="369" t="s">
        <v>170</v>
      </c>
      <c r="D26" s="3748">
        <f t="shared" ref="D26:I26" si="8">IFERROR(D25/D10,0)</f>
        <v>0</v>
      </c>
      <c r="E26" s="3749">
        <f t="shared" si="8"/>
        <v>0</v>
      </c>
      <c r="F26" s="3749">
        <f t="shared" si="8"/>
        <v>0</v>
      </c>
      <c r="G26" s="3749">
        <f t="shared" si="8"/>
        <v>0</v>
      </c>
      <c r="H26" s="3749">
        <f t="shared" si="8"/>
        <v>0</v>
      </c>
      <c r="I26" s="3750">
        <f t="shared" si="8"/>
        <v>0</v>
      </c>
      <c r="J26" s="4422"/>
    </row>
    <row r="27" spans="1:10" s="1897" customFormat="1" ht="13.5" thickBot="1">
      <c r="A27" s="4982"/>
      <c r="B27" s="4985"/>
      <c r="C27" s="370" t="s">
        <v>725</v>
      </c>
      <c r="D27" s="788">
        <f t="shared" ref="D27:I27" si="9">D10-D15-D25</f>
        <v>0</v>
      </c>
      <c r="E27" s="789">
        <f t="shared" si="9"/>
        <v>0</v>
      </c>
      <c r="F27" s="789">
        <f t="shared" si="9"/>
        <v>0</v>
      </c>
      <c r="G27" s="789">
        <f t="shared" si="9"/>
        <v>0</v>
      </c>
      <c r="H27" s="789">
        <f t="shared" si="9"/>
        <v>0</v>
      </c>
      <c r="I27" s="790">
        <f t="shared" si="9"/>
        <v>0</v>
      </c>
      <c r="J27" s="4422"/>
    </row>
    <row r="28" spans="1:10" s="1897" customFormat="1" ht="13.5" thickBot="1">
      <c r="A28" s="1886" t="s">
        <v>1153</v>
      </c>
      <c r="B28" s="1887" t="str">
        <f>"Доставяне на вода на друг ВиК оператор - "&amp;'1. Обща информация'!B34</f>
        <v xml:space="preserve">Доставяне на вода на друг ВиК оператор - </v>
      </c>
      <c r="C28" s="1886"/>
      <c r="D28" s="1892"/>
      <c r="E28" s="1893"/>
      <c r="F28" s="1893"/>
      <c r="G28" s="1893"/>
      <c r="H28" s="1893"/>
      <c r="I28" s="1894"/>
      <c r="J28" s="4422"/>
    </row>
    <row r="29" spans="1:10" s="1897" customFormat="1" ht="15.75">
      <c r="A29" s="3914" t="s">
        <v>205</v>
      </c>
      <c r="B29" s="731" t="s">
        <v>570</v>
      </c>
      <c r="C29" s="362" t="s">
        <v>781</v>
      </c>
      <c r="D29" s="781">
        <f>D30+D31+D32+D33</f>
        <v>0</v>
      </c>
      <c r="E29" s="208">
        <f>E30+E31+E32+E33</f>
        <v>0</v>
      </c>
      <c r="F29" s="208">
        <f>F30+F31+F32+F33</f>
        <v>0</v>
      </c>
      <c r="G29" s="208">
        <f t="shared" ref="G29:I29" si="10">G30+G31+G32+G33</f>
        <v>0</v>
      </c>
      <c r="H29" s="208">
        <f t="shared" si="10"/>
        <v>0</v>
      </c>
      <c r="I29" s="209">
        <f t="shared" si="10"/>
        <v>0</v>
      </c>
      <c r="J29" s="4422"/>
    </row>
    <row r="30" spans="1:10" s="1747" customFormat="1" ht="15.75">
      <c r="A30" s="81" t="s">
        <v>463</v>
      </c>
      <c r="B30" s="1891" t="s">
        <v>906</v>
      </c>
      <c r="C30" s="364" t="s">
        <v>781</v>
      </c>
      <c r="D30" s="782"/>
      <c r="E30" s="203"/>
      <c r="F30" s="203"/>
      <c r="G30" s="203"/>
      <c r="H30" s="203"/>
      <c r="I30" s="204"/>
      <c r="J30" s="4422"/>
    </row>
    <row r="31" spans="1:10" s="1747" customFormat="1" ht="15.75">
      <c r="A31" s="81" t="s">
        <v>465</v>
      </c>
      <c r="B31" s="732" t="s">
        <v>907</v>
      </c>
      <c r="C31" s="364" t="s">
        <v>781</v>
      </c>
      <c r="D31" s="782"/>
      <c r="E31" s="203"/>
      <c r="F31" s="203"/>
      <c r="G31" s="203"/>
      <c r="H31" s="203"/>
      <c r="I31" s="204"/>
      <c r="J31" s="4422"/>
    </row>
    <row r="32" spans="1:10" s="1747" customFormat="1" ht="15.75">
      <c r="A32" s="81" t="s">
        <v>466</v>
      </c>
      <c r="B32" s="732" t="s">
        <v>908</v>
      </c>
      <c r="C32" s="364" t="s">
        <v>781</v>
      </c>
      <c r="D32" s="782"/>
      <c r="E32" s="203"/>
      <c r="F32" s="203"/>
      <c r="G32" s="203"/>
      <c r="H32" s="203"/>
      <c r="I32" s="204"/>
      <c r="J32" s="4422"/>
    </row>
    <row r="33" spans="1:10" s="1747" customFormat="1" ht="26.25" thickBot="1">
      <c r="A33" s="733" t="s">
        <v>468</v>
      </c>
      <c r="B33" s="3747" t="s">
        <v>909</v>
      </c>
      <c r="C33" s="734" t="s">
        <v>781</v>
      </c>
      <c r="D33" s="783"/>
      <c r="E33" s="784"/>
      <c r="F33" s="784"/>
      <c r="G33" s="784"/>
      <c r="H33" s="784"/>
      <c r="I33" s="785"/>
      <c r="J33" s="4422"/>
    </row>
    <row r="34" spans="1:10" s="1897" customFormat="1" ht="15.75">
      <c r="A34" s="4878" t="s">
        <v>477</v>
      </c>
      <c r="B34" s="4880" t="s">
        <v>572</v>
      </c>
      <c r="C34" s="367" t="s">
        <v>781</v>
      </c>
      <c r="D34" s="1911"/>
      <c r="E34" s="1912"/>
      <c r="F34" s="1912"/>
      <c r="G34" s="1912"/>
      <c r="H34" s="1912"/>
      <c r="I34" s="1913"/>
      <c r="J34" s="4422"/>
    </row>
    <row r="35" spans="1:10" s="1897" customFormat="1" ht="13.5" thickBot="1">
      <c r="A35" s="4879"/>
      <c r="B35" s="4881"/>
      <c r="C35" s="364" t="s">
        <v>170</v>
      </c>
      <c r="D35" s="786">
        <f>IFERROR(D34/D29,0)</f>
        <v>0</v>
      </c>
      <c r="E35" s="222">
        <f t="shared" ref="E35:I35" si="11">IFERROR(E34/E29,0)</f>
        <v>0</v>
      </c>
      <c r="F35" s="222">
        <f t="shared" si="11"/>
        <v>0</v>
      </c>
      <c r="G35" s="222">
        <f t="shared" si="11"/>
        <v>0</v>
      </c>
      <c r="H35" s="222">
        <f t="shared" si="11"/>
        <v>0</v>
      </c>
      <c r="I35" s="223">
        <f t="shared" si="11"/>
        <v>0</v>
      </c>
      <c r="J35" s="4422"/>
    </row>
    <row r="36" spans="1:10" s="1897" customFormat="1" ht="15.75">
      <c r="A36" s="4972" t="s">
        <v>479</v>
      </c>
      <c r="B36" s="4973" t="s">
        <v>688</v>
      </c>
      <c r="C36" s="556" t="s">
        <v>781</v>
      </c>
      <c r="D36" s="1914"/>
      <c r="E36" s="1915"/>
      <c r="F36" s="1915"/>
      <c r="G36" s="1915"/>
      <c r="H36" s="1915"/>
      <c r="I36" s="1916"/>
      <c r="J36" s="4422"/>
    </row>
    <row r="37" spans="1:10" s="1897" customFormat="1" ht="13.5" thickBot="1">
      <c r="A37" s="4841"/>
      <c r="B37" s="4843"/>
      <c r="C37" s="536" t="s">
        <v>170</v>
      </c>
      <c r="D37" s="902">
        <f t="shared" ref="D37:I37" si="12">IFERROR(D36/D29,0)</f>
        <v>0</v>
      </c>
      <c r="E37" s="903">
        <f t="shared" si="12"/>
        <v>0</v>
      </c>
      <c r="F37" s="903">
        <f t="shared" si="12"/>
        <v>0</v>
      </c>
      <c r="G37" s="903">
        <f t="shared" si="12"/>
        <v>0</v>
      </c>
      <c r="H37" s="903">
        <f t="shared" si="12"/>
        <v>0</v>
      </c>
      <c r="I37" s="904">
        <f t="shared" si="12"/>
        <v>0</v>
      </c>
      <c r="J37" s="4422"/>
    </row>
    <row r="38" spans="1:10" s="1897" customFormat="1" ht="15.75">
      <c r="A38" s="4834" t="s">
        <v>219</v>
      </c>
      <c r="B38" s="4844" t="s">
        <v>689</v>
      </c>
      <c r="C38" s="512" t="s">
        <v>781</v>
      </c>
      <c r="D38" s="522">
        <f>D40+D42</f>
        <v>0</v>
      </c>
      <c r="E38" s="523">
        <f t="shared" ref="E38:I38" si="13">E40+E42</f>
        <v>0</v>
      </c>
      <c r="F38" s="523">
        <f t="shared" si="13"/>
        <v>0</v>
      </c>
      <c r="G38" s="523">
        <f t="shared" si="13"/>
        <v>0</v>
      </c>
      <c r="H38" s="523">
        <f t="shared" si="13"/>
        <v>0</v>
      </c>
      <c r="I38" s="524">
        <f t="shared" si="13"/>
        <v>0</v>
      </c>
      <c r="J38" s="4422"/>
    </row>
    <row r="39" spans="1:10" s="1897" customFormat="1" ht="13.5" thickBot="1">
      <c r="A39" s="4836"/>
      <c r="B39" s="4845"/>
      <c r="C39" s="560" t="s">
        <v>170</v>
      </c>
      <c r="D39" s="899">
        <f t="shared" ref="D39:I39" si="14">IFERROR(D38/D29,0)</f>
        <v>0</v>
      </c>
      <c r="E39" s="745">
        <f t="shared" si="14"/>
        <v>0</v>
      </c>
      <c r="F39" s="745">
        <f t="shared" si="14"/>
        <v>0</v>
      </c>
      <c r="G39" s="745">
        <f t="shared" si="14"/>
        <v>0</v>
      </c>
      <c r="H39" s="745">
        <f t="shared" si="14"/>
        <v>0</v>
      </c>
      <c r="I39" s="900">
        <f t="shared" si="14"/>
        <v>0</v>
      </c>
      <c r="J39" s="4422"/>
    </row>
    <row r="40" spans="1:10" s="1897" customFormat="1" ht="15.75">
      <c r="A40" s="4846" t="s">
        <v>263</v>
      </c>
      <c r="B40" s="4958" t="s">
        <v>580</v>
      </c>
      <c r="C40" s="556" t="s">
        <v>781</v>
      </c>
      <c r="D40" s="1914"/>
      <c r="E40" s="1915"/>
      <c r="F40" s="1915"/>
      <c r="G40" s="1915"/>
      <c r="H40" s="1915"/>
      <c r="I40" s="1916"/>
      <c r="J40" s="4422"/>
    </row>
    <row r="41" spans="1:10" s="1897" customFormat="1" ht="12.75">
      <c r="A41" s="4831"/>
      <c r="B41" s="4848"/>
      <c r="C41" s="901" t="s">
        <v>170</v>
      </c>
      <c r="D41" s="549">
        <f t="shared" ref="D41:I41" si="15">IFERROR(D40/D29,0)</f>
        <v>0</v>
      </c>
      <c r="E41" s="550">
        <f t="shared" si="15"/>
        <v>0</v>
      </c>
      <c r="F41" s="550">
        <f t="shared" si="15"/>
        <v>0</v>
      </c>
      <c r="G41" s="550">
        <f t="shared" si="15"/>
        <v>0</v>
      </c>
      <c r="H41" s="550">
        <f t="shared" si="15"/>
        <v>0</v>
      </c>
      <c r="I41" s="551">
        <f t="shared" si="15"/>
        <v>0</v>
      </c>
      <c r="J41" s="4422"/>
    </row>
    <row r="42" spans="1:10" s="1897" customFormat="1" ht="15.75">
      <c r="A42" s="4830" t="s">
        <v>264</v>
      </c>
      <c r="B42" s="4832" t="s">
        <v>585</v>
      </c>
      <c r="C42" s="517" t="s">
        <v>781</v>
      </c>
      <c r="D42" s="1917"/>
      <c r="E42" s="1918"/>
      <c r="F42" s="1918"/>
      <c r="G42" s="1918"/>
      <c r="H42" s="1918"/>
      <c r="I42" s="1919"/>
      <c r="J42" s="4422"/>
    </row>
    <row r="43" spans="1:10" s="1897" customFormat="1" ht="13.5" thickBot="1">
      <c r="A43" s="4959"/>
      <c r="B43" s="4960"/>
      <c r="C43" s="536" t="s">
        <v>170</v>
      </c>
      <c r="D43" s="905">
        <f t="shared" ref="D43:I43" si="16">IFERROR(D42/D29,0)</f>
        <v>0</v>
      </c>
      <c r="E43" s="906">
        <f t="shared" si="16"/>
        <v>0</v>
      </c>
      <c r="F43" s="906">
        <f t="shared" si="16"/>
        <v>0</v>
      </c>
      <c r="G43" s="906">
        <f t="shared" si="16"/>
        <v>0</v>
      </c>
      <c r="H43" s="906">
        <f t="shared" si="16"/>
        <v>0</v>
      </c>
      <c r="I43" s="907">
        <f t="shared" si="16"/>
        <v>0</v>
      </c>
      <c r="J43" s="4422"/>
    </row>
    <row r="44" spans="1:10" s="1897" customFormat="1" ht="15.75">
      <c r="A44" s="4980" t="s">
        <v>221</v>
      </c>
      <c r="B44" s="4983" t="s">
        <v>594</v>
      </c>
      <c r="C44" s="362" t="s">
        <v>781</v>
      </c>
      <c r="D44" s="787">
        <f>D38+D36</f>
        <v>0</v>
      </c>
      <c r="E44" s="225">
        <f t="shared" ref="E44:I44" si="17">E38+E36</f>
        <v>0</v>
      </c>
      <c r="F44" s="225">
        <f t="shared" si="17"/>
        <v>0</v>
      </c>
      <c r="G44" s="225">
        <f t="shared" si="17"/>
        <v>0</v>
      </c>
      <c r="H44" s="225">
        <f t="shared" si="17"/>
        <v>0</v>
      </c>
      <c r="I44" s="226">
        <f t="shared" si="17"/>
        <v>0</v>
      </c>
      <c r="J44" s="4422"/>
    </row>
    <row r="45" spans="1:10" s="1897" customFormat="1" ht="12.75">
      <c r="A45" s="4981"/>
      <c r="B45" s="4984"/>
      <c r="C45" s="369" t="s">
        <v>170</v>
      </c>
      <c r="D45" s="3748">
        <f t="shared" ref="D45:I45" si="18">IFERROR(D44/D29,0)</f>
        <v>0</v>
      </c>
      <c r="E45" s="3749">
        <f t="shared" si="18"/>
        <v>0</v>
      </c>
      <c r="F45" s="3749">
        <f t="shared" si="18"/>
        <v>0</v>
      </c>
      <c r="G45" s="3749">
        <f t="shared" si="18"/>
        <v>0</v>
      </c>
      <c r="H45" s="3749">
        <f t="shared" si="18"/>
        <v>0</v>
      </c>
      <c r="I45" s="3750">
        <f t="shared" si="18"/>
        <v>0</v>
      </c>
      <c r="J45" s="4422"/>
    </row>
    <row r="46" spans="1:10" s="1897" customFormat="1" ht="13.5" thickBot="1">
      <c r="A46" s="4982"/>
      <c r="B46" s="4985"/>
      <c r="C46" s="370" t="s">
        <v>725</v>
      </c>
      <c r="D46" s="788">
        <f t="shared" ref="D46:I46" si="19">D29-D34-D44</f>
        <v>0</v>
      </c>
      <c r="E46" s="789">
        <f t="shared" si="19"/>
        <v>0</v>
      </c>
      <c r="F46" s="789">
        <f t="shared" si="19"/>
        <v>0</v>
      </c>
      <c r="G46" s="789">
        <f t="shared" si="19"/>
        <v>0</v>
      </c>
      <c r="H46" s="789">
        <f t="shared" si="19"/>
        <v>0</v>
      </c>
      <c r="I46" s="790">
        <f t="shared" si="19"/>
        <v>0</v>
      </c>
      <c r="J46" s="4422"/>
    </row>
    <row r="47" spans="1:10" s="1897" customFormat="1" ht="13.5" thickBot="1">
      <c r="A47" s="1886" t="s">
        <v>1287</v>
      </c>
      <c r="B47" s="1887" t="str">
        <f>"Доставяне на вода на друг ВиК оператор - "&amp;'1. Обща информация'!B35</f>
        <v xml:space="preserve">Доставяне на вода на друг ВиК оператор - </v>
      </c>
      <c r="C47" s="1886"/>
      <c r="D47" s="1892"/>
      <c r="E47" s="1893"/>
      <c r="F47" s="1893"/>
      <c r="G47" s="1893"/>
      <c r="H47" s="1893"/>
      <c r="I47" s="1894"/>
      <c r="J47" s="4422"/>
    </row>
    <row r="48" spans="1:10" s="1897" customFormat="1" ht="15.75">
      <c r="A48" s="3914" t="s">
        <v>205</v>
      </c>
      <c r="B48" s="731" t="s">
        <v>570</v>
      </c>
      <c r="C48" s="362" t="s">
        <v>781</v>
      </c>
      <c r="D48" s="781">
        <f>D49+D50+D51+D52</f>
        <v>0</v>
      </c>
      <c r="E48" s="208">
        <f>E49+E50+E51+E52</f>
        <v>0</v>
      </c>
      <c r="F48" s="208">
        <f>F49+F50+F51+F52</f>
        <v>0</v>
      </c>
      <c r="G48" s="208">
        <f t="shared" ref="G48:I48" si="20">G49+G50+G51+G52</f>
        <v>0</v>
      </c>
      <c r="H48" s="208">
        <f t="shared" si="20"/>
        <v>0</v>
      </c>
      <c r="I48" s="209">
        <f t="shared" si="20"/>
        <v>0</v>
      </c>
      <c r="J48" s="4422"/>
    </row>
    <row r="49" spans="1:10" s="1747" customFormat="1" ht="15.75">
      <c r="A49" s="81" t="s">
        <v>463</v>
      </c>
      <c r="B49" s="1891" t="s">
        <v>906</v>
      </c>
      <c r="C49" s="364" t="s">
        <v>781</v>
      </c>
      <c r="D49" s="782"/>
      <c r="E49" s="203"/>
      <c r="F49" s="203"/>
      <c r="G49" s="203"/>
      <c r="H49" s="203"/>
      <c r="I49" s="204"/>
      <c r="J49" s="4422"/>
    </row>
    <row r="50" spans="1:10" s="1747" customFormat="1" ht="15.75">
      <c r="A50" s="81" t="s">
        <v>465</v>
      </c>
      <c r="B50" s="732" t="s">
        <v>907</v>
      </c>
      <c r="C50" s="364" t="s">
        <v>781</v>
      </c>
      <c r="D50" s="782"/>
      <c r="E50" s="203"/>
      <c r="F50" s="203"/>
      <c r="G50" s="203"/>
      <c r="H50" s="203"/>
      <c r="I50" s="204"/>
      <c r="J50" s="4422"/>
    </row>
    <row r="51" spans="1:10" s="1747" customFormat="1" ht="15.75">
      <c r="A51" s="81" t="s">
        <v>466</v>
      </c>
      <c r="B51" s="732" t="s">
        <v>908</v>
      </c>
      <c r="C51" s="364" t="s">
        <v>781</v>
      </c>
      <c r="D51" s="782"/>
      <c r="E51" s="203"/>
      <c r="F51" s="203"/>
      <c r="G51" s="203"/>
      <c r="H51" s="203"/>
      <c r="I51" s="204"/>
      <c r="J51" s="4422"/>
    </row>
    <row r="52" spans="1:10" s="1747" customFormat="1" ht="26.25" thickBot="1">
      <c r="A52" s="733" t="s">
        <v>468</v>
      </c>
      <c r="B52" s="3747" t="s">
        <v>909</v>
      </c>
      <c r="C52" s="734" t="s">
        <v>781</v>
      </c>
      <c r="D52" s="783"/>
      <c r="E52" s="203"/>
      <c r="F52" s="203"/>
      <c r="G52" s="203"/>
      <c r="H52" s="203"/>
      <c r="I52" s="204"/>
      <c r="J52" s="4422"/>
    </row>
    <row r="53" spans="1:10" s="1897" customFormat="1" ht="15.75">
      <c r="A53" s="4878" t="s">
        <v>206</v>
      </c>
      <c r="B53" s="4880" t="s">
        <v>572</v>
      </c>
      <c r="C53" s="367" t="s">
        <v>781</v>
      </c>
      <c r="D53" s="1911"/>
      <c r="E53" s="1912"/>
      <c r="F53" s="1912"/>
      <c r="G53" s="1912"/>
      <c r="H53" s="1912"/>
      <c r="I53" s="1913"/>
      <c r="J53" s="4422"/>
    </row>
    <row r="54" spans="1:10" s="1897" customFormat="1" ht="13.5" thickBot="1">
      <c r="A54" s="4879"/>
      <c r="B54" s="4881"/>
      <c r="C54" s="364" t="s">
        <v>170</v>
      </c>
      <c r="D54" s="786">
        <f>IFERROR(D53/D48,0)</f>
        <v>0</v>
      </c>
      <c r="E54" s="222">
        <f t="shared" ref="E54:I54" si="21">IFERROR(E53/E48,0)</f>
        <v>0</v>
      </c>
      <c r="F54" s="222">
        <f t="shared" si="21"/>
        <v>0</v>
      </c>
      <c r="G54" s="222">
        <f t="shared" si="21"/>
        <v>0</v>
      </c>
      <c r="H54" s="222">
        <f t="shared" si="21"/>
        <v>0</v>
      </c>
      <c r="I54" s="223">
        <f t="shared" si="21"/>
        <v>0</v>
      </c>
      <c r="J54" s="4422"/>
    </row>
    <row r="55" spans="1:10" s="1897" customFormat="1" ht="15.75">
      <c r="A55" s="4972" t="s">
        <v>97</v>
      </c>
      <c r="B55" s="4973" t="s">
        <v>688</v>
      </c>
      <c r="C55" s="556" t="s">
        <v>781</v>
      </c>
      <c r="D55" s="1914"/>
      <c r="E55" s="1915"/>
      <c r="F55" s="1915"/>
      <c r="G55" s="1915"/>
      <c r="H55" s="1915"/>
      <c r="I55" s="1916"/>
      <c r="J55" s="4422"/>
    </row>
    <row r="56" spans="1:10" s="1897" customFormat="1" ht="13.5" thickBot="1">
      <c r="A56" s="4841"/>
      <c r="B56" s="4843"/>
      <c r="C56" s="536" t="s">
        <v>170</v>
      </c>
      <c r="D56" s="902">
        <f t="shared" ref="D56:I56" si="22">IFERROR(D55/D48,0)</f>
        <v>0</v>
      </c>
      <c r="E56" s="903">
        <f t="shared" si="22"/>
        <v>0</v>
      </c>
      <c r="F56" s="903">
        <f t="shared" si="22"/>
        <v>0</v>
      </c>
      <c r="G56" s="903">
        <f t="shared" si="22"/>
        <v>0</v>
      </c>
      <c r="H56" s="903">
        <f t="shared" si="22"/>
        <v>0</v>
      </c>
      <c r="I56" s="904">
        <f t="shared" si="22"/>
        <v>0</v>
      </c>
      <c r="J56" s="4422"/>
    </row>
    <row r="57" spans="1:10" s="1897" customFormat="1" ht="15.75">
      <c r="A57" s="4834" t="s">
        <v>219</v>
      </c>
      <c r="B57" s="4844" t="s">
        <v>689</v>
      </c>
      <c r="C57" s="512" t="s">
        <v>781</v>
      </c>
      <c r="D57" s="522">
        <f>D59+D61</f>
        <v>0</v>
      </c>
      <c r="E57" s="523">
        <f t="shared" ref="E57:I57" si="23">E59+E61</f>
        <v>0</v>
      </c>
      <c r="F57" s="523">
        <f t="shared" si="23"/>
        <v>0</v>
      </c>
      <c r="G57" s="523">
        <f t="shared" si="23"/>
        <v>0</v>
      </c>
      <c r="H57" s="523">
        <f t="shared" si="23"/>
        <v>0</v>
      </c>
      <c r="I57" s="524">
        <f t="shared" si="23"/>
        <v>0</v>
      </c>
      <c r="J57" s="4422"/>
    </row>
    <row r="58" spans="1:10" s="1897" customFormat="1" ht="13.5" thickBot="1">
      <c r="A58" s="4836"/>
      <c r="B58" s="4845"/>
      <c r="C58" s="560" t="s">
        <v>170</v>
      </c>
      <c r="D58" s="899">
        <f t="shared" ref="D58:I58" si="24">IFERROR(D57/D48,0)</f>
        <v>0</v>
      </c>
      <c r="E58" s="745">
        <f t="shared" si="24"/>
        <v>0</v>
      </c>
      <c r="F58" s="745">
        <f t="shared" si="24"/>
        <v>0</v>
      </c>
      <c r="G58" s="745">
        <f t="shared" si="24"/>
        <v>0</v>
      </c>
      <c r="H58" s="745">
        <f t="shared" si="24"/>
        <v>0</v>
      </c>
      <c r="I58" s="900">
        <f t="shared" si="24"/>
        <v>0</v>
      </c>
      <c r="J58" s="4422"/>
    </row>
    <row r="59" spans="1:10" s="1897" customFormat="1" ht="15.75">
      <c r="A59" s="4846" t="s">
        <v>263</v>
      </c>
      <c r="B59" s="4958" t="s">
        <v>580</v>
      </c>
      <c r="C59" s="556" t="s">
        <v>781</v>
      </c>
      <c r="D59" s="1914"/>
      <c r="E59" s="1915"/>
      <c r="F59" s="1915"/>
      <c r="G59" s="1915"/>
      <c r="H59" s="1915"/>
      <c r="I59" s="1916"/>
      <c r="J59" s="4422"/>
    </row>
    <row r="60" spans="1:10" s="1897" customFormat="1" ht="12.75">
      <c r="A60" s="4831"/>
      <c r="B60" s="4848"/>
      <c r="C60" s="901" t="s">
        <v>170</v>
      </c>
      <c r="D60" s="549">
        <f t="shared" ref="D60:I60" si="25">IFERROR(D59/D48,0)</f>
        <v>0</v>
      </c>
      <c r="E60" s="550">
        <f t="shared" si="25"/>
        <v>0</v>
      </c>
      <c r="F60" s="550">
        <f t="shared" si="25"/>
        <v>0</v>
      </c>
      <c r="G60" s="550">
        <f t="shared" si="25"/>
        <v>0</v>
      </c>
      <c r="H60" s="550">
        <f t="shared" si="25"/>
        <v>0</v>
      </c>
      <c r="I60" s="551">
        <f t="shared" si="25"/>
        <v>0</v>
      </c>
      <c r="J60" s="4422"/>
    </row>
    <row r="61" spans="1:10" s="1897" customFormat="1" ht="15.75">
      <c r="A61" s="4830" t="s">
        <v>264</v>
      </c>
      <c r="B61" s="4832" t="s">
        <v>585</v>
      </c>
      <c r="C61" s="517" t="s">
        <v>781</v>
      </c>
      <c r="D61" s="1917"/>
      <c r="E61" s="1918"/>
      <c r="F61" s="1918"/>
      <c r="G61" s="1918"/>
      <c r="H61" s="1918"/>
      <c r="I61" s="1919"/>
      <c r="J61" s="4422"/>
    </row>
    <row r="62" spans="1:10" s="1897" customFormat="1" ht="13.5" thickBot="1">
      <c r="A62" s="4959"/>
      <c r="B62" s="4960"/>
      <c r="C62" s="536" t="s">
        <v>170</v>
      </c>
      <c r="D62" s="905">
        <f t="shared" ref="D62:I62" si="26">IFERROR(D61/D48,0)</f>
        <v>0</v>
      </c>
      <c r="E62" s="906">
        <f t="shared" si="26"/>
        <v>0</v>
      </c>
      <c r="F62" s="906">
        <f t="shared" si="26"/>
        <v>0</v>
      </c>
      <c r="G62" s="906">
        <f t="shared" si="26"/>
        <v>0</v>
      </c>
      <c r="H62" s="906">
        <f t="shared" si="26"/>
        <v>0</v>
      </c>
      <c r="I62" s="907">
        <f t="shared" si="26"/>
        <v>0</v>
      </c>
      <c r="J62" s="4422"/>
    </row>
    <row r="63" spans="1:10" s="1897" customFormat="1" ht="15.75">
      <c r="A63" s="4980" t="s">
        <v>221</v>
      </c>
      <c r="B63" s="4983" t="s">
        <v>594</v>
      </c>
      <c r="C63" s="362" t="s">
        <v>781</v>
      </c>
      <c r="D63" s="787">
        <f>D57+D55</f>
        <v>0</v>
      </c>
      <c r="E63" s="225">
        <f t="shared" ref="E63:I63" si="27">E57+E55</f>
        <v>0</v>
      </c>
      <c r="F63" s="225">
        <f t="shared" si="27"/>
        <v>0</v>
      </c>
      <c r="G63" s="225">
        <f t="shared" si="27"/>
        <v>0</v>
      </c>
      <c r="H63" s="225">
        <f t="shared" si="27"/>
        <v>0</v>
      </c>
      <c r="I63" s="226">
        <f t="shared" si="27"/>
        <v>0</v>
      </c>
      <c r="J63" s="4422"/>
    </row>
    <row r="64" spans="1:10" s="1897" customFormat="1" ht="12.75">
      <c r="A64" s="4981"/>
      <c r="B64" s="4984"/>
      <c r="C64" s="369" t="s">
        <v>170</v>
      </c>
      <c r="D64" s="3748">
        <f t="shared" ref="D64:I64" si="28">IFERROR(D63/D48,0)</f>
        <v>0</v>
      </c>
      <c r="E64" s="3749">
        <f t="shared" si="28"/>
        <v>0</v>
      </c>
      <c r="F64" s="3749">
        <f t="shared" si="28"/>
        <v>0</v>
      </c>
      <c r="G64" s="3749">
        <f t="shared" si="28"/>
        <v>0</v>
      </c>
      <c r="H64" s="3749">
        <f t="shared" si="28"/>
        <v>0</v>
      </c>
      <c r="I64" s="3750">
        <f t="shared" si="28"/>
        <v>0</v>
      </c>
      <c r="J64" s="4422"/>
    </row>
    <row r="65" spans="1:17" s="1897" customFormat="1" ht="13.5" thickBot="1">
      <c r="A65" s="4982"/>
      <c r="B65" s="4985"/>
      <c r="C65" s="370" t="s">
        <v>725</v>
      </c>
      <c r="D65" s="788">
        <f t="shared" ref="D65:I65" si="29">D48-D53-D63</f>
        <v>0</v>
      </c>
      <c r="E65" s="789">
        <f t="shared" si="29"/>
        <v>0</v>
      </c>
      <c r="F65" s="789">
        <f t="shared" si="29"/>
        <v>0</v>
      </c>
      <c r="G65" s="789">
        <f t="shared" si="29"/>
        <v>0</v>
      </c>
      <c r="H65" s="789">
        <f t="shared" si="29"/>
        <v>0</v>
      </c>
      <c r="I65" s="790">
        <f t="shared" si="29"/>
        <v>0</v>
      </c>
      <c r="J65" s="4422"/>
    </row>
    <row r="66" spans="1:17" s="3746" customFormat="1" ht="13.5" thickBot="1">
      <c r="A66" s="172" t="s">
        <v>1153</v>
      </c>
      <c r="B66" s="4977" t="s">
        <v>1154</v>
      </c>
      <c r="C66" s="4978"/>
      <c r="D66" s="4978"/>
      <c r="E66" s="4978"/>
      <c r="F66" s="4978"/>
      <c r="G66" s="4978"/>
      <c r="H66" s="4978"/>
      <c r="I66" s="4979"/>
      <c r="J66" s="4422"/>
    </row>
    <row r="67" spans="1:17" s="3746" customFormat="1" ht="13.5" thickBot="1">
      <c r="A67" s="1895" t="s">
        <v>205</v>
      </c>
      <c r="B67" s="3751" t="s">
        <v>1511</v>
      </c>
      <c r="C67" s="3752"/>
      <c r="D67" s="3752"/>
      <c r="E67" s="3752"/>
      <c r="F67" s="3752"/>
      <c r="G67" s="3752"/>
      <c r="H67" s="3752"/>
      <c r="I67" s="3753"/>
      <c r="J67" s="4422"/>
    </row>
    <row r="68" spans="1:17" s="3746" customFormat="1" ht="15.75">
      <c r="A68" s="4964" t="s">
        <v>463</v>
      </c>
      <c r="B68" s="4970" t="s">
        <v>1156</v>
      </c>
      <c r="C68" s="572" t="s">
        <v>781</v>
      </c>
      <c r="D68" s="573"/>
      <c r="E68" s="574"/>
      <c r="F68" s="574"/>
      <c r="G68" s="574"/>
      <c r="H68" s="574"/>
      <c r="I68" s="575"/>
      <c r="J68" s="4422"/>
    </row>
    <row r="69" spans="1:17" s="3746" customFormat="1" ht="15.75">
      <c r="A69" s="4969"/>
      <c r="B69" s="4971"/>
      <c r="C69" s="572" t="s">
        <v>1157</v>
      </c>
      <c r="D69" s="594"/>
      <c r="E69" s="592"/>
      <c r="F69" s="592"/>
      <c r="G69" s="592"/>
      <c r="H69" s="592"/>
      <c r="I69" s="593"/>
      <c r="J69" s="4422"/>
      <c r="K69" s="4429" t="s">
        <v>1899</v>
      </c>
      <c r="L69" s="4430">
        <f>IFERROR(D69/$C$1,0)</f>
        <v>0</v>
      </c>
      <c r="M69" s="4430">
        <f t="shared" ref="M69:Q70" si="30">IFERROR(E69/$C$1,0)</f>
        <v>0</v>
      </c>
      <c r="N69" s="4430">
        <f t="shared" si="30"/>
        <v>0</v>
      </c>
      <c r="O69" s="4430">
        <f t="shared" si="30"/>
        <v>0</v>
      </c>
      <c r="P69" s="4430">
        <f t="shared" si="30"/>
        <v>0</v>
      </c>
      <c r="Q69" s="4430">
        <f t="shared" si="30"/>
        <v>0</v>
      </c>
    </row>
    <row r="70" spans="1:17" s="3746" customFormat="1" ht="12.75">
      <c r="A70" s="4965"/>
      <c r="B70" s="576" t="s">
        <v>1158</v>
      </c>
      <c r="C70" s="572" t="s">
        <v>1159</v>
      </c>
      <c r="D70" s="962">
        <f>D68*D69/1000</f>
        <v>0</v>
      </c>
      <c r="E70" s="962">
        <f t="shared" ref="E70:I70" si="31">E68*E69/1000</f>
        <v>0</v>
      </c>
      <c r="F70" s="962">
        <f t="shared" si="31"/>
        <v>0</v>
      </c>
      <c r="G70" s="962">
        <f t="shared" si="31"/>
        <v>0</v>
      </c>
      <c r="H70" s="962">
        <f t="shared" si="31"/>
        <v>0</v>
      </c>
      <c r="I70" s="963">
        <f t="shared" si="31"/>
        <v>0</v>
      </c>
      <c r="J70" s="4422"/>
      <c r="K70" s="4429" t="s">
        <v>1877</v>
      </c>
      <c r="L70" s="4431">
        <f>IFERROR(D70/$C$1,0)</f>
        <v>0</v>
      </c>
      <c r="M70" s="4431">
        <f t="shared" si="30"/>
        <v>0</v>
      </c>
      <c r="N70" s="4431">
        <f t="shared" si="30"/>
        <v>0</v>
      </c>
      <c r="O70" s="4431">
        <f t="shared" si="30"/>
        <v>0</v>
      </c>
      <c r="P70" s="4431">
        <f t="shared" si="30"/>
        <v>0</v>
      </c>
      <c r="Q70" s="4431">
        <f t="shared" si="30"/>
        <v>0</v>
      </c>
    </row>
    <row r="71" spans="1:17" s="3746" customFormat="1" ht="15.75">
      <c r="A71" s="4964" t="s">
        <v>465</v>
      </c>
      <c r="B71" s="4970" t="s">
        <v>1160</v>
      </c>
      <c r="C71" s="572" t="s">
        <v>1161</v>
      </c>
      <c r="D71" s="577"/>
      <c r="E71" s="574"/>
      <c r="F71" s="578"/>
      <c r="G71" s="578"/>
      <c r="H71" s="574"/>
      <c r="I71" s="579"/>
      <c r="J71" s="4422"/>
    </row>
    <row r="72" spans="1:17" s="3746" customFormat="1" ht="15.75">
      <c r="A72" s="4969"/>
      <c r="B72" s="4971"/>
      <c r="C72" s="572" t="s">
        <v>1157</v>
      </c>
      <c r="D72" s="580"/>
      <c r="E72" s="574"/>
      <c r="F72" s="581"/>
      <c r="G72" s="574"/>
      <c r="H72" s="578"/>
      <c r="I72" s="582"/>
      <c r="J72" s="4422"/>
      <c r="K72" s="4429" t="s">
        <v>1899</v>
      </c>
      <c r="L72" s="4430">
        <f>IFERROR(D72/$C$1,0)</f>
        <v>0</v>
      </c>
      <c r="M72" s="4430">
        <f t="shared" ref="M72:M73" si="32">IFERROR(E72/$C$1,0)</f>
        <v>0</v>
      </c>
      <c r="N72" s="4430">
        <f t="shared" ref="N72:N73" si="33">IFERROR(F72/$C$1,0)</f>
        <v>0</v>
      </c>
      <c r="O72" s="4430">
        <f t="shared" ref="O72:O73" si="34">IFERROR(G72/$C$1,0)</f>
        <v>0</v>
      </c>
      <c r="P72" s="4430">
        <f t="shared" ref="P72:P73" si="35">IFERROR(H72/$C$1,0)</f>
        <v>0</v>
      </c>
      <c r="Q72" s="4430">
        <f t="shared" ref="Q72:Q73" si="36">IFERROR(I72/$C$1,0)</f>
        <v>0</v>
      </c>
    </row>
    <row r="73" spans="1:17" s="3746" customFormat="1" ht="13.5" thickBot="1">
      <c r="A73" s="4966"/>
      <c r="B73" s="576" t="s">
        <v>1162</v>
      </c>
      <c r="C73" s="749" t="s">
        <v>1159</v>
      </c>
      <c r="D73" s="964">
        <f>D71*D72/1000</f>
        <v>0</v>
      </c>
      <c r="E73" s="965">
        <f t="shared" ref="E73:I73" si="37">E71*E72/1000</f>
        <v>0</v>
      </c>
      <c r="F73" s="966">
        <f t="shared" si="37"/>
        <v>0</v>
      </c>
      <c r="G73" s="966">
        <f t="shared" si="37"/>
        <v>0</v>
      </c>
      <c r="H73" s="966">
        <f t="shared" si="37"/>
        <v>0</v>
      </c>
      <c r="I73" s="967">
        <f t="shared" si="37"/>
        <v>0</v>
      </c>
      <c r="J73" s="4422"/>
      <c r="K73" s="4429" t="s">
        <v>1877</v>
      </c>
      <c r="L73" s="4431">
        <f>IFERROR(D73/$C$1,0)</f>
        <v>0</v>
      </c>
      <c r="M73" s="4431">
        <f t="shared" si="32"/>
        <v>0</v>
      </c>
      <c r="N73" s="4431">
        <f t="shared" si="33"/>
        <v>0</v>
      </c>
      <c r="O73" s="4431">
        <f t="shared" si="34"/>
        <v>0</v>
      </c>
      <c r="P73" s="4431">
        <f t="shared" si="35"/>
        <v>0</v>
      </c>
      <c r="Q73" s="4431">
        <f t="shared" si="36"/>
        <v>0</v>
      </c>
    </row>
    <row r="74" spans="1:17" s="3746" customFormat="1" ht="13.5" thickBot="1">
      <c r="A74" s="1895" t="s">
        <v>206</v>
      </c>
      <c r="B74" s="3751" t="s">
        <v>1155</v>
      </c>
      <c r="C74" s="3752"/>
      <c r="D74" s="3752"/>
      <c r="E74" s="3752"/>
      <c r="F74" s="3752"/>
      <c r="G74" s="3752"/>
      <c r="H74" s="3752"/>
      <c r="I74" s="3753"/>
      <c r="J74" s="4422"/>
    </row>
    <row r="75" spans="1:17" s="3746" customFormat="1" ht="15.75">
      <c r="A75" s="4964" t="s">
        <v>477</v>
      </c>
      <c r="B75" s="4970" t="s">
        <v>1156</v>
      </c>
      <c r="C75" s="572" t="s">
        <v>781</v>
      </c>
      <c r="D75" s="573"/>
      <c r="E75" s="574"/>
      <c r="F75" s="574"/>
      <c r="G75" s="574"/>
      <c r="H75" s="574"/>
      <c r="I75" s="575"/>
      <c r="J75" s="4422"/>
    </row>
    <row r="76" spans="1:17" s="3746" customFormat="1" ht="15.75">
      <c r="A76" s="4969"/>
      <c r="B76" s="4971"/>
      <c r="C76" s="572" t="s">
        <v>1157</v>
      </c>
      <c r="D76" s="573"/>
      <c r="E76" s="574"/>
      <c r="F76" s="574"/>
      <c r="G76" s="574"/>
      <c r="H76" s="574"/>
      <c r="I76" s="575"/>
      <c r="J76" s="4422"/>
      <c r="K76" s="4429" t="s">
        <v>1899</v>
      </c>
      <c r="L76" s="4430">
        <f>IFERROR(D76/$C$1,0)</f>
        <v>0</v>
      </c>
      <c r="M76" s="4430">
        <f t="shared" ref="M76:M77" si="38">IFERROR(E76/$C$1,0)</f>
        <v>0</v>
      </c>
      <c r="N76" s="4430">
        <f t="shared" ref="N76:N77" si="39">IFERROR(F76/$C$1,0)</f>
        <v>0</v>
      </c>
      <c r="O76" s="4430">
        <f t="shared" ref="O76:O77" si="40">IFERROR(G76/$C$1,0)</f>
        <v>0</v>
      </c>
      <c r="P76" s="4430">
        <f t="shared" ref="P76:P77" si="41">IFERROR(H76/$C$1,0)</f>
        <v>0</v>
      </c>
      <c r="Q76" s="4430">
        <f t="shared" ref="Q76:Q77" si="42">IFERROR(I76/$C$1,0)</f>
        <v>0</v>
      </c>
    </row>
    <row r="77" spans="1:17" s="3746" customFormat="1" ht="12.75">
      <c r="A77" s="4965"/>
      <c r="B77" s="576" t="s">
        <v>1158</v>
      </c>
      <c r="C77" s="572" t="s">
        <v>1159</v>
      </c>
      <c r="D77" s="962">
        <f>D75*D76/1000</f>
        <v>0</v>
      </c>
      <c r="E77" s="962">
        <f t="shared" ref="E77:I77" si="43">E75*E76/1000</f>
        <v>0</v>
      </c>
      <c r="F77" s="962">
        <f t="shared" si="43"/>
        <v>0</v>
      </c>
      <c r="G77" s="962">
        <f t="shared" si="43"/>
        <v>0</v>
      </c>
      <c r="H77" s="962">
        <f t="shared" si="43"/>
        <v>0</v>
      </c>
      <c r="I77" s="963">
        <f t="shared" si="43"/>
        <v>0</v>
      </c>
      <c r="J77" s="4422"/>
      <c r="K77" s="4429" t="s">
        <v>1877</v>
      </c>
      <c r="L77" s="4431">
        <f>IFERROR(D77/$C$1,0)</f>
        <v>0</v>
      </c>
      <c r="M77" s="4431">
        <f t="shared" si="38"/>
        <v>0</v>
      </c>
      <c r="N77" s="4431">
        <f t="shared" si="39"/>
        <v>0</v>
      </c>
      <c r="O77" s="4431">
        <f t="shared" si="40"/>
        <v>0</v>
      </c>
      <c r="P77" s="4431">
        <f t="shared" si="41"/>
        <v>0</v>
      </c>
      <c r="Q77" s="4431">
        <f t="shared" si="42"/>
        <v>0</v>
      </c>
    </row>
    <row r="78" spans="1:17" s="3746" customFormat="1" ht="15.75">
      <c r="A78" s="4964" t="s">
        <v>479</v>
      </c>
      <c r="B78" s="4970" t="s">
        <v>1160</v>
      </c>
      <c r="C78" s="572" t="s">
        <v>1161</v>
      </c>
      <c r="D78" s="577"/>
      <c r="E78" s="574"/>
      <c r="F78" s="578"/>
      <c r="G78" s="578"/>
      <c r="H78" s="574"/>
      <c r="I78" s="579"/>
      <c r="J78" s="4422"/>
    </row>
    <row r="79" spans="1:17" s="3746" customFormat="1" ht="15.75">
      <c r="A79" s="4969"/>
      <c r="B79" s="4971"/>
      <c r="C79" s="572" t="s">
        <v>1157</v>
      </c>
      <c r="D79" s="580"/>
      <c r="E79" s="574"/>
      <c r="F79" s="581"/>
      <c r="G79" s="574"/>
      <c r="H79" s="578"/>
      <c r="I79" s="582"/>
      <c r="J79" s="4422"/>
      <c r="K79" s="4429" t="s">
        <v>1899</v>
      </c>
      <c r="L79" s="4430">
        <f>IFERROR(D79/$C$1,0)</f>
        <v>0</v>
      </c>
      <c r="M79" s="4430">
        <f t="shared" ref="M79:M80" si="44">IFERROR(E79/$C$1,0)</f>
        <v>0</v>
      </c>
      <c r="N79" s="4430">
        <f t="shared" ref="N79:N80" si="45">IFERROR(F79/$C$1,0)</f>
        <v>0</v>
      </c>
      <c r="O79" s="4430">
        <f t="shared" ref="O79:O80" si="46">IFERROR(G79/$C$1,0)</f>
        <v>0</v>
      </c>
      <c r="P79" s="4430">
        <f t="shared" ref="P79:P80" si="47">IFERROR(H79/$C$1,0)</f>
        <v>0</v>
      </c>
      <c r="Q79" s="4430">
        <f t="shared" ref="Q79:Q80" si="48">IFERROR(I79/$C$1,0)</f>
        <v>0</v>
      </c>
    </row>
    <row r="80" spans="1:17" s="3746" customFormat="1" ht="13.5" thickBot="1">
      <c r="A80" s="4966"/>
      <c r="B80" s="576" t="s">
        <v>1162</v>
      </c>
      <c r="C80" s="750" t="s">
        <v>1159</v>
      </c>
      <c r="D80" s="964">
        <f>D78*D79/1000</f>
        <v>0</v>
      </c>
      <c r="E80" s="966">
        <f t="shared" ref="E80:I80" si="49">E78*E79/1000</f>
        <v>0</v>
      </c>
      <c r="F80" s="966">
        <f t="shared" si="49"/>
        <v>0</v>
      </c>
      <c r="G80" s="965">
        <f t="shared" si="49"/>
        <v>0</v>
      </c>
      <c r="H80" s="966">
        <f t="shared" si="49"/>
        <v>0</v>
      </c>
      <c r="I80" s="967">
        <f t="shared" si="49"/>
        <v>0</v>
      </c>
      <c r="J80" s="4422"/>
      <c r="K80" s="4429" t="s">
        <v>1877</v>
      </c>
      <c r="L80" s="4431">
        <f>IFERROR(D80/$C$1,0)</f>
        <v>0</v>
      </c>
      <c r="M80" s="4431">
        <f t="shared" si="44"/>
        <v>0</v>
      </c>
      <c r="N80" s="4431">
        <f t="shared" si="45"/>
        <v>0</v>
      </c>
      <c r="O80" s="4431">
        <f t="shared" si="46"/>
        <v>0</v>
      </c>
      <c r="P80" s="4431">
        <f t="shared" si="47"/>
        <v>0</v>
      </c>
      <c r="Q80" s="4431">
        <f t="shared" si="48"/>
        <v>0</v>
      </c>
    </row>
    <row r="81" spans="1:17" s="3746" customFormat="1" ht="13.5" thickBot="1">
      <c r="A81" s="1895" t="s">
        <v>219</v>
      </c>
      <c r="B81" s="3751" t="s">
        <v>1155</v>
      </c>
      <c r="C81" s="3752"/>
      <c r="D81" s="3752"/>
      <c r="E81" s="3752"/>
      <c r="F81" s="3752"/>
      <c r="G81" s="3752"/>
      <c r="H81" s="3752"/>
      <c r="I81" s="3753"/>
      <c r="J81" s="4422"/>
    </row>
    <row r="82" spans="1:17" s="3746" customFormat="1" ht="15.75">
      <c r="A82" s="4964" t="s">
        <v>263</v>
      </c>
      <c r="B82" s="4970" t="s">
        <v>1156</v>
      </c>
      <c r="C82" s="572" t="s">
        <v>781</v>
      </c>
      <c r="D82" s="573"/>
      <c r="E82" s="574"/>
      <c r="F82" s="574"/>
      <c r="G82" s="574"/>
      <c r="H82" s="574"/>
      <c r="I82" s="575"/>
      <c r="J82" s="4422"/>
    </row>
    <row r="83" spans="1:17" s="3746" customFormat="1" ht="15.75">
      <c r="A83" s="4969"/>
      <c r="B83" s="4971"/>
      <c r="C83" s="572" t="s">
        <v>1157</v>
      </c>
      <c r="D83" s="573"/>
      <c r="E83" s="574"/>
      <c r="F83" s="574"/>
      <c r="G83" s="574"/>
      <c r="H83" s="574"/>
      <c r="I83" s="575"/>
      <c r="J83" s="4422"/>
      <c r="K83" s="4429" t="s">
        <v>1899</v>
      </c>
      <c r="L83" s="4430">
        <f>IFERROR(D83/$C$1,0)</f>
        <v>0</v>
      </c>
      <c r="M83" s="4430">
        <f t="shared" ref="M83:M84" si="50">IFERROR(E83/$C$1,0)</f>
        <v>0</v>
      </c>
      <c r="N83" s="4430">
        <f t="shared" ref="N83:N84" si="51">IFERROR(F83/$C$1,0)</f>
        <v>0</v>
      </c>
      <c r="O83" s="4430">
        <f t="shared" ref="O83:O84" si="52">IFERROR(G83/$C$1,0)</f>
        <v>0</v>
      </c>
      <c r="P83" s="4430">
        <f t="shared" ref="P83:P84" si="53">IFERROR(H83/$C$1,0)</f>
        <v>0</v>
      </c>
      <c r="Q83" s="4430">
        <f t="shared" ref="Q83:Q84" si="54">IFERROR(I83/$C$1,0)</f>
        <v>0</v>
      </c>
    </row>
    <row r="84" spans="1:17" s="3746" customFormat="1" ht="12.75">
      <c r="A84" s="4965"/>
      <c r="B84" s="576" t="s">
        <v>1158</v>
      </c>
      <c r="C84" s="572" t="s">
        <v>1159</v>
      </c>
      <c r="D84" s="962">
        <f>D82*D83/1000</f>
        <v>0</v>
      </c>
      <c r="E84" s="962">
        <f t="shared" ref="E84:I84" si="55">E82*E83/1000</f>
        <v>0</v>
      </c>
      <c r="F84" s="962">
        <f t="shared" si="55"/>
        <v>0</v>
      </c>
      <c r="G84" s="962">
        <f t="shared" si="55"/>
        <v>0</v>
      </c>
      <c r="H84" s="962">
        <f t="shared" si="55"/>
        <v>0</v>
      </c>
      <c r="I84" s="963">
        <f t="shared" si="55"/>
        <v>0</v>
      </c>
      <c r="J84" s="4422"/>
      <c r="K84" s="4429" t="s">
        <v>1877</v>
      </c>
      <c r="L84" s="4431">
        <f>IFERROR(D84/$C$1,0)</f>
        <v>0</v>
      </c>
      <c r="M84" s="4431">
        <f t="shared" si="50"/>
        <v>0</v>
      </c>
      <c r="N84" s="4431">
        <f t="shared" si="51"/>
        <v>0</v>
      </c>
      <c r="O84" s="4431">
        <f t="shared" si="52"/>
        <v>0</v>
      </c>
      <c r="P84" s="4431">
        <f t="shared" si="53"/>
        <v>0</v>
      </c>
      <c r="Q84" s="4431">
        <f t="shared" si="54"/>
        <v>0</v>
      </c>
    </row>
    <row r="85" spans="1:17" s="3746" customFormat="1" ht="15.75">
      <c r="A85" s="4964" t="s">
        <v>264</v>
      </c>
      <c r="B85" s="4970" t="s">
        <v>1160</v>
      </c>
      <c r="C85" s="572" t="s">
        <v>1161</v>
      </c>
      <c r="D85" s="577"/>
      <c r="E85" s="574"/>
      <c r="F85" s="578"/>
      <c r="G85" s="578"/>
      <c r="H85" s="574"/>
      <c r="I85" s="579"/>
      <c r="J85" s="4422"/>
    </row>
    <row r="86" spans="1:17" s="3746" customFormat="1" ht="15.75">
      <c r="A86" s="4969"/>
      <c r="B86" s="4971"/>
      <c r="C86" s="572" t="s">
        <v>1157</v>
      </c>
      <c r="D86" s="580"/>
      <c r="E86" s="574"/>
      <c r="F86" s="581"/>
      <c r="G86" s="574"/>
      <c r="H86" s="578"/>
      <c r="I86" s="582"/>
      <c r="J86" s="4422"/>
      <c r="K86" s="4429" t="s">
        <v>1899</v>
      </c>
      <c r="L86" s="4430">
        <f>IFERROR(D86/$C$1,0)</f>
        <v>0</v>
      </c>
      <c r="M86" s="4430">
        <f t="shared" ref="M86:M87" si="56">IFERROR(E86/$C$1,0)</f>
        <v>0</v>
      </c>
      <c r="N86" s="4430">
        <f t="shared" ref="N86:N87" si="57">IFERROR(F86/$C$1,0)</f>
        <v>0</v>
      </c>
      <c r="O86" s="4430">
        <f t="shared" ref="O86:O87" si="58">IFERROR(G86/$C$1,0)</f>
        <v>0</v>
      </c>
      <c r="P86" s="4430">
        <f t="shared" ref="P86:P87" si="59">IFERROR(H86/$C$1,0)</f>
        <v>0</v>
      </c>
      <c r="Q86" s="4430">
        <f t="shared" ref="Q86:Q87" si="60">IFERROR(I86/$C$1,0)</f>
        <v>0</v>
      </c>
    </row>
    <row r="87" spans="1:17" s="3746" customFormat="1" ht="13.5" thickBot="1">
      <c r="A87" s="4966"/>
      <c r="B87" s="576" t="s">
        <v>1162</v>
      </c>
      <c r="C87" s="572" t="s">
        <v>1159</v>
      </c>
      <c r="D87" s="964">
        <f>D85*D86/1000</f>
        <v>0</v>
      </c>
      <c r="E87" s="968">
        <f t="shared" ref="E87:I87" si="61">E85*E86/1000</f>
        <v>0</v>
      </c>
      <c r="F87" s="966">
        <f t="shared" si="61"/>
        <v>0</v>
      </c>
      <c r="G87" s="965">
        <f t="shared" si="61"/>
        <v>0</v>
      </c>
      <c r="H87" s="966">
        <f t="shared" si="61"/>
        <v>0</v>
      </c>
      <c r="I87" s="967">
        <f t="shared" si="61"/>
        <v>0</v>
      </c>
      <c r="J87" s="4422"/>
      <c r="K87" s="4429" t="s">
        <v>1877</v>
      </c>
      <c r="L87" s="4431">
        <f>IFERROR(D87/$C$1,0)</f>
        <v>0</v>
      </c>
      <c r="M87" s="4431">
        <f t="shared" si="56"/>
        <v>0</v>
      </c>
      <c r="N87" s="4431">
        <f t="shared" si="57"/>
        <v>0</v>
      </c>
      <c r="O87" s="4431">
        <f t="shared" si="58"/>
        <v>0</v>
      </c>
      <c r="P87" s="4431">
        <f t="shared" si="59"/>
        <v>0</v>
      </c>
      <c r="Q87" s="4431">
        <f t="shared" si="60"/>
        <v>0</v>
      </c>
    </row>
    <row r="88" spans="1:17" s="3746" customFormat="1" ht="12.75">
      <c r="A88" s="571" t="s">
        <v>221</v>
      </c>
      <c r="B88" s="4961" t="s">
        <v>1155</v>
      </c>
      <c r="C88" s="4962"/>
      <c r="D88" s="4962"/>
      <c r="E88" s="4962"/>
      <c r="F88" s="4962"/>
      <c r="G88" s="4962"/>
      <c r="H88" s="4962"/>
      <c r="I88" s="4963"/>
      <c r="J88" s="4422"/>
    </row>
    <row r="89" spans="1:17" s="3746" customFormat="1" ht="15.75">
      <c r="A89" s="4964" t="s">
        <v>566</v>
      </c>
      <c r="B89" s="4970" t="s">
        <v>1156</v>
      </c>
      <c r="C89" s="572" t="s">
        <v>781</v>
      </c>
      <c r="D89" s="573"/>
      <c r="E89" s="574"/>
      <c r="F89" s="574"/>
      <c r="G89" s="574"/>
      <c r="H89" s="574"/>
      <c r="I89" s="575"/>
      <c r="J89" s="4422"/>
    </row>
    <row r="90" spans="1:17" s="3746" customFormat="1" ht="15.75">
      <c r="A90" s="4969"/>
      <c r="B90" s="4971"/>
      <c r="C90" s="572" t="s">
        <v>1157</v>
      </c>
      <c r="D90" s="573"/>
      <c r="E90" s="574"/>
      <c r="F90" s="574"/>
      <c r="G90" s="574"/>
      <c r="H90" s="574"/>
      <c r="I90" s="575"/>
      <c r="J90" s="4422"/>
      <c r="K90" s="4429" t="s">
        <v>1899</v>
      </c>
      <c r="L90" s="4430">
        <f>IFERROR(D90/$C$1,0)</f>
        <v>0</v>
      </c>
      <c r="M90" s="4430">
        <f t="shared" ref="M90:M91" si="62">IFERROR(E90/$C$1,0)</f>
        <v>0</v>
      </c>
      <c r="N90" s="4430">
        <f t="shared" ref="N90:N91" si="63">IFERROR(F90/$C$1,0)</f>
        <v>0</v>
      </c>
      <c r="O90" s="4430">
        <f t="shared" ref="O90:O91" si="64">IFERROR(G90/$C$1,0)</f>
        <v>0</v>
      </c>
      <c r="P90" s="4430">
        <f t="shared" ref="P90:P91" si="65">IFERROR(H90/$C$1,0)</f>
        <v>0</v>
      </c>
      <c r="Q90" s="4430">
        <f t="shared" ref="Q90:Q91" si="66">IFERROR(I90/$C$1,0)</f>
        <v>0</v>
      </c>
    </row>
    <row r="91" spans="1:17" s="3746" customFormat="1" ht="12.75">
      <c r="A91" s="4965"/>
      <c r="B91" s="576" t="s">
        <v>1158</v>
      </c>
      <c r="C91" s="572" t="s">
        <v>1159</v>
      </c>
      <c r="D91" s="962">
        <f>D89*D90/1000</f>
        <v>0</v>
      </c>
      <c r="E91" s="962">
        <f t="shared" ref="E91:I91" si="67">E89*E90/1000</f>
        <v>0</v>
      </c>
      <c r="F91" s="962">
        <f t="shared" si="67"/>
        <v>0</v>
      </c>
      <c r="G91" s="962">
        <f t="shared" si="67"/>
        <v>0</v>
      </c>
      <c r="H91" s="962">
        <f t="shared" si="67"/>
        <v>0</v>
      </c>
      <c r="I91" s="963">
        <f t="shared" si="67"/>
        <v>0</v>
      </c>
      <c r="J91" s="4422"/>
      <c r="K91" s="4429" t="s">
        <v>1877</v>
      </c>
      <c r="L91" s="4431">
        <f>IFERROR(D91/$C$1,0)</f>
        <v>0</v>
      </c>
      <c r="M91" s="4431">
        <f t="shared" si="62"/>
        <v>0</v>
      </c>
      <c r="N91" s="4431">
        <f t="shared" si="63"/>
        <v>0</v>
      </c>
      <c r="O91" s="4431">
        <f t="shared" si="64"/>
        <v>0</v>
      </c>
      <c r="P91" s="4431">
        <f t="shared" si="65"/>
        <v>0</v>
      </c>
      <c r="Q91" s="4431">
        <f t="shared" si="66"/>
        <v>0</v>
      </c>
    </row>
    <row r="92" spans="1:17" s="3746" customFormat="1" ht="15.75">
      <c r="A92" s="4964" t="s">
        <v>567</v>
      </c>
      <c r="B92" s="4970" t="s">
        <v>1160</v>
      </c>
      <c r="C92" s="572" t="s">
        <v>1161</v>
      </c>
      <c r="D92" s="577"/>
      <c r="E92" s="574"/>
      <c r="F92" s="578"/>
      <c r="G92" s="578"/>
      <c r="H92" s="574"/>
      <c r="I92" s="579"/>
      <c r="J92" s="4422"/>
    </row>
    <row r="93" spans="1:17" s="3746" customFormat="1" ht="15.75">
      <c r="A93" s="4969"/>
      <c r="B93" s="4971"/>
      <c r="C93" s="572" t="s">
        <v>1157</v>
      </c>
      <c r="D93" s="580"/>
      <c r="E93" s="574"/>
      <c r="F93" s="581"/>
      <c r="G93" s="574"/>
      <c r="H93" s="578"/>
      <c r="I93" s="582"/>
      <c r="J93" s="4422"/>
      <c r="K93" s="4429" t="s">
        <v>1899</v>
      </c>
      <c r="L93" s="4430">
        <f>IFERROR(D93/$C$1,0)</f>
        <v>0</v>
      </c>
      <c r="M93" s="4430">
        <f t="shared" ref="M93:Q94" si="68">IFERROR(E93/$C$1,0)</f>
        <v>0</v>
      </c>
      <c r="N93" s="4430">
        <f t="shared" si="68"/>
        <v>0</v>
      </c>
      <c r="O93" s="4430">
        <f t="shared" si="68"/>
        <v>0</v>
      </c>
      <c r="P93" s="4430">
        <f t="shared" si="68"/>
        <v>0</v>
      </c>
      <c r="Q93" s="4430">
        <f t="shared" si="68"/>
        <v>0</v>
      </c>
    </row>
    <row r="94" spans="1:17" s="3746" customFormat="1" ht="13.5" thickBot="1">
      <c r="A94" s="4966"/>
      <c r="B94" s="576" t="s">
        <v>1162</v>
      </c>
      <c r="C94" s="572" t="s">
        <v>1159</v>
      </c>
      <c r="D94" s="964">
        <f>D92*D93/1000</f>
        <v>0</v>
      </c>
      <c r="E94" s="968">
        <f t="shared" ref="E94:I94" si="69">E92*E93/1000</f>
        <v>0</v>
      </c>
      <c r="F94" s="966">
        <f t="shared" si="69"/>
        <v>0</v>
      </c>
      <c r="G94" s="965">
        <f t="shared" si="69"/>
        <v>0</v>
      </c>
      <c r="H94" s="966">
        <f t="shared" si="69"/>
        <v>0</v>
      </c>
      <c r="I94" s="967">
        <f t="shared" si="69"/>
        <v>0</v>
      </c>
      <c r="J94" s="4422"/>
      <c r="K94" s="4429" t="s">
        <v>1877</v>
      </c>
      <c r="L94" s="4431">
        <f>IFERROR(D94/$C$1,0)</f>
        <v>0</v>
      </c>
      <c r="M94" s="4431">
        <f t="shared" si="68"/>
        <v>0</v>
      </c>
      <c r="N94" s="4431">
        <f t="shared" si="68"/>
        <v>0</v>
      </c>
      <c r="O94" s="4431">
        <f t="shared" si="68"/>
        <v>0</v>
      </c>
      <c r="P94" s="4431">
        <f t="shared" si="68"/>
        <v>0</v>
      </c>
      <c r="Q94" s="4431">
        <f t="shared" si="68"/>
        <v>0</v>
      </c>
    </row>
    <row r="95" spans="1:17" s="3746" customFormat="1" ht="12.75">
      <c r="A95" s="571" t="s">
        <v>308</v>
      </c>
      <c r="B95" s="4961" t="s">
        <v>1155</v>
      </c>
      <c r="C95" s="4962"/>
      <c r="D95" s="4962"/>
      <c r="E95" s="4962"/>
      <c r="F95" s="4962"/>
      <c r="G95" s="4962"/>
      <c r="H95" s="4962"/>
      <c r="I95" s="4963"/>
      <c r="J95" s="4422"/>
    </row>
    <row r="96" spans="1:17" s="3746" customFormat="1" ht="15.75">
      <c r="A96" s="4964" t="s">
        <v>568</v>
      </c>
      <c r="B96" s="4970" t="s">
        <v>1156</v>
      </c>
      <c r="C96" s="572" t="s">
        <v>781</v>
      </c>
      <c r="D96" s="573"/>
      <c r="E96" s="574"/>
      <c r="F96" s="574"/>
      <c r="G96" s="574"/>
      <c r="H96" s="574"/>
      <c r="I96" s="575"/>
      <c r="J96" s="4422"/>
    </row>
    <row r="97" spans="1:17" s="3746" customFormat="1" ht="15.75">
      <c r="A97" s="4969"/>
      <c r="B97" s="4971"/>
      <c r="C97" s="572" t="s">
        <v>1157</v>
      </c>
      <c r="D97" s="573"/>
      <c r="E97" s="574"/>
      <c r="F97" s="574"/>
      <c r="G97" s="574"/>
      <c r="H97" s="574"/>
      <c r="I97" s="575"/>
      <c r="J97" s="4422"/>
      <c r="K97" s="4429" t="s">
        <v>1899</v>
      </c>
      <c r="L97" s="4430">
        <f>IFERROR(D97/$C$1,0)</f>
        <v>0</v>
      </c>
      <c r="M97" s="4430">
        <f t="shared" ref="M97:M98" si="70">IFERROR(E97/$C$1,0)</f>
        <v>0</v>
      </c>
      <c r="N97" s="4430">
        <f t="shared" ref="N97:N98" si="71">IFERROR(F97/$C$1,0)</f>
        <v>0</v>
      </c>
      <c r="O97" s="4430">
        <f t="shared" ref="O97:O98" si="72">IFERROR(G97/$C$1,0)</f>
        <v>0</v>
      </c>
      <c r="P97" s="4430">
        <f t="shared" ref="P97:P98" si="73">IFERROR(H97/$C$1,0)</f>
        <v>0</v>
      </c>
      <c r="Q97" s="4430">
        <f t="shared" ref="Q97:Q98" si="74">IFERROR(I97/$C$1,0)</f>
        <v>0</v>
      </c>
    </row>
    <row r="98" spans="1:17" s="3746" customFormat="1" ht="12.75">
      <c r="A98" s="4965"/>
      <c r="B98" s="576" t="s">
        <v>1158</v>
      </c>
      <c r="C98" s="572" t="s">
        <v>1159</v>
      </c>
      <c r="D98" s="962">
        <f>D96*D97/1000</f>
        <v>0</v>
      </c>
      <c r="E98" s="962">
        <f t="shared" ref="E98:I98" si="75">E96*E97/1000</f>
        <v>0</v>
      </c>
      <c r="F98" s="962">
        <f t="shared" si="75"/>
        <v>0</v>
      </c>
      <c r="G98" s="962">
        <f t="shared" si="75"/>
        <v>0</v>
      </c>
      <c r="H98" s="962">
        <f t="shared" si="75"/>
        <v>0</v>
      </c>
      <c r="I98" s="969">
        <f t="shared" si="75"/>
        <v>0</v>
      </c>
      <c r="J98" s="4422"/>
      <c r="K98" s="4429" t="s">
        <v>1877</v>
      </c>
      <c r="L98" s="4431">
        <f>IFERROR(D98/$C$1,0)</f>
        <v>0</v>
      </c>
      <c r="M98" s="4431">
        <f t="shared" si="70"/>
        <v>0</v>
      </c>
      <c r="N98" s="4431">
        <f t="shared" si="71"/>
        <v>0</v>
      </c>
      <c r="O98" s="4431">
        <f t="shared" si="72"/>
        <v>0</v>
      </c>
      <c r="P98" s="4431">
        <f t="shared" si="73"/>
        <v>0</v>
      </c>
      <c r="Q98" s="4431">
        <f t="shared" si="74"/>
        <v>0</v>
      </c>
    </row>
    <row r="99" spans="1:17" s="3746" customFormat="1" ht="15.75">
      <c r="A99" s="4964" t="s">
        <v>569</v>
      </c>
      <c r="B99" s="4970" t="s">
        <v>1160</v>
      </c>
      <c r="C99" s="572" t="s">
        <v>1161</v>
      </c>
      <c r="D99" s="577"/>
      <c r="E99" s="574"/>
      <c r="F99" s="578"/>
      <c r="G99" s="578"/>
      <c r="H99" s="574"/>
      <c r="I99" s="579"/>
      <c r="J99" s="4422"/>
    </row>
    <row r="100" spans="1:17" s="3746" customFormat="1" ht="15.75">
      <c r="A100" s="4969"/>
      <c r="B100" s="4971"/>
      <c r="C100" s="572" t="s">
        <v>1157</v>
      </c>
      <c r="D100" s="580"/>
      <c r="E100" s="574"/>
      <c r="F100" s="581"/>
      <c r="G100" s="574"/>
      <c r="H100" s="578"/>
      <c r="I100" s="582"/>
      <c r="J100" s="4422"/>
      <c r="K100" s="4429" t="s">
        <v>1899</v>
      </c>
      <c r="L100" s="4430">
        <f>IFERROR(D100/$C$1,0)</f>
        <v>0</v>
      </c>
      <c r="M100" s="4430">
        <f t="shared" ref="M100:M101" si="76">IFERROR(E100/$C$1,0)</f>
        <v>0</v>
      </c>
      <c r="N100" s="4430">
        <f t="shared" ref="N100:N101" si="77">IFERROR(F100/$C$1,0)</f>
        <v>0</v>
      </c>
      <c r="O100" s="4430">
        <f t="shared" ref="O100:O101" si="78">IFERROR(G100/$C$1,0)</f>
        <v>0</v>
      </c>
      <c r="P100" s="4430">
        <f t="shared" ref="P100:P101" si="79">IFERROR(H100/$C$1,0)</f>
        <v>0</v>
      </c>
      <c r="Q100" s="4430">
        <f t="shared" ref="Q100:Q101" si="80">IFERROR(I100/$C$1,0)</f>
        <v>0</v>
      </c>
    </row>
    <row r="101" spans="1:17" s="3746" customFormat="1" ht="13.5" thickBot="1">
      <c r="A101" s="4966"/>
      <c r="B101" s="576" t="s">
        <v>1162</v>
      </c>
      <c r="C101" s="572" t="s">
        <v>1159</v>
      </c>
      <c r="D101" s="964">
        <f>D99*D100/1000</f>
        <v>0</v>
      </c>
      <c r="E101" s="968">
        <f t="shared" ref="E101:I101" si="81">E99*E100/1000</f>
        <v>0</v>
      </c>
      <c r="F101" s="966">
        <f t="shared" si="81"/>
        <v>0</v>
      </c>
      <c r="G101" s="965">
        <f t="shared" si="81"/>
        <v>0</v>
      </c>
      <c r="H101" s="966">
        <f t="shared" si="81"/>
        <v>0</v>
      </c>
      <c r="I101" s="967">
        <f t="shared" si="81"/>
        <v>0</v>
      </c>
      <c r="J101" s="4422"/>
      <c r="K101" s="4429" t="s">
        <v>1877</v>
      </c>
      <c r="L101" s="4431">
        <f>IFERROR(D101/$C$1,0)</f>
        <v>0</v>
      </c>
      <c r="M101" s="4431">
        <f t="shared" si="76"/>
        <v>0</v>
      </c>
      <c r="N101" s="4431">
        <f t="shared" si="77"/>
        <v>0</v>
      </c>
      <c r="O101" s="4431">
        <f t="shared" si="78"/>
        <v>0</v>
      </c>
      <c r="P101" s="4431">
        <f t="shared" si="79"/>
        <v>0</v>
      </c>
      <c r="Q101" s="4431">
        <f t="shared" si="80"/>
        <v>0</v>
      </c>
    </row>
    <row r="102" spans="1:17" s="3746" customFormat="1" ht="12.75">
      <c r="A102" s="571" t="s">
        <v>311</v>
      </c>
      <c r="B102" s="4961" t="s">
        <v>1028</v>
      </c>
      <c r="C102" s="4962"/>
      <c r="D102" s="4962"/>
      <c r="E102" s="4962"/>
      <c r="F102" s="4962"/>
      <c r="G102" s="4962"/>
      <c r="H102" s="4962"/>
      <c r="I102" s="4963"/>
      <c r="J102" s="4422"/>
    </row>
    <row r="103" spans="1:17" s="3746" customFormat="1" ht="15.75">
      <c r="A103" s="4964" t="s">
        <v>956</v>
      </c>
      <c r="B103" s="583" t="s">
        <v>1163</v>
      </c>
      <c r="C103" s="572" t="s">
        <v>781</v>
      </c>
      <c r="D103" s="955">
        <f>D68+D75+D82+D89+D96</f>
        <v>0</v>
      </c>
      <c r="E103" s="955">
        <f t="shared" ref="E103:I103" si="82">E68+E75+E82+E89+E96</f>
        <v>0</v>
      </c>
      <c r="F103" s="955">
        <f t="shared" si="82"/>
        <v>0</v>
      </c>
      <c r="G103" s="955">
        <f t="shared" si="82"/>
        <v>0</v>
      </c>
      <c r="H103" s="955">
        <f t="shared" si="82"/>
        <v>0</v>
      </c>
      <c r="I103" s="956">
        <f t="shared" si="82"/>
        <v>0</v>
      </c>
      <c r="J103" s="4422"/>
    </row>
    <row r="104" spans="1:17" s="3746" customFormat="1" ht="12.75">
      <c r="A104" s="4965"/>
      <c r="B104" s="584" t="s">
        <v>1158</v>
      </c>
      <c r="C104" s="572" t="s">
        <v>1159</v>
      </c>
      <c r="D104" s="955">
        <f>D70+D77+D84+D91+D98</f>
        <v>0</v>
      </c>
      <c r="E104" s="955">
        <f t="shared" ref="E104:I105" si="83">E70+E77+E84+E91+E98</f>
        <v>0</v>
      </c>
      <c r="F104" s="955">
        <f t="shared" si="83"/>
        <v>0</v>
      </c>
      <c r="G104" s="955">
        <f t="shared" si="83"/>
        <v>0</v>
      </c>
      <c r="H104" s="955">
        <f t="shared" si="83"/>
        <v>0</v>
      </c>
      <c r="I104" s="956">
        <f t="shared" si="83"/>
        <v>0</v>
      </c>
      <c r="J104" s="4422"/>
      <c r="K104" s="4429" t="s">
        <v>1877</v>
      </c>
      <c r="L104" s="4431">
        <f>IFERROR(D104/$C$1,0)</f>
        <v>0</v>
      </c>
      <c r="M104" s="4431">
        <f t="shared" ref="M104:Q104" si="84">IFERROR(E104/$C$1,0)</f>
        <v>0</v>
      </c>
      <c r="N104" s="4431">
        <f t="shared" si="84"/>
        <v>0</v>
      </c>
      <c r="O104" s="4431">
        <f t="shared" si="84"/>
        <v>0</v>
      </c>
      <c r="P104" s="4431">
        <f t="shared" si="84"/>
        <v>0</v>
      </c>
      <c r="Q104" s="4431">
        <f t="shared" si="84"/>
        <v>0</v>
      </c>
    </row>
    <row r="105" spans="1:17" s="3746" customFormat="1" ht="15.75">
      <c r="A105" s="4964" t="s">
        <v>957</v>
      </c>
      <c r="B105" s="583" t="s">
        <v>1164</v>
      </c>
      <c r="C105" s="572" t="s">
        <v>1161</v>
      </c>
      <c r="D105" s="955">
        <f>D71+D78+D85+D92+D99</f>
        <v>0</v>
      </c>
      <c r="E105" s="955">
        <f t="shared" si="83"/>
        <v>0</v>
      </c>
      <c r="F105" s="955">
        <f t="shared" si="83"/>
        <v>0</v>
      </c>
      <c r="G105" s="955">
        <f t="shared" si="83"/>
        <v>0</v>
      </c>
      <c r="H105" s="955">
        <f t="shared" si="83"/>
        <v>0</v>
      </c>
      <c r="I105" s="956">
        <f t="shared" si="83"/>
        <v>0</v>
      </c>
      <c r="J105" s="4422"/>
    </row>
    <row r="106" spans="1:17" s="3746" customFormat="1" ht="13.5" thickBot="1">
      <c r="A106" s="4966"/>
      <c r="B106" s="585" t="s">
        <v>1162</v>
      </c>
      <c r="C106" s="736" t="s">
        <v>1159</v>
      </c>
      <c r="D106" s="957">
        <f>D73+D80+D87+D94+D101</f>
        <v>0</v>
      </c>
      <c r="E106" s="958">
        <f t="shared" ref="E106:I106" si="85">E73+E80+E87+E94+E101</f>
        <v>0</v>
      </c>
      <c r="F106" s="958">
        <f t="shared" si="85"/>
        <v>0</v>
      </c>
      <c r="G106" s="959">
        <f t="shared" si="85"/>
        <v>0</v>
      </c>
      <c r="H106" s="960">
        <f t="shared" si="85"/>
        <v>0</v>
      </c>
      <c r="I106" s="961">
        <f t="shared" si="85"/>
        <v>0</v>
      </c>
      <c r="J106" s="4422"/>
      <c r="K106" s="4429" t="s">
        <v>1877</v>
      </c>
      <c r="L106" s="4431">
        <f>IFERROR(D106/$C$1,0)</f>
        <v>0</v>
      </c>
      <c r="M106" s="4431">
        <f t="shared" ref="M106" si="86">IFERROR(E106/$C$1,0)</f>
        <v>0</v>
      </c>
      <c r="N106" s="4431">
        <f t="shared" ref="N106" si="87">IFERROR(F106/$C$1,0)</f>
        <v>0</v>
      </c>
      <c r="O106" s="4431">
        <f t="shared" ref="O106" si="88">IFERROR(G106/$C$1,0)</f>
        <v>0</v>
      </c>
      <c r="P106" s="4431">
        <f t="shared" ref="P106" si="89">IFERROR(H106/$C$1,0)</f>
        <v>0</v>
      </c>
      <c r="Q106" s="4431">
        <f t="shared" ref="Q106" si="90">IFERROR(I106/$C$1,0)</f>
        <v>0</v>
      </c>
    </row>
    <row r="107" spans="1:17" s="3746" customFormat="1" ht="12.75">
      <c r="A107" s="4021" t="s">
        <v>1287</v>
      </c>
      <c r="B107" s="4950" t="s">
        <v>1783</v>
      </c>
      <c r="C107" s="4951"/>
      <c r="D107" s="4951"/>
      <c r="E107" s="4951"/>
      <c r="F107" s="4951"/>
      <c r="G107" s="4951"/>
      <c r="H107" s="4951"/>
      <c r="I107" s="4952"/>
      <c r="J107" s="4422"/>
    </row>
    <row r="108" spans="1:17" s="3746" customFormat="1" ht="12.75">
      <c r="A108" s="4022" t="s">
        <v>205</v>
      </c>
      <c r="B108" s="4953" t="s">
        <v>1155</v>
      </c>
      <c r="C108" s="4953"/>
      <c r="D108" s="4953"/>
      <c r="E108" s="4953"/>
      <c r="F108" s="4953"/>
      <c r="G108" s="4953"/>
      <c r="H108" s="4953"/>
      <c r="I108" s="4953"/>
      <c r="J108" s="4422"/>
    </row>
    <row r="109" spans="1:17" s="3746" customFormat="1" ht="15.75">
      <c r="A109" s="4954" t="s">
        <v>463</v>
      </c>
      <c r="B109" s="4955" t="s">
        <v>1156</v>
      </c>
      <c r="C109" s="4188" t="s">
        <v>781</v>
      </c>
      <c r="D109" s="574"/>
      <c r="E109" s="574"/>
      <c r="F109" s="574"/>
      <c r="G109" s="574"/>
      <c r="H109" s="574"/>
      <c r="I109" s="574"/>
      <c r="J109" s="4422"/>
    </row>
    <row r="110" spans="1:17" s="3746" customFormat="1" ht="15.75">
      <c r="A110" s="4954"/>
      <c r="B110" s="4955"/>
      <c r="C110" s="4188" t="s">
        <v>1854</v>
      </c>
      <c r="D110" s="574"/>
      <c r="E110" s="574"/>
      <c r="F110" s="574"/>
      <c r="G110" s="574"/>
      <c r="H110" s="574"/>
      <c r="I110" s="574"/>
      <c r="J110" s="4422"/>
      <c r="K110" s="4429" t="s">
        <v>1899</v>
      </c>
      <c r="L110" s="4430">
        <f>IFERROR(D110/$C$1,0)</f>
        <v>0</v>
      </c>
      <c r="M110" s="4430">
        <f t="shared" ref="M110:M111" si="91">IFERROR(E110/$C$1,0)</f>
        <v>0</v>
      </c>
      <c r="N110" s="4430">
        <f t="shared" ref="N110:N111" si="92">IFERROR(F110/$C$1,0)</f>
        <v>0</v>
      </c>
      <c r="O110" s="4430">
        <f t="shared" ref="O110:O111" si="93">IFERROR(G110/$C$1,0)</f>
        <v>0</v>
      </c>
      <c r="P110" s="4430">
        <f t="shared" ref="P110:P111" si="94">IFERROR(H110/$C$1,0)</f>
        <v>0</v>
      </c>
      <c r="Q110" s="4430">
        <f t="shared" ref="Q110:Q111" si="95">IFERROR(I110/$C$1,0)</f>
        <v>0</v>
      </c>
    </row>
    <row r="111" spans="1:17" s="3746" customFormat="1" ht="12.75">
      <c r="A111" s="4954"/>
      <c r="B111" s="4189" t="s">
        <v>1158</v>
      </c>
      <c r="C111" s="4188" t="s">
        <v>1159</v>
      </c>
      <c r="D111" s="4023">
        <f>D109*D110/1000</f>
        <v>0</v>
      </c>
      <c r="E111" s="4023">
        <f t="shared" ref="E111:I111" si="96">E109*E110/1000</f>
        <v>0</v>
      </c>
      <c r="F111" s="4023">
        <f t="shared" si="96"/>
        <v>0</v>
      </c>
      <c r="G111" s="4023">
        <f t="shared" si="96"/>
        <v>0</v>
      </c>
      <c r="H111" s="4023">
        <f t="shared" si="96"/>
        <v>0</v>
      </c>
      <c r="I111" s="4023">
        <f t="shared" si="96"/>
        <v>0</v>
      </c>
      <c r="J111" s="4422"/>
      <c r="K111" s="4429" t="s">
        <v>1877</v>
      </c>
      <c r="L111" s="4431">
        <f>IFERROR(D111/$C$1,0)</f>
        <v>0</v>
      </c>
      <c r="M111" s="4431">
        <f t="shared" si="91"/>
        <v>0</v>
      </c>
      <c r="N111" s="4431">
        <f t="shared" si="92"/>
        <v>0</v>
      </c>
      <c r="O111" s="4431">
        <f t="shared" si="93"/>
        <v>0</v>
      </c>
      <c r="P111" s="4431">
        <f t="shared" si="94"/>
        <v>0</v>
      </c>
      <c r="Q111" s="4431">
        <f t="shared" si="95"/>
        <v>0</v>
      </c>
    </row>
    <row r="112" spans="1:17" s="1897" customFormat="1">
      <c r="A112" s="735"/>
      <c r="B112" s="4899" t="s">
        <v>1465</v>
      </c>
      <c r="C112" s="4900"/>
      <c r="D112" s="1788">
        <f>(D104+D106+D111)-('12. Разходи'!C31+'12. Разходи'!AA31+'12. Разходи'!AI31)</f>
        <v>0</v>
      </c>
      <c r="E112" s="1788">
        <f>(E104+E106+E111)-('12. Разходи'!D31+'12. Разходи'!AB31+'12. Разходи'!AJ31)</f>
        <v>0</v>
      </c>
      <c r="F112" s="1788">
        <f>(F104+F106+F111)-('12. Разходи'!E31+'12. Разходи'!AC31+'12. Разходи'!AK31)</f>
        <v>0</v>
      </c>
      <c r="G112" s="1788">
        <f>(G104+G106+G111)-('12. Разходи'!F31+'12. Разходи'!AD31+'12. Разходи'!AL31)</f>
        <v>0</v>
      </c>
      <c r="H112" s="1788">
        <f>(H104+H106+H111)-('12. Разходи'!G31+'12. Разходи'!AE31+'12. Разходи'!AM31)</f>
        <v>0</v>
      </c>
      <c r="I112" s="1792">
        <f>(I104+I106+I111)-('12. Разходи'!H31+'12. Разходи'!AF31+'12. Разходи'!AN31)</f>
        <v>0</v>
      </c>
      <c r="J112" s="4422"/>
    </row>
    <row r="113" spans="1:9" s="1897" customFormat="1" ht="34.5" customHeight="1">
      <c r="A113" s="1896"/>
    </row>
    <row r="114" spans="1:9" s="1897" customFormat="1" ht="14.25">
      <c r="A114" s="1898" t="str">
        <f>'Приложение '!B82</f>
        <v>Дата: 29.06.2026</v>
      </c>
      <c r="B114" s="1899"/>
      <c r="C114" s="1900"/>
      <c r="D114" s="1901"/>
      <c r="F114" s="1902"/>
    </row>
    <row r="115" spans="1:9" s="1897" customFormat="1">
      <c r="A115" s="1896"/>
      <c r="C115" s="1903"/>
      <c r="D115" s="1904"/>
      <c r="F115" s="1902"/>
      <c r="G115" s="1905"/>
    </row>
    <row r="116" spans="1:9" s="1897" customFormat="1">
      <c r="A116" s="1896"/>
      <c r="F116" s="1902"/>
    </row>
    <row r="117" spans="1:9" ht="12.75">
      <c r="A117" s="4967" t="s">
        <v>187</v>
      </c>
      <c r="B117" s="4967"/>
      <c r="C117" s="4967"/>
      <c r="D117" s="4967"/>
      <c r="E117" s="1762"/>
      <c r="F117" s="1762"/>
      <c r="G117" s="1907"/>
      <c r="H117" s="1907"/>
      <c r="I117" s="1907"/>
    </row>
    <row r="118" spans="1:9" ht="12.75">
      <c r="A118" s="4968" t="s">
        <v>188</v>
      </c>
      <c r="B118" s="4968"/>
      <c r="C118" s="4968"/>
      <c r="D118" s="4968"/>
      <c r="E118" s="1762"/>
      <c r="F118" s="1762"/>
      <c r="G118" s="1908"/>
      <c r="H118" s="1908"/>
      <c r="I118" s="1908"/>
    </row>
    <row r="119" spans="1:9" ht="30" customHeight="1">
      <c r="A119" s="4956" t="s">
        <v>726</v>
      </c>
      <c r="B119" s="4956"/>
      <c r="C119" s="4956"/>
      <c r="D119" s="4956"/>
      <c r="E119" s="4956"/>
      <c r="F119" s="4956"/>
      <c r="G119" s="4956"/>
      <c r="H119" s="4956"/>
      <c r="I119" s="1909"/>
    </row>
    <row r="120" spans="1:9" ht="31.5" customHeight="1">
      <c r="A120" s="4957" t="s">
        <v>1445</v>
      </c>
      <c r="B120" s="4957"/>
      <c r="C120" s="4957"/>
      <c r="D120" s="4957"/>
      <c r="E120" s="4957"/>
      <c r="F120" s="4957"/>
      <c r="G120" s="4957"/>
      <c r="H120" s="4957"/>
      <c r="I120" s="1910"/>
    </row>
  </sheetData>
  <sheetProtection algorithmName="SHA-512" hashValue="8mXo8tJ0pPzDLXUE6DI3PEuU1IWPHEVQLSxNdk7n1hVIw6K+BpIeuc7r1nDO4LiG79CS4T5vrODGZ9p7tP+38w==" saltValue="l/AbrICStpaKfpW4/cLo9Q==" spinCount="100000" sheet="1" formatCells="0" formatColumns="0" formatRows="0"/>
  <mergeCells count="78">
    <mergeCell ref="B8:I8"/>
    <mergeCell ref="A15:A16"/>
    <mergeCell ref="B15:B16"/>
    <mergeCell ref="A68:A70"/>
    <mergeCell ref="B68:B69"/>
    <mergeCell ref="A25:A27"/>
    <mergeCell ref="B25:B27"/>
    <mergeCell ref="A34:A35"/>
    <mergeCell ref="B34:B35"/>
    <mergeCell ref="A44:A46"/>
    <mergeCell ref="B44:B46"/>
    <mergeCell ref="A53:A54"/>
    <mergeCell ref="B53:B54"/>
    <mergeCell ref="A63:A65"/>
    <mergeCell ref="B63:B65"/>
    <mergeCell ref="B66:I66"/>
    <mergeCell ref="A82:A84"/>
    <mergeCell ref="B82:B83"/>
    <mergeCell ref="A85:A87"/>
    <mergeCell ref="B85:B86"/>
    <mergeCell ref="B88:I88"/>
    <mergeCell ref="A71:A73"/>
    <mergeCell ref="B71:B72"/>
    <mergeCell ref="A75:A77"/>
    <mergeCell ref="B75:B76"/>
    <mergeCell ref="A78:A80"/>
    <mergeCell ref="B78:B79"/>
    <mergeCell ref="A96:A98"/>
    <mergeCell ref="B96:B97"/>
    <mergeCell ref="A99:A101"/>
    <mergeCell ref="B99:B100"/>
    <mergeCell ref="A89:A91"/>
    <mergeCell ref="B89:B90"/>
    <mergeCell ref="A2:I2"/>
    <mergeCell ref="A3:I3"/>
    <mergeCell ref="A4:I4"/>
    <mergeCell ref="A5:I5"/>
    <mergeCell ref="A1:B1"/>
    <mergeCell ref="C1:D1"/>
    <mergeCell ref="A17:A18"/>
    <mergeCell ref="B17:B18"/>
    <mergeCell ref="A36:A37"/>
    <mergeCell ref="B36:B37"/>
    <mergeCell ref="A38:A39"/>
    <mergeCell ref="B38:B39"/>
    <mergeCell ref="A19:A20"/>
    <mergeCell ref="B19:B20"/>
    <mergeCell ref="A21:A22"/>
    <mergeCell ref="B21:B22"/>
    <mergeCell ref="A23:A24"/>
    <mergeCell ref="B23:B24"/>
    <mergeCell ref="A40:A41"/>
    <mergeCell ref="B40:B41"/>
    <mergeCell ref="A42:A43"/>
    <mergeCell ref="B42:B43"/>
    <mergeCell ref="A55:A56"/>
    <mergeCell ref="B55:B56"/>
    <mergeCell ref="A120:H120"/>
    <mergeCell ref="B112:C112"/>
    <mergeCell ref="A57:A58"/>
    <mergeCell ref="B57:B58"/>
    <mergeCell ref="A59:A60"/>
    <mergeCell ref="B59:B60"/>
    <mergeCell ref="A61:A62"/>
    <mergeCell ref="B61:B62"/>
    <mergeCell ref="B102:I102"/>
    <mergeCell ref="A103:A104"/>
    <mergeCell ref="A105:A106"/>
    <mergeCell ref="A117:D117"/>
    <mergeCell ref="A118:D118"/>
    <mergeCell ref="A92:A94"/>
    <mergeCell ref="B92:B93"/>
    <mergeCell ref="B95:I95"/>
    <mergeCell ref="B107:I107"/>
    <mergeCell ref="B108:I108"/>
    <mergeCell ref="A109:A111"/>
    <mergeCell ref="B109:B110"/>
    <mergeCell ref="A119:H119"/>
  </mergeCells>
  <pageMargins left="0.70866141732283472" right="0.11811023622047245" top="0.74803149606299213" bottom="0.23622047244094491" header="0.31496062992125984" footer="0.11811023622047245"/>
  <pageSetup paperSize="9" scale="79" orientation="portrait" r:id="rId1"/>
  <headerFooter alignWithMargins="0">
    <oddFooter>&amp;C&amp;A&amp;RСтр. &amp;P от &amp;N</oddFooter>
  </headerFooter>
  <rowBreaks count="1" manualBreakCount="1">
    <brk id="65"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DR79"/>
  <sheetViews>
    <sheetView showGridLines="0" view="pageBreakPreview" zoomScale="70" zoomScaleNormal="40" zoomScaleSheetLayoutView="70" workbookViewId="0">
      <pane xSplit="2" ySplit="9" topLeftCell="C10" activePane="bottomRight" state="frozen"/>
      <selection pane="topRight" activeCell="C1" sqref="C1"/>
      <selection pane="bottomLeft" activeCell="A10" sqref="A10"/>
      <selection pane="bottomRight" activeCell="F30" sqref="F30"/>
    </sheetView>
  </sheetViews>
  <sheetFormatPr defaultColWidth="9.140625" defaultRowHeight="12.75"/>
  <cols>
    <col min="1" max="1" width="6.5703125" style="144" customWidth="1"/>
    <col min="2" max="2" width="48.42578125" style="143" bestFit="1" customWidth="1"/>
    <col min="3" max="3" width="7.5703125" style="144" customWidth="1"/>
    <col min="4" max="5" width="10" style="144" bestFit="1" customWidth="1"/>
    <col min="6" max="8" width="7.5703125" style="144" customWidth="1"/>
    <col min="9" max="39" width="7.5703125" style="143" customWidth="1"/>
    <col min="40" max="41" width="9.5703125" style="143" bestFit="1" customWidth="1"/>
    <col min="42" max="46" width="7.5703125" style="143" customWidth="1"/>
    <col min="47" max="47" width="10.5703125" style="756" customWidth="1"/>
    <col min="48" max="48" width="10.42578125" style="756" customWidth="1"/>
    <col min="49" max="49" width="12.42578125" style="164" customWidth="1"/>
    <col min="50" max="50" width="2.140625" style="164" customWidth="1"/>
    <col min="51" max="51" width="9.140625" style="164" customWidth="1"/>
    <col min="52" max="54" width="7.5703125" style="164" customWidth="1"/>
    <col min="55" max="95" width="7.5703125" style="143" customWidth="1"/>
    <col min="96" max="16384" width="9.140625" style="143"/>
  </cols>
  <sheetData>
    <row r="1" spans="1:121" ht="16.5" thickBot="1">
      <c r="A1" s="4792" t="str">
        <f>+'1. Обща информация'!B40</f>
        <v>Фиксиран курс на лева към 1 евро</v>
      </c>
      <c r="B1" s="4792"/>
      <c r="C1" s="4793">
        <f>+'1. Обща информация'!$C$40</f>
        <v>1.95583</v>
      </c>
      <c r="D1" s="4793"/>
      <c r="E1" s="1920"/>
      <c r="F1" s="1920"/>
      <c r="G1" s="1920"/>
      <c r="H1" s="1920"/>
      <c r="I1" s="1920"/>
      <c r="J1" s="1920"/>
      <c r="K1" s="1920"/>
      <c r="L1" s="1920"/>
      <c r="M1" s="1920"/>
      <c r="N1" s="1920"/>
      <c r="O1" s="1920"/>
      <c r="P1" s="1920"/>
      <c r="Q1" s="1920"/>
      <c r="R1" s="1920"/>
      <c r="S1" s="1920"/>
      <c r="T1" s="1920"/>
      <c r="U1" s="147"/>
      <c r="V1" s="147"/>
      <c r="W1" s="147"/>
      <c r="X1" s="147"/>
      <c r="Y1" s="147"/>
      <c r="Z1" s="1921" t="s">
        <v>0</v>
      </c>
      <c r="AA1" s="147"/>
      <c r="AB1" s="147"/>
      <c r="AC1" s="147"/>
      <c r="AD1" s="147"/>
      <c r="AE1" s="147"/>
      <c r="AG1" s="147"/>
      <c r="AH1" s="147"/>
      <c r="AI1" s="147"/>
      <c r="AJ1" s="147"/>
      <c r="AK1" s="147"/>
      <c r="AL1" s="147"/>
      <c r="AM1" s="1920"/>
      <c r="AN1" s="147"/>
      <c r="AO1" s="147"/>
      <c r="AP1" s="1920"/>
      <c r="AQ1" s="1920"/>
      <c r="AR1" s="1920"/>
      <c r="AT1" s="1920"/>
      <c r="AU1" s="147"/>
      <c r="AV1" s="147"/>
      <c r="AW1" s="148"/>
      <c r="AX1" s="148"/>
      <c r="AY1" s="148"/>
      <c r="AZ1" s="148"/>
      <c r="BA1" s="148"/>
      <c r="BB1" s="59"/>
      <c r="BC1" s="147"/>
      <c r="BD1" s="147"/>
      <c r="BE1" s="147"/>
      <c r="BF1" s="147"/>
    </row>
    <row r="2" spans="1:121" ht="18.75">
      <c r="A2" s="4829" t="s">
        <v>551</v>
      </c>
      <c r="B2" s="4829"/>
      <c r="C2" s="4829"/>
      <c r="D2" s="4829"/>
      <c r="E2" s="4829"/>
      <c r="F2" s="4829"/>
      <c r="G2" s="4829"/>
      <c r="H2" s="4829"/>
      <c r="I2" s="4829"/>
      <c r="J2" s="4829"/>
      <c r="K2" s="4829"/>
      <c r="L2" s="4829"/>
      <c r="M2" s="4829"/>
      <c r="N2" s="4829"/>
      <c r="O2" s="4829"/>
      <c r="P2" s="4829"/>
      <c r="Q2" s="4829"/>
      <c r="R2" s="4829"/>
      <c r="S2" s="4829"/>
      <c r="T2" s="4829"/>
      <c r="U2" s="4829"/>
      <c r="V2" s="4829"/>
      <c r="W2" s="4829"/>
      <c r="X2" s="4829"/>
      <c r="Y2" s="4829"/>
      <c r="Z2" s="4829"/>
      <c r="AA2" s="179"/>
      <c r="AB2" s="179"/>
      <c r="AC2" s="179"/>
      <c r="AD2" s="179"/>
      <c r="AE2" s="179"/>
      <c r="AF2" s="179"/>
      <c r="AG2" s="179"/>
      <c r="AH2" s="179"/>
      <c r="AI2" s="179"/>
      <c r="AJ2" s="179"/>
      <c r="AK2" s="179"/>
      <c r="AL2" s="179"/>
      <c r="AM2" s="3672"/>
      <c r="AN2" s="179"/>
      <c r="AO2" s="179"/>
      <c r="AP2" s="3672"/>
      <c r="AQ2" s="3672"/>
      <c r="AR2" s="3672"/>
      <c r="AS2" s="3672"/>
      <c r="AT2" s="3672"/>
      <c r="AU2" s="753"/>
      <c r="AV2" s="753"/>
      <c r="AW2" s="179"/>
      <c r="AX2" s="179"/>
      <c r="AY2" s="179"/>
      <c r="AZ2" s="179"/>
      <c r="BA2" s="179"/>
      <c r="BB2" s="179"/>
      <c r="BC2" s="147"/>
      <c r="BD2" s="147"/>
      <c r="BE2" s="147"/>
      <c r="BF2" s="147"/>
    </row>
    <row r="3" spans="1:121" ht="18.75">
      <c r="A3" s="4829" t="s">
        <v>877</v>
      </c>
      <c r="B3" s="4829"/>
      <c r="C3" s="4829"/>
      <c r="D3" s="4829"/>
      <c r="E3" s="4829"/>
      <c r="F3" s="4829"/>
      <c r="G3" s="4829"/>
      <c r="H3" s="4829"/>
      <c r="I3" s="4829"/>
      <c r="J3" s="4829"/>
      <c r="K3" s="4829"/>
      <c r="L3" s="4829"/>
      <c r="M3" s="4829"/>
      <c r="N3" s="4829"/>
      <c r="O3" s="4829"/>
      <c r="P3" s="4829"/>
      <c r="Q3" s="4829"/>
      <c r="R3" s="4829"/>
      <c r="S3" s="4829"/>
      <c r="T3" s="4829"/>
      <c r="U3" s="4829"/>
      <c r="V3" s="4829"/>
      <c r="W3" s="4829"/>
      <c r="X3" s="4829"/>
      <c r="Y3" s="4829"/>
      <c r="Z3" s="4829"/>
      <c r="AA3" s="179"/>
      <c r="AB3" s="179"/>
      <c r="AC3" s="179"/>
      <c r="AD3" s="179"/>
      <c r="AE3" s="179"/>
      <c r="AF3" s="179"/>
      <c r="AG3" s="179"/>
      <c r="AH3" s="179"/>
      <c r="AI3" s="179"/>
      <c r="AJ3" s="179"/>
      <c r="AK3" s="179"/>
      <c r="AL3" s="179"/>
      <c r="AM3" s="3672"/>
      <c r="AN3" s="179"/>
      <c r="AO3" s="179"/>
      <c r="AP3" s="3672"/>
      <c r="AQ3" s="3672"/>
      <c r="AR3" s="3672"/>
      <c r="AS3" s="3672"/>
      <c r="AT3" s="3672"/>
      <c r="AU3" s="753"/>
      <c r="AV3" s="753"/>
      <c r="AW3" s="179"/>
      <c r="AX3" s="179"/>
      <c r="AY3" s="179"/>
      <c r="AZ3" s="179"/>
      <c r="BA3" s="179"/>
      <c r="BB3" s="179"/>
      <c r="BC3" s="149"/>
      <c r="BD3" s="149"/>
      <c r="BE3" s="149"/>
      <c r="BF3" s="149"/>
    </row>
    <row r="4" spans="1:121" ht="15.75">
      <c r="A4" s="4976" t="str">
        <f>'1. Обща информация'!A4</f>
        <v>на ВОДОСНАБДЯВАНЕ И КАНАЛИЗАЦИЯ ЕООД, гр. ХАСКОВО</v>
      </c>
      <c r="B4" s="4976"/>
      <c r="C4" s="4976"/>
      <c r="D4" s="4976"/>
      <c r="E4" s="4976"/>
      <c r="F4" s="4976"/>
      <c r="G4" s="4976"/>
      <c r="H4" s="4976"/>
      <c r="I4" s="4976"/>
      <c r="J4" s="4976"/>
      <c r="K4" s="4976"/>
      <c r="L4" s="4976"/>
      <c r="M4" s="4976"/>
      <c r="N4" s="4976"/>
      <c r="O4" s="4976"/>
      <c r="P4" s="4976"/>
      <c r="Q4" s="4976"/>
      <c r="R4" s="4976"/>
      <c r="S4" s="4976"/>
      <c r="T4" s="4976"/>
      <c r="U4" s="4976"/>
      <c r="V4" s="4976"/>
      <c r="W4" s="4976"/>
      <c r="X4" s="4976"/>
      <c r="Y4" s="4976"/>
      <c r="Z4" s="4976"/>
      <c r="AA4" s="180"/>
      <c r="AB4" s="180"/>
      <c r="AC4" s="180"/>
      <c r="AD4" s="180"/>
      <c r="AE4" s="180"/>
      <c r="AF4" s="180"/>
      <c r="AG4" s="180"/>
      <c r="AH4" s="180"/>
      <c r="AI4" s="180"/>
      <c r="AJ4" s="180"/>
      <c r="AK4" s="180"/>
      <c r="AL4" s="180"/>
      <c r="AM4" s="3668"/>
      <c r="AN4" s="180"/>
      <c r="AO4" s="180"/>
      <c r="AP4" s="3668"/>
      <c r="AQ4" s="3668"/>
      <c r="AR4" s="3668"/>
      <c r="AS4" s="3668"/>
      <c r="AT4" s="3668"/>
      <c r="AU4" s="754"/>
      <c r="AV4" s="754"/>
      <c r="AW4" s="180"/>
      <c r="AX4" s="180"/>
      <c r="AY4" s="180"/>
      <c r="AZ4" s="180"/>
      <c r="BA4" s="180"/>
      <c r="BB4" s="180"/>
      <c r="BC4" s="147"/>
      <c r="BD4" s="147"/>
      <c r="BE4" s="147"/>
      <c r="BF4" s="147"/>
    </row>
    <row r="5" spans="1:121" ht="15.75">
      <c r="A5" s="4976" t="str">
        <f>'1. Обща информация'!A5</f>
        <v>ЕИК по БУЛСТАТ: 126004284</v>
      </c>
      <c r="B5" s="4976"/>
      <c r="C5" s="4976"/>
      <c r="D5" s="4976"/>
      <c r="E5" s="4976"/>
      <c r="F5" s="4976"/>
      <c r="G5" s="4976"/>
      <c r="H5" s="4976"/>
      <c r="I5" s="4976"/>
      <c r="J5" s="4976"/>
      <c r="K5" s="4976"/>
      <c r="L5" s="4976"/>
      <c r="M5" s="4976"/>
      <c r="N5" s="4976"/>
      <c r="O5" s="4976"/>
      <c r="P5" s="4976"/>
      <c r="Q5" s="4976"/>
      <c r="R5" s="4976"/>
      <c r="S5" s="4976"/>
      <c r="T5" s="4976"/>
      <c r="U5" s="4976"/>
      <c r="V5" s="4976"/>
      <c r="W5" s="4976"/>
      <c r="X5" s="4976"/>
      <c r="Y5" s="4976"/>
      <c r="Z5" s="4976"/>
      <c r="AA5" s="180"/>
      <c r="AB5" s="180"/>
      <c r="AC5" s="180"/>
      <c r="AD5" s="180"/>
      <c r="AE5" s="180"/>
      <c r="AF5" s="180"/>
      <c r="AG5" s="180"/>
      <c r="AH5" s="180"/>
      <c r="AI5" s="180"/>
      <c r="AJ5" s="180"/>
      <c r="AK5" s="180"/>
      <c r="AL5" s="180"/>
      <c r="AM5" s="3668"/>
      <c r="AN5" s="180"/>
      <c r="AO5" s="180"/>
      <c r="AP5" s="3668"/>
      <c r="AQ5" s="3668"/>
      <c r="AR5" s="3668"/>
      <c r="AS5" s="3668"/>
      <c r="AT5" s="3668"/>
      <c r="AU5" s="754"/>
      <c r="AV5" s="754"/>
      <c r="AW5" s="180"/>
      <c r="AX5" s="180"/>
      <c r="AY5" s="180"/>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c r="CB5" s="162"/>
      <c r="CC5" s="162"/>
      <c r="CD5" s="162"/>
      <c r="CE5" s="162"/>
      <c r="CF5" s="162"/>
      <c r="CG5" s="162"/>
      <c r="CH5" s="162"/>
      <c r="CI5" s="162"/>
      <c r="CJ5" s="162"/>
      <c r="CK5" s="162"/>
      <c r="CL5" s="162"/>
      <c r="CM5" s="162"/>
      <c r="CN5" s="162"/>
      <c r="CO5" s="162"/>
      <c r="CP5" s="162"/>
      <c r="CQ5" s="162"/>
      <c r="CR5" s="162"/>
      <c r="CS5" s="162"/>
      <c r="CT5" s="162"/>
      <c r="CU5" s="162"/>
      <c r="CV5" s="162"/>
      <c r="CW5" s="162"/>
      <c r="CX5" s="162"/>
      <c r="CY5" s="162"/>
      <c r="CZ5" s="162"/>
      <c r="DA5" s="162"/>
      <c r="DB5" s="162"/>
      <c r="DC5" s="162"/>
      <c r="DD5" s="162"/>
      <c r="DE5" s="162"/>
      <c r="DF5" s="162"/>
      <c r="DG5" s="162"/>
      <c r="DH5" s="162"/>
      <c r="DI5" s="162"/>
      <c r="DJ5" s="162"/>
      <c r="DK5" s="162"/>
      <c r="DL5" s="162"/>
      <c r="DM5" s="162"/>
      <c r="DN5" s="162"/>
      <c r="DO5" s="162"/>
      <c r="DP5" s="162"/>
      <c r="DQ5" s="162"/>
    </row>
    <row r="6" spans="1:121" ht="15" thickBot="1">
      <c r="A6" s="599"/>
      <c r="B6" s="599"/>
      <c r="C6" s="599"/>
      <c r="D6" s="599"/>
      <c r="E6" s="599"/>
      <c r="F6" s="599"/>
      <c r="G6" s="599"/>
      <c r="H6" s="599"/>
      <c r="I6" s="599"/>
      <c r="J6" s="599"/>
      <c r="K6" s="599"/>
      <c r="L6" s="599"/>
      <c r="M6" s="599"/>
      <c r="N6" s="599"/>
      <c r="O6" s="599"/>
      <c r="P6" s="599"/>
      <c r="Q6" s="599"/>
      <c r="R6" s="599"/>
      <c r="S6" s="599"/>
      <c r="T6" s="599"/>
      <c r="U6" s="147"/>
      <c r="V6" s="147"/>
      <c r="W6" s="147"/>
      <c r="X6" s="147"/>
      <c r="Y6" s="147"/>
      <c r="Z6" s="147"/>
      <c r="AA6" s="147"/>
      <c r="AB6" s="147"/>
      <c r="AC6" s="147"/>
      <c r="AD6" s="147"/>
      <c r="AE6" s="147"/>
      <c r="AF6" s="147"/>
      <c r="AG6" s="147"/>
      <c r="AH6" s="147"/>
      <c r="AI6" s="147"/>
      <c r="AJ6" s="147"/>
      <c r="AK6" s="147"/>
      <c r="AL6" s="147"/>
      <c r="AM6" s="599"/>
      <c r="AN6" s="147"/>
      <c r="AO6" s="147"/>
      <c r="AP6" s="599"/>
      <c r="AQ6" s="599"/>
      <c r="AR6" s="599"/>
      <c r="AS6" s="599"/>
      <c r="AT6" s="599"/>
      <c r="AU6" s="147"/>
      <c r="AV6" s="147"/>
      <c r="AW6" s="148"/>
      <c r="AX6" s="147"/>
      <c r="AY6" s="147"/>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162"/>
      <c r="DB6" s="162"/>
      <c r="DC6" s="162"/>
      <c r="DD6" s="162"/>
      <c r="DE6" s="162"/>
      <c r="DF6" s="162"/>
      <c r="DG6" s="162"/>
      <c r="DH6" s="162"/>
      <c r="DI6" s="162"/>
      <c r="DJ6" s="162"/>
      <c r="DK6" s="162"/>
      <c r="DL6" s="162"/>
      <c r="DM6" s="162"/>
      <c r="DN6" s="162"/>
      <c r="DO6" s="162"/>
      <c r="DP6" s="162"/>
      <c r="DQ6" s="162"/>
    </row>
    <row r="7" spans="1:121" s="163" customFormat="1" ht="22.5" customHeight="1" thickBot="1">
      <c r="A7" s="4991" t="s">
        <v>1</v>
      </c>
      <c r="B7" s="5007" t="s">
        <v>204</v>
      </c>
      <c r="C7" s="4997" t="s">
        <v>224</v>
      </c>
      <c r="D7" s="4998"/>
      <c r="E7" s="4998"/>
      <c r="F7" s="4998"/>
      <c r="G7" s="4998"/>
      <c r="H7" s="4998"/>
      <c r="I7" s="4998"/>
      <c r="J7" s="4998"/>
      <c r="K7" s="4998"/>
      <c r="L7" s="4998"/>
      <c r="M7" s="4998"/>
      <c r="N7" s="4998"/>
      <c r="O7" s="4998"/>
      <c r="P7" s="4998"/>
      <c r="Q7" s="4998"/>
      <c r="R7" s="4998"/>
      <c r="S7" s="4998"/>
      <c r="T7" s="4998"/>
      <c r="U7" s="4998"/>
      <c r="V7" s="4998"/>
      <c r="W7" s="4998"/>
      <c r="X7" s="4998"/>
      <c r="Y7" s="4998"/>
      <c r="Z7" s="4998"/>
      <c r="AA7" s="4998"/>
      <c r="AB7" s="4998"/>
      <c r="AC7" s="4998"/>
      <c r="AD7" s="4998"/>
      <c r="AE7" s="4998"/>
      <c r="AF7" s="4999"/>
      <c r="AG7" s="4991" t="s">
        <v>225</v>
      </c>
      <c r="AH7" s="5006"/>
      <c r="AI7" s="5006"/>
      <c r="AJ7" s="5006"/>
      <c r="AK7" s="5006"/>
      <c r="AL7" s="5007"/>
      <c r="AM7" s="5003" t="s">
        <v>1273</v>
      </c>
      <c r="AN7" s="5004"/>
      <c r="AO7" s="5004"/>
      <c r="AP7" s="5004"/>
      <c r="AQ7" s="5004"/>
      <c r="AR7" s="5004"/>
      <c r="AS7" s="5004"/>
      <c r="AT7" s="5004"/>
      <c r="AU7" s="5005"/>
      <c r="AV7" s="4995" t="s">
        <v>1177</v>
      </c>
      <c r="AW7" s="4995" t="s">
        <v>1274</v>
      </c>
      <c r="AX7" s="4422"/>
      <c r="AY7" s="4987" t="s">
        <v>166</v>
      </c>
      <c r="AZ7" s="4986" t="s">
        <v>224</v>
      </c>
      <c r="BA7" s="4986"/>
      <c r="BB7" s="4986"/>
      <c r="BC7" s="4986"/>
      <c r="BD7" s="4986"/>
      <c r="BE7" s="4986"/>
      <c r="BF7" s="4986"/>
      <c r="BG7" s="4986"/>
      <c r="BH7" s="4986"/>
      <c r="BI7" s="4986"/>
      <c r="BJ7" s="4986"/>
      <c r="BK7" s="4986"/>
      <c r="BL7" s="4986"/>
      <c r="BM7" s="4986"/>
      <c r="BN7" s="4986"/>
      <c r="BO7" s="4986"/>
      <c r="BP7" s="4986"/>
      <c r="BQ7" s="4986"/>
      <c r="BR7" s="4986"/>
      <c r="BS7" s="4986"/>
      <c r="BT7" s="4986"/>
      <c r="BU7" s="4986"/>
      <c r="BV7" s="4986"/>
      <c r="BW7" s="4986"/>
      <c r="BX7" s="4986"/>
      <c r="BY7" s="4986"/>
      <c r="BZ7" s="4986"/>
      <c r="CA7" s="4986"/>
      <c r="CB7" s="4986"/>
      <c r="CC7" s="4986"/>
      <c r="CD7" s="4986" t="s">
        <v>225</v>
      </c>
      <c r="CE7" s="4986"/>
      <c r="CF7" s="4986"/>
      <c r="CG7" s="4986"/>
      <c r="CH7" s="4986"/>
      <c r="CI7" s="4986"/>
      <c r="CJ7" s="4986" t="s">
        <v>1273</v>
      </c>
      <c r="CK7" s="4986"/>
      <c r="CL7" s="4986"/>
      <c r="CM7" s="4986"/>
      <c r="CN7" s="4986"/>
      <c r="CO7" s="4986"/>
      <c r="CP7" s="4986"/>
      <c r="CQ7" s="4986"/>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row>
    <row r="8" spans="1:121" s="163" customFormat="1" ht="38.25" customHeight="1" thickBot="1">
      <c r="A8" s="4992"/>
      <c r="B8" s="5011"/>
      <c r="C8" s="5013" t="s">
        <v>207</v>
      </c>
      <c r="D8" s="5014"/>
      <c r="E8" s="5014"/>
      <c r="F8" s="5014"/>
      <c r="G8" s="5014"/>
      <c r="H8" s="5015"/>
      <c r="I8" s="5013" t="s">
        <v>208</v>
      </c>
      <c r="J8" s="5014"/>
      <c r="K8" s="5014"/>
      <c r="L8" s="5014"/>
      <c r="M8" s="5014"/>
      <c r="N8" s="5015"/>
      <c r="O8" s="5013" t="s">
        <v>209</v>
      </c>
      <c r="P8" s="5014"/>
      <c r="Q8" s="5014"/>
      <c r="R8" s="5014"/>
      <c r="S8" s="5014"/>
      <c r="T8" s="5015"/>
      <c r="U8" s="5000" t="s">
        <v>1029</v>
      </c>
      <c r="V8" s="5001"/>
      <c r="W8" s="5001"/>
      <c r="X8" s="5001"/>
      <c r="Y8" s="5001"/>
      <c r="Z8" s="5002"/>
      <c r="AA8" s="5000" t="s">
        <v>1194</v>
      </c>
      <c r="AB8" s="5001"/>
      <c r="AC8" s="5001"/>
      <c r="AD8" s="5001"/>
      <c r="AE8" s="5001"/>
      <c r="AF8" s="5002"/>
      <c r="AG8" s="5008"/>
      <c r="AH8" s="5009"/>
      <c r="AI8" s="5009"/>
      <c r="AJ8" s="5009"/>
      <c r="AK8" s="5009"/>
      <c r="AL8" s="5010"/>
      <c r="AM8" s="5000"/>
      <c r="AN8" s="5001"/>
      <c r="AO8" s="5001"/>
      <c r="AP8" s="5001"/>
      <c r="AQ8" s="5001"/>
      <c r="AR8" s="5001"/>
      <c r="AS8" s="5001"/>
      <c r="AT8" s="5001"/>
      <c r="AU8" s="5002"/>
      <c r="AV8" s="4996"/>
      <c r="AW8" s="4996"/>
      <c r="AX8" s="4422"/>
      <c r="AY8" s="4988"/>
      <c r="AZ8" s="4990" t="s">
        <v>207</v>
      </c>
      <c r="BA8" s="4990"/>
      <c r="BB8" s="4990"/>
      <c r="BC8" s="4990"/>
      <c r="BD8" s="4990"/>
      <c r="BE8" s="4990"/>
      <c r="BF8" s="4990" t="s">
        <v>208</v>
      </c>
      <c r="BG8" s="4990"/>
      <c r="BH8" s="4990"/>
      <c r="BI8" s="4990"/>
      <c r="BJ8" s="4990"/>
      <c r="BK8" s="4990"/>
      <c r="BL8" s="4990" t="s">
        <v>209</v>
      </c>
      <c r="BM8" s="4990"/>
      <c r="BN8" s="4990"/>
      <c r="BO8" s="4990"/>
      <c r="BP8" s="4990"/>
      <c r="BQ8" s="4990"/>
      <c r="BR8" s="4986" t="s">
        <v>1029</v>
      </c>
      <c r="BS8" s="4986"/>
      <c r="BT8" s="4986"/>
      <c r="BU8" s="4986"/>
      <c r="BV8" s="4986"/>
      <c r="BW8" s="4986"/>
      <c r="BX8" s="4986" t="s">
        <v>1194</v>
      </c>
      <c r="BY8" s="4986"/>
      <c r="BZ8" s="4986"/>
      <c r="CA8" s="4986"/>
      <c r="CB8" s="4986"/>
      <c r="CC8" s="4986"/>
      <c r="CD8" s="4986"/>
      <c r="CE8" s="4986"/>
      <c r="CF8" s="4986"/>
      <c r="CG8" s="4986"/>
      <c r="CH8" s="4986"/>
      <c r="CI8" s="4986"/>
      <c r="CJ8" s="4986"/>
      <c r="CK8" s="4986"/>
      <c r="CL8" s="4986"/>
      <c r="CM8" s="4986"/>
      <c r="CN8" s="4986"/>
      <c r="CO8" s="4986"/>
      <c r="CP8" s="4986"/>
      <c r="CQ8" s="4986"/>
      <c r="CR8" s="162"/>
      <c r="CS8" s="162"/>
      <c r="CT8" s="162"/>
      <c r="CU8" s="162"/>
      <c r="CV8" s="162"/>
      <c r="CW8" s="162"/>
      <c r="CX8" s="162"/>
      <c r="CY8" s="162"/>
      <c r="CZ8" s="162"/>
      <c r="DA8" s="162"/>
      <c r="DB8" s="162"/>
      <c r="DC8" s="162"/>
      <c r="DD8" s="162"/>
      <c r="DE8" s="162"/>
      <c r="DF8" s="162"/>
      <c r="DG8" s="162"/>
      <c r="DH8" s="162"/>
      <c r="DI8" s="162"/>
      <c r="DJ8" s="162"/>
      <c r="DK8" s="162"/>
      <c r="DL8" s="162"/>
      <c r="DM8" s="162"/>
      <c r="DN8" s="162"/>
      <c r="DO8" s="162"/>
      <c r="DP8" s="162"/>
      <c r="DQ8" s="162"/>
    </row>
    <row r="9" spans="1:121" s="163" customFormat="1" ht="24.75" thickBot="1">
      <c r="A9" s="4993"/>
      <c r="B9" s="5012"/>
      <c r="C9" s="150" t="str">
        <f>'Приложение '!C12</f>
        <v>2024 г.</v>
      </c>
      <c r="D9" s="151" t="str">
        <f>'Приложение '!C14</f>
        <v>2027 г.</v>
      </c>
      <c r="E9" s="151" t="str">
        <f>'Приложение '!C15</f>
        <v>2028 г.</v>
      </c>
      <c r="F9" s="151" t="str">
        <f>'Приложение '!C16</f>
        <v>2029 г.</v>
      </c>
      <c r="G9" s="151" t="str">
        <f>'Приложение '!C17</f>
        <v>2030 г.</v>
      </c>
      <c r="H9" s="152" t="str">
        <f>'Приложение '!C18</f>
        <v>2031 г.</v>
      </c>
      <c r="I9" s="153" t="str">
        <f t="shared" ref="I9:T9" si="0">C9</f>
        <v>2024 г.</v>
      </c>
      <c r="J9" s="154" t="str">
        <f t="shared" si="0"/>
        <v>2027 г.</v>
      </c>
      <c r="K9" s="154" t="str">
        <f t="shared" si="0"/>
        <v>2028 г.</v>
      </c>
      <c r="L9" s="154" t="str">
        <f t="shared" si="0"/>
        <v>2029 г.</v>
      </c>
      <c r="M9" s="154" t="str">
        <f t="shared" si="0"/>
        <v>2030 г.</v>
      </c>
      <c r="N9" s="155" t="str">
        <f t="shared" si="0"/>
        <v>2031 г.</v>
      </c>
      <c r="O9" s="153" t="str">
        <f t="shared" si="0"/>
        <v>2024 г.</v>
      </c>
      <c r="P9" s="154" t="str">
        <f t="shared" si="0"/>
        <v>2027 г.</v>
      </c>
      <c r="Q9" s="154" t="str">
        <f t="shared" si="0"/>
        <v>2028 г.</v>
      </c>
      <c r="R9" s="154" t="str">
        <f t="shared" si="0"/>
        <v>2029 г.</v>
      </c>
      <c r="S9" s="154" t="str">
        <f t="shared" si="0"/>
        <v>2030 г.</v>
      </c>
      <c r="T9" s="155" t="str">
        <f t="shared" si="0"/>
        <v>2031 г.</v>
      </c>
      <c r="U9" s="153" t="str">
        <f t="shared" ref="U9:Z9" si="1">AG9</f>
        <v>2024 г.</v>
      </c>
      <c r="V9" s="154" t="str">
        <f t="shared" si="1"/>
        <v>2027 г.</v>
      </c>
      <c r="W9" s="154" t="str">
        <f t="shared" si="1"/>
        <v>2028 г.</v>
      </c>
      <c r="X9" s="154" t="str">
        <f t="shared" si="1"/>
        <v>2029 г.</v>
      </c>
      <c r="Y9" s="154" t="str">
        <f t="shared" si="1"/>
        <v>2030 г.</v>
      </c>
      <c r="Z9" s="155" t="str">
        <f t="shared" si="1"/>
        <v>2031 г.</v>
      </c>
      <c r="AA9" s="153" t="str">
        <f t="shared" ref="AA9:AF9" si="2">U9</f>
        <v>2024 г.</v>
      </c>
      <c r="AB9" s="154" t="str">
        <f t="shared" si="2"/>
        <v>2027 г.</v>
      </c>
      <c r="AC9" s="154" t="str">
        <f t="shared" si="2"/>
        <v>2028 г.</v>
      </c>
      <c r="AD9" s="154" t="str">
        <f t="shared" si="2"/>
        <v>2029 г.</v>
      </c>
      <c r="AE9" s="154" t="str">
        <f t="shared" si="2"/>
        <v>2030 г.</v>
      </c>
      <c r="AF9" s="155" t="str">
        <f t="shared" si="2"/>
        <v>2031 г.</v>
      </c>
      <c r="AG9" s="153" t="str">
        <f t="shared" ref="AG9:AL9" si="3">O9</f>
        <v>2024 г.</v>
      </c>
      <c r="AH9" s="154" t="str">
        <f t="shared" si="3"/>
        <v>2027 г.</v>
      </c>
      <c r="AI9" s="154" t="str">
        <f t="shared" si="3"/>
        <v>2028 г.</v>
      </c>
      <c r="AJ9" s="154" t="str">
        <f t="shared" si="3"/>
        <v>2029 г.</v>
      </c>
      <c r="AK9" s="154" t="str">
        <f t="shared" si="3"/>
        <v>2030 г.</v>
      </c>
      <c r="AL9" s="155" t="str">
        <f t="shared" si="3"/>
        <v>2031 г.</v>
      </c>
      <c r="AM9" s="601" t="str">
        <f t="shared" ref="AM9" si="4">AG9</f>
        <v>2024 г.</v>
      </c>
      <c r="AN9" s="154" t="str">
        <f>+'9.Инвестиционна програма'!G9</f>
        <v>2025 г.</v>
      </c>
      <c r="AO9" s="154" t="str">
        <f>+'9.Инвестиционна програма'!H9</f>
        <v>2026 г.</v>
      </c>
      <c r="AP9" s="602" t="str">
        <f>AH9</f>
        <v>2027 г.</v>
      </c>
      <c r="AQ9" s="602" t="str">
        <f>AI9</f>
        <v>2028 г.</v>
      </c>
      <c r="AR9" s="602" t="str">
        <f>AJ9</f>
        <v>2029 г.</v>
      </c>
      <c r="AS9" s="602" t="str">
        <f>AK9</f>
        <v>2030 г.</v>
      </c>
      <c r="AT9" s="603" t="str">
        <f>AL9</f>
        <v>2031 г.</v>
      </c>
      <c r="AU9" s="4190" t="str">
        <f>CONCATENATE(AP9," спр. ", AM9 )</f>
        <v>2027 г. спр. 2024 г.</v>
      </c>
      <c r="AV9" s="4190" t="str">
        <f>AU9</f>
        <v>2027 г. спр. 2024 г.</v>
      </c>
      <c r="AW9" s="4190" t="str">
        <f>AU9</f>
        <v>2027 г. спр. 2024 г.</v>
      </c>
      <c r="AX9" s="4422"/>
      <c r="AY9" s="4989"/>
      <c r="AZ9" s="4433" t="str">
        <f t="shared" ref="AZ9:BE9" si="5">+C9</f>
        <v>2024 г.</v>
      </c>
      <c r="BA9" s="4433" t="str">
        <f t="shared" si="5"/>
        <v>2027 г.</v>
      </c>
      <c r="BB9" s="4433" t="str">
        <f t="shared" si="5"/>
        <v>2028 г.</v>
      </c>
      <c r="BC9" s="4433" t="str">
        <f t="shared" si="5"/>
        <v>2029 г.</v>
      </c>
      <c r="BD9" s="4433" t="str">
        <f t="shared" si="5"/>
        <v>2030 г.</v>
      </c>
      <c r="BE9" s="4433" t="str">
        <f t="shared" si="5"/>
        <v>2031 г.</v>
      </c>
      <c r="BF9" s="4434" t="str">
        <f t="shared" ref="BF9" si="6">AZ9</f>
        <v>2024 г.</v>
      </c>
      <c r="BG9" s="4434" t="str">
        <f t="shared" ref="BG9" si="7">BA9</f>
        <v>2027 г.</v>
      </c>
      <c r="BH9" s="4434" t="str">
        <f t="shared" ref="BH9" si="8">BB9</f>
        <v>2028 г.</v>
      </c>
      <c r="BI9" s="4434" t="str">
        <f t="shared" ref="BI9" si="9">BC9</f>
        <v>2029 г.</v>
      </c>
      <c r="BJ9" s="4434" t="str">
        <f t="shared" ref="BJ9" si="10">BD9</f>
        <v>2030 г.</v>
      </c>
      <c r="BK9" s="4434" t="str">
        <f t="shared" ref="BK9" si="11">BE9</f>
        <v>2031 г.</v>
      </c>
      <c r="BL9" s="4434" t="str">
        <f t="shared" ref="BL9" si="12">BF9</f>
        <v>2024 г.</v>
      </c>
      <c r="BM9" s="4434" t="str">
        <f t="shared" ref="BM9" si="13">BG9</f>
        <v>2027 г.</v>
      </c>
      <c r="BN9" s="4434" t="str">
        <f t="shared" ref="BN9" si="14">BH9</f>
        <v>2028 г.</v>
      </c>
      <c r="BO9" s="4434" t="str">
        <f t="shared" ref="BO9" si="15">BI9</f>
        <v>2029 г.</v>
      </c>
      <c r="BP9" s="4434" t="str">
        <f t="shared" ref="BP9" si="16">BJ9</f>
        <v>2030 г.</v>
      </c>
      <c r="BQ9" s="4434" t="str">
        <f t="shared" ref="BQ9" si="17">BK9</f>
        <v>2031 г.</v>
      </c>
      <c r="BR9" s="4434" t="str">
        <f t="shared" ref="BR9" si="18">CD9</f>
        <v>2024 г.</v>
      </c>
      <c r="BS9" s="4434" t="str">
        <f t="shared" ref="BS9" si="19">CE9</f>
        <v>2027 г.</v>
      </c>
      <c r="BT9" s="4434" t="str">
        <f t="shared" ref="BT9" si="20">CF9</f>
        <v>2028 г.</v>
      </c>
      <c r="BU9" s="4434" t="str">
        <f t="shared" ref="BU9" si="21">CG9</f>
        <v>2029 г.</v>
      </c>
      <c r="BV9" s="4434" t="str">
        <f t="shared" ref="BV9" si="22">CH9</f>
        <v>2030 г.</v>
      </c>
      <c r="BW9" s="4434" t="str">
        <f t="shared" ref="BW9" si="23">CI9</f>
        <v>2031 г.</v>
      </c>
      <c r="BX9" s="4434" t="str">
        <f t="shared" ref="BX9" si="24">BR9</f>
        <v>2024 г.</v>
      </c>
      <c r="BY9" s="4434" t="str">
        <f t="shared" ref="BY9" si="25">BS9</f>
        <v>2027 г.</v>
      </c>
      <c r="BZ9" s="4434" t="str">
        <f t="shared" ref="BZ9" si="26">BT9</f>
        <v>2028 г.</v>
      </c>
      <c r="CA9" s="4434" t="str">
        <f t="shared" ref="CA9" si="27">BU9</f>
        <v>2029 г.</v>
      </c>
      <c r="CB9" s="4434" t="str">
        <f t="shared" ref="CB9" si="28">BV9</f>
        <v>2030 г.</v>
      </c>
      <c r="CC9" s="4434" t="str">
        <f t="shared" ref="CC9" si="29">BW9</f>
        <v>2031 г.</v>
      </c>
      <c r="CD9" s="4434" t="str">
        <f t="shared" ref="CD9" si="30">BL9</f>
        <v>2024 г.</v>
      </c>
      <c r="CE9" s="4434" t="str">
        <f t="shared" ref="CE9" si="31">BM9</f>
        <v>2027 г.</v>
      </c>
      <c r="CF9" s="4434" t="str">
        <f t="shared" ref="CF9" si="32">BN9</f>
        <v>2028 г.</v>
      </c>
      <c r="CG9" s="4434" t="str">
        <f t="shared" ref="CG9" si="33">BO9</f>
        <v>2029 г.</v>
      </c>
      <c r="CH9" s="4434" t="str">
        <f t="shared" ref="CH9" si="34">BP9</f>
        <v>2030 г.</v>
      </c>
      <c r="CI9" s="4434" t="str">
        <f t="shared" ref="CI9" si="35">BQ9</f>
        <v>2031 г.</v>
      </c>
      <c r="CJ9" s="4434" t="str">
        <f t="shared" ref="CJ9:CQ9" si="36">+AM9</f>
        <v>2024 г.</v>
      </c>
      <c r="CK9" s="4434" t="str">
        <f t="shared" si="36"/>
        <v>2025 г.</v>
      </c>
      <c r="CL9" s="4434" t="str">
        <f t="shared" si="36"/>
        <v>2026 г.</v>
      </c>
      <c r="CM9" s="4434" t="str">
        <f t="shared" si="36"/>
        <v>2027 г.</v>
      </c>
      <c r="CN9" s="4434" t="str">
        <f t="shared" si="36"/>
        <v>2028 г.</v>
      </c>
      <c r="CO9" s="4434" t="str">
        <f t="shared" si="36"/>
        <v>2029 г.</v>
      </c>
      <c r="CP9" s="4434" t="str">
        <f t="shared" si="36"/>
        <v>2030 г.</v>
      </c>
      <c r="CQ9" s="4434" t="str">
        <f t="shared" si="36"/>
        <v>2031 г.</v>
      </c>
      <c r="CR9" s="162"/>
      <c r="CS9" s="162"/>
      <c r="CT9" s="162"/>
      <c r="CU9" s="162"/>
      <c r="CV9" s="162"/>
      <c r="CW9" s="162"/>
      <c r="CX9" s="162"/>
      <c r="CY9" s="162"/>
      <c r="CZ9" s="162"/>
      <c r="DA9" s="162"/>
      <c r="DB9" s="162"/>
      <c r="DC9" s="162"/>
      <c r="DD9" s="162"/>
      <c r="DE9" s="162"/>
      <c r="DF9" s="162"/>
      <c r="DG9" s="162"/>
      <c r="DH9" s="162"/>
      <c r="DI9" s="162"/>
      <c r="DJ9" s="162"/>
      <c r="DK9" s="162"/>
      <c r="DL9" s="162"/>
      <c r="DM9" s="162"/>
      <c r="DN9" s="162"/>
      <c r="DO9" s="162"/>
      <c r="DP9" s="162"/>
      <c r="DQ9" s="162"/>
    </row>
    <row r="10" spans="1:121" s="142" customFormat="1">
      <c r="A10" s="318">
        <v>1</v>
      </c>
      <c r="B10" s="319" t="s">
        <v>1469</v>
      </c>
      <c r="C10" s="156"/>
      <c r="D10" s="157"/>
      <c r="E10" s="157"/>
      <c r="F10" s="157"/>
      <c r="G10" s="157"/>
      <c r="H10" s="158"/>
      <c r="I10" s="159"/>
      <c r="J10" s="160"/>
      <c r="K10" s="160"/>
      <c r="L10" s="160"/>
      <c r="M10" s="160"/>
      <c r="N10" s="161"/>
      <c r="O10" s="159"/>
      <c r="P10" s="160"/>
      <c r="Q10" s="160"/>
      <c r="R10" s="160"/>
      <c r="S10" s="160"/>
      <c r="T10" s="161"/>
      <c r="U10" s="159"/>
      <c r="V10" s="160"/>
      <c r="W10" s="160"/>
      <c r="X10" s="160"/>
      <c r="Y10" s="160"/>
      <c r="Z10" s="161"/>
      <c r="AA10" s="159"/>
      <c r="AB10" s="160"/>
      <c r="AC10" s="160"/>
      <c r="AD10" s="160"/>
      <c r="AE10" s="160"/>
      <c r="AF10" s="161"/>
      <c r="AG10" s="159"/>
      <c r="AH10" s="160"/>
      <c r="AI10" s="160"/>
      <c r="AJ10" s="160"/>
      <c r="AK10" s="160"/>
      <c r="AL10" s="161"/>
      <c r="AM10" s="159"/>
      <c r="AN10" s="160"/>
      <c r="AO10" s="160"/>
      <c r="AP10" s="160"/>
      <c r="AQ10" s="160"/>
      <c r="AR10" s="160"/>
      <c r="AS10" s="160"/>
      <c r="AT10" s="161"/>
      <c r="AU10" s="755"/>
      <c r="AV10" s="755"/>
      <c r="AW10" s="604"/>
      <c r="AX10" s="4422"/>
      <c r="AY10" s="1"/>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c r="CF10" s="162"/>
      <c r="CG10" s="162"/>
      <c r="CH10" s="162"/>
      <c r="CI10" s="162"/>
      <c r="CJ10" s="162"/>
      <c r="CK10" s="162"/>
      <c r="CL10" s="162"/>
      <c r="CM10" s="162"/>
      <c r="CN10" s="162"/>
      <c r="CO10" s="162"/>
      <c r="CP10" s="162"/>
      <c r="CQ10" s="162"/>
      <c r="CR10" s="162"/>
      <c r="CS10" s="162"/>
      <c r="CT10" s="162"/>
      <c r="CU10" s="162"/>
      <c r="CV10" s="162"/>
      <c r="CW10" s="162"/>
      <c r="CX10" s="162"/>
      <c r="CY10" s="162"/>
      <c r="CZ10" s="162"/>
      <c r="DA10" s="162"/>
      <c r="DB10" s="162"/>
      <c r="DC10" s="162"/>
      <c r="DD10" s="162"/>
      <c r="DE10" s="162"/>
      <c r="DF10" s="162"/>
      <c r="DG10" s="162"/>
      <c r="DH10" s="162"/>
      <c r="DI10" s="162"/>
      <c r="DJ10" s="162"/>
      <c r="DK10" s="162"/>
      <c r="DL10" s="162"/>
      <c r="DM10" s="162"/>
      <c r="DN10" s="162"/>
      <c r="DO10" s="162"/>
      <c r="DP10" s="162"/>
      <c r="DQ10" s="162"/>
    </row>
    <row r="11" spans="1:121" s="643" customFormat="1" ht="24">
      <c r="A11" s="799" t="s">
        <v>463</v>
      </c>
      <c r="B11" s="800" t="s">
        <v>1315</v>
      </c>
      <c r="C11" s="939">
        <f>SUM(C12:C13)</f>
        <v>512</v>
      </c>
      <c r="D11" s="940">
        <f t="shared" ref="D11:H11" si="37">SUM(D12:D13)</f>
        <v>508</v>
      </c>
      <c r="E11" s="940">
        <f t="shared" si="37"/>
        <v>508</v>
      </c>
      <c r="F11" s="940">
        <f t="shared" si="37"/>
        <v>508</v>
      </c>
      <c r="G11" s="940">
        <f t="shared" si="37"/>
        <v>518</v>
      </c>
      <c r="H11" s="941">
        <f t="shared" si="37"/>
        <v>518</v>
      </c>
      <c r="I11" s="939">
        <f t="shared" ref="I11" si="38">SUM(I12:I13)</f>
        <v>19</v>
      </c>
      <c r="J11" s="940">
        <f t="shared" ref="J11" si="39">SUM(J12:J13)</f>
        <v>16</v>
      </c>
      <c r="K11" s="940">
        <f t="shared" ref="K11" si="40">SUM(K12:K13)</f>
        <v>16</v>
      </c>
      <c r="L11" s="940">
        <f t="shared" ref="L11" si="41">SUM(L12:L13)</f>
        <v>16</v>
      </c>
      <c r="M11" s="940">
        <f t="shared" ref="M11" si="42">SUM(M12:M13)</f>
        <v>16</v>
      </c>
      <c r="N11" s="941">
        <f t="shared" ref="N11" si="43">SUM(N12:N13)</f>
        <v>16</v>
      </c>
      <c r="O11" s="939">
        <f t="shared" ref="O11" si="44">SUM(O12:O13)</f>
        <v>42</v>
      </c>
      <c r="P11" s="940">
        <f t="shared" ref="P11" si="45">SUM(P12:P13)</f>
        <v>42</v>
      </c>
      <c r="Q11" s="940">
        <f t="shared" ref="Q11" si="46">SUM(Q12:Q13)</f>
        <v>42</v>
      </c>
      <c r="R11" s="940">
        <f t="shared" ref="R11" si="47">SUM(R12:R13)</f>
        <v>42</v>
      </c>
      <c r="S11" s="940">
        <f t="shared" ref="S11" si="48">SUM(S12:S13)</f>
        <v>53</v>
      </c>
      <c r="T11" s="941">
        <f t="shared" ref="T11" si="49">SUM(T12:T13)</f>
        <v>53</v>
      </c>
      <c r="U11" s="939">
        <f t="shared" ref="U11" si="50">SUM(U12:U13)</f>
        <v>0</v>
      </c>
      <c r="V11" s="940">
        <f t="shared" ref="V11" si="51">SUM(V12:V13)</f>
        <v>0</v>
      </c>
      <c r="W11" s="940">
        <f t="shared" ref="W11" si="52">SUM(W12:W13)</f>
        <v>0</v>
      </c>
      <c r="X11" s="940">
        <f t="shared" ref="X11" si="53">SUM(X12:X13)</f>
        <v>0</v>
      </c>
      <c r="Y11" s="940">
        <f t="shared" ref="Y11" si="54">SUM(Y12:Y13)</f>
        <v>0</v>
      </c>
      <c r="Z11" s="941">
        <f t="shared" ref="Z11" si="55">SUM(Z12:Z13)</f>
        <v>0</v>
      </c>
      <c r="AA11" s="939">
        <f t="shared" ref="AA11" si="56">SUM(AA12:AA13)</f>
        <v>0</v>
      </c>
      <c r="AB11" s="940">
        <f t="shared" ref="AB11" si="57">SUM(AB12:AB13)</f>
        <v>0</v>
      </c>
      <c r="AC11" s="940">
        <f t="shared" ref="AC11" si="58">SUM(AC12:AC13)</f>
        <v>0</v>
      </c>
      <c r="AD11" s="940">
        <f t="shared" ref="AD11" si="59">SUM(AD12:AD13)</f>
        <v>0</v>
      </c>
      <c r="AE11" s="940">
        <f t="shared" ref="AE11" si="60">SUM(AE12:AE13)</f>
        <v>0</v>
      </c>
      <c r="AF11" s="941">
        <f t="shared" ref="AF11" si="61">SUM(AF12:AF13)</f>
        <v>0</v>
      </c>
      <c r="AG11" s="939">
        <f t="shared" ref="AG11" si="62">SUM(AG12:AG13)</f>
        <v>9</v>
      </c>
      <c r="AH11" s="940">
        <f t="shared" ref="AH11" si="63">SUM(AH12:AH13)</f>
        <v>7</v>
      </c>
      <c r="AI11" s="940">
        <f t="shared" ref="AI11" si="64">SUM(AI12:AI13)</f>
        <v>7</v>
      </c>
      <c r="AJ11" s="940">
        <f>SUM(AJ12:AJ13)</f>
        <v>7</v>
      </c>
      <c r="AK11" s="940">
        <f t="shared" ref="AK11" si="65">SUM(AK12:AK13)</f>
        <v>7</v>
      </c>
      <c r="AL11" s="941">
        <f t="shared" ref="AL11" si="66">SUM(AL12:AL13)</f>
        <v>7</v>
      </c>
      <c r="AM11" s="942">
        <f t="shared" ref="AM11" si="67">C11+I11+O11+U11+AA11</f>
        <v>573</v>
      </c>
      <c r="AN11" s="940">
        <f t="shared" ref="AN11:AO11" si="68">SUM(AN12:AN13)</f>
        <v>557</v>
      </c>
      <c r="AO11" s="940">
        <f t="shared" si="68"/>
        <v>567</v>
      </c>
      <c r="AP11" s="943">
        <f>D11+J11+P11+V11+AB11</f>
        <v>566</v>
      </c>
      <c r="AQ11" s="943">
        <f>E11+K11+Q11+W11+AC11</f>
        <v>566</v>
      </c>
      <c r="AR11" s="943">
        <f>F11+L11+R11+X11+AD11</f>
        <v>566</v>
      </c>
      <c r="AS11" s="943">
        <f>G11+M11+S11+Y11+AE11</f>
        <v>587</v>
      </c>
      <c r="AT11" s="944">
        <f>H11+N11+T11+Z11+AF11</f>
        <v>587</v>
      </c>
      <c r="AU11" s="945">
        <f>IFERROR((AP11-AM11)/AM11,0)</f>
        <v>-1.2216404886561954E-2</v>
      </c>
      <c r="AV11" s="945">
        <f>IFERROR(((D11+V11+AB11)-(+C11+U11+AA11))/(C11+U11+AA11),0)</f>
        <v>-7.8125E-3</v>
      </c>
      <c r="AW11" s="945">
        <f>IFERROR(((J11+P11)-(I11+O11))/(I11+O11),0)</f>
        <v>-4.9180327868852458E-2</v>
      </c>
      <c r="AX11" s="4422"/>
      <c r="AY11" s="1"/>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row>
    <row r="12" spans="1:121" s="162" customFormat="1" ht="24">
      <c r="A12" s="711" t="s">
        <v>1285</v>
      </c>
      <c r="B12" s="612" t="s">
        <v>1316</v>
      </c>
      <c r="C12" s="290">
        <v>512</v>
      </c>
      <c r="D12" s="291">
        <v>508</v>
      </c>
      <c r="E12" s="291">
        <v>508</v>
      </c>
      <c r="F12" s="291">
        <v>508</v>
      </c>
      <c r="G12" s="291">
        <v>518</v>
      </c>
      <c r="H12" s="605">
        <v>518</v>
      </c>
      <c r="I12" s="290">
        <v>19</v>
      </c>
      <c r="J12" s="291">
        <v>16</v>
      </c>
      <c r="K12" s="291">
        <v>16</v>
      </c>
      <c r="L12" s="291">
        <v>16</v>
      </c>
      <c r="M12" s="291">
        <v>16</v>
      </c>
      <c r="N12" s="605">
        <v>16</v>
      </c>
      <c r="O12" s="290">
        <v>41</v>
      </c>
      <c r="P12" s="291">
        <v>41</v>
      </c>
      <c r="Q12" s="291">
        <v>41</v>
      </c>
      <c r="R12" s="291">
        <v>41</v>
      </c>
      <c r="S12" s="291">
        <v>52</v>
      </c>
      <c r="T12" s="605">
        <v>52</v>
      </c>
      <c r="U12" s="290">
        <v>0</v>
      </c>
      <c r="V12" s="291">
        <v>0</v>
      </c>
      <c r="W12" s="291">
        <v>0</v>
      </c>
      <c r="X12" s="291">
        <v>0</v>
      </c>
      <c r="Y12" s="291">
        <v>0</v>
      </c>
      <c r="Z12" s="605">
        <v>0</v>
      </c>
      <c r="AA12" s="290">
        <v>0</v>
      </c>
      <c r="AB12" s="291">
        <v>0</v>
      </c>
      <c r="AC12" s="291">
        <v>0</v>
      </c>
      <c r="AD12" s="291">
        <v>0</v>
      </c>
      <c r="AE12" s="291">
        <v>0</v>
      </c>
      <c r="AF12" s="605">
        <v>0</v>
      </c>
      <c r="AG12" s="290">
        <v>9</v>
      </c>
      <c r="AH12" s="291">
        <v>7</v>
      </c>
      <c r="AI12" s="291">
        <v>7</v>
      </c>
      <c r="AJ12" s="291">
        <v>7</v>
      </c>
      <c r="AK12" s="291">
        <v>7</v>
      </c>
      <c r="AL12" s="605">
        <v>7</v>
      </c>
      <c r="AM12" s="946">
        <f>C12+I12+O12+U12+AA12</f>
        <v>572</v>
      </c>
      <c r="AN12" s="291">
        <v>556</v>
      </c>
      <c r="AO12" s="291">
        <v>566</v>
      </c>
      <c r="AP12" s="947">
        <f t="shared" ref="AP12" si="69">D12+J12+P12+V12+AB12</f>
        <v>565</v>
      </c>
      <c r="AQ12" s="947">
        <f t="shared" ref="AQ12" si="70">E12+K12+Q12+W12+AC12</f>
        <v>565</v>
      </c>
      <c r="AR12" s="947">
        <f t="shared" ref="AR12" si="71">F12+L12+R12+X12+AD12</f>
        <v>565</v>
      </c>
      <c r="AS12" s="947">
        <f t="shared" ref="AS12" si="72">G12+M12+S12+Y12+AE12</f>
        <v>586</v>
      </c>
      <c r="AT12" s="948">
        <f t="shared" ref="AT12" si="73">H12+N12+T12+Z12+AF12</f>
        <v>586</v>
      </c>
      <c r="AU12" s="949">
        <f t="shared" ref="AU12:AU27" si="74">IFERROR((AP12-AM12)/AM12,0)</f>
        <v>-1.2237762237762238E-2</v>
      </c>
      <c r="AV12" s="949">
        <f t="shared" ref="AV12:AV27" si="75">IFERROR(((D12+V12+AB12)-(+C12+U12+AA12))/(C12+U12+AA12),0)</f>
        <v>-7.8125E-3</v>
      </c>
      <c r="AW12" s="945">
        <f t="shared" ref="AW12:AW27" si="76">IFERROR(((J12+P12)-(I12+O12))/(I12+O12),0)</f>
        <v>-0.05</v>
      </c>
      <c r="AX12" s="4422"/>
      <c r="AY12" s="1"/>
    </row>
    <row r="13" spans="1:121" s="162" customFormat="1" ht="24">
      <c r="A13" s="711" t="s">
        <v>1314</v>
      </c>
      <c r="B13" s="612" t="s">
        <v>1263</v>
      </c>
      <c r="C13" s="290">
        <v>0</v>
      </c>
      <c r="D13" s="291">
        <v>0</v>
      </c>
      <c r="E13" s="291">
        <v>0</v>
      </c>
      <c r="F13" s="291">
        <v>0</v>
      </c>
      <c r="G13" s="291">
        <v>0</v>
      </c>
      <c r="H13" s="605">
        <v>0</v>
      </c>
      <c r="I13" s="290">
        <v>0</v>
      </c>
      <c r="J13" s="291">
        <v>0</v>
      </c>
      <c r="K13" s="291">
        <v>0</v>
      </c>
      <c r="L13" s="291">
        <v>0</v>
      </c>
      <c r="M13" s="291">
        <v>0</v>
      </c>
      <c r="N13" s="605">
        <v>0</v>
      </c>
      <c r="O13" s="290">
        <v>1</v>
      </c>
      <c r="P13" s="291">
        <v>1</v>
      </c>
      <c r="Q13" s="291">
        <v>1</v>
      </c>
      <c r="R13" s="291">
        <v>1</v>
      </c>
      <c r="S13" s="291">
        <v>1</v>
      </c>
      <c r="T13" s="605">
        <v>1</v>
      </c>
      <c r="U13" s="290">
        <v>0</v>
      </c>
      <c r="V13" s="291">
        <v>0</v>
      </c>
      <c r="W13" s="291">
        <v>0</v>
      </c>
      <c r="X13" s="291">
        <v>0</v>
      </c>
      <c r="Y13" s="291">
        <v>0</v>
      </c>
      <c r="Z13" s="605">
        <v>0</v>
      </c>
      <c r="AA13" s="290">
        <v>0</v>
      </c>
      <c r="AB13" s="291">
        <v>0</v>
      </c>
      <c r="AC13" s="291">
        <v>0</v>
      </c>
      <c r="AD13" s="291">
        <v>0</v>
      </c>
      <c r="AE13" s="291">
        <v>0</v>
      </c>
      <c r="AF13" s="605">
        <v>0</v>
      </c>
      <c r="AG13" s="290">
        <v>0</v>
      </c>
      <c r="AH13" s="291">
        <v>0</v>
      </c>
      <c r="AI13" s="291">
        <v>0</v>
      </c>
      <c r="AJ13" s="291">
        <v>0</v>
      </c>
      <c r="AK13" s="291">
        <v>0</v>
      </c>
      <c r="AL13" s="605">
        <v>0</v>
      </c>
      <c r="AM13" s="946">
        <f>C13+I13+O13+U13+AA13</f>
        <v>1</v>
      </c>
      <c r="AN13" s="291">
        <v>1</v>
      </c>
      <c r="AO13" s="291">
        <v>1</v>
      </c>
      <c r="AP13" s="947">
        <f>D13+J13+P13+V13+AB13</f>
        <v>1</v>
      </c>
      <c r="AQ13" s="947">
        <f>E13+K13+Q13+W13+AC13</f>
        <v>1</v>
      </c>
      <c r="AR13" s="947">
        <f>F13+L13+R13+X13+AD13</f>
        <v>1</v>
      </c>
      <c r="AS13" s="947">
        <f>G13+M13+S13+Y13+AE13</f>
        <v>1</v>
      </c>
      <c r="AT13" s="948">
        <f>H13+N13+T13+Z13+AF13</f>
        <v>1</v>
      </c>
      <c r="AU13" s="949">
        <f t="shared" si="74"/>
        <v>0</v>
      </c>
      <c r="AV13" s="949">
        <f t="shared" si="75"/>
        <v>0</v>
      </c>
      <c r="AW13" s="945">
        <f t="shared" si="76"/>
        <v>0</v>
      </c>
      <c r="AX13" s="4422"/>
      <c r="AY13" s="1"/>
    </row>
    <row r="14" spans="1:121" s="163" customFormat="1" ht="24">
      <c r="A14" s="1922" t="s">
        <v>465</v>
      </c>
      <c r="B14" s="757" t="s">
        <v>1467</v>
      </c>
      <c r="C14" s="1923">
        <f>SUM(C15:C23)</f>
        <v>537</v>
      </c>
      <c r="D14" s="1924">
        <f t="shared" ref="D14:AT14" si="77">SUM(D15:D23)</f>
        <v>532</v>
      </c>
      <c r="E14" s="1924">
        <f t="shared" si="77"/>
        <v>532</v>
      </c>
      <c r="F14" s="1924">
        <f t="shared" si="77"/>
        <v>532</v>
      </c>
      <c r="G14" s="1924">
        <f t="shared" si="77"/>
        <v>542</v>
      </c>
      <c r="H14" s="1925">
        <f t="shared" si="77"/>
        <v>542</v>
      </c>
      <c r="I14" s="1923">
        <f t="shared" si="77"/>
        <v>19</v>
      </c>
      <c r="J14" s="1924">
        <f t="shared" si="77"/>
        <v>16</v>
      </c>
      <c r="K14" s="1924">
        <f t="shared" si="77"/>
        <v>16</v>
      </c>
      <c r="L14" s="1924">
        <f t="shared" si="77"/>
        <v>16</v>
      </c>
      <c r="M14" s="1924">
        <f t="shared" si="77"/>
        <v>16</v>
      </c>
      <c r="N14" s="1925">
        <f t="shared" si="77"/>
        <v>16</v>
      </c>
      <c r="O14" s="1923">
        <f t="shared" si="77"/>
        <v>42</v>
      </c>
      <c r="P14" s="1924">
        <f t="shared" si="77"/>
        <v>42</v>
      </c>
      <c r="Q14" s="1924">
        <f t="shared" si="77"/>
        <v>42</v>
      </c>
      <c r="R14" s="1924">
        <f t="shared" si="77"/>
        <v>42</v>
      </c>
      <c r="S14" s="1924">
        <f t="shared" si="77"/>
        <v>53</v>
      </c>
      <c r="T14" s="1925">
        <f t="shared" si="77"/>
        <v>53</v>
      </c>
      <c r="U14" s="1923">
        <f t="shared" si="77"/>
        <v>0</v>
      </c>
      <c r="V14" s="1924">
        <f t="shared" si="77"/>
        <v>0</v>
      </c>
      <c r="W14" s="1924">
        <f t="shared" si="77"/>
        <v>0</v>
      </c>
      <c r="X14" s="1924">
        <f t="shared" si="77"/>
        <v>0</v>
      </c>
      <c r="Y14" s="1924">
        <f t="shared" si="77"/>
        <v>0</v>
      </c>
      <c r="Z14" s="1925">
        <f t="shared" si="77"/>
        <v>0</v>
      </c>
      <c r="AA14" s="1923">
        <f t="shared" si="77"/>
        <v>0</v>
      </c>
      <c r="AB14" s="1924">
        <f t="shared" si="77"/>
        <v>0</v>
      </c>
      <c r="AC14" s="1924">
        <f t="shared" si="77"/>
        <v>0</v>
      </c>
      <c r="AD14" s="1924">
        <f t="shared" si="77"/>
        <v>0</v>
      </c>
      <c r="AE14" s="1924">
        <f t="shared" si="77"/>
        <v>0</v>
      </c>
      <c r="AF14" s="1925">
        <f t="shared" si="77"/>
        <v>0</v>
      </c>
      <c r="AG14" s="1923">
        <f t="shared" si="77"/>
        <v>8</v>
      </c>
      <c r="AH14" s="1924">
        <f t="shared" si="77"/>
        <v>6</v>
      </c>
      <c r="AI14" s="1924">
        <f t="shared" si="77"/>
        <v>6</v>
      </c>
      <c r="AJ14" s="1924">
        <f t="shared" si="77"/>
        <v>6</v>
      </c>
      <c r="AK14" s="1924">
        <f t="shared" si="77"/>
        <v>6</v>
      </c>
      <c r="AL14" s="1925">
        <f t="shared" si="77"/>
        <v>6</v>
      </c>
      <c r="AM14" s="942">
        <f>SUM(AM15:AM23)</f>
        <v>598</v>
      </c>
      <c r="AN14" s="1924">
        <f t="shared" ref="AN14:AO14" si="78">SUM(AN15:AN23)</f>
        <v>583</v>
      </c>
      <c r="AO14" s="1924">
        <f t="shared" si="78"/>
        <v>590.63925358811298</v>
      </c>
      <c r="AP14" s="943">
        <f t="shared" si="77"/>
        <v>590</v>
      </c>
      <c r="AQ14" s="943">
        <f t="shared" si="77"/>
        <v>590</v>
      </c>
      <c r="AR14" s="943">
        <f t="shared" si="77"/>
        <v>590</v>
      </c>
      <c r="AS14" s="943">
        <f t="shared" si="77"/>
        <v>611</v>
      </c>
      <c r="AT14" s="944">
        <f t="shared" si="77"/>
        <v>611</v>
      </c>
      <c r="AU14" s="945">
        <f t="shared" si="74"/>
        <v>-1.3377926421404682E-2</v>
      </c>
      <c r="AV14" s="945">
        <f t="shared" si="75"/>
        <v>-9.3109869646182501E-3</v>
      </c>
      <c r="AW14" s="945">
        <f t="shared" si="76"/>
        <v>-4.9180327868852458E-2</v>
      </c>
      <c r="AX14" s="4422"/>
      <c r="AY14" s="1"/>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row>
    <row r="15" spans="1:121" s="162" customFormat="1">
      <c r="A15" s="1337" t="s">
        <v>1286</v>
      </c>
      <c r="B15" s="614" t="s">
        <v>1195</v>
      </c>
      <c r="C15" s="606">
        <v>24</v>
      </c>
      <c r="D15" s="607">
        <v>17</v>
      </c>
      <c r="E15" s="607">
        <v>17</v>
      </c>
      <c r="F15" s="607">
        <v>17</v>
      </c>
      <c r="G15" s="607">
        <v>17</v>
      </c>
      <c r="H15" s="608">
        <v>17</v>
      </c>
      <c r="I15" s="606">
        <v>1</v>
      </c>
      <c r="J15" s="607">
        <v>0</v>
      </c>
      <c r="K15" s="607">
        <v>0</v>
      </c>
      <c r="L15" s="607">
        <v>0</v>
      </c>
      <c r="M15" s="607">
        <v>0</v>
      </c>
      <c r="N15" s="608">
        <v>0</v>
      </c>
      <c r="O15" s="606">
        <v>3</v>
      </c>
      <c r="P15" s="607">
        <v>3</v>
      </c>
      <c r="Q15" s="607">
        <v>3</v>
      </c>
      <c r="R15" s="607">
        <v>3</v>
      </c>
      <c r="S15" s="607">
        <v>3</v>
      </c>
      <c r="T15" s="608">
        <v>3</v>
      </c>
      <c r="U15" s="606">
        <v>0</v>
      </c>
      <c r="V15" s="607">
        <v>0</v>
      </c>
      <c r="W15" s="607">
        <v>0</v>
      </c>
      <c r="X15" s="607">
        <v>0</v>
      </c>
      <c r="Y15" s="607">
        <v>0</v>
      </c>
      <c r="Z15" s="608">
        <v>0</v>
      </c>
      <c r="AA15" s="606">
        <v>0</v>
      </c>
      <c r="AB15" s="607">
        <v>0</v>
      </c>
      <c r="AC15" s="607">
        <v>0</v>
      </c>
      <c r="AD15" s="607">
        <v>0</v>
      </c>
      <c r="AE15" s="607">
        <v>0</v>
      </c>
      <c r="AF15" s="608">
        <v>0</v>
      </c>
      <c r="AG15" s="606">
        <v>0</v>
      </c>
      <c r="AH15" s="607">
        <v>0</v>
      </c>
      <c r="AI15" s="607">
        <v>0</v>
      </c>
      <c r="AJ15" s="607">
        <v>0</v>
      </c>
      <c r="AK15" s="607">
        <v>0</v>
      </c>
      <c r="AL15" s="608">
        <v>0</v>
      </c>
      <c r="AM15" s="950">
        <f t="shared" ref="AM15:AM23" si="79">C15+I15+O15+U15+AA15</f>
        <v>28</v>
      </c>
      <c r="AN15" s="607">
        <v>19</v>
      </c>
      <c r="AO15" s="607">
        <v>20.148860556592531</v>
      </c>
      <c r="AP15" s="951">
        <f t="shared" ref="AP15:AP23" si="80">D15+J15+P15+V15+AB15</f>
        <v>20</v>
      </c>
      <c r="AQ15" s="951">
        <f t="shared" ref="AQ15:AQ23" si="81">E15+K15+Q15+W15+AC15</f>
        <v>20</v>
      </c>
      <c r="AR15" s="951">
        <f t="shared" ref="AR15:AR23" si="82">F15+L15+R15+X15+AD15</f>
        <v>20</v>
      </c>
      <c r="AS15" s="951">
        <f t="shared" ref="AS15:AS23" si="83">G15+M15+S15+Y15+AE15</f>
        <v>20</v>
      </c>
      <c r="AT15" s="952">
        <f t="shared" ref="AT15:AT23" si="84">H15+N15+T15+Z15+AF15</f>
        <v>20</v>
      </c>
      <c r="AU15" s="953">
        <f t="shared" si="74"/>
        <v>-0.2857142857142857</v>
      </c>
      <c r="AV15" s="949">
        <f t="shared" si="75"/>
        <v>-0.29166666666666669</v>
      </c>
      <c r="AW15" s="954">
        <f t="shared" si="76"/>
        <v>-0.25</v>
      </c>
      <c r="AX15" s="4422"/>
      <c r="AY15" s="1"/>
    </row>
    <row r="16" spans="1:121" s="162" customFormat="1">
      <c r="A16" s="1337" t="s">
        <v>1319</v>
      </c>
      <c r="B16" s="615" t="s">
        <v>1196</v>
      </c>
      <c r="C16" s="290">
        <v>13</v>
      </c>
      <c r="D16" s="291">
        <v>12</v>
      </c>
      <c r="E16" s="291">
        <v>12</v>
      </c>
      <c r="F16" s="291">
        <v>12</v>
      </c>
      <c r="G16" s="291">
        <v>12</v>
      </c>
      <c r="H16" s="605">
        <v>12</v>
      </c>
      <c r="I16" s="290">
        <v>1</v>
      </c>
      <c r="J16" s="291">
        <v>1</v>
      </c>
      <c r="K16" s="291">
        <v>1</v>
      </c>
      <c r="L16" s="291">
        <v>1</v>
      </c>
      <c r="M16" s="291">
        <v>1</v>
      </c>
      <c r="N16" s="605">
        <v>1</v>
      </c>
      <c r="O16" s="290">
        <v>2</v>
      </c>
      <c r="P16" s="291">
        <v>2</v>
      </c>
      <c r="Q16" s="291">
        <v>2</v>
      </c>
      <c r="R16" s="291">
        <v>2</v>
      </c>
      <c r="S16" s="291">
        <v>2</v>
      </c>
      <c r="T16" s="605">
        <v>2</v>
      </c>
      <c r="U16" s="290">
        <v>0</v>
      </c>
      <c r="V16" s="291">
        <v>0</v>
      </c>
      <c r="W16" s="291">
        <v>0</v>
      </c>
      <c r="X16" s="291">
        <v>0</v>
      </c>
      <c r="Y16" s="291">
        <v>0</v>
      </c>
      <c r="Z16" s="605">
        <v>0</v>
      </c>
      <c r="AA16" s="290">
        <v>0</v>
      </c>
      <c r="AB16" s="291">
        <v>0</v>
      </c>
      <c r="AC16" s="291">
        <v>0</v>
      </c>
      <c r="AD16" s="291">
        <v>0</v>
      </c>
      <c r="AE16" s="291">
        <v>0</v>
      </c>
      <c r="AF16" s="605">
        <v>0</v>
      </c>
      <c r="AG16" s="290">
        <v>0</v>
      </c>
      <c r="AH16" s="291">
        <v>0</v>
      </c>
      <c r="AI16" s="291">
        <v>0</v>
      </c>
      <c r="AJ16" s="291">
        <v>0</v>
      </c>
      <c r="AK16" s="291">
        <v>0</v>
      </c>
      <c r="AL16" s="605">
        <v>0</v>
      </c>
      <c r="AM16" s="946">
        <f t="shared" si="79"/>
        <v>16</v>
      </c>
      <c r="AN16" s="291">
        <v>14</v>
      </c>
      <c r="AO16" s="291">
        <v>14.223290834888797</v>
      </c>
      <c r="AP16" s="947">
        <f t="shared" si="80"/>
        <v>15</v>
      </c>
      <c r="AQ16" s="947">
        <f t="shared" si="81"/>
        <v>15</v>
      </c>
      <c r="AR16" s="947">
        <f t="shared" si="82"/>
        <v>15</v>
      </c>
      <c r="AS16" s="947">
        <f t="shared" si="83"/>
        <v>15</v>
      </c>
      <c r="AT16" s="948">
        <f t="shared" si="84"/>
        <v>15</v>
      </c>
      <c r="AU16" s="949">
        <f t="shared" si="74"/>
        <v>-6.25E-2</v>
      </c>
      <c r="AV16" s="949">
        <f t="shared" si="75"/>
        <v>-7.6923076923076927E-2</v>
      </c>
      <c r="AW16" s="945">
        <f t="shared" si="76"/>
        <v>0</v>
      </c>
      <c r="AX16" s="4422"/>
      <c r="AY16" s="1"/>
    </row>
    <row r="17" spans="1:121" s="162" customFormat="1">
      <c r="A17" s="1337" t="s">
        <v>1320</v>
      </c>
      <c r="B17" s="615" t="s">
        <v>1197</v>
      </c>
      <c r="C17" s="290">
        <v>45</v>
      </c>
      <c r="D17" s="291">
        <v>51</v>
      </c>
      <c r="E17" s="291">
        <v>51</v>
      </c>
      <c r="F17" s="291">
        <v>51</v>
      </c>
      <c r="G17" s="291">
        <v>51</v>
      </c>
      <c r="H17" s="605">
        <v>51</v>
      </c>
      <c r="I17" s="290">
        <v>2</v>
      </c>
      <c r="J17" s="291">
        <v>1</v>
      </c>
      <c r="K17" s="291">
        <v>1</v>
      </c>
      <c r="L17" s="291">
        <v>1</v>
      </c>
      <c r="M17" s="291">
        <v>1</v>
      </c>
      <c r="N17" s="605">
        <v>1</v>
      </c>
      <c r="O17" s="290">
        <v>3</v>
      </c>
      <c r="P17" s="291">
        <v>3</v>
      </c>
      <c r="Q17" s="291">
        <v>3</v>
      </c>
      <c r="R17" s="291">
        <v>3</v>
      </c>
      <c r="S17" s="291">
        <v>4</v>
      </c>
      <c r="T17" s="605">
        <v>4</v>
      </c>
      <c r="U17" s="290">
        <v>0</v>
      </c>
      <c r="V17" s="291">
        <v>0</v>
      </c>
      <c r="W17" s="291">
        <v>0</v>
      </c>
      <c r="X17" s="291">
        <v>0</v>
      </c>
      <c r="Y17" s="291">
        <v>0</v>
      </c>
      <c r="Z17" s="605">
        <v>0</v>
      </c>
      <c r="AA17" s="290">
        <v>0</v>
      </c>
      <c r="AB17" s="291">
        <v>0</v>
      </c>
      <c r="AC17" s="291">
        <v>0</v>
      </c>
      <c r="AD17" s="291">
        <v>0</v>
      </c>
      <c r="AE17" s="291">
        <v>0</v>
      </c>
      <c r="AF17" s="605">
        <v>0</v>
      </c>
      <c r="AG17" s="290">
        <v>0</v>
      </c>
      <c r="AH17" s="291">
        <v>0</v>
      </c>
      <c r="AI17" s="291">
        <v>0</v>
      </c>
      <c r="AJ17" s="291">
        <v>0</v>
      </c>
      <c r="AK17" s="291">
        <v>0</v>
      </c>
      <c r="AL17" s="605">
        <v>0</v>
      </c>
      <c r="AM17" s="946">
        <f t="shared" si="79"/>
        <v>50</v>
      </c>
      <c r="AN17" s="291">
        <v>53</v>
      </c>
      <c r="AO17" s="291">
        <v>55.571229713056411</v>
      </c>
      <c r="AP17" s="947">
        <f t="shared" si="80"/>
        <v>55</v>
      </c>
      <c r="AQ17" s="947">
        <f t="shared" si="81"/>
        <v>55</v>
      </c>
      <c r="AR17" s="947">
        <f t="shared" si="82"/>
        <v>55</v>
      </c>
      <c r="AS17" s="947">
        <f t="shared" si="83"/>
        <v>56</v>
      </c>
      <c r="AT17" s="948">
        <f t="shared" si="84"/>
        <v>56</v>
      </c>
      <c r="AU17" s="949">
        <f t="shared" si="74"/>
        <v>0.1</v>
      </c>
      <c r="AV17" s="949">
        <f t="shared" si="75"/>
        <v>0.13333333333333333</v>
      </c>
      <c r="AW17" s="945">
        <f t="shared" si="76"/>
        <v>-0.2</v>
      </c>
      <c r="AX17" s="4422"/>
      <c r="AY17" s="1"/>
    </row>
    <row r="18" spans="1:121" s="162" customFormat="1">
      <c r="A18" s="1337" t="s">
        <v>1321</v>
      </c>
      <c r="B18" s="615" t="s">
        <v>1198</v>
      </c>
      <c r="C18" s="290">
        <v>98</v>
      </c>
      <c r="D18" s="291">
        <v>100</v>
      </c>
      <c r="E18" s="291">
        <v>100</v>
      </c>
      <c r="F18" s="291">
        <v>100</v>
      </c>
      <c r="G18" s="291">
        <v>98</v>
      </c>
      <c r="H18" s="605">
        <v>98</v>
      </c>
      <c r="I18" s="290">
        <v>1</v>
      </c>
      <c r="J18" s="291">
        <v>1</v>
      </c>
      <c r="K18" s="291">
        <v>1</v>
      </c>
      <c r="L18" s="291">
        <v>1</v>
      </c>
      <c r="M18" s="291">
        <v>1</v>
      </c>
      <c r="N18" s="605">
        <v>1</v>
      </c>
      <c r="O18" s="290">
        <v>7</v>
      </c>
      <c r="P18" s="291">
        <v>7</v>
      </c>
      <c r="Q18" s="291">
        <v>7</v>
      </c>
      <c r="R18" s="291">
        <v>7</v>
      </c>
      <c r="S18" s="291">
        <v>9</v>
      </c>
      <c r="T18" s="605">
        <v>9</v>
      </c>
      <c r="U18" s="290">
        <v>0</v>
      </c>
      <c r="V18" s="291">
        <v>0</v>
      </c>
      <c r="W18" s="291">
        <v>0</v>
      </c>
      <c r="X18" s="291">
        <v>0</v>
      </c>
      <c r="Y18" s="291">
        <v>0</v>
      </c>
      <c r="Z18" s="605">
        <v>0</v>
      </c>
      <c r="AA18" s="290">
        <v>0</v>
      </c>
      <c r="AB18" s="291">
        <v>0</v>
      </c>
      <c r="AC18" s="291">
        <v>0</v>
      </c>
      <c r="AD18" s="291">
        <v>0</v>
      </c>
      <c r="AE18" s="291">
        <v>0</v>
      </c>
      <c r="AF18" s="605">
        <v>0</v>
      </c>
      <c r="AG18" s="4597">
        <v>4</v>
      </c>
      <c r="AH18" s="291">
        <v>4</v>
      </c>
      <c r="AI18" s="291">
        <v>4</v>
      </c>
      <c r="AJ18" s="291">
        <v>4</v>
      </c>
      <c r="AK18" s="291">
        <v>4</v>
      </c>
      <c r="AL18" s="605">
        <v>4</v>
      </c>
      <c r="AM18" s="946">
        <f t="shared" si="79"/>
        <v>106</v>
      </c>
      <c r="AN18" s="291">
        <v>109</v>
      </c>
      <c r="AO18" s="291">
        <v>107.50260474337477</v>
      </c>
      <c r="AP18" s="947">
        <f t="shared" si="80"/>
        <v>108</v>
      </c>
      <c r="AQ18" s="947">
        <f t="shared" si="81"/>
        <v>108</v>
      </c>
      <c r="AR18" s="947">
        <f t="shared" si="82"/>
        <v>108</v>
      </c>
      <c r="AS18" s="947">
        <f t="shared" si="83"/>
        <v>108</v>
      </c>
      <c r="AT18" s="948">
        <f t="shared" si="84"/>
        <v>108</v>
      </c>
      <c r="AU18" s="949">
        <f t="shared" si="74"/>
        <v>1.8867924528301886E-2</v>
      </c>
      <c r="AV18" s="949">
        <f t="shared" si="75"/>
        <v>2.0408163265306121E-2</v>
      </c>
      <c r="AW18" s="945">
        <f t="shared" si="76"/>
        <v>0</v>
      </c>
      <c r="AX18" s="4422"/>
      <c r="AY18" s="1"/>
    </row>
    <row r="19" spans="1:121" s="162" customFormat="1" ht="24">
      <c r="A19" s="1337" t="s">
        <v>1322</v>
      </c>
      <c r="B19" s="615" t="s">
        <v>1199</v>
      </c>
      <c r="C19" s="290">
        <v>7</v>
      </c>
      <c r="D19" s="291">
        <v>5</v>
      </c>
      <c r="E19" s="291">
        <v>5</v>
      </c>
      <c r="F19" s="291">
        <v>5</v>
      </c>
      <c r="G19" s="291">
        <v>5</v>
      </c>
      <c r="H19" s="605">
        <v>5</v>
      </c>
      <c r="I19" s="290">
        <v>0</v>
      </c>
      <c r="J19" s="291">
        <v>0</v>
      </c>
      <c r="K19" s="291">
        <v>0</v>
      </c>
      <c r="L19" s="291">
        <v>0</v>
      </c>
      <c r="M19" s="291">
        <v>0</v>
      </c>
      <c r="N19" s="605">
        <v>0</v>
      </c>
      <c r="O19" s="290">
        <v>0</v>
      </c>
      <c r="P19" s="291">
        <v>0</v>
      </c>
      <c r="Q19" s="291">
        <v>0</v>
      </c>
      <c r="R19" s="291">
        <v>0</v>
      </c>
      <c r="S19" s="291">
        <v>0</v>
      </c>
      <c r="T19" s="605">
        <v>0</v>
      </c>
      <c r="U19" s="606">
        <v>0</v>
      </c>
      <c r="V19" s="607">
        <v>0</v>
      </c>
      <c r="W19" s="607">
        <v>0</v>
      </c>
      <c r="X19" s="607">
        <v>0</v>
      </c>
      <c r="Y19" s="607">
        <v>0</v>
      </c>
      <c r="Z19" s="608">
        <v>0</v>
      </c>
      <c r="AA19" s="606">
        <v>0</v>
      </c>
      <c r="AB19" s="607">
        <v>0</v>
      </c>
      <c r="AC19" s="607">
        <v>0</v>
      </c>
      <c r="AD19" s="607">
        <v>0</v>
      </c>
      <c r="AE19" s="607">
        <v>0</v>
      </c>
      <c r="AF19" s="608">
        <v>0</v>
      </c>
      <c r="AG19" s="290">
        <v>1</v>
      </c>
      <c r="AH19" s="291">
        <v>0</v>
      </c>
      <c r="AI19" s="291">
        <v>0</v>
      </c>
      <c r="AJ19" s="291">
        <v>0</v>
      </c>
      <c r="AK19" s="291">
        <v>0</v>
      </c>
      <c r="AL19" s="605">
        <v>0</v>
      </c>
      <c r="AM19" s="946">
        <f t="shared" si="79"/>
        <v>7</v>
      </c>
      <c r="AN19" s="607">
        <v>5</v>
      </c>
      <c r="AO19" s="607">
        <v>4.9699769053117784</v>
      </c>
      <c r="AP19" s="947">
        <f t="shared" si="80"/>
        <v>5</v>
      </c>
      <c r="AQ19" s="947">
        <f t="shared" si="81"/>
        <v>5</v>
      </c>
      <c r="AR19" s="947">
        <f t="shared" si="82"/>
        <v>5</v>
      </c>
      <c r="AS19" s="947">
        <f t="shared" si="83"/>
        <v>5</v>
      </c>
      <c r="AT19" s="948">
        <f t="shared" si="84"/>
        <v>5</v>
      </c>
      <c r="AU19" s="949">
        <f t="shared" si="74"/>
        <v>-0.2857142857142857</v>
      </c>
      <c r="AV19" s="949">
        <f t="shared" si="75"/>
        <v>-0.2857142857142857</v>
      </c>
      <c r="AW19" s="945">
        <f t="shared" si="76"/>
        <v>0</v>
      </c>
      <c r="AX19" s="4422"/>
      <c r="AY19" s="1"/>
    </row>
    <row r="20" spans="1:121" s="162" customFormat="1" ht="24">
      <c r="A20" s="1337" t="s">
        <v>1323</v>
      </c>
      <c r="B20" s="615" t="s">
        <v>1200</v>
      </c>
      <c r="C20" s="290">
        <v>0</v>
      </c>
      <c r="D20" s="291">
        <v>0</v>
      </c>
      <c r="E20" s="291">
        <v>0</v>
      </c>
      <c r="F20" s="291">
        <v>0</v>
      </c>
      <c r="G20" s="291">
        <v>0</v>
      </c>
      <c r="H20" s="605">
        <v>0</v>
      </c>
      <c r="I20" s="290">
        <v>0</v>
      </c>
      <c r="J20" s="291">
        <v>0</v>
      </c>
      <c r="K20" s="291">
        <v>0</v>
      </c>
      <c r="L20" s="291">
        <v>0</v>
      </c>
      <c r="M20" s="291">
        <v>0</v>
      </c>
      <c r="N20" s="605">
        <v>0</v>
      </c>
      <c r="O20" s="290">
        <v>0</v>
      </c>
      <c r="P20" s="291">
        <v>0</v>
      </c>
      <c r="Q20" s="291">
        <v>0</v>
      </c>
      <c r="R20" s="291">
        <v>0</v>
      </c>
      <c r="S20" s="291">
        <v>0</v>
      </c>
      <c r="T20" s="605">
        <v>0</v>
      </c>
      <c r="U20" s="290">
        <v>0</v>
      </c>
      <c r="V20" s="291">
        <v>0</v>
      </c>
      <c r="W20" s="291">
        <v>0</v>
      </c>
      <c r="X20" s="291">
        <v>0</v>
      </c>
      <c r="Y20" s="291">
        <v>0</v>
      </c>
      <c r="Z20" s="605">
        <v>0</v>
      </c>
      <c r="AA20" s="290">
        <v>0</v>
      </c>
      <c r="AB20" s="291">
        <v>0</v>
      </c>
      <c r="AC20" s="291">
        <v>0</v>
      </c>
      <c r="AD20" s="291">
        <v>0</v>
      </c>
      <c r="AE20" s="291">
        <v>0</v>
      </c>
      <c r="AF20" s="605">
        <v>0</v>
      </c>
      <c r="AG20" s="290">
        <v>0</v>
      </c>
      <c r="AH20" s="291">
        <v>0</v>
      </c>
      <c r="AI20" s="291">
        <v>0</v>
      </c>
      <c r="AJ20" s="291">
        <v>0</v>
      </c>
      <c r="AK20" s="291">
        <v>0</v>
      </c>
      <c r="AL20" s="605">
        <v>0</v>
      </c>
      <c r="AM20" s="946">
        <f t="shared" si="79"/>
        <v>0</v>
      </c>
      <c r="AN20" s="291">
        <v>0</v>
      </c>
      <c r="AO20" s="291">
        <v>0</v>
      </c>
      <c r="AP20" s="947">
        <f t="shared" si="80"/>
        <v>0</v>
      </c>
      <c r="AQ20" s="947">
        <f t="shared" si="81"/>
        <v>0</v>
      </c>
      <c r="AR20" s="947">
        <f t="shared" si="82"/>
        <v>0</v>
      </c>
      <c r="AS20" s="947">
        <f t="shared" si="83"/>
        <v>0</v>
      </c>
      <c r="AT20" s="948">
        <f t="shared" si="84"/>
        <v>0</v>
      </c>
      <c r="AU20" s="949">
        <f t="shared" si="74"/>
        <v>0</v>
      </c>
      <c r="AV20" s="949">
        <f>IFERROR(((D20+V20+AB20)-(+C20+U20+AA20))/(C20+U20+AA20),0)</f>
        <v>0</v>
      </c>
      <c r="AW20" s="945">
        <f t="shared" si="76"/>
        <v>0</v>
      </c>
      <c r="AX20" s="4422"/>
      <c r="AY20" s="1"/>
    </row>
    <row r="21" spans="1:121" s="162" customFormat="1">
      <c r="A21" s="1337" t="s">
        <v>1324</v>
      </c>
      <c r="B21" s="615" t="s">
        <v>1201</v>
      </c>
      <c r="C21" s="290">
        <v>154</v>
      </c>
      <c r="D21" s="291">
        <v>144</v>
      </c>
      <c r="E21" s="291">
        <v>144</v>
      </c>
      <c r="F21" s="291">
        <v>144</v>
      </c>
      <c r="G21" s="291">
        <v>146</v>
      </c>
      <c r="H21" s="605">
        <v>146</v>
      </c>
      <c r="I21" s="290">
        <v>5</v>
      </c>
      <c r="J21" s="291">
        <v>2</v>
      </c>
      <c r="K21" s="291">
        <v>2</v>
      </c>
      <c r="L21" s="291">
        <v>2</v>
      </c>
      <c r="M21" s="291">
        <v>2</v>
      </c>
      <c r="N21" s="605">
        <v>2</v>
      </c>
      <c r="O21" s="290">
        <v>9</v>
      </c>
      <c r="P21" s="291">
        <v>8</v>
      </c>
      <c r="Q21" s="291">
        <v>8</v>
      </c>
      <c r="R21" s="291">
        <v>8</v>
      </c>
      <c r="S21" s="291">
        <v>10</v>
      </c>
      <c r="T21" s="605">
        <v>10</v>
      </c>
      <c r="U21" s="290">
        <v>0</v>
      </c>
      <c r="V21" s="291">
        <v>0</v>
      </c>
      <c r="W21" s="291">
        <v>0</v>
      </c>
      <c r="X21" s="291">
        <v>0</v>
      </c>
      <c r="Y21" s="291">
        <v>0</v>
      </c>
      <c r="Z21" s="605">
        <v>0</v>
      </c>
      <c r="AA21" s="290">
        <v>0</v>
      </c>
      <c r="AB21" s="291">
        <v>0</v>
      </c>
      <c r="AC21" s="291">
        <v>0</v>
      </c>
      <c r="AD21" s="291">
        <v>0</v>
      </c>
      <c r="AE21" s="291">
        <v>0</v>
      </c>
      <c r="AF21" s="605">
        <v>0</v>
      </c>
      <c r="AG21" s="290">
        <v>0</v>
      </c>
      <c r="AH21" s="291">
        <v>0</v>
      </c>
      <c r="AI21" s="291">
        <v>0</v>
      </c>
      <c r="AJ21" s="291">
        <v>0</v>
      </c>
      <c r="AK21" s="291">
        <v>0</v>
      </c>
      <c r="AL21" s="605">
        <v>0</v>
      </c>
      <c r="AM21" s="946">
        <f t="shared" si="79"/>
        <v>168</v>
      </c>
      <c r="AN21" s="291">
        <v>152</v>
      </c>
      <c r="AO21" s="291">
        <v>155.05582270872219</v>
      </c>
      <c r="AP21" s="947">
        <f t="shared" si="80"/>
        <v>154</v>
      </c>
      <c r="AQ21" s="947">
        <f t="shared" si="81"/>
        <v>154</v>
      </c>
      <c r="AR21" s="947">
        <f t="shared" si="82"/>
        <v>154</v>
      </c>
      <c r="AS21" s="947">
        <f t="shared" si="83"/>
        <v>158</v>
      </c>
      <c r="AT21" s="948">
        <f t="shared" si="84"/>
        <v>158</v>
      </c>
      <c r="AU21" s="949">
        <f t="shared" si="74"/>
        <v>-8.3333333333333329E-2</v>
      </c>
      <c r="AV21" s="949">
        <f t="shared" si="75"/>
        <v>-6.4935064935064929E-2</v>
      </c>
      <c r="AW21" s="945">
        <f t="shared" si="76"/>
        <v>-0.2857142857142857</v>
      </c>
      <c r="AX21" s="4422"/>
      <c r="AY21" s="1"/>
    </row>
    <row r="22" spans="1:121" s="162" customFormat="1">
      <c r="A22" s="1337" t="s">
        <v>1325</v>
      </c>
      <c r="B22" s="615" t="s">
        <v>1202</v>
      </c>
      <c r="C22" s="290">
        <v>175</v>
      </c>
      <c r="D22" s="291">
        <v>179</v>
      </c>
      <c r="E22" s="291">
        <v>179</v>
      </c>
      <c r="F22" s="291">
        <v>179</v>
      </c>
      <c r="G22" s="291">
        <v>189</v>
      </c>
      <c r="H22" s="605">
        <v>189</v>
      </c>
      <c r="I22" s="290">
        <v>6</v>
      </c>
      <c r="J22" s="291">
        <v>6</v>
      </c>
      <c r="K22" s="291">
        <v>6</v>
      </c>
      <c r="L22" s="291">
        <v>6</v>
      </c>
      <c r="M22" s="291">
        <v>6</v>
      </c>
      <c r="N22" s="605">
        <v>6</v>
      </c>
      <c r="O22" s="290">
        <v>18</v>
      </c>
      <c r="P22" s="291">
        <v>19</v>
      </c>
      <c r="Q22" s="291">
        <v>19</v>
      </c>
      <c r="R22" s="291">
        <v>19</v>
      </c>
      <c r="S22" s="291">
        <v>24</v>
      </c>
      <c r="T22" s="605">
        <v>24</v>
      </c>
      <c r="U22" s="290">
        <v>0</v>
      </c>
      <c r="V22" s="291">
        <v>0</v>
      </c>
      <c r="W22" s="291">
        <v>0</v>
      </c>
      <c r="X22" s="291">
        <v>0</v>
      </c>
      <c r="Y22" s="291">
        <v>0</v>
      </c>
      <c r="Z22" s="605">
        <v>0</v>
      </c>
      <c r="AA22" s="290">
        <v>0</v>
      </c>
      <c r="AB22" s="291">
        <v>0</v>
      </c>
      <c r="AC22" s="291">
        <v>0</v>
      </c>
      <c r="AD22" s="291">
        <v>0</v>
      </c>
      <c r="AE22" s="291">
        <v>0</v>
      </c>
      <c r="AF22" s="605">
        <v>0</v>
      </c>
      <c r="AG22" s="290">
        <v>0</v>
      </c>
      <c r="AH22" s="291">
        <v>0</v>
      </c>
      <c r="AI22" s="291">
        <v>0</v>
      </c>
      <c r="AJ22" s="291">
        <v>0</v>
      </c>
      <c r="AK22" s="291">
        <v>0</v>
      </c>
      <c r="AL22" s="605">
        <v>0</v>
      </c>
      <c r="AM22" s="946">
        <f t="shared" si="79"/>
        <v>199</v>
      </c>
      <c r="AN22" s="291">
        <v>203</v>
      </c>
      <c r="AO22" s="291">
        <v>204</v>
      </c>
      <c r="AP22" s="947">
        <f t="shared" si="80"/>
        <v>204</v>
      </c>
      <c r="AQ22" s="947">
        <f t="shared" si="81"/>
        <v>204</v>
      </c>
      <c r="AR22" s="947">
        <f t="shared" si="82"/>
        <v>204</v>
      </c>
      <c r="AS22" s="947">
        <f t="shared" si="83"/>
        <v>219</v>
      </c>
      <c r="AT22" s="948">
        <f t="shared" si="84"/>
        <v>219</v>
      </c>
      <c r="AU22" s="949">
        <f t="shared" si="74"/>
        <v>2.5125628140703519E-2</v>
      </c>
      <c r="AV22" s="949">
        <f t="shared" si="75"/>
        <v>2.2857142857142857E-2</v>
      </c>
      <c r="AW22" s="945">
        <f t="shared" si="76"/>
        <v>4.1666666666666664E-2</v>
      </c>
      <c r="AX22" s="4422"/>
      <c r="AY22" s="1"/>
    </row>
    <row r="23" spans="1:121" s="162" customFormat="1" ht="13.5" thickBot="1">
      <c r="A23" s="1416" t="s">
        <v>1326</v>
      </c>
      <c r="B23" s="616" t="s">
        <v>1203</v>
      </c>
      <c r="C23" s="609">
        <v>21</v>
      </c>
      <c r="D23" s="610">
        <v>24</v>
      </c>
      <c r="E23" s="610">
        <v>24</v>
      </c>
      <c r="F23" s="610">
        <v>24</v>
      </c>
      <c r="G23" s="610">
        <v>24</v>
      </c>
      <c r="H23" s="611">
        <v>24</v>
      </c>
      <c r="I23" s="609">
        <v>3</v>
      </c>
      <c r="J23" s="610">
        <v>5</v>
      </c>
      <c r="K23" s="610">
        <v>5</v>
      </c>
      <c r="L23" s="610">
        <v>5</v>
      </c>
      <c r="M23" s="610">
        <v>5</v>
      </c>
      <c r="N23" s="611">
        <v>5</v>
      </c>
      <c r="O23" s="609">
        <v>0</v>
      </c>
      <c r="P23" s="610">
        <v>0</v>
      </c>
      <c r="Q23" s="610">
        <v>0</v>
      </c>
      <c r="R23" s="610">
        <v>0</v>
      </c>
      <c r="S23" s="610">
        <v>1</v>
      </c>
      <c r="T23" s="611">
        <v>1</v>
      </c>
      <c r="U23" s="609">
        <v>0</v>
      </c>
      <c r="V23" s="610">
        <v>0</v>
      </c>
      <c r="W23" s="610">
        <v>0</v>
      </c>
      <c r="X23" s="610">
        <v>0</v>
      </c>
      <c r="Y23" s="610">
        <v>0</v>
      </c>
      <c r="Z23" s="611">
        <v>0</v>
      </c>
      <c r="AA23" s="609">
        <v>0</v>
      </c>
      <c r="AB23" s="610">
        <v>0</v>
      </c>
      <c r="AC23" s="610">
        <v>0</v>
      </c>
      <c r="AD23" s="610">
        <v>0</v>
      </c>
      <c r="AE23" s="610">
        <v>0</v>
      </c>
      <c r="AF23" s="611">
        <v>0</v>
      </c>
      <c r="AG23" s="609">
        <v>3</v>
      </c>
      <c r="AH23" s="610">
        <v>2</v>
      </c>
      <c r="AI23" s="610">
        <v>2</v>
      </c>
      <c r="AJ23" s="610">
        <v>2</v>
      </c>
      <c r="AK23" s="610">
        <v>2</v>
      </c>
      <c r="AL23" s="611">
        <v>2</v>
      </c>
      <c r="AM23" s="1500">
        <f t="shared" si="79"/>
        <v>24</v>
      </c>
      <c r="AN23" s="610">
        <v>28</v>
      </c>
      <c r="AO23" s="610">
        <v>29.167468126166597</v>
      </c>
      <c r="AP23" s="1501">
        <f t="shared" si="80"/>
        <v>29</v>
      </c>
      <c r="AQ23" s="1501">
        <f t="shared" si="81"/>
        <v>29</v>
      </c>
      <c r="AR23" s="1501">
        <f t="shared" si="82"/>
        <v>29</v>
      </c>
      <c r="AS23" s="1501">
        <f t="shared" si="83"/>
        <v>30</v>
      </c>
      <c r="AT23" s="1502">
        <f t="shared" si="84"/>
        <v>30</v>
      </c>
      <c r="AU23" s="1503">
        <f t="shared" si="74"/>
        <v>0.20833333333333334</v>
      </c>
      <c r="AV23" s="1503">
        <f t="shared" si="75"/>
        <v>0.14285714285714285</v>
      </c>
      <c r="AW23" s="1504">
        <f t="shared" si="76"/>
        <v>0.66666666666666663</v>
      </c>
      <c r="AX23" s="4422"/>
      <c r="AY23" s="1"/>
    </row>
    <row r="24" spans="1:121" s="1338" customFormat="1">
      <c r="A24" s="1337" t="s">
        <v>466</v>
      </c>
      <c r="B24" s="1415" t="s">
        <v>1512</v>
      </c>
      <c r="C24" s="607">
        <v>396</v>
      </c>
      <c r="D24" s="607">
        <v>389</v>
      </c>
      <c r="E24" s="607">
        <v>389</v>
      </c>
      <c r="F24" s="607">
        <v>389</v>
      </c>
      <c r="G24" s="607">
        <v>401</v>
      </c>
      <c r="H24" s="608">
        <v>401</v>
      </c>
      <c r="I24" s="606">
        <v>15</v>
      </c>
      <c r="J24" s="607">
        <v>13</v>
      </c>
      <c r="K24" s="607">
        <v>13</v>
      </c>
      <c r="L24" s="607">
        <v>13</v>
      </c>
      <c r="M24" s="607">
        <v>13</v>
      </c>
      <c r="N24" s="608">
        <v>13</v>
      </c>
      <c r="O24" s="606">
        <v>31</v>
      </c>
      <c r="P24" s="607">
        <v>1</v>
      </c>
      <c r="Q24" s="607">
        <v>1</v>
      </c>
      <c r="R24" s="607">
        <v>1</v>
      </c>
      <c r="S24" s="607">
        <v>39</v>
      </c>
      <c r="T24" s="608">
        <v>39</v>
      </c>
      <c r="U24" s="3882">
        <f>U14</f>
        <v>0</v>
      </c>
      <c r="V24" s="3758">
        <f t="shared" ref="V24:AF24" si="85">V14</f>
        <v>0</v>
      </c>
      <c r="W24" s="3758">
        <f t="shared" si="85"/>
        <v>0</v>
      </c>
      <c r="X24" s="3758">
        <f t="shared" si="85"/>
        <v>0</v>
      </c>
      <c r="Y24" s="3758">
        <f t="shared" si="85"/>
        <v>0</v>
      </c>
      <c r="Z24" s="3883">
        <f t="shared" si="85"/>
        <v>0</v>
      </c>
      <c r="AA24" s="3882">
        <f t="shared" si="85"/>
        <v>0</v>
      </c>
      <c r="AB24" s="3758">
        <f t="shared" si="85"/>
        <v>0</v>
      </c>
      <c r="AC24" s="3758">
        <f t="shared" si="85"/>
        <v>0</v>
      </c>
      <c r="AD24" s="3758">
        <f t="shared" si="85"/>
        <v>0</v>
      </c>
      <c r="AE24" s="3758">
        <f t="shared" si="85"/>
        <v>0</v>
      </c>
      <c r="AF24" s="3883">
        <f t="shared" si="85"/>
        <v>0</v>
      </c>
      <c r="AG24" s="4598">
        <v>7</v>
      </c>
      <c r="AH24" s="607">
        <v>5</v>
      </c>
      <c r="AI24" s="607">
        <v>5</v>
      </c>
      <c r="AJ24" s="607">
        <v>5</v>
      </c>
      <c r="AK24" s="607">
        <v>5</v>
      </c>
      <c r="AL24" s="608">
        <v>5</v>
      </c>
      <c r="AM24" s="950">
        <f>C24+I24+O24+U24+AA24</f>
        <v>442</v>
      </c>
      <c r="AN24" s="607">
        <v>110</v>
      </c>
      <c r="AO24" s="607">
        <v>109</v>
      </c>
      <c r="AP24" s="951">
        <f t="shared" ref="AP24" si="86">D24+J24+P24+V24+AB24</f>
        <v>403</v>
      </c>
      <c r="AQ24" s="951">
        <f t="shared" ref="AQ24" si="87">E24+K24+Q24+W24+AC24</f>
        <v>403</v>
      </c>
      <c r="AR24" s="951">
        <f t="shared" ref="AR24" si="88">F24+L24+R24+X24+AD24</f>
        <v>403</v>
      </c>
      <c r="AS24" s="951">
        <f t="shared" ref="AS24" si="89">G24+M24+S24+Y24+AE24</f>
        <v>453</v>
      </c>
      <c r="AT24" s="952">
        <f>H24+N24+T24+Z24+AF24</f>
        <v>453</v>
      </c>
      <c r="AU24" s="1505">
        <f t="shared" si="74"/>
        <v>-8.8235294117647065E-2</v>
      </c>
      <c r="AV24" s="1505">
        <f t="shared" si="75"/>
        <v>-1.7676767676767676E-2</v>
      </c>
      <c r="AW24" s="1506">
        <f t="shared" si="76"/>
        <v>-0.69565217391304346</v>
      </c>
      <c r="AX24" s="4422"/>
      <c r="AY24" s="1"/>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row>
    <row r="25" spans="1:121" s="1338" customFormat="1">
      <c r="A25" s="1337" t="s">
        <v>468</v>
      </c>
      <c r="B25" s="1415" t="s">
        <v>1513</v>
      </c>
      <c r="C25" s="3877">
        <f>C14-C24</f>
        <v>141</v>
      </c>
      <c r="D25" s="1971">
        <f t="shared" ref="D25:T25" si="90">D14-D24</f>
        <v>143</v>
      </c>
      <c r="E25" s="1971">
        <f t="shared" si="90"/>
        <v>143</v>
      </c>
      <c r="F25" s="1971">
        <f t="shared" si="90"/>
        <v>143</v>
      </c>
      <c r="G25" s="1971">
        <f t="shared" si="90"/>
        <v>141</v>
      </c>
      <c r="H25" s="3276">
        <f t="shared" si="90"/>
        <v>141</v>
      </c>
      <c r="I25" s="3877">
        <f t="shared" si="90"/>
        <v>4</v>
      </c>
      <c r="J25" s="1971">
        <f t="shared" si="90"/>
        <v>3</v>
      </c>
      <c r="K25" s="1971">
        <f t="shared" si="90"/>
        <v>3</v>
      </c>
      <c r="L25" s="1971">
        <f t="shared" si="90"/>
        <v>3</v>
      </c>
      <c r="M25" s="1971">
        <f t="shared" si="90"/>
        <v>3</v>
      </c>
      <c r="N25" s="3276">
        <f t="shared" si="90"/>
        <v>3</v>
      </c>
      <c r="O25" s="3877">
        <f t="shared" si="90"/>
        <v>11</v>
      </c>
      <c r="P25" s="1971">
        <f t="shared" si="90"/>
        <v>41</v>
      </c>
      <c r="Q25" s="1971">
        <f>Q14-Q24</f>
        <v>41</v>
      </c>
      <c r="R25" s="1971">
        <f t="shared" si="90"/>
        <v>41</v>
      </c>
      <c r="S25" s="1971">
        <f t="shared" si="90"/>
        <v>14</v>
      </c>
      <c r="T25" s="3276">
        <f t="shared" si="90"/>
        <v>14</v>
      </c>
      <c r="U25" s="1926"/>
      <c r="V25" s="1927"/>
      <c r="W25" s="1927"/>
      <c r="X25" s="1927"/>
      <c r="Y25" s="1927"/>
      <c r="Z25" s="1928"/>
      <c r="AA25" s="1926"/>
      <c r="AB25" s="1927"/>
      <c r="AC25" s="1927"/>
      <c r="AD25" s="1927"/>
      <c r="AE25" s="1927"/>
      <c r="AF25" s="1928"/>
      <c r="AG25" s="3877">
        <f t="shared" ref="AG25" si="91">AG14-AG24</f>
        <v>1</v>
      </c>
      <c r="AH25" s="1971">
        <f t="shared" ref="AH25" si="92">AH14-AH24</f>
        <v>1</v>
      </c>
      <c r="AI25" s="1971">
        <f t="shared" ref="AI25" si="93">AI14-AI24</f>
        <v>1</v>
      </c>
      <c r="AJ25" s="1971">
        <f t="shared" ref="AJ25" si="94">AJ14-AJ24</f>
        <v>1</v>
      </c>
      <c r="AK25" s="1971">
        <f t="shared" ref="AK25" si="95">AK14-AK24</f>
        <v>1</v>
      </c>
      <c r="AL25" s="3276">
        <f t="shared" ref="AL25" si="96">AL14-AL24</f>
        <v>1</v>
      </c>
      <c r="AM25" s="950">
        <f>C25+I25+O25+U25+AA25</f>
        <v>156</v>
      </c>
      <c r="AN25" s="1971">
        <f t="shared" ref="AN25:AO25" si="97">AN14-AN24</f>
        <v>473</v>
      </c>
      <c r="AO25" s="1971">
        <f t="shared" si="97"/>
        <v>481.63925358811298</v>
      </c>
      <c r="AP25" s="951">
        <f t="shared" ref="AP25" si="98">D25+J25+P25+V25+AB25</f>
        <v>187</v>
      </c>
      <c r="AQ25" s="951">
        <f t="shared" ref="AQ25" si="99">E25+K25+Q25+W25+AC25</f>
        <v>187</v>
      </c>
      <c r="AR25" s="951">
        <f t="shared" ref="AR25" si="100">F25+L25+R25+X25+AD25</f>
        <v>187</v>
      </c>
      <c r="AS25" s="951">
        <f t="shared" ref="AS25" si="101">G25+M25+S25+Y25+AE25</f>
        <v>158</v>
      </c>
      <c r="AT25" s="952">
        <f>H25+N25+T25+Z25+AF25</f>
        <v>158</v>
      </c>
      <c r="AU25" s="953">
        <f t="shared" si="74"/>
        <v>0.19871794871794871</v>
      </c>
      <c r="AV25" s="953">
        <f t="shared" si="75"/>
        <v>1.4184397163120567E-2</v>
      </c>
      <c r="AW25" s="954">
        <f t="shared" si="76"/>
        <v>1.9333333333333333</v>
      </c>
      <c r="AX25" s="4422"/>
      <c r="AY25" s="1"/>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row>
    <row r="26" spans="1:121" s="1338" customFormat="1">
      <c r="A26" s="711" t="s">
        <v>470</v>
      </c>
      <c r="B26" s="4543" t="s">
        <v>1502</v>
      </c>
      <c r="C26" s="290">
        <v>24</v>
      </c>
      <c r="D26" s="291">
        <v>29</v>
      </c>
      <c r="E26" s="291">
        <v>29</v>
      </c>
      <c r="F26" s="291">
        <v>29</v>
      </c>
      <c r="G26" s="291">
        <v>29</v>
      </c>
      <c r="H26" s="605">
        <v>29</v>
      </c>
      <c r="I26" s="290">
        <v>1</v>
      </c>
      <c r="J26" s="291">
        <v>1</v>
      </c>
      <c r="K26" s="291">
        <v>1</v>
      </c>
      <c r="L26" s="291">
        <v>1</v>
      </c>
      <c r="M26" s="291">
        <v>1</v>
      </c>
      <c r="N26" s="605">
        <v>1</v>
      </c>
      <c r="O26" s="290">
        <v>2</v>
      </c>
      <c r="P26" s="291">
        <v>2</v>
      </c>
      <c r="Q26" s="291">
        <v>2</v>
      </c>
      <c r="R26" s="291">
        <v>2</v>
      </c>
      <c r="S26" s="291">
        <v>2</v>
      </c>
      <c r="T26" s="605">
        <v>2</v>
      </c>
      <c r="U26" s="4544"/>
      <c r="V26" s="4545"/>
      <c r="W26" s="4545"/>
      <c r="X26" s="4545"/>
      <c r="Y26" s="4545"/>
      <c r="Z26" s="4546"/>
      <c r="AA26" s="4544"/>
      <c r="AB26" s="4545"/>
      <c r="AC26" s="4545"/>
      <c r="AD26" s="4545"/>
      <c r="AE26" s="4545"/>
      <c r="AF26" s="4546"/>
      <c r="AG26" s="290">
        <v>1</v>
      </c>
      <c r="AH26" s="291">
        <v>1</v>
      </c>
      <c r="AI26" s="291">
        <v>1</v>
      </c>
      <c r="AJ26" s="291">
        <v>1</v>
      </c>
      <c r="AK26" s="291">
        <v>1</v>
      </c>
      <c r="AL26" s="605">
        <v>1</v>
      </c>
      <c r="AM26" s="946">
        <f>C26+I26+O26+U26+AA26</f>
        <v>27</v>
      </c>
      <c r="AN26" s="4641">
        <v>30</v>
      </c>
      <c r="AO26" s="291">
        <v>31</v>
      </c>
      <c r="AP26" s="947">
        <f t="shared" ref="AP26" si="102">D26+J26+P26+V26+AB26</f>
        <v>32</v>
      </c>
      <c r="AQ26" s="947">
        <f t="shared" ref="AQ26" si="103">E26+K26+Q26+W26+AC26</f>
        <v>32</v>
      </c>
      <c r="AR26" s="947">
        <f t="shared" ref="AR26" si="104">F26+L26+R26+X26+AD26</f>
        <v>32</v>
      </c>
      <c r="AS26" s="947">
        <f t="shared" ref="AS26" si="105">G26+M26+S26+Y26+AE26</f>
        <v>32</v>
      </c>
      <c r="AT26" s="948">
        <f t="shared" ref="AT26" si="106">H26+N26+T26+Z26+AF26</f>
        <v>32</v>
      </c>
      <c r="AU26" s="949">
        <f t="shared" si="74"/>
        <v>0.18518518518518517</v>
      </c>
      <c r="AV26" s="949">
        <f t="shared" si="75"/>
        <v>0.20833333333333334</v>
      </c>
      <c r="AW26" s="945">
        <f t="shared" si="76"/>
        <v>0</v>
      </c>
      <c r="AX26" s="4547"/>
    </row>
    <row r="27" spans="1:121" s="162" customFormat="1" ht="13.5" thickBot="1">
      <c r="A27" s="1336" t="s">
        <v>472</v>
      </c>
      <c r="B27" s="1335" t="s">
        <v>1507</v>
      </c>
      <c r="C27" s="1929">
        <f>IFERROR(((C26+I26+O26+AG26)*C24)/(C24+I24+O24+AG24),0)</f>
        <v>24.694877505567927</v>
      </c>
      <c r="D27" s="1930">
        <f t="shared" ref="D27:H27" si="107">IFERROR(((D26+J26+P26+AH26)*D24)/(D24+J24+P24+AH24),0)</f>
        <v>31.463235294117649</v>
      </c>
      <c r="E27" s="1930">
        <f t="shared" si="107"/>
        <v>31.463235294117649</v>
      </c>
      <c r="F27" s="1930">
        <f t="shared" si="107"/>
        <v>31.463235294117649</v>
      </c>
      <c r="G27" s="1930">
        <f t="shared" si="107"/>
        <v>28.893013100436683</v>
      </c>
      <c r="H27" s="1931">
        <f t="shared" si="107"/>
        <v>28.893013100436683</v>
      </c>
      <c r="I27" s="1929">
        <f>IFERROR(((C26+I26+O26+AG26)*I24)/(C24+I24+O24+AG24),0)</f>
        <v>0.93541202672605794</v>
      </c>
      <c r="J27" s="1930">
        <f t="shared" ref="J27:N27" si="108">IFERROR(((D26+J26+P26+AH26)*J24)/(D24+J24+P24+AH24),0)</f>
        <v>1.0514705882352942</v>
      </c>
      <c r="K27" s="1932">
        <f t="shared" si="108"/>
        <v>1.0514705882352942</v>
      </c>
      <c r="L27" s="1932">
        <f t="shared" si="108"/>
        <v>1.0514705882352942</v>
      </c>
      <c r="M27" s="1932">
        <f t="shared" si="108"/>
        <v>0.9366812227074236</v>
      </c>
      <c r="N27" s="1933">
        <f t="shared" si="108"/>
        <v>0.9366812227074236</v>
      </c>
      <c r="O27" s="1934">
        <f>IFERROR(((C26+I26+O26+AG26)*O24)/(C24+I24+O24+AG24),0)</f>
        <v>1.9331848552338531</v>
      </c>
      <c r="P27" s="1932">
        <f t="shared" ref="P27:T27" si="109">IFERROR(((D26+J26+P26+AH26)*P24)/(D24+J24+P24+AH24),0)</f>
        <v>8.0882352941176475E-2</v>
      </c>
      <c r="Q27" s="1932">
        <f t="shared" si="109"/>
        <v>8.0882352941176475E-2</v>
      </c>
      <c r="R27" s="1932">
        <f t="shared" si="109"/>
        <v>8.0882352941176475E-2</v>
      </c>
      <c r="S27" s="1932">
        <f t="shared" si="109"/>
        <v>2.8100436681222707</v>
      </c>
      <c r="T27" s="1933">
        <f t="shared" si="109"/>
        <v>2.8100436681222707</v>
      </c>
      <c r="U27" s="1935"/>
      <c r="V27" s="1936"/>
      <c r="W27" s="1936"/>
      <c r="X27" s="1936"/>
      <c r="Y27" s="1936"/>
      <c r="Z27" s="1937"/>
      <c r="AA27" s="1935"/>
      <c r="AB27" s="1936"/>
      <c r="AC27" s="1936"/>
      <c r="AD27" s="1936"/>
      <c r="AE27" s="1936"/>
      <c r="AF27" s="1937"/>
      <c r="AG27" s="1491">
        <f>IFERROR(((C26+I26+O26+AG26)*AG24)/(C24+I24+O24+AG24),0)</f>
        <v>0.43652561247216037</v>
      </c>
      <c r="AH27" s="1492">
        <f t="shared" ref="AH27:AL27" si="110">IFERROR(((D26+J26+P26+AH26)*AH24)/(D24+J24+P24+AH24),0)</f>
        <v>0.40441176470588236</v>
      </c>
      <c r="AI27" s="1492">
        <f t="shared" si="110"/>
        <v>0.40441176470588236</v>
      </c>
      <c r="AJ27" s="1492">
        <f t="shared" si="110"/>
        <v>0.40441176470588236</v>
      </c>
      <c r="AK27" s="1492">
        <f t="shared" si="110"/>
        <v>0.36026200873362446</v>
      </c>
      <c r="AL27" s="1493">
        <f t="shared" si="110"/>
        <v>0.36026200873362446</v>
      </c>
      <c r="AM27" s="1507">
        <f>AM14-AM24</f>
        <v>156</v>
      </c>
      <c r="AN27" s="1936"/>
      <c r="AO27" s="1936"/>
      <c r="AP27" s="1508">
        <f t="shared" ref="AP27:AT27" si="111">AP14-AP24</f>
        <v>187</v>
      </c>
      <c r="AQ27" s="1508">
        <f t="shared" si="111"/>
        <v>187</v>
      </c>
      <c r="AR27" s="1508">
        <f t="shared" si="111"/>
        <v>187</v>
      </c>
      <c r="AS27" s="1509">
        <f t="shared" si="111"/>
        <v>158</v>
      </c>
      <c r="AT27" s="1510">
        <f t="shared" si="111"/>
        <v>158</v>
      </c>
      <c r="AU27" s="1511">
        <f t="shared" si="74"/>
        <v>0.19871794871794871</v>
      </c>
      <c r="AV27" s="1511">
        <f t="shared" si="75"/>
        <v>0.27407942343604125</v>
      </c>
      <c r="AW27" s="1512">
        <f t="shared" si="76"/>
        <v>-0.60525895140664965</v>
      </c>
      <c r="AX27" s="4422"/>
    </row>
    <row r="28" spans="1:121" s="162" customFormat="1" ht="13.5" thickBot="1">
      <c r="A28" s="318"/>
      <c r="B28" s="319"/>
      <c r="C28" s="1513"/>
      <c r="D28" s="1514"/>
      <c r="E28" s="1514"/>
      <c r="F28" s="1514"/>
      <c r="G28" s="1514"/>
      <c r="H28" s="1515"/>
      <c r="I28" s="1513"/>
      <c r="J28" s="1514"/>
      <c r="K28" s="1514"/>
      <c r="L28" s="1514"/>
      <c r="M28" s="1514"/>
      <c r="N28" s="1515"/>
      <c r="O28" s="1513"/>
      <c r="P28" s="1514"/>
      <c r="Q28" s="1514"/>
      <c r="R28" s="1514"/>
      <c r="S28" s="1514"/>
      <c r="T28" s="1515"/>
      <c r="U28" s="1513"/>
      <c r="V28" s="1514"/>
      <c r="W28" s="1514"/>
      <c r="X28" s="1514"/>
      <c r="Y28" s="1514"/>
      <c r="Z28" s="1515"/>
      <c r="AA28" s="1513"/>
      <c r="AB28" s="1514"/>
      <c r="AC28" s="1514"/>
      <c r="AD28" s="1514"/>
      <c r="AE28" s="1514"/>
      <c r="AF28" s="1515"/>
      <c r="AG28" s="1513"/>
      <c r="AH28" s="1514"/>
      <c r="AI28" s="1514"/>
      <c r="AJ28" s="1514"/>
      <c r="AK28" s="1514"/>
      <c r="AL28" s="1515"/>
      <c r="AM28" s="1513"/>
      <c r="AN28" s="1514"/>
      <c r="AO28" s="1514"/>
      <c r="AP28" s="1514"/>
      <c r="AQ28" s="1514"/>
      <c r="AR28" s="1514"/>
      <c r="AS28" s="1514"/>
      <c r="AT28" s="1515"/>
      <c r="AU28" s="1516"/>
      <c r="AV28" s="1516"/>
      <c r="AW28" s="1517"/>
      <c r="AX28" s="4422"/>
    </row>
    <row r="29" spans="1:121" s="163" customFormat="1" ht="24.75" thickBot="1">
      <c r="A29" s="930" t="s">
        <v>95</v>
      </c>
      <c r="B29" s="4432" t="s">
        <v>1421</v>
      </c>
      <c r="C29" s="1499">
        <f>SUM(C30:C38)</f>
        <v>8799</v>
      </c>
      <c r="D29" s="1497">
        <f t="shared" ref="D29:AL29" si="112">SUM(D30:D38)</f>
        <v>13443</v>
      </c>
      <c r="E29" s="1497">
        <f t="shared" si="112"/>
        <v>15056.160000000002</v>
      </c>
      <c r="F29" s="1497">
        <f t="shared" si="112"/>
        <v>16862.899200000003</v>
      </c>
      <c r="G29" s="1497">
        <f t="shared" si="112"/>
        <v>19392.334080000001</v>
      </c>
      <c r="H29" s="1498">
        <f t="shared" si="112"/>
        <v>21719.414169600001</v>
      </c>
      <c r="I29" s="1499">
        <f t="shared" ref="I29:N29" si="113">SUM(I30:I38)</f>
        <v>367</v>
      </c>
      <c r="J29" s="1497">
        <f t="shared" si="113"/>
        <v>485</v>
      </c>
      <c r="K29" s="1497">
        <f t="shared" si="113"/>
        <v>543.20000000000005</v>
      </c>
      <c r="L29" s="1497">
        <f t="shared" si="113"/>
        <v>608.38400000000013</v>
      </c>
      <c r="M29" s="1497">
        <f t="shared" si="113"/>
        <v>681.39008000000024</v>
      </c>
      <c r="N29" s="1498">
        <f t="shared" si="113"/>
        <v>763.15688960000023</v>
      </c>
      <c r="O29" s="1499">
        <f t="shared" si="112"/>
        <v>695</v>
      </c>
      <c r="P29" s="1497">
        <f t="shared" si="112"/>
        <v>1015</v>
      </c>
      <c r="Q29" s="1497">
        <f t="shared" si="112"/>
        <v>1136.8000000000002</v>
      </c>
      <c r="R29" s="1497">
        <f t="shared" si="112"/>
        <v>1273.2160000000001</v>
      </c>
      <c r="S29" s="1497">
        <f t="shared" si="112"/>
        <v>1464.1984000000002</v>
      </c>
      <c r="T29" s="1498">
        <f t="shared" si="112"/>
        <v>1639.9022080000002</v>
      </c>
      <c r="U29" s="1499">
        <f t="shared" si="112"/>
        <v>0</v>
      </c>
      <c r="V29" s="1497">
        <f t="shared" si="112"/>
        <v>0</v>
      </c>
      <c r="W29" s="1497">
        <f t="shared" si="112"/>
        <v>0</v>
      </c>
      <c r="X29" s="1497">
        <f t="shared" si="112"/>
        <v>0</v>
      </c>
      <c r="Y29" s="1497">
        <f t="shared" si="112"/>
        <v>0</v>
      </c>
      <c r="Z29" s="1498">
        <f t="shared" si="112"/>
        <v>0</v>
      </c>
      <c r="AA29" s="1499">
        <f t="shared" si="112"/>
        <v>0</v>
      </c>
      <c r="AB29" s="1497">
        <f t="shared" si="112"/>
        <v>0</v>
      </c>
      <c r="AC29" s="1497">
        <f t="shared" si="112"/>
        <v>0</v>
      </c>
      <c r="AD29" s="1497">
        <f t="shared" si="112"/>
        <v>0</v>
      </c>
      <c r="AE29" s="1497">
        <f t="shared" si="112"/>
        <v>0</v>
      </c>
      <c r="AF29" s="1498">
        <f t="shared" si="112"/>
        <v>0</v>
      </c>
      <c r="AG29" s="1499">
        <f t="shared" si="112"/>
        <v>102</v>
      </c>
      <c r="AH29" s="1497">
        <f t="shared" si="112"/>
        <v>135</v>
      </c>
      <c r="AI29" s="1497">
        <f t="shared" si="112"/>
        <v>156</v>
      </c>
      <c r="AJ29" s="1497">
        <f t="shared" si="112"/>
        <v>179</v>
      </c>
      <c r="AK29" s="1497">
        <f t="shared" si="112"/>
        <v>206</v>
      </c>
      <c r="AL29" s="1498">
        <f t="shared" si="112"/>
        <v>237</v>
      </c>
      <c r="AM29" s="1499">
        <f t="shared" ref="AM29" si="114">C29+I29+O29+U29+AA29</f>
        <v>9861</v>
      </c>
      <c r="AN29" s="1497">
        <f t="shared" ref="AN29:AO29" si="115">SUM(AN30:AN38)</f>
        <v>11670</v>
      </c>
      <c r="AO29" s="1497">
        <f t="shared" si="115"/>
        <v>12967</v>
      </c>
      <c r="AP29" s="1497">
        <f t="shared" ref="AP29" si="116">D29+J29+P29+V29+AB29</f>
        <v>14943</v>
      </c>
      <c r="AQ29" s="1497">
        <f t="shared" ref="AQ29" si="117">E29+K29+Q29+W29+AC29</f>
        <v>16736.160000000003</v>
      </c>
      <c r="AR29" s="1497">
        <f t="shared" ref="AR29" si="118">F29+L29+R29+X29+AD29</f>
        <v>18744.499200000006</v>
      </c>
      <c r="AS29" s="1497">
        <f t="shared" ref="AS29" si="119">G29+M29+S29+Y29+AE29</f>
        <v>21537.922560000003</v>
      </c>
      <c r="AT29" s="1498">
        <f t="shared" ref="AT29" si="120">H29+N29+T29+Z29+AF29</f>
        <v>24122.473267199999</v>
      </c>
      <c r="AU29" s="1518">
        <f t="shared" ref="AU29:AU40" si="121">IFERROR((AP29-AM29)/AM29,0)</f>
        <v>0.5153635533921509</v>
      </c>
      <c r="AV29" s="1518">
        <f t="shared" ref="AV29:AV40" si="122">IFERROR(((D29+V29+AB29)-(+C29+U29+AA29))/(C29+U29+AA29),0)</f>
        <v>0.5277872485509717</v>
      </c>
      <c r="AW29" s="1518">
        <f t="shared" ref="AW29:AW40" si="123">IFERROR(((J29+P29)-(I29+O29))/(I29+O29),0)</f>
        <v>0.41242937853107342</v>
      </c>
      <c r="AX29" s="4422"/>
      <c r="AY29" s="4425" t="s">
        <v>1878</v>
      </c>
      <c r="AZ29" s="4431">
        <f>IFERROR(C29/$C$1,0)</f>
        <v>4498.8572626455261</v>
      </c>
      <c r="BA29" s="4431">
        <f t="shared" ref="BA29:CQ29" si="124">IFERROR(D29/$C$1,0)</f>
        <v>6873.2967589207656</v>
      </c>
      <c r="BB29" s="4431">
        <f t="shared" si="124"/>
        <v>7698.0923699912582</v>
      </c>
      <c r="BC29" s="4431">
        <f t="shared" si="124"/>
        <v>8621.8634543902099</v>
      </c>
      <c r="BD29" s="4431">
        <f t="shared" si="124"/>
        <v>9915.1429725487396</v>
      </c>
      <c r="BE29" s="4431">
        <f t="shared" si="124"/>
        <v>11104.960129254589</v>
      </c>
      <c r="BF29" s="4431">
        <f t="shared" si="124"/>
        <v>187.64412039901219</v>
      </c>
      <c r="BG29" s="4431">
        <f t="shared" si="124"/>
        <v>247.97656238016597</v>
      </c>
      <c r="BH29" s="4431">
        <f t="shared" si="124"/>
        <v>277.73374986578591</v>
      </c>
      <c r="BI29" s="4431">
        <f t="shared" si="124"/>
        <v>311.06179984968026</v>
      </c>
      <c r="BJ29" s="4431">
        <f t="shared" si="124"/>
        <v>348.38921583164193</v>
      </c>
      <c r="BK29" s="4431">
        <f t="shared" si="124"/>
        <v>390.19592173143894</v>
      </c>
      <c r="BL29" s="4431">
        <f t="shared" si="124"/>
        <v>355.34785743137184</v>
      </c>
      <c r="BM29" s="4431">
        <f t="shared" si="124"/>
        <v>518.96125941416176</v>
      </c>
      <c r="BN29" s="4431">
        <f t="shared" si="124"/>
        <v>581.23661054386127</v>
      </c>
      <c r="BO29" s="4431">
        <f t="shared" si="124"/>
        <v>650.98500380912458</v>
      </c>
      <c r="BP29" s="4431">
        <f t="shared" si="124"/>
        <v>748.63275438049334</v>
      </c>
      <c r="BQ29" s="4431">
        <f t="shared" si="124"/>
        <v>838.46868490615248</v>
      </c>
      <c r="BR29" s="4431">
        <f t="shared" si="124"/>
        <v>0</v>
      </c>
      <c r="BS29" s="4431">
        <f t="shared" si="124"/>
        <v>0</v>
      </c>
      <c r="BT29" s="4431">
        <f t="shared" si="124"/>
        <v>0</v>
      </c>
      <c r="BU29" s="4431">
        <f t="shared" si="124"/>
        <v>0</v>
      </c>
      <c r="BV29" s="4431">
        <f t="shared" si="124"/>
        <v>0</v>
      </c>
      <c r="BW29" s="4431">
        <f t="shared" si="124"/>
        <v>0</v>
      </c>
      <c r="BX29" s="4431">
        <f t="shared" si="124"/>
        <v>0</v>
      </c>
      <c r="BY29" s="4431">
        <f t="shared" si="124"/>
        <v>0</v>
      </c>
      <c r="BZ29" s="4431">
        <f t="shared" si="124"/>
        <v>0</v>
      </c>
      <c r="CA29" s="4431">
        <f t="shared" si="124"/>
        <v>0</v>
      </c>
      <c r="CB29" s="4431">
        <f t="shared" si="124"/>
        <v>0</v>
      </c>
      <c r="CC29" s="4431">
        <f t="shared" si="124"/>
        <v>0</v>
      </c>
      <c r="CD29" s="4431">
        <f t="shared" si="124"/>
        <v>52.151771882014287</v>
      </c>
      <c r="CE29" s="4431">
        <f t="shared" si="124"/>
        <v>69.024403961489497</v>
      </c>
      <c r="CF29" s="4431">
        <f t="shared" si="124"/>
        <v>79.761533466610089</v>
      </c>
      <c r="CG29" s="4431">
        <f t="shared" si="124"/>
        <v>91.52124673412311</v>
      </c>
      <c r="CH29" s="4431">
        <f t="shared" si="124"/>
        <v>105.326127526421</v>
      </c>
      <c r="CI29" s="4431">
        <f t="shared" si="124"/>
        <v>121.17617584350378</v>
      </c>
      <c r="CJ29" s="4431">
        <f t="shared" si="124"/>
        <v>5041.8492404759108</v>
      </c>
      <c r="CK29" s="4431">
        <f t="shared" si="124"/>
        <v>5966.7762535598695</v>
      </c>
      <c r="CL29" s="4431">
        <f t="shared" si="124"/>
        <v>6629.9218234713653</v>
      </c>
      <c r="CM29" s="4431">
        <f t="shared" si="124"/>
        <v>7640.2345807150932</v>
      </c>
      <c r="CN29" s="4431">
        <f t="shared" si="124"/>
        <v>8557.0627304009067</v>
      </c>
      <c r="CO29" s="4431">
        <f t="shared" si="124"/>
        <v>9583.9102580490162</v>
      </c>
      <c r="CP29" s="4431">
        <f t="shared" si="124"/>
        <v>11012.164942760875</v>
      </c>
      <c r="CQ29" s="4431">
        <f t="shared" si="124"/>
        <v>12333.624735892179</v>
      </c>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row>
    <row r="30" spans="1:121" s="162" customFormat="1" ht="13.5" thickBot="1">
      <c r="A30" s="764" t="s">
        <v>953</v>
      </c>
      <c r="B30" s="614" t="s">
        <v>1195</v>
      </c>
      <c r="C30" s="290">
        <v>685</v>
      </c>
      <c r="D30" s="291">
        <v>763</v>
      </c>
      <c r="E30" s="291">
        <f>D30*1.12</f>
        <v>854.56000000000006</v>
      </c>
      <c r="F30" s="291">
        <f t="shared" ref="F30" si="125">E30*1.12</f>
        <v>957.10720000000015</v>
      </c>
      <c r="G30" s="291">
        <f>F30*1.15</f>
        <v>1100.67328</v>
      </c>
      <c r="H30" s="291">
        <f>G30*1.12</f>
        <v>1232.7540736000001</v>
      </c>
      <c r="I30" s="290">
        <v>17</v>
      </c>
      <c r="J30" s="291">
        <v>16</v>
      </c>
      <c r="K30" s="291">
        <f>J30*1.12</f>
        <v>17.920000000000002</v>
      </c>
      <c r="L30" s="291">
        <f t="shared" ref="L30:N30" si="126">K30*1.12</f>
        <v>20.070400000000003</v>
      </c>
      <c r="M30" s="291">
        <f t="shared" si="126"/>
        <v>22.478848000000006</v>
      </c>
      <c r="N30" s="291">
        <f t="shared" si="126"/>
        <v>25.176309760000009</v>
      </c>
      <c r="O30" s="290">
        <v>76</v>
      </c>
      <c r="P30" s="291">
        <v>96</v>
      </c>
      <c r="Q30" s="291">
        <f>P30*1.12</f>
        <v>107.52000000000001</v>
      </c>
      <c r="R30" s="291">
        <f t="shared" ref="R30" si="127">Q30*1.12</f>
        <v>120.42240000000002</v>
      </c>
      <c r="S30" s="291">
        <f>R30*1.15</f>
        <v>138.48576000000003</v>
      </c>
      <c r="T30" s="291">
        <f>S30*1.12</f>
        <v>155.10405120000004</v>
      </c>
      <c r="U30" s="290"/>
      <c r="V30" s="291"/>
      <c r="W30" s="291"/>
      <c r="X30" s="291"/>
      <c r="Y30" s="291"/>
      <c r="Z30" s="605"/>
      <c r="AA30" s="290"/>
      <c r="AB30" s="291"/>
      <c r="AC30" s="291"/>
      <c r="AD30" s="291"/>
      <c r="AE30" s="291"/>
      <c r="AF30" s="605"/>
      <c r="AG30" s="606">
        <v>3</v>
      </c>
      <c r="AH30" s="607">
        <v>3</v>
      </c>
      <c r="AI30" s="607">
        <v>3</v>
      </c>
      <c r="AJ30" s="607">
        <v>3</v>
      </c>
      <c r="AK30" s="607">
        <v>4</v>
      </c>
      <c r="AL30" s="608">
        <v>5</v>
      </c>
      <c r="AM30" s="946">
        <f t="shared" ref="AM30:AM38" si="128">C30+I30+O30+U30+AA30</f>
        <v>778</v>
      </c>
      <c r="AN30" s="4641">
        <v>784</v>
      </c>
      <c r="AO30" s="291">
        <v>761</v>
      </c>
      <c r="AP30" s="947">
        <f t="shared" ref="AP30:AP38" si="129">D30+J30+P30+V30+AB30</f>
        <v>875</v>
      </c>
      <c r="AQ30" s="947">
        <f t="shared" ref="AQ30:AQ38" si="130">E30+K30+Q30+W30+AC30</f>
        <v>980</v>
      </c>
      <c r="AR30" s="947">
        <f t="shared" ref="AR30:AR38" si="131">F30+L30+R30+X30+AD30</f>
        <v>1097.6000000000001</v>
      </c>
      <c r="AS30" s="947">
        <f t="shared" ref="AS30:AS38" si="132">G30+M30+S30+Y30+AE30</f>
        <v>1261.637888</v>
      </c>
      <c r="AT30" s="948">
        <f t="shared" ref="AT30:AT38" si="133">H30+N30+T30+Z30+AF30</f>
        <v>1413.0344345600001</v>
      </c>
      <c r="AU30" s="1519">
        <f t="shared" si="121"/>
        <v>0.12467866323907455</v>
      </c>
      <c r="AV30" s="1519">
        <f t="shared" si="122"/>
        <v>0.11386861313868613</v>
      </c>
      <c r="AW30" s="1520">
        <f t="shared" ref="AW30:AW38" si="134">IFERROR(((J30+P30)-(I30+O30))/(I30+O30),0)</f>
        <v>0.20430107526881722</v>
      </c>
      <c r="AX30" s="4422"/>
      <c r="AY30" s="4425" t="s">
        <v>1878</v>
      </c>
      <c r="AZ30" s="4431">
        <f t="shared" ref="AZ30:AZ40" si="135">IFERROR(C30/$C$1,0)</f>
        <v>350.23493861940966</v>
      </c>
      <c r="BA30" s="4431">
        <f t="shared" ref="BA30:BA40" si="136">IFERROR(D30/$C$1,0)</f>
        <v>390.11570535271471</v>
      </c>
      <c r="BB30" s="4431">
        <f t="shared" ref="BB30:BB40" si="137">IFERROR(E30/$C$1,0)</f>
        <v>436.92958999504049</v>
      </c>
      <c r="BC30" s="4431">
        <f t="shared" ref="BC30:BC40" si="138">IFERROR(F30/$C$1,0)</f>
        <v>489.36114079444542</v>
      </c>
      <c r="BD30" s="4431">
        <f t="shared" ref="BD30:BD40" si="139">IFERROR(G30/$C$1,0)</f>
        <v>562.76531191361209</v>
      </c>
      <c r="BE30" s="4431">
        <f t="shared" ref="BE30:BE40" si="140">IFERROR(H30/$C$1,0)</f>
        <v>630.29714934324568</v>
      </c>
      <c r="BF30" s="4431">
        <f t="shared" ref="BF30:BF38" si="141">IFERROR(I30/$C$1,0)</f>
        <v>8.691961980335714</v>
      </c>
      <c r="BG30" s="4431">
        <f t="shared" ref="BG30:BG38" si="142">IFERROR(J30/$C$1,0)</f>
        <v>8.1806700991394958</v>
      </c>
      <c r="BH30" s="4431">
        <f t="shared" ref="BH30:BH38" si="143">IFERROR(K30/$C$1,0)</f>
        <v>9.1623505110362355</v>
      </c>
      <c r="BI30" s="4431">
        <f t="shared" ref="BI30:BI38" si="144">IFERROR(L30/$C$1,0)</f>
        <v>10.261832572360586</v>
      </c>
      <c r="BJ30" s="4431">
        <f t="shared" ref="BJ30:BJ38" si="145">IFERROR(M30/$C$1,0)</f>
        <v>11.493252481043857</v>
      </c>
      <c r="BK30" s="4431">
        <f t="shared" ref="BK30:BK38" si="146">IFERROR(N30/$C$1,0)</f>
        <v>12.872442778769122</v>
      </c>
      <c r="BL30" s="4431">
        <f t="shared" ref="BL30:BL40" si="147">IFERROR(O30/$C$1,0)</f>
        <v>38.858182970912608</v>
      </c>
      <c r="BM30" s="4431">
        <f t="shared" ref="BM30:BM40" si="148">IFERROR(P30/$C$1,0)</f>
        <v>49.084020594836979</v>
      </c>
      <c r="BN30" s="4431">
        <f t="shared" ref="BN30:BN40" si="149">IFERROR(Q30/$C$1,0)</f>
        <v>54.974103066217417</v>
      </c>
      <c r="BO30" s="4431">
        <f t="shared" ref="BO30:BO40" si="150">IFERROR(R30/$C$1,0)</f>
        <v>61.570995434163514</v>
      </c>
      <c r="BP30" s="4431">
        <f t="shared" ref="BP30:BP40" si="151">IFERROR(S30/$C$1,0)</f>
        <v>70.80664474928804</v>
      </c>
      <c r="BQ30" s="4431">
        <f t="shared" ref="BQ30:BQ40" si="152">IFERROR(T30/$C$1,0)</f>
        <v>79.303442119202614</v>
      </c>
      <c r="BR30" s="4431">
        <f t="shared" ref="BR30:BR40" si="153">IFERROR(U30/$C$1,0)</f>
        <v>0</v>
      </c>
      <c r="BS30" s="4431">
        <f t="shared" ref="BS30:BS40" si="154">IFERROR(V30/$C$1,0)</f>
        <v>0</v>
      </c>
      <c r="BT30" s="4431">
        <f t="shared" ref="BT30:BT40" si="155">IFERROR(W30/$C$1,0)</f>
        <v>0</v>
      </c>
      <c r="BU30" s="4431">
        <f t="shared" ref="BU30:BU40" si="156">IFERROR(X30/$C$1,0)</f>
        <v>0</v>
      </c>
      <c r="BV30" s="4431">
        <f t="shared" ref="BV30:BV40" si="157">IFERROR(Y30/$C$1,0)</f>
        <v>0</v>
      </c>
      <c r="BW30" s="4431">
        <f t="shared" ref="BW30:BW40" si="158">IFERROR(Z30/$C$1,0)</f>
        <v>0</v>
      </c>
      <c r="BX30" s="4431">
        <f t="shared" ref="BX30:BX40" si="159">IFERROR(AA30/$C$1,0)</f>
        <v>0</v>
      </c>
      <c r="BY30" s="4431">
        <f t="shared" ref="BY30:BY40" si="160">IFERROR(AB30/$C$1,0)</f>
        <v>0</v>
      </c>
      <c r="BZ30" s="4431">
        <f t="shared" ref="BZ30:BZ40" si="161">IFERROR(AC30/$C$1,0)</f>
        <v>0</v>
      </c>
      <c r="CA30" s="4431">
        <f t="shared" ref="CA30:CA40" si="162">IFERROR(AD30/$C$1,0)</f>
        <v>0</v>
      </c>
      <c r="CB30" s="4431">
        <f t="shared" ref="CB30:CB40" si="163">IFERROR(AE30/$C$1,0)</f>
        <v>0</v>
      </c>
      <c r="CC30" s="4431">
        <f t="shared" ref="CC30:CC40" si="164">IFERROR(AF30/$C$1,0)</f>
        <v>0</v>
      </c>
      <c r="CD30" s="4431">
        <f t="shared" ref="CD30:CD40" si="165">IFERROR(AG30/$C$1,0)</f>
        <v>1.5338756435886556</v>
      </c>
      <c r="CE30" s="4431">
        <f t="shared" ref="CE30:CE40" si="166">IFERROR(AH30/$C$1,0)</f>
        <v>1.5338756435886556</v>
      </c>
      <c r="CF30" s="4431">
        <f t="shared" ref="CF30:CF40" si="167">IFERROR(AI30/$C$1,0)</f>
        <v>1.5338756435886556</v>
      </c>
      <c r="CG30" s="4431">
        <f t="shared" ref="CG30:CG40" si="168">IFERROR(AJ30/$C$1,0)</f>
        <v>1.5338756435886556</v>
      </c>
      <c r="CH30" s="4431">
        <f t="shared" ref="CH30:CH40" si="169">IFERROR(AK30/$C$1,0)</f>
        <v>2.045167524784874</v>
      </c>
      <c r="CI30" s="4431">
        <f t="shared" ref="CI30:CI40" si="170">IFERROR(AL30/$C$1,0)</f>
        <v>2.5564594059810926</v>
      </c>
      <c r="CJ30" s="4431">
        <f t="shared" ref="CJ30:CJ40" si="171">IFERROR(AM30/$C$1,0)</f>
        <v>397.785083570658</v>
      </c>
      <c r="CK30" s="4431">
        <f t="shared" ref="CK30:CK40" si="172">IFERROR(AN30/$C$1,0)</f>
        <v>400.85283485783532</v>
      </c>
      <c r="CL30" s="4431">
        <f t="shared" ref="CL30:CL40" si="173">IFERROR(AO30/$C$1,0)</f>
        <v>389.09312159032226</v>
      </c>
      <c r="CM30" s="4431">
        <f t="shared" ref="CM30:CM40" si="174">IFERROR(AP30/$C$1,0)</f>
        <v>447.3803960466912</v>
      </c>
      <c r="CN30" s="4431">
        <f t="shared" ref="CN30:CN40" si="175">IFERROR(AQ30/$C$1,0)</f>
        <v>501.06604357229412</v>
      </c>
      <c r="CO30" s="4431">
        <f t="shared" ref="CO30:CO40" si="176">IFERROR(AR30/$C$1,0)</f>
        <v>561.19396880096951</v>
      </c>
      <c r="CP30" s="4431">
        <f t="shared" ref="CP30:CP40" si="177">IFERROR(AS30/$C$1,0)</f>
        <v>645.065209143944</v>
      </c>
      <c r="CQ30" s="4431">
        <f t="shared" ref="CQ30:CQ40" si="178">IFERROR(AT30/$C$1,0)</f>
        <v>722.47303424121742</v>
      </c>
    </row>
    <row r="31" spans="1:121" s="162" customFormat="1" ht="13.5" thickBot="1">
      <c r="A31" s="764" t="s">
        <v>1204</v>
      </c>
      <c r="B31" s="615" t="s">
        <v>1196</v>
      </c>
      <c r="C31" s="290">
        <v>204</v>
      </c>
      <c r="D31" s="291">
        <v>405</v>
      </c>
      <c r="E31" s="291">
        <f t="shared" ref="E31:F38" si="179">D31*1.12</f>
        <v>453.6</v>
      </c>
      <c r="F31" s="291">
        <f t="shared" si="179"/>
        <v>508.0320000000001</v>
      </c>
      <c r="G31" s="291">
        <f t="shared" ref="G31:G38" si="180">F31*1.15</f>
        <v>584.23680000000002</v>
      </c>
      <c r="H31" s="291">
        <f t="shared" ref="H31:H38" si="181">G31*1.12</f>
        <v>654.34521600000005</v>
      </c>
      <c r="I31" s="290">
        <v>8</v>
      </c>
      <c r="J31" s="291">
        <v>17</v>
      </c>
      <c r="K31" s="291">
        <f t="shared" ref="K31:N31" si="182">J31*1.12</f>
        <v>19.040000000000003</v>
      </c>
      <c r="L31" s="291">
        <f t="shared" si="182"/>
        <v>21.324800000000003</v>
      </c>
      <c r="M31" s="291">
        <f t="shared" si="182"/>
        <v>23.883776000000005</v>
      </c>
      <c r="N31" s="291">
        <f t="shared" si="182"/>
        <v>26.749829120000008</v>
      </c>
      <c r="O31" s="290">
        <v>32</v>
      </c>
      <c r="P31" s="291">
        <v>57</v>
      </c>
      <c r="Q31" s="291">
        <f t="shared" ref="Q31:R31" si="183">P31*1.12</f>
        <v>63.84</v>
      </c>
      <c r="R31" s="291">
        <f t="shared" si="183"/>
        <v>71.500800000000012</v>
      </c>
      <c r="S31" s="291">
        <f t="shared" ref="S31:S38" si="184">R31*1.15</f>
        <v>82.225920000000002</v>
      </c>
      <c r="T31" s="291">
        <f t="shared" ref="T31:T38" si="185">S31*1.12</f>
        <v>92.093030400000018</v>
      </c>
      <c r="U31" s="290"/>
      <c r="V31" s="291"/>
      <c r="W31" s="291"/>
      <c r="X31" s="291"/>
      <c r="Y31" s="291"/>
      <c r="Z31" s="605"/>
      <c r="AA31" s="290"/>
      <c r="AB31" s="291"/>
      <c r="AC31" s="291"/>
      <c r="AD31" s="291"/>
      <c r="AE31" s="291"/>
      <c r="AF31" s="605"/>
      <c r="AG31" s="290">
        <v>1</v>
      </c>
      <c r="AH31" s="291">
        <v>3</v>
      </c>
      <c r="AI31" s="291">
        <v>3</v>
      </c>
      <c r="AJ31" s="291">
        <v>4</v>
      </c>
      <c r="AK31" s="291">
        <v>5</v>
      </c>
      <c r="AL31" s="605">
        <v>5</v>
      </c>
      <c r="AM31" s="946">
        <f t="shared" si="128"/>
        <v>244</v>
      </c>
      <c r="AN31" s="4641">
        <v>350</v>
      </c>
      <c r="AO31" s="291">
        <v>390</v>
      </c>
      <c r="AP31" s="947">
        <f t="shared" si="129"/>
        <v>479</v>
      </c>
      <c r="AQ31" s="947">
        <f t="shared" si="130"/>
        <v>536.48</v>
      </c>
      <c r="AR31" s="947">
        <f t="shared" si="131"/>
        <v>600.85760000000016</v>
      </c>
      <c r="AS31" s="947">
        <f t="shared" si="132"/>
        <v>690.346496</v>
      </c>
      <c r="AT31" s="948">
        <f t="shared" si="133"/>
        <v>773.18807551999998</v>
      </c>
      <c r="AU31" s="1521">
        <f t="shared" si="121"/>
        <v>0.96311475409836067</v>
      </c>
      <c r="AV31" s="1521">
        <f t="shared" si="122"/>
        <v>0.98529411764705888</v>
      </c>
      <c r="AW31" s="1522">
        <f t="shared" si="134"/>
        <v>0.85</v>
      </c>
      <c r="AX31" s="4422"/>
      <c r="AY31" s="4425" t="s">
        <v>1878</v>
      </c>
      <c r="AZ31" s="4431">
        <f t="shared" si="135"/>
        <v>104.30354376402857</v>
      </c>
      <c r="BA31" s="4431">
        <f t="shared" si="136"/>
        <v>207.07321188446849</v>
      </c>
      <c r="BB31" s="4431">
        <f t="shared" si="137"/>
        <v>231.92199731060472</v>
      </c>
      <c r="BC31" s="4431">
        <f t="shared" si="138"/>
        <v>259.75263698787734</v>
      </c>
      <c r="BD31" s="4431">
        <f t="shared" si="139"/>
        <v>298.7155325360589</v>
      </c>
      <c r="BE31" s="4431">
        <f t="shared" si="140"/>
        <v>334.56139644038598</v>
      </c>
      <c r="BF31" s="4431">
        <f t="shared" si="141"/>
        <v>4.0903350495697479</v>
      </c>
      <c r="BG31" s="4431">
        <f t="shared" si="142"/>
        <v>8.691961980335714</v>
      </c>
      <c r="BH31" s="4431">
        <f t="shared" si="143"/>
        <v>9.7349974179760022</v>
      </c>
      <c r="BI31" s="4431">
        <f t="shared" si="144"/>
        <v>10.903197108133122</v>
      </c>
      <c r="BJ31" s="4431">
        <f t="shared" si="145"/>
        <v>12.211580761109097</v>
      </c>
      <c r="BK31" s="4431">
        <f t="shared" si="146"/>
        <v>13.676970452442189</v>
      </c>
      <c r="BL31" s="4431">
        <f t="shared" si="147"/>
        <v>16.361340198278992</v>
      </c>
      <c r="BM31" s="4431">
        <f t="shared" si="148"/>
        <v>29.143637228184453</v>
      </c>
      <c r="BN31" s="4431">
        <f t="shared" si="149"/>
        <v>32.64087369556659</v>
      </c>
      <c r="BO31" s="4431">
        <f t="shared" si="150"/>
        <v>36.557778539034587</v>
      </c>
      <c r="BP31" s="4431">
        <f t="shared" si="151"/>
        <v>42.041445319889768</v>
      </c>
      <c r="BQ31" s="4431">
        <f t="shared" si="152"/>
        <v>47.086418758276544</v>
      </c>
      <c r="BR31" s="4431">
        <f t="shared" si="153"/>
        <v>0</v>
      </c>
      <c r="BS31" s="4431">
        <f t="shared" si="154"/>
        <v>0</v>
      </c>
      <c r="BT31" s="4431">
        <f t="shared" si="155"/>
        <v>0</v>
      </c>
      <c r="BU31" s="4431">
        <f t="shared" si="156"/>
        <v>0</v>
      </c>
      <c r="BV31" s="4431">
        <f t="shared" si="157"/>
        <v>0</v>
      </c>
      <c r="BW31" s="4431">
        <f t="shared" si="158"/>
        <v>0</v>
      </c>
      <c r="BX31" s="4431">
        <f t="shared" si="159"/>
        <v>0</v>
      </c>
      <c r="BY31" s="4431">
        <f t="shared" si="160"/>
        <v>0</v>
      </c>
      <c r="BZ31" s="4431">
        <f t="shared" si="161"/>
        <v>0</v>
      </c>
      <c r="CA31" s="4431">
        <f t="shared" si="162"/>
        <v>0</v>
      </c>
      <c r="CB31" s="4431">
        <f t="shared" si="163"/>
        <v>0</v>
      </c>
      <c r="CC31" s="4431">
        <f t="shared" si="164"/>
        <v>0</v>
      </c>
      <c r="CD31" s="4431">
        <f t="shared" si="165"/>
        <v>0.51129188119621849</v>
      </c>
      <c r="CE31" s="4431">
        <f t="shared" si="166"/>
        <v>1.5338756435886556</v>
      </c>
      <c r="CF31" s="4431">
        <f t="shared" si="167"/>
        <v>1.5338756435886556</v>
      </c>
      <c r="CG31" s="4431">
        <f t="shared" si="168"/>
        <v>2.045167524784874</v>
      </c>
      <c r="CH31" s="4431">
        <f t="shared" si="169"/>
        <v>2.5564594059810926</v>
      </c>
      <c r="CI31" s="4431">
        <f t="shared" si="170"/>
        <v>2.5564594059810926</v>
      </c>
      <c r="CJ31" s="4431">
        <f t="shared" si="171"/>
        <v>124.75521901187732</v>
      </c>
      <c r="CK31" s="4431">
        <f t="shared" si="172"/>
        <v>178.95215841867648</v>
      </c>
      <c r="CL31" s="4431">
        <f t="shared" si="173"/>
        <v>199.4038336665252</v>
      </c>
      <c r="CM31" s="4431">
        <f t="shared" si="174"/>
        <v>244.90881109298866</v>
      </c>
      <c r="CN31" s="4431">
        <f t="shared" si="175"/>
        <v>274.29786842414728</v>
      </c>
      <c r="CO31" s="4431">
        <f t="shared" si="176"/>
        <v>307.21361263504508</v>
      </c>
      <c r="CP31" s="4431">
        <f t="shared" si="177"/>
        <v>352.96855861705774</v>
      </c>
      <c r="CQ31" s="4431">
        <f t="shared" si="178"/>
        <v>395.32478565110466</v>
      </c>
    </row>
    <row r="32" spans="1:121" s="162" customFormat="1" ht="13.5" thickBot="1">
      <c r="A32" s="764" t="s">
        <v>1205</v>
      </c>
      <c r="B32" s="615" t="s">
        <v>1197</v>
      </c>
      <c r="C32" s="290">
        <v>986</v>
      </c>
      <c r="D32" s="291">
        <v>1565</v>
      </c>
      <c r="E32" s="291">
        <f t="shared" si="179"/>
        <v>1752.8000000000002</v>
      </c>
      <c r="F32" s="291">
        <f t="shared" si="179"/>
        <v>1963.1360000000004</v>
      </c>
      <c r="G32" s="291">
        <f t="shared" si="180"/>
        <v>2257.6064000000001</v>
      </c>
      <c r="H32" s="291">
        <f t="shared" si="181"/>
        <v>2528.5191680000003</v>
      </c>
      <c r="I32" s="290">
        <v>42</v>
      </c>
      <c r="J32" s="291">
        <v>59</v>
      </c>
      <c r="K32" s="291">
        <f t="shared" ref="K32:N32" si="186">J32*1.12</f>
        <v>66.080000000000013</v>
      </c>
      <c r="L32" s="291">
        <f t="shared" si="186"/>
        <v>74.00960000000002</v>
      </c>
      <c r="M32" s="291">
        <f t="shared" si="186"/>
        <v>82.890752000000035</v>
      </c>
      <c r="N32" s="291">
        <f t="shared" si="186"/>
        <v>92.837642240000051</v>
      </c>
      <c r="O32" s="290">
        <v>45</v>
      </c>
      <c r="P32" s="291">
        <v>66</v>
      </c>
      <c r="Q32" s="291">
        <f t="shared" ref="Q32:R32" si="187">P32*1.12</f>
        <v>73.92</v>
      </c>
      <c r="R32" s="291">
        <f t="shared" si="187"/>
        <v>82.790400000000005</v>
      </c>
      <c r="S32" s="291">
        <f t="shared" si="184"/>
        <v>95.208960000000005</v>
      </c>
      <c r="T32" s="291">
        <f t="shared" si="185"/>
        <v>106.63403520000001</v>
      </c>
      <c r="U32" s="290"/>
      <c r="V32" s="291"/>
      <c r="W32" s="291"/>
      <c r="X32" s="291"/>
      <c r="Y32" s="291"/>
      <c r="Z32" s="605"/>
      <c r="AA32" s="290"/>
      <c r="AB32" s="291"/>
      <c r="AC32" s="291"/>
      <c r="AD32" s="291"/>
      <c r="AE32" s="291"/>
      <c r="AF32" s="605"/>
      <c r="AG32" s="290">
        <v>1</v>
      </c>
      <c r="AH32" s="291">
        <v>1</v>
      </c>
      <c r="AI32" s="291">
        <v>2</v>
      </c>
      <c r="AJ32" s="291">
        <v>2</v>
      </c>
      <c r="AK32" s="291">
        <v>2</v>
      </c>
      <c r="AL32" s="605">
        <v>3</v>
      </c>
      <c r="AM32" s="946">
        <f t="shared" si="128"/>
        <v>1073</v>
      </c>
      <c r="AN32" s="4641">
        <v>1242</v>
      </c>
      <c r="AO32" s="291">
        <v>1470</v>
      </c>
      <c r="AP32" s="947">
        <f t="shared" si="129"/>
        <v>1690</v>
      </c>
      <c r="AQ32" s="947">
        <f t="shared" si="130"/>
        <v>1892.8000000000002</v>
      </c>
      <c r="AR32" s="947">
        <f t="shared" si="131"/>
        <v>2119.9360000000006</v>
      </c>
      <c r="AS32" s="947">
        <f t="shared" si="132"/>
        <v>2435.7061120000003</v>
      </c>
      <c r="AT32" s="948">
        <f t="shared" si="133"/>
        <v>2727.9908454400006</v>
      </c>
      <c r="AU32" s="1521">
        <f t="shared" si="121"/>
        <v>0.57502329916123018</v>
      </c>
      <c r="AV32" s="1521">
        <f t="shared" si="122"/>
        <v>0.58722109533468558</v>
      </c>
      <c r="AW32" s="1522">
        <f t="shared" si="134"/>
        <v>0.43678160919540232</v>
      </c>
      <c r="AX32" s="4422"/>
      <c r="AY32" s="4425" t="s">
        <v>1878</v>
      </c>
      <c r="AZ32" s="4431">
        <f t="shared" si="135"/>
        <v>504.13379485947144</v>
      </c>
      <c r="BA32" s="4431">
        <f t="shared" si="136"/>
        <v>800.17179407208198</v>
      </c>
      <c r="BB32" s="4431">
        <f t="shared" si="137"/>
        <v>896.19240936073186</v>
      </c>
      <c r="BC32" s="4431">
        <f t="shared" si="138"/>
        <v>1003.7354984840198</v>
      </c>
      <c r="BD32" s="4431">
        <f t="shared" si="139"/>
        <v>1154.2958232566225</v>
      </c>
      <c r="BE32" s="4431">
        <f t="shared" si="140"/>
        <v>1292.8113220474174</v>
      </c>
      <c r="BF32" s="4431">
        <f t="shared" si="141"/>
        <v>21.474259010241177</v>
      </c>
      <c r="BG32" s="4431">
        <f t="shared" si="142"/>
        <v>30.166220990576893</v>
      </c>
      <c r="BH32" s="4431">
        <f t="shared" si="143"/>
        <v>33.786167509446123</v>
      </c>
      <c r="BI32" s="4431">
        <f t="shared" si="144"/>
        <v>37.840507610579664</v>
      </c>
      <c r="BJ32" s="4431">
        <f t="shared" si="145"/>
        <v>42.381368523849225</v>
      </c>
      <c r="BK32" s="4431">
        <f t="shared" si="146"/>
        <v>47.467132746711144</v>
      </c>
      <c r="BL32" s="4431">
        <f t="shared" si="147"/>
        <v>23.008134653829831</v>
      </c>
      <c r="BM32" s="4431">
        <f t="shared" si="148"/>
        <v>33.74526415895042</v>
      </c>
      <c r="BN32" s="4431">
        <f t="shared" si="149"/>
        <v>37.794695858024475</v>
      </c>
      <c r="BO32" s="4431">
        <f t="shared" si="150"/>
        <v>42.330059360987413</v>
      </c>
      <c r="BP32" s="4431">
        <f t="shared" si="151"/>
        <v>48.679568265135522</v>
      </c>
      <c r="BQ32" s="4431">
        <f t="shared" si="152"/>
        <v>54.521116456951788</v>
      </c>
      <c r="BR32" s="4431">
        <f t="shared" si="153"/>
        <v>0</v>
      </c>
      <c r="BS32" s="4431">
        <f t="shared" si="154"/>
        <v>0</v>
      </c>
      <c r="BT32" s="4431">
        <f t="shared" si="155"/>
        <v>0</v>
      </c>
      <c r="BU32" s="4431">
        <f t="shared" si="156"/>
        <v>0</v>
      </c>
      <c r="BV32" s="4431">
        <f t="shared" si="157"/>
        <v>0</v>
      </c>
      <c r="BW32" s="4431">
        <f t="shared" si="158"/>
        <v>0</v>
      </c>
      <c r="BX32" s="4431">
        <f t="shared" si="159"/>
        <v>0</v>
      </c>
      <c r="BY32" s="4431">
        <f t="shared" si="160"/>
        <v>0</v>
      </c>
      <c r="BZ32" s="4431">
        <f t="shared" si="161"/>
        <v>0</v>
      </c>
      <c r="CA32" s="4431">
        <f t="shared" si="162"/>
        <v>0</v>
      </c>
      <c r="CB32" s="4431">
        <f t="shared" si="163"/>
        <v>0</v>
      </c>
      <c r="CC32" s="4431">
        <f t="shared" si="164"/>
        <v>0</v>
      </c>
      <c r="CD32" s="4431">
        <f t="shared" si="165"/>
        <v>0.51129188119621849</v>
      </c>
      <c r="CE32" s="4431">
        <f t="shared" si="166"/>
        <v>0.51129188119621849</v>
      </c>
      <c r="CF32" s="4431">
        <f t="shared" si="167"/>
        <v>1.022583762392437</v>
      </c>
      <c r="CG32" s="4431">
        <f t="shared" si="168"/>
        <v>1.022583762392437</v>
      </c>
      <c r="CH32" s="4431">
        <f t="shared" si="169"/>
        <v>1.022583762392437</v>
      </c>
      <c r="CI32" s="4431">
        <f t="shared" si="170"/>
        <v>1.5338756435886556</v>
      </c>
      <c r="CJ32" s="4431">
        <f t="shared" si="171"/>
        <v>548.61618852354241</v>
      </c>
      <c r="CK32" s="4431">
        <f t="shared" si="172"/>
        <v>635.0245164457034</v>
      </c>
      <c r="CL32" s="4431">
        <f t="shared" si="173"/>
        <v>751.59906535844118</v>
      </c>
      <c r="CM32" s="4431">
        <f t="shared" si="174"/>
        <v>864.08327922160925</v>
      </c>
      <c r="CN32" s="4431">
        <f t="shared" si="175"/>
        <v>967.77327272820241</v>
      </c>
      <c r="CO32" s="4431">
        <f t="shared" si="176"/>
        <v>1083.9060654555869</v>
      </c>
      <c r="CP32" s="4431">
        <f t="shared" si="177"/>
        <v>1245.3567600456074</v>
      </c>
      <c r="CQ32" s="4431">
        <f t="shared" si="178"/>
        <v>1394.7995712510804</v>
      </c>
    </row>
    <row r="33" spans="1:122" s="162" customFormat="1" ht="13.5" thickBot="1">
      <c r="A33" s="764" t="s">
        <v>1206</v>
      </c>
      <c r="B33" s="615" t="s">
        <v>1198</v>
      </c>
      <c r="C33" s="290">
        <v>1259</v>
      </c>
      <c r="D33" s="291">
        <v>2118</v>
      </c>
      <c r="E33" s="291">
        <f t="shared" si="179"/>
        <v>2372.1600000000003</v>
      </c>
      <c r="F33" s="291">
        <f t="shared" si="179"/>
        <v>2656.8192000000008</v>
      </c>
      <c r="G33" s="291">
        <f t="shared" si="180"/>
        <v>3055.3420800000008</v>
      </c>
      <c r="H33" s="291">
        <f t="shared" si="181"/>
        <v>3421.9831296000011</v>
      </c>
      <c r="I33" s="290">
        <v>54</v>
      </c>
      <c r="J33" s="291">
        <v>92</v>
      </c>
      <c r="K33" s="291">
        <f t="shared" ref="K33:N33" si="188">J33*1.12</f>
        <v>103.04</v>
      </c>
      <c r="L33" s="291">
        <f t="shared" si="188"/>
        <v>115.40480000000002</v>
      </c>
      <c r="M33" s="291">
        <f t="shared" si="188"/>
        <v>129.25337600000003</v>
      </c>
      <c r="N33" s="291">
        <f t="shared" si="188"/>
        <v>144.76378112000006</v>
      </c>
      <c r="O33" s="290">
        <v>97</v>
      </c>
      <c r="P33" s="291">
        <v>165</v>
      </c>
      <c r="Q33" s="291">
        <f t="shared" ref="Q33:R33" si="189">P33*1.12</f>
        <v>184.8</v>
      </c>
      <c r="R33" s="291">
        <f t="shared" si="189"/>
        <v>206.97600000000003</v>
      </c>
      <c r="S33" s="291">
        <f t="shared" si="184"/>
        <v>238.0224</v>
      </c>
      <c r="T33" s="291">
        <f t="shared" si="185"/>
        <v>266.58508800000004</v>
      </c>
      <c r="U33" s="290"/>
      <c r="V33" s="291"/>
      <c r="W33" s="291"/>
      <c r="X33" s="291"/>
      <c r="Y33" s="291"/>
      <c r="Z33" s="605"/>
      <c r="AA33" s="290"/>
      <c r="AB33" s="291"/>
      <c r="AC33" s="291"/>
      <c r="AD33" s="291"/>
      <c r="AE33" s="291"/>
      <c r="AF33" s="605"/>
      <c r="AG33" s="290">
        <v>56</v>
      </c>
      <c r="AH33" s="291">
        <v>80</v>
      </c>
      <c r="AI33" s="291">
        <v>92</v>
      </c>
      <c r="AJ33" s="291">
        <v>106</v>
      </c>
      <c r="AK33" s="291">
        <v>122</v>
      </c>
      <c r="AL33" s="605">
        <v>140</v>
      </c>
      <c r="AM33" s="946">
        <f t="shared" si="128"/>
        <v>1410</v>
      </c>
      <c r="AN33" s="4641">
        <v>1806</v>
      </c>
      <c r="AO33" s="291">
        <v>2065</v>
      </c>
      <c r="AP33" s="947">
        <f t="shared" si="129"/>
        <v>2375</v>
      </c>
      <c r="AQ33" s="947">
        <f t="shared" si="130"/>
        <v>2660.0000000000005</v>
      </c>
      <c r="AR33" s="947">
        <f t="shared" si="131"/>
        <v>2979.2000000000012</v>
      </c>
      <c r="AS33" s="947">
        <f t="shared" si="132"/>
        <v>3422.6178560000008</v>
      </c>
      <c r="AT33" s="948">
        <f t="shared" si="133"/>
        <v>3833.3319987200011</v>
      </c>
      <c r="AU33" s="1521">
        <f t="shared" si="121"/>
        <v>0.68439716312056742</v>
      </c>
      <c r="AV33" s="1521">
        <f t="shared" si="122"/>
        <v>0.68228752978554408</v>
      </c>
      <c r="AW33" s="1522">
        <f t="shared" si="134"/>
        <v>0.70198675496688745</v>
      </c>
      <c r="AX33" s="4422"/>
      <c r="AY33" s="4425" t="s">
        <v>1878</v>
      </c>
      <c r="AZ33" s="4431">
        <f t="shared" si="135"/>
        <v>643.71647842603909</v>
      </c>
      <c r="BA33" s="4431">
        <f t="shared" si="136"/>
        <v>1082.9162043735907</v>
      </c>
      <c r="BB33" s="4431">
        <f t="shared" si="137"/>
        <v>1212.8661488984219</v>
      </c>
      <c r="BC33" s="4431">
        <f t="shared" si="138"/>
        <v>1358.4100867662328</v>
      </c>
      <c r="BD33" s="4431">
        <f t="shared" si="139"/>
        <v>1562.1715997811675</v>
      </c>
      <c r="BE33" s="4431">
        <f t="shared" si="140"/>
        <v>1749.6321917549078</v>
      </c>
      <c r="BF33" s="4431">
        <f t="shared" si="141"/>
        <v>27.609761584595798</v>
      </c>
      <c r="BG33" s="4431">
        <f t="shared" si="142"/>
        <v>47.038853070052099</v>
      </c>
      <c r="BH33" s="4431">
        <f t="shared" si="143"/>
        <v>52.683515438458357</v>
      </c>
      <c r="BI33" s="4431">
        <f t="shared" si="144"/>
        <v>59.005537291073367</v>
      </c>
      <c r="BJ33" s="4431">
        <f t="shared" si="145"/>
        <v>66.086201766002176</v>
      </c>
      <c r="BK33" s="4431">
        <f t="shared" si="146"/>
        <v>74.016545977922448</v>
      </c>
      <c r="BL33" s="4431">
        <f t="shared" si="147"/>
        <v>49.595312476033193</v>
      </c>
      <c r="BM33" s="4431">
        <f t="shared" si="148"/>
        <v>84.363160397376049</v>
      </c>
      <c r="BN33" s="4431">
        <f t="shared" si="149"/>
        <v>94.486739645061178</v>
      </c>
      <c r="BO33" s="4431">
        <f t="shared" si="150"/>
        <v>105.82514840246853</v>
      </c>
      <c r="BP33" s="4431">
        <f t="shared" si="151"/>
        <v>121.6989206628388</v>
      </c>
      <c r="BQ33" s="4431">
        <f t="shared" si="152"/>
        <v>136.30279114237948</v>
      </c>
      <c r="BR33" s="4431">
        <f t="shared" si="153"/>
        <v>0</v>
      </c>
      <c r="BS33" s="4431">
        <f t="shared" si="154"/>
        <v>0</v>
      </c>
      <c r="BT33" s="4431">
        <f t="shared" si="155"/>
        <v>0</v>
      </c>
      <c r="BU33" s="4431">
        <f t="shared" si="156"/>
        <v>0</v>
      </c>
      <c r="BV33" s="4431">
        <f t="shared" si="157"/>
        <v>0</v>
      </c>
      <c r="BW33" s="4431">
        <f t="shared" si="158"/>
        <v>0</v>
      </c>
      <c r="BX33" s="4431">
        <f t="shared" si="159"/>
        <v>0</v>
      </c>
      <c r="BY33" s="4431">
        <f t="shared" si="160"/>
        <v>0</v>
      </c>
      <c r="BZ33" s="4431">
        <f t="shared" si="161"/>
        <v>0</v>
      </c>
      <c r="CA33" s="4431">
        <f t="shared" si="162"/>
        <v>0</v>
      </c>
      <c r="CB33" s="4431">
        <f t="shared" si="163"/>
        <v>0</v>
      </c>
      <c r="CC33" s="4431">
        <f t="shared" si="164"/>
        <v>0</v>
      </c>
      <c r="CD33" s="4431">
        <f t="shared" si="165"/>
        <v>28.632345346988235</v>
      </c>
      <c r="CE33" s="4431">
        <f t="shared" si="166"/>
        <v>40.903350495697481</v>
      </c>
      <c r="CF33" s="4431">
        <f t="shared" si="167"/>
        <v>47.038853070052099</v>
      </c>
      <c r="CG33" s="4431">
        <f t="shared" si="168"/>
        <v>54.19693940679916</v>
      </c>
      <c r="CH33" s="4431">
        <f t="shared" si="169"/>
        <v>62.377609505938658</v>
      </c>
      <c r="CI33" s="4431">
        <f t="shared" si="170"/>
        <v>71.580863367470585</v>
      </c>
      <c r="CJ33" s="4431">
        <f t="shared" si="171"/>
        <v>720.92155248666813</v>
      </c>
      <c r="CK33" s="4431">
        <f t="shared" si="172"/>
        <v>923.39313744037065</v>
      </c>
      <c r="CL33" s="4431">
        <f t="shared" si="173"/>
        <v>1055.8177346701912</v>
      </c>
      <c r="CM33" s="4431">
        <f t="shared" si="174"/>
        <v>1214.3182178410188</v>
      </c>
      <c r="CN33" s="4431">
        <f t="shared" si="175"/>
        <v>1360.0364039819415</v>
      </c>
      <c r="CO33" s="4431">
        <f t="shared" si="176"/>
        <v>1523.2407724597747</v>
      </c>
      <c r="CP33" s="4431">
        <f t="shared" si="177"/>
        <v>1749.9567222100084</v>
      </c>
      <c r="CQ33" s="4431">
        <f t="shared" si="178"/>
        <v>1959.9515288752095</v>
      </c>
    </row>
    <row r="34" spans="1:122" s="162" customFormat="1" ht="24.75" thickBot="1">
      <c r="A34" s="764" t="s">
        <v>1207</v>
      </c>
      <c r="B34" s="615" t="s">
        <v>1199</v>
      </c>
      <c r="C34" s="290">
        <v>114</v>
      </c>
      <c r="D34" s="291">
        <v>117</v>
      </c>
      <c r="E34" s="291">
        <f t="shared" si="179"/>
        <v>131.04000000000002</v>
      </c>
      <c r="F34" s="291">
        <f t="shared" si="179"/>
        <v>146.76480000000004</v>
      </c>
      <c r="G34" s="291">
        <f t="shared" si="180"/>
        <v>168.77952000000002</v>
      </c>
      <c r="H34" s="291">
        <f t="shared" si="181"/>
        <v>189.03306240000003</v>
      </c>
      <c r="I34" s="290">
        <v>1</v>
      </c>
      <c r="J34" s="291">
        <v>1</v>
      </c>
      <c r="K34" s="291">
        <f t="shared" ref="K34:N34" si="190">J34*1.12</f>
        <v>1.1200000000000001</v>
      </c>
      <c r="L34" s="291">
        <f t="shared" si="190"/>
        <v>1.2544000000000002</v>
      </c>
      <c r="M34" s="291">
        <f t="shared" si="190"/>
        <v>1.4049280000000004</v>
      </c>
      <c r="N34" s="291">
        <f t="shared" si="190"/>
        <v>1.5735193600000006</v>
      </c>
      <c r="O34" s="290">
        <v>2</v>
      </c>
      <c r="P34" s="291">
        <v>2</v>
      </c>
      <c r="Q34" s="291">
        <f t="shared" ref="Q34:R34" si="191">P34*1.12</f>
        <v>2.2400000000000002</v>
      </c>
      <c r="R34" s="291">
        <f t="shared" si="191"/>
        <v>2.5088000000000004</v>
      </c>
      <c r="S34" s="291">
        <f t="shared" si="184"/>
        <v>2.8851200000000001</v>
      </c>
      <c r="T34" s="291">
        <f t="shared" si="185"/>
        <v>3.2313344000000006</v>
      </c>
      <c r="U34" s="290"/>
      <c r="V34" s="291"/>
      <c r="W34" s="291"/>
      <c r="X34" s="291"/>
      <c r="Y34" s="291"/>
      <c r="Z34" s="605"/>
      <c r="AA34" s="290"/>
      <c r="AB34" s="291"/>
      <c r="AC34" s="291"/>
      <c r="AD34" s="291"/>
      <c r="AE34" s="291"/>
      <c r="AF34" s="605"/>
      <c r="AG34" s="290">
        <v>0</v>
      </c>
      <c r="AH34" s="291">
        <v>0</v>
      </c>
      <c r="AI34" s="291">
        <v>0</v>
      </c>
      <c r="AJ34" s="291">
        <v>0</v>
      </c>
      <c r="AK34" s="291">
        <v>0</v>
      </c>
      <c r="AL34" s="605">
        <v>0</v>
      </c>
      <c r="AM34" s="946">
        <f t="shared" si="128"/>
        <v>117</v>
      </c>
      <c r="AN34" s="4641">
        <v>106</v>
      </c>
      <c r="AO34" s="291">
        <v>104</v>
      </c>
      <c r="AP34" s="947">
        <f t="shared" si="129"/>
        <v>120</v>
      </c>
      <c r="AQ34" s="947">
        <f t="shared" si="130"/>
        <v>134.40000000000003</v>
      </c>
      <c r="AR34" s="947">
        <f t="shared" si="131"/>
        <v>150.52800000000005</v>
      </c>
      <c r="AS34" s="947">
        <f t="shared" si="132"/>
        <v>173.06956800000003</v>
      </c>
      <c r="AT34" s="948">
        <f t="shared" si="133"/>
        <v>193.83791616000005</v>
      </c>
      <c r="AU34" s="1521">
        <f t="shared" si="121"/>
        <v>2.564102564102564E-2</v>
      </c>
      <c r="AV34" s="1521">
        <f t="shared" si="122"/>
        <v>2.6315789473684209E-2</v>
      </c>
      <c r="AW34" s="1522">
        <f t="shared" si="134"/>
        <v>0</v>
      </c>
      <c r="AX34" s="4422"/>
      <c r="AY34" s="4425" t="s">
        <v>1878</v>
      </c>
      <c r="AZ34" s="4431">
        <f t="shared" si="135"/>
        <v>58.287274456368905</v>
      </c>
      <c r="BA34" s="4431">
        <f t="shared" si="136"/>
        <v>59.821150099957563</v>
      </c>
      <c r="BB34" s="4431">
        <f t="shared" si="137"/>
        <v>66.99968811195248</v>
      </c>
      <c r="BC34" s="4431">
        <f t="shared" si="138"/>
        <v>75.039650685386789</v>
      </c>
      <c r="BD34" s="4431">
        <f t="shared" si="139"/>
        <v>86.295598288194796</v>
      </c>
      <c r="BE34" s="4431">
        <f t="shared" si="140"/>
        <v>96.651070082778176</v>
      </c>
      <c r="BF34" s="4431">
        <f t="shared" si="141"/>
        <v>0.51129188119621849</v>
      </c>
      <c r="BG34" s="4431">
        <f t="shared" si="142"/>
        <v>0.51129188119621849</v>
      </c>
      <c r="BH34" s="4431">
        <f t="shared" si="143"/>
        <v>0.57264690693976472</v>
      </c>
      <c r="BI34" s="4431">
        <f t="shared" si="144"/>
        <v>0.6413645357725366</v>
      </c>
      <c r="BJ34" s="4431">
        <f t="shared" si="145"/>
        <v>0.71832828006524108</v>
      </c>
      <c r="BK34" s="4431">
        <f t="shared" si="146"/>
        <v>0.8045276736730701</v>
      </c>
      <c r="BL34" s="4431">
        <f t="shared" si="147"/>
        <v>1.022583762392437</v>
      </c>
      <c r="BM34" s="4431">
        <f t="shared" si="148"/>
        <v>1.022583762392437</v>
      </c>
      <c r="BN34" s="4431">
        <f t="shared" si="149"/>
        <v>1.1452938138795294</v>
      </c>
      <c r="BO34" s="4431">
        <f t="shared" si="150"/>
        <v>1.2827290715450732</v>
      </c>
      <c r="BP34" s="4431">
        <f t="shared" si="151"/>
        <v>1.4751384322768339</v>
      </c>
      <c r="BQ34" s="4431">
        <f t="shared" si="152"/>
        <v>1.6521550441500543</v>
      </c>
      <c r="BR34" s="4431">
        <f t="shared" si="153"/>
        <v>0</v>
      </c>
      <c r="BS34" s="4431">
        <f t="shared" si="154"/>
        <v>0</v>
      </c>
      <c r="BT34" s="4431">
        <f t="shared" si="155"/>
        <v>0</v>
      </c>
      <c r="BU34" s="4431">
        <f t="shared" si="156"/>
        <v>0</v>
      </c>
      <c r="BV34" s="4431">
        <f t="shared" si="157"/>
        <v>0</v>
      </c>
      <c r="BW34" s="4431">
        <f t="shared" si="158"/>
        <v>0</v>
      </c>
      <c r="BX34" s="4431">
        <f t="shared" si="159"/>
        <v>0</v>
      </c>
      <c r="BY34" s="4431">
        <f t="shared" si="160"/>
        <v>0</v>
      </c>
      <c r="BZ34" s="4431">
        <f t="shared" si="161"/>
        <v>0</v>
      </c>
      <c r="CA34" s="4431">
        <f t="shared" si="162"/>
        <v>0</v>
      </c>
      <c r="CB34" s="4431">
        <f t="shared" si="163"/>
        <v>0</v>
      </c>
      <c r="CC34" s="4431">
        <f t="shared" si="164"/>
        <v>0</v>
      </c>
      <c r="CD34" s="4431">
        <f t="shared" si="165"/>
        <v>0</v>
      </c>
      <c r="CE34" s="4431">
        <f t="shared" si="166"/>
        <v>0</v>
      </c>
      <c r="CF34" s="4431">
        <f t="shared" si="167"/>
        <v>0</v>
      </c>
      <c r="CG34" s="4431">
        <f t="shared" si="168"/>
        <v>0</v>
      </c>
      <c r="CH34" s="4431">
        <f t="shared" si="169"/>
        <v>0</v>
      </c>
      <c r="CI34" s="4431">
        <f t="shared" si="170"/>
        <v>0</v>
      </c>
      <c r="CJ34" s="4431">
        <f t="shared" si="171"/>
        <v>59.821150099957563</v>
      </c>
      <c r="CK34" s="4431">
        <f t="shared" si="172"/>
        <v>54.19693940679916</v>
      </c>
      <c r="CL34" s="4431">
        <f t="shared" si="173"/>
        <v>53.174355644406724</v>
      </c>
      <c r="CM34" s="4431">
        <f t="shared" si="174"/>
        <v>61.355025743546221</v>
      </c>
      <c r="CN34" s="4431">
        <f t="shared" si="175"/>
        <v>68.71762883277178</v>
      </c>
      <c r="CO34" s="4431">
        <f t="shared" si="176"/>
        <v>76.963744292704405</v>
      </c>
      <c r="CP34" s="4431">
        <f t="shared" si="177"/>
        <v>88.489065000536868</v>
      </c>
      <c r="CQ34" s="4431">
        <f t="shared" si="178"/>
        <v>99.107752800601304</v>
      </c>
    </row>
    <row r="35" spans="1:122" s="162" customFormat="1" ht="24.75" thickBot="1">
      <c r="A35" s="764" t="s">
        <v>1208</v>
      </c>
      <c r="B35" s="615" t="s">
        <v>1200</v>
      </c>
      <c r="C35" s="290">
        <v>0</v>
      </c>
      <c r="D35" s="291">
        <v>0</v>
      </c>
      <c r="E35" s="291">
        <f t="shared" si="179"/>
        <v>0</v>
      </c>
      <c r="F35" s="291">
        <f t="shared" si="179"/>
        <v>0</v>
      </c>
      <c r="G35" s="291">
        <f t="shared" si="180"/>
        <v>0</v>
      </c>
      <c r="H35" s="291">
        <f t="shared" si="181"/>
        <v>0</v>
      </c>
      <c r="I35" s="290">
        <v>0</v>
      </c>
      <c r="J35" s="291">
        <v>0</v>
      </c>
      <c r="K35" s="291">
        <f t="shared" ref="K35:N35" si="192">J35*1.12</f>
        <v>0</v>
      </c>
      <c r="L35" s="291">
        <f t="shared" si="192"/>
        <v>0</v>
      </c>
      <c r="M35" s="291">
        <f t="shared" si="192"/>
        <v>0</v>
      </c>
      <c r="N35" s="291">
        <f t="shared" si="192"/>
        <v>0</v>
      </c>
      <c r="O35" s="290">
        <v>0</v>
      </c>
      <c r="P35" s="291">
        <v>0</v>
      </c>
      <c r="Q35" s="291">
        <f t="shared" ref="Q35:R35" si="193">P35*1.12</f>
        <v>0</v>
      </c>
      <c r="R35" s="291">
        <f t="shared" si="193"/>
        <v>0</v>
      </c>
      <c r="S35" s="291">
        <f t="shared" si="184"/>
        <v>0</v>
      </c>
      <c r="T35" s="291">
        <f t="shared" si="185"/>
        <v>0</v>
      </c>
      <c r="U35" s="290">
        <v>0</v>
      </c>
      <c r="V35" s="291">
        <v>0</v>
      </c>
      <c r="W35" s="291">
        <v>0</v>
      </c>
      <c r="X35" s="291">
        <v>0</v>
      </c>
      <c r="Y35" s="291">
        <v>0</v>
      </c>
      <c r="Z35" s="605">
        <v>0</v>
      </c>
      <c r="AA35" s="290">
        <v>0</v>
      </c>
      <c r="AB35" s="291">
        <v>0</v>
      </c>
      <c r="AC35" s="291">
        <v>0</v>
      </c>
      <c r="AD35" s="291">
        <v>0</v>
      </c>
      <c r="AE35" s="291">
        <v>0</v>
      </c>
      <c r="AF35" s="605">
        <v>0</v>
      </c>
      <c r="AG35" s="290">
        <v>0</v>
      </c>
      <c r="AH35" s="291">
        <v>0</v>
      </c>
      <c r="AI35" s="291">
        <v>0</v>
      </c>
      <c r="AJ35" s="291">
        <v>0</v>
      </c>
      <c r="AK35" s="291">
        <v>0</v>
      </c>
      <c r="AL35" s="605">
        <v>0</v>
      </c>
      <c r="AM35" s="946">
        <f t="shared" si="128"/>
        <v>0</v>
      </c>
      <c r="AN35" s="4641">
        <v>0</v>
      </c>
      <c r="AO35" s="291">
        <v>0</v>
      </c>
      <c r="AP35" s="947">
        <f t="shared" si="129"/>
        <v>0</v>
      </c>
      <c r="AQ35" s="947">
        <f t="shared" si="130"/>
        <v>0</v>
      </c>
      <c r="AR35" s="947">
        <f t="shared" si="131"/>
        <v>0</v>
      </c>
      <c r="AS35" s="947">
        <f t="shared" si="132"/>
        <v>0</v>
      </c>
      <c r="AT35" s="948">
        <f t="shared" si="133"/>
        <v>0</v>
      </c>
      <c r="AU35" s="1521">
        <f t="shared" si="121"/>
        <v>0</v>
      </c>
      <c r="AV35" s="1521">
        <f t="shared" si="122"/>
        <v>0</v>
      </c>
      <c r="AW35" s="1522">
        <f t="shared" si="134"/>
        <v>0</v>
      </c>
      <c r="AX35" s="4422"/>
      <c r="AY35" s="4425" t="s">
        <v>1878</v>
      </c>
      <c r="AZ35" s="4431">
        <f t="shared" si="135"/>
        <v>0</v>
      </c>
      <c r="BA35" s="4431">
        <f t="shared" si="136"/>
        <v>0</v>
      </c>
      <c r="BB35" s="4431">
        <f t="shared" si="137"/>
        <v>0</v>
      </c>
      <c r="BC35" s="4431">
        <f t="shared" si="138"/>
        <v>0</v>
      </c>
      <c r="BD35" s="4431">
        <f t="shared" si="139"/>
        <v>0</v>
      </c>
      <c r="BE35" s="4431">
        <f t="shared" si="140"/>
        <v>0</v>
      </c>
      <c r="BF35" s="4431">
        <f t="shared" si="141"/>
        <v>0</v>
      </c>
      <c r="BG35" s="4431">
        <f t="shared" si="142"/>
        <v>0</v>
      </c>
      <c r="BH35" s="4431">
        <f t="shared" si="143"/>
        <v>0</v>
      </c>
      <c r="BI35" s="4431">
        <f t="shared" si="144"/>
        <v>0</v>
      </c>
      <c r="BJ35" s="4431">
        <f t="shared" si="145"/>
        <v>0</v>
      </c>
      <c r="BK35" s="4431">
        <f t="shared" si="146"/>
        <v>0</v>
      </c>
      <c r="BL35" s="4431">
        <f t="shared" si="147"/>
        <v>0</v>
      </c>
      <c r="BM35" s="4431">
        <f t="shared" si="148"/>
        <v>0</v>
      </c>
      <c r="BN35" s="4431">
        <f t="shared" si="149"/>
        <v>0</v>
      </c>
      <c r="BO35" s="4431">
        <f t="shared" si="150"/>
        <v>0</v>
      </c>
      <c r="BP35" s="4431">
        <f t="shared" si="151"/>
        <v>0</v>
      </c>
      <c r="BQ35" s="4431">
        <f t="shared" si="152"/>
        <v>0</v>
      </c>
      <c r="BR35" s="4431">
        <f t="shared" si="153"/>
        <v>0</v>
      </c>
      <c r="BS35" s="4431">
        <f t="shared" si="154"/>
        <v>0</v>
      </c>
      <c r="BT35" s="4431">
        <f t="shared" si="155"/>
        <v>0</v>
      </c>
      <c r="BU35" s="4431">
        <f t="shared" si="156"/>
        <v>0</v>
      </c>
      <c r="BV35" s="4431">
        <f t="shared" si="157"/>
        <v>0</v>
      </c>
      <c r="BW35" s="4431">
        <f t="shared" si="158"/>
        <v>0</v>
      </c>
      <c r="BX35" s="4431">
        <f t="shared" si="159"/>
        <v>0</v>
      </c>
      <c r="BY35" s="4431">
        <f t="shared" si="160"/>
        <v>0</v>
      </c>
      <c r="BZ35" s="4431">
        <f t="shared" si="161"/>
        <v>0</v>
      </c>
      <c r="CA35" s="4431">
        <f t="shared" si="162"/>
        <v>0</v>
      </c>
      <c r="CB35" s="4431">
        <f t="shared" si="163"/>
        <v>0</v>
      </c>
      <c r="CC35" s="4431">
        <f t="shared" si="164"/>
        <v>0</v>
      </c>
      <c r="CD35" s="4431">
        <f t="shared" si="165"/>
        <v>0</v>
      </c>
      <c r="CE35" s="4431">
        <f t="shared" si="166"/>
        <v>0</v>
      </c>
      <c r="CF35" s="4431">
        <f t="shared" si="167"/>
        <v>0</v>
      </c>
      <c r="CG35" s="4431">
        <f t="shared" si="168"/>
        <v>0</v>
      </c>
      <c r="CH35" s="4431">
        <f t="shared" si="169"/>
        <v>0</v>
      </c>
      <c r="CI35" s="4431">
        <f t="shared" si="170"/>
        <v>0</v>
      </c>
      <c r="CJ35" s="4431">
        <f t="shared" si="171"/>
        <v>0</v>
      </c>
      <c r="CK35" s="4431">
        <f t="shared" si="172"/>
        <v>0</v>
      </c>
      <c r="CL35" s="4431">
        <f t="shared" si="173"/>
        <v>0</v>
      </c>
      <c r="CM35" s="4431">
        <f t="shared" si="174"/>
        <v>0</v>
      </c>
      <c r="CN35" s="4431">
        <f t="shared" si="175"/>
        <v>0</v>
      </c>
      <c r="CO35" s="4431">
        <f t="shared" si="176"/>
        <v>0</v>
      </c>
      <c r="CP35" s="4431">
        <f t="shared" si="177"/>
        <v>0</v>
      </c>
      <c r="CQ35" s="4431">
        <f t="shared" si="178"/>
        <v>0</v>
      </c>
    </row>
    <row r="36" spans="1:122" s="162" customFormat="1" ht="13.5" thickBot="1">
      <c r="A36" s="764" t="s">
        <v>1209</v>
      </c>
      <c r="B36" s="615" t="s">
        <v>1201</v>
      </c>
      <c r="C36" s="290">
        <v>2147</v>
      </c>
      <c r="D36" s="291">
        <v>3377</v>
      </c>
      <c r="E36" s="291">
        <f t="shared" si="179"/>
        <v>3782.2400000000002</v>
      </c>
      <c r="F36" s="291">
        <f t="shared" si="179"/>
        <v>4236.1088000000009</v>
      </c>
      <c r="G36" s="291">
        <f t="shared" si="180"/>
        <v>4871.5251200000002</v>
      </c>
      <c r="H36" s="291">
        <f t="shared" si="181"/>
        <v>5456.1081344000004</v>
      </c>
      <c r="I36" s="290">
        <v>94</v>
      </c>
      <c r="J36" s="291">
        <v>47</v>
      </c>
      <c r="K36" s="291">
        <f t="shared" ref="K36:N36" si="194">J36*1.12</f>
        <v>52.640000000000008</v>
      </c>
      <c r="L36" s="291">
        <f t="shared" si="194"/>
        <v>58.956800000000015</v>
      </c>
      <c r="M36" s="291">
        <f t="shared" si="194"/>
        <v>66.031616000000028</v>
      </c>
      <c r="N36" s="291">
        <f t="shared" si="194"/>
        <v>73.955409920000037</v>
      </c>
      <c r="O36" s="290">
        <v>140</v>
      </c>
      <c r="P36" s="291">
        <v>187</v>
      </c>
      <c r="Q36" s="291">
        <f t="shared" ref="Q36:R36" si="195">P36*1.12</f>
        <v>209.44000000000003</v>
      </c>
      <c r="R36" s="291">
        <f t="shared" si="195"/>
        <v>234.57280000000006</v>
      </c>
      <c r="S36" s="291">
        <f t="shared" si="184"/>
        <v>269.75872000000004</v>
      </c>
      <c r="T36" s="291">
        <f t="shared" si="185"/>
        <v>302.12976640000005</v>
      </c>
      <c r="U36" s="290"/>
      <c r="V36" s="291"/>
      <c r="W36" s="291"/>
      <c r="X36" s="291"/>
      <c r="Y36" s="291"/>
      <c r="Z36" s="605"/>
      <c r="AA36" s="290"/>
      <c r="AB36" s="291"/>
      <c r="AC36" s="291"/>
      <c r="AD36" s="291"/>
      <c r="AE36" s="291"/>
      <c r="AF36" s="605"/>
      <c r="AG36" s="290">
        <v>0</v>
      </c>
      <c r="AH36" s="291">
        <v>0</v>
      </c>
      <c r="AI36" s="291">
        <v>0</v>
      </c>
      <c r="AJ36" s="291">
        <v>0</v>
      </c>
      <c r="AK36" s="291">
        <v>0</v>
      </c>
      <c r="AL36" s="605">
        <v>0</v>
      </c>
      <c r="AM36" s="946">
        <f t="shared" si="128"/>
        <v>2381</v>
      </c>
      <c r="AN36" s="4641">
        <v>2774</v>
      </c>
      <c r="AO36" s="291">
        <v>3140</v>
      </c>
      <c r="AP36" s="947">
        <f t="shared" si="129"/>
        <v>3611</v>
      </c>
      <c r="AQ36" s="947">
        <f t="shared" si="130"/>
        <v>4044.32</v>
      </c>
      <c r="AR36" s="947">
        <f t="shared" si="131"/>
        <v>4529.6384000000007</v>
      </c>
      <c r="AS36" s="947">
        <f t="shared" si="132"/>
        <v>5207.3154560000003</v>
      </c>
      <c r="AT36" s="948">
        <f t="shared" si="133"/>
        <v>5832.1933107200011</v>
      </c>
      <c r="AU36" s="1521">
        <f t="shared" si="121"/>
        <v>0.51658966820663588</v>
      </c>
      <c r="AV36" s="1521">
        <f t="shared" si="122"/>
        <v>0.57289240801117836</v>
      </c>
      <c r="AW36" s="1522">
        <f t="shared" si="134"/>
        <v>0</v>
      </c>
      <c r="AX36" s="4422"/>
      <c r="AY36" s="4425" t="s">
        <v>1878</v>
      </c>
      <c r="AZ36" s="4431">
        <f t="shared" si="135"/>
        <v>1097.7436689282811</v>
      </c>
      <c r="BA36" s="4431">
        <f t="shared" si="136"/>
        <v>1726.6326827996299</v>
      </c>
      <c r="BB36" s="4431">
        <f t="shared" si="137"/>
        <v>1933.8286047355855</v>
      </c>
      <c r="BC36" s="4431">
        <f t="shared" si="138"/>
        <v>2165.888037303856</v>
      </c>
      <c r="BD36" s="4431">
        <f t="shared" si="139"/>
        <v>2490.7712428994341</v>
      </c>
      <c r="BE36" s="4431">
        <f t="shared" si="140"/>
        <v>2789.6637920473663</v>
      </c>
      <c r="BF36" s="4431">
        <f t="shared" si="141"/>
        <v>48.061436832444535</v>
      </c>
      <c r="BG36" s="4431">
        <f t="shared" si="142"/>
        <v>24.030718416222268</v>
      </c>
      <c r="BH36" s="4431">
        <f t="shared" si="143"/>
        <v>26.914404626168945</v>
      </c>
      <c r="BI36" s="4431">
        <f t="shared" si="144"/>
        <v>30.144133181309222</v>
      </c>
      <c r="BJ36" s="4431">
        <f t="shared" si="145"/>
        <v>33.761429163066332</v>
      </c>
      <c r="BK36" s="4431">
        <f t="shared" si="146"/>
        <v>37.812800662634295</v>
      </c>
      <c r="BL36" s="4431">
        <f t="shared" si="147"/>
        <v>71.580863367470585</v>
      </c>
      <c r="BM36" s="4431">
        <f t="shared" si="148"/>
        <v>95.611581783692856</v>
      </c>
      <c r="BN36" s="4431">
        <f t="shared" si="149"/>
        <v>107.08497159773601</v>
      </c>
      <c r="BO36" s="4431">
        <f t="shared" si="150"/>
        <v>119.93516818946435</v>
      </c>
      <c r="BP36" s="4431">
        <f t="shared" si="151"/>
        <v>137.925443417884</v>
      </c>
      <c r="BQ36" s="4431">
        <f t="shared" si="152"/>
        <v>154.47649662803008</v>
      </c>
      <c r="BR36" s="4431">
        <f t="shared" si="153"/>
        <v>0</v>
      </c>
      <c r="BS36" s="4431">
        <f t="shared" si="154"/>
        <v>0</v>
      </c>
      <c r="BT36" s="4431">
        <f t="shared" si="155"/>
        <v>0</v>
      </c>
      <c r="BU36" s="4431">
        <f t="shared" si="156"/>
        <v>0</v>
      </c>
      <c r="BV36" s="4431">
        <f t="shared" si="157"/>
        <v>0</v>
      </c>
      <c r="BW36" s="4431">
        <f t="shared" si="158"/>
        <v>0</v>
      </c>
      <c r="BX36" s="4431">
        <f t="shared" si="159"/>
        <v>0</v>
      </c>
      <c r="BY36" s="4431">
        <f t="shared" si="160"/>
        <v>0</v>
      </c>
      <c r="BZ36" s="4431">
        <f t="shared" si="161"/>
        <v>0</v>
      </c>
      <c r="CA36" s="4431">
        <f t="shared" si="162"/>
        <v>0</v>
      </c>
      <c r="CB36" s="4431">
        <f t="shared" si="163"/>
        <v>0</v>
      </c>
      <c r="CC36" s="4431">
        <f t="shared" si="164"/>
        <v>0</v>
      </c>
      <c r="CD36" s="4431">
        <f t="shared" si="165"/>
        <v>0</v>
      </c>
      <c r="CE36" s="4431">
        <f t="shared" si="166"/>
        <v>0</v>
      </c>
      <c r="CF36" s="4431">
        <f t="shared" si="167"/>
        <v>0</v>
      </c>
      <c r="CG36" s="4431">
        <f t="shared" si="168"/>
        <v>0</v>
      </c>
      <c r="CH36" s="4431">
        <f t="shared" si="169"/>
        <v>0</v>
      </c>
      <c r="CI36" s="4431">
        <f t="shared" si="170"/>
        <v>0</v>
      </c>
      <c r="CJ36" s="4431">
        <f t="shared" si="171"/>
        <v>1217.3859691281962</v>
      </c>
      <c r="CK36" s="4431">
        <f t="shared" si="172"/>
        <v>1418.32367843831</v>
      </c>
      <c r="CL36" s="4431">
        <f t="shared" si="173"/>
        <v>1605.4565069561261</v>
      </c>
      <c r="CM36" s="4431">
        <f t="shared" si="174"/>
        <v>1846.274982999545</v>
      </c>
      <c r="CN36" s="4431">
        <f t="shared" si="175"/>
        <v>2067.8279809594906</v>
      </c>
      <c r="CO36" s="4431">
        <f t="shared" si="176"/>
        <v>2315.9673386746294</v>
      </c>
      <c r="CP36" s="4431">
        <f t="shared" si="177"/>
        <v>2662.4581154803845</v>
      </c>
      <c r="CQ36" s="4431">
        <f t="shared" si="178"/>
        <v>2981.9530893380311</v>
      </c>
    </row>
    <row r="37" spans="1:122" s="162" customFormat="1" ht="13.5" thickBot="1">
      <c r="A37" s="764" t="s">
        <v>1210</v>
      </c>
      <c r="B37" s="615" t="s">
        <v>1202</v>
      </c>
      <c r="C37" s="290">
        <v>3121</v>
      </c>
      <c r="D37" s="291">
        <v>4616</v>
      </c>
      <c r="E37" s="291">
        <f t="shared" si="179"/>
        <v>5169.92</v>
      </c>
      <c r="F37" s="291">
        <f t="shared" si="179"/>
        <v>5790.3104000000003</v>
      </c>
      <c r="G37" s="291">
        <f t="shared" si="180"/>
        <v>6658.8569600000001</v>
      </c>
      <c r="H37" s="291">
        <f t="shared" si="181"/>
        <v>7457.9197952000004</v>
      </c>
      <c r="I37" s="290">
        <v>107</v>
      </c>
      <c r="J37" s="291">
        <v>160</v>
      </c>
      <c r="K37" s="291">
        <f t="shared" ref="K37:N37" si="196">J37*1.12</f>
        <v>179.20000000000002</v>
      </c>
      <c r="L37" s="291">
        <f t="shared" si="196"/>
        <v>200.70400000000004</v>
      </c>
      <c r="M37" s="291">
        <f t="shared" si="196"/>
        <v>224.78848000000005</v>
      </c>
      <c r="N37" s="291">
        <f t="shared" si="196"/>
        <v>251.76309760000007</v>
      </c>
      <c r="O37" s="290">
        <v>297</v>
      </c>
      <c r="P37" s="291">
        <v>429</v>
      </c>
      <c r="Q37" s="291">
        <f t="shared" ref="Q37:R37" si="197">P37*1.12</f>
        <v>480.48</v>
      </c>
      <c r="R37" s="291">
        <f t="shared" si="197"/>
        <v>538.13760000000002</v>
      </c>
      <c r="S37" s="291">
        <f t="shared" si="184"/>
        <v>618.85824000000002</v>
      </c>
      <c r="T37" s="291">
        <f t="shared" si="185"/>
        <v>693.12122880000004</v>
      </c>
      <c r="U37" s="290"/>
      <c r="V37" s="291"/>
      <c r="W37" s="291"/>
      <c r="X37" s="291"/>
      <c r="Y37" s="291"/>
      <c r="Z37" s="605"/>
      <c r="AA37" s="290"/>
      <c r="AB37" s="291"/>
      <c r="AC37" s="291"/>
      <c r="AD37" s="291"/>
      <c r="AE37" s="291"/>
      <c r="AF37" s="605"/>
      <c r="AG37" s="290">
        <v>0</v>
      </c>
      <c r="AH37" s="291">
        <v>0</v>
      </c>
      <c r="AI37" s="291">
        <v>0</v>
      </c>
      <c r="AJ37" s="291">
        <v>0</v>
      </c>
      <c r="AK37" s="291">
        <v>0</v>
      </c>
      <c r="AL37" s="605">
        <v>0</v>
      </c>
      <c r="AM37" s="946">
        <f t="shared" si="128"/>
        <v>3525</v>
      </c>
      <c r="AN37" s="4641">
        <v>4143</v>
      </c>
      <c r="AO37" s="291">
        <v>4526</v>
      </c>
      <c r="AP37" s="947">
        <f t="shared" si="129"/>
        <v>5205</v>
      </c>
      <c r="AQ37" s="947">
        <f t="shared" si="130"/>
        <v>5829.6</v>
      </c>
      <c r="AR37" s="947">
        <f t="shared" si="131"/>
        <v>6529.152</v>
      </c>
      <c r="AS37" s="947">
        <f t="shared" si="132"/>
        <v>7502.5036799999998</v>
      </c>
      <c r="AT37" s="948">
        <f t="shared" si="133"/>
        <v>8402.8041216000001</v>
      </c>
      <c r="AU37" s="1521">
        <f t="shared" si="121"/>
        <v>0.47659574468085109</v>
      </c>
      <c r="AV37" s="1521">
        <f t="shared" si="122"/>
        <v>0.47901313681512336</v>
      </c>
      <c r="AW37" s="1522">
        <f t="shared" si="134"/>
        <v>0.45792079207920794</v>
      </c>
      <c r="AX37" s="4422"/>
      <c r="AY37" s="4425" t="s">
        <v>1878</v>
      </c>
      <c r="AZ37" s="4431">
        <f t="shared" si="135"/>
        <v>1595.7419612133979</v>
      </c>
      <c r="BA37" s="4431">
        <f t="shared" si="136"/>
        <v>2360.1233236017447</v>
      </c>
      <c r="BB37" s="4431">
        <f t="shared" si="137"/>
        <v>2643.3381224339541</v>
      </c>
      <c r="BC37" s="4431">
        <f t="shared" si="138"/>
        <v>2960.5386971260286</v>
      </c>
      <c r="BD37" s="4431">
        <f t="shared" si="139"/>
        <v>3404.6195016949328</v>
      </c>
      <c r="BE37" s="4431">
        <f t="shared" si="140"/>
        <v>3813.173841898325</v>
      </c>
      <c r="BF37" s="4431">
        <f t="shared" si="141"/>
        <v>54.708231287995382</v>
      </c>
      <c r="BG37" s="4431">
        <f t="shared" si="142"/>
        <v>81.806700991394962</v>
      </c>
      <c r="BH37" s="4431">
        <f t="shared" si="143"/>
        <v>91.623505110362359</v>
      </c>
      <c r="BI37" s="4431">
        <f t="shared" si="144"/>
        <v>102.61832572360585</v>
      </c>
      <c r="BJ37" s="4431">
        <f t="shared" si="145"/>
        <v>114.93252481043857</v>
      </c>
      <c r="BK37" s="4431">
        <f t="shared" si="146"/>
        <v>128.72442778769118</v>
      </c>
      <c r="BL37" s="4431">
        <f t="shared" si="147"/>
        <v>151.85368871527689</v>
      </c>
      <c r="BM37" s="4431">
        <f t="shared" si="148"/>
        <v>219.34421703317773</v>
      </c>
      <c r="BN37" s="4431">
        <f t="shared" si="149"/>
        <v>245.66552307715907</v>
      </c>
      <c r="BO37" s="4431">
        <f t="shared" si="150"/>
        <v>275.14538584641815</v>
      </c>
      <c r="BP37" s="4431">
        <f t="shared" si="151"/>
        <v>316.41719372338088</v>
      </c>
      <c r="BQ37" s="4431">
        <f t="shared" si="152"/>
        <v>354.38725697018663</v>
      </c>
      <c r="BR37" s="4431">
        <f t="shared" si="153"/>
        <v>0</v>
      </c>
      <c r="BS37" s="4431">
        <f t="shared" si="154"/>
        <v>0</v>
      </c>
      <c r="BT37" s="4431">
        <f t="shared" si="155"/>
        <v>0</v>
      </c>
      <c r="BU37" s="4431">
        <f t="shared" si="156"/>
        <v>0</v>
      </c>
      <c r="BV37" s="4431">
        <f t="shared" si="157"/>
        <v>0</v>
      </c>
      <c r="BW37" s="4431">
        <f t="shared" si="158"/>
        <v>0</v>
      </c>
      <c r="BX37" s="4431">
        <f t="shared" si="159"/>
        <v>0</v>
      </c>
      <c r="BY37" s="4431">
        <f t="shared" si="160"/>
        <v>0</v>
      </c>
      <c r="BZ37" s="4431">
        <f t="shared" si="161"/>
        <v>0</v>
      </c>
      <c r="CA37" s="4431">
        <f t="shared" si="162"/>
        <v>0</v>
      </c>
      <c r="CB37" s="4431">
        <f t="shared" si="163"/>
        <v>0</v>
      </c>
      <c r="CC37" s="4431">
        <f t="shared" si="164"/>
        <v>0</v>
      </c>
      <c r="CD37" s="4431">
        <f t="shared" si="165"/>
        <v>0</v>
      </c>
      <c r="CE37" s="4431">
        <f t="shared" si="166"/>
        <v>0</v>
      </c>
      <c r="CF37" s="4431">
        <f t="shared" si="167"/>
        <v>0</v>
      </c>
      <c r="CG37" s="4431">
        <f t="shared" si="168"/>
        <v>0</v>
      </c>
      <c r="CH37" s="4431">
        <f t="shared" si="169"/>
        <v>0</v>
      </c>
      <c r="CI37" s="4431">
        <f t="shared" si="170"/>
        <v>0</v>
      </c>
      <c r="CJ37" s="4431">
        <f t="shared" si="171"/>
        <v>1802.3038812166701</v>
      </c>
      <c r="CK37" s="4431">
        <f t="shared" si="172"/>
        <v>2118.2822637959334</v>
      </c>
      <c r="CL37" s="4431">
        <f t="shared" si="173"/>
        <v>2314.1070542940847</v>
      </c>
      <c r="CM37" s="4431">
        <f t="shared" si="174"/>
        <v>2661.2742416263172</v>
      </c>
      <c r="CN37" s="4431">
        <f t="shared" si="175"/>
        <v>2980.6271506214757</v>
      </c>
      <c r="CO37" s="4431">
        <f t="shared" si="176"/>
        <v>3338.3024086960522</v>
      </c>
      <c r="CP37" s="4431">
        <f t="shared" si="177"/>
        <v>3835.969220228752</v>
      </c>
      <c r="CQ37" s="4431">
        <f t="shared" si="178"/>
        <v>4296.2855266562028</v>
      </c>
    </row>
    <row r="38" spans="1:122" s="162" customFormat="1" ht="13.5" thickBot="1">
      <c r="A38" s="765" t="s">
        <v>1211</v>
      </c>
      <c r="B38" s="637" t="s">
        <v>1203</v>
      </c>
      <c r="C38" s="290">
        <v>283</v>
      </c>
      <c r="D38" s="291">
        <v>482</v>
      </c>
      <c r="E38" s="291">
        <f t="shared" si="179"/>
        <v>539.84</v>
      </c>
      <c r="F38" s="291">
        <f t="shared" si="179"/>
        <v>604.62080000000014</v>
      </c>
      <c r="G38" s="291">
        <f t="shared" si="180"/>
        <v>695.31392000000017</v>
      </c>
      <c r="H38" s="291">
        <f t="shared" si="181"/>
        <v>778.75159040000028</v>
      </c>
      <c r="I38" s="290">
        <v>44</v>
      </c>
      <c r="J38" s="291">
        <v>93</v>
      </c>
      <c r="K38" s="291">
        <f t="shared" ref="K38:N38" si="198">J38*1.12</f>
        <v>104.16000000000001</v>
      </c>
      <c r="L38" s="291">
        <f t="shared" si="198"/>
        <v>116.65920000000003</v>
      </c>
      <c r="M38" s="291">
        <f t="shared" si="198"/>
        <v>130.65830400000004</v>
      </c>
      <c r="N38" s="291">
        <f t="shared" si="198"/>
        <v>146.33730048000007</v>
      </c>
      <c r="O38" s="290">
        <v>6</v>
      </c>
      <c r="P38" s="291">
        <v>13</v>
      </c>
      <c r="Q38" s="291">
        <f t="shared" ref="Q38:R38" si="199">P38*1.12</f>
        <v>14.560000000000002</v>
      </c>
      <c r="R38" s="291">
        <f t="shared" si="199"/>
        <v>16.307200000000005</v>
      </c>
      <c r="S38" s="291">
        <f t="shared" si="184"/>
        <v>18.753280000000004</v>
      </c>
      <c r="T38" s="291">
        <f t="shared" si="185"/>
        <v>21.003673600000006</v>
      </c>
      <c r="U38" s="290"/>
      <c r="V38" s="291"/>
      <c r="W38" s="291"/>
      <c r="X38" s="291"/>
      <c r="Y38" s="291"/>
      <c r="Z38" s="605"/>
      <c r="AA38" s="290"/>
      <c r="AB38" s="291"/>
      <c r="AC38" s="291"/>
      <c r="AD38" s="291"/>
      <c r="AE38" s="291"/>
      <c r="AF38" s="605"/>
      <c r="AG38" s="290">
        <v>41</v>
      </c>
      <c r="AH38" s="291">
        <v>48</v>
      </c>
      <c r="AI38" s="291">
        <v>56</v>
      </c>
      <c r="AJ38" s="291">
        <v>64</v>
      </c>
      <c r="AK38" s="291">
        <v>73</v>
      </c>
      <c r="AL38" s="605">
        <v>84</v>
      </c>
      <c r="AM38" s="946">
        <f t="shared" si="128"/>
        <v>333</v>
      </c>
      <c r="AN38" s="4641">
        <v>465</v>
      </c>
      <c r="AO38" s="291">
        <v>511</v>
      </c>
      <c r="AP38" s="947">
        <f t="shared" si="129"/>
        <v>588</v>
      </c>
      <c r="AQ38" s="947">
        <f t="shared" si="130"/>
        <v>658.56</v>
      </c>
      <c r="AR38" s="947">
        <f t="shared" si="131"/>
        <v>737.58720000000017</v>
      </c>
      <c r="AS38" s="947">
        <f t="shared" si="132"/>
        <v>844.72550400000023</v>
      </c>
      <c r="AT38" s="948">
        <f t="shared" si="133"/>
        <v>946.09256448000031</v>
      </c>
      <c r="AU38" s="1521">
        <f t="shared" si="121"/>
        <v>0.76576576576576572</v>
      </c>
      <c r="AV38" s="1521">
        <f t="shared" si="122"/>
        <v>0.70318021201413428</v>
      </c>
      <c r="AW38" s="1522">
        <f t="shared" si="134"/>
        <v>1.1200000000000001</v>
      </c>
      <c r="AX38" s="4422"/>
      <c r="AY38" s="4425" t="s">
        <v>1878</v>
      </c>
      <c r="AZ38" s="4431">
        <f t="shared" si="135"/>
        <v>144.69560237852983</v>
      </c>
      <c r="BA38" s="4431">
        <f t="shared" si="136"/>
        <v>246.44268673657731</v>
      </c>
      <c r="BB38" s="4431">
        <f t="shared" si="137"/>
        <v>276.01580914496662</v>
      </c>
      <c r="BC38" s="4431">
        <f t="shared" si="138"/>
        <v>309.13770624236264</v>
      </c>
      <c r="BD38" s="4431">
        <f t="shared" si="139"/>
        <v>355.50836217871705</v>
      </c>
      <c r="BE38" s="4431">
        <f t="shared" si="140"/>
        <v>398.16936564016316</v>
      </c>
      <c r="BF38" s="4431">
        <f t="shared" si="141"/>
        <v>22.496842772633613</v>
      </c>
      <c r="BG38" s="4431">
        <f t="shared" si="142"/>
        <v>47.550144951248321</v>
      </c>
      <c r="BH38" s="4431">
        <f t="shared" si="143"/>
        <v>53.256162345398124</v>
      </c>
      <c r="BI38" s="4431">
        <f t="shared" si="144"/>
        <v>59.646901826845905</v>
      </c>
      <c r="BJ38" s="4431">
        <f t="shared" si="145"/>
        <v>66.804530046067427</v>
      </c>
      <c r="BK38" s="4431">
        <f t="shared" si="146"/>
        <v>74.821073651595526</v>
      </c>
      <c r="BL38" s="4431">
        <f t="shared" si="147"/>
        <v>3.0677512871773112</v>
      </c>
      <c r="BM38" s="4431">
        <f t="shared" si="148"/>
        <v>6.6467944555508405</v>
      </c>
      <c r="BN38" s="4431">
        <f t="shared" si="149"/>
        <v>7.4444097902169428</v>
      </c>
      <c r="BO38" s="4431">
        <f t="shared" si="150"/>
        <v>8.337738965042977</v>
      </c>
      <c r="BP38" s="4431">
        <f t="shared" si="151"/>
        <v>9.588399809799423</v>
      </c>
      <c r="BQ38" s="4431">
        <f t="shared" si="152"/>
        <v>10.739007786975353</v>
      </c>
      <c r="BR38" s="4431">
        <f t="shared" si="153"/>
        <v>0</v>
      </c>
      <c r="BS38" s="4431">
        <f t="shared" si="154"/>
        <v>0</v>
      </c>
      <c r="BT38" s="4431">
        <f t="shared" si="155"/>
        <v>0</v>
      </c>
      <c r="BU38" s="4431">
        <f t="shared" si="156"/>
        <v>0</v>
      </c>
      <c r="BV38" s="4431">
        <f t="shared" si="157"/>
        <v>0</v>
      </c>
      <c r="BW38" s="4431">
        <f t="shared" si="158"/>
        <v>0</v>
      </c>
      <c r="BX38" s="4431">
        <f t="shared" si="159"/>
        <v>0</v>
      </c>
      <c r="BY38" s="4431">
        <f t="shared" si="160"/>
        <v>0</v>
      </c>
      <c r="BZ38" s="4431">
        <f t="shared" si="161"/>
        <v>0</v>
      </c>
      <c r="CA38" s="4431">
        <f t="shared" si="162"/>
        <v>0</v>
      </c>
      <c r="CB38" s="4431">
        <f t="shared" si="163"/>
        <v>0</v>
      </c>
      <c r="CC38" s="4431">
        <f t="shared" si="164"/>
        <v>0</v>
      </c>
      <c r="CD38" s="4431">
        <f t="shared" si="165"/>
        <v>20.962967129044959</v>
      </c>
      <c r="CE38" s="4431">
        <f t="shared" si="166"/>
        <v>24.542010297418489</v>
      </c>
      <c r="CF38" s="4431">
        <f t="shared" si="167"/>
        <v>28.632345346988235</v>
      </c>
      <c r="CG38" s="4431">
        <f t="shared" si="168"/>
        <v>32.722680396557983</v>
      </c>
      <c r="CH38" s="4431">
        <f t="shared" si="169"/>
        <v>37.32430732732395</v>
      </c>
      <c r="CI38" s="4431">
        <f t="shared" si="170"/>
        <v>42.948518020482354</v>
      </c>
      <c r="CJ38" s="4431">
        <f t="shared" si="171"/>
        <v>170.26019643834076</v>
      </c>
      <c r="CK38" s="4431">
        <f t="shared" si="172"/>
        <v>237.7507247562416</v>
      </c>
      <c r="CL38" s="4431">
        <f t="shared" si="173"/>
        <v>261.27015129126767</v>
      </c>
      <c r="CM38" s="4431">
        <f t="shared" si="174"/>
        <v>300.63962614337646</v>
      </c>
      <c r="CN38" s="4431">
        <f t="shared" si="175"/>
        <v>336.71638128058163</v>
      </c>
      <c r="CO38" s="4431">
        <f t="shared" si="176"/>
        <v>377.12234703425156</v>
      </c>
      <c r="CP38" s="4431">
        <f t="shared" si="177"/>
        <v>431.90129203458389</v>
      </c>
      <c r="CQ38" s="4431">
        <f t="shared" si="178"/>
        <v>483.72944707873398</v>
      </c>
    </row>
    <row r="39" spans="1:122" s="709" customFormat="1" ht="24.75" thickBot="1">
      <c r="A39" s="707" t="s">
        <v>97</v>
      </c>
      <c r="B39" s="708" t="s">
        <v>1253</v>
      </c>
      <c r="C39" s="1496">
        <f>'8. Ремонтна програма'!J33</f>
        <v>691</v>
      </c>
      <c r="D39" s="1496">
        <f>'8. Ремонтна програма'!K33</f>
        <v>898.30000000000007</v>
      </c>
      <c r="E39" s="1496">
        <f>'8. Ремонтна програма'!L33</f>
        <v>943.21500000000015</v>
      </c>
      <c r="F39" s="1496">
        <f>'8. Ремонтна програма'!M33</f>
        <v>971.5114500000002</v>
      </c>
      <c r="G39" s="1496">
        <f>'8. Ремонтна програма'!N33</f>
        <v>952.08122100000014</v>
      </c>
      <c r="H39" s="1494">
        <f>'8. Ремонтна програма'!O33</f>
        <v>913.99797216000013</v>
      </c>
      <c r="I39" s="1495">
        <f>'8. Ремонтна програма'!J62</f>
        <v>0</v>
      </c>
      <c r="J39" s="1496">
        <f>'8. Ремонтна програма'!K62</f>
        <v>0</v>
      </c>
      <c r="K39" s="1496">
        <f>'8. Ремонтна програма'!L62</f>
        <v>0</v>
      </c>
      <c r="L39" s="1496">
        <f>'8. Ремонтна програма'!M62</f>
        <v>0</v>
      </c>
      <c r="M39" s="1496">
        <f>'8. Ремонтна програма'!N62</f>
        <v>0</v>
      </c>
      <c r="N39" s="1494">
        <f>'8. Ремонтна програма'!O62</f>
        <v>0</v>
      </c>
      <c r="O39" s="1495">
        <f>'8. Ремонтна програма'!J88</f>
        <v>1</v>
      </c>
      <c r="P39" s="1496">
        <f>'8. Ремонтна програма'!K88</f>
        <v>0</v>
      </c>
      <c r="Q39" s="1496">
        <f>'8. Ремонтна програма'!L88</f>
        <v>0</v>
      </c>
      <c r="R39" s="1496">
        <f>'8. Ремонтна програма'!M88</f>
        <v>0</v>
      </c>
      <c r="S39" s="1496">
        <f>'8. Ремонтна програма'!N88</f>
        <v>0</v>
      </c>
      <c r="T39" s="1494">
        <f>'8. Ремонтна програма'!O88</f>
        <v>0</v>
      </c>
      <c r="U39" s="1495">
        <f>'8. Ремонтна програма'!J119</f>
        <v>0</v>
      </c>
      <c r="V39" s="1496">
        <f>'8. Ремонтна програма'!K119</f>
        <v>0</v>
      </c>
      <c r="W39" s="1496">
        <f>'8. Ремонтна програма'!L119</f>
        <v>0</v>
      </c>
      <c r="X39" s="1496">
        <f>'8. Ремонтна програма'!M119</f>
        <v>0</v>
      </c>
      <c r="Y39" s="1496">
        <f>'8. Ремонтна програма'!N119</f>
        <v>0</v>
      </c>
      <c r="Z39" s="1494">
        <f>'8. Ремонтна програма'!O119</f>
        <v>0</v>
      </c>
      <c r="AA39" s="1495">
        <f>'8. Ремонтна програма'!J150</f>
        <v>0</v>
      </c>
      <c r="AB39" s="1496">
        <f>'8. Ремонтна програма'!K150</f>
        <v>0</v>
      </c>
      <c r="AC39" s="1496">
        <f>'8. Ремонтна програма'!L150</f>
        <v>0</v>
      </c>
      <c r="AD39" s="1496">
        <f>'8. Ремонтна програма'!M150</f>
        <v>0</v>
      </c>
      <c r="AE39" s="1496">
        <f>'8. Ремонтна програма'!N150</f>
        <v>0</v>
      </c>
      <c r="AF39" s="1494">
        <f>'8. Ремонтна програма'!O150</f>
        <v>0</v>
      </c>
      <c r="AG39" s="606">
        <v>0</v>
      </c>
      <c r="AH39" s="607"/>
      <c r="AI39" s="607"/>
      <c r="AJ39" s="607"/>
      <c r="AK39" s="607"/>
      <c r="AL39" s="608"/>
      <c r="AM39" s="946">
        <f t="shared" ref="AM39:AM48" si="200">C39+I39+O39+U39+AA39</f>
        <v>692</v>
      </c>
      <c r="AN39" s="4641">
        <v>709</v>
      </c>
      <c r="AO39" s="291">
        <v>720</v>
      </c>
      <c r="AP39" s="947">
        <f t="shared" ref="AP39:AP48" si="201">D39+J39+P39+V39+AB39</f>
        <v>898.30000000000007</v>
      </c>
      <c r="AQ39" s="947">
        <f t="shared" ref="AQ39:AQ48" si="202">E39+K39+Q39+W39+AC39</f>
        <v>943.21500000000015</v>
      </c>
      <c r="AR39" s="947">
        <f t="shared" ref="AR39:AR48" si="203">F39+L39+R39+X39+AD39</f>
        <v>971.5114500000002</v>
      </c>
      <c r="AS39" s="947">
        <f t="shared" ref="AS39:AS48" si="204">G39+M39+S39+Y39+AE39</f>
        <v>952.08122100000014</v>
      </c>
      <c r="AT39" s="948">
        <f t="shared" ref="AT39:AT48" si="205">H39+N39+T39+Z39+AF39</f>
        <v>913.99797216000013</v>
      </c>
      <c r="AU39" s="1523">
        <f t="shared" si="121"/>
        <v>0.29812138728323712</v>
      </c>
      <c r="AV39" s="1523">
        <f t="shared" si="122"/>
        <v>0.3000000000000001</v>
      </c>
      <c r="AW39" s="1524">
        <f t="shared" si="123"/>
        <v>-1</v>
      </c>
      <c r="AX39" s="4422"/>
      <c r="AY39" s="4425" t="s">
        <v>1878</v>
      </c>
      <c r="AZ39" s="4431">
        <f t="shared" si="135"/>
        <v>353.30268990658698</v>
      </c>
      <c r="BA39" s="4431">
        <f t="shared" si="136"/>
        <v>459.29349687856313</v>
      </c>
      <c r="BB39" s="4431">
        <f t="shared" si="137"/>
        <v>482.25817172249128</v>
      </c>
      <c r="BC39" s="4431">
        <f t="shared" si="138"/>
        <v>496.72591687416605</v>
      </c>
      <c r="BD39" s="4431">
        <f t="shared" si="139"/>
        <v>486.79139853668272</v>
      </c>
      <c r="BE39" s="4431">
        <f t="shared" si="140"/>
        <v>467.31974259521542</v>
      </c>
      <c r="BF39" s="4431">
        <f t="shared" ref="BF39:BF40" si="206">IFERROR(I39/$C$1,0)</f>
        <v>0</v>
      </c>
      <c r="BG39" s="4431">
        <f t="shared" ref="BG39:BG40" si="207">IFERROR(J39/$C$1,0)</f>
        <v>0</v>
      </c>
      <c r="BH39" s="4431">
        <f t="shared" ref="BH39:BH40" si="208">IFERROR(K39/$C$1,0)</f>
        <v>0</v>
      </c>
      <c r="BI39" s="4431">
        <f t="shared" ref="BI39:BI40" si="209">IFERROR(L39/$C$1,0)</f>
        <v>0</v>
      </c>
      <c r="BJ39" s="4431">
        <f t="shared" ref="BJ39:BJ40" si="210">IFERROR(M39/$C$1,0)</f>
        <v>0</v>
      </c>
      <c r="BK39" s="4431">
        <f t="shared" ref="BK39:BK40" si="211">IFERROR(N39/$C$1,0)</f>
        <v>0</v>
      </c>
      <c r="BL39" s="4431">
        <f t="shared" si="147"/>
        <v>0.51129188119621849</v>
      </c>
      <c r="BM39" s="4431">
        <f t="shared" si="148"/>
        <v>0</v>
      </c>
      <c r="BN39" s="4431">
        <f t="shared" si="149"/>
        <v>0</v>
      </c>
      <c r="BO39" s="4431">
        <f t="shared" si="150"/>
        <v>0</v>
      </c>
      <c r="BP39" s="4431">
        <f t="shared" si="151"/>
        <v>0</v>
      </c>
      <c r="BQ39" s="4431">
        <f t="shared" si="152"/>
        <v>0</v>
      </c>
      <c r="BR39" s="4431">
        <f t="shared" si="153"/>
        <v>0</v>
      </c>
      <c r="BS39" s="4431">
        <f t="shared" si="154"/>
        <v>0</v>
      </c>
      <c r="BT39" s="4431">
        <f t="shared" si="155"/>
        <v>0</v>
      </c>
      <c r="BU39" s="4431">
        <f t="shared" si="156"/>
        <v>0</v>
      </c>
      <c r="BV39" s="4431">
        <f t="shared" si="157"/>
        <v>0</v>
      </c>
      <c r="BW39" s="4431">
        <f t="shared" si="158"/>
        <v>0</v>
      </c>
      <c r="BX39" s="4431">
        <f t="shared" si="159"/>
        <v>0</v>
      </c>
      <c r="BY39" s="4431">
        <f t="shared" si="160"/>
        <v>0</v>
      </c>
      <c r="BZ39" s="4431">
        <f t="shared" si="161"/>
        <v>0</v>
      </c>
      <c r="CA39" s="4431">
        <f t="shared" si="162"/>
        <v>0</v>
      </c>
      <c r="CB39" s="4431">
        <f t="shared" si="163"/>
        <v>0</v>
      </c>
      <c r="CC39" s="4431">
        <f t="shared" si="164"/>
        <v>0</v>
      </c>
      <c r="CD39" s="4431">
        <f t="shared" si="165"/>
        <v>0</v>
      </c>
      <c r="CE39" s="4431">
        <f t="shared" si="166"/>
        <v>0</v>
      </c>
      <c r="CF39" s="4431">
        <f t="shared" si="167"/>
        <v>0</v>
      </c>
      <c r="CG39" s="4431">
        <f t="shared" si="168"/>
        <v>0</v>
      </c>
      <c r="CH39" s="4431">
        <f t="shared" si="169"/>
        <v>0</v>
      </c>
      <c r="CI39" s="4431">
        <f t="shared" si="170"/>
        <v>0</v>
      </c>
      <c r="CJ39" s="4431">
        <f t="shared" si="171"/>
        <v>353.81398178778318</v>
      </c>
      <c r="CK39" s="4431">
        <f t="shared" si="172"/>
        <v>362.50594376811893</v>
      </c>
      <c r="CL39" s="4431">
        <f t="shared" si="173"/>
        <v>368.1301544612773</v>
      </c>
      <c r="CM39" s="4431">
        <f t="shared" si="174"/>
        <v>459.29349687856313</v>
      </c>
      <c r="CN39" s="4431">
        <f t="shared" si="175"/>
        <v>482.25817172249128</v>
      </c>
      <c r="CO39" s="4431">
        <f t="shared" si="176"/>
        <v>496.72591687416605</v>
      </c>
      <c r="CP39" s="4431">
        <f t="shared" si="177"/>
        <v>486.79139853668272</v>
      </c>
      <c r="CQ39" s="4431">
        <f t="shared" si="178"/>
        <v>467.31974259521542</v>
      </c>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row>
    <row r="40" spans="1:122" s="636" customFormat="1" ht="13.5" thickBot="1">
      <c r="A40" s="320" t="s">
        <v>169</v>
      </c>
      <c r="B40" s="640" t="s">
        <v>1254</v>
      </c>
      <c r="C40" s="609"/>
      <c r="D40" s="610"/>
      <c r="E40" s="610"/>
      <c r="F40" s="610"/>
      <c r="G40" s="610"/>
      <c r="H40" s="611"/>
      <c r="I40" s="609"/>
      <c r="J40" s="610"/>
      <c r="K40" s="610"/>
      <c r="L40" s="610"/>
      <c r="M40" s="610"/>
      <c r="N40" s="611"/>
      <c r="O40" s="609"/>
      <c r="P40" s="610"/>
      <c r="Q40" s="610"/>
      <c r="R40" s="610"/>
      <c r="S40" s="610"/>
      <c r="T40" s="611"/>
      <c r="U40" s="609"/>
      <c r="V40" s="610"/>
      <c r="W40" s="610"/>
      <c r="X40" s="610"/>
      <c r="Y40" s="610"/>
      <c r="Z40" s="611"/>
      <c r="AA40" s="609"/>
      <c r="AB40" s="610"/>
      <c r="AC40" s="610"/>
      <c r="AD40" s="610"/>
      <c r="AE40" s="610"/>
      <c r="AF40" s="611"/>
      <c r="AG40" s="609">
        <v>0</v>
      </c>
      <c r="AH40" s="610"/>
      <c r="AI40" s="610"/>
      <c r="AJ40" s="610"/>
      <c r="AK40" s="610"/>
      <c r="AL40" s="611"/>
      <c r="AM40" s="1500">
        <f t="shared" si="200"/>
        <v>0</v>
      </c>
      <c r="AN40" s="4642">
        <v>0</v>
      </c>
      <c r="AO40" s="610"/>
      <c r="AP40" s="1501">
        <f t="shared" si="201"/>
        <v>0</v>
      </c>
      <c r="AQ40" s="1501">
        <f t="shared" si="202"/>
        <v>0</v>
      </c>
      <c r="AR40" s="1501">
        <f t="shared" si="203"/>
        <v>0</v>
      </c>
      <c r="AS40" s="1501">
        <f t="shared" si="204"/>
        <v>0</v>
      </c>
      <c r="AT40" s="1502">
        <f t="shared" si="205"/>
        <v>0</v>
      </c>
      <c r="AU40" s="1525">
        <f t="shared" si="121"/>
        <v>0</v>
      </c>
      <c r="AV40" s="1525">
        <f t="shared" si="122"/>
        <v>0</v>
      </c>
      <c r="AW40" s="1526">
        <f t="shared" si="123"/>
        <v>0</v>
      </c>
      <c r="AX40" s="4422"/>
      <c r="AY40" s="4425" t="s">
        <v>1878</v>
      </c>
      <c r="AZ40" s="4431">
        <f t="shared" si="135"/>
        <v>0</v>
      </c>
      <c r="BA40" s="4431">
        <f t="shared" si="136"/>
        <v>0</v>
      </c>
      <c r="BB40" s="4431">
        <f t="shared" si="137"/>
        <v>0</v>
      </c>
      <c r="BC40" s="4431">
        <f t="shared" si="138"/>
        <v>0</v>
      </c>
      <c r="BD40" s="4431">
        <f t="shared" si="139"/>
        <v>0</v>
      </c>
      <c r="BE40" s="4431">
        <f t="shared" si="140"/>
        <v>0</v>
      </c>
      <c r="BF40" s="4431">
        <f t="shared" si="206"/>
        <v>0</v>
      </c>
      <c r="BG40" s="4431">
        <f t="shared" si="207"/>
        <v>0</v>
      </c>
      <c r="BH40" s="4431">
        <f t="shared" si="208"/>
        <v>0</v>
      </c>
      <c r="BI40" s="4431">
        <f t="shared" si="209"/>
        <v>0</v>
      </c>
      <c r="BJ40" s="4431">
        <f t="shared" si="210"/>
        <v>0</v>
      </c>
      <c r="BK40" s="4431">
        <f t="shared" si="211"/>
        <v>0</v>
      </c>
      <c r="BL40" s="4431">
        <f t="shared" si="147"/>
        <v>0</v>
      </c>
      <c r="BM40" s="4431">
        <f t="shared" si="148"/>
        <v>0</v>
      </c>
      <c r="BN40" s="4431">
        <f t="shared" si="149"/>
        <v>0</v>
      </c>
      <c r="BO40" s="4431">
        <f t="shared" si="150"/>
        <v>0</v>
      </c>
      <c r="BP40" s="4431">
        <f t="shared" si="151"/>
        <v>0</v>
      </c>
      <c r="BQ40" s="4431">
        <f t="shared" si="152"/>
        <v>0</v>
      </c>
      <c r="BR40" s="4431">
        <f t="shared" si="153"/>
        <v>0</v>
      </c>
      <c r="BS40" s="4431">
        <f t="shared" si="154"/>
        <v>0</v>
      </c>
      <c r="BT40" s="4431">
        <f t="shared" si="155"/>
        <v>0</v>
      </c>
      <c r="BU40" s="4431">
        <f t="shared" si="156"/>
        <v>0</v>
      </c>
      <c r="BV40" s="4431">
        <f t="shared" si="157"/>
        <v>0</v>
      </c>
      <c r="BW40" s="4431">
        <f t="shared" si="158"/>
        <v>0</v>
      </c>
      <c r="BX40" s="4431">
        <f t="shared" si="159"/>
        <v>0</v>
      </c>
      <c r="BY40" s="4431">
        <f t="shared" si="160"/>
        <v>0</v>
      </c>
      <c r="BZ40" s="4431">
        <f t="shared" si="161"/>
        <v>0</v>
      </c>
      <c r="CA40" s="4431">
        <f t="shared" si="162"/>
        <v>0</v>
      </c>
      <c r="CB40" s="4431">
        <f t="shared" si="163"/>
        <v>0</v>
      </c>
      <c r="CC40" s="4431">
        <f t="shared" si="164"/>
        <v>0</v>
      </c>
      <c r="CD40" s="4431">
        <f t="shared" si="165"/>
        <v>0</v>
      </c>
      <c r="CE40" s="4431">
        <f t="shared" si="166"/>
        <v>0</v>
      </c>
      <c r="CF40" s="4431">
        <f t="shared" si="167"/>
        <v>0</v>
      </c>
      <c r="CG40" s="4431">
        <f t="shared" si="168"/>
        <v>0</v>
      </c>
      <c r="CH40" s="4431">
        <f t="shared" si="169"/>
        <v>0</v>
      </c>
      <c r="CI40" s="4431">
        <f t="shared" si="170"/>
        <v>0</v>
      </c>
      <c r="CJ40" s="4431">
        <f t="shared" si="171"/>
        <v>0</v>
      </c>
      <c r="CK40" s="4431">
        <f t="shared" si="172"/>
        <v>0</v>
      </c>
      <c r="CL40" s="4431">
        <f t="shared" si="173"/>
        <v>0</v>
      </c>
      <c r="CM40" s="4431">
        <f t="shared" si="174"/>
        <v>0</v>
      </c>
      <c r="CN40" s="4431">
        <f t="shared" si="175"/>
        <v>0</v>
      </c>
      <c r="CO40" s="4431">
        <f t="shared" si="176"/>
        <v>0</v>
      </c>
      <c r="CP40" s="4431">
        <f t="shared" si="177"/>
        <v>0</v>
      </c>
      <c r="CQ40" s="4431">
        <f t="shared" si="178"/>
        <v>0</v>
      </c>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row>
    <row r="41" spans="1:122" s="162" customFormat="1" ht="13.5" thickBot="1">
      <c r="A41" s="318"/>
      <c r="B41" s="319"/>
      <c r="C41" s="1513"/>
      <c r="D41" s="1514"/>
      <c r="E41" s="1514"/>
      <c r="F41" s="1514"/>
      <c r="G41" s="1514"/>
      <c r="H41" s="1515"/>
      <c r="I41" s="1513"/>
      <c r="J41" s="1514"/>
      <c r="K41" s="1514"/>
      <c r="L41" s="1514"/>
      <c r="M41" s="1514"/>
      <c r="N41" s="1515"/>
      <c r="O41" s="1513"/>
      <c r="P41" s="1514"/>
      <c r="Q41" s="1514"/>
      <c r="R41" s="1514"/>
      <c r="S41" s="1514"/>
      <c r="T41" s="1515"/>
      <c r="U41" s="1513"/>
      <c r="V41" s="1514"/>
      <c r="W41" s="1514"/>
      <c r="X41" s="1514"/>
      <c r="Y41" s="1514"/>
      <c r="Z41" s="1515"/>
      <c r="AA41" s="1513"/>
      <c r="AB41" s="1514"/>
      <c r="AC41" s="1514"/>
      <c r="AD41" s="1514"/>
      <c r="AE41" s="1514"/>
      <c r="AF41" s="1515"/>
      <c r="AG41" s="1513"/>
      <c r="AH41" s="1514"/>
      <c r="AI41" s="1514"/>
      <c r="AJ41" s="1514"/>
      <c r="AK41" s="1514"/>
      <c r="AL41" s="1515"/>
      <c r="AM41" s="1513"/>
      <c r="AN41" s="1514"/>
      <c r="AO41" s="1514"/>
      <c r="AP41" s="1514"/>
      <c r="AQ41" s="1514"/>
      <c r="AR41" s="1514"/>
      <c r="AS41" s="1514"/>
      <c r="AT41" s="1515"/>
      <c r="AU41" s="1516"/>
      <c r="AV41" s="1516"/>
      <c r="AW41" s="1517"/>
      <c r="AX41" s="4422"/>
      <c r="AY41" s="1"/>
    </row>
    <row r="42" spans="1:122" s="163" customFormat="1" ht="13.5" thickBot="1">
      <c r="A42" s="930" t="s">
        <v>99</v>
      </c>
      <c r="B42" s="931" t="s">
        <v>721</v>
      </c>
      <c r="C42" s="1963">
        <v>1680</v>
      </c>
      <c r="D42" s="1964">
        <v>2620</v>
      </c>
      <c r="E42" s="1964">
        <f t="shared" ref="E42:F42" si="212">D42*1.12</f>
        <v>2934.4</v>
      </c>
      <c r="F42" s="1964">
        <f t="shared" si="212"/>
        <v>3286.5280000000002</v>
      </c>
      <c r="G42" s="1964">
        <f t="shared" ref="G42" si="213">F42*1.15</f>
        <v>3779.5072</v>
      </c>
      <c r="H42" s="1964">
        <f>G42*1.12</f>
        <v>4233.0480640000005</v>
      </c>
      <c r="I42" s="1963">
        <v>83</v>
      </c>
      <c r="J42" s="1964">
        <v>85</v>
      </c>
      <c r="K42" s="1964">
        <f t="shared" ref="K42:N42" si="214">J42*1.12</f>
        <v>95.2</v>
      </c>
      <c r="L42" s="1964">
        <f t="shared" si="214"/>
        <v>106.62400000000001</v>
      </c>
      <c r="M42" s="1964">
        <f t="shared" si="214"/>
        <v>119.41888000000002</v>
      </c>
      <c r="N42" s="1964">
        <f t="shared" si="214"/>
        <v>133.74914560000002</v>
      </c>
      <c r="O42" s="1963">
        <v>131</v>
      </c>
      <c r="P42" s="1964">
        <v>195</v>
      </c>
      <c r="Q42" s="1964">
        <f t="shared" ref="Q42:R42" si="215">P42*1.12</f>
        <v>218.40000000000003</v>
      </c>
      <c r="R42" s="1964">
        <f t="shared" si="215"/>
        <v>244.60800000000006</v>
      </c>
      <c r="S42" s="1964">
        <f t="shared" ref="S42" si="216">R42*1.15</f>
        <v>281.29920000000004</v>
      </c>
      <c r="T42" s="1964">
        <f>S42*1.12</f>
        <v>315.05510400000009</v>
      </c>
      <c r="U42" s="1963"/>
      <c r="V42" s="1964"/>
      <c r="W42" s="1964"/>
      <c r="X42" s="1964"/>
      <c r="Y42" s="1964"/>
      <c r="Z42" s="1965"/>
      <c r="AA42" s="606"/>
      <c r="AB42" s="607"/>
      <c r="AC42" s="607"/>
      <c r="AD42" s="607"/>
      <c r="AE42" s="607"/>
      <c r="AF42" s="608"/>
      <c r="AG42" s="4599">
        <v>22</v>
      </c>
      <c r="AH42" s="1964">
        <v>28</v>
      </c>
      <c r="AI42" s="1964">
        <v>32</v>
      </c>
      <c r="AJ42" s="1964">
        <v>37</v>
      </c>
      <c r="AK42" s="1964">
        <v>43</v>
      </c>
      <c r="AL42" s="1965">
        <v>48</v>
      </c>
      <c r="AM42" s="950">
        <f t="shared" si="200"/>
        <v>1894</v>
      </c>
      <c r="AN42" s="4640">
        <v>2214</v>
      </c>
      <c r="AO42" s="607">
        <v>2517</v>
      </c>
      <c r="AP42" s="951">
        <f t="shared" si="201"/>
        <v>2900</v>
      </c>
      <c r="AQ42" s="951">
        <f t="shared" si="202"/>
        <v>3248</v>
      </c>
      <c r="AR42" s="951">
        <f t="shared" si="203"/>
        <v>3637.76</v>
      </c>
      <c r="AS42" s="951">
        <f t="shared" si="204"/>
        <v>4180.2252800000006</v>
      </c>
      <c r="AT42" s="952">
        <f t="shared" si="205"/>
        <v>4681.8523136000003</v>
      </c>
      <c r="AU42" s="1523">
        <f t="shared" ref="AU42:AU44" si="217">IFERROR((AP42-AM42)/AM42,0)</f>
        <v>0.53115100316789865</v>
      </c>
      <c r="AV42" s="1523">
        <f t="shared" ref="AV42:AV44" si="218">IFERROR(((D42+V42+AB42)-(+C42+U42+AA42))/(C42+U42+AA42),0)</f>
        <v>0.55952380952380953</v>
      </c>
      <c r="AW42" s="1524">
        <f t="shared" ref="AW42:AW44" si="219">IFERROR(((J42+P42)-(I42+O42))/(I42+O42),0)</f>
        <v>0.30841121495327101</v>
      </c>
      <c r="AX42" s="4422"/>
      <c r="AY42" s="4425" t="s">
        <v>1878</v>
      </c>
      <c r="AZ42" s="4431">
        <f t="shared" ref="AZ42:AZ44" si="220">IFERROR(C42/$C$1,0)</f>
        <v>858.97036040964713</v>
      </c>
      <c r="BA42" s="4431">
        <f t="shared" ref="BA42:BA44" si="221">IFERROR(D42/$C$1,0)</f>
        <v>1339.5847287340926</v>
      </c>
      <c r="BB42" s="4431">
        <f t="shared" ref="BB42:BB44" si="222">IFERROR(E42/$C$1,0)</f>
        <v>1500.3348961821837</v>
      </c>
      <c r="BC42" s="4431">
        <f t="shared" ref="BC42:BC44" si="223">IFERROR(F42/$C$1,0)</f>
        <v>1680.3750837240457</v>
      </c>
      <c r="BD42" s="4431">
        <f t="shared" ref="BD42:BD44" si="224">IFERROR(G42/$C$1,0)</f>
        <v>1932.4313462826524</v>
      </c>
      <c r="BE42" s="4431">
        <f t="shared" ref="BE42:BE44" si="225">IFERROR(H42/$C$1,0)</f>
        <v>2164.3231078365711</v>
      </c>
      <c r="BF42" s="4431">
        <f t="shared" ref="BF42:BF44" si="226">IFERROR(I42/$C$1,0)</f>
        <v>42.437226139286132</v>
      </c>
      <c r="BG42" s="4431">
        <f t="shared" ref="BG42:BG44" si="227">IFERROR(J42/$C$1,0)</f>
        <v>43.459809901678575</v>
      </c>
      <c r="BH42" s="4431">
        <f t="shared" ref="BH42:BH44" si="228">IFERROR(K42/$C$1,0)</f>
        <v>48.674987089880005</v>
      </c>
      <c r="BI42" s="4431">
        <f t="shared" ref="BI42:BI44" si="229">IFERROR(L42/$C$1,0)</f>
        <v>54.515985540665604</v>
      </c>
      <c r="BJ42" s="4431">
        <f t="shared" ref="BJ42:BJ44" si="230">IFERROR(M42/$C$1,0)</f>
        <v>61.057903805545479</v>
      </c>
      <c r="BK42" s="4431">
        <f t="shared" ref="BK42:BK44" si="231">IFERROR(N42/$C$1,0)</f>
        <v>68.384852262210941</v>
      </c>
      <c r="BL42" s="4431">
        <f t="shared" ref="BL42:BL44" si="232">IFERROR(O42/$C$1,0)</f>
        <v>66.979236436704625</v>
      </c>
      <c r="BM42" s="4431">
        <f t="shared" ref="BM42:BM44" si="233">IFERROR(P42/$C$1,0)</f>
        <v>99.701916833262601</v>
      </c>
      <c r="BN42" s="4431">
        <f t="shared" ref="BN42:BN44" si="234">IFERROR(Q42/$C$1,0)</f>
        <v>111.66614685325413</v>
      </c>
      <c r="BO42" s="4431">
        <f t="shared" ref="BO42:BO44" si="235">IFERROR(R42/$C$1,0)</f>
        <v>125.06608447564464</v>
      </c>
      <c r="BP42" s="4431">
        <f t="shared" ref="BP42:BP44" si="236">IFERROR(S42/$C$1,0)</f>
        <v>143.82599714699134</v>
      </c>
      <c r="BQ42" s="4431">
        <f t="shared" ref="BQ42:BQ44" si="237">IFERROR(T42/$C$1,0)</f>
        <v>161.0851168046303</v>
      </c>
      <c r="BR42" s="4431">
        <f t="shared" ref="BR42:BR44" si="238">IFERROR(U42/$C$1,0)</f>
        <v>0</v>
      </c>
      <c r="BS42" s="4431">
        <f t="shared" ref="BS42:BS44" si="239">IFERROR(V42/$C$1,0)</f>
        <v>0</v>
      </c>
      <c r="BT42" s="4431">
        <f t="shared" ref="BT42:BT44" si="240">IFERROR(W42/$C$1,0)</f>
        <v>0</v>
      </c>
      <c r="BU42" s="4431">
        <f t="shared" ref="BU42:BU44" si="241">IFERROR(X42/$C$1,0)</f>
        <v>0</v>
      </c>
      <c r="BV42" s="4431">
        <f t="shared" ref="BV42:BV44" si="242">IFERROR(Y42/$C$1,0)</f>
        <v>0</v>
      </c>
      <c r="BW42" s="4431">
        <f t="shared" ref="BW42:BW44" si="243">IFERROR(Z42/$C$1,0)</f>
        <v>0</v>
      </c>
      <c r="BX42" s="4431">
        <f t="shared" ref="BX42:BX44" si="244">IFERROR(AA42/$C$1,0)</f>
        <v>0</v>
      </c>
      <c r="BY42" s="4431">
        <f t="shared" ref="BY42:BY44" si="245">IFERROR(AB42/$C$1,0)</f>
        <v>0</v>
      </c>
      <c r="BZ42" s="4431">
        <f t="shared" ref="BZ42:BZ44" si="246">IFERROR(AC42/$C$1,0)</f>
        <v>0</v>
      </c>
      <c r="CA42" s="4431">
        <f t="shared" ref="CA42:CA44" si="247">IFERROR(AD42/$C$1,0)</f>
        <v>0</v>
      </c>
      <c r="CB42" s="4431">
        <f t="shared" ref="CB42:CB44" si="248">IFERROR(AE42/$C$1,0)</f>
        <v>0</v>
      </c>
      <c r="CC42" s="4431">
        <f t="shared" ref="CC42:CC44" si="249">IFERROR(AF42/$C$1,0)</f>
        <v>0</v>
      </c>
      <c r="CD42" s="4431">
        <f t="shared" ref="CD42:CD44" si="250">IFERROR(AG42/$C$1,0)</f>
        <v>11.248421386316807</v>
      </c>
      <c r="CE42" s="4431">
        <f t="shared" ref="CE42:CE44" si="251">IFERROR(AH42/$C$1,0)</f>
        <v>14.316172673494117</v>
      </c>
      <c r="CF42" s="4431">
        <f t="shared" ref="CF42:CF44" si="252">IFERROR(AI42/$C$1,0)</f>
        <v>16.361340198278992</v>
      </c>
      <c r="CG42" s="4431">
        <f t="shared" ref="CG42:CG44" si="253">IFERROR(AJ42/$C$1,0)</f>
        <v>18.917799604260086</v>
      </c>
      <c r="CH42" s="4431">
        <f t="shared" ref="CH42:CH44" si="254">IFERROR(AK42/$C$1,0)</f>
        <v>21.985550891437395</v>
      </c>
      <c r="CI42" s="4431">
        <f t="shared" ref="CI42:CI44" si="255">IFERROR(AL42/$C$1,0)</f>
        <v>24.542010297418489</v>
      </c>
      <c r="CJ42" s="4431">
        <f t="shared" ref="CJ42:CJ44" si="256">IFERROR(AM42/$C$1,0)</f>
        <v>968.38682298563788</v>
      </c>
      <c r="CK42" s="4431">
        <f t="shared" ref="CK42:CK44" si="257">IFERROR(AN42/$C$1,0)</f>
        <v>1132.0002249684278</v>
      </c>
      <c r="CL42" s="4431">
        <f t="shared" ref="CL42:CL44" si="258">IFERROR(AO42/$C$1,0)</f>
        <v>1286.9216649708819</v>
      </c>
      <c r="CM42" s="4431">
        <f t="shared" ref="CM42:CM44" si="259">IFERROR(AP42/$C$1,0)</f>
        <v>1482.7464554690337</v>
      </c>
      <c r="CN42" s="4431">
        <f t="shared" ref="CN42:CN44" si="260">IFERROR(AQ42/$C$1,0)</f>
        <v>1660.6760301253178</v>
      </c>
      <c r="CO42" s="4431">
        <f t="shared" ref="CO42:CO44" si="261">IFERROR(AR42/$C$1,0)</f>
        <v>1859.9571537403558</v>
      </c>
      <c r="CP42" s="4431">
        <f t="shared" ref="CP42:CP44" si="262">IFERROR(AS42/$C$1,0)</f>
        <v>2137.3152472351894</v>
      </c>
      <c r="CQ42" s="4431">
        <f t="shared" ref="CQ42:CQ44" si="263">IFERROR(AT42/$C$1,0)</f>
        <v>2393.7930769034119</v>
      </c>
      <c r="CR42" s="4435"/>
      <c r="CS42" s="4435"/>
      <c r="CT42" s="4435"/>
      <c r="CU42" s="4435"/>
      <c r="CV42" s="4435"/>
      <c r="CW42" s="4435"/>
      <c r="CX42" s="4435"/>
      <c r="CY42" s="4435"/>
      <c r="CZ42" s="4435"/>
      <c r="DA42" s="4435"/>
      <c r="DB42" s="4435"/>
      <c r="DC42" s="4435"/>
      <c r="DD42" s="4435"/>
      <c r="DE42" s="4435"/>
      <c r="DF42" s="4435"/>
      <c r="DG42" s="4435"/>
      <c r="DH42" s="4435"/>
      <c r="DI42" s="4435"/>
      <c r="DJ42" s="4435"/>
      <c r="DK42" s="4435"/>
      <c r="DL42" s="4435"/>
      <c r="DM42" s="4435"/>
      <c r="DN42" s="4435"/>
      <c r="DO42" s="4435"/>
      <c r="DP42" s="4435"/>
      <c r="DQ42" s="4435"/>
      <c r="DR42" s="4435"/>
    </row>
    <row r="43" spans="1:122" s="709" customFormat="1" ht="24.75" thickBot="1">
      <c r="A43" s="51" t="s">
        <v>263</v>
      </c>
      <c r="B43" s="639" t="s">
        <v>1255</v>
      </c>
      <c r="C43" s="1495">
        <f>'8. Ремонтна програма'!J35</f>
        <v>134</v>
      </c>
      <c r="D43" s="1496">
        <f>'8. Ремонтна програма'!K35</f>
        <v>174.20000000000002</v>
      </c>
      <c r="E43" s="1496">
        <f>'8. Ремонтна програма'!L35</f>
        <v>182.91000000000003</v>
      </c>
      <c r="F43" s="1496">
        <f>'8. Ремонтна програма'!M35</f>
        <v>188.39730000000003</v>
      </c>
      <c r="G43" s="1496">
        <f>'8. Ремонтна програма'!N35</f>
        <v>184.62935400000003</v>
      </c>
      <c r="H43" s="1494">
        <f>'8. Ремонтна програма'!O35</f>
        <v>177.24417984000002</v>
      </c>
      <c r="I43" s="1495">
        <f>'8. Ремонтна програма'!J64</f>
        <v>0</v>
      </c>
      <c r="J43" s="1496">
        <f>'8. Ремонтна програма'!K64</f>
        <v>0</v>
      </c>
      <c r="K43" s="1496">
        <f>'8. Ремонтна програма'!L64</f>
        <v>0</v>
      </c>
      <c r="L43" s="1496">
        <f>'8. Ремонтна програма'!M64</f>
        <v>0</v>
      </c>
      <c r="M43" s="1496">
        <f>'8. Ремонтна програма'!N64</f>
        <v>0</v>
      </c>
      <c r="N43" s="1494">
        <f>'8. Ремонтна програма'!O64</f>
        <v>0</v>
      </c>
      <c r="O43" s="1495">
        <f>'8. Ремонтна програма'!J90</f>
        <v>0</v>
      </c>
      <c r="P43" s="1496">
        <f>'8. Ремонтна програма'!K90</f>
        <v>0</v>
      </c>
      <c r="Q43" s="1496">
        <f>'8. Ремонтна програма'!L90</f>
        <v>0</v>
      </c>
      <c r="R43" s="1496">
        <f>'8. Ремонтна програма'!M90</f>
        <v>0</v>
      </c>
      <c r="S43" s="1496">
        <f>'8. Ремонтна програма'!N90</f>
        <v>0</v>
      </c>
      <c r="T43" s="1494">
        <f>'8. Ремонтна програма'!O90</f>
        <v>0</v>
      </c>
      <c r="U43" s="1495">
        <f>'8. Ремонтна програма'!J121</f>
        <v>0</v>
      </c>
      <c r="V43" s="1496">
        <f>'8. Ремонтна програма'!K121</f>
        <v>0</v>
      </c>
      <c r="W43" s="1496">
        <f>'8. Ремонтна програма'!L121</f>
        <v>0</v>
      </c>
      <c r="X43" s="1496">
        <f>'8. Ремонтна програма'!M121</f>
        <v>0</v>
      </c>
      <c r="Y43" s="1496">
        <f>'8. Ремонтна програма'!N121</f>
        <v>0</v>
      </c>
      <c r="Z43" s="1494">
        <f>'8. Ремонтна програма'!O121</f>
        <v>0</v>
      </c>
      <c r="AA43" s="1495">
        <f>'8. Ремонтна програма'!J152</f>
        <v>0</v>
      </c>
      <c r="AB43" s="1496">
        <f>'8. Ремонтна програма'!K152</f>
        <v>0</v>
      </c>
      <c r="AC43" s="1496">
        <f>'8. Ремонтна програма'!L152</f>
        <v>0</v>
      </c>
      <c r="AD43" s="1496">
        <f>'8. Ремонтна програма'!M152</f>
        <v>0</v>
      </c>
      <c r="AE43" s="1496">
        <f>'8. Ремонтна програма'!N152</f>
        <v>0</v>
      </c>
      <c r="AF43" s="1494">
        <f>'8. Ремонтна програма'!O152</f>
        <v>0</v>
      </c>
      <c r="AG43" s="606">
        <v>0</v>
      </c>
      <c r="AH43" s="607">
        <v>0</v>
      </c>
      <c r="AI43" s="607">
        <v>0</v>
      </c>
      <c r="AJ43" s="607">
        <v>0</v>
      </c>
      <c r="AK43" s="607">
        <v>0</v>
      </c>
      <c r="AL43" s="607">
        <v>0</v>
      </c>
      <c r="AM43" s="946">
        <f t="shared" si="200"/>
        <v>134</v>
      </c>
      <c r="AN43" s="4640">
        <v>137</v>
      </c>
      <c r="AO43" s="607">
        <v>0</v>
      </c>
      <c r="AP43" s="947">
        <f t="shared" si="201"/>
        <v>174.20000000000002</v>
      </c>
      <c r="AQ43" s="947">
        <f t="shared" si="202"/>
        <v>182.91000000000003</v>
      </c>
      <c r="AR43" s="947">
        <f t="shared" si="203"/>
        <v>188.39730000000003</v>
      </c>
      <c r="AS43" s="947">
        <f t="shared" si="204"/>
        <v>184.62935400000003</v>
      </c>
      <c r="AT43" s="948">
        <f t="shared" si="205"/>
        <v>177.24417984000002</v>
      </c>
      <c r="AU43" s="1523">
        <f t="shared" si="217"/>
        <v>0.3000000000000001</v>
      </c>
      <c r="AV43" s="1527">
        <f t="shared" si="218"/>
        <v>0.3000000000000001</v>
      </c>
      <c r="AW43" s="1528">
        <f t="shared" si="219"/>
        <v>0</v>
      </c>
      <c r="AX43" s="4422"/>
      <c r="AY43" s="4425" t="s">
        <v>1878</v>
      </c>
      <c r="AZ43" s="4431">
        <f t="shared" si="220"/>
        <v>68.513112080293283</v>
      </c>
      <c r="BA43" s="4431">
        <f t="shared" si="221"/>
        <v>89.067045704381272</v>
      </c>
      <c r="BB43" s="4431">
        <f t="shared" si="222"/>
        <v>93.52039798960034</v>
      </c>
      <c r="BC43" s="4431">
        <f t="shared" si="223"/>
        <v>96.326009929288347</v>
      </c>
      <c r="BD43" s="4431">
        <f t="shared" si="224"/>
        <v>94.399489730702584</v>
      </c>
      <c r="BE43" s="4431">
        <f t="shared" si="225"/>
        <v>90.623510141474469</v>
      </c>
      <c r="BF43" s="4431">
        <f t="shared" si="226"/>
        <v>0</v>
      </c>
      <c r="BG43" s="4431">
        <f t="shared" si="227"/>
        <v>0</v>
      </c>
      <c r="BH43" s="4431">
        <f t="shared" si="228"/>
        <v>0</v>
      </c>
      <c r="BI43" s="4431">
        <f t="shared" si="229"/>
        <v>0</v>
      </c>
      <c r="BJ43" s="4431">
        <f t="shared" si="230"/>
        <v>0</v>
      </c>
      <c r="BK43" s="4431">
        <f t="shared" si="231"/>
        <v>0</v>
      </c>
      <c r="BL43" s="4431">
        <f t="shared" si="232"/>
        <v>0</v>
      </c>
      <c r="BM43" s="4431">
        <f t="shared" si="233"/>
        <v>0</v>
      </c>
      <c r="BN43" s="4431">
        <f t="shared" si="234"/>
        <v>0</v>
      </c>
      <c r="BO43" s="4431">
        <f t="shared" si="235"/>
        <v>0</v>
      </c>
      <c r="BP43" s="4431">
        <f t="shared" si="236"/>
        <v>0</v>
      </c>
      <c r="BQ43" s="4431">
        <f t="shared" si="237"/>
        <v>0</v>
      </c>
      <c r="BR43" s="4431">
        <f t="shared" si="238"/>
        <v>0</v>
      </c>
      <c r="BS43" s="4431">
        <f t="shared" si="239"/>
        <v>0</v>
      </c>
      <c r="BT43" s="4431">
        <f t="shared" si="240"/>
        <v>0</v>
      </c>
      <c r="BU43" s="4431">
        <f t="shared" si="241"/>
        <v>0</v>
      </c>
      <c r="BV43" s="4431">
        <f t="shared" si="242"/>
        <v>0</v>
      </c>
      <c r="BW43" s="4431">
        <f t="shared" si="243"/>
        <v>0</v>
      </c>
      <c r="BX43" s="4431">
        <f t="shared" si="244"/>
        <v>0</v>
      </c>
      <c r="BY43" s="4431">
        <f t="shared" si="245"/>
        <v>0</v>
      </c>
      <c r="BZ43" s="4431">
        <f t="shared" si="246"/>
        <v>0</v>
      </c>
      <c r="CA43" s="4431">
        <f t="shared" si="247"/>
        <v>0</v>
      </c>
      <c r="CB43" s="4431">
        <f t="shared" si="248"/>
        <v>0</v>
      </c>
      <c r="CC43" s="4431">
        <f t="shared" si="249"/>
        <v>0</v>
      </c>
      <c r="CD43" s="4431">
        <f t="shared" si="250"/>
        <v>0</v>
      </c>
      <c r="CE43" s="4431">
        <f t="shared" si="251"/>
        <v>0</v>
      </c>
      <c r="CF43" s="4431">
        <f t="shared" si="252"/>
        <v>0</v>
      </c>
      <c r="CG43" s="4431">
        <f t="shared" si="253"/>
        <v>0</v>
      </c>
      <c r="CH43" s="4431">
        <f t="shared" si="254"/>
        <v>0</v>
      </c>
      <c r="CI43" s="4431">
        <f t="shared" si="255"/>
        <v>0</v>
      </c>
      <c r="CJ43" s="4431">
        <f t="shared" si="256"/>
        <v>68.513112080293283</v>
      </c>
      <c r="CK43" s="4431">
        <f t="shared" si="257"/>
        <v>70.046987723881941</v>
      </c>
      <c r="CL43" s="4431">
        <f t="shared" si="258"/>
        <v>0</v>
      </c>
      <c r="CM43" s="4431">
        <f t="shared" si="259"/>
        <v>89.067045704381272</v>
      </c>
      <c r="CN43" s="4431">
        <f t="shared" si="260"/>
        <v>93.52039798960034</v>
      </c>
      <c r="CO43" s="4431">
        <f t="shared" si="261"/>
        <v>96.326009929288347</v>
      </c>
      <c r="CP43" s="4431">
        <f t="shared" si="262"/>
        <v>94.399489730702584</v>
      </c>
      <c r="CQ43" s="4431">
        <f t="shared" si="263"/>
        <v>90.623510141474469</v>
      </c>
      <c r="CR43" s="4435"/>
      <c r="CS43" s="4435"/>
      <c r="CT43" s="4435"/>
      <c r="CU43" s="4435"/>
      <c r="CV43" s="4435"/>
      <c r="CW43" s="4435"/>
      <c r="CX43" s="4435"/>
      <c r="CY43" s="4435"/>
      <c r="CZ43" s="4435"/>
      <c r="DA43" s="4435"/>
      <c r="DB43" s="4435"/>
      <c r="DC43" s="4435"/>
      <c r="DD43" s="4435"/>
      <c r="DE43" s="4435"/>
      <c r="DF43" s="4435"/>
      <c r="DG43" s="4435"/>
      <c r="DH43" s="4435"/>
      <c r="DI43" s="4435"/>
      <c r="DJ43" s="4435"/>
      <c r="DK43" s="4435"/>
      <c r="DL43" s="4435"/>
      <c r="DM43" s="4435"/>
      <c r="DN43" s="4435"/>
      <c r="DO43" s="4435"/>
      <c r="DP43" s="4435"/>
      <c r="DQ43" s="4435"/>
      <c r="DR43" s="4435"/>
    </row>
    <row r="44" spans="1:122" s="636" customFormat="1" ht="24.75" thickBot="1">
      <c r="A44" s="320" t="s">
        <v>264</v>
      </c>
      <c r="B44" s="640" t="s">
        <v>1256</v>
      </c>
      <c r="C44" s="609"/>
      <c r="D44" s="610"/>
      <c r="E44" s="610"/>
      <c r="F44" s="610"/>
      <c r="G44" s="610"/>
      <c r="H44" s="611"/>
      <c r="I44" s="609"/>
      <c r="J44" s="610"/>
      <c r="K44" s="610"/>
      <c r="L44" s="610"/>
      <c r="M44" s="610"/>
      <c r="N44" s="611"/>
      <c r="O44" s="609"/>
      <c r="P44" s="610"/>
      <c r="Q44" s="610"/>
      <c r="R44" s="610"/>
      <c r="S44" s="610"/>
      <c r="T44" s="611"/>
      <c r="U44" s="609"/>
      <c r="V44" s="610"/>
      <c r="W44" s="610"/>
      <c r="X44" s="610"/>
      <c r="Y44" s="610"/>
      <c r="Z44" s="611"/>
      <c r="AA44" s="609"/>
      <c r="AB44" s="610"/>
      <c r="AC44" s="610"/>
      <c r="AD44" s="610"/>
      <c r="AE44" s="610"/>
      <c r="AF44" s="611"/>
      <c r="AG44" s="609"/>
      <c r="AH44" s="610"/>
      <c r="AI44" s="610"/>
      <c r="AJ44" s="610"/>
      <c r="AK44" s="610"/>
      <c r="AL44" s="611"/>
      <c r="AM44" s="1500">
        <f t="shared" si="200"/>
        <v>0</v>
      </c>
      <c r="AN44" s="4640">
        <v>0</v>
      </c>
      <c r="AO44" s="607"/>
      <c r="AP44" s="1501">
        <f t="shared" si="201"/>
        <v>0</v>
      </c>
      <c r="AQ44" s="1501">
        <f t="shared" si="202"/>
        <v>0</v>
      </c>
      <c r="AR44" s="1501">
        <f t="shared" si="203"/>
        <v>0</v>
      </c>
      <c r="AS44" s="1501">
        <f t="shared" si="204"/>
        <v>0</v>
      </c>
      <c r="AT44" s="1502">
        <f t="shared" si="205"/>
        <v>0</v>
      </c>
      <c r="AU44" s="1525">
        <f t="shared" si="217"/>
        <v>0</v>
      </c>
      <c r="AV44" s="1525">
        <f t="shared" si="218"/>
        <v>0</v>
      </c>
      <c r="AW44" s="1526">
        <f t="shared" si="219"/>
        <v>0</v>
      </c>
      <c r="AX44" s="4422"/>
      <c r="AY44" s="4425" t="s">
        <v>1878</v>
      </c>
      <c r="AZ44" s="4431">
        <f t="shared" si="220"/>
        <v>0</v>
      </c>
      <c r="BA44" s="4431">
        <f t="shared" si="221"/>
        <v>0</v>
      </c>
      <c r="BB44" s="4431">
        <f t="shared" si="222"/>
        <v>0</v>
      </c>
      <c r="BC44" s="4431">
        <f t="shared" si="223"/>
        <v>0</v>
      </c>
      <c r="BD44" s="4431">
        <f t="shared" si="224"/>
        <v>0</v>
      </c>
      <c r="BE44" s="4431">
        <f t="shared" si="225"/>
        <v>0</v>
      </c>
      <c r="BF44" s="4431">
        <f t="shared" si="226"/>
        <v>0</v>
      </c>
      <c r="BG44" s="4431">
        <f t="shared" si="227"/>
        <v>0</v>
      </c>
      <c r="BH44" s="4431">
        <f t="shared" si="228"/>
        <v>0</v>
      </c>
      <c r="BI44" s="4431">
        <f t="shared" si="229"/>
        <v>0</v>
      </c>
      <c r="BJ44" s="4431">
        <f t="shared" si="230"/>
        <v>0</v>
      </c>
      <c r="BK44" s="4431">
        <f t="shared" si="231"/>
        <v>0</v>
      </c>
      <c r="BL44" s="4431">
        <f t="shared" si="232"/>
        <v>0</v>
      </c>
      <c r="BM44" s="4431">
        <f t="shared" si="233"/>
        <v>0</v>
      </c>
      <c r="BN44" s="4431">
        <f t="shared" si="234"/>
        <v>0</v>
      </c>
      <c r="BO44" s="4431">
        <f t="shared" si="235"/>
        <v>0</v>
      </c>
      <c r="BP44" s="4431">
        <f t="shared" si="236"/>
        <v>0</v>
      </c>
      <c r="BQ44" s="4431">
        <f t="shared" si="237"/>
        <v>0</v>
      </c>
      <c r="BR44" s="4431">
        <f t="shared" si="238"/>
        <v>0</v>
      </c>
      <c r="BS44" s="4431">
        <f t="shared" si="239"/>
        <v>0</v>
      </c>
      <c r="BT44" s="4431">
        <f t="shared" si="240"/>
        <v>0</v>
      </c>
      <c r="BU44" s="4431">
        <f t="shared" si="241"/>
        <v>0</v>
      </c>
      <c r="BV44" s="4431">
        <f t="shared" si="242"/>
        <v>0</v>
      </c>
      <c r="BW44" s="4431">
        <f t="shared" si="243"/>
        <v>0</v>
      </c>
      <c r="BX44" s="4431">
        <f t="shared" si="244"/>
        <v>0</v>
      </c>
      <c r="BY44" s="4431">
        <f t="shared" si="245"/>
        <v>0</v>
      </c>
      <c r="BZ44" s="4431">
        <f t="shared" si="246"/>
        <v>0</v>
      </c>
      <c r="CA44" s="4431">
        <f t="shared" si="247"/>
        <v>0</v>
      </c>
      <c r="CB44" s="4431">
        <f t="shared" si="248"/>
        <v>0</v>
      </c>
      <c r="CC44" s="4431">
        <f t="shared" si="249"/>
        <v>0</v>
      </c>
      <c r="CD44" s="4431">
        <f t="shared" si="250"/>
        <v>0</v>
      </c>
      <c r="CE44" s="4431">
        <f t="shared" si="251"/>
        <v>0</v>
      </c>
      <c r="CF44" s="4431">
        <f t="shared" si="252"/>
        <v>0</v>
      </c>
      <c r="CG44" s="4431">
        <f t="shared" si="253"/>
        <v>0</v>
      </c>
      <c r="CH44" s="4431">
        <f t="shared" si="254"/>
        <v>0</v>
      </c>
      <c r="CI44" s="4431">
        <f t="shared" si="255"/>
        <v>0</v>
      </c>
      <c r="CJ44" s="4431">
        <f t="shared" si="256"/>
        <v>0</v>
      </c>
      <c r="CK44" s="4431">
        <f t="shared" si="257"/>
        <v>0</v>
      </c>
      <c r="CL44" s="4431">
        <f t="shared" si="258"/>
        <v>0</v>
      </c>
      <c r="CM44" s="4431">
        <f t="shared" si="259"/>
        <v>0</v>
      </c>
      <c r="CN44" s="4431">
        <f t="shared" si="260"/>
        <v>0</v>
      </c>
      <c r="CO44" s="4431">
        <f t="shared" si="261"/>
        <v>0</v>
      </c>
      <c r="CP44" s="4431">
        <f t="shared" si="262"/>
        <v>0</v>
      </c>
      <c r="CQ44" s="4431">
        <f t="shared" si="263"/>
        <v>0</v>
      </c>
      <c r="CR44" s="4435"/>
      <c r="CS44" s="4435"/>
      <c r="CT44" s="4435"/>
      <c r="CU44" s="4435"/>
      <c r="CV44" s="4435"/>
      <c r="CW44" s="4435"/>
      <c r="CX44" s="4435"/>
      <c r="CY44" s="4435"/>
      <c r="CZ44" s="4435"/>
      <c r="DA44" s="4435"/>
      <c r="DB44" s="4435"/>
      <c r="DC44" s="4435"/>
      <c r="DD44" s="4435"/>
      <c r="DE44" s="4435"/>
      <c r="DF44" s="4435"/>
      <c r="DG44" s="4435"/>
      <c r="DH44" s="4435"/>
      <c r="DI44" s="4435"/>
      <c r="DJ44" s="4435"/>
      <c r="DK44" s="4435"/>
      <c r="DL44" s="4435"/>
      <c r="DM44" s="4435"/>
      <c r="DN44" s="4435"/>
      <c r="DO44" s="4435"/>
      <c r="DP44" s="4435"/>
      <c r="DQ44" s="4435"/>
      <c r="DR44" s="4435"/>
    </row>
    <row r="45" spans="1:122" s="162" customFormat="1" ht="13.5" thickBot="1">
      <c r="A45" s="318"/>
      <c r="B45" s="319"/>
      <c r="C45" s="1513"/>
      <c r="D45" s="1514"/>
      <c r="E45" s="1514"/>
      <c r="F45" s="1514"/>
      <c r="G45" s="1514"/>
      <c r="H45" s="1515"/>
      <c r="I45" s="1513"/>
      <c r="J45" s="1514"/>
      <c r="K45" s="1514"/>
      <c r="L45" s="1514"/>
      <c r="M45" s="1514"/>
      <c r="N45" s="1515"/>
      <c r="O45" s="1513"/>
      <c r="P45" s="1514"/>
      <c r="Q45" s="1514"/>
      <c r="R45" s="1514"/>
      <c r="S45" s="1514"/>
      <c r="T45" s="1515"/>
      <c r="U45" s="1513"/>
      <c r="V45" s="1514"/>
      <c r="W45" s="1514"/>
      <c r="X45" s="1514"/>
      <c r="Y45" s="1514"/>
      <c r="Z45" s="1515"/>
      <c r="AA45" s="1513"/>
      <c r="AB45" s="1514"/>
      <c r="AC45" s="1514"/>
      <c r="AD45" s="1514"/>
      <c r="AE45" s="1514"/>
      <c r="AF45" s="1515"/>
      <c r="AG45" s="1513"/>
      <c r="AH45" s="1514"/>
      <c r="AI45" s="1514"/>
      <c r="AJ45" s="1514"/>
      <c r="AK45" s="1514"/>
      <c r="AL45" s="1515"/>
      <c r="AM45" s="1513"/>
      <c r="AN45" s="1514"/>
      <c r="AO45" s="1514"/>
      <c r="AP45" s="1514"/>
      <c r="AQ45" s="1514"/>
      <c r="AR45" s="1514"/>
      <c r="AS45" s="1514"/>
      <c r="AT45" s="1515"/>
      <c r="AU45" s="1516"/>
      <c r="AV45" s="1516"/>
      <c r="AW45" s="1517"/>
      <c r="AX45" s="4422"/>
      <c r="AY45" s="1"/>
    </row>
    <row r="46" spans="1:122" s="636" customFormat="1" ht="13.5" thickBot="1">
      <c r="A46" s="930">
        <v>4</v>
      </c>
      <c r="B46" s="931" t="s">
        <v>1258</v>
      </c>
      <c r="C46" s="606">
        <v>1120</v>
      </c>
      <c r="D46" s="607">
        <v>1340</v>
      </c>
      <c r="E46" s="607">
        <v>1340</v>
      </c>
      <c r="F46" s="607">
        <v>1400</v>
      </c>
      <c r="G46" s="607">
        <v>1363</v>
      </c>
      <c r="H46" s="607">
        <v>1363</v>
      </c>
      <c r="I46" s="606">
        <v>46</v>
      </c>
      <c r="J46" s="607">
        <v>44.547368421052624</v>
      </c>
      <c r="K46" s="607">
        <v>45</v>
      </c>
      <c r="L46" s="607">
        <v>44</v>
      </c>
      <c r="M46" s="607">
        <v>44</v>
      </c>
      <c r="N46" s="607">
        <v>44</v>
      </c>
      <c r="O46" s="606">
        <v>90</v>
      </c>
      <c r="P46" s="607">
        <v>107</v>
      </c>
      <c r="Q46" s="607">
        <v>107</v>
      </c>
      <c r="R46" s="607">
        <v>107</v>
      </c>
      <c r="S46" s="607">
        <v>133</v>
      </c>
      <c r="T46" s="607">
        <v>133</v>
      </c>
      <c r="U46" s="606"/>
      <c r="V46" s="607"/>
      <c r="W46" s="607"/>
      <c r="X46" s="607"/>
      <c r="Y46" s="607"/>
      <c r="Z46" s="608"/>
      <c r="AA46" s="606"/>
      <c r="AB46" s="607"/>
      <c r="AC46" s="607"/>
      <c r="AD46" s="607"/>
      <c r="AE46" s="607"/>
      <c r="AF46" s="608"/>
      <c r="AG46" s="606">
        <v>14</v>
      </c>
      <c r="AH46" s="607">
        <v>13</v>
      </c>
      <c r="AI46" s="607">
        <v>13</v>
      </c>
      <c r="AJ46" s="607">
        <v>13</v>
      </c>
      <c r="AK46" s="607">
        <v>13</v>
      </c>
      <c r="AL46" s="608">
        <v>13</v>
      </c>
      <c r="AM46" s="950">
        <f t="shared" si="200"/>
        <v>1256</v>
      </c>
      <c r="AN46" s="4654">
        <v>1550</v>
      </c>
      <c r="AO46" s="4654">
        <v>1489</v>
      </c>
      <c r="AP46" s="951">
        <f t="shared" si="201"/>
        <v>1491.5473684210526</v>
      </c>
      <c r="AQ46" s="951">
        <f t="shared" si="202"/>
        <v>1492</v>
      </c>
      <c r="AR46" s="951">
        <f t="shared" si="203"/>
        <v>1551</v>
      </c>
      <c r="AS46" s="951">
        <f t="shared" si="204"/>
        <v>1540</v>
      </c>
      <c r="AT46" s="952">
        <f t="shared" si="205"/>
        <v>1540</v>
      </c>
      <c r="AU46" s="953">
        <f t="shared" ref="AU46:AU48" si="264">IFERROR((AP46-AM46)/AM46,0)</f>
        <v>0.18753771371102915</v>
      </c>
      <c r="AV46" s="953">
        <f t="shared" ref="AV46:AV48" si="265">IFERROR(((D46+V46+AB46)-(+C46+U46+AA46))/(C46+U46+AA46),0)</f>
        <v>0.19642857142857142</v>
      </c>
      <c r="AW46" s="954">
        <f t="shared" ref="AW46:AW48" si="266">IFERROR(((J46+P46)-(I46+O46))/(I46+O46),0)</f>
        <v>0.11431888544891636</v>
      </c>
      <c r="AX46" s="4422"/>
      <c r="AY46" s="4425" t="s">
        <v>1878</v>
      </c>
      <c r="AZ46" s="4431">
        <f t="shared" ref="AZ46:AZ48" si="267">IFERROR(C46/$C$1,0)</f>
        <v>572.64690693976468</v>
      </c>
      <c r="BA46" s="4431">
        <f t="shared" ref="BA46:BA48" si="268">IFERROR(D46/$C$1,0)</f>
        <v>685.13112080293274</v>
      </c>
      <c r="BB46" s="4431">
        <f t="shared" ref="BB46:BB48" si="269">IFERROR(E46/$C$1,0)</f>
        <v>685.13112080293274</v>
      </c>
      <c r="BC46" s="4431">
        <f t="shared" ref="BC46:BC48" si="270">IFERROR(F46/$C$1,0)</f>
        <v>715.8086336747059</v>
      </c>
      <c r="BD46" s="4431">
        <f t="shared" ref="BD46:BD48" si="271">IFERROR(G46/$C$1,0)</f>
        <v>696.89083407044586</v>
      </c>
      <c r="BE46" s="4431">
        <f t="shared" ref="BE46:BE48" si="272">IFERROR(H46/$C$1,0)</f>
        <v>696.89083407044586</v>
      </c>
      <c r="BF46" s="4431">
        <f t="shared" ref="BF46:BF48" si="273">IFERROR(I46/$C$1,0)</f>
        <v>23.519426535026049</v>
      </c>
      <c r="BG46" s="4431">
        <f t="shared" ref="BG46:BG48" si="274">IFERROR(J46/$C$1,0)</f>
        <v>22.776707802341015</v>
      </c>
      <c r="BH46" s="4431">
        <f t="shared" ref="BH46:BH48" si="275">IFERROR(K46/$C$1,0)</f>
        <v>23.008134653829831</v>
      </c>
      <c r="BI46" s="4431">
        <f t="shared" ref="BI46:BI48" si="276">IFERROR(L46/$C$1,0)</f>
        <v>22.496842772633613</v>
      </c>
      <c r="BJ46" s="4431">
        <f t="shared" ref="BJ46:BJ48" si="277">IFERROR(M46/$C$1,0)</f>
        <v>22.496842772633613</v>
      </c>
      <c r="BK46" s="4431">
        <f t="shared" ref="BK46:BK48" si="278">IFERROR(N46/$C$1,0)</f>
        <v>22.496842772633613</v>
      </c>
      <c r="BL46" s="4431">
        <f t="shared" ref="BL46:BL48" si="279">IFERROR(O46/$C$1,0)</f>
        <v>46.016269307659663</v>
      </c>
      <c r="BM46" s="4431">
        <f t="shared" ref="BM46:BM48" si="280">IFERROR(P46/$C$1,0)</f>
        <v>54.708231287995382</v>
      </c>
      <c r="BN46" s="4431">
        <f t="shared" ref="BN46:BN48" si="281">IFERROR(Q46/$C$1,0)</f>
        <v>54.708231287995382</v>
      </c>
      <c r="BO46" s="4431">
        <f t="shared" ref="BO46:BO48" si="282">IFERROR(R46/$C$1,0)</f>
        <v>54.708231287995382</v>
      </c>
      <c r="BP46" s="4431">
        <f t="shared" ref="BP46:BP48" si="283">IFERROR(S46/$C$1,0)</f>
        <v>68.001820199097054</v>
      </c>
      <c r="BQ46" s="4431">
        <f t="shared" ref="BQ46:BQ48" si="284">IFERROR(T46/$C$1,0)</f>
        <v>68.001820199097054</v>
      </c>
      <c r="BR46" s="4431">
        <f t="shared" ref="BR46:BR48" si="285">IFERROR(U46/$C$1,0)</f>
        <v>0</v>
      </c>
      <c r="BS46" s="4431">
        <f t="shared" ref="BS46:BS48" si="286">IFERROR(V46/$C$1,0)</f>
        <v>0</v>
      </c>
      <c r="BT46" s="4431">
        <f t="shared" ref="BT46:BT48" si="287">IFERROR(W46/$C$1,0)</f>
        <v>0</v>
      </c>
      <c r="BU46" s="4431">
        <f t="shared" ref="BU46:BU48" si="288">IFERROR(X46/$C$1,0)</f>
        <v>0</v>
      </c>
      <c r="BV46" s="4431">
        <f t="shared" ref="BV46:BV48" si="289">IFERROR(Y46/$C$1,0)</f>
        <v>0</v>
      </c>
      <c r="BW46" s="4431">
        <f t="shared" ref="BW46:BW48" si="290">IFERROR(Z46/$C$1,0)</f>
        <v>0</v>
      </c>
      <c r="BX46" s="4431">
        <f t="shared" ref="BX46:BX48" si="291">IFERROR(AA46/$C$1,0)</f>
        <v>0</v>
      </c>
      <c r="BY46" s="4431">
        <f t="shared" ref="BY46:BY48" si="292">IFERROR(AB46/$C$1,0)</f>
        <v>0</v>
      </c>
      <c r="BZ46" s="4431">
        <f t="shared" ref="BZ46:BZ48" si="293">IFERROR(AC46/$C$1,0)</f>
        <v>0</v>
      </c>
      <c r="CA46" s="4431">
        <f t="shared" ref="CA46:CA48" si="294">IFERROR(AD46/$C$1,0)</f>
        <v>0</v>
      </c>
      <c r="CB46" s="4431">
        <f t="shared" ref="CB46:CB48" si="295">IFERROR(AE46/$C$1,0)</f>
        <v>0</v>
      </c>
      <c r="CC46" s="4431">
        <f t="shared" ref="CC46:CC48" si="296">IFERROR(AF46/$C$1,0)</f>
        <v>0</v>
      </c>
      <c r="CD46" s="4431">
        <f t="shared" ref="CD46:CD48" si="297">IFERROR(AG46/$C$1,0)</f>
        <v>7.1580863367470586</v>
      </c>
      <c r="CE46" s="4431">
        <f t="shared" ref="CE46:CE48" si="298">IFERROR(AH46/$C$1,0)</f>
        <v>6.6467944555508405</v>
      </c>
      <c r="CF46" s="4431">
        <f t="shared" ref="CF46:CF48" si="299">IFERROR(AI46/$C$1,0)</f>
        <v>6.6467944555508405</v>
      </c>
      <c r="CG46" s="4431">
        <f t="shared" ref="CG46:CG48" si="300">IFERROR(AJ46/$C$1,0)</f>
        <v>6.6467944555508405</v>
      </c>
      <c r="CH46" s="4431">
        <f t="shared" ref="CH46:CH48" si="301">IFERROR(AK46/$C$1,0)</f>
        <v>6.6467944555508405</v>
      </c>
      <c r="CI46" s="4431">
        <f t="shared" ref="CI46:CI48" si="302">IFERROR(AL46/$C$1,0)</f>
        <v>6.6467944555508405</v>
      </c>
      <c r="CJ46" s="4431">
        <f t="shared" ref="CJ46:CJ48" si="303">IFERROR(AM46/$C$1,0)</f>
        <v>642.18260278245043</v>
      </c>
      <c r="CK46" s="4431">
        <f t="shared" ref="CK46:CK48" si="304">IFERROR(AN46/$C$1,0)</f>
        <v>792.50241585413869</v>
      </c>
      <c r="CL46" s="4431">
        <f t="shared" ref="CL46:CL48" si="305">IFERROR(AO46/$C$1,0)</f>
        <v>761.31361110116939</v>
      </c>
      <c r="CM46" s="4431">
        <f t="shared" ref="CM46:CM48" si="306">IFERROR(AP46/$C$1,0)</f>
        <v>762.61605989326915</v>
      </c>
      <c r="CN46" s="4431">
        <f t="shared" ref="CN46:CN48" si="307">IFERROR(AQ46/$C$1,0)</f>
        <v>762.84748674475804</v>
      </c>
      <c r="CO46" s="4431">
        <f t="shared" ref="CO46:CO48" si="308">IFERROR(AR46/$C$1,0)</f>
        <v>793.01370773533483</v>
      </c>
      <c r="CP46" s="4431">
        <f t="shared" ref="CP46:CP48" si="309">IFERROR(AS46/$C$1,0)</f>
        <v>787.38949704217646</v>
      </c>
      <c r="CQ46" s="4431">
        <f t="shared" ref="CQ46:CQ48" si="310">IFERROR(AT46/$C$1,0)</f>
        <v>787.38949704217646</v>
      </c>
      <c r="CR46" s="4435"/>
      <c r="CS46" s="4435"/>
      <c r="CT46" s="4435"/>
      <c r="CU46" s="4435"/>
      <c r="CV46" s="4435"/>
      <c r="CW46" s="4435"/>
      <c r="CX46" s="4435"/>
      <c r="CY46" s="4435"/>
      <c r="CZ46" s="4435"/>
      <c r="DA46" s="4435"/>
      <c r="DB46" s="4435"/>
      <c r="DC46" s="4435"/>
      <c r="DD46" s="4435"/>
      <c r="DE46" s="4435"/>
      <c r="DF46" s="4435"/>
      <c r="DG46" s="4435"/>
      <c r="DH46" s="4435"/>
      <c r="DI46" s="4435"/>
      <c r="DJ46" s="4435"/>
      <c r="DK46" s="4435"/>
      <c r="DL46" s="4435"/>
      <c r="DM46" s="4435"/>
      <c r="DN46" s="4435"/>
      <c r="DO46" s="4435"/>
      <c r="DP46" s="4435"/>
      <c r="DQ46" s="4435"/>
      <c r="DR46" s="4435"/>
    </row>
    <row r="47" spans="1:122" s="709" customFormat="1" ht="24.75" thickBot="1">
      <c r="A47" s="51" t="s">
        <v>566</v>
      </c>
      <c r="B47" s="639" t="s">
        <v>1257</v>
      </c>
      <c r="C47" s="1495">
        <f>'8. Ремонтна програма'!J37</f>
        <v>66.573330000000283</v>
      </c>
      <c r="D47" s="1496">
        <f>'8. Ремонтна програма'!K37</f>
        <v>86.545328999999498</v>
      </c>
      <c r="E47" s="1496">
        <f>'8. Ремонтна програма'!L37</f>
        <v>90.872595449998983</v>
      </c>
      <c r="F47" s="1496">
        <f>'8. Ремонтна програма'!M37</f>
        <v>93.598773313499635</v>
      </c>
      <c r="G47" s="1496">
        <f>'8. Ремонтна програма'!N37</f>
        <v>-25.779211120846071</v>
      </c>
      <c r="H47" s="1494">
        <f>'8. Ремонтна програма'!O37</f>
        <v>-24.748042676011551</v>
      </c>
      <c r="I47" s="1495">
        <f>'8. Ремонтна програма'!J66</f>
        <v>14.033649999999966</v>
      </c>
      <c r="J47" s="1496">
        <f>'8. Ремонтна програма'!K66</f>
        <v>18.24374499999999</v>
      </c>
      <c r="K47" s="1496">
        <f>'8. Ремонтна програма'!L66</f>
        <v>19.155932250000205</v>
      </c>
      <c r="L47" s="1496">
        <f>'8. Ремонтна програма'!M66</f>
        <v>19.73061021749993</v>
      </c>
      <c r="M47" s="1496">
        <f>'8. Ремонтна програма'!N66</f>
        <v>19.335998013150061</v>
      </c>
      <c r="N47" s="1494">
        <f>'8. Ремонтна програма'!O66</f>
        <v>18.562558092624158</v>
      </c>
      <c r="O47" s="1495">
        <f>'8. Ремонтна програма'!J92</f>
        <v>-1.7562199999999919</v>
      </c>
      <c r="P47" s="1496">
        <f>'8. Ремонтна програма'!K92</f>
        <v>-0.9830859999999717</v>
      </c>
      <c r="Q47" s="1496">
        <f>'8. Ремонтна програма'!L92</f>
        <v>-1.0322402999999696</v>
      </c>
      <c r="R47" s="1496">
        <f>'8. Ремонтна програма'!M92</f>
        <v>-1.0632075089999944</v>
      </c>
      <c r="S47" s="1496">
        <f>'8. Ремонтна програма'!N92</f>
        <v>-1.0419433588199496</v>
      </c>
      <c r="T47" s="1494">
        <f>'8. Ремонтна програма'!O92</f>
        <v>-1.0002656244671897</v>
      </c>
      <c r="U47" s="1495">
        <f>'8. Ремонтна програма'!J123</f>
        <v>0</v>
      </c>
      <c r="V47" s="1496">
        <f>'8. Ремонтна програма'!K123</f>
        <v>0</v>
      </c>
      <c r="W47" s="1496">
        <f>'8. Ремонтна програма'!L123</f>
        <v>0</v>
      </c>
      <c r="X47" s="1496">
        <f>'8. Ремонтна програма'!M123</f>
        <v>0</v>
      </c>
      <c r="Y47" s="1496">
        <f>'8. Ремонтна програма'!N123</f>
        <v>0</v>
      </c>
      <c r="Z47" s="1494">
        <f>'8. Ремонтна програма'!O123</f>
        <v>0</v>
      </c>
      <c r="AA47" s="1495">
        <f>'8. Ремонтна програма'!J154</f>
        <v>0</v>
      </c>
      <c r="AB47" s="1496">
        <f>'8. Ремонтна програма'!K154</f>
        <v>0</v>
      </c>
      <c r="AC47" s="1496">
        <f>'8. Ремонтна програма'!L154</f>
        <v>0</v>
      </c>
      <c r="AD47" s="1496">
        <f>'8. Ремонтна програма'!M154</f>
        <v>0</v>
      </c>
      <c r="AE47" s="1496">
        <f>'8. Ремонтна програма'!N154</f>
        <v>0</v>
      </c>
      <c r="AF47" s="1494">
        <f>'8. Ремонтна програма'!O154</f>
        <v>0</v>
      </c>
      <c r="AG47" s="606">
        <v>0</v>
      </c>
      <c r="AH47" s="607">
        <v>0</v>
      </c>
      <c r="AI47" s="607">
        <v>0</v>
      </c>
      <c r="AJ47" s="607">
        <v>0</v>
      </c>
      <c r="AK47" s="607">
        <v>0</v>
      </c>
      <c r="AL47" s="607">
        <v>0</v>
      </c>
      <c r="AM47" s="946">
        <f t="shared" si="200"/>
        <v>78.850760000000264</v>
      </c>
      <c r="AN47" s="4640">
        <v>110</v>
      </c>
      <c r="AO47" s="607">
        <v>0</v>
      </c>
      <c r="AP47" s="947">
        <f t="shared" si="201"/>
        <v>103.80598799999952</v>
      </c>
      <c r="AQ47" s="947">
        <f t="shared" si="202"/>
        <v>108.99628739999922</v>
      </c>
      <c r="AR47" s="947">
        <f t="shared" si="203"/>
        <v>112.26617602199957</v>
      </c>
      <c r="AS47" s="947">
        <f t="shared" si="204"/>
        <v>-7.48515646651596</v>
      </c>
      <c r="AT47" s="948">
        <f t="shared" si="205"/>
        <v>-7.1857502078545821</v>
      </c>
      <c r="AU47" s="1527">
        <f t="shared" si="264"/>
        <v>0.31648684172478703</v>
      </c>
      <c r="AV47" s="1527">
        <f t="shared" si="265"/>
        <v>0.29999999999998694</v>
      </c>
      <c r="AW47" s="1528">
        <f t="shared" si="266"/>
        <v>0.40588535222762862</v>
      </c>
      <c r="AX47" s="4422"/>
      <c r="AY47" s="4425" t="s">
        <v>1878</v>
      </c>
      <c r="AZ47" s="4431">
        <f t="shared" si="267"/>
        <v>34.038403133196795</v>
      </c>
      <c r="BA47" s="4431">
        <f t="shared" si="268"/>
        <v>44.249924073155384</v>
      </c>
      <c r="BB47" s="4431">
        <f t="shared" si="269"/>
        <v>46.462420276812907</v>
      </c>
      <c r="BC47" s="4431">
        <f t="shared" si="270"/>
        <v>47.856292885117639</v>
      </c>
      <c r="BD47" s="4431">
        <f t="shared" si="271"/>
        <v>-13.180701349731864</v>
      </c>
      <c r="BE47" s="4431">
        <f t="shared" si="272"/>
        <v>-12.653473295742243</v>
      </c>
      <c r="BF47" s="4431">
        <f t="shared" si="273"/>
        <v>7.1752913085492942</v>
      </c>
      <c r="BG47" s="4431">
        <f t="shared" si="274"/>
        <v>9.3278787011141002</v>
      </c>
      <c r="BH47" s="4431">
        <f t="shared" si="275"/>
        <v>9.7942726361699162</v>
      </c>
      <c r="BI47" s="4431">
        <f t="shared" si="276"/>
        <v>10.088100815254869</v>
      </c>
      <c r="BJ47" s="4431">
        <f t="shared" si="277"/>
        <v>9.8863387989498381</v>
      </c>
      <c r="BK47" s="4431">
        <f t="shared" si="278"/>
        <v>9.4908852469918958</v>
      </c>
      <c r="BL47" s="4431">
        <f t="shared" si="279"/>
        <v>-0.89794102759441874</v>
      </c>
      <c r="BM47" s="4431">
        <f t="shared" si="280"/>
        <v>-0.50264389031765122</v>
      </c>
      <c r="BN47" s="4431">
        <f t="shared" si="281"/>
        <v>-0.52777608483353333</v>
      </c>
      <c r="BO47" s="4431">
        <f t="shared" si="282"/>
        <v>-0.54360936737855259</v>
      </c>
      <c r="BP47" s="4431">
        <f t="shared" si="283"/>
        <v>-0.53273718003095849</v>
      </c>
      <c r="BQ47" s="4431">
        <f t="shared" si="284"/>
        <v>-0.51142769282973966</v>
      </c>
      <c r="BR47" s="4431">
        <f t="shared" si="285"/>
        <v>0</v>
      </c>
      <c r="BS47" s="4431">
        <f t="shared" si="286"/>
        <v>0</v>
      </c>
      <c r="BT47" s="4431">
        <f t="shared" si="287"/>
        <v>0</v>
      </c>
      <c r="BU47" s="4431">
        <f t="shared" si="288"/>
        <v>0</v>
      </c>
      <c r="BV47" s="4431">
        <f t="shared" si="289"/>
        <v>0</v>
      </c>
      <c r="BW47" s="4431">
        <f t="shared" si="290"/>
        <v>0</v>
      </c>
      <c r="BX47" s="4431">
        <f t="shared" si="291"/>
        <v>0</v>
      </c>
      <c r="BY47" s="4431">
        <f t="shared" si="292"/>
        <v>0</v>
      </c>
      <c r="BZ47" s="4431">
        <f t="shared" si="293"/>
        <v>0</v>
      </c>
      <c r="CA47" s="4431">
        <f t="shared" si="294"/>
        <v>0</v>
      </c>
      <c r="CB47" s="4431">
        <f t="shared" si="295"/>
        <v>0</v>
      </c>
      <c r="CC47" s="4431">
        <f t="shared" si="296"/>
        <v>0</v>
      </c>
      <c r="CD47" s="4431">
        <f t="shared" si="297"/>
        <v>0</v>
      </c>
      <c r="CE47" s="4431">
        <f t="shared" si="298"/>
        <v>0</v>
      </c>
      <c r="CF47" s="4431">
        <f t="shared" si="299"/>
        <v>0</v>
      </c>
      <c r="CG47" s="4431">
        <f t="shared" si="300"/>
        <v>0</v>
      </c>
      <c r="CH47" s="4431">
        <f t="shared" si="301"/>
        <v>0</v>
      </c>
      <c r="CI47" s="4431">
        <f t="shared" si="302"/>
        <v>0</v>
      </c>
      <c r="CJ47" s="4431">
        <f t="shared" si="303"/>
        <v>40.315753414151672</v>
      </c>
      <c r="CK47" s="4431">
        <f t="shared" si="304"/>
        <v>56.242106931584033</v>
      </c>
      <c r="CL47" s="4431">
        <f t="shared" si="305"/>
        <v>0</v>
      </c>
      <c r="CM47" s="4431">
        <f t="shared" si="306"/>
        <v>53.075158883951836</v>
      </c>
      <c r="CN47" s="4431">
        <f t="shared" si="307"/>
        <v>55.728916828149288</v>
      </c>
      <c r="CO47" s="4431">
        <f t="shared" si="308"/>
        <v>57.400784332993958</v>
      </c>
      <c r="CP47" s="4431">
        <f t="shared" si="309"/>
        <v>-3.8270997308129848</v>
      </c>
      <c r="CQ47" s="4431">
        <f t="shared" si="310"/>
        <v>-3.6740157415800874</v>
      </c>
      <c r="CR47" s="4435"/>
      <c r="CS47" s="4435"/>
      <c r="CT47" s="4435"/>
      <c r="CU47" s="4435"/>
      <c r="CV47" s="4435"/>
      <c r="CW47" s="4435"/>
      <c r="CX47" s="4435"/>
      <c r="CY47" s="4435"/>
      <c r="CZ47" s="4435"/>
      <c r="DA47" s="4435"/>
      <c r="DB47" s="4435"/>
      <c r="DC47" s="4435"/>
      <c r="DD47" s="4435"/>
      <c r="DE47" s="4435"/>
      <c r="DF47" s="4435"/>
      <c r="DG47" s="4435"/>
      <c r="DH47" s="4435"/>
      <c r="DI47" s="4435"/>
      <c r="DJ47" s="4435"/>
      <c r="DK47" s="4435"/>
      <c r="DL47" s="4435"/>
      <c r="DM47" s="4435"/>
      <c r="DN47" s="4435"/>
      <c r="DO47" s="4435"/>
      <c r="DP47" s="4435"/>
      <c r="DQ47" s="4435"/>
      <c r="DR47" s="4435"/>
    </row>
    <row r="48" spans="1:122" s="636" customFormat="1" ht="13.5" thickBot="1">
      <c r="A48" s="320" t="s">
        <v>567</v>
      </c>
      <c r="B48" s="640" t="s">
        <v>1259</v>
      </c>
      <c r="C48" s="295"/>
      <c r="D48" s="296"/>
      <c r="E48" s="296"/>
      <c r="F48" s="296"/>
      <c r="G48" s="296"/>
      <c r="H48" s="297"/>
      <c r="I48" s="295"/>
      <c r="J48" s="296"/>
      <c r="K48" s="296"/>
      <c r="L48" s="296"/>
      <c r="M48" s="296"/>
      <c r="N48" s="297"/>
      <c r="O48" s="295"/>
      <c r="P48" s="296"/>
      <c r="Q48" s="296"/>
      <c r="R48" s="296"/>
      <c r="S48" s="296"/>
      <c r="T48" s="297"/>
      <c r="U48" s="295"/>
      <c r="V48" s="296"/>
      <c r="W48" s="296"/>
      <c r="X48" s="296"/>
      <c r="Y48" s="296"/>
      <c r="Z48" s="297"/>
      <c r="AA48" s="295"/>
      <c r="AB48" s="296"/>
      <c r="AC48" s="296"/>
      <c r="AD48" s="296"/>
      <c r="AE48" s="296"/>
      <c r="AF48" s="297"/>
      <c r="AG48" s="295"/>
      <c r="AH48" s="296"/>
      <c r="AI48" s="296"/>
      <c r="AJ48" s="296"/>
      <c r="AK48" s="296"/>
      <c r="AL48" s="297"/>
      <c r="AM48" s="1500">
        <f t="shared" si="200"/>
        <v>0</v>
      </c>
      <c r="AN48" s="4640">
        <v>0</v>
      </c>
      <c r="AO48" s="607"/>
      <c r="AP48" s="1501">
        <f t="shared" si="201"/>
        <v>0</v>
      </c>
      <c r="AQ48" s="1501">
        <f t="shared" si="202"/>
        <v>0</v>
      </c>
      <c r="AR48" s="1501">
        <f t="shared" si="203"/>
        <v>0</v>
      </c>
      <c r="AS48" s="1501">
        <f t="shared" si="204"/>
        <v>0</v>
      </c>
      <c r="AT48" s="1502">
        <f t="shared" si="205"/>
        <v>0</v>
      </c>
      <c r="AU48" s="1525">
        <f t="shared" si="264"/>
        <v>0</v>
      </c>
      <c r="AV48" s="1525">
        <f t="shared" si="265"/>
        <v>0</v>
      </c>
      <c r="AW48" s="1526">
        <f t="shared" si="266"/>
        <v>0</v>
      </c>
      <c r="AX48" s="4422"/>
      <c r="AY48" s="4425" t="s">
        <v>1878</v>
      </c>
      <c r="AZ48" s="4431">
        <f t="shared" si="267"/>
        <v>0</v>
      </c>
      <c r="BA48" s="4431">
        <f t="shared" si="268"/>
        <v>0</v>
      </c>
      <c r="BB48" s="4431">
        <f t="shared" si="269"/>
        <v>0</v>
      </c>
      <c r="BC48" s="4431">
        <f t="shared" si="270"/>
        <v>0</v>
      </c>
      <c r="BD48" s="4431">
        <f t="shared" si="271"/>
        <v>0</v>
      </c>
      <c r="BE48" s="4431">
        <f t="shared" si="272"/>
        <v>0</v>
      </c>
      <c r="BF48" s="4431">
        <f t="shared" si="273"/>
        <v>0</v>
      </c>
      <c r="BG48" s="4431">
        <f t="shared" si="274"/>
        <v>0</v>
      </c>
      <c r="BH48" s="4431">
        <f t="shared" si="275"/>
        <v>0</v>
      </c>
      <c r="BI48" s="4431">
        <f t="shared" si="276"/>
        <v>0</v>
      </c>
      <c r="BJ48" s="4431">
        <f t="shared" si="277"/>
        <v>0</v>
      </c>
      <c r="BK48" s="4431">
        <f t="shared" si="278"/>
        <v>0</v>
      </c>
      <c r="BL48" s="4431">
        <f t="shared" si="279"/>
        <v>0</v>
      </c>
      <c r="BM48" s="4431">
        <f t="shared" si="280"/>
        <v>0</v>
      </c>
      <c r="BN48" s="4431">
        <f t="shared" si="281"/>
        <v>0</v>
      </c>
      <c r="BO48" s="4431">
        <f t="shared" si="282"/>
        <v>0</v>
      </c>
      <c r="BP48" s="4431">
        <f t="shared" si="283"/>
        <v>0</v>
      </c>
      <c r="BQ48" s="4431">
        <f t="shared" si="284"/>
        <v>0</v>
      </c>
      <c r="BR48" s="4431">
        <f t="shared" si="285"/>
        <v>0</v>
      </c>
      <c r="BS48" s="4431">
        <f t="shared" si="286"/>
        <v>0</v>
      </c>
      <c r="BT48" s="4431">
        <f t="shared" si="287"/>
        <v>0</v>
      </c>
      <c r="BU48" s="4431">
        <f t="shared" si="288"/>
        <v>0</v>
      </c>
      <c r="BV48" s="4431">
        <f t="shared" si="289"/>
        <v>0</v>
      </c>
      <c r="BW48" s="4431">
        <f t="shared" si="290"/>
        <v>0</v>
      </c>
      <c r="BX48" s="4431">
        <f t="shared" si="291"/>
        <v>0</v>
      </c>
      <c r="BY48" s="4431">
        <f t="shared" si="292"/>
        <v>0</v>
      </c>
      <c r="BZ48" s="4431">
        <f t="shared" si="293"/>
        <v>0</v>
      </c>
      <c r="CA48" s="4431">
        <f t="shared" si="294"/>
        <v>0</v>
      </c>
      <c r="CB48" s="4431">
        <f t="shared" si="295"/>
        <v>0</v>
      </c>
      <c r="CC48" s="4431">
        <f t="shared" si="296"/>
        <v>0</v>
      </c>
      <c r="CD48" s="4431">
        <f t="shared" si="297"/>
        <v>0</v>
      </c>
      <c r="CE48" s="4431">
        <f t="shared" si="298"/>
        <v>0</v>
      </c>
      <c r="CF48" s="4431">
        <f t="shared" si="299"/>
        <v>0</v>
      </c>
      <c r="CG48" s="4431">
        <f t="shared" si="300"/>
        <v>0</v>
      </c>
      <c r="CH48" s="4431">
        <f t="shared" si="301"/>
        <v>0</v>
      </c>
      <c r="CI48" s="4431">
        <f t="shared" si="302"/>
        <v>0</v>
      </c>
      <c r="CJ48" s="4431">
        <f t="shared" si="303"/>
        <v>0</v>
      </c>
      <c r="CK48" s="4431">
        <f t="shared" si="304"/>
        <v>0</v>
      </c>
      <c r="CL48" s="4431">
        <f t="shared" si="305"/>
        <v>0</v>
      </c>
      <c r="CM48" s="4431">
        <f t="shared" si="306"/>
        <v>0</v>
      </c>
      <c r="CN48" s="4431">
        <f t="shared" si="307"/>
        <v>0</v>
      </c>
      <c r="CO48" s="4431">
        <f t="shared" si="308"/>
        <v>0</v>
      </c>
      <c r="CP48" s="4431">
        <f t="shared" si="309"/>
        <v>0</v>
      </c>
      <c r="CQ48" s="4431">
        <f t="shared" si="310"/>
        <v>0</v>
      </c>
      <c r="CR48" s="4435"/>
      <c r="CS48" s="4435"/>
      <c r="CT48" s="4435"/>
      <c r="CU48" s="4435"/>
      <c r="CV48" s="4435"/>
      <c r="CW48" s="4435"/>
      <c r="CX48" s="4435"/>
      <c r="CY48" s="4435"/>
      <c r="CZ48" s="4435"/>
      <c r="DA48" s="4435"/>
      <c r="DB48" s="4435"/>
      <c r="DC48" s="4435"/>
      <c r="DD48" s="4435"/>
      <c r="DE48" s="4435"/>
      <c r="DF48" s="4435"/>
      <c r="DG48" s="4435"/>
      <c r="DH48" s="4435"/>
      <c r="DI48" s="4435"/>
      <c r="DJ48" s="4435"/>
      <c r="DK48" s="4435"/>
      <c r="DL48" s="4435"/>
      <c r="DM48" s="4435"/>
      <c r="DN48" s="4435"/>
      <c r="DO48" s="4435"/>
      <c r="DP48" s="4435"/>
      <c r="DQ48" s="4435"/>
      <c r="DR48" s="4435"/>
    </row>
    <row r="49" spans="1:121" s="162" customFormat="1" ht="13.5" thickBot="1">
      <c r="A49" s="318"/>
      <c r="B49" s="319"/>
      <c r="C49" s="1513"/>
      <c r="D49" s="1514"/>
      <c r="E49" s="1514"/>
      <c r="F49" s="1514"/>
      <c r="G49" s="1514"/>
      <c r="H49" s="1515"/>
      <c r="I49" s="1938"/>
      <c r="J49" s="1939"/>
      <c r="K49" s="1939"/>
      <c r="L49" s="1939"/>
      <c r="M49" s="1939"/>
      <c r="N49" s="1940"/>
      <c r="O49" s="1938"/>
      <c r="P49" s="1939"/>
      <c r="Q49" s="1939"/>
      <c r="R49" s="1939"/>
      <c r="S49" s="1939"/>
      <c r="T49" s="1940"/>
      <c r="U49" s="1938"/>
      <c r="V49" s="1939"/>
      <c r="W49" s="1939"/>
      <c r="X49" s="1939"/>
      <c r="Y49" s="1939"/>
      <c r="Z49" s="1940"/>
      <c r="AA49" s="1938"/>
      <c r="AB49" s="1939"/>
      <c r="AC49" s="1939"/>
      <c r="AD49" s="1939"/>
      <c r="AE49" s="1939"/>
      <c r="AF49" s="1940"/>
      <c r="AG49" s="1938"/>
      <c r="AH49" s="1939"/>
      <c r="AI49" s="1939"/>
      <c r="AJ49" s="1939"/>
      <c r="AK49" s="1939"/>
      <c r="AL49" s="1940"/>
      <c r="AM49" s="1513"/>
      <c r="AN49" s="1939"/>
      <c r="AO49" s="1939"/>
      <c r="AP49" s="1514"/>
      <c r="AQ49" s="1514"/>
      <c r="AR49" s="1514"/>
      <c r="AS49" s="1514"/>
      <c r="AT49" s="1515"/>
      <c r="AU49" s="1516"/>
      <c r="AV49" s="1516"/>
      <c r="AW49" s="1517"/>
      <c r="AX49" s="4422"/>
      <c r="AY49" s="1"/>
    </row>
    <row r="50" spans="1:121" s="163" customFormat="1" ht="26.25" thickBot="1">
      <c r="A50" s="932" t="s">
        <v>105</v>
      </c>
      <c r="B50" s="933" t="s">
        <v>1468</v>
      </c>
      <c r="C50" s="1529">
        <f>IFERROR(C29/C14,0)</f>
        <v>16.385474860335197</v>
      </c>
      <c r="D50" s="1530">
        <f t="shared" ref="D50:AL50" si="311">IFERROR(D29/D14,0)</f>
        <v>25.268796992481203</v>
      </c>
      <c r="E50" s="1530">
        <f t="shared" si="311"/>
        <v>28.301052631578951</v>
      </c>
      <c r="F50" s="1530">
        <f t="shared" si="311"/>
        <v>31.697178947368428</v>
      </c>
      <c r="G50" s="1530">
        <f t="shared" si="311"/>
        <v>35.779214169741699</v>
      </c>
      <c r="H50" s="1531">
        <f t="shared" si="311"/>
        <v>40.072719870110703</v>
      </c>
      <c r="I50" s="1529">
        <f t="shared" si="311"/>
        <v>19.315789473684209</v>
      </c>
      <c r="J50" s="1530">
        <f t="shared" si="311"/>
        <v>30.3125</v>
      </c>
      <c r="K50" s="1530">
        <f t="shared" si="311"/>
        <v>33.950000000000003</v>
      </c>
      <c r="L50" s="1530">
        <f t="shared" si="311"/>
        <v>38.024000000000008</v>
      </c>
      <c r="M50" s="1530">
        <f t="shared" si="311"/>
        <v>42.586880000000015</v>
      </c>
      <c r="N50" s="1531">
        <f t="shared" si="311"/>
        <v>47.697305600000014</v>
      </c>
      <c r="O50" s="1529">
        <f t="shared" si="311"/>
        <v>16.547619047619047</v>
      </c>
      <c r="P50" s="1530">
        <f t="shared" si="311"/>
        <v>24.166666666666668</v>
      </c>
      <c r="Q50" s="1530">
        <f t="shared" si="311"/>
        <v>27.06666666666667</v>
      </c>
      <c r="R50" s="1530">
        <f t="shared" si="311"/>
        <v>30.314666666666671</v>
      </c>
      <c r="S50" s="1530">
        <f t="shared" si="311"/>
        <v>27.62638490566038</v>
      </c>
      <c r="T50" s="1531">
        <f t="shared" si="311"/>
        <v>30.941551094339626</v>
      </c>
      <c r="U50" s="1529">
        <f t="shared" si="311"/>
        <v>0</v>
      </c>
      <c r="V50" s="1530">
        <f t="shared" si="311"/>
        <v>0</v>
      </c>
      <c r="W50" s="1530">
        <f t="shared" si="311"/>
        <v>0</v>
      </c>
      <c r="X50" s="1530">
        <f t="shared" si="311"/>
        <v>0</v>
      </c>
      <c r="Y50" s="1530">
        <f t="shared" si="311"/>
        <v>0</v>
      </c>
      <c r="Z50" s="1531">
        <f t="shared" si="311"/>
        <v>0</v>
      </c>
      <c r="AA50" s="1529">
        <f t="shared" si="311"/>
        <v>0</v>
      </c>
      <c r="AB50" s="1530">
        <f t="shared" si="311"/>
        <v>0</v>
      </c>
      <c r="AC50" s="1530">
        <f t="shared" si="311"/>
        <v>0</v>
      </c>
      <c r="AD50" s="1530">
        <f t="shared" si="311"/>
        <v>0</v>
      </c>
      <c r="AE50" s="1530">
        <f t="shared" si="311"/>
        <v>0</v>
      </c>
      <c r="AF50" s="1531">
        <f t="shared" si="311"/>
        <v>0</v>
      </c>
      <c r="AG50" s="1529">
        <f t="shared" si="311"/>
        <v>12.75</v>
      </c>
      <c r="AH50" s="1530">
        <f t="shared" si="311"/>
        <v>22.5</v>
      </c>
      <c r="AI50" s="1530">
        <f t="shared" si="311"/>
        <v>26</v>
      </c>
      <c r="AJ50" s="1530">
        <f t="shared" si="311"/>
        <v>29.833333333333332</v>
      </c>
      <c r="AK50" s="1530">
        <f t="shared" si="311"/>
        <v>34.333333333333336</v>
      </c>
      <c r="AL50" s="1531">
        <f t="shared" si="311"/>
        <v>39.5</v>
      </c>
      <c r="AM50" s="1529">
        <f t="shared" ref="AM50:AT50" si="312">IFERROR(AM29/AM14,0)</f>
        <v>16.489966555183948</v>
      </c>
      <c r="AN50" s="1530">
        <f>IFERROR(AN29/AN14,0)</f>
        <v>20.017152658662091</v>
      </c>
      <c r="AO50" s="1530">
        <f t="shared" si="312"/>
        <v>21.954179173202466</v>
      </c>
      <c r="AP50" s="1530">
        <f>IFERROR(AP29/AP14,0)</f>
        <v>25.327118644067795</v>
      </c>
      <c r="AQ50" s="1530">
        <f t="shared" si="312"/>
        <v>28.366372881355939</v>
      </c>
      <c r="AR50" s="1530">
        <f t="shared" si="312"/>
        <v>31.770337627118654</v>
      </c>
      <c r="AS50" s="1530">
        <f t="shared" si="312"/>
        <v>35.2502824222586</v>
      </c>
      <c r="AT50" s="1531">
        <f t="shared" si="312"/>
        <v>39.480316312929624</v>
      </c>
      <c r="AU50" s="1532"/>
      <c r="AV50" s="1532"/>
      <c r="AW50" s="1533"/>
      <c r="AX50" s="4422"/>
      <c r="AY50" s="4426" t="s">
        <v>1879</v>
      </c>
      <c r="AZ50" s="4430">
        <f>IFERROR(C50/$C$1,0)</f>
        <v>8.3777602656341283</v>
      </c>
      <c r="BA50" s="4430">
        <f t="shared" ref="BA50" si="313">IFERROR(D50/$C$1,0)</f>
        <v>12.919730749851063</v>
      </c>
      <c r="BB50" s="4430">
        <f t="shared" ref="BB50" si="314">IFERROR(E50/$C$1,0)</f>
        <v>14.470098439833192</v>
      </c>
      <c r="BC50" s="4430">
        <f t="shared" ref="BC50" si="315">IFERROR(F50/$C$1,0)</f>
        <v>16.206510252613178</v>
      </c>
      <c r="BD50" s="4430">
        <f t="shared" ref="BD50" si="316">IFERROR(G50/$C$1,0)</f>
        <v>18.293621720569629</v>
      </c>
      <c r="BE50" s="4430">
        <f t="shared" ref="BE50" si="317">IFERROR(H50/$C$1,0)</f>
        <v>20.488856327037986</v>
      </c>
      <c r="BF50" s="4430">
        <f t="shared" ref="BF50" si="318">IFERROR(I50/$C$1,0)</f>
        <v>9.8760063367901143</v>
      </c>
      <c r="BG50" s="4430">
        <f t="shared" ref="BG50" si="319">IFERROR(J50/$C$1,0)</f>
        <v>15.498535148760373</v>
      </c>
      <c r="BH50" s="4430">
        <f t="shared" ref="BH50" si="320">IFERROR(K50/$C$1,0)</f>
        <v>17.358359366611619</v>
      </c>
      <c r="BI50" s="4430">
        <f t="shared" ref="BI50" si="321">IFERROR(L50/$C$1,0)</f>
        <v>19.441362490605016</v>
      </c>
      <c r="BJ50" s="4430">
        <f t="shared" ref="BJ50" si="322">IFERROR(M50/$C$1,0)</f>
        <v>21.774325989477621</v>
      </c>
      <c r="BK50" s="4430">
        <f t="shared" ref="BK50" si="323">IFERROR(N50/$C$1,0)</f>
        <v>24.387245108214934</v>
      </c>
      <c r="BL50" s="4430">
        <f t="shared" ref="BL50" si="324">IFERROR(O50/$C$1,0)</f>
        <v>8.4606632721755197</v>
      </c>
      <c r="BM50" s="4430">
        <f t="shared" ref="BM50" si="325">IFERROR(P50/$C$1,0)</f>
        <v>12.356220462241948</v>
      </c>
      <c r="BN50" s="4430">
        <f t="shared" ref="BN50" si="326">IFERROR(Q50/$C$1,0)</f>
        <v>13.838966917710982</v>
      </c>
      <c r="BO50" s="4430">
        <f t="shared" ref="BO50" si="327">IFERROR(R50/$C$1,0)</f>
        <v>15.4996429478363</v>
      </c>
      <c r="BP50" s="4430">
        <f t="shared" ref="BP50" si="328">IFERROR(S50/$C$1,0)</f>
        <v>14.125146309065912</v>
      </c>
      <c r="BQ50" s="4430">
        <f t="shared" ref="BQ50" si="329">IFERROR(T50/$C$1,0)</f>
        <v>15.820163866153822</v>
      </c>
      <c r="BR50" s="4430">
        <f t="shared" ref="BR50" si="330">IFERROR(U50/$C$1,0)</f>
        <v>0</v>
      </c>
      <c r="BS50" s="4430">
        <f t="shared" ref="BS50" si="331">IFERROR(V50/$C$1,0)</f>
        <v>0</v>
      </c>
      <c r="BT50" s="4430">
        <f t="shared" ref="BT50" si="332">IFERROR(W50/$C$1,0)</f>
        <v>0</v>
      </c>
      <c r="BU50" s="4430">
        <f t="shared" ref="BU50" si="333">IFERROR(X50/$C$1,0)</f>
        <v>0</v>
      </c>
      <c r="BV50" s="4430">
        <f t="shared" ref="BV50" si="334">IFERROR(Y50/$C$1,0)</f>
        <v>0</v>
      </c>
      <c r="BW50" s="4430">
        <f t="shared" ref="BW50" si="335">IFERROR(Z50/$C$1,0)</f>
        <v>0</v>
      </c>
      <c r="BX50" s="4430">
        <f t="shared" ref="BX50" si="336">IFERROR(AA50/$C$1,0)</f>
        <v>0</v>
      </c>
      <c r="BY50" s="4430">
        <f t="shared" ref="BY50" si="337">IFERROR(AB50/$C$1,0)</f>
        <v>0</v>
      </c>
      <c r="BZ50" s="4430">
        <f t="shared" ref="BZ50" si="338">IFERROR(AC50/$C$1,0)</f>
        <v>0</v>
      </c>
      <c r="CA50" s="4430">
        <f t="shared" ref="CA50" si="339">IFERROR(AD50/$C$1,0)</f>
        <v>0</v>
      </c>
      <c r="CB50" s="4430">
        <f t="shared" ref="CB50" si="340">IFERROR(AE50/$C$1,0)</f>
        <v>0</v>
      </c>
      <c r="CC50" s="4430">
        <f t="shared" ref="CC50" si="341">IFERROR(AF50/$C$1,0)</f>
        <v>0</v>
      </c>
      <c r="CD50" s="4430">
        <f t="shared" ref="CD50" si="342">IFERROR(AG50/$C$1,0)</f>
        <v>6.5189714852517859</v>
      </c>
      <c r="CE50" s="4430">
        <f t="shared" ref="CE50" si="343">IFERROR(AH50/$C$1,0)</f>
        <v>11.504067326914916</v>
      </c>
      <c r="CF50" s="4430">
        <f t="shared" ref="CF50" si="344">IFERROR(AI50/$C$1,0)</f>
        <v>13.293588911101681</v>
      </c>
      <c r="CG50" s="4430">
        <f t="shared" ref="CG50" si="345">IFERROR(AJ50/$C$1,0)</f>
        <v>15.253541122353852</v>
      </c>
      <c r="CH50" s="4430">
        <f t="shared" ref="CH50" si="346">IFERROR(AK50/$C$1,0)</f>
        <v>17.554354587736835</v>
      </c>
      <c r="CI50" s="4430">
        <f t="shared" ref="CI50" si="347">IFERROR(AL50/$C$1,0)</f>
        <v>20.19602930725063</v>
      </c>
      <c r="CJ50" s="4430">
        <f t="shared" ref="CJ50" si="348">IFERROR(AM50/$C$1,0)</f>
        <v>8.4311860208627269</v>
      </c>
      <c r="CK50" s="4430">
        <f t="shared" ref="CK50" si="349">IFERROR(AN50/$C$1,0)</f>
        <v>10.234607639039227</v>
      </c>
      <c r="CL50" s="4430">
        <f t="shared" ref="CL50" si="350">IFERROR(AO50/$C$1,0)</f>
        <v>11.22499356958553</v>
      </c>
      <c r="CM50" s="4430">
        <f t="shared" ref="CM50" si="351">IFERROR(AP50/$C$1,0)</f>
        <v>12.949550136805241</v>
      </c>
      <c r="CN50" s="4430">
        <f t="shared" ref="CN50" si="352">IFERROR(AQ50/$C$1,0)</f>
        <v>14.503496153221874</v>
      </c>
      <c r="CO50" s="4430">
        <f t="shared" ref="CO50" si="353">IFERROR(AR50/$C$1,0)</f>
        <v>16.2439156916085</v>
      </c>
      <c r="CP50" s="4430">
        <f t="shared" ref="CP50" si="354">IFERROR(AS50/$C$1,0)</f>
        <v>18.023183212374594</v>
      </c>
      <c r="CQ50" s="4430">
        <f t="shared" ref="CQ50" si="355">IFERROR(AT50/$C$1,0)</f>
        <v>20.185965197859542</v>
      </c>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row>
    <row r="51" spans="1:121" s="709" customFormat="1">
      <c r="A51" s="707"/>
      <c r="B51" s="793" t="s">
        <v>1317</v>
      </c>
      <c r="C51" s="1534"/>
      <c r="D51" s="1535">
        <f>IFERROR((D50-C50)/C50,0)</f>
        <v>0.54214615126291676</v>
      </c>
      <c r="E51" s="1535">
        <f t="shared" ref="E51:G51" si="356">IFERROR((E50-D50)/D50,0)</f>
        <v>0.12000000000000015</v>
      </c>
      <c r="F51" s="1535">
        <f t="shared" si="356"/>
        <v>0.12000000000000011</v>
      </c>
      <c r="G51" s="1535">
        <f t="shared" si="356"/>
        <v>0.12878228782287804</v>
      </c>
      <c r="H51" s="1535">
        <f>IFERROR((H50-G50)/G50,0)</f>
        <v>0.11999999999999998</v>
      </c>
      <c r="I51" s="1534"/>
      <c r="J51" s="1535">
        <f>IFERROR((J50-I50)/I50,0)</f>
        <v>0.56931198910081759</v>
      </c>
      <c r="K51" s="1535">
        <f t="shared" ref="K51:N51" si="357">IFERROR((K50-J50)/J50,0)</f>
        <v>0.12000000000000009</v>
      </c>
      <c r="L51" s="1535">
        <f t="shared" si="357"/>
        <v>0.12000000000000015</v>
      </c>
      <c r="M51" s="1535">
        <f t="shared" si="357"/>
        <v>0.12000000000000016</v>
      </c>
      <c r="N51" s="1535">
        <f t="shared" si="357"/>
        <v>0.11999999999999994</v>
      </c>
      <c r="O51" s="1534"/>
      <c r="P51" s="1535">
        <f>IFERROR((P50-O50)/O50,0)</f>
        <v>0.46043165467625907</v>
      </c>
      <c r="Q51" s="1535">
        <f t="shared" ref="Q51:T51" si="358">IFERROR((Q50-P50)/P50,0)</f>
        <v>0.12000000000000008</v>
      </c>
      <c r="R51" s="1535">
        <f t="shared" si="358"/>
        <v>0.12000000000000002</v>
      </c>
      <c r="S51" s="1535">
        <f t="shared" si="358"/>
        <v>-8.8679245283018904E-2</v>
      </c>
      <c r="T51" s="1535">
        <f t="shared" si="358"/>
        <v>0.12000000000000001</v>
      </c>
      <c r="U51" s="1534"/>
      <c r="V51" s="1535">
        <f>IFERROR((V50-U50)/U50,0)</f>
        <v>0</v>
      </c>
      <c r="W51" s="1535">
        <f t="shared" ref="W51:Z51" si="359">IFERROR((W50-V50)/V50,0)</f>
        <v>0</v>
      </c>
      <c r="X51" s="1535">
        <f t="shared" si="359"/>
        <v>0</v>
      </c>
      <c r="Y51" s="1535">
        <f t="shared" si="359"/>
        <v>0</v>
      </c>
      <c r="Z51" s="1535">
        <f t="shared" si="359"/>
        <v>0</v>
      </c>
      <c r="AA51" s="1534"/>
      <c r="AB51" s="1535">
        <f>IFERROR((AB50-AA50)/AA50,0)</f>
        <v>0</v>
      </c>
      <c r="AC51" s="1535">
        <f t="shared" ref="AC51:AF51" si="360">IFERROR((AC50-AB50)/AB50,0)</f>
        <v>0</v>
      </c>
      <c r="AD51" s="1535">
        <f t="shared" si="360"/>
        <v>0</v>
      </c>
      <c r="AE51" s="1535">
        <f t="shared" si="360"/>
        <v>0</v>
      </c>
      <c r="AF51" s="1535">
        <f t="shared" si="360"/>
        <v>0</v>
      </c>
      <c r="AG51" s="1534"/>
      <c r="AH51" s="1535">
        <f>IFERROR((AH50-AG50)/AG50,0)</f>
        <v>0.76470588235294112</v>
      </c>
      <c r="AI51" s="1535">
        <f t="shared" ref="AI51:AL51" si="361">IFERROR((AI50-AH50)/AH50,0)</f>
        <v>0.15555555555555556</v>
      </c>
      <c r="AJ51" s="1535">
        <f t="shared" si="361"/>
        <v>0.14743589743589738</v>
      </c>
      <c r="AK51" s="1535">
        <f t="shared" si="361"/>
        <v>0.15083798882681576</v>
      </c>
      <c r="AL51" s="1535">
        <f t="shared" si="361"/>
        <v>0.15048543689320382</v>
      </c>
      <c r="AM51" s="1534"/>
      <c r="AN51" s="1535">
        <f>IFERROR((AN50-AM50)/AM50,0)</f>
        <v>0.21389892403203831</v>
      </c>
      <c r="AO51" s="1535">
        <f>IFERROR((AO50-AN50)/AN50,0)</f>
        <v>9.6768334016884172E-2</v>
      </c>
      <c r="AP51" s="1535">
        <f t="shared" ref="AP51:AT51" si="362">IFERROR((AP50-AO50)/AO50,0)</f>
        <v>0.15363541694067889</v>
      </c>
      <c r="AQ51" s="1535">
        <f t="shared" si="362"/>
        <v>0.12000000000000036</v>
      </c>
      <c r="AR51" s="1535">
        <f t="shared" si="362"/>
        <v>0.12000000000000005</v>
      </c>
      <c r="AS51" s="1535">
        <f t="shared" si="362"/>
        <v>0.1095343976505154</v>
      </c>
      <c r="AT51" s="1535">
        <f t="shared" si="362"/>
        <v>0.11999999999999976</v>
      </c>
      <c r="AU51" s="1528">
        <f>IFERROR((AP50-AM50)/AM50,0)</f>
        <v>0.53591085581102738</v>
      </c>
      <c r="AV51" s="1532"/>
      <c r="AW51" s="1533"/>
      <c r="AX51" s="4422"/>
      <c r="AY51" s="1"/>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row>
    <row r="52" spans="1:121" s="709" customFormat="1" ht="13.5" thickBot="1">
      <c r="A52" s="794"/>
      <c r="B52" s="4191" t="str">
        <f>+"изменениe спрямо "&amp;C9&amp;", %"</f>
        <v>изменениe спрямо 2024 г., %</v>
      </c>
      <c r="C52" s="1536"/>
      <c r="D52" s="1537">
        <f>IFERROR((D50-$C$50)/$C$50,0)</f>
        <v>0.54214615126291676</v>
      </c>
      <c r="E52" s="1537">
        <f t="shared" ref="E52:G52" si="363">IFERROR((E50-$C$50)/$C$50,0)</f>
        <v>0.727203689414467</v>
      </c>
      <c r="F52" s="1537">
        <f t="shared" si="363"/>
        <v>0.93446813214420321</v>
      </c>
      <c r="G52" s="1537">
        <f t="shared" si="363"/>
        <v>1.1835933639221832</v>
      </c>
      <c r="H52" s="1537">
        <f>IFERROR((H50-$C$50)/$C$50,0)</f>
        <v>1.4456245675928452</v>
      </c>
      <c r="I52" s="1536"/>
      <c r="J52" s="1537">
        <f>IFERROR((J50-$I$50)/$I$50,0)</f>
        <v>0.56931198910081759</v>
      </c>
      <c r="K52" s="1537">
        <f t="shared" ref="K52:M52" si="364">IFERROR((K50-$I$50)/$I$50,0)</f>
        <v>0.75762942779291587</v>
      </c>
      <c r="L52" s="1537">
        <f t="shared" si="364"/>
        <v>0.96854495912806593</v>
      </c>
      <c r="M52" s="1537">
        <f t="shared" si="364"/>
        <v>1.2047703542234343</v>
      </c>
      <c r="N52" s="1537">
        <f>IFERROR((N50-$I$50)/$I$50,0)</f>
        <v>1.4693427967302461</v>
      </c>
      <c r="O52" s="1536"/>
      <c r="P52" s="1537">
        <f>IFERROR((P50-$O$50)/$O$50,0)</f>
        <v>0.46043165467625907</v>
      </c>
      <c r="Q52" s="1537">
        <f t="shared" ref="Q52:S52" si="365">IFERROR((Q50-$O$50)/$O$50,0)</f>
        <v>0.63568345323741027</v>
      </c>
      <c r="R52" s="1537">
        <f t="shared" si="365"/>
        <v>0.83196546762589951</v>
      </c>
      <c r="S52" s="1537">
        <f t="shared" si="365"/>
        <v>0.66950815257228202</v>
      </c>
      <c r="T52" s="1537">
        <f>IFERROR((T50-$O$50)/$O$50,0)</f>
        <v>0.86984913088095583</v>
      </c>
      <c r="U52" s="1536"/>
      <c r="V52" s="1537">
        <f>IFERROR((V50-$U$50)/$U$50,0)</f>
        <v>0</v>
      </c>
      <c r="W52" s="1537">
        <f t="shared" ref="W52:Y52" si="366">IFERROR((W50-$U$50)/$U$50,0)</f>
        <v>0</v>
      </c>
      <c r="X52" s="1537">
        <f t="shared" si="366"/>
        <v>0</v>
      </c>
      <c r="Y52" s="1537">
        <f t="shared" si="366"/>
        <v>0</v>
      </c>
      <c r="Z52" s="1537">
        <f>IFERROR((Z50-$U$50)/$U$50,0)</f>
        <v>0</v>
      </c>
      <c r="AA52" s="1536"/>
      <c r="AB52" s="1537">
        <f>IFERROR((AB50-$AA$50)/$AA$50,0)</f>
        <v>0</v>
      </c>
      <c r="AC52" s="1537">
        <f t="shared" ref="AC52:AF52" si="367">IFERROR((AC50-$AA$50)/$AA$50,0)</f>
        <v>0</v>
      </c>
      <c r="AD52" s="1537">
        <f t="shared" si="367"/>
        <v>0</v>
      </c>
      <c r="AE52" s="1537">
        <f t="shared" si="367"/>
        <v>0</v>
      </c>
      <c r="AF52" s="1537">
        <f t="shared" si="367"/>
        <v>0</v>
      </c>
      <c r="AG52" s="1536"/>
      <c r="AH52" s="1537">
        <f>IFERROR((AH50-$AG$50)/$AG$50,0)</f>
        <v>0.76470588235294112</v>
      </c>
      <c r="AI52" s="1537">
        <f>IFERROR((AI50-$AG$50)/$AG$50,0)</f>
        <v>1.0392156862745099</v>
      </c>
      <c r="AJ52" s="1537">
        <f t="shared" ref="AJ52:AK52" si="368">IFERROR((AJ50-$AG$50)/$AG$50,0)</f>
        <v>1.3398692810457515</v>
      </c>
      <c r="AK52" s="1537">
        <f t="shared" si="368"/>
        <v>1.6928104575163401</v>
      </c>
      <c r="AL52" s="1537">
        <f>IFERROR((AL50-$AG$50)/$AG$50,0)</f>
        <v>2.0980392156862746</v>
      </c>
      <c r="AM52" s="1536"/>
      <c r="AN52" s="1537">
        <f>IFERROR((AN50-$AM$50)/$AM$50,0)</f>
        <v>0.21389892403203831</v>
      </c>
      <c r="AO52" s="1537">
        <f t="shared" ref="AO52:AP52" si="369">IFERROR((AO50-$AM$50)/$AM$50,0)</f>
        <v>0.33136590057550691</v>
      </c>
      <c r="AP52" s="1537">
        <f t="shared" si="369"/>
        <v>0.53591085581102738</v>
      </c>
      <c r="AQ52" s="1537">
        <f>IFERROR((AQ50-$AM$50)/$AM$50,0)</f>
        <v>0.72022015850835119</v>
      </c>
      <c r="AR52" s="1537">
        <f t="shared" ref="AR52:AS52" si="370">IFERROR((AR50-$AM$50)/$AM$50,0)</f>
        <v>0.92664657752935331</v>
      </c>
      <c r="AS52" s="1537">
        <f t="shared" si="370"/>
        <v>1.1376806498844581</v>
      </c>
      <c r="AT52" s="1537">
        <f>IFERROR((AT50-$AM$50)/$AM$50,0)</f>
        <v>1.3942023278705926</v>
      </c>
      <c r="AU52" s="1538"/>
      <c r="AV52" s="1538"/>
      <c r="AW52" s="1539"/>
      <c r="AX52" s="4422"/>
      <c r="AY52" s="1"/>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row>
    <row r="53" spans="1:121" s="162" customFormat="1" ht="26.25" thickBot="1">
      <c r="A53" s="712" t="s">
        <v>1264</v>
      </c>
      <c r="B53" s="713" t="s">
        <v>1195</v>
      </c>
      <c r="C53" s="1540">
        <f>IFERROR(C30/C15,0)</f>
        <v>28.541666666666668</v>
      </c>
      <c r="D53" s="1540">
        <f>IFERROR(D30/D15,0)</f>
        <v>44.882352941176471</v>
      </c>
      <c r="E53" s="1540">
        <f t="shared" ref="E53:H53" si="371">IFERROR(E30/E15,0)</f>
        <v>50.268235294117652</v>
      </c>
      <c r="F53" s="1540">
        <f t="shared" si="371"/>
        <v>56.300423529411773</v>
      </c>
      <c r="G53" s="1540">
        <f t="shared" si="371"/>
        <v>64.745487058823528</v>
      </c>
      <c r="H53" s="1541">
        <f t="shared" si="371"/>
        <v>72.514945505882352</v>
      </c>
      <c r="I53" s="1540">
        <f t="shared" ref="I53:N61" si="372">IFERROR(I30/I15,0)</f>
        <v>17</v>
      </c>
      <c r="J53" s="1540">
        <f t="shared" si="372"/>
        <v>0</v>
      </c>
      <c r="K53" s="1540">
        <f t="shared" si="372"/>
        <v>0</v>
      </c>
      <c r="L53" s="1540">
        <f t="shared" si="372"/>
        <v>0</v>
      </c>
      <c r="M53" s="1540">
        <f t="shared" si="372"/>
        <v>0</v>
      </c>
      <c r="N53" s="1541">
        <f t="shared" si="372"/>
        <v>0</v>
      </c>
      <c r="O53" s="1540">
        <f t="shared" ref="O53:Q54" si="373">IFERROR(O30/O15,0)</f>
        <v>25.333333333333332</v>
      </c>
      <c r="P53" s="1540">
        <f t="shared" si="373"/>
        <v>32</v>
      </c>
      <c r="Q53" s="1540">
        <f t="shared" si="373"/>
        <v>35.840000000000003</v>
      </c>
      <c r="R53" s="1540">
        <f t="shared" ref="R53:T53" si="374">IFERROR(R30/R15,0)</f>
        <v>40.140800000000006</v>
      </c>
      <c r="S53" s="1540">
        <f t="shared" si="374"/>
        <v>46.161920000000009</v>
      </c>
      <c r="T53" s="1541">
        <f t="shared" si="374"/>
        <v>51.701350400000017</v>
      </c>
      <c r="U53" s="1540">
        <f>IFERROR(U30/U15,0)</f>
        <v>0</v>
      </c>
      <c r="V53" s="1540">
        <f>IFERROR(V30/V15,0)</f>
        <v>0</v>
      </c>
      <c r="W53" s="1540">
        <f t="shared" ref="W53:Z53" si="375">IFERROR(W30/W15,0)</f>
        <v>0</v>
      </c>
      <c r="X53" s="1540">
        <f t="shared" si="375"/>
        <v>0</v>
      </c>
      <c r="Y53" s="1540">
        <f t="shared" si="375"/>
        <v>0</v>
      </c>
      <c r="Z53" s="1541">
        <f t="shared" si="375"/>
        <v>0</v>
      </c>
      <c r="AA53" s="1540">
        <f>IFERROR(AA30/AA15,0)</f>
        <v>0</v>
      </c>
      <c r="AB53" s="1540">
        <f>IFERROR(AB30/AB15,0)</f>
        <v>0</v>
      </c>
      <c r="AC53" s="1540">
        <f t="shared" ref="AC53:AF53" si="376">IFERROR(AC30/AC15,0)</f>
        <v>0</v>
      </c>
      <c r="AD53" s="1540">
        <f t="shared" si="376"/>
        <v>0</v>
      </c>
      <c r="AE53" s="1540">
        <f t="shared" si="376"/>
        <v>0</v>
      </c>
      <c r="AF53" s="1541">
        <f t="shared" si="376"/>
        <v>0</v>
      </c>
      <c r="AG53" s="1540">
        <f>IFERROR(AG30/AG15,0)</f>
        <v>0</v>
      </c>
      <c r="AH53" s="1540">
        <f>IFERROR(AH30/AH15,0)</f>
        <v>0</v>
      </c>
      <c r="AI53" s="1540">
        <f t="shared" ref="AI53:AL53" si="377">IFERROR(AI30/AI15,0)</f>
        <v>0</v>
      </c>
      <c r="AJ53" s="1540">
        <f t="shared" si="377"/>
        <v>0</v>
      </c>
      <c r="AK53" s="1540">
        <f t="shared" si="377"/>
        <v>0</v>
      </c>
      <c r="AL53" s="1541">
        <f t="shared" si="377"/>
        <v>0</v>
      </c>
      <c r="AM53" s="1540">
        <f>IFERROR(AM30/AM15,0)</f>
        <v>27.785714285714285</v>
      </c>
      <c r="AN53" s="1540">
        <f t="shared" ref="AN53:AO53" si="378">IFERROR(AN30/AN15,0)</f>
        <v>41.263157894736842</v>
      </c>
      <c r="AO53" s="1540">
        <f t="shared" si="378"/>
        <v>37.768885136832587</v>
      </c>
      <c r="AP53" s="1540">
        <f>IFERROR(AP30/AP15,0)</f>
        <v>43.75</v>
      </c>
      <c r="AQ53" s="1540">
        <f t="shared" ref="AQ53:AT53" si="379">IFERROR(AQ30/AQ15,0)</f>
        <v>49</v>
      </c>
      <c r="AR53" s="1540">
        <f t="shared" si="379"/>
        <v>54.88000000000001</v>
      </c>
      <c r="AS53" s="1540">
        <f t="shared" si="379"/>
        <v>63.081894399999996</v>
      </c>
      <c r="AT53" s="1541">
        <f t="shared" si="379"/>
        <v>70.651721728000012</v>
      </c>
      <c r="AU53" s="1505">
        <f t="shared" ref="AU53:AU60" si="380">IFERROR((AP53-AM53)/AM53,0)</f>
        <v>0.57455012853470444</v>
      </c>
      <c r="AV53" s="1505">
        <f t="shared" ref="AV53:AV61" si="381">IFERROR(((D53+V53+AB53)-(+C53+U53+AA53))/(C53+U53+AA53),0)</f>
        <v>0.5725203950193215</v>
      </c>
      <c r="AW53" s="1506">
        <f t="shared" ref="AW53:AW61" si="382">IFERROR(((J53+P53)-(I53+O53))/(I53+O53),0)</f>
        <v>-0.24409448818897631</v>
      </c>
      <c r="AX53" s="4422"/>
      <c r="AY53" s="4426" t="s">
        <v>1879</v>
      </c>
      <c r="AZ53" s="4430">
        <f t="shared" ref="AZ53:AZ61" si="383">IFERROR(C53/$C$1,0)</f>
        <v>14.593122442475403</v>
      </c>
      <c r="BA53" s="4430">
        <f t="shared" ref="BA53:BA61" si="384">IFERROR(D53/$C$1,0)</f>
        <v>22.947982667806748</v>
      </c>
      <c r="BB53" s="4430">
        <f t="shared" ref="BB53:BB61" si="385">IFERROR(E53/$C$1,0)</f>
        <v>25.701740587943561</v>
      </c>
      <c r="BC53" s="4430">
        <f t="shared" ref="BC53:BC61" si="386">IFERROR(F53/$C$1,0)</f>
        <v>28.785949458496788</v>
      </c>
      <c r="BD53" s="4430">
        <f t="shared" ref="BD53:BD61" si="387">IFERROR(G53/$C$1,0)</f>
        <v>33.1038418772713</v>
      </c>
      <c r="BE53" s="4430">
        <f t="shared" ref="BE53:BE61" si="388">IFERROR(H53/$C$1,0)</f>
        <v>37.076302902543858</v>
      </c>
      <c r="BF53" s="4430">
        <f t="shared" ref="BF53:BF61" si="389">IFERROR(I53/$C$1,0)</f>
        <v>8.691961980335714</v>
      </c>
      <c r="BG53" s="4430">
        <f t="shared" ref="BG53:BG61" si="390">IFERROR(J53/$C$1,0)</f>
        <v>0</v>
      </c>
      <c r="BH53" s="4430">
        <f t="shared" ref="BH53:BH61" si="391">IFERROR(K53/$C$1,0)</f>
        <v>0</v>
      </c>
      <c r="BI53" s="4430">
        <f t="shared" ref="BI53:BI61" si="392">IFERROR(L53/$C$1,0)</f>
        <v>0</v>
      </c>
      <c r="BJ53" s="4430">
        <f t="shared" ref="BJ53:BJ61" si="393">IFERROR(M53/$C$1,0)</f>
        <v>0</v>
      </c>
      <c r="BK53" s="4430">
        <f t="shared" ref="BK53:BK61" si="394">IFERROR(N53/$C$1,0)</f>
        <v>0</v>
      </c>
      <c r="BL53" s="4430">
        <f t="shared" ref="BL53:BL61" si="395">IFERROR(O53/$C$1,0)</f>
        <v>12.952727656970868</v>
      </c>
      <c r="BM53" s="4430">
        <f t="shared" ref="BM53:BM61" si="396">IFERROR(P53/$C$1,0)</f>
        <v>16.361340198278992</v>
      </c>
      <c r="BN53" s="4430">
        <f t="shared" ref="BN53:BN61" si="397">IFERROR(Q53/$C$1,0)</f>
        <v>18.324701022072471</v>
      </c>
      <c r="BO53" s="4430">
        <f t="shared" ref="BO53:BO61" si="398">IFERROR(R53/$C$1,0)</f>
        <v>20.523665144721171</v>
      </c>
      <c r="BP53" s="4430">
        <f t="shared" ref="BP53:BP61" si="399">IFERROR(S53/$C$1,0)</f>
        <v>23.602214916429347</v>
      </c>
      <c r="BQ53" s="4430">
        <f t="shared" ref="BQ53:BQ61" si="400">IFERROR(T53/$C$1,0)</f>
        <v>26.434480706400873</v>
      </c>
      <c r="BR53" s="4430">
        <f t="shared" ref="BR53:BR61" si="401">IFERROR(U53/$C$1,0)</f>
        <v>0</v>
      </c>
      <c r="BS53" s="4430">
        <f t="shared" ref="BS53:BS61" si="402">IFERROR(V53/$C$1,0)</f>
        <v>0</v>
      </c>
      <c r="BT53" s="4430">
        <f t="shared" ref="BT53:BT61" si="403">IFERROR(W53/$C$1,0)</f>
        <v>0</v>
      </c>
      <c r="BU53" s="4430">
        <f t="shared" ref="BU53:BU61" si="404">IFERROR(X53/$C$1,0)</f>
        <v>0</v>
      </c>
      <c r="BV53" s="4430">
        <f t="shared" ref="BV53:BV61" si="405">IFERROR(Y53/$C$1,0)</f>
        <v>0</v>
      </c>
      <c r="BW53" s="4430">
        <f t="shared" ref="BW53:BW61" si="406">IFERROR(Z53/$C$1,0)</f>
        <v>0</v>
      </c>
      <c r="BX53" s="4430">
        <f t="shared" ref="BX53:BX61" si="407">IFERROR(AA53/$C$1,0)</f>
        <v>0</v>
      </c>
      <c r="BY53" s="4430">
        <f t="shared" ref="BY53:BY61" si="408">IFERROR(AB53/$C$1,0)</f>
        <v>0</v>
      </c>
      <c r="BZ53" s="4430">
        <f t="shared" ref="BZ53:BZ61" si="409">IFERROR(AC53/$C$1,0)</f>
        <v>0</v>
      </c>
      <c r="CA53" s="4430">
        <f t="shared" ref="CA53:CA61" si="410">IFERROR(AD53/$C$1,0)</f>
        <v>0</v>
      </c>
      <c r="CB53" s="4430">
        <f t="shared" ref="CB53:CB61" si="411">IFERROR(AE53/$C$1,0)</f>
        <v>0</v>
      </c>
      <c r="CC53" s="4430">
        <f t="shared" ref="CC53:CC61" si="412">IFERROR(AF53/$C$1,0)</f>
        <v>0</v>
      </c>
      <c r="CD53" s="4430">
        <f t="shared" ref="CD53:CD61" si="413">IFERROR(AG53/$C$1,0)</f>
        <v>0</v>
      </c>
      <c r="CE53" s="4430">
        <f t="shared" ref="CE53:CE61" si="414">IFERROR(AH53/$C$1,0)</f>
        <v>0</v>
      </c>
      <c r="CF53" s="4430">
        <f t="shared" ref="CF53:CF61" si="415">IFERROR(AI53/$C$1,0)</f>
        <v>0</v>
      </c>
      <c r="CG53" s="4430">
        <f t="shared" ref="CG53:CG61" si="416">IFERROR(AJ53/$C$1,0)</f>
        <v>0</v>
      </c>
      <c r="CH53" s="4430">
        <f t="shared" ref="CH53:CH61" si="417">IFERROR(AK53/$C$1,0)</f>
        <v>0</v>
      </c>
      <c r="CI53" s="4430">
        <f t="shared" ref="CI53:CI61" si="418">IFERROR(AL53/$C$1,0)</f>
        <v>0</v>
      </c>
      <c r="CJ53" s="4430">
        <f t="shared" ref="CJ53:CJ61" si="419">IFERROR(AM53/$C$1,0)</f>
        <v>14.206610127523499</v>
      </c>
      <c r="CK53" s="4430">
        <f t="shared" ref="CK53:CK61" si="420">IFERROR(AN53/$C$1,0)</f>
        <v>21.097517624096596</v>
      </c>
      <c r="CL53" s="4430">
        <f t="shared" ref="CL53:CL61" si="421">IFERROR(AO53/$C$1,0)</f>
        <v>19.310924332295031</v>
      </c>
      <c r="CM53" s="4430">
        <f t="shared" ref="CM53:CM61" si="422">IFERROR(AP53/$C$1,0)</f>
        <v>22.369019802334559</v>
      </c>
      <c r="CN53" s="4430">
        <f t="shared" ref="CN53:CN61" si="423">IFERROR(AQ53/$C$1,0)</f>
        <v>25.053302178614707</v>
      </c>
      <c r="CO53" s="4430">
        <f t="shared" ref="CO53:CO61" si="424">IFERROR(AR53/$C$1,0)</f>
        <v>28.059698440048475</v>
      </c>
      <c r="CP53" s="4430">
        <f t="shared" ref="CP53:CP61" si="425">IFERROR(AS53/$C$1,0)</f>
        <v>32.2532604571972</v>
      </c>
      <c r="CQ53" s="4430">
        <f t="shared" ref="CQ53:CQ61" si="426">IFERROR(AT53/$C$1,0)</f>
        <v>36.12365171206087</v>
      </c>
    </row>
    <row r="54" spans="1:121" s="162" customFormat="1" ht="26.25" thickBot="1">
      <c r="A54" s="613" t="s">
        <v>1265</v>
      </c>
      <c r="B54" s="615" t="s">
        <v>1196</v>
      </c>
      <c r="C54" s="1542">
        <f t="shared" ref="C54" si="427">IFERROR(C31/C16,0)</f>
        <v>15.692307692307692</v>
      </c>
      <c r="D54" s="1542">
        <f>IFERROR(D31/D16,0)</f>
        <v>33.75</v>
      </c>
      <c r="E54" s="1542">
        <f>IFERROR(E31/E16,0)</f>
        <v>37.800000000000004</v>
      </c>
      <c r="F54" s="1542">
        <f>IFERROR(F31/F16,0)</f>
        <v>42.336000000000006</v>
      </c>
      <c r="G54" s="1542">
        <f>IFERROR(G31/G16,0)</f>
        <v>48.686399999999999</v>
      </c>
      <c r="H54" s="1543">
        <f>IFERROR(H31/H16,0)</f>
        <v>54.528768000000007</v>
      </c>
      <c r="I54" s="1542">
        <f t="shared" si="372"/>
        <v>8</v>
      </c>
      <c r="J54" s="1542">
        <f t="shared" si="372"/>
        <v>17</v>
      </c>
      <c r="K54" s="1542">
        <f t="shared" si="372"/>
        <v>19.040000000000003</v>
      </c>
      <c r="L54" s="1542">
        <f t="shared" si="372"/>
        <v>21.324800000000003</v>
      </c>
      <c r="M54" s="1542">
        <f t="shared" si="372"/>
        <v>23.883776000000005</v>
      </c>
      <c r="N54" s="1543">
        <f t="shared" si="372"/>
        <v>26.749829120000008</v>
      </c>
      <c r="O54" s="1542">
        <f t="shared" si="373"/>
        <v>16</v>
      </c>
      <c r="P54" s="1542">
        <f t="shared" si="373"/>
        <v>28.5</v>
      </c>
      <c r="Q54" s="1542">
        <f t="shared" si="373"/>
        <v>31.92</v>
      </c>
      <c r="R54" s="1542">
        <f>IFERROR(R31/R16,0)</f>
        <v>35.750400000000006</v>
      </c>
      <c r="S54" s="1542">
        <f>IFERROR(S31/S16,0)</f>
        <v>41.112960000000001</v>
      </c>
      <c r="T54" s="1543">
        <f>IFERROR(T31/T16,0)</f>
        <v>46.046515200000009</v>
      </c>
      <c r="U54" s="1542">
        <f>IFERROR(U31/U16,0)</f>
        <v>0</v>
      </c>
      <c r="V54" s="1542">
        <f>IFERROR(V31/V16,0)</f>
        <v>0</v>
      </c>
      <c r="W54" s="1542">
        <f>IFERROR(W31/W16,0)</f>
        <v>0</v>
      </c>
      <c r="X54" s="1542">
        <f>IFERROR(X31/X16,0)</f>
        <v>0</v>
      </c>
      <c r="Y54" s="1542">
        <f>IFERROR(Y31/Y16,0)</f>
        <v>0</v>
      </c>
      <c r="Z54" s="1543">
        <f>IFERROR(Z31/Z16,0)</f>
        <v>0</v>
      </c>
      <c r="AA54" s="1542">
        <f>IFERROR(AA31/AA16,0)</f>
        <v>0</v>
      </c>
      <c r="AB54" s="1542">
        <f>IFERROR(AB31/AB16,0)</f>
        <v>0</v>
      </c>
      <c r="AC54" s="1542">
        <f>IFERROR(AC31/AC16,0)</f>
        <v>0</v>
      </c>
      <c r="AD54" s="1542">
        <f>IFERROR(AD31/AD16,0)</f>
        <v>0</v>
      </c>
      <c r="AE54" s="1542">
        <f>IFERROR(AE31/AE16,0)</f>
        <v>0</v>
      </c>
      <c r="AF54" s="1543">
        <f>IFERROR(AF31/AF16,0)</f>
        <v>0</v>
      </c>
      <c r="AG54" s="1542">
        <f>IFERROR(AG31/AG16,0)</f>
        <v>0</v>
      </c>
      <c r="AH54" s="1542">
        <f>IFERROR(AH31/AH16,0)</f>
        <v>0</v>
      </c>
      <c r="AI54" s="1542">
        <f>IFERROR(AI31/AI16,0)</f>
        <v>0</v>
      </c>
      <c r="AJ54" s="1542">
        <f>IFERROR(AJ31/AJ16,0)</f>
        <v>0</v>
      </c>
      <c r="AK54" s="1542">
        <f>IFERROR(AK31/AK16,0)</f>
        <v>0</v>
      </c>
      <c r="AL54" s="1543">
        <f>IFERROR(AL31/AL16,0)</f>
        <v>0</v>
      </c>
      <c r="AM54" s="1542">
        <f>IFERROR(AM31/AM16,0)</f>
        <v>15.25</v>
      </c>
      <c r="AN54" s="1542">
        <f t="shared" ref="AN54:AO54" si="428">IFERROR(AN31/AN16,0)</f>
        <v>25</v>
      </c>
      <c r="AO54" s="1542">
        <f t="shared" si="428"/>
        <v>27.419814762091178</v>
      </c>
      <c r="AP54" s="1542">
        <f t="shared" ref="AP54:AT54" si="429">IFERROR(AP31/AP16,0)</f>
        <v>31.933333333333334</v>
      </c>
      <c r="AQ54" s="1542">
        <f t="shared" si="429"/>
        <v>35.765333333333338</v>
      </c>
      <c r="AR54" s="1542">
        <f t="shared" si="429"/>
        <v>40.057173333333346</v>
      </c>
      <c r="AS54" s="1542">
        <f t="shared" si="429"/>
        <v>46.023099733333332</v>
      </c>
      <c r="AT54" s="1543">
        <f t="shared" si="429"/>
        <v>51.545871701333333</v>
      </c>
      <c r="AU54" s="949">
        <f t="shared" si="380"/>
        <v>1.0939890710382514</v>
      </c>
      <c r="AV54" s="949">
        <f t="shared" si="381"/>
        <v>1.150735294117647</v>
      </c>
      <c r="AW54" s="945">
        <f t="shared" si="382"/>
        <v>0.89583333333333337</v>
      </c>
      <c r="AX54" s="4422"/>
      <c r="AY54" s="4426" t="s">
        <v>1879</v>
      </c>
      <c r="AZ54" s="4430">
        <f t="shared" si="383"/>
        <v>8.023349520309889</v>
      </c>
      <c r="BA54" s="4430">
        <f t="shared" si="384"/>
        <v>17.256100990372374</v>
      </c>
      <c r="BB54" s="4430">
        <f t="shared" si="385"/>
        <v>19.326833109217063</v>
      </c>
      <c r="BC54" s="4430">
        <f t="shared" si="386"/>
        <v>21.64605308232311</v>
      </c>
      <c r="BD54" s="4430">
        <f t="shared" si="387"/>
        <v>24.892961044671573</v>
      </c>
      <c r="BE54" s="4430">
        <f t="shared" si="388"/>
        <v>27.880116370032166</v>
      </c>
      <c r="BF54" s="4430">
        <f t="shared" si="389"/>
        <v>4.0903350495697479</v>
      </c>
      <c r="BG54" s="4430">
        <f t="shared" si="390"/>
        <v>8.691961980335714</v>
      </c>
      <c r="BH54" s="4430">
        <f t="shared" si="391"/>
        <v>9.7349974179760022</v>
      </c>
      <c r="BI54" s="4430">
        <f t="shared" si="392"/>
        <v>10.903197108133122</v>
      </c>
      <c r="BJ54" s="4430">
        <f t="shared" si="393"/>
        <v>12.211580761109097</v>
      </c>
      <c r="BK54" s="4430">
        <f t="shared" si="394"/>
        <v>13.676970452442189</v>
      </c>
      <c r="BL54" s="4430">
        <f t="shared" si="395"/>
        <v>8.1806700991394958</v>
      </c>
      <c r="BM54" s="4430">
        <f t="shared" si="396"/>
        <v>14.571818614092226</v>
      </c>
      <c r="BN54" s="4430">
        <f t="shared" si="397"/>
        <v>16.320436847783295</v>
      </c>
      <c r="BO54" s="4430">
        <f t="shared" si="398"/>
        <v>18.278889269517293</v>
      </c>
      <c r="BP54" s="4430">
        <f t="shared" si="399"/>
        <v>21.020722659944884</v>
      </c>
      <c r="BQ54" s="4430">
        <f t="shared" si="400"/>
        <v>23.543209379138272</v>
      </c>
      <c r="BR54" s="4430">
        <f t="shared" si="401"/>
        <v>0</v>
      </c>
      <c r="BS54" s="4430">
        <f t="shared" si="402"/>
        <v>0</v>
      </c>
      <c r="BT54" s="4430">
        <f t="shared" si="403"/>
        <v>0</v>
      </c>
      <c r="BU54" s="4430">
        <f t="shared" si="404"/>
        <v>0</v>
      </c>
      <c r="BV54" s="4430">
        <f t="shared" si="405"/>
        <v>0</v>
      </c>
      <c r="BW54" s="4430">
        <f t="shared" si="406"/>
        <v>0</v>
      </c>
      <c r="BX54" s="4430">
        <f t="shared" si="407"/>
        <v>0</v>
      </c>
      <c r="BY54" s="4430">
        <f t="shared" si="408"/>
        <v>0</v>
      </c>
      <c r="BZ54" s="4430">
        <f t="shared" si="409"/>
        <v>0</v>
      </c>
      <c r="CA54" s="4430">
        <f t="shared" si="410"/>
        <v>0</v>
      </c>
      <c r="CB54" s="4430">
        <f t="shared" si="411"/>
        <v>0</v>
      </c>
      <c r="CC54" s="4430">
        <f t="shared" si="412"/>
        <v>0</v>
      </c>
      <c r="CD54" s="4430">
        <f t="shared" si="413"/>
        <v>0</v>
      </c>
      <c r="CE54" s="4430">
        <f t="shared" si="414"/>
        <v>0</v>
      </c>
      <c r="CF54" s="4430">
        <f t="shared" si="415"/>
        <v>0</v>
      </c>
      <c r="CG54" s="4430">
        <f t="shared" si="416"/>
        <v>0</v>
      </c>
      <c r="CH54" s="4430">
        <f t="shared" si="417"/>
        <v>0</v>
      </c>
      <c r="CI54" s="4430">
        <f t="shared" si="418"/>
        <v>0</v>
      </c>
      <c r="CJ54" s="4430">
        <f t="shared" si="419"/>
        <v>7.7972011882423322</v>
      </c>
      <c r="CK54" s="4430">
        <f t="shared" si="420"/>
        <v>12.782297029905463</v>
      </c>
      <c r="CL54" s="4430">
        <f t="shared" si="421"/>
        <v>14.01952867176144</v>
      </c>
      <c r="CM54" s="4430">
        <f t="shared" si="422"/>
        <v>16.327254072865912</v>
      </c>
      <c r="CN54" s="4430">
        <f t="shared" si="423"/>
        <v>18.286524561609824</v>
      </c>
      <c r="CO54" s="4430">
        <f t="shared" si="424"/>
        <v>20.480907509003003</v>
      </c>
      <c r="CP54" s="4430">
        <f t="shared" si="425"/>
        <v>23.53123724113718</v>
      </c>
      <c r="CQ54" s="4430">
        <f t="shared" si="426"/>
        <v>26.354985710073642</v>
      </c>
    </row>
    <row r="55" spans="1:121" s="162" customFormat="1" ht="26.25" thickBot="1">
      <c r="A55" s="613" t="s">
        <v>1266</v>
      </c>
      <c r="B55" s="615" t="s">
        <v>1197</v>
      </c>
      <c r="C55" s="1542">
        <f t="shared" ref="C55" si="430">IFERROR(C32/C17,0)</f>
        <v>21.911111111111111</v>
      </c>
      <c r="D55" s="1542">
        <f t="shared" ref="D55:H55" si="431">IFERROR(D32/D17,0)</f>
        <v>30.686274509803923</v>
      </c>
      <c r="E55" s="1542">
        <f t="shared" si="431"/>
        <v>34.368627450980398</v>
      </c>
      <c r="F55" s="1542">
        <f t="shared" si="431"/>
        <v>38.492862745098044</v>
      </c>
      <c r="G55" s="1542">
        <f t="shared" si="431"/>
        <v>44.266792156862749</v>
      </c>
      <c r="H55" s="1543">
        <f t="shared" si="431"/>
        <v>49.578807215686282</v>
      </c>
      <c r="I55" s="1542">
        <f t="shared" si="372"/>
        <v>21</v>
      </c>
      <c r="J55" s="1542">
        <f t="shared" si="372"/>
        <v>59</v>
      </c>
      <c r="K55" s="1542">
        <f t="shared" si="372"/>
        <v>66.080000000000013</v>
      </c>
      <c r="L55" s="1542">
        <f t="shared" si="372"/>
        <v>74.00960000000002</v>
      </c>
      <c r="M55" s="1542">
        <f t="shared" si="372"/>
        <v>82.890752000000035</v>
      </c>
      <c r="N55" s="1543">
        <f t="shared" si="372"/>
        <v>92.837642240000051</v>
      </c>
      <c r="O55" s="1542">
        <f t="shared" ref="O55:O61" si="432">IFERROR(O32/O17,0)</f>
        <v>15</v>
      </c>
      <c r="P55" s="1542">
        <f t="shared" ref="P55:T55" si="433">IFERROR(P32/P17,0)</f>
        <v>22</v>
      </c>
      <c r="Q55" s="1542">
        <f t="shared" si="433"/>
        <v>24.64</v>
      </c>
      <c r="R55" s="1542">
        <f t="shared" si="433"/>
        <v>27.596800000000002</v>
      </c>
      <c r="S55" s="1542">
        <f t="shared" si="433"/>
        <v>23.802240000000001</v>
      </c>
      <c r="T55" s="1543">
        <f t="shared" si="433"/>
        <v>26.658508800000003</v>
      </c>
      <c r="U55" s="1542">
        <f t="shared" ref="U55:U61" si="434">IFERROR(U32/U17,0)</f>
        <v>0</v>
      </c>
      <c r="V55" s="1542">
        <f t="shared" ref="V55:Z55" si="435">IFERROR(V32/V17,0)</f>
        <v>0</v>
      </c>
      <c r="W55" s="1542">
        <f t="shared" si="435"/>
        <v>0</v>
      </c>
      <c r="X55" s="1542">
        <f t="shared" si="435"/>
        <v>0</v>
      </c>
      <c r="Y55" s="1542">
        <f t="shared" si="435"/>
        <v>0</v>
      </c>
      <c r="Z55" s="1543">
        <f t="shared" si="435"/>
        <v>0</v>
      </c>
      <c r="AA55" s="1542">
        <f t="shared" ref="AA55:AA61" si="436">IFERROR(AA32/AA17,0)</f>
        <v>0</v>
      </c>
      <c r="AB55" s="1542">
        <f t="shared" ref="AB55:AF55" si="437">IFERROR(AB32/AB17,0)</f>
        <v>0</v>
      </c>
      <c r="AC55" s="1542">
        <f t="shared" si="437"/>
        <v>0</v>
      </c>
      <c r="AD55" s="1542">
        <f t="shared" si="437"/>
        <v>0</v>
      </c>
      <c r="AE55" s="1542">
        <f t="shared" si="437"/>
        <v>0</v>
      </c>
      <c r="AF55" s="1543">
        <f t="shared" si="437"/>
        <v>0</v>
      </c>
      <c r="AG55" s="1542">
        <f t="shared" ref="AG55:AG61" si="438">IFERROR(AG32/AG17,0)</f>
        <v>0</v>
      </c>
      <c r="AH55" s="1542">
        <f t="shared" ref="AH55:AL55" si="439">IFERROR(AH32/AH17,0)</f>
        <v>0</v>
      </c>
      <c r="AI55" s="1542">
        <f t="shared" si="439"/>
        <v>0</v>
      </c>
      <c r="AJ55" s="1542">
        <f t="shared" si="439"/>
        <v>0</v>
      </c>
      <c r="AK55" s="1542">
        <f t="shared" si="439"/>
        <v>0</v>
      </c>
      <c r="AL55" s="1543">
        <f t="shared" si="439"/>
        <v>0</v>
      </c>
      <c r="AM55" s="1542">
        <f t="shared" ref="AM55:AO61" si="440">IFERROR(AM32/AM17,0)</f>
        <v>21.46</v>
      </c>
      <c r="AN55" s="1542">
        <f t="shared" si="440"/>
        <v>23.433962264150942</v>
      </c>
      <c r="AO55" s="1542">
        <f t="shared" si="440"/>
        <v>26.452536817889147</v>
      </c>
      <c r="AP55" s="1542">
        <f t="shared" ref="AP55:AT55" si="441">IFERROR(AP32/AP17,0)</f>
        <v>30.727272727272727</v>
      </c>
      <c r="AQ55" s="1542">
        <f t="shared" si="441"/>
        <v>34.414545454545461</v>
      </c>
      <c r="AR55" s="1542">
        <f t="shared" si="441"/>
        <v>38.544290909090918</v>
      </c>
      <c r="AS55" s="1542">
        <f t="shared" si="441"/>
        <v>43.494752000000005</v>
      </c>
      <c r="AT55" s="1543">
        <f t="shared" si="441"/>
        <v>48.714122240000009</v>
      </c>
      <c r="AU55" s="949">
        <f t="shared" si="380"/>
        <v>0.43183936287384556</v>
      </c>
      <c r="AV55" s="949">
        <f t="shared" si="381"/>
        <v>0.40048920176589908</v>
      </c>
      <c r="AW55" s="945">
        <f t="shared" si="382"/>
        <v>1.25</v>
      </c>
      <c r="AX55" s="4422"/>
      <c r="AY55" s="4426" t="s">
        <v>1879</v>
      </c>
      <c r="AZ55" s="4430">
        <f t="shared" si="383"/>
        <v>11.202973219099366</v>
      </c>
      <c r="BA55" s="4430">
        <f t="shared" si="384"/>
        <v>15.689643021021215</v>
      </c>
      <c r="BB55" s="4430">
        <f t="shared" si="385"/>
        <v>17.572400183543763</v>
      </c>
      <c r="BC55" s="4430">
        <f t="shared" si="386"/>
        <v>19.681088205569015</v>
      </c>
      <c r="BD55" s="4430">
        <f t="shared" si="387"/>
        <v>22.633251436404365</v>
      </c>
      <c r="BE55" s="4430">
        <f t="shared" si="388"/>
        <v>25.349241608772893</v>
      </c>
      <c r="BF55" s="4430">
        <f t="shared" si="389"/>
        <v>10.737129505120588</v>
      </c>
      <c r="BG55" s="4430">
        <f t="shared" si="390"/>
        <v>30.166220990576893</v>
      </c>
      <c r="BH55" s="4430">
        <f t="shared" si="391"/>
        <v>33.786167509446123</v>
      </c>
      <c r="BI55" s="4430">
        <f t="shared" si="392"/>
        <v>37.840507610579664</v>
      </c>
      <c r="BJ55" s="4430">
        <f t="shared" si="393"/>
        <v>42.381368523849225</v>
      </c>
      <c r="BK55" s="4430">
        <f t="shared" si="394"/>
        <v>47.467132746711144</v>
      </c>
      <c r="BL55" s="4430">
        <f t="shared" si="395"/>
        <v>7.6693782179432777</v>
      </c>
      <c r="BM55" s="4430">
        <f t="shared" si="396"/>
        <v>11.248421386316807</v>
      </c>
      <c r="BN55" s="4430">
        <f t="shared" si="397"/>
        <v>12.598231952674825</v>
      </c>
      <c r="BO55" s="4430">
        <f t="shared" si="398"/>
        <v>14.110019786995803</v>
      </c>
      <c r="BP55" s="4430">
        <f t="shared" si="399"/>
        <v>12.169892066283881</v>
      </c>
      <c r="BQ55" s="4430">
        <f t="shared" si="400"/>
        <v>13.630279114237947</v>
      </c>
      <c r="BR55" s="4430">
        <f t="shared" si="401"/>
        <v>0</v>
      </c>
      <c r="BS55" s="4430">
        <f t="shared" si="402"/>
        <v>0</v>
      </c>
      <c r="BT55" s="4430">
        <f t="shared" si="403"/>
        <v>0</v>
      </c>
      <c r="BU55" s="4430">
        <f t="shared" si="404"/>
        <v>0</v>
      </c>
      <c r="BV55" s="4430">
        <f t="shared" si="405"/>
        <v>0</v>
      </c>
      <c r="BW55" s="4430">
        <f t="shared" si="406"/>
        <v>0</v>
      </c>
      <c r="BX55" s="4430">
        <f t="shared" si="407"/>
        <v>0</v>
      </c>
      <c r="BY55" s="4430">
        <f t="shared" si="408"/>
        <v>0</v>
      </c>
      <c r="BZ55" s="4430">
        <f t="shared" si="409"/>
        <v>0</v>
      </c>
      <c r="CA55" s="4430">
        <f t="shared" si="410"/>
        <v>0</v>
      </c>
      <c r="CB55" s="4430">
        <f t="shared" si="411"/>
        <v>0</v>
      </c>
      <c r="CC55" s="4430">
        <f t="shared" si="412"/>
        <v>0</v>
      </c>
      <c r="CD55" s="4430">
        <f t="shared" si="413"/>
        <v>0</v>
      </c>
      <c r="CE55" s="4430">
        <f t="shared" si="414"/>
        <v>0</v>
      </c>
      <c r="CF55" s="4430">
        <f t="shared" si="415"/>
        <v>0</v>
      </c>
      <c r="CG55" s="4430">
        <f t="shared" si="416"/>
        <v>0</v>
      </c>
      <c r="CH55" s="4430">
        <f t="shared" si="417"/>
        <v>0</v>
      </c>
      <c r="CI55" s="4430">
        <f t="shared" si="418"/>
        <v>0</v>
      </c>
      <c r="CJ55" s="4430">
        <f t="shared" si="419"/>
        <v>10.972323770470849</v>
      </c>
      <c r="CK55" s="4430">
        <f t="shared" si="420"/>
        <v>11.981594649918931</v>
      </c>
      <c r="CL55" s="4430">
        <f t="shared" si="421"/>
        <v>13.524967312030773</v>
      </c>
      <c r="CM55" s="4430">
        <f t="shared" si="422"/>
        <v>15.710605076756531</v>
      </c>
      <c r="CN55" s="4430">
        <f t="shared" si="423"/>
        <v>17.59587768596732</v>
      </c>
      <c r="CO55" s="4430">
        <f t="shared" si="424"/>
        <v>19.707383008283397</v>
      </c>
      <c r="CP55" s="4430">
        <f t="shared" si="425"/>
        <v>22.23851357224299</v>
      </c>
      <c r="CQ55" s="4430">
        <f t="shared" si="426"/>
        <v>24.907135200912151</v>
      </c>
    </row>
    <row r="56" spans="1:121" s="162" customFormat="1" ht="26.25" thickBot="1">
      <c r="A56" s="613" t="s">
        <v>1267</v>
      </c>
      <c r="B56" s="615" t="s">
        <v>1198</v>
      </c>
      <c r="C56" s="1542">
        <f t="shared" ref="C56" si="442">IFERROR(C33/C18,0)</f>
        <v>12.846938775510203</v>
      </c>
      <c r="D56" s="1542">
        <f t="shared" ref="D56:H56" si="443">IFERROR(D33/D18,0)</f>
        <v>21.18</v>
      </c>
      <c r="E56" s="1542">
        <f t="shared" si="443"/>
        <v>23.721600000000002</v>
      </c>
      <c r="F56" s="1542">
        <f t="shared" si="443"/>
        <v>26.568192000000007</v>
      </c>
      <c r="G56" s="1542">
        <f t="shared" si="443"/>
        <v>31.176960000000008</v>
      </c>
      <c r="H56" s="1543">
        <f t="shared" si="443"/>
        <v>34.918195200000014</v>
      </c>
      <c r="I56" s="1542">
        <f t="shared" si="372"/>
        <v>54</v>
      </c>
      <c r="J56" s="1542">
        <f t="shared" si="372"/>
        <v>92</v>
      </c>
      <c r="K56" s="1542">
        <f t="shared" si="372"/>
        <v>103.04</v>
      </c>
      <c r="L56" s="1542">
        <f t="shared" si="372"/>
        <v>115.40480000000002</v>
      </c>
      <c r="M56" s="1542">
        <f t="shared" si="372"/>
        <v>129.25337600000003</v>
      </c>
      <c r="N56" s="1543">
        <f t="shared" si="372"/>
        <v>144.76378112000006</v>
      </c>
      <c r="O56" s="1542">
        <f t="shared" si="432"/>
        <v>13.857142857142858</v>
      </c>
      <c r="P56" s="1542">
        <f t="shared" ref="P56:T56" si="444">IFERROR(P33/P18,0)</f>
        <v>23.571428571428573</v>
      </c>
      <c r="Q56" s="1542">
        <f t="shared" si="444"/>
        <v>26.400000000000002</v>
      </c>
      <c r="R56" s="1542">
        <f t="shared" si="444"/>
        <v>29.568000000000005</v>
      </c>
      <c r="S56" s="1542">
        <f t="shared" si="444"/>
        <v>26.446933333333334</v>
      </c>
      <c r="T56" s="1543">
        <f t="shared" si="444"/>
        <v>29.620565333333339</v>
      </c>
      <c r="U56" s="1542">
        <f t="shared" si="434"/>
        <v>0</v>
      </c>
      <c r="V56" s="1542">
        <f t="shared" ref="V56:Z56" si="445">IFERROR(V33/V18,0)</f>
        <v>0</v>
      </c>
      <c r="W56" s="1542">
        <f t="shared" si="445"/>
        <v>0</v>
      </c>
      <c r="X56" s="1542">
        <f t="shared" si="445"/>
        <v>0</v>
      </c>
      <c r="Y56" s="1542">
        <f t="shared" si="445"/>
        <v>0</v>
      </c>
      <c r="Z56" s="1543">
        <f t="shared" si="445"/>
        <v>0</v>
      </c>
      <c r="AA56" s="1542">
        <f t="shared" si="436"/>
        <v>0</v>
      </c>
      <c r="AB56" s="1542">
        <f t="shared" ref="AB56:AF56" si="446">IFERROR(AB33/AB18,0)</f>
        <v>0</v>
      </c>
      <c r="AC56" s="1542">
        <f t="shared" si="446"/>
        <v>0</v>
      </c>
      <c r="AD56" s="1542">
        <f t="shared" si="446"/>
        <v>0</v>
      </c>
      <c r="AE56" s="1542">
        <f t="shared" si="446"/>
        <v>0</v>
      </c>
      <c r="AF56" s="1543">
        <f t="shared" si="446"/>
        <v>0</v>
      </c>
      <c r="AG56" s="1542">
        <f t="shared" si="438"/>
        <v>14</v>
      </c>
      <c r="AH56" s="1542">
        <f t="shared" ref="AH56:AL56" si="447">IFERROR(AH33/AH18,0)</f>
        <v>20</v>
      </c>
      <c r="AI56" s="1542">
        <f t="shared" si="447"/>
        <v>23</v>
      </c>
      <c r="AJ56" s="1542">
        <f t="shared" si="447"/>
        <v>26.5</v>
      </c>
      <c r="AK56" s="1542">
        <f t="shared" si="447"/>
        <v>30.5</v>
      </c>
      <c r="AL56" s="1543">
        <f t="shared" si="447"/>
        <v>35</v>
      </c>
      <c r="AM56" s="1542">
        <f t="shared" si="440"/>
        <v>13.30188679245283</v>
      </c>
      <c r="AN56" s="1542">
        <f t="shared" si="440"/>
        <v>16.568807339449542</v>
      </c>
      <c r="AO56" s="1542">
        <f t="shared" si="440"/>
        <v>19.208836892180166</v>
      </c>
      <c r="AP56" s="1542">
        <f t="shared" ref="AP56:AT56" si="448">IFERROR(AP33/AP18,0)</f>
        <v>21.99074074074074</v>
      </c>
      <c r="AQ56" s="1542">
        <f t="shared" si="448"/>
        <v>24.629629629629633</v>
      </c>
      <c r="AR56" s="1542">
        <f t="shared" si="448"/>
        <v>27.585185185185196</v>
      </c>
      <c r="AS56" s="1542">
        <f t="shared" si="448"/>
        <v>31.690906074074082</v>
      </c>
      <c r="AT56" s="1543">
        <f t="shared" si="448"/>
        <v>35.493814802962973</v>
      </c>
      <c r="AU56" s="949">
        <f t="shared" si="380"/>
        <v>0.65320462306277904</v>
      </c>
      <c r="AV56" s="949">
        <f t="shared" si="381"/>
        <v>0.64864177918983323</v>
      </c>
      <c r="AW56" s="945">
        <f t="shared" si="382"/>
        <v>0.70315789473684198</v>
      </c>
      <c r="AX56" s="4422"/>
      <c r="AY56" s="4426" t="s">
        <v>1879</v>
      </c>
      <c r="AZ56" s="4430">
        <f t="shared" si="383"/>
        <v>6.5685354941432559</v>
      </c>
      <c r="BA56" s="4430">
        <f t="shared" si="384"/>
        <v>10.829162043735908</v>
      </c>
      <c r="BB56" s="4430">
        <f t="shared" si="385"/>
        <v>12.128661488984218</v>
      </c>
      <c r="BC56" s="4430">
        <f t="shared" si="386"/>
        <v>13.584100867662325</v>
      </c>
      <c r="BD56" s="4430">
        <f t="shared" si="387"/>
        <v>15.940526528379261</v>
      </c>
      <c r="BE56" s="4430">
        <f t="shared" si="388"/>
        <v>17.853389711784775</v>
      </c>
      <c r="BF56" s="4430">
        <f t="shared" si="389"/>
        <v>27.609761584595798</v>
      </c>
      <c r="BG56" s="4430">
        <f t="shared" si="390"/>
        <v>47.038853070052099</v>
      </c>
      <c r="BH56" s="4430">
        <f t="shared" si="391"/>
        <v>52.683515438458357</v>
      </c>
      <c r="BI56" s="4430">
        <f t="shared" si="392"/>
        <v>59.005537291073367</v>
      </c>
      <c r="BJ56" s="4430">
        <f t="shared" si="393"/>
        <v>66.086201766002176</v>
      </c>
      <c r="BK56" s="4430">
        <f t="shared" si="394"/>
        <v>74.016545977922448</v>
      </c>
      <c r="BL56" s="4430">
        <f t="shared" si="395"/>
        <v>7.0850446394333133</v>
      </c>
      <c r="BM56" s="4430">
        <f t="shared" si="396"/>
        <v>12.051880056768008</v>
      </c>
      <c r="BN56" s="4430">
        <f t="shared" si="397"/>
        <v>13.498105663580169</v>
      </c>
      <c r="BO56" s="4430">
        <f t="shared" si="398"/>
        <v>15.117878343209791</v>
      </c>
      <c r="BP56" s="4430">
        <f t="shared" si="399"/>
        <v>13.522102295870978</v>
      </c>
      <c r="BQ56" s="4430">
        <f t="shared" si="400"/>
        <v>15.144754571375497</v>
      </c>
      <c r="BR56" s="4430">
        <f t="shared" si="401"/>
        <v>0</v>
      </c>
      <c r="BS56" s="4430">
        <f t="shared" si="402"/>
        <v>0</v>
      </c>
      <c r="BT56" s="4430">
        <f t="shared" si="403"/>
        <v>0</v>
      </c>
      <c r="BU56" s="4430">
        <f t="shared" si="404"/>
        <v>0</v>
      </c>
      <c r="BV56" s="4430">
        <f t="shared" si="405"/>
        <v>0</v>
      </c>
      <c r="BW56" s="4430">
        <f t="shared" si="406"/>
        <v>0</v>
      </c>
      <c r="BX56" s="4430">
        <f t="shared" si="407"/>
        <v>0</v>
      </c>
      <c r="BY56" s="4430">
        <f t="shared" si="408"/>
        <v>0</v>
      </c>
      <c r="BZ56" s="4430">
        <f t="shared" si="409"/>
        <v>0</v>
      </c>
      <c r="CA56" s="4430">
        <f t="shared" si="410"/>
        <v>0</v>
      </c>
      <c r="CB56" s="4430">
        <f t="shared" si="411"/>
        <v>0</v>
      </c>
      <c r="CC56" s="4430">
        <f t="shared" si="412"/>
        <v>0</v>
      </c>
      <c r="CD56" s="4430">
        <f t="shared" si="413"/>
        <v>7.1580863367470586</v>
      </c>
      <c r="CE56" s="4430">
        <f t="shared" si="414"/>
        <v>10.22583762392437</v>
      </c>
      <c r="CF56" s="4430">
        <f t="shared" si="415"/>
        <v>11.759713267513025</v>
      </c>
      <c r="CG56" s="4430">
        <f t="shared" si="416"/>
        <v>13.54923485169979</v>
      </c>
      <c r="CH56" s="4430">
        <f t="shared" si="417"/>
        <v>15.594402376484664</v>
      </c>
      <c r="CI56" s="4430">
        <f t="shared" si="418"/>
        <v>17.895215841867646</v>
      </c>
      <c r="CJ56" s="4430">
        <f t="shared" si="419"/>
        <v>6.8011467215723407</v>
      </c>
      <c r="CK56" s="4430">
        <f t="shared" si="420"/>
        <v>8.471496673764868</v>
      </c>
      <c r="CL56" s="4430">
        <f t="shared" si="421"/>
        <v>9.8213223501941211</v>
      </c>
      <c r="CM56" s="4430">
        <f t="shared" si="422"/>
        <v>11.243687202231657</v>
      </c>
      <c r="CN56" s="4430">
        <f t="shared" si="423"/>
        <v>12.592929666499458</v>
      </c>
      <c r="CO56" s="4430">
        <f t="shared" si="424"/>
        <v>14.104081226479396</v>
      </c>
      <c r="CP56" s="4430">
        <f t="shared" si="425"/>
        <v>16.203302983426006</v>
      </c>
      <c r="CQ56" s="4430">
        <f t="shared" si="426"/>
        <v>18.147699341437125</v>
      </c>
    </row>
    <row r="57" spans="1:121" s="162" customFormat="1" ht="26.25" thickBot="1">
      <c r="A57" s="613" t="s">
        <v>1268</v>
      </c>
      <c r="B57" s="615" t="s">
        <v>1199</v>
      </c>
      <c r="C57" s="1542">
        <f>IFERROR(C34/C19,0)</f>
        <v>16.285714285714285</v>
      </c>
      <c r="D57" s="1542">
        <f t="shared" ref="D57:H57" si="449">IFERROR(D34/D19,0)</f>
        <v>23.4</v>
      </c>
      <c r="E57" s="1542">
        <f t="shared" si="449"/>
        <v>26.208000000000006</v>
      </c>
      <c r="F57" s="1542">
        <f t="shared" si="449"/>
        <v>29.352960000000007</v>
      </c>
      <c r="G57" s="1542">
        <f t="shared" si="449"/>
        <v>33.755904000000001</v>
      </c>
      <c r="H57" s="1543">
        <f t="shared" si="449"/>
        <v>37.806612480000005</v>
      </c>
      <c r="I57" s="1542">
        <f t="shared" si="372"/>
        <v>0</v>
      </c>
      <c r="J57" s="1542">
        <f t="shared" si="372"/>
        <v>0</v>
      </c>
      <c r="K57" s="1542">
        <f t="shared" si="372"/>
        <v>0</v>
      </c>
      <c r="L57" s="1542">
        <f t="shared" si="372"/>
        <v>0</v>
      </c>
      <c r="M57" s="1542">
        <f t="shared" si="372"/>
        <v>0</v>
      </c>
      <c r="N57" s="1543">
        <f t="shared" si="372"/>
        <v>0</v>
      </c>
      <c r="O57" s="1542">
        <f t="shared" si="432"/>
        <v>0</v>
      </c>
      <c r="P57" s="1542">
        <f t="shared" ref="P57:T57" si="450">IFERROR(P34/P19,0)</f>
        <v>0</v>
      </c>
      <c r="Q57" s="1542">
        <f t="shared" si="450"/>
        <v>0</v>
      </c>
      <c r="R57" s="1542">
        <f t="shared" si="450"/>
        <v>0</v>
      </c>
      <c r="S57" s="1542">
        <f t="shared" si="450"/>
        <v>0</v>
      </c>
      <c r="T57" s="1543">
        <f t="shared" si="450"/>
        <v>0</v>
      </c>
      <c r="U57" s="1542">
        <f t="shared" si="434"/>
        <v>0</v>
      </c>
      <c r="V57" s="1542">
        <f t="shared" ref="V57:Z57" si="451">IFERROR(V34/V19,0)</f>
        <v>0</v>
      </c>
      <c r="W57" s="1542">
        <f t="shared" si="451"/>
        <v>0</v>
      </c>
      <c r="X57" s="1542">
        <f t="shared" si="451"/>
        <v>0</v>
      </c>
      <c r="Y57" s="1542">
        <f t="shared" si="451"/>
        <v>0</v>
      </c>
      <c r="Z57" s="1543">
        <f t="shared" si="451"/>
        <v>0</v>
      </c>
      <c r="AA57" s="1542">
        <f t="shared" si="436"/>
        <v>0</v>
      </c>
      <c r="AB57" s="1542">
        <f t="shared" ref="AB57:AF57" si="452">IFERROR(AB34/AB19,0)</f>
        <v>0</v>
      </c>
      <c r="AC57" s="1542">
        <f t="shared" si="452"/>
        <v>0</v>
      </c>
      <c r="AD57" s="1542">
        <f t="shared" si="452"/>
        <v>0</v>
      </c>
      <c r="AE57" s="1542">
        <f t="shared" si="452"/>
        <v>0</v>
      </c>
      <c r="AF57" s="1543">
        <f t="shared" si="452"/>
        <v>0</v>
      </c>
      <c r="AG57" s="1542">
        <f t="shared" si="438"/>
        <v>0</v>
      </c>
      <c r="AH57" s="1542">
        <f t="shared" ref="AH57:AL57" si="453">IFERROR(AH34/AH19,0)</f>
        <v>0</v>
      </c>
      <c r="AI57" s="1542">
        <f t="shared" si="453"/>
        <v>0</v>
      </c>
      <c r="AJ57" s="1542">
        <f t="shared" si="453"/>
        <v>0</v>
      </c>
      <c r="AK57" s="1542">
        <f t="shared" si="453"/>
        <v>0</v>
      </c>
      <c r="AL57" s="1543">
        <f t="shared" si="453"/>
        <v>0</v>
      </c>
      <c r="AM57" s="1542">
        <f t="shared" si="440"/>
        <v>16.714285714285715</v>
      </c>
      <c r="AN57" s="1542">
        <f t="shared" si="440"/>
        <v>21.2</v>
      </c>
      <c r="AO57" s="1542">
        <f t="shared" si="440"/>
        <v>20.925650557620816</v>
      </c>
      <c r="AP57" s="1542">
        <f t="shared" ref="AP57:AT57" si="454">IFERROR(AP34/AP19,0)</f>
        <v>24</v>
      </c>
      <c r="AQ57" s="1542">
        <f t="shared" si="454"/>
        <v>26.880000000000006</v>
      </c>
      <c r="AR57" s="1542">
        <f t="shared" si="454"/>
        <v>30.10560000000001</v>
      </c>
      <c r="AS57" s="1542">
        <f t="shared" si="454"/>
        <v>34.613913600000004</v>
      </c>
      <c r="AT57" s="1543">
        <f t="shared" si="454"/>
        <v>38.767583232000007</v>
      </c>
      <c r="AU57" s="949">
        <f t="shared" si="380"/>
        <v>0.43589743589743579</v>
      </c>
      <c r="AV57" s="949">
        <f t="shared" si="381"/>
        <v>0.43684210526315792</v>
      </c>
      <c r="AW57" s="945">
        <f t="shared" si="382"/>
        <v>0</v>
      </c>
      <c r="AX57" s="4422"/>
      <c r="AY57" s="4426" t="s">
        <v>1879</v>
      </c>
      <c r="AZ57" s="4430">
        <f t="shared" si="383"/>
        <v>8.3267534937669865</v>
      </c>
      <c r="BA57" s="4430">
        <f t="shared" si="384"/>
        <v>11.964230019991511</v>
      </c>
      <c r="BB57" s="4430">
        <f t="shared" si="385"/>
        <v>13.399937622390498</v>
      </c>
      <c r="BC57" s="4430">
        <f t="shared" si="386"/>
        <v>15.007930137077357</v>
      </c>
      <c r="BD57" s="4430">
        <f t="shared" si="387"/>
        <v>17.259119657638959</v>
      </c>
      <c r="BE57" s="4430">
        <f t="shared" si="388"/>
        <v>19.330214016555633</v>
      </c>
      <c r="BF57" s="4430">
        <f t="shared" si="389"/>
        <v>0</v>
      </c>
      <c r="BG57" s="4430">
        <f t="shared" si="390"/>
        <v>0</v>
      </c>
      <c r="BH57" s="4430">
        <f t="shared" si="391"/>
        <v>0</v>
      </c>
      <c r="BI57" s="4430">
        <f t="shared" si="392"/>
        <v>0</v>
      </c>
      <c r="BJ57" s="4430">
        <f t="shared" si="393"/>
        <v>0</v>
      </c>
      <c r="BK57" s="4430">
        <f t="shared" si="394"/>
        <v>0</v>
      </c>
      <c r="BL57" s="4430">
        <f t="shared" si="395"/>
        <v>0</v>
      </c>
      <c r="BM57" s="4430">
        <f t="shared" si="396"/>
        <v>0</v>
      </c>
      <c r="BN57" s="4430">
        <f t="shared" si="397"/>
        <v>0</v>
      </c>
      <c r="BO57" s="4430">
        <f t="shared" si="398"/>
        <v>0</v>
      </c>
      <c r="BP57" s="4430">
        <f t="shared" si="399"/>
        <v>0</v>
      </c>
      <c r="BQ57" s="4430">
        <f t="shared" si="400"/>
        <v>0</v>
      </c>
      <c r="BR57" s="4430">
        <f t="shared" si="401"/>
        <v>0</v>
      </c>
      <c r="BS57" s="4430">
        <f t="shared" si="402"/>
        <v>0</v>
      </c>
      <c r="BT57" s="4430">
        <f t="shared" si="403"/>
        <v>0</v>
      </c>
      <c r="BU57" s="4430">
        <f t="shared" si="404"/>
        <v>0</v>
      </c>
      <c r="BV57" s="4430">
        <f t="shared" si="405"/>
        <v>0</v>
      </c>
      <c r="BW57" s="4430">
        <f t="shared" si="406"/>
        <v>0</v>
      </c>
      <c r="BX57" s="4430">
        <f t="shared" si="407"/>
        <v>0</v>
      </c>
      <c r="BY57" s="4430">
        <f t="shared" si="408"/>
        <v>0</v>
      </c>
      <c r="BZ57" s="4430">
        <f t="shared" si="409"/>
        <v>0</v>
      </c>
      <c r="CA57" s="4430">
        <f t="shared" si="410"/>
        <v>0</v>
      </c>
      <c r="CB57" s="4430">
        <f t="shared" si="411"/>
        <v>0</v>
      </c>
      <c r="CC57" s="4430">
        <f t="shared" si="412"/>
        <v>0</v>
      </c>
      <c r="CD57" s="4430">
        <f t="shared" si="413"/>
        <v>0</v>
      </c>
      <c r="CE57" s="4430">
        <f t="shared" si="414"/>
        <v>0</v>
      </c>
      <c r="CF57" s="4430">
        <f t="shared" si="415"/>
        <v>0</v>
      </c>
      <c r="CG57" s="4430">
        <f t="shared" si="416"/>
        <v>0</v>
      </c>
      <c r="CH57" s="4430">
        <f t="shared" si="417"/>
        <v>0</v>
      </c>
      <c r="CI57" s="4430">
        <f t="shared" si="418"/>
        <v>0</v>
      </c>
      <c r="CJ57" s="4430">
        <f t="shared" si="419"/>
        <v>8.5458785857082233</v>
      </c>
      <c r="CK57" s="4430">
        <f t="shared" si="420"/>
        <v>10.839387881359832</v>
      </c>
      <c r="CL57" s="4430">
        <f t="shared" si="421"/>
        <v>10.699115238860646</v>
      </c>
      <c r="CM57" s="4430">
        <f t="shared" si="422"/>
        <v>12.271005148709245</v>
      </c>
      <c r="CN57" s="4430">
        <f t="shared" si="423"/>
        <v>13.743525766554356</v>
      </c>
      <c r="CO57" s="4430">
        <f t="shared" si="424"/>
        <v>15.39274885854088</v>
      </c>
      <c r="CP57" s="4430">
        <f t="shared" si="425"/>
        <v>17.697813000107374</v>
      </c>
      <c r="CQ57" s="4430">
        <f t="shared" si="426"/>
        <v>19.821550560120262</v>
      </c>
    </row>
    <row r="58" spans="1:121" s="162" customFormat="1" ht="26.25" thickBot="1">
      <c r="A58" s="613" t="s">
        <v>1269</v>
      </c>
      <c r="B58" s="615" t="s">
        <v>1200</v>
      </c>
      <c r="C58" s="1542">
        <f t="shared" ref="C58" si="455">IFERROR(C35/C20,0)</f>
        <v>0</v>
      </c>
      <c r="D58" s="1542">
        <f>IFERROR(D35/D20,0)</f>
        <v>0</v>
      </c>
      <c r="E58" s="1542">
        <f>IFERROR(E35/E20,0)</f>
        <v>0</v>
      </c>
      <c r="F58" s="1542">
        <f>IFERROR(F35/F20,0)</f>
        <v>0</v>
      </c>
      <c r="G58" s="1542">
        <f>IFERROR(G35/G20,0)</f>
        <v>0</v>
      </c>
      <c r="H58" s="1543">
        <f>IFERROR(H35/H20,0)</f>
        <v>0</v>
      </c>
      <c r="I58" s="1542">
        <f t="shared" si="372"/>
        <v>0</v>
      </c>
      <c r="J58" s="1542">
        <f t="shared" si="372"/>
        <v>0</v>
      </c>
      <c r="K58" s="1542">
        <f t="shared" si="372"/>
        <v>0</v>
      </c>
      <c r="L58" s="1542">
        <f t="shared" si="372"/>
        <v>0</v>
      </c>
      <c r="M58" s="1542">
        <f t="shared" si="372"/>
        <v>0</v>
      </c>
      <c r="N58" s="1543">
        <f t="shared" si="372"/>
        <v>0</v>
      </c>
      <c r="O58" s="1542">
        <f t="shared" si="432"/>
        <v>0</v>
      </c>
      <c r="P58" s="1542">
        <f>IFERROR(P35/P20,0)</f>
        <v>0</v>
      </c>
      <c r="Q58" s="1542">
        <f>IFERROR(Q35/Q20,0)</f>
        <v>0</v>
      </c>
      <c r="R58" s="1542">
        <f>IFERROR(R35/R20,0)</f>
        <v>0</v>
      </c>
      <c r="S58" s="1542">
        <f>IFERROR(S35/S20,0)</f>
        <v>0</v>
      </c>
      <c r="T58" s="1543">
        <f>IFERROR(T35/T20,0)</f>
        <v>0</v>
      </c>
      <c r="U58" s="1542">
        <f t="shared" si="434"/>
        <v>0</v>
      </c>
      <c r="V58" s="1542">
        <f>IFERROR(V35/V20,0)</f>
        <v>0</v>
      </c>
      <c r="W58" s="1542">
        <f>IFERROR(W35/W20,0)</f>
        <v>0</v>
      </c>
      <c r="X58" s="1542">
        <f>IFERROR(X35/X20,0)</f>
        <v>0</v>
      </c>
      <c r="Y58" s="1542">
        <f>IFERROR(Y35/Y20,0)</f>
        <v>0</v>
      </c>
      <c r="Z58" s="1543">
        <f>IFERROR(Z35/Z20,0)</f>
        <v>0</v>
      </c>
      <c r="AA58" s="1542">
        <f t="shared" si="436"/>
        <v>0</v>
      </c>
      <c r="AB58" s="1542">
        <f>IFERROR(AB35/AB20,0)</f>
        <v>0</v>
      </c>
      <c r="AC58" s="1542">
        <f>IFERROR(AC35/AC20,0)</f>
        <v>0</v>
      </c>
      <c r="AD58" s="1542">
        <f>IFERROR(AD35/AD20,0)</f>
        <v>0</v>
      </c>
      <c r="AE58" s="1542">
        <f>IFERROR(AE35/AE20,0)</f>
        <v>0</v>
      </c>
      <c r="AF58" s="1543">
        <f>IFERROR(AF35/AF20,0)</f>
        <v>0</v>
      </c>
      <c r="AG58" s="1542">
        <f t="shared" si="438"/>
        <v>0</v>
      </c>
      <c r="AH58" s="1542">
        <f>IFERROR(AH35/AH20,0)</f>
        <v>0</v>
      </c>
      <c r="AI58" s="1542">
        <f>IFERROR(AI35/AI20,0)</f>
        <v>0</v>
      </c>
      <c r="AJ58" s="1542">
        <f>IFERROR(AJ35/AJ20,0)</f>
        <v>0</v>
      </c>
      <c r="AK58" s="1542">
        <f>IFERROR(AK35/AK20,0)</f>
        <v>0</v>
      </c>
      <c r="AL58" s="1543">
        <f>IFERROR(AL35/AL20,0)</f>
        <v>0</v>
      </c>
      <c r="AM58" s="1542">
        <f t="shared" si="440"/>
        <v>0</v>
      </c>
      <c r="AN58" s="1542">
        <f t="shared" si="440"/>
        <v>0</v>
      </c>
      <c r="AO58" s="1542">
        <f t="shared" si="440"/>
        <v>0</v>
      </c>
      <c r="AP58" s="1542">
        <f>IFERROR(AP35/AP20,0)</f>
        <v>0</v>
      </c>
      <c r="AQ58" s="1542">
        <f t="shared" ref="AQ58:AT58" si="456">IFERROR(AQ35/AQ20,0)</f>
        <v>0</v>
      </c>
      <c r="AR58" s="1542">
        <f t="shared" si="456"/>
        <v>0</v>
      </c>
      <c r="AS58" s="1542">
        <f t="shared" si="456"/>
        <v>0</v>
      </c>
      <c r="AT58" s="1543">
        <f t="shared" si="456"/>
        <v>0</v>
      </c>
      <c r="AU58" s="949">
        <f t="shared" si="380"/>
        <v>0</v>
      </c>
      <c r="AV58" s="949">
        <f t="shared" si="381"/>
        <v>0</v>
      </c>
      <c r="AW58" s="945">
        <f t="shared" si="382"/>
        <v>0</v>
      </c>
      <c r="AX58" s="4422"/>
      <c r="AY58" s="4426" t="s">
        <v>1879</v>
      </c>
      <c r="AZ58" s="4430">
        <f t="shared" si="383"/>
        <v>0</v>
      </c>
      <c r="BA58" s="4430">
        <f t="shared" si="384"/>
        <v>0</v>
      </c>
      <c r="BB58" s="4430">
        <f t="shared" si="385"/>
        <v>0</v>
      </c>
      <c r="BC58" s="4430">
        <f t="shared" si="386"/>
        <v>0</v>
      </c>
      <c r="BD58" s="4430">
        <f t="shared" si="387"/>
        <v>0</v>
      </c>
      <c r="BE58" s="4430">
        <f t="shared" si="388"/>
        <v>0</v>
      </c>
      <c r="BF58" s="4430">
        <f t="shared" si="389"/>
        <v>0</v>
      </c>
      <c r="BG58" s="4430">
        <f t="shared" si="390"/>
        <v>0</v>
      </c>
      <c r="BH58" s="4430">
        <f t="shared" si="391"/>
        <v>0</v>
      </c>
      <c r="BI58" s="4430">
        <f t="shared" si="392"/>
        <v>0</v>
      </c>
      <c r="BJ58" s="4430">
        <f t="shared" si="393"/>
        <v>0</v>
      </c>
      <c r="BK58" s="4430">
        <f t="shared" si="394"/>
        <v>0</v>
      </c>
      <c r="BL58" s="4430">
        <f t="shared" si="395"/>
        <v>0</v>
      </c>
      <c r="BM58" s="4430">
        <f t="shared" si="396"/>
        <v>0</v>
      </c>
      <c r="BN58" s="4430">
        <f t="shared" si="397"/>
        <v>0</v>
      </c>
      <c r="BO58" s="4430">
        <f t="shared" si="398"/>
        <v>0</v>
      </c>
      <c r="BP58" s="4430">
        <f t="shared" si="399"/>
        <v>0</v>
      </c>
      <c r="BQ58" s="4430">
        <f t="shared" si="400"/>
        <v>0</v>
      </c>
      <c r="BR58" s="4430">
        <f t="shared" si="401"/>
        <v>0</v>
      </c>
      <c r="BS58" s="4430">
        <f t="shared" si="402"/>
        <v>0</v>
      </c>
      <c r="BT58" s="4430">
        <f t="shared" si="403"/>
        <v>0</v>
      </c>
      <c r="BU58" s="4430">
        <f t="shared" si="404"/>
        <v>0</v>
      </c>
      <c r="BV58" s="4430">
        <f t="shared" si="405"/>
        <v>0</v>
      </c>
      <c r="BW58" s="4430">
        <f t="shared" si="406"/>
        <v>0</v>
      </c>
      <c r="BX58" s="4430">
        <f t="shared" si="407"/>
        <v>0</v>
      </c>
      <c r="BY58" s="4430">
        <f t="shared" si="408"/>
        <v>0</v>
      </c>
      <c r="BZ58" s="4430">
        <f t="shared" si="409"/>
        <v>0</v>
      </c>
      <c r="CA58" s="4430">
        <f t="shared" si="410"/>
        <v>0</v>
      </c>
      <c r="CB58" s="4430">
        <f t="shared" si="411"/>
        <v>0</v>
      </c>
      <c r="CC58" s="4430">
        <f t="shared" si="412"/>
        <v>0</v>
      </c>
      <c r="CD58" s="4430">
        <f t="shared" si="413"/>
        <v>0</v>
      </c>
      <c r="CE58" s="4430">
        <f t="shared" si="414"/>
        <v>0</v>
      </c>
      <c r="CF58" s="4430">
        <f t="shared" si="415"/>
        <v>0</v>
      </c>
      <c r="CG58" s="4430">
        <f t="shared" si="416"/>
        <v>0</v>
      </c>
      <c r="CH58" s="4430">
        <f t="shared" si="417"/>
        <v>0</v>
      </c>
      <c r="CI58" s="4430">
        <f t="shared" si="418"/>
        <v>0</v>
      </c>
      <c r="CJ58" s="4430">
        <f t="shared" si="419"/>
        <v>0</v>
      </c>
      <c r="CK58" s="4430">
        <f t="shared" si="420"/>
        <v>0</v>
      </c>
      <c r="CL58" s="4430">
        <f t="shared" si="421"/>
        <v>0</v>
      </c>
      <c r="CM58" s="4430">
        <f t="shared" si="422"/>
        <v>0</v>
      </c>
      <c r="CN58" s="4430">
        <f t="shared" si="423"/>
        <v>0</v>
      </c>
      <c r="CO58" s="4430">
        <f t="shared" si="424"/>
        <v>0</v>
      </c>
      <c r="CP58" s="4430">
        <f t="shared" si="425"/>
        <v>0</v>
      </c>
      <c r="CQ58" s="4430">
        <f t="shared" si="426"/>
        <v>0</v>
      </c>
    </row>
    <row r="59" spans="1:121" s="162" customFormat="1" ht="26.25" thickBot="1">
      <c r="A59" s="613" t="s">
        <v>1270</v>
      </c>
      <c r="B59" s="615" t="s">
        <v>1201</v>
      </c>
      <c r="C59" s="1542">
        <f t="shared" ref="C59" si="457">IFERROR(C36/C21,0)</f>
        <v>13.941558441558442</v>
      </c>
      <c r="D59" s="1542">
        <f t="shared" ref="D59:H59" si="458">IFERROR(D36/D21,0)</f>
        <v>23.451388888888889</v>
      </c>
      <c r="E59" s="1542">
        <f t="shared" si="458"/>
        <v>26.265555555555558</v>
      </c>
      <c r="F59" s="1542">
        <f t="shared" si="458"/>
        <v>29.417422222222228</v>
      </c>
      <c r="G59" s="1542">
        <f t="shared" si="458"/>
        <v>33.366610410958906</v>
      </c>
      <c r="H59" s="1543">
        <f t="shared" si="458"/>
        <v>37.370603660273979</v>
      </c>
      <c r="I59" s="1542">
        <f t="shared" si="372"/>
        <v>18.8</v>
      </c>
      <c r="J59" s="1542">
        <f t="shared" si="372"/>
        <v>23.5</v>
      </c>
      <c r="K59" s="1542">
        <f t="shared" si="372"/>
        <v>26.320000000000004</v>
      </c>
      <c r="L59" s="1542">
        <f t="shared" si="372"/>
        <v>29.478400000000008</v>
      </c>
      <c r="M59" s="1542">
        <f t="shared" si="372"/>
        <v>33.015808000000014</v>
      </c>
      <c r="N59" s="1543">
        <f t="shared" si="372"/>
        <v>36.977704960000018</v>
      </c>
      <c r="O59" s="1542">
        <f t="shared" si="432"/>
        <v>15.555555555555555</v>
      </c>
      <c r="P59" s="1542">
        <f t="shared" ref="P59:T59" si="459">IFERROR(P36/P21,0)</f>
        <v>23.375</v>
      </c>
      <c r="Q59" s="1542">
        <f t="shared" si="459"/>
        <v>26.180000000000003</v>
      </c>
      <c r="R59" s="1542">
        <f t="shared" si="459"/>
        <v>29.321600000000007</v>
      </c>
      <c r="S59" s="1542">
        <f t="shared" si="459"/>
        <v>26.975872000000003</v>
      </c>
      <c r="T59" s="1543">
        <f t="shared" si="459"/>
        <v>30.212976640000004</v>
      </c>
      <c r="U59" s="1542">
        <f t="shared" si="434"/>
        <v>0</v>
      </c>
      <c r="V59" s="1542">
        <f t="shared" ref="V59:Z59" si="460">IFERROR(V36/V21,0)</f>
        <v>0</v>
      </c>
      <c r="W59" s="1542">
        <f t="shared" si="460"/>
        <v>0</v>
      </c>
      <c r="X59" s="1542">
        <f t="shared" si="460"/>
        <v>0</v>
      </c>
      <c r="Y59" s="1542">
        <f t="shared" si="460"/>
        <v>0</v>
      </c>
      <c r="Z59" s="1543">
        <f t="shared" si="460"/>
        <v>0</v>
      </c>
      <c r="AA59" s="1542">
        <f t="shared" si="436"/>
        <v>0</v>
      </c>
      <c r="AB59" s="1542">
        <f t="shared" ref="AB59:AF59" si="461">IFERROR(AB36/AB21,0)</f>
        <v>0</v>
      </c>
      <c r="AC59" s="1542">
        <f t="shared" si="461"/>
        <v>0</v>
      </c>
      <c r="AD59" s="1542">
        <f t="shared" si="461"/>
        <v>0</v>
      </c>
      <c r="AE59" s="1542">
        <f t="shared" si="461"/>
        <v>0</v>
      </c>
      <c r="AF59" s="1543">
        <f t="shared" si="461"/>
        <v>0</v>
      </c>
      <c r="AG59" s="1542">
        <f t="shared" si="438"/>
        <v>0</v>
      </c>
      <c r="AH59" s="1542">
        <f t="shared" ref="AH59:AL59" si="462">IFERROR(AH36/AH21,0)</f>
        <v>0</v>
      </c>
      <c r="AI59" s="1542">
        <f t="shared" si="462"/>
        <v>0</v>
      </c>
      <c r="AJ59" s="1542">
        <f t="shared" si="462"/>
        <v>0</v>
      </c>
      <c r="AK59" s="1542">
        <f t="shared" si="462"/>
        <v>0</v>
      </c>
      <c r="AL59" s="1543">
        <f t="shared" si="462"/>
        <v>0</v>
      </c>
      <c r="AM59" s="1542">
        <f t="shared" si="440"/>
        <v>14.172619047619047</v>
      </c>
      <c r="AN59" s="1542">
        <f t="shared" si="440"/>
        <v>18.25</v>
      </c>
      <c r="AO59" s="1542">
        <f t="shared" si="440"/>
        <v>20.250771271573594</v>
      </c>
      <c r="AP59" s="1542">
        <f t="shared" ref="AP59:AT59" si="463">IFERROR(AP36/AP21,0)</f>
        <v>23.448051948051948</v>
      </c>
      <c r="AQ59" s="1542">
        <f t="shared" si="463"/>
        <v>26.261818181818182</v>
      </c>
      <c r="AR59" s="1542">
        <f t="shared" si="463"/>
        <v>29.413236363636369</v>
      </c>
      <c r="AS59" s="1542">
        <f t="shared" si="463"/>
        <v>32.957692759493675</v>
      </c>
      <c r="AT59" s="1543">
        <f t="shared" si="463"/>
        <v>36.912615890632921</v>
      </c>
      <c r="AU59" s="949">
        <f t="shared" si="380"/>
        <v>0.65446145622542096</v>
      </c>
      <c r="AV59" s="949">
        <f t="shared" si="381"/>
        <v>0.68212104745639912</v>
      </c>
      <c r="AW59" s="945">
        <f t="shared" si="382"/>
        <v>0.36440815006468308</v>
      </c>
      <c r="AX59" s="4422"/>
      <c r="AY59" s="4426" t="s">
        <v>1879</v>
      </c>
      <c r="AZ59" s="4430">
        <f t="shared" si="383"/>
        <v>7.1282056423914364</v>
      </c>
      <c r="BA59" s="4430">
        <f t="shared" si="384"/>
        <v>11.990504741664097</v>
      </c>
      <c r="BB59" s="4430">
        <f t="shared" si="385"/>
        <v>13.429365310663789</v>
      </c>
      <c r="BC59" s="4430">
        <f t="shared" si="386"/>
        <v>15.040889147943446</v>
      </c>
      <c r="BD59" s="4430">
        <f t="shared" si="387"/>
        <v>17.060077006160508</v>
      </c>
      <c r="BE59" s="4430">
        <f t="shared" si="388"/>
        <v>19.107286246899772</v>
      </c>
      <c r="BF59" s="4430">
        <f t="shared" si="389"/>
        <v>9.6122873664889088</v>
      </c>
      <c r="BG59" s="4430">
        <f t="shared" si="390"/>
        <v>12.015359208111134</v>
      </c>
      <c r="BH59" s="4430">
        <f t="shared" si="391"/>
        <v>13.457202313084473</v>
      </c>
      <c r="BI59" s="4430">
        <f t="shared" si="392"/>
        <v>15.072066590654611</v>
      </c>
      <c r="BJ59" s="4430">
        <f t="shared" si="393"/>
        <v>16.880714581533166</v>
      </c>
      <c r="BK59" s="4430">
        <f t="shared" si="394"/>
        <v>18.906400331317148</v>
      </c>
      <c r="BL59" s="4430">
        <f t="shared" si="395"/>
        <v>7.9534292630522874</v>
      </c>
      <c r="BM59" s="4430">
        <f t="shared" si="396"/>
        <v>11.951447722961607</v>
      </c>
      <c r="BN59" s="4430">
        <f t="shared" si="397"/>
        <v>13.385621449717002</v>
      </c>
      <c r="BO59" s="4430">
        <f t="shared" si="398"/>
        <v>14.991896023683044</v>
      </c>
      <c r="BP59" s="4430">
        <f t="shared" si="399"/>
        <v>13.792544341788398</v>
      </c>
      <c r="BQ59" s="4430">
        <f t="shared" si="400"/>
        <v>15.447649662803007</v>
      </c>
      <c r="BR59" s="4430">
        <f t="shared" si="401"/>
        <v>0</v>
      </c>
      <c r="BS59" s="4430">
        <f t="shared" si="402"/>
        <v>0</v>
      </c>
      <c r="BT59" s="4430">
        <f t="shared" si="403"/>
        <v>0</v>
      </c>
      <c r="BU59" s="4430">
        <f t="shared" si="404"/>
        <v>0</v>
      </c>
      <c r="BV59" s="4430">
        <f t="shared" si="405"/>
        <v>0</v>
      </c>
      <c r="BW59" s="4430">
        <f t="shared" si="406"/>
        <v>0</v>
      </c>
      <c r="BX59" s="4430">
        <f t="shared" si="407"/>
        <v>0</v>
      </c>
      <c r="BY59" s="4430">
        <f t="shared" si="408"/>
        <v>0</v>
      </c>
      <c r="BZ59" s="4430">
        <f t="shared" si="409"/>
        <v>0</v>
      </c>
      <c r="CA59" s="4430">
        <f t="shared" si="410"/>
        <v>0</v>
      </c>
      <c r="CB59" s="4430">
        <f t="shared" si="411"/>
        <v>0</v>
      </c>
      <c r="CC59" s="4430">
        <f t="shared" si="412"/>
        <v>0</v>
      </c>
      <c r="CD59" s="4430">
        <f t="shared" si="413"/>
        <v>0</v>
      </c>
      <c r="CE59" s="4430">
        <f t="shared" si="414"/>
        <v>0</v>
      </c>
      <c r="CF59" s="4430">
        <f t="shared" si="415"/>
        <v>0</v>
      </c>
      <c r="CG59" s="4430">
        <f t="shared" si="416"/>
        <v>0</v>
      </c>
      <c r="CH59" s="4430">
        <f t="shared" si="417"/>
        <v>0</v>
      </c>
      <c r="CI59" s="4430">
        <f t="shared" si="418"/>
        <v>0</v>
      </c>
      <c r="CJ59" s="4430">
        <f t="shared" si="419"/>
        <v>7.2463450543345012</v>
      </c>
      <c r="CK59" s="4430">
        <f t="shared" si="420"/>
        <v>9.3310768318309876</v>
      </c>
      <c r="CL59" s="4430">
        <f t="shared" si="421"/>
        <v>10.354054939117201</v>
      </c>
      <c r="CM59" s="4430">
        <f t="shared" si="422"/>
        <v>11.988798590906136</v>
      </c>
      <c r="CN59" s="4430">
        <f t="shared" si="423"/>
        <v>13.427454421814872</v>
      </c>
      <c r="CO59" s="4430">
        <f t="shared" si="424"/>
        <v>15.038748952432661</v>
      </c>
      <c r="CP59" s="4430">
        <f t="shared" si="425"/>
        <v>16.851000730888511</v>
      </c>
      <c r="CQ59" s="4430">
        <f t="shared" si="426"/>
        <v>18.873120818595133</v>
      </c>
    </row>
    <row r="60" spans="1:121" s="162" customFormat="1" ht="26.25" thickBot="1">
      <c r="A60" s="613" t="s">
        <v>1271</v>
      </c>
      <c r="B60" s="615" t="s">
        <v>1202</v>
      </c>
      <c r="C60" s="1542">
        <f t="shared" ref="C60" si="464">IFERROR(C37/C22,0)</f>
        <v>17.834285714285713</v>
      </c>
      <c r="D60" s="1542">
        <f t="shared" ref="D60:H60" si="465">IFERROR(D37/D22,0)</f>
        <v>25.787709497206706</v>
      </c>
      <c r="E60" s="1542">
        <f t="shared" si="465"/>
        <v>28.882234636871509</v>
      </c>
      <c r="F60" s="1542">
        <f t="shared" si="465"/>
        <v>32.348102793296093</v>
      </c>
      <c r="G60" s="1542">
        <f t="shared" si="465"/>
        <v>35.232047407407407</v>
      </c>
      <c r="H60" s="1543">
        <f t="shared" si="465"/>
        <v>39.459893096296298</v>
      </c>
      <c r="I60" s="1542">
        <f t="shared" si="372"/>
        <v>17.833333333333332</v>
      </c>
      <c r="J60" s="1542">
        <f t="shared" si="372"/>
        <v>26.666666666666668</v>
      </c>
      <c r="K60" s="1542">
        <f t="shared" si="372"/>
        <v>29.866666666666671</v>
      </c>
      <c r="L60" s="1542">
        <f t="shared" si="372"/>
        <v>33.45066666666667</v>
      </c>
      <c r="M60" s="1542">
        <f t="shared" si="372"/>
        <v>37.464746666666677</v>
      </c>
      <c r="N60" s="1543">
        <f t="shared" si="372"/>
        <v>41.96051626666668</v>
      </c>
      <c r="O60" s="1542">
        <f t="shared" si="432"/>
        <v>16.5</v>
      </c>
      <c r="P60" s="1542">
        <f t="shared" ref="P60:T60" si="466">IFERROR(P37/P22,0)</f>
        <v>22.578947368421051</v>
      </c>
      <c r="Q60" s="1542">
        <f t="shared" si="466"/>
        <v>25.28842105263158</v>
      </c>
      <c r="R60" s="1542">
        <f t="shared" si="466"/>
        <v>28.323031578947369</v>
      </c>
      <c r="S60" s="1542">
        <f t="shared" si="466"/>
        <v>25.78576</v>
      </c>
      <c r="T60" s="1543">
        <f t="shared" si="466"/>
        <v>28.8800512</v>
      </c>
      <c r="U60" s="1542">
        <f t="shared" si="434"/>
        <v>0</v>
      </c>
      <c r="V60" s="1542">
        <f t="shared" ref="V60:Z60" si="467">IFERROR(V37/V22,0)</f>
        <v>0</v>
      </c>
      <c r="W60" s="1542">
        <f t="shared" si="467"/>
        <v>0</v>
      </c>
      <c r="X60" s="1542">
        <f t="shared" si="467"/>
        <v>0</v>
      </c>
      <c r="Y60" s="1542">
        <f t="shared" si="467"/>
        <v>0</v>
      </c>
      <c r="Z60" s="1543">
        <f t="shared" si="467"/>
        <v>0</v>
      </c>
      <c r="AA60" s="1542">
        <f t="shared" si="436"/>
        <v>0</v>
      </c>
      <c r="AB60" s="1542">
        <f t="shared" ref="AB60:AF60" si="468">IFERROR(AB37/AB22,0)</f>
        <v>0</v>
      </c>
      <c r="AC60" s="1542">
        <f t="shared" si="468"/>
        <v>0</v>
      </c>
      <c r="AD60" s="1542">
        <f t="shared" si="468"/>
        <v>0</v>
      </c>
      <c r="AE60" s="1542">
        <f t="shared" si="468"/>
        <v>0</v>
      </c>
      <c r="AF60" s="1543">
        <f t="shared" si="468"/>
        <v>0</v>
      </c>
      <c r="AG60" s="1542">
        <f t="shared" si="438"/>
        <v>0</v>
      </c>
      <c r="AH60" s="1542">
        <f t="shared" ref="AH60:AL60" si="469">IFERROR(AH37/AH22,0)</f>
        <v>0</v>
      </c>
      <c r="AI60" s="1542">
        <f t="shared" si="469"/>
        <v>0</v>
      </c>
      <c r="AJ60" s="1542">
        <f t="shared" si="469"/>
        <v>0</v>
      </c>
      <c r="AK60" s="1542">
        <f t="shared" si="469"/>
        <v>0</v>
      </c>
      <c r="AL60" s="1543">
        <f t="shared" si="469"/>
        <v>0</v>
      </c>
      <c r="AM60" s="1542">
        <f t="shared" si="440"/>
        <v>17.713567839195981</v>
      </c>
      <c r="AN60" s="1542">
        <f t="shared" si="440"/>
        <v>20.408866995073893</v>
      </c>
      <c r="AO60" s="1542">
        <f t="shared" si="440"/>
        <v>22.186274509803923</v>
      </c>
      <c r="AP60" s="1542">
        <f t="shared" ref="AP60:AT60" si="470">IFERROR(AP37/AP22,0)</f>
        <v>25.514705882352942</v>
      </c>
      <c r="AQ60" s="1542">
        <f t="shared" si="470"/>
        <v>28.576470588235296</v>
      </c>
      <c r="AR60" s="1542">
        <f t="shared" si="470"/>
        <v>32.005647058823527</v>
      </c>
      <c r="AS60" s="1542">
        <f t="shared" si="470"/>
        <v>34.258007671232875</v>
      </c>
      <c r="AT60" s="1543">
        <f t="shared" si="470"/>
        <v>38.368968591780821</v>
      </c>
      <c r="AU60" s="949">
        <f t="shared" si="380"/>
        <v>0.4404046725073007</v>
      </c>
      <c r="AV60" s="949">
        <f t="shared" si="381"/>
        <v>0.44596256392540012</v>
      </c>
      <c r="AW60" s="945">
        <f t="shared" si="382"/>
        <v>0.43433827286663279</v>
      </c>
      <c r="AX60" s="4422"/>
      <c r="AY60" s="4426" t="s">
        <v>1879</v>
      </c>
      <c r="AZ60" s="4430">
        <f t="shared" si="383"/>
        <v>9.1185254926479882</v>
      </c>
      <c r="BA60" s="4430">
        <f t="shared" si="384"/>
        <v>13.185046500568406</v>
      </c>
      <c r="BB60" s="4430">
        <f t="shared" si="385"/>
        <v>14.767252080636615</v>
      </c>
      <c r="BC60" s="4430">
        <f t="shared" si="386"/>
        <v>16.539322330313009</v>
      </c>
      <c r="BD60" s="4430">
        <f t="shared" si="387"/>
        <v>18.013859797327687</v>
      </c>
      <c r="BE60" s="4430">
        <f t="shared" si="388"/>
        <v>20.175522973007009</v>
      </c>
      <c r="BF60" s="4430">
        <f t="shared" si="389"/>
        <v>9.1180385479992285</v>
      </c>
      <c r="BG60" s="4430">
        <f t="shared" si="390"/>
        <v>13.634450165232494</v>
      </c>
      <c r="BH60" s="4430">
        <f t="shared" si="391"/>
        <v>15.270584185060395</v>
      </c>
      <c r="BI60" s="4430">
        <f t="shared" si="392"/>
        <v>17.103054287267643</v>
      </c>
      <c r="BJ60" s="4430">
        <f t="shared" si="393"/>
        <v>19.155420801739762</v>
      </c>
      <c r="BK60" s="4430">
        <f t="shared" si="394"/>
        <v>21.454071297948534</v>
      </c>
      <c r="BL60" s="4430">
        <f t="shared" si="395"/>
        <v>8.4363160397376049</v>
      </c>
      <c r="BM60" s="4430">
        <f t="shared" si="396"/>
        <v>11.544432475430407</v>
      </c>
      <c r="BN60" s="4430">
        <f t="shared" si="397"/>
        <v>12.929764372482056</v>
      </c>
      <c r="BO60" s="4430">
        <f t="shared" si="398"/>
        <v>14.481336097179902</v>
      </c>
      <c r="BP60" s="4430">
        <f t="shared" si="399"/>
        <v>13.184049738474203</v>
      </c>
      <c r="BQ60" s="4430">
        <f t="shared" si="400"/>
        <v>14.766135707091108</v>
      </c>
      <c r="BR60" s="4430">
        <f t="shared" si="401"/>
        <v>0</v>
      </c>
      <c r="BS60" s="4430">
        <f t="shared" si="402"/>
        <v>0</v>
      </c>
      <c r="BT60" s="4430">
        <f t="shared" si="403"/>
        <v>0</v>
      </c>
      <c r="BU60" s="4430">
        <f t="shared" si="404"/>
        <v>0</v>
      </c>
      <c r="BV60" s="4430">
        <f t="shared" si="405"/>
        <v>0</v>
      </c>
      <c r="BW60" s="4430">
        <f t="shared" si="406"/>
        <v>0</v>
      </c>
      <c r="BX60" s="4430">
        <f t="shared" si="407"/>
        <v>0</v>
      </c>
      <c r="BY60" s="4430">
        <f t="shared" si="408"/>
        <v>0</v>
      </c>
      <c r="BZ60" s="4430">
        <f t="shared" si="409"/>
        <v>0</v>
      </c>
      <c r="CA60" s="4430">
        <f t="shared" si="410"/>
        <v>0</v>
      </c>
      <c r="CB60" s="4430">
        <f t="shared" si="411"/>
        <v>0</v>
      </c>
      <c r="CC60" s="4430">
        <f t="shared" si="412"/>
        <v>0</v>
      </c>
      <c r="CD60" s="4430">
        <f t="shared" si="413"/>
        <v>0</v>
      </c>
      <c r="CE60" s="4430">
        <f t="shared" si="414"/>
        <v>0</v>
      </c>
      <c r="CF60" s="4430">
        <f t="shared" si="415"/>
        <v>0</v>
      </c>
      <c r="CG60" s="4430">
        <f t="shared" si="416"/>
        <v>0</v>
      </c>
      <c r="CH60" s="4430">
        <f t="shared" si="417"/>
        <v>0</v>
      </c>
      <c r="CI60" s="4430">
        <f t="shared" si="418"/>
        <v>0</v>
      </c>
      <c r="CJ60" s="4430">
        <f t="shared" si="419"/>
        <v>9.0568034231993479</v>
      </c>
      <c r="CK60" s="4430">
        <f t="shared" si="420"/>
        <v>10.434887998994746</v>
      </c>
      <c r="CL60" s="4430">
        <f t="shared" si="421"/>
        <v>11.343662030853357</v>
      </c>
      <c r="CM60" s="4430">
        <f t="shared" si="422"/>
        <v>13.045461968756458</v>
      </c>
      <c r="CN60" s="4430">
        <f t="shared" si="423"/>
        <v>14.610917405007234</v>
      </c>
      <c r="CO60" s="4430">
        <f t="shared" si="424"/>
        <v>16.364227493608098</v>
      </c>
      <c r="CP60" s="4430">
        <f t="shared" si="425"/>
        <v>17.515841188259142</v>
      </c>
      <c r="CQ60" s="4430">
        <f t="shared" si="426"/>
        <v>19.617742130850239</v>
      </c>
    </row>
    <row r="61" spans="1:121" s="162" customFormat="1" ht="26.25" thickBot="1">
      <c r="A61" s="763" t="s">
        <v>1272</v>
      </c>
      <c r="B61" s="616" t="s">
        <v>1203</v>
      </c>
      <c r="C61" s="1544">
        <f t="shared" ref="C61" si="471">IFERROR(C38/C23,0)</f>
        <v>13.476190476190476</v>
      </c>
      <c r="D61" s="1544">
        <f t="shared" ref="D61:H61" si="472">IFERROR(D38/D23,0)</f>
        <v>20.083333333333332</v>
      </c>
      <c r="E61" s="1544">
        <f t="shared" si="472"/>
        <v>22.493333333333336</v>
      </c>
      <c r="F61" s="1544">
        <f t="shared" si="472"/>
        <v>25.192533333333341</v>
      </c>
      <c r="G61" s="1544">
        <f t="shared" si="472"/>
        <v>28.971413333333341</v>
      </c>
      <c r="H61" s="1545">
        <f t="shared" si="472"/>
        <v>32.447982933333343</v>
      </c>
      <c r="I61" s="1544">
        <f t="shared" si="372"/>
        <v>14.666666666666666</v>
      </c>
      <c r="J61" s="1544">
        <f t="shared" si="372"/>
        <v>18.600000000000001</v>
      </c>
      <c r="K61" s="1544">
        <f t="shared" si="372"/>
        <v>20.832000000000001</v>
      </c>
      <c r="L61" s="1544">
        <f t="shared" si="372"/>
        <v>23.331840000000007</v>
      </c>
      <c r="M61" s="1544">
        <f t="shared" si="372"/>
        <v>26.131660800000009</v>
      </c>
      <c r="N61" s="1545">
        <f t="shared" si="372"/>
        <v>29.267460096000015</v>
      </c>
      <c r="O61" s="1544">
        <f t="shared" si="432"/>
        <v>0</v>
      </c>
      <c r="P61" s="1544">
        <f t="shared" ref="P61:T61" si="473">IFERROR(P38/P23,0)</f>
        <v>0</v>
      </c>
      <c r="Q61" s="1544">
        <f t="shared" si="473"/>
        <v>0</v>
      </c>
      <c r="R61" s="1544">
        <f t="shared" si="473"/>
        <v>0</v>
      </c>
      <c r="S61" s="1544">
        <f t="shared" si="473"/>
        <v>18.753280000000004</v>
      </c>
      <c r="T61" s="1545">
        <f t="shared" si="473"/>
        <v>21.003673600000006</v>
      </c>
      <c r="U61" s="1544">
        <f t="shared" si="434"/>
        <v>0</v>
      </c>
      <c r="V61" s="1544">
        <f t="shared" ref="V61:Z61" si="474">IFERROR(V38/V23,0)</f>
        <v>0</v>
      </c>
      <c r="W61" s="1544">
        <f t="shared" si="474"/>
        <v>0</v>
      </c>
      <c r="X61" s="1544">
        <f t="shared" si="474"/>
        <v>0</v>
      </c>
      <c r="Y61" s="1544">
        <f t="shared" si="474"/>
        <v>0</v>
      </c>
      <c r="Z61" s="1545">
        <f t="shared" si="474"/>
        <v>0</v>
      </c>
      <c r="AA61" s="1544">
        <f t="shared" si="436"/>
        <v>0</v>
      </c>
      <c r="AB61" s="1544">
        <f t="shared" ref="AB61:AF61" si="475">IFERROR(AB38/AB23,0)</f>
        <v>0</v>
      </c>
      <c r="AC61" s="1544">
        <f t="shared" si="475"/>
        <v>0</v>
      </c>
      <c r="AD61" s="1544">
        <f t="shared" si="475"/>
        <v>0</v>
      </c>
      <c r="AE61" s="1544">
        <f t="shared" si="475"/>
        <v>0</v>
      </c>
      <c r="AF61" s="1545">
        <f t="shared" si="475"/>
        <v>0</v>
      </c>
      <c r="AG61" s="1544">
        <f t="shared" si="438"/>
        <v>13.666666666666666</v>
      </c>
      <c r="AH61" s="1544">
        <f t="shared" ref="AH61:AL61" si="476">IFERROR(AH38/AH23,0)</f>
        <v>24</v>
      </c>
      <c r="AI61" s="1544">
        <f t="shared" si="476"/>
        <v>28</v>
      </c>
      <c r="AJ61" s="1544">
        <f t="shared" si="476"/>
        <v>32</v>
      </c>
      <c r="AK61" s="1544">
        <f t="shared" si="476"/>
        <v>36.5</v>
      </c>
      <c r="AL61" s="1545">
        <f t="shared" si="476"/>
        <v>42</v>
      </c>
      <c r="AM61" s="1544">
        <f t="shared" si="440"/>
        <v>13.875</v>
      </c>
      <c r="AN61" s="1544">
        <f t="shared" si="440"/>
        <v>16.607142857142858</v>
      </c>
      <c r="AO61" s="1544">
        <f t="shared" si="440"/>
        <v>17.519518587956348</v>
      </c>
      <c r="AP61" s="1544">
        <f t="shared" ref="AP61:AT61" si="477">IFERROR(AP38/AP23,0)</f>
        <v>20.275862068965516</v>
      </c>
      <c r="AQ61" s="1544">
        <f t="shared" si="477"/>
        <v>22.708965517241378</v>
      </c>
      <c r="AR61" s="1544">
        <f t="shared" si="477"/>
        <v>25.434041379310351</v>
      </c>
      <c r="AS61" s="1544">
        <f t="shared" si="477"/>
        <v>28.157516800000007</v>
      </c>
      <c r="AT61" s="1545">
        <f t="shared" si="477"/>
        <v>31.536418816000012</v>
      </c>
      <c r="AU61" s="1525">
        <f>IFERROR((AP61-AM61)/AM61,0)</f>
        <v>0.46132339235787501</v>
      </c>
      <c r="AV61" s="1525">
        <f t="shared" si="381"/>
        <v>0.49028268551236737</v>
      </c>
      <c r="AW61" s="1526">
        <f t="shared" si="382"/>
        <v>0.26818181818181835</v>
      </c>
      <c r="AX61" s="4422"/>
      <c r="AY61" s="4426" t="s">
        <v>1879</v>
      </c>
      <c r="AZ61" s="4430">
        <f t="shared" si="383"/>
        <v>6.8902667799299921</v>
      </c>
      <c r="BA61" s="4430">
        <f t="shared" si="384"/>
        <v>10.26844528069072</v>
      </c>
      <c r="BB61" s="4430">
        <f t="shared" si="385"/>
        <v>11.500658714373609</v>
      </c>
      <c r="BC61" s="4430">
        <f t="shared" si="386"/>
        <v>12.880737760098445</v>
      </c>
      <c r="BD61" s="4430">
        <f t="shared" si="387"/>
        <v>14.812848424113211</v>
      </c>
      <c r="BE61" s="4430">
        <f t="shared" si="388"/>
        <v>16.590390235006797</v>
      </c>
      <c r="BF61" s="4430">
        <f t="shared" si="389"/>
        <v>7.4989475908778713</v>
      </c>
      <c r="BG61" s="4430">
        <f t="shared" si="390"/>
        <v>9.5100289902496655</v>
      </c>
      <c r="BH61" s="4430">
        <f t="shared" si="391"/>
        <v>10.651232469079623</v>
      </c>
      <c r="BI61" s="4430">
        <f t="shared" si="392"/>
        <v>11.929380365369182</v>
      </c>
      <c r="BJ61" s="4430">
        <f t="shared" si="393"/>
        <v>13.360906009213485</v>
      </c>
      <c r="BK61" s="4430">
        <f t="shared" si="394"/>
        <v>14.964214730319105</v>
      </c>
      <c r="BL61" s="4430">
        <f t="shared" si="395"/>
        <v>0</v>
      </c>
      <c r="BM61" s="4430">
        <f t="shared" si="396"/>
        <v>0</v>
      </c>
      <c r="BN61" s="4430">
        <f t="shared" si="397"/>
        <v>0</v>
      </c>
      <c r="BO61" s="4430">
        <f t="shared" si="398"/>
        <v>0</v>
      </c>
      <c r="BP61" s="4430">
        <f t="shared" si="399"/>
        <v>9.588399809799423</v>
      </c>
      <c r="BQ61" s="4430">
        <f t="shared" si="400"/>
        <v>10.739007786975353</v>
      </c>
      <c r="BR61" s="4430">
        <f t="shared" si="401"/>
        <v>0</v>
      </c>
      <c r="BS61" s="4430">
        <f t="shared" si="402"/>
        <v>0</v>
      </c>
      <c r="BT61" s="4430">
        <f t="shared" si="403"/>
        <v>0</v>
      </c>
      <c r="BU61" s="4430">
        <f t="shared" si="404"/>
        <v>0</v>
      </c>
      <c r="BV61" s="4430">
        <f t="shared" si="405"/>
        <v>0</v>
      </c>
      <c r="BW61" s="4430">
        <f t="shared" si="406"/>
        <v>0</v>
      </c>
      <c r="BX61" s="4430">
        <f t="shared" si="407"/>
        <v>0</v>
      </c>
      <c r="BY61" s="4430">
        <f t="shared" si="408"/>
        <v>0</v>
      </c>
      <c r="BZ61" s="4430">
        <f t="shared" si="409"/>
        <v>0</v>
      </c>
      <c r="CA61" s="4430">
        <f t="shared" si="410"/>
        <v>0</v>
      </c>
      <c r="CB61" s="4430">
        <f t="shared" si="411"/>
        <v>0</v>
      </c>
      <c r="CC61" s="4430">
        <f t="shared" si="412"/>
        <v>0</v>
      </c>
      <c r="CD61" s="4430">
        <f t="shared" si="413"/>
        <v>6.9876557096816523</v>
      </c>
      <c r="CE61" s="4430">
        <f t="shared" si="414"/>
        <v>12.271005148709245</v>
      </c>
      <c r="CF61" s="4430">
        <f t="shared" si="415"/>
        <v>14.316172673494117</v>
      </c>
      <c r="CG61" s="4430">
        <f t="shared" si="416"/>
        <v>16.361340198278992</v>
      </c>
      <c r="CH61" s="4430">
        <f t="shared" si="417"/>
        <v>18.662153663661975</v>
      </c>
      <c r="CI61" s="4430">
        <f t="shared" si="418"/>
        <v>21.474259010241177</v>
      </c>
      <c r="CJ61" s="4430">
        <f t="shared" si="419"/>
        <v>7.0941748515975318</v>
      </c>
      <c r="CK61" s="4430">
        <f t="shared" si="420"/>
        <v>8.4910973127229141</v>
      </c>
      <c r="CL61" s="4430">
        <f t="shared" si="421"/>
        <v>8.9575876164883184</v>
      </c>
      <c r="CM61" s="4430">
        <f t="shared" si="422"/>
        <v>10.366883660116429</v>
      </c>
      <c r="CN61" s="4430">
        <f t="shared" si="423"/>
        <v>11.610909699330401</v>
      </c>
      <c r="CO61" s="4430">
        <f t="shared" si="424"/>
        <v>13.004218863250053</v>
      </c>
      <c r="CP61" s="4430">
        <f t="shared" si="425"/>
        <v>14.39670973448613</v>
      </c>
      <c r="CQ61" s="4430">
        <f t="shared" si="426"/>
        <v>16.124314902624466</v>
      </c>
    </row>
    <row r="62" spans="1:121" ht="24">
      <c r="A62" s="760" t="s">
        <v>109</v>
      </c>
      <c r="B62" s="761" t="s">
        <v>1007</v>
      </c>
      <c r="C62" s="1546">
        <f t="shared" ref="C62:AL62" si="478">IFERROR(C42/C29,0)</f>
        <v>0.1909307875894988</v>
      </c>
      <c r="D62" s="1547">
        <f t="shared" si="478"/>
        <v>0.19489697240199361</v>
      </c>
      <c r="E62" s="1547">
        <f t="shared" si="478"/>
        <v>0.19489697240199358</v>
      </c>
      <c r="F62" s="1547">
        <f t="shared" si="478"/>
        <v>0.19489697240199358</v>
      </c>
      <c r="G62" s="1547">
        <f t="shared" si="478"/>
        <v>0.19489697240199361</v>
      </c>
      <c r="H62" s="1548">
        <f t="shared" si="478"/>
        <v>0.19489697240199363</v>
      </c>
      <c r="I62" s="1546">
        <f t="shared" si="478"/>
        <v>0.22615803814713897</v>
      </c>
      <c r="J62" s="1547">
        <f t="shared" si="478"/>
        <v>0.17525773195876287</v>
      </c>
      <c r="K62" s="1547">
        <f t="shared" si="478"/>
        <v>0.17525773195876287</v>
      </c>
      <c r="L62" s="1547">
        <f t="shared" si="478"/>
        <v>0.17525773195876287</v>
      </c>
      <c r="M62" s="1547">
        <f t="shared" si="478"/>
        <v>0.17525773195876285</v>
      </c>
      <c r="N62" s="1548">
        <f t="shared" si="478"/>
        <v>0.17525773195876285</v>
      </c>
      <c r="O62" s="1546">
        <f t="shared" si="478"/>
        <v>0.18848920863309351</v>
      </c>
      <c r="P62" s="1547">
        <f t="shared" si="478"/>
        <v>0.19211822660098521</v>
      </c>
      <c r="Q62" s="1547">
        <f t="shared" si="478"/>
        <v>0.19211822660098521</v>
      </c>
      <c r="R62" s="1547">
        <f t="shared" si="478"/>
        <v>0.19211822660098526</v>
      </c>
      <c r="S62" s="1547">
        <f t="shared" si="478"/>
        <v>0.19211822660098521</v>
      </c>
      <c r="T62" s="1548">
        <f t="shared" si="478"/>
        <v>0.19211822660098524</v>
      </c>
      <c r="U62" s="1546">
        <f t="shared" si="478"/>
        <v>0</v>
      </c>
      <c r="V62" s="1547">
        <f t="shared" si="478"/>
        <v>0</v>
      </c>
      <c r="W62" s="1547">
        <f t="shared" si="478"/>
        <v>0</v>
      </c>
      <c r="X62" s="1547">
        <f t="shared" si="478"/>
        <v>0</v>
      </c>
      <c r="Y62" s="1547">
        <f t="shared" si="478"/>
        <v>0</v>
      </c>
      <c r="Z62" s="1548">
        <f t="shared" si="478"/>
        <v>0</v>
      </c>
      <c r="AA62" s="1546">
        <f t="shared" si="478"/>
        <v>0</v>
      </c>
      <c r="AB62" s="1547">
        <f t="shared" si="478"/>
        <v>0</v>
      </c>
      <c r="AC62" s="1547">
        <f t="shared" si="478"/>
        <v>0</v>
      </c>
      <c r="AD62" s="1547">
        <f t="shared" si="478"/>
        <v>0</v>
      </c>
      <c r="AE62" s="1547">
        <f t="shared" si="478"/>
        <v>0</v>
      </c>
      <c r="AF62" s="1548">
        <f t="shared" si="478"/>
        <v>0</v>
      </c>
      <c r="AG62" s="1546">
        <f t="shared" si="478"/>
        <v>0.21568627450980393</v>
      </c>
      <c r="AH62" s="1547">
        <f t="shared" si="478"/>
        <v>0.2074074074074074</v>
      </c>
      <c r="AI62" s="1547">
        <f t="shared" si="478"/>
        <v>0.20512820512820512</v>
      </c>
      <c r="AJ62" s="1547">
        <f t="shared" si="478"/>
        <v>0.20670391061452514</v>
      </c>
      <c r="AK62" s="1547">
        <f t="shared" si="478"/>
        <v>0.20873786407766989</v>
      </c>
      <c r="AL62" s="1548">
        <f t="shared" si="478"/>
        <v>0.20253164556962025</v>
      </c>
      <c r="AM62" s="1546">
        <f>IFERROR(AM42/AM29,0)</f>
        <v>0.19206976980022311</v>
      </c>
      <c r="AN62" s="1547">
        <f>IFERROR(AN42/AN29,0)</f>
        <v>0.1897172236503856</v>
      </c>
      <c r="AO62" s="1547">
        <f t="shared" ref="AO62:AS62" si="479">IFERROR(AO42/AO29,0)</f>
        <v>0.19410812061386598</v>
      </c>
      <c r="AP62" s="1547">
        <f t="shared" si="479"/>
        <v>0.19407080238238641</v>
      </c>
      <c r="AQ62" s="1547">
        <f t="shared" si="479"/>
        <v>0.19407080238238636</v>
      </c>
      <c r="AR62" s="1547">
        <f t="shared" si="479"/>
        <v>0.19407080238238636</v>
      </c>
      <c r="AS62" s="1547">
        <f t="shared" si="479"/>
        <v>0.19408674482670255</v>
      </c>
      <c r="AT62" s="1548">
        <f>IFERROR(AT42/AT29,0)</f>
        <v>0.19408674482670257</v>
      </c>
      <c r="AU62" s="1532"/>
      <c r="AV62" s="1532"/>
      <c r="AW62" s="1533"/>
      <c r="AX62" s="4422"/>
      <c r="AY62" s="1"/>
      <c r="AZ62" s="143"/>
      <c r="BA62" s="143"/>
      <c r="BB62" s="143"/>
    </row>
    <row r="63" spans="1:121" ht="13.5" thickBot="1">
      <c r="A63" s="320" t="s">
        <v>83</v>
      </c>
      <c r="B63" s="762" t="s">
        <v>1008</v>
      </c>
      <c r="C63" s="1941">
        <f t="shared" ref="C63:AT63" si="480">IFERROR(C46/C29,0)</f>
        <v>0.12728719172633254</v>
      </c>
      <c r="D63" s="1942">
        <f t="shared" si="480"/>
        <v>9.9680130923157029E-2</v>
      </c>
      <c r="E63" s="1942">
        <f t="shared" si="480"/>
        <v>8.9000116895675913E-2</v>
      </c>
      <c r="F63" s="1942">
        <f t="shared" si="480"/>
        <v>8.302249710417528E-2</v>
      </c>
      <c r="G63" s="1942">
        <f t="shared" si="480"/>
        <v>7.0285505312416729E-2</v>
      </c>
      <c r="H63" s="1943">
        <f t="shared" si="480"/>
        <v>6.2754915457514937E-2</v>
      </c>
      <c r="I63" s="1941">
        <f t="shared" si="480"/>
        <v>0.12534059945504086</v>
      </c>
      <c r="J63" s="1942">
        <f t="shared" si="480"/>
        <v>9.1850244167118816E-2</v>
      </c>
      <c r="K63" s="1942">
        <f t="shared" si="480"/>
        <v>8.2842415316642118E-2</v>
      </c>
      <c r="L63" s="1942">
        <f t="shared" si="480"/>
        <v>7.2322743530401842E-2</v>
      </c>
      <c r="M63" s="1942">
        <f t="shared" si="480"/>
        <v>6.4573878152144493E-2</v>
      </c>
      <c r="N63" s="1943">
        <f t="shared" si="480"/>
        <v>5.7655248350129008E-2</v>
      </c>
      <c r="O63" s="1941">
        <f t="shared" si="480"/>
        <v>0.12949640287769784</v>
      </c>
      <c r="P63" s="1942">
        <f t="shared" si="480"/>
        <v>0.10541871921182266</v>
      </c>
      <c r="Q63" s="1942">
        <f t="shared" si="480"/>
        <v>9.4123856439127365E-2</v>
      </c>
      <c r="R63" s="1942">
        <f t="shared" si="480"/>
        <v>8.4039157534935155E-2</v>
      </c>
      <c r="S63" s="1942">
        <f t="shared" si="480"/>
        <v>9.0834684698467075E-2</v>
      </c>
      <c r="T63" s="1943">
        <f t="shared" si="480"/>
        <v>8.1102397052202749E-2</v>
      </c>
      <c r="U63" s="1941">
        <f t="shared" si="480"/>
        <v>0</v>
      </c>
      <c r="V63" s="1942">
        <f t="shared" si="480"/>
        <v>0</v>
      </c>
      <c r="W63" s="1942">
        <f t="shared" si="480"/>
        <v>0</v>
      </c>
      <c r="X63" s="1942">
        <f t="shared" si="480"/>
        <v>0</v>
      </c>
      <c r="Y63" s="1942">
        <f t="shared" si="480"/>
        <v>0</v>
      </c>
      <c r="Z63" s="1943">
        <f t="shared" si="480"/>
        <v>0</v>
      </c>
      <c r="AA63" s="1941">
        <f t="shared" si="480"/>
        <v>0</v>
      </c>
      <c r="AB63" s="1942">
        <f t="shared" si="480"/>
        <v>0</v>
      </c>
      <c r="AC63" s="1942">
        <f t="shared" si="480"/>
        <v>0</v>
      </c>
      <c r="AD63" s="1942">
        <f t="shared" si="480"/>
        <v>0</v>
      </c>
      <c r="AE63" s="1942">
        <f t="shared" si="480"/>
        <v>0</v>
      </c>
      <c r="AF63" s="1943">
        <f t="shared" si="480"/>
        <v>0</v>
      </c>
      <c r="AG63" s="1941">
        <f t="shared" si="480"/>
        <v>0.13725490196078433</v>
      </c>
      <c r="AH63" s="1942">
        <f t="shared" si="480"/>
        <v>9.6296296296296297E-2</v>
      </c>
      <c r="AI63" s="1942">
        <f t="shared" si="480"/>
        <v>8.3333333333333329E-2</v>
      </c>
      <c r="AJ63" s="1942">
        <f t="shared" si="480"/>
        <v>7.2625698324022353E-2</v>
      </c>
      <c r="AK63" s="1942">
        <f t="shared" si="480"/>
        <v>6.3106796116504854E-2</v>
      </c>
      <c r="AL63" s="1943">
        <f t="shared" si="480"/>
        <v>5.4852320675105488E-2</v>
      </c>
      <c r="AM63" s="1549">
        <f t="shared" si="480"/>
        <v>0.12737044924449853</v>
      </c>
      <c r="AN63" s="1942">
        <f t="shared" ref="AN63:AO63" si="481">IFERROR(AN46/AN29,0)</f>
        <v>0.13281919451585261</v>
      </c>
      <c r="AO63" s="1942">
        <f t="shared" si="481"/>
        <v>0.11482995295750752</v>
      </c>
      <c r="AP63" s="1550">
        <f t="shared" si="480"/>
        <v>9.9815791234762266E-2</v>
      </c>
      <c r="AQ63" s="1550">
        <f t="shared" si="480"/>
        <v>8.9148287301268614E-2</v>
      </c>
      <c r="AR63" s="1550">
        <f t="shared" si="480"/>
        <v>8.2744275184476496E-2</v>
      </c>
      <c r="AS63" s="1550">
        <f t="shared" si="480"/>
        <v>7.1501789260774454E-2</v>
      </c>
      <c r="AT63" s="1551">
        <f t="shared" si="480"/>
        <v>6.3840883268548629E-2</v>
      </c>
      <c r="AU63" s="1538"/>
      <c r="AV63" s="1538"/>
      <c r="AW63" s="1539"/>
      <c r="AX63" s="4422"/>
      <c r="AY63" s="1"/>
      <c r="AZ63" s="143"/>
      <c r="BA63" s="143"/>
      <c r="BB63" s="143"/>
    </row>
    <row r="64" spans="1:121" s="142" customFormat="1" ht="24">
      <c r="A64" s="318" t="s">
        <v>311</v>
      </c>
      <c r="B64" s="710" t="s">
        <v>1423</v>
      </c>
      <c r="C64" s="156"/>
      <c r="D64" s="157"/>
      <c r="E64" s="157"/>
      <c r="F64" s="157"/>
      <c r="G64" s="157"/>
      <c r="H64" s="158"/>
      <c r="I64" s="159"/>
      <c r="J64" s="160"/>
      <c r="K64" s="160"/>
      <c r="L64" s="160"/>
      <c r="M64" s="160"/>
      <c r="N64" s="161"/>
      <c r="O64" s="159"/>
      <c r="P64" s="160"/>
      <c r="Q64" s="160"/>
      <c r="R64" s="160"/>
      <c r="S64" s="160"/>
      <c r="T64" s="161"/>
      <c r="U64" s="159"/>
      <c r="V64" s="160"/>
      <c r="W64" s="160"/>
      <c r="X64" s="160"/>
      <c r="Y64" s="160"/>
      <c r="Z64" s="161"/>
      <c r="AA64" s="159"/>
      <c r="AB64" s="160"/>
      <c r="AC64" s="160"/>
      <c r="AD64" s="160"/>
      <c r="AE64" s="160"/>
      <c r="AF64" s="161"/>
      <c r="AG64" s="159"/>
      <c r="AH64" s="160"/>
      <c r="AI64" s="160"/>
      <c r="AJ64" s="160"/>
      <c r="AK64" s="160"/>
      <c r="AL64" s="161"/>
      <c r="AM64" s="159"/>
      <c r="AN64" s="160"/>
      <c r="AO64" s="160"/>
      <c r="AP64" s="160"/>
      <c r="AQ64" s="160"/>
      <c r="AR64" s="160"/>
      <c r="AS64" s="160"/>
      <c r="AT64" s="161"/>
      <c r="AU64" s="755"/>
      <c r="AV64" s="755"/>
      <c r="AW64" s="604"/>
      <c r="AX64" s="4422"/>
      <c r="AY64" s="1"/>
    </row>
    <row r="65" spans="1:95" s="162" customFormat="1" ht="13.5" thickBot="1">
      <c r="A65" s="795" t="s">
        <v>956</v>
      </c>
      <c r="B65" s="796" t="s">
        <v>1260</v>
      </c>
      <c r="C65" s="290"/>
      <c r="D65" s="291"/>
      <c r="E65" s="291"/>
      <c r="F65" s="291"/>
      <c r="G65" s="291"/>
      <c r="H65" s="605"/>
      <c r="I65" s="292"/>
      <c r="J65" s="293"/>
      <c r="K65" s="293"/>
      <c r="L65" s="293"/>
      <c r="M65" s="293"/>
      <c r="N65" s="294"/>
      <c r="O65" s="292"/>
      <c r="P65" s="293"/>
      <c r="Q65" s="293"/>
      <c r="R65" s="293"/>
      <c r="S65" s="293"/>
      <c r="T65" s="294"/>
      <c r="U65" s="292"/>
      <c r="V65" s="293"/>
      <c r="W65" s="293"/>
      <c r="X65" s="293"/>
      <c r="Y65" s="293"/>
      <c r="Z65" s="294"/>
      <c r="AA65" s="292"/>
      <c r="AB65" s="293"/>
      <c r="AC65" s="293"/>
      <c r="AD65" s="293"/>
      <c r="AE65" s="293"/>
      <c r="AF65" s="294"/>
      <c r="AG65" s="292"/>
      <c r="AH65" s="293"/>
      <c r="AI65" s="293"/>
      <c r="AJ65" s="293"/>
      <c r="AK65" s="293"/>
      <c r="AL65" s="294"/>
      <c r="AM65" s="946">
        <f t="shared" ref="AM65:AM68" si="482">C65+I65+O65+AG65+U65+AA65</f>
        <v>0</v>
      </c>
      <c r="AN65" s="293"/>
      <c r="AO65" s="293"/>
      <c r="AP65" s="947">
        <f t="shared" ref="AP65:AT68" si="483">D65+J65+P65+AH65+V65+AB65</f>
        <v>0</v>
      </c>
      <c r="AQ65" s="947">
        <f t="shared" si="483"/>
        <v>0</v>
      </c>
      <c r="AR65" s="947">
        <f t="shared" si="483"/>
        <v>0</v>
      </c>
      <c r="AS65" s="947">
        <f t="shared" si="483"/>
        <v>0</v>
      </c>
      <c r="AT65" s="948">
        <f t="shared" si="483"/>
        <v>0</v>
      </c>
      <c r="AU65" s="1527">
        <f t="shared" ref="AU65:AU68" si="484">IFERROR((AP65-AM65)/AM65,0)</f>
        <v>0</v>
      </c>
      <c r="AV65" s="1527">
        <f t="shared" ref="AV65:AV68" si="485">IFERROR(((D65+V65+AB65)-(+C65+U65+AA65))/(C65+U65+AA65),0)</f>
        <v>0</v>
      </c>
      <c r="AW65" s="1527">
        <f t="shared" ref="AW65:AW68" si="486">IFERROR(((J65+P65)-(I65+O65))/(I65+O65),0)</f>
        <v>0</v>
      </c>
      <c r="AX65" s="4422"/>
      <c r="AY65" s="1"/>
    </row>
    <row r="66" spans="1:95" s="162" customFormat="1" ht="13.5" thickBot="1">
      <c r="A66" s="795" t="s">
        <v>957</v>
      </c>
      <c r="B66" s="796" t="s">
        <v>1422</v>
      </c>
      <c r="C66" s="290"/>
      <c r="D66" s="291"/>
      <c r="E66" s="291"/>
      <c r="F66" s="291"/>
      <c r="G66" s="291"/>
      <c r="H66" s="605"/>
      <c r="I66" s="292"/>
      <c r="J66" s="293"/>
      <c r="K66" s="293"/>
      <c r="L66" s="293"/>
      <c r="M66" s="293"/>
      <c r="N66" s="294"/>
      <c r="O66" s="292"/>
      <c r="P66" s="293"/>
      <c r="Q66" s="293"/>
      <c r="R66" s="293"/>
      <c r="S66" s="293"/>
      <c r="T66" s="294"/>
      <c r="U66" s="292"/>
      <c r="V66" s="293"/>
      <c r="W66" s="293"/>
      <c r="X66" s="293"/>
      <c r="Y66" s="293"/>
      <c r="Z66" s="294"/>
      <c r="AA66" s="292"/>
      <c r="AB66" s="293"/>
      <c r="AC66" s="293"/>
      <c r="AD66" s="293"/>
      <c r="AE66" s="293"/>
      <c r="AF66" s="294"/>
      <c r="AG66" s="292"/>
      <c r="AH66" s="293"/>
      <c r="AI66" s="293"/>
      <c r="AJ66" s="293"/>
      <c r="AK66" s="293"/>
      <c r="AL66" s="294"/>
      <c r="AM66" s="946">
        <f t="shared" si="482"/>
        <v>0</v>
      </c>
      <c r="AN66" s="293"/>
      <c r="AO66" s="293"/>
      <c r="AP66" s="947">
        <f t="shared" si="483"/>
        <v>0</v>
      </c>
      <c r="AQ66" s="947">
        <f t="shared" si="483"/>
        <v>0</v>
      </c>
      <c r="AR66" s="947">
        <f t="shared" si="483"/>
        <v>0</v>
      </c>
      <c r="AS66" s="947">
        <f t="shared" si="483"/>
        <v>0</v>
      </c>
      <c r="AT66" s="948">
        <f t="shared" si="483"/>
        <v>0</v>
      </c>
      <c r="AU66" s="1527">
        <f t="shared" si="484"/>
        <v>0</v>
      </c>
      <c r="AV66" s="1527">
        <f t="shared" si="485"/>
        <v>0</v>
      </c>
      <c r="AW66" s="1527">
        <f>IFERROR(((J66+P66)-(I66+O66))/(I66+O66),0)</f>
        <v>0</v>
      </c>
      <c r="AX66" s="4422"/>
      <c r="AY66" s="4425" t="s">
        <v>1878</v>
      </c>
      <c r="AZ66" s="4431">
        <f t="shared" ref="AZ66:AZ68" si="487">IFERROR(C66/$C$1,0)</f>
        <v>0</v>
      </c>
      <c r="BA66" s="4431">
        <f t="shared" ref="BA66:BA68" si="488">IFERROR(D66/$C$1,0)</f>
        <v>0</v>
      </c>
      <c r="BB66" s="4431">
        <f t="shared" ref="BB66:BB68" si="489">IFERROR(E66/$C$1,0)</f>
        <v>0</v>
      </c>
      <c r="BC66" s="4431">
        <f t="shared" ref="BC66:BC68" si="490">IFERROR(F66/$C$1,0)</f>
        <v>0</v>
      </c>
      <c r="BD66" s="4431">
        <f t="shared" ref="BD66:BD68" si="491">IFERROR(G66/$C$1,0)</f>
        <v>0</v>
      </c>
      <c r="BE66" s="4431">
        <f t="shared" ref="BE66:BE68" si="492">IFERROR(H66/$C$1,0)</f>
        <v>0</v>
      </c>
      <c r="BF66" s="4431">
        <f t="shared" ref="BF66:BF68" si="493">IFERROR(I66/$C$1,0)</f>
        <v>0</v>
      </c>
      <c r="BG66" s="4431">
        <f t="shared" ref="BG66:BG68" si="494">IFERROR(J66/$C$1,0)</f>
        <v>0</v>
      </c>
      <c r="BH66" s="4431">
        <f t="shared" ref="BH66:BH68" si="495">IFERROR(K66/$C$1,0)</f>
        <v>0</v>
      </c>
      <c r="BI66" s="4431">
        <f t="shared" ref="BI66:BI68" si="496">IFERROR(L66/$C$1,0)</f>
        <v>0</v>
      </c>
      <c r="BJ66" s="4431">
        <f t="shared" ref="BJ66:BJ68" si="497">IFERROR(M66/$C$1,0)</f>
        <v>0</v>
      </c>
      <c r="BK66" s="4431">
        <f t="shared" ref="BK66:BK68" si="498">IFERROR(N66/$C$1,0)</f>
        <v>0</v>
      </c>
      <c r="BL66" s="4431">
        <f t="shared" ref="BL66:BL68" si="499">IFERROR(O66/$C$1,0)</f>
        <v>0</v>
      </c>
      <c r="BM66" s="4431">
        <f t="shared" ref="BM66:BM68" si="500">IFERROR(P66/$C$1,0)</f>
        <v>0</v>
      </c>
      <c r="BN66" s="4431">
        <f t="shared" ref="BN66:BN68" si="501">IFERROR(Q66/$C$1,0)</f>
        <v>0</v>
      </c>
      <c r="BO66" s="4431">
        <f t="shared" ref="BO66:BO68" si="502">IFERROR(R66/$C$1,0)</f>
        <v>0</v>
      </c>
      <c r="BP66" s="4431">
        <f t="shared" ref="BP66:BP68" si="503">IFERROR(S66/$C$1,0)</f>
        <v>0</v>
      </c>
      <c r="BQ66" s="4431">
        <f t="shared" ref="BQ66:BQ68" si="504">IFERROR(T66/$C$1,0)</f>
        <v>0</v>
      </c>
      <c r="BR66" s="4431">
        <f t="shared" ref="BR66:BR68" si="505">IFERROR(U66/$C$1,0)</f>
        <v>0</v>
      </c>
      <c r="BS66" s="4431">
        <f t="shared" ref="BS66:BS68" si="506">IFERROR(V66/$C$1,0)</f>
        <v>0</v>
      </c>
      <c r="BT66" s="4431">
        <f t="shared" ref="BT66:BT68" si="507">IFERROR(W66/$C$1,0)</f>
        <v>0</v>
      </c>
      <c r="BU66" s="4431">
        <f t="shared" ref="BU66:BU68" si="508">IFERROR(X66/$C$1,0)</f>
        <v>0</v>
      </c>
      <c r="BV66" s="4431">
        <f t="shared" ref="BV66:BV68" si="509">IFERROR(Y66/$C$1,0)</f>
        <v>0</v>
      </c>
      <c r="BW66" s="4431">
        <f t="shared" ref="BW66:BW68" si="510">IFERROR(Z66/$C$1,0)</f>
        <v>0</v>
      </c>
      <c r="BX66" s="4431">
        <f t="shared" ref="BX66:BX68" si="511">IFERROR(AA66/$C$1,0)</f>
        <v>0</v>
      </c>
      <c r="BY66" s="4431">
        <f t="shared" ref="BY66:BY68" si="512">IFERROR(AB66/$C$1,0)</f>
        <v>0</v>
      </c>
      <c r="BZ66" s="4431">
        <f t="shared" ref="BZ66:BZ68" si="513">IFERROR(AC66/$C$1,0)</f>
        <v>0</v>
      </c>
      <c r="CA66" s="4431">
        <f t="shared" ref="CA66:CA68" si="514">IFERROR(AD66/$C$1,0)</f>
        <v>0</v>
      </c>
      <c r="CB66" s="4431">
        <f t="shared" ref="CB66:CB68" si="515">IFERROR(AE66/$C$1,0)</f>
        <v>0</v>
      </c>
      <c r="CC66" s="4431">
        <f t="shared" ref="CC66:CC68" si="516">IFERROR(AF66/$C$1,0)</f>
        <v>0</v>
      </c>
      <c r="CD66" s="4431">
        <f t="shared" ref="CD66:CD68" si="517">IFERROR(AG66/$C$1,0)</f>
        <v>0</v>
      </c>
      <c r="CE66" s="4431">
        <f t="shared" ref="CE66:CE68" si="518">IFERROR(AH66/$C$1,0)</f>
        <v>0</v>
      </c>
      <c r="CF66" s="4431">
        <f t="shared" ref="CF66:CF68" si="519">IFERROR(AI66/$C$1,0)</f>
        <v>0</v>
      </c>
      <c r="CG66" s="4431">
        <f t="shared" ref="CG66:CG68" si="520">IFERROR(AJ66/$C$1,0)</f>
        <v>0</v>
      </c>
      <c r="CH66" s="4431">
        <f t="shared" ref="CH66:CH68" si="521">IFERROR(AK66/$C$1,0)</f>
        <v>0</v>
      </c>
      <c r="CI66" s="4431">
        <f t="shared" ref="CI66:CI68" si="522">IFERROR(AL66/$C$1,0)</f>
        <v>0</v>
      </c>
      <c r="CJ66" s="4431">
        <f t="shared" ref="CJ66:CJ68" si="523">IFERROR(AM66/$C$1,0)</f>
        <v>0</v>
      </c>
      <c r="CK66" s="4431">
        <f t="shared" ref="CK66:CK68" si="524">IFERROR(AN66/$C$1,0)</f>
        <v>0</v>
      </c>
      <c r="CL66" s="4431">
        <f t="shared" ref="CL66:CL68" si="525">IFERROR(AO66/$C$1,0)</f>
        <v>0</v>
      </c>
      <c r="CM66" s="4431">
        <f t="shared" ref="CM66:CM68" si="526">IFERROR(AP66/$C$1,0)</f>
        <v>0</v>
      </c>
      <c r="CN66" s="4431">
        <f t="shared" ref="CN66:CN68" si="527">IFERROR(AQ66/$C$1,0)</f>
        <v>0</v>
      </c>
      <c r="CO66" s="4431">
        <f t="shared" ref="CO66:CO68" si="528">IFERROR(AR66/$C$1,0)</f>
        <v>0</v>
      </c>
      <c r="CP66" s="4431">
        <f t="shared" ref="CP66:CP68" si="529">IFERROR(AS66/$C$1,0)</f>
        <v>0</v>
      </c>
      <c r="CQ66" s="4431">
        <f t="shared" ref="CQ66:CQ68" si="530">IFERROR(AT66/$C$1,0)</f>
        <v>0</v>
      </c>
    </row>
    <row r="67" spans="1:95" s="162" customFormat="1" ht="13.5" thickBot="1">
      <c r="A67" s="707" t="s">
        <v>1106</v>
      </c>
      <c r="B67" s="797" t="s">
        <v>721</v>
      </c>
      <c r="C67" s="617"/>
      <c r="D67" s="618"/>
      <c r="E67" s="618"/>
      <c r="F67" s="618"/>
      <c r="G67" s="618"/>
      <c r="H67" s="619"/>
      <c r="I67" s="292"/>
      <c r="J67" s="293"/>
      <c r="K67" s="293"/>
      <c r="L67" s="293"/>
      <c r="M67" s="293"/>
      <c r="N67" s="294"/>
      <c r="O67" s="292"/>
      <c r="P67" s="293"/>
      <c r="Q67" s="293"/>
      <c r="R67" s="293"/>
      <c r="S67" s="293"/>
      <c r="T67" s="294"/>
      <c r="U67" s="292"/>
      <c r="V67" s="293"/>
      <c r="W67" s="293"/>
      <c r="X67" s="293"/>
      <c r="Y67" s="293"/>
      <c r="Z67" s="294"/>
      <c r="AA67" s="292"/>
      <c r="AB67" s="293"/>
      <c r="AC67" s="293"/>
      <c r="AD67" s="293"/>
      <c r="AE67" s="293"/>
      <c r="AF67" s="294"/>
      <c r="AG67" s="292"/>
      <c r="AH67" s="293"/>
      <c r="AI67" s="293"/>
      <c r="AJ67" s="293"/>
      <c r="AK67" s="293"/>
      <c r="AL67" s="294"/>
      <c r="AM67" s="946">
        <f t="shared" si="482"/>
        <v>0</v>
      </c>
      <c r="AN67" s="293"/>
      <c r="AO67" s="293"/>
      <c r="AP67" s="947">
        <f t="shared" si="483"/>
        <v>0</v>
      </c>
      <c r="AQ67" s="947">
        <f t="shared" si="483"/>
        <v>0</v>
      </c>
      <c r="AR67" s="947">
        <f t="shared" si="483"/>
        <v>0</v>
      </c>
      <c r="AS67" s="947">
        <f t="shared" si="483"/>
        <v>0</v>
      </c>
      <c r="AT67" s="948">
        <f t="shared" si="483"/>
        <v>0</v>
      </c>
      <c r="AU67" s="1527">
        <f t="shared" si="484"/>
        <v>0</v>
      </c>
      <c r="AV67" s="1527">
        <f t="shared" si="485"/>
        <v>0</v>
      </c>
      <c r="AW67" s="1527">
        <f t="shared" si="486"/>
        <v>0</v>
      </c>
      <c r="AX67" s="4422"/>
      <c r="AY67" s="4425" t="s">
        <v>1878</v>
      </c>
      <c r="AZ67" s="4431">
        <f t="shared" si="487"/>
        <v>0</v>
      </c>
      <c r="BA67" s="4431">
        <f t="shared" si="488"/>
        <v>0</v>
      </c>
      <c r="BB67" s="4431">
        <f t="shared" si="489"/>
        <v>0</v>
      </c>
      <c r="BC67" s="4431">
        <f t="shared" si="490"/>
        <v>0</v>
      </c>
      <c r="BD67" s="4431">
        <f t="shared" si="491"/>
        <v>0</v>
      </c>
      <c r="BE67" s="4431">
        <f t="shared" si="492"/>
        <v>0</v>
      </c>
      <c r="BF67" s="4431">
        <f t="shared" si="493"/>
        <v>0</v>
      </c>
      <c r="BG67" s="4431">
        <f t="shared" si="494"/>
        <v>0</v>
      </c>
      <c r="BH67" s="4431">
        <f t="shared" si="495"/>
        <v>0</v>
      </c>
      <c r="BI67" s="4431">
        <f t="shared" si="496"/>
        <v>0</v>
      </c>
      <c r="BJ67" s="4431">
        <f t="shared" si="497"/>
        <v>0</v>
      </c>
      <c r="BK67" s="4431">
        <f t="shared" si="498"/>
        <v>0</v>
      </c>
      <c r="BL67" s="4431">
        <f t="shared" si="499"/>
        <v>0</v>
      </c>
      <c r="BM67" s="4431">
        <f t="shared" si="500"/>
        <v>0</v>
      </c>
      <c r="BN67" s="4431">
        <f t="shared" si="501"/>
        <v>0</v>
      </c>
      <c r="BO67" s="4431">
        <f t="shared" si="502"/>
        <v>0</v>
      </c>
      <c r="BP67" s="4431">
        <f t="shared" si="503"/>
        <v>0</v>
      </c>
      <c r="BQ67" s="4431">
        <f t="shared" si="504"/>
        <v>0</v>
      </c>
      <c r="BR67" s="4431">
        <f t="shared" si="505"/>
        <v>0</v>
      </c>
      <c r="BS67" s="4431">
        <f t="shared" si="506"/>
        <v>0</v>
      </c>
      <c r="BT67" s="4431">
        <f t="shared" si="507"/>
        <v>0</v>
      </c>
      <c r="BU67" s="4431">
        <f t="shared" si="508"/>
        <v>0</v>
      </c>
      <c r="BV67" s="4431">
        <f t="shared" si="509"/>
        <v>0</v>
      </c>
      <c r="BW67" s="4431">
        <f t="shared" si="510"/>
        <v>0</v>
      </c>
      <c r="BX67" s="4431">
        <f t="shared" si="511"/>
        <v>0</v>
      </c>
      <c r="BY67" s="4431">
        <f t="shared" si="512"/>
        <v>0</v>
      </c>
      <c r="BZ67" s="4431">
        <f t="shared" si="513"/>
        <v>0</v>
      </c>
      <c r="CA67" s="4431">
        <f t="shared" si="514"/>
        <v>0</v>
      </c>
      <c r="CB67" s="4431">
        <f t="shared" si="515"/>
        <v>0</v>
      </c>
      <c r="CC67" s="4431">
        <f t="shared" si="516"/>
        <v>0</v>
      </c>
      <c r="CD67" s="4431">
        <f t="shared" si="517"/>
        <v>0</v>
      </c>
      <c r="CE67" s="4431">
        <f t="shared" si="518"/>
        <v>0</v>
      </c>
      <c r="CF67" s="4431">
        <f t="shared" si="519"/>
        <v>0</v>
      </c>
      <c r="CG67" s="4431">
        <f t="shared" si="520"/>
        <v>0</v>
      </c>
      <c r="CH67" s="4431">
        <f t="shared" si="521"/>
        <v>0</v>
      </c>
      <c r="CI67" s="4431">
        <f t="shared" si="522"/>
        <v>0</v>
      </c>
      <c r="CJ67" s="4431">
        <f t="shared" si="523"/>
        <v>0</v>
      </c>
      <c r="CK67" s="4431">
        <f t="shared" si="524"/>
        <v>0</v>
      </c>
      <c r="CL67" s="4431">
        <f t="shared" si="525"/>
        <v>0</v>
      </c>
      <c r="CM67" s="4431">
        <f t="shared" si="526"/>
        <v>0</v>
      </c>
      <c r="CN67" s="4431">
        <f t="shared" si="527"/>
        <v>0</v>
      </c>
      <c r="CO67" s="4431">
        <f t="shared" si="528"/>
        <v>0</v>
      </c>
      <c r="CP67" s="4431">
        <f t="shared" si="529"/>
        <v>0</v>
      </c>
      <c r="CQ67" s="4431">
        <f t="shared" si="530"/>
        <v>0</v>
      </c>
    </row>
    <row r="68" spans="1:95" s="162" customFormat="1" ht="13.5" thickBot="1">
      <c r="A68" s="51" t="s">
        <v>1261</v>
      </c>
      <c r="B68" s="798" t="s">
        <v>1258</v>
      </c>
      <c r="C68" s="617"/>
      <c r="D68" s="618"/>
      <c r="E68" s="618"/>
      <c r="F68" s="618"/>
      <c r="G68" s="618"/>
      <c r="H68" s="619"/>
      <c r="I68" s="292"/>
      <c r="J68" s="293"/>
      <c r="K68" s="293"/>
      <c r="L68" s="293"/>
      <c r="M68" s="293"/>
      <c r="N68" s="294"/>
      <c r="O68" s="292"/>
      <c r="P68" s="293"/>
      <c r="Q68" s="293"/>
      <c r="R68" s="293"/>
      <c r="S68" s="293"/>
      <c r="T68" s="294"/>
      <c r="U68" s="292"/>
      <c r="V68" s="293"/>
      <c r="W68" s="293"/>
      <c r="X68" s="293"/>
      <c r="Y68" s="293"/>
      <c r="Z68" s="294"/>
      <c r="AA68" s="292"/>
      <c r="AB68" s="293"/>
      <c r="AC68" s="293"/>
      <c r="AD68" s="293"/>
      <c r="AE68" s="293"/>
      <c r="AF68" s="294"/>
      <c r="AG68" s="292"/>
      <c r="AH68" s="293"/>
      <c r="AI68" s="293"/>
      <c r="AJ68" s="293"/>
      <c r="AK68" s="293"/>
      <c r="AL68" s="294"/>
      <c r="AM68" s="946">
        <f t="shared" si="482"/>
        <v>0</v>
      </c>
      <c r="AN68" s="293"/>
      <c r="AO68" s="293"/>
      <c r="AP68" s="947">
        <f t="shared" si="483"/>
        <v>0</v>
      </c>
      <c r="AQ68" s="947">
        <f t="shared" si="483"/>
        <v>0</v>
      </c>
      <c r="AR68" s="947">
        <f t="shared" si="483"/>
        <v>0</v>
      </c>
      <c r="AS68" s="947">
        <f t="shared" si="483"/>
        <v>0</v>
      </c>
      <c r="AT68" s="948">
        <f t="shared" si="483"/>
        <v>0</v>
      </c>
      <c r="AU68" s="1527">
        <f t="shared" si="484"/>
        <v>0</v>
      </c>
      <c r="AV68" s="1527">
        <f t="shared" si="485"/>
        <v>0</v>
      </c>
      <c r="AW68" s="1527">
        <f t="shared" si="486"/>
        <v>0</v>
      </c>
      <c r="AX68" s="4422"/>
      <c r="AY68" s="4425" t="s">
        <v>1878</v>
      </c>
      <c r="AZ68" s="4431">
        <f t="shared" si="487"/>
        <v>0</v>
      </c>
      <c r="BA68" s="4431">
        <f t="shared" si="488"/>
        <v>0</v>
      </c>
      <c r="BB68" s="4431">
        <f t="shared" si="489"/>
        <v>0</v>
      </c>
      <c r="BC68" s="4431">
        <f t="shared" si="490"/>
        <v>0</v>
      </c>
      <c r="BD68" s="4431">
        <f t="shared" si="491"/>
        <v>0</v>
      </c>
      <c r="BE68" s="4431">
        <f t="shared" si="492"/>
        <v>0</v>
      </c>
      <c r="BF68" s="4431">
        <f t="shared" si="493"/>
        <v>0</v>
      </c>
      <c r="BG68" s="4431">
        <f t="shared" si="494"/>
        <v>0</v>
      </c>
      <c r="BH68" s="4431">
        <f t="shared" si="495"/>
        <v>0</v>
      </c>
      <c r="BI68" s="4431">
        <f t="shared" si="496"/>
        <v>0</v>
      </c>
      <c r="BJ68" s="4431">
        <f t="shared" si="497"/>
        <v>0</v>
      </c>
      <c r="BK68" s="4431">
        <f t="shared" si="498"/>
        <v>0</v>
      </c>
      <c r="BL68" s="4431">
        <f t="shared" si="499"/>
        <v>0</v>
      </c>
      <c r="BM68" s="4431">
        <f t="shared" si="500"/>
        <v>0</v>
      </c>
      <c r="BN68" s="4431">
        <f t="shared" si="501"/>
        <v>0</v>
      </c>
      <c r="BO68" s="4431">
        <f t="shared" si="502"/>
        <v>0</v>
      </c>
      <c r="BP68" s="4431">
        <f t="shared" si="503"/>
        <v>0</v>
      </c>
      <c r="BQ68" s="4431">
        <f t="shared" si="504"/>
        <v>0</v>
      </c>
      <c r="BR68" s="4431">
        <f t="shared" si="505"/>
        <v>0</v>
      </c>
      <c r="BS68" s="4431">
        <f t="shared" si="506"/>
        <v>0</v>
      </c>
      <c r="BT68" s="4431">
        <f t="shared" si="507"/>
        <v>0</v>
      </c>
      <c r="BU68" s="4431">
        <f t="shared" si="508"/>
        <v>0</v>
      </c>
      <c r="BV68" s="4431">
        <f t="shared" si="509"/>
        <v>0</v>
      </c>
      <c r="BW68" s="4431">
        <f t="shared" si="510"/>
        <v>0</v>
      </c>
      <c r="BX68" s="4431">
        <f t="shared" si="511"/>
        <v>0</v>
      </c>
      <c r="BY68" s="4431">
        <f t="shared" si="512"/>
        <v>0</v>
      </c>
      <c r="BZ68" s="4431">
        <f t="shared" si="513"/>
        <v>0</v>
      </c>
      <c r="CA68" s="4431">
        <f t="shared" si="514"/>
        <v>0</v>
      </c>
      <c r="CB68" s="4431">
        <f t="shared" si="515"/>
        <v>0</v>
      </c>
      <c r="CC68" s="4431">
        <f t="shared" si="516"/>
        <v>0</v>
      </c>
      <c r="CD68" s="4431">
        <f t="shared" si="517"/>
        <v>0</v>
      </c>
      <c r="CE68" s="4431">
        <f t="shared" si="518"/>
        <v>0</v>
      </c>
      <c r="CF68" s="4431">
        <f t="shared" si="519"/>
        <v>0</v>
      </c>
      <c r="CG68" s="4431">
        <f t="shared" si="520"/>
        <v>0</v>
      </c>
      <c r="CH68" s="4431">
        <f t="shared" si="521"/>
        <v>0</v>
      </c>
      <c r="CI68" s="4431">
        <f t="shared" si="522"/>
        <v>0</v>
      </c>
      <c r="CJ68" s="4431">
        <f t="shared" si="523"/>
        <v>0</v>
      </c>
      <c r="CK68" s="4431">
        <f t="shared" si="524"/>
        <v>0</v>
      </c>
      <c r="CL68" s="4431">
        <f t="shared" si="525"/>
        <v>0</v>
      </c>
      <c r="CM68" s="4431">
        <f t="shared" si="526"/>
        <v>0</v>
      </c>
      <c r="CN68" s="4431">
        <f t="shared" si="527"/>
        <v>0</v>
      </c>
      <c r="CO68" s="4431">
        <f t="shared" si="528"/>
        <v>0</v>
      </c>
      <c r="CP68" s="4431">
        <f t="shared" si="529"/>
        <v>0</v>
      </c>
      <c r="CQ68" s="4431">
        <f t="shared" si="530"/>
        <v>0</v>
      </c>
    </row>
    <row r="69" spans="1:95" s="636" customFormat="1" ht="26.25" thickBot="1">
      <c r="A69" s="758" t="s">
        <v>1262</v>
      </c>
      <c r="B69" s="759" t="s">
        <v>1318</v>
      </c>
      <c r="C69" s="1552">
        <f>IFERROR(C66/C65,0)</f>
        <v>0</v>
      </c>
      <c r="D69" s="1553">
        <f t="shared" ref="D69:AT69" si="531">IFERROR(D66/D65,0)</f>
        <v>0</v>
      </c>
      <c r="E69" s="1553">
        <f t="shared" si="531"/>
        <v>0</v>
      </c>
      <c r="F69" s="1553">
        <f t="shared" si="531"/>
        <v>0</v>
      </c>
      <c r="G69" s="1553">
        <f t="shared" si="531"/>
        <v>0</v>
      </c>
      <c r="H69" s="1554">
        <f t="shared" si="531"/>
        <v>0</v>
      </c>
      <c r="I69" s="1552">
        <f t="shared" si="531"/>
        <v>0</v>
      </c>
      <c r="J69" s="1553">
        <f t="shared" si="531"/>
        <v>0</v>
      </c>
      <c r="K69" s="1553">
        <f t="shared" si="531"/>
        <v>0</v>
      </c>
      <c r="L69" s="1553">
        <f t="shared" si="531"/>
        <v>0</v>
      </c>
      <c r="M69" s="1553">
        <f t="shared" si="531"/>
        <v>0</v>
      </c>
      <c r="N69" s="1554">
        <f t="shared" si="531"/>
        <v>0</v>
      </c>
      <c r="O69" s="1552">
        <f t="shared" si="531"/>
        <v>0</v>
      </c>
      <c r="P69" s="1553">
        <f t="shared" si="531"/>
        <v>0</v>
      </c>
      <c r="Q69" s="1553">
        <f t="shared" si="531"/>
        <v>0</v>
      </c>
      <c r="R69" s="1553">
        <f t="shared" si="531"/>
        <v>0</v>
      </c>
      <c r="S69" s="1553">
        <f t="shared" si="531"/>
        <v>0</v>
      </c>
      <c r="T69" s="1554">
        <f t="shared" si="531"/>
        <v>0</v>
      </c>
      <c r="U69" s="1552">
        <f t="shared" si="531"/>
        <v>0</v>
      </c>
      <c r="V69" s="1553">
        <f t="shared" si="531"/>
        <v>0</v>
      </c>
      <c r="W69" s="1553">
        <f t="shared" si="531"/>
        <v>0</v>
      </c>
      <c r="X69" s="1553">
        <f t="shared" si="531"/>
        <v>0</v>
      </c>
      <c r="Y69" s="1553">
        <f t="shared" si="531"/>
        <v>0</v>
      </c>
      <c r="Z69" s="1554">
        <f t="shared" si="531"/>
        <v>0</v>
      </c>
      <c r="AA69" s="1552">
        <f t="shared" si="531"/>
        <v>0</v>
      </c>
      <c r="AB69" s="1553">
        <f t="shared" si="531"/>
        <v>0</v>
      </c>
      <c r="AC69" s="1553">
        <f t="shared" si="531"/>
        <v>0</v>
      </c>
      <c r="AD69" s="1553">
        <f t="shared" si="531"/>
        <v>0</v>
      </c>
      <c r="AE69" s="1553">
        <f t="shared" si="531"/>
        <v>0</v>
      </c>
      <c r="AF69" s="1554">
        <f t="shared" si="531"/>
        <v>0</v>
      </c>
      <c r="AG69" s="1552">
        <f t="shared" si="531"/>
        <v>0</v>
      </c>
      <c r="AH69" s="1553">
        <f t="shared" si="531"/>
        <v>0</v>
      </c>
      <c r="AI69" s="1553">
        <f t="shared" si="531"/>
        <v>0</v>
      </c>
      <c r="AJ69" s="1553">
        <f t="shared" si="531"/>
        <v>0</v>
      </c>
      <c r="AK69" s="1553">
        <f t="shared" si="531"/>
        <v>0</v>
      </c>
      <c r="AL69" s="1554">
        <f>IFERROR(AL66/AL65,0)</f>
        <v>0</v>
      </c>
      <c r="AM69" s="1552">
        <f>IFERROR(AM66/AM65,0)</f>
        <v>0</v>
      </c>
      <c r="AN69" s="1553">
        <f t="shared" si="531"/>
        <v>0</v>
      </c>
      <c r="AO69" s="1553">
        <f t="shared" si="531"/>
        <v>0</v>
      </c>
      <c r="AP69" s="1553">
        <f t="shared" si="531"/>
        <v>0</v>
      </c>
      <c r="AQ69" s="1553">
        <f t="shared" si="531"/>
        <v>0</v>
      </c>
      <c r="AR69" s="1553">
        <f t="shared" si="531"/>
        <v>0</v>
      </c>
      <c r="AS69" s="1553">
        <f t="shared" si="531"/>
        <v>0</v>
      </c>
      <c r="AT69" s="1554">
        <f t="shared" si="531"/>
        <v>0</v>
      </c>
      <c r="AU69" s="1538"/>
      <c r="AV69" s="1538"/>
      <c r="AW69" s="1539"/>
      <c r="AX69" s="4422"/>
      <c r="AY69" s="4426" t="s">
        <v>1901</v>
      </c>
      <c r="AZ69" s="4430">
        <f t="shared" ref="AZ69" si="532">IFERROR(C69/$C$1,0)</f>
        <v>0</v>
      </c>
      <c r="BA69" s="4430">
        <f t="shared" ref="BA69" si="533">IFERROR(D69/$C$1,0)</f>
        <v>0</v>
      </c>
      <c r="BB69" s="4430">
        <f t="shared" ref="BB69" si="534">IFERROR(E69/$C$1,0)</f>
        <v>0</v>
      </c>
      <c r="BC69" s="4430">
        <f t="shared" ref="BC69" si="535">IFERROR(F69/$C$1,0)</f>
        <v>0</v>
      </c>
      <c r="BD69" s="4430">
        <f t="shared" ref="BD69" si="536">IFERROR(G69/$C$1,0)</f>
        <v>0</v>
      </c>
      <c r="BE69" s="4430">
        <f t="shared" ref="BE69" si="537">IFERROR(H69/$C$1,0)</f>
        <v>0</v>
      </c>
      <c r="BF69" s="4430">
        <f t="shared" ref="BF69" si="538">IFERROR(I69/$C$1,0)</f>
        <v>0</v>
      </c>
      <c r="BG69" s="4430">
        <f t="shared" ref="BG69" si="539">IFERROR(J69/$C$1,0)</f>
        <v>0</v>
      </c>
      <c r="BH69" s="4430">
        <f t="shared" ref="BH69" si="540">IFERROR(K69/$C$1,0)</f>
        <v>0</v>
      </c>
      <c r="BI69" s="4430">
        <f t="shared" ref="BI69" si="541">IFERROR(L69/$C$1,0)</f>
        <v>0</v>
      </c>
      <c r="BJ69" s="4430">
        <f t="shared" ref="BJ69" si="542">IFERROR(M69/$C$1,0)</f>
        <v>0</v>
      </c>
      <c r="BK69" s="4430">
        <f t="shared" ref="BK69" si="543">IFERROR(N69/$C$1,0)</f>
        <v>0</v>
      </c>
      <c r="BL69" s="4430">
        <f t="shared" ref="BL69" si="544">IFERROR(O69/$C$1,0)</f>
        <v>0</v>
      </c>
      <c r="BM69" s="4430">
        <f t="shared" ref="BM69" si="545">IFERROR(P69/$C$1,0)</f>
        <v>0</v>
      </c>
      <c r="BN69" s="4430">
        <f t="shared" ref="BN69" si="546">IFERROR(Q69/$C$1,0)</f>
        <v>0</v>
      </c>
      <c r="BO69" s="4430">
        <f t="shared" ref="BO69" si="547">IFERROR(R69/$C$1,0)</f>
        <v>0</v>
      </c>
      <c r="BP69" s="4430">
        <f t="shared" ref="BP69" si="548">IFERROR(S69/$C$1,0)</f>
        <v>0</v>
      </c>
      <c r="BQ69" s="4430">
        <f t="shared" ref="BQ69" si="549">IFERROR(T69/$C$1,0)</f>
        <v>0</v>
      </c>
      <c r="BR69" s="4430">
        <f t="shared" ref="BR69" si="550">IFERROR(U69/$C$1,0)</f>
        <v>0</v>
      </c>
      <c r="BS69" s="4430">
        <f t="shared" ref="BS69" si="551">IFERROR(V69/$C$1,0)</f>
        <v>0</v>
      </c>
      <c r="BT69" s="4430">
        <f t="shared" ref="BT69" si="552">IFERROR(W69/$C$1,0)</f>
        <v>0</v>
      </c>
      <c r="BU69" s="4430">
        <f t="shared" ref="BU69" si="553">IFERROR(X69/$C$1,0)</f>
        <v>0</v>
      </c>
      <c r="BV69" s="4430">
        <f t="shared" ref="BV69" si="554">IFERROR(Y69/$C$1,0)</f>
        <v>0</v>
      </c>
      <c r="BW69" s="4430">
        <f t="shared" ref="BW69" si="555">IFERROR(Z69/$C$1,0)</f>
        <v>0</v>
      </c>
      <c r="BX69" s="4430">
        <f t="shared" ref="BX69" si="556">IFERROR(AA69/$C$1,0)</f>
        <v>0</v>
      </c>
      <c r="BY69" s="4430">
        <f t="shared" ref="BY69" si="557">IFERROR(AB69/$C$1,0)</f>
        <v>0</v>
      </c>
      <c r="BZ69" s="4430">
        <f t="shared" ref="BZ69" si="558">IFERROR(AC69/$C$1,0)</f>
        <v>0</v>
      </c>
      <c r="CA69" s="4430">
        <f t="shared" ref="CA69" si="559">IFERROR(AD69/$C$1,0)</f>
        <v>0</v>
      </c>
      <c r="CB69" s="4430">
        <f t="shared" ref="CB69" si="560">IFERROR(AE69/$C$1,0)</f>
        <v>0</v>
      </c>
      <c r="CC69" s="4430">
        <f t="shared" ref="CC69" si="561">IFERROR(AF69/$C$1,0)</f>
        <v>0</v>
      </c>
      <c r="CD69" s="4430">
        <f t="shared" ref="CD69" si="562">IFERROR(AG69/$C$1,0)</f>
        <v>0</v>
      </c>
      <c r="CE69" s="4430">
        <f t="shared" ref="CE69" si="563">IFERROR(AH69/$C$1,0)</f>
        <v>0</v>
      </c>
      <c r="CF69" s="4430">
        <f t="shared" ref="CF69" si="564">IFERROR(AI69/$C$1,0)</f>
        <v>0</v>
      </c>
      <c r="CG69" s="4430">
        <f t="shared" ref="CG69" si="565">IFERROR(AJ69/$C$1,0)</f>
        <v>0</v>
      </c>
      <c r="CH69" s="4430">
        <f t="shared" ref="CH69" si="566">IFERROR(AK69/$C$1,0)</f>
        <v>0</v>
      </c>
      <c r="CI69" s="4430">
        <f t="shared" ref="CI69" si="567">IFERROR(AL69/$C$1,0)</f>
        <v>0</v>
      </c>
      <c r="CJ69" s="4430">
        <f t="shared" ref="CJ69" si="568">IFERROR(AM69/$C$1,0)</f>
        <v>0</v>
      </c>
      <c r="CK69" s="4430">
        <f t="shared" ref="CK69" si="569">IFERROR(AN69/$C$1,0)</f>
        <v>0</v>
      </c>
      <c r="CL69" s="4430">
        <f t="shared" ref="CL69" si="570">IFERROR(AO69/$C$1,0)</f>
        <v>0</v>
      </c>
      <c r="CM69" s="4430">
        <f t="shared" ref="CM69" si="571">IFERROR(AP69/$C$1,0)</f>
        <v>0</v>
      </c>
      <c r="CN69" s="4430">
        <f t="shared" ref="CN69" si="572">IFERROR(AQ69/$C$1,0)</f>
        <v>0</v>
      </c>
      <c r="CO69" s="4430">
        <f t="shared" ref="CO69" si="573">IFERROR(AR69/$C$1,0)</f>
        <v>0</v>
      </c>
      <c r="CP69" s="4430">
        <f t="shared" ref="CP69" si="574">IFERROR(AS69/$C$1,0)</f>
        <v>0</v>
      </c>
      <c r="CQ69" s="4430">
        <f t="shared" ref="CQ69" si="575">IFERROR(AT69/$C$1,0)</f>
        <v>0</v>
      </c>
    </row>
    <row r="70" spans="1:95">
      <c r="A70" s="1944"/>
      <c r="B70" s="147"/>
      <c r="C70" s="1944"/>
      <c r="J70" s="147"/>
      <c r="K70" s="147"/>
      <c r="L70" s="147"/>
      <c r="M70" s="147"/>
      <c r="N70" s="147"/>
      <c r="O70" s="147"/>
      <c r="P70" s="147"/>
      <c r="W70" s="147"/>
      <c r="X70" s="1944"/>
      <c r="AE70" s="147"/>
      <c r="AF70" s="148"/>
      <c r="AG70" s="148"/>
      <c r="AU70" s="636"/>
      <c r="AV70" s="636"/>
      <c r="AW70" s="163"/>
      <c r="AX70" s="143"/>
      <c r="AY70" s="143"/>
      <c r="AZ70" s="143"/>
      <c r="BA70" s="143"/>
      <c r="BB70" s="143"/>
    </row>
    <row r="71" spans="1:95">
      <c r="A71" s="1945"/>
      <c r="B71" s="1946"/>
      <c r="C71" s="1953" t="str">
        <f>'Приложение '!B82</f>
        <v>Дата: 29.06.2026</v>
      </c>
      <c r="J71" s="147"/>
      <c r="K71" s="147"/>
      <c r="L71" s="147"/>
      <c r="M71" s="147"/>
      <c r="N71" s="147"/>
      <c r="O71" s="147"/>
      <c r="P71" s="147"/>
      <c r="Q71" s="1947"/>
      <c r="R71" s="1948"/>
      <c r="S71" s="1949"/>
      <c r="V71" s="1944"/>
      <c r="W71" s="147"/>
      <c r="X71" s="1944"/>
      <c r="AE71" s="147"/>
      <c r="AF71" s="148"/>
      <c r="AG71" s="148"/>
      <c r="AU71" s="636"/>
      <c r="AV71" s="636"/>
      <c r="AW71" s="163"/>
      <c r="AX71" s="143"/>
      <c r="AY71" s="143"/>
      <c r="AZ71" s="143"/>
      <c r="BA71" s="143"/>
      <c r="BB71" s="143"/>
    </row>
    <row r="72" spans="1:95">
      <c r="A72" s="1947"/>
      <c r="B72" s="1950"/>
      <c r="C72" s="1944"/>
      <c r="Q72" s="1947"/>
      <c r="R72" s="1951"/>
      <c r="S72" s="1952"/>
      <c r="T72" s="147"/>
      <c r="U72" s="1947"/>
      <c r="V72" s="1944"/>
      <c r="X72" s="1944"/>
      <c r="AD72" s="1954"/>
      <c r="AE72" s="1954"/>
      <c r="AF72" s="1955"/>
      <c r="AG72" s="1955"/>
      <c r="AH72" s="1954"/>
      <c r="AI72" s="1954"/>
      <c r="AJ72" s="1954"/>
      <c r="AK72" s="1954"/>
      <c r="AL72" s="1954"/>
      <c r="AM72" s="1954"/>
      <c r="AP72" s="1954"/>
      <c r="AQ72" s="1956"/>
      <c r="AR72" s="1957"/>
      <c r="AS72" s="1955"/>
      <c r="AT72" s="1954"/>
      <c r="AU72" s="1954"/>
      <c r="AV72" s="1954"/>
      <c r="AW72" s="1955"/>
      <c r="AX72" s="143"/>
      <c r="AY72" s="143"/>
      <c r="AZ72" s="143"/>
      <c r="BA72" s="143"/>
      <c r="BB72" s="143"/>
    </row>
    <row r="73" spans="1:95">
      <c r="A73" s="1947"/>
      <c r="B73" s="1950"/>
      <c r="C73" s="1944"/>
      <c r="Q73" s="1944"/>
      <c r="R73" s="1958"/>
      <c r="S73" s="756"/>
      <c r="U73" s="1944"/>
      <c r="V73" s="144"/>
      <c r="X73" s="1944"/>
      <c r="AC73" s="1954"/>
      <c r="AD73" s="1954"/>
      <c r="AE73" s="1954"/>
      <c r="AF73" s="1955"/>
      <c r="AG73" s="1955"/>
      <c r="AH73" s="1954"/>
      <c r="AI73" s="1954"/>
      <c r="AJ73" s="1954"/>
      <c r="AK73" s="1954"/>
      <c r="AL73" s="1954"/>
      <c r="AM73" s="1954"/>
      <c r="AP73" s="1954"/>
      <c r="AQ73" s="1956"/>
      <c r="AR73" s="1959"/>
      <c r="AS73" s="1955"/>
      <c r="AT73" s="1954"/>
      <c r="AU73" s="1954"/>
      <c r="AV73" s="1954"/>
      <c r="AW73" s="1955"/>
      <c r="AX73" s="143"/>
      <c r="AY73" s="143"/>
      <c r="AZ73" s="143"/>
      <c r="BA73" s="143"/>
      <c r="BB73" s="143"/>
    </row>
    <row r="74" spans="1:95">
      <c r="B74" s="3757"/>
      <c r="C74" s="3757" t="s">
        <v>187</v>
      </c>
      <c r="D74" s="1960"/>
      <c r="E74" s="1960"/>
      <c r="F74" s="1960"/>
      <c r="G74" s="1960"/>
      <c r="H74" s="1960"/>
      <c r="I74" s="636"/>
      <c r="J74" s="636"/>
      <c r="K74" s="636"/>
      <c r="L74" s="636"/>
      <c r="M74" s="636"/>
      <c r="N74" s="636"/>
      <c r="O74" s="636"/>
      <c r="P74" s="636"/>
      <c r="Q74" s="1944"/>
      <c r="R74" s="1958"/>
      <c r="S74" s="756"/>
      <c r="T74" s="636"/>
      <c r="U74" s="1944"/>
      <c r="V74" s="144"/>
      <c r="X74" s="1944"/>
      <c r="AC74" s="1954"/>
      <c r="AD74" s="1954"/>
      <c r="AE74" s="1954"/>
      <c r="AF74" s="1955"/>
      <c r="AG74" s="1955"/>
      <c r="AH74" s="1954"/>
      <c r="AI74" s="1954"/>
      <c r="AJ74" s="1954"/>
      <c r="AK74" s="1954"/>
      <c r="AL74" s="1954"/>
      <c r="AM74" s="1954"/>
      <c r="AP74" s="1954"/>
      <c r="AQ74" s="1956"/>
      <c r="AR74" s="1957"/>
      <c r="AS74" s="1955"/>
      <c r="AT74" s="1954"/>
      <c r="AU74" s="1954"/>
      <c r="AV74" s="1954"/>
      <c r="AW74" s="1955"/>
      <c r="AX74" s="143"/>
      <c r="AY74" s="143"/>
      <c r="AZ74" s="143"/>
      <c r="BA74" s="143"/>
      <c r="BB74" s="143"/>
    </row>
    <row r="75" spans="1:95">
      <c r="B75" s="3674"/>
      <c r="C75" s="3674" t="s">
        <v>188</v>
      </c>
      <c r="D75" s="636"/>
      <c r="E75" s="636"/>
      <c r="F75" s="636"/>
      <c r="G75" s="636"/>
      <c r="H75" s="636"/>
      <c r="I75" s="636"/>
      <c r="J75" s="636"/>
      <c r="K75" s="636"/>
      <c r="L75" s="636"/>
      <c r="M75" s="636"/>
      <c r="N75" s="636"/>
      <c r="O75" s="636"/>
      <c r="P75" s="636"/>
      <c r="Q75" s="147"/>
      <c r="R75" s="3349"/>
      <c r="S75" s="3350"/>
      <c r="T75" s="636"/>
      <c r="V75" s="144"/>
      <c r="X75" s="1944"/>
      <c r="AC75" s="1954"/>
      <c r="AD75" s="1954"/>
      <c r="AE75" s="1954"/>
      <c r="AF75" s="1955"/>
      <c r="AG75" s="1955"/>
      <c r="AH75" s="1954"/>
      <c r="AI75" s="1954"/>
      <c r="AJ75" s="1954"/>
      <c r="AK75" s="1954"/>
      <c r="AL75" s="1954"/>
      <c r="AM75" s="1954"/>
      <c r="AP75" s="1954"/>
      <c r="AQ75" s="1956"/>
      <c r="AR75" s="1957"/>
      <c r="AS75" s="1955"/>
      <c r="AT75" s="1954"/>
      <c r="AU75" s="1954"/>
      <c r="AV75" s="1954"/>
      <c r="AW75" s="1955"/>
      <c r="AX75" s="143"/>
      <c r="AY75" s="143"/>
      <c r="AZ75" s="143"/>
      <c r="BA75" s="143"/>
      <c r="BB75" s="143"/>
    </row>
    <row r="76" spans="1:95" ht="46.5" customHeight="1">
      <c r="B76" s="3673"/>
      <c r="C76" s="4994" t="s">
        <v>1478</v>
      </c>
      <c r="D76" s="4994"/>
      <c r="E76" s="4994"/>
      <c r="F76" s="4994"/>
      <c r="G76" s="4994"/>
      <c r="H76" s="4994"/>
      <c r="I76" s="4994"/>
      <c r="J76" s="4994"/>
      <c r="K76" s="4994"/>
      <c r="L76" s="4994"/>
      <c r="M76" s="4994"/>
      <c r="N76" s="4994"/>
      <c r="O76" s="4994"/>
      <c r="P76" s="4994"/>
      <c r="Q76" s="4994"/>
      <c r="R76" s="4994"/>
      <c r="S76" s="4994"/>
      <c r="T76" s="4994"/>
      <c r="U76" s="4994"/>
      <c r="V76" s="4994"/>
      <c r="W76" s="4994"/>
      <c r="X76" s="4994"/>
      <c r="Y76" s="4994"/>
      <c r="Z76" s="4994"/>
      <c r="AC76" s="1954"/>
      <c r="AD76" s="1954"/>
      <c r="AE76" s="1954"/>
      <c r="AF76" s="1954"/>
      <c r="AG76" s="1954"/>
      <c r="AH76" s="1954"/>
      <c r="AI76" s="1954"/>
      <c r="AJ76" s="1961"/>
      <c r="AK76" s="1961"/>
      <c r="AL76" s="1961"/>
      <c r="AM76" s="1954"/>
      <c r="AP76" s="1954"/>
      <c r="AQ76" s="1956"/>
      <c r="AR76" s="1957"/>
      <c r="AS76" s="1956"/>
      <c r="AT76" s="1954"/>
      <c r="AU76" s="1961"/>
      <c r="AV76" s="1961"/>
      <c r="AW76" s="1962"/>
      <c r="AX76" s="143"/>
      <c r="AY76" s="143"/>
    </row>
    <row r="77" spans="1:95" ht="35.25" customHeight="1">
      <c r="B77" s="3673"/>
      <c r="C77" s="4994" t="s">
        <v>1477</v>
      </c>
      <c r="D77" s="4994"/>
      <c r="E77" s="4994"/>
      <c r="F77" s="4994"/>
      <c r="G77" s="4994"/>
      <c r="H77" s="4994"/>
      <c r="I77" s="4994"/>
      <c r="J77" s="4994"/>
      <c r="K77" s="4994"/>
      <c r="L77" s="4994"/>
      <c r="M77" s="4994"/>
      <c r="N77" s="4994"/>
      <c r="O77" s="4994"/>
      <c r="P77" s="4994"/>
      <c r="Q77" s="4994"/>
      <c r="R77" s="4994"/>
      <c r="S77" s="4994"/>
      <c r="T77" s="4994"/>
      <c r="U77" s="4994"/>
      <c r="V77" s="4994"/>
      <c r="W77" s="4994"/>
      <c r="X77" s="4994"/>
      <c r="Y77" s="4994"/>
      <c r="Z77" s="4994"/>
      <c r="AC77" s="1954"/>
      <c r="AD77" s="1954"/>
      <c r="AE77" s="1954"/>
      <c r="AF77" s="1954"/>
      <c r="AG77" s="1954"/>
      <c r="AH77" s="1954"/>
      <c r="AI77" s="1954"/>
      <c r="AJ77" s="1954"/>
      <c r="AK77" s="1954"/>
      <c r="AL77" s="1954"/>
      <c r="AM77" s="1954"/>
      <c r="AP77" s="1954"/>
      <c r="AQ77" s="1956"/>
      <c r="AR77" s="1959"/>
      <c r="AS77" s="1956"/>
      <c r="AT77" s="1954"/>
      <c r="AU77" s="1954"/>
      <c r="AV77" s="1954"/>
      <c r="AW77" s="1955"/>
    </row>
    <row r="78" spans="1:95" ht="21.75" customHeight="1">
      <c r="B78" s="3673"/>
      <c r="C78" s="3674" t="s">
        <v>1515</v>
      </c>
      <c r="D78" s="3674"/>
      <c r="E78" s="3674"/>
      <c r="F78" s="3674"/>
      <c r="G78" s="3674"/>
      <c r="H78" s="3674"/>
      <c r="I78" s="3674"/>
      <c r="J78" s="3674"/>
      <c r="K78" s="3674"/>
      <c r="L78" s="3674"/>
      <c r="M78" s="3674"/>
      <c r="N78" s="3674"/>
      <c r="O78" s="3674"/>
      <c r="P78" s="3674"/>
      <c r="Q78" s="3674"/>
      <c r="R78" s="3674"/>
      <c r="S78" s="3674"/>
      <c r="T78" s="3674"/>
      <c r="U78" s="3674"/>
      <c r="AC78" s="1954"/>
      <c r="AD78" s="1954"/>
      <c r="AE78" s="1954"/>
      <c r="AF78" s="1954"/>
      <c r="AG78" s="1954"/>
      <c r="AH78" s="1954"/>
      <c r="AI78" s="1954"/>
      <c r="AJ78" s="1954"/>
      <c r="AK78" s="1954"/>
      <c r="AL78" s="1954"/>
      <c r="AM78" s="1954"/>
      <c r="AP78" s="1954"/>
      <c r="AQ78" s="1954"/>
      <c r="AR78" s="1954"/>
      <c r="AS78" s="1954"/>
      <c r="AT78" s="1954"/>
      <c r="AU78" s="1954"/>
      <c r="AV78" s="1954"/>
      <c r="AW78" s="1955"/>
    </row>
    <row r="79" spans="1:95" ht="41.25" customHeight="1">
      <c r="B79" s="3673"/>
      <c r="C79" s="4994" t="s">
        <v>1514</v>
      </c>
      <c r="D79" s="4994"/>
      <c r="E79" s="4994"/>
      <c r="F79" s="4994"/>
      <c r="G79" s="4994"/>
      <c r="H79" s="4994"/>
      <c r="I79" s="4994"/>
      <c r="J79" s="4994"/>
      <c r="K79" s="4994"/>
      <c r="L79" s="4994"/>
      <c r="M79" s="4994"/>
      <c r="N79" s="4994"/>
      <c r="O79" s="4994"/>
      <c r="P79" s="4994"/>
      <c r="Q79" s="4994"/>
      <c r="R79" s="4994"/>
      <c r="S79" s="4994"/>
      <c r="T79" s="4994"/>
      <c r="U79" s="4994"/>
      <c r="V79" s="4994"/>
      <c r="W79" s="4994"/>
      <c r="X79" s="4994"/>
      <c r="Y79" s="4994"/>
      <c r="Z79" s="4994"/>
    </row>
  </sheetData>
  <sheetProtection algorithmName="SHA-512" hashValue="gQ9S7Ft4sDLZk6RvGNxS3/8b+cUTyHwGNHzcccoL/vcoj/2XUSHMI7HskpavCqGh2Pat8S694zMVsNogFSQMrg==" saltValue="TrGnRMv8TiVc++yb/WM5QA==" spinCount="100000" sheet="1" formatCells="0" formatColumns="0" formatRows="0"/>
  <mergeCells count="30">
    <mergeCell ref="B7:B9"/>
    <mergeCell ref="C8:H8"/>
    <mergeCell ref="I8:N8"/>
    <mergeCell ref="O8:T8"/>
    <mergeCell ref="C76:Z76"/>
    <mergeCell ref="C77:Z77"/>
    <mergeCell ref="C79:Z79"/>
    <mergeCell ref="AV7:AV8"/>
    <mergeCell ref="AW7:AW8"/>
    <mergeCell ref="C7:AF7"/>
    <mergeCell ref="U8:Z8"/>
    <mergeCell ref="AA8:AF8"/>
    <mergeCell ref="AM7:AU8"/>
    <mergeCell ref="AG7:AL8"/>
    <mergeCell ref="CD7:CI8"/>
    <mergeCell ref="CJ7:CQ8"/>
    <mergeCell ref="AY7:AY9"/>
    <mergeCell ref="A1:B1"/>
    <mergeCell ref="C1:D1"/>
    <mergeCell ref="AZ7:CC7"/>
    <mergeCell ref="AZ8:BE8"/>
    <mergeCell ref="BF8:BK8"/>
    <mergeCell ref="BL8:BQ8"/>
    <mergeCell ref="BR8:BW8"/>
    <mergeCell ref="BX8:CC8"/>
    <mergeCell ref="A2:Z2"/>
    <mergeCell ref="A3:Z3"/>
    <mergeCell ref="A4:Z4"/>
    <mergeCell ref="A5:Z5"/>
    <mergeCell ref="A7:A9"/>
  </mergeCells>
  <conditionalFormatting sqref="M18">
    <cfRule type="cellIs" priority="3" operator="notEqual">
      <formula>$M$18</formula>
    </cfRule>
  </conditionalFormatting>
  <conditionalFormatting sqref="M25:M26">
    <cfRule type="cellIs" priority="1" operator="notEqual">
      <formula>$M$18</formula>
    </cfRule>
  </conditionalFormatting>
  <printOptions horizontalCentered="1"/>
  <pageMargins left="0" right="0" top="0.43307086614173229" bottom="0.15748031496062992" header="0.31496062992125984" footer="0.11811023622047245"/>
  <pageSetup paperSize="9" scale="43" orientation="landscape" r:id="rId1"/>
  <headerFooter alignWithMargins="0">
    <oddFooter>&amp;C&amp;A&amp;RСтр. &amp;P от &amp;N</oddFooter>
  </headerFooter>
  <colBreaks count="3" manualBreakCount="3">
    <brk id="26" max="78" man="1"/>
    <brk id="57" max="78" man="1"/>
    <brk id="9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sheetPr>
  <dimension ref="A1:CX119"/>
  <sheetViews>
    <sheetView view="pageBreakPreview" zoomScaleNormal="85" zoomScaleSheetLayoutView="100" workbookViewId="0">
      <pane xSplit="2" ySplit="9" topLeftCell="C99" activePane="bottomRight" state="frozen"/>
      <selection pane="topRight" activeCell="C1" sqref="C1"/>
      <selection pane="bottomLeft" activeCell="A10" sqref="A10"/>
      <selection pane="bottomRight" activeCell="A3" sqref="A3:T3"/>
    </sheetView>
  </sheetViews>
  <sheetFormatPr defaultColWidth="9.140625" defaultRowHeight="12.75"/>
  <cols>
    <col min="1" max="1" width="4.5703125" style="142" customWidth="1"/>
    <col min="2" max="2" width="33.85546875" style="142" customWidth="1"/>
    <col min="3" max="3" width="10.85546875" style="141" customWidth="1"/>
    <col min="4" max="4" width="10.140625" style="141" bestFit="1" customWidth="1"/>
    <col min="5" max="5" width="10.140625" style="141" customWidth="1"/>
    <col min="6" max="6" width="11.42578125" style="141" customWidth="1"/>
    <col min="7" max="7" width="11.5703125" style="141" customWidth="1"/>
    <col min="8" max="8" width="10.85546875" style="141" customWidth="1"/>
    <col min="9" max="14" width="8.5703125" style="141" customWidth="1"/>
    <col min="15" max="15" width="9.5703125" style="141" customWidth="1"/>
    <col min="16" max="20" width="8" style="141" customWidth="1"/>
    <col min="21" max="21" width="2.85546875" style="141" customWidth="1"/>
    <col min="22" max="25" width="8.5703125" style="141" customWidth="1"/>
    <col min="26" max="33" width="8.5703125" style="142" customWidth="1"/>
    <col min="34" max="16384" width="9.140625" style="142"/>
  </cols>
  <sheetData>
    <row r="1" spans="1:102" ht="13.5" customHeight="1" thickBot="1">
      <c r="A1" s="4792" t="str">
        <f>+'1. Обща информация'!B40</f>
        <v>Фиксиран курс на лева към 1 евро</v>
      </c>
      <c r="B1" s="4792"/>
      <c r="C1" s="4793">
        <f>+'1. Обща информация'!$C$40</f>
        <v>1.95583</v>
      </c>
      <c r="D1" s="4793"/>
      <c r="E1" s="1966"/>
      <c r="F1" s="1966"/>
      <c r="G1" s="1966"/>
      <c r="H1" s="1966"/>
      <c r="I1" s="1966"/>
      <c r="J1" s="1966"/>
      <c r="K1" s="1966"/>
      <c r="L1" s="1966"/>
      <c r="M1" s="1966"/>
      <c r="N1" s="1966"/>
      <c r="O1" s="1966"/>
      <c r="P1" s="1966"/>
      <c r="Q1" s="1966"/>
      <c r="R1" s="1966"/>
      <c r="S1" s="1967" t="s">
        <v>1048</v>
      </c>
      <c r="T1" s="142"/>
    </row>
    <row r="2" spans="1:102" s="143" customFormat="1" ht="18.75" customHeight="1">
      <c r="A2" s="5029" t="s">
        <v>1379</v>
      </c>
      <c r="B2" s="5029"/>
      <c r="C2" s="5029"/>
      <c r="D2" s="5029"/>
      <c r="E2" s="5029"/>
      <c r="F2" s="5029"/>
      <c r="G2" s="5029"/>
      <c r="H2" s="5029"/>
      <c r="I2" s="5029"/>
      <c r="J2" s="5029"/>
      <c r="K2" s="5029"/>
      <c r="L2" s="5029"/>
      <c r="M2" s="5029"/>
      <c r="N2" s="5029"/>
      <c r="O2" s="5029"/>
      <c r="P2" s="5029"/>
      <c r="Q2" s="5029"/>
      <c r="R2" s="5029"/>
      <c r="S2" s="5029"/>
      <c r="T2" s="5029"/>
      <c r="U2" s="141"/>
      <c r="V2" s="141"/>
      <c r="W2" s="141"/>
      <c r="X2" s="141"/>
      <c r="Y2" s="141"/>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row>
    <row r="3" spans="1:102" s="143" customFormat="1" ht="18.75">
      <c r="A3" s="5029" t="s">
        <v>1378</v>
      </c>
      <c r="B3" s="5029"/>
      <c r="C3" s="5029"/>
      <c r="D3" s="5029"/>
      <c r="E3" s="5029"/>
      <c r="F3" s="5029"/>
      <c r="G3" s="5029"/>
      <c r="H3" s="5029"/>
      <c r="I3" s="5029"/>
      <c r="J3" s="5029"/>
      <c r="K3" s="5029"/>
      <c r="L3" s="5029"/>
      <c r="M3" s="5029"/>
      <c r="N3" s="5029"/>
      <c r="O3" s="5029"/>
      <c r="P3" s="5029"/>
      <c r="Q3" s="5029"/>
      <c r="R3" s="5029"/>
      <c r="S3" s="5029"/>
      <c r="T3" s="5029"/>
      <c r="U3" s="141"/>
      <c r="V3" s="141"/>
      <c r="W3" s="141"/>
      <c r="X3" s="141"/>
      <c r="Y3" s="141"/>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row>
    <row r="4" spans="1:102" s="143" customFormat="1" ht="17.25" customHeight="1">
      <c r="A4" s="4976" t="str">
        <f>'1. Обща информация'!A4</f>
        <v>на ВОДОСНАБДЯВАНЕ И КАНАЛИЗАЦИЯ ЕООД, гр. ХАСКОВО</v>
      </c>
      <c r="B4" s="4976"/>
      <c r="C4" s="4976"/>
      <c r="D4" s="4976"/>
      <c r="E4" s="4976"/>
      <c r="F4" s="4976"/>
      <c r="G4" s="4976"/>
      <c r="H4" s="4976"/>
      <c r="I4" s="4976"/>
      <c r="J4" s="4976"/>
      <c r="K4" s="4976"/>
      <c r="L4" s="4976"/>
      <c r="M4" s="4976"/>
      <c r="N4" s="4976"/>
      <c r="O4" s="4976"/>
      <c r="P4" s="4976"/>
      <c r="Q4" s="4976"/>
      <c r="R4" s="4976"/>
      <c r="S4" s="4976"/>
      <c r="T4" s="4976"/>
      <c r="U4" s="144"/>
      <c r="V4" s="144"/>
      <c r="W4" s="144"/>
      <c r="X4" s="144"/>
      <c r="Y4" s="144"/>
    </row>
    <row r="5" spans="1:102" s="143" customFormat="1" ht="17.25" customHeight="1">
      <c r="A5" s="5030" t="str">
        <f>'Приложение '!A4</f>
        <v>ЕИК по БУЛСТАТ: 126004284</v>
      </c>
      <c r="B5" s="5030"/>
      <c r="C5" s="5030"/>
      <c r="D5" s="5030"/>
      <c r="E5" s="5030"/>
      <c r="F5" s="5030"/>
      <c r="G5" s="5030"/>
      <c r="H5" s="5030"/>
      <c r="I5" s="5030"/>
      <c r="J5" s="5030"/>
      <c r="K5" s="5030"/>
      <c r="L5" s="5030"/>
      <c r="M5" s="5030"/>
      <c r="N5" s="5030"/>
      <c r="O5" s="5030"/>
      <c r="P5" s="5030"/>
      <c r="Q5" s="5030"/>
      <c r="R5" s="5030"/>
      <c r="S5" s="5030"/>
      <c r="T5" s="5030"/>
      <c r="U5" s="144"/>
      <c r="V5" s="144"/>
      <c r="W5" s="144"/>
      <c r="X5" s="144"/>
      <c r="Y5" s="144"/>
    </row>
    <row r="6" spans="1:102" s="143" customFormat="1" ht="6" customHeight="1" thickBot="1">
      <c r="A6" s="145"/>
      <c r="B6" s="145"/>
      <c r="C6" s="146"/>
      <c r="D6" s="146"/>
      <c r="E6" s="146"/>
      <c r="F6" s="146"/>
      <c r="G6" s="146"/>
      <c r="H6" s="146"/>
      <c r="I6" s="146"/>
      <c r="J6" s="146"/>
      <c r="K6" s="146"/>
      <c r="L6" s="146"/>
      <c r="M6" s="146"/>
      <c r="N6" s="1966"/>
      <c r="O6" s="1966"/>
      <c r="P6" s="1966"/>
      <c r="Q6" s="1966"/>
      <c r="R6" s="1966"/>
      <c r="S6" s="5021"/>
      <c r="T6" s="5021"/>
      <c r="U6" s="141"/>
      <c r="V6" s="141"/>
      <c r="W6" s="141"/>
      <c r="X6" s="141"/>
      <c r="Y6" s="141"/>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row>
    <row r="7" spans="1:102" s="143" customFormat="1" ht="23.25" customHeight="1">
      <c r="A7" s="5022" t="s">
        <v>1</v>
      </c>
      <c r="B7" s="5025" t="s">
        <v>1754</v>
      </c>
      <c r="C7" s="5025" t="s">
        <v>207</v>
      </c>
      <c r="D7" s="5025"/>
      <c r="E7" s="5025"/>
      <c r="F7" s="5025"/>
      <c r="G7" s="5025"/>
      <c r="H7" s="5025"/>
      <c r="I7" s="5025"/>
      <c r="J7" s="5025"/>
      <c r="K7" s="5025"/>
      <c r="L7" s="5025"/>
      <c r="M7" s="5025"/>
      <c r="N7" s="5025"/>
      <c r="O7" s="5025"/>
      <c r="P7" s="5025"/>
      <c r="Q7" s="5025"/>
      <c r="R7" s="5025"/>
      <c r="S7" s="5025"/>
      <c r="T7" s="5025"/>
      <c r="U7" s="4422"/>
      <c r="V7" s="5016" t="str">
        <f>+C7</f>
        <v>Доставяне на вода на потребителите</v>
      </c>
      <c r="W7" s="5016"/>
      <c r="X7" s="5016"/>
      <c r="Y7" s="5016"/>
      <c r="Z7" s="5016"/>
      <c r="AA7" s="5016"/>
      <c r="AB7" s="5016"/>
      <c r="AC7" s="5016"/>
      <c r="AD7" s="5016"/>
      <c r="AE7" s="5016"/>
      <c r="AF7" s="5016"/>
      <c r="AG7" s="5016"/>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row>
    <row r="8" spans="1:102" s="143" customFormat="1" ht="23.25" customHeight="1">
      <c r="A8" s="5023"/>
      <c r="B8" s="5026"/>
      <c r="C8" s="5028" t="s">
        <v>348</v>
      </c>
      <c r="D8" s="5028"/>
      <c r="E8" s="5028"/>
      <c r="F8" s="5028"/>
      <c r="G8" s="5028"/>
      <c r="H8" s="5028"/>
      <c r="I8" s="5028" t="s">
        <v>911</v>
      </c>
      <c r="J8" s="5028"/>
      <c r="K8" s="5028"/>
      <c r="L8" s="5028"/>
      <c r="M8" s="5028"/>
      <c r="N8" s="5028"/>
      <c r="O8" s="5028" t="s">
        <v>1766</v>
      </c>
      <c r="P8" s="5028"/>
      <c r="Q8" s="5028"/>
      <c r="R8" s="5028"/>
      <c r="S8" s="5028"/>
      <c r="T8" s="5028"/>
      <c r="U8" s="4422"/>
      <c r="V8" s="5017" t="s">
        <v>1880</v>
      </c>
      <c r="W8" s="5017"/>
      <c r="X8" s="5017"/>
      <c r="Y8" s="5017"/>
      <c r="Z8" s="5017"/>
      <c r="AA8" s="5017"/>
      <c r="AB8" s="5017" t="s">
        <v>1881</v>
      </c>
      <c r="AC8" s="5017"/>
      <c r="AD8" s="5017"/>
      <c r="AE8" s="5017"/>
      <c r="AF8" s="5017"/>
      <c r="AG8" s="5017"/>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142"/>
      <c r="CP8" s="142"/>
      <c r="CQ8" s="142"/>
      <c r="CR8" s="142"/>
      <c r="CS8" s="142"/>
      <c r="CT8" s="142"/>
      <c r="CU8" s="142"/>
      <c r="CV8" s="142"/>
      <c r="CW8" s="142"/>
      <c r="CX8" s="142"/>
    </row>
    <row r="9" spans="1:102" s="143" customFormat="1" ht="23.25" customHeight="1" thickBot="1">
      <c r="A9" s="5024"/>
      <c r="B9" s="5027"/>
      <c r="C9" s="151" t="str">
        <f>'Приложение '!C12</f>
        <v>2024 г.</v>
      </c>
      <c r="D9" s="151" t="str">
        <f>'Приложение '!$C14</f>
        <v>2027 г.</v>
      </c>
      <c r="E9" s="151" t="str">
        <f>'Приложение '!$C15</f>
        <v>2028 г.</v>
      </c>
      <c r="F9" s="151" t="str">
        <f>'Приложение '!$C16</f>
        <v>2029 г.</v>
      </c>
      <c r="G9" s="151" t="str">
        <f>'Приложение '!$C17</f>
        <v>2030 г.</v>
      </c>
      <c r="H9" s="151" t="str">
        <f>'Приложение '!$C18</f>
        <v>2031 г.</v>
      </c>
      <c r="I9" s="151" t="str">
        <f t="shared" ref="I9:T9" si="0">C9</f>
        <v>2024 г.</v>
      </c>
      <c r="J9" s="151" t="str">
        <f t="shared" si="0"/>
        <v>2027 г.</v>
      </c>
      <c r="K9" s="151" t="str">
        <f t="shared" si="0"/>
        <v>2028 г.</v>
      </c>
      <c r="L9" s="151" t="str">
        <f t="shared" si="0"/>
        <v>2029 г.</v>
      </c>
      <c r="M9" s="151" t="str">
        <f t="shared" si="0"/>
        <v>2030 г.</v>
      </c>
      <c r="N9" s="151" t="str">
        <f t="shared" si="0"/>
        <v>2031 г.</v>
      </c>
      <c r="O9" s="151" t="str">
        <f t="shared" si="0"/>
        <v>2024 г.</v>
      </c>
      <c r="P9" s="151" t="str">
        <f t="shared" si="0"/>
        <v>2027 г.</v>
      </c>
      <c r="Q9" s="151" t="str">
        <f t="shared" si="0"/>
        <v>2028 г.</v>
      </c>
      <c r="R9" s="151" t="str">
        <f t="shared" si="0"/>
        <v>2029 г.</v>
      </c>
      <c r="S9" s="151" t="str">
        <f t="shared" si="0"/>
        <v>2030 г.</v>
      </c>
      <c r="T9" s="151" t="str">
        <f t="shared" si="0"/>
        <v>2031 г.</v>
      </c>
      <c r="U9" s="4422"/>
      <c r="V9" s="4436" t="str">
        <f>+I9</f>
        <v>2024 г.</v>
      </c>
      <c r="W9" s="4436" t="str">
        <f t="shared" ref="W9:AG9" si="1">+J9</f>
        <v>2027 г.</v>
      </c>
      <c r="X9" s="4436" t="str">
        <f t="shared" si="1"/>
        <v>2028 г.</v>
      </c>
      <c r="Y9" s="4436" t="str">
        <f t="shared" si="1"/>
        <v>2029 г.</v>
      </c>
      <c r="Z9" s="4436" t="str">
        <f t="shared" si="1"/>
        <v>2030 г.</v>
      </c>
      <c r="AA9" s="4436" t="str">
        <f t="shared" si="1"/>
        <v>2031 г.</v>
      </c>
      <c r="AB9" s="4436" t="str">
        <f t="shared" si="1"/>
        <v>2024 г.</v>
      </c>
      <c r="AC9" s="4436" t="str">
        <f t="shared" si="1"/>
        <v>2027 г.</v>
      </c>
      <c r="AD9" s="4436" t="str">
        <f t="shared" si="1"/>
        <v>2028 г.</v>
      </c>
      <c r="AE9" s="4436" t="str">
        <f t="shared" si="1"/>
        <v>2029 г.</v>
      </c>
      <c r="AF9" s="4436" t="str">
        <f t="shared" si="1"/>
        <v>2030 г.</v>
      </c>
      <c r="AG9" s="4436" t="str">
        <f t="shared" si="1"/>
        <v>2031 г.</v>
      </c>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c r="CO9" s="142"/>
      <c r="CP9" s="142"/>
      <c r="CQ9" s="142"/>
      <c r="CR9" s="142"/>
      <c r="CS9" s="142"/>
      <c r="CT9" s="142"/>
      <c r="CU9" s="142"/>
      <c r="CV9" s="142"/>
      <c r="CW9" s="142"/>
      <c r="CX9" s="142"/>
    </row>
    <row r="10" spans="1:102" s="19" customFormat="1" ht="22.5" customHeight="1">
      <c r="A10" s="3772">
        <v>1</v>
      </c>
      <c r="B10" s="3773" t="s">
        <v>1753</v>
      </c>
      <c r="C10" s="3777">
        <v>14909140.511</v>
      </c>
      <c r="D10" s="3777">
        <v>14834595</v>
      </c>
      <c r="E10" s="3777">
        <v>14760422</v>
      </c>
      <c r="F10" s="3777">
        <v>14686620</v>
      </c>
      <c r="G10" s="3777">
        <v>14613187</v>
      </c>
      <c r="H10" s="3777">
        <v>14540121</v>
      </c>
      <c r="I10" s="4373">
        <f t="shared" ref="I10:N12" si="2">(C10/1000)*(O10/1000)</f>
        <v>3431.5623257143147</v>
      </c>
      <c r="J10" s="3779">
        <f t="shared" si="2"/>
        <v>3987.4352938349998</v>
      </c>
      <c r="K10" s="3779">
        <f t="shared" si="2"/>
        <v>3967.498110646</v>
      </c>
      <c r="L10" s="3779">
        <f t="shared" si="2"/>
        <v>3947.6606496600002</v>
      </c>
      <c r="M10" s="3779">
        <f t="shared" si="2"/>
        <v>3927.922373291</v>
      </c>
      <c r="N10" s="3779">
        <f t="shared" si="2"/>
        <v>3908.2827439529997</v>
      </c>
      <c r="O10" s="4580">
        <v>230.16499999999999</v>
      </c>
      <c r="P10" s="4390">
        <v>268.79300000000001</v>
      </c>
      <c r="Q10" s="4390">
        <v>268.79300000000001</v>
      </c>
      <c r="R10" s="4390">
        <v>268.79300000000001</v>
      </c>
      <c r="S10" s="4390">
        <v>268.79300000000001</v>
      </c>
      <c r="T10" s="4390">
        <v>268.79300000000001</v>
      </c>
      <c r="U10" s="4422"/>
      <c r="V10" s="4438">
        <f>IFERROR(I10/$C$1,0)</f>
        <v>1754.5299569565427</v>
      </c>
      <c r="W10" s="4438">
        <f t="shared" ref="W10:AG10" si="3">IFERROR(J10/$C$1,0)</f>
        <v>2038.7432925330934</v>
      </c>
      <c r="X10" s="4438">
        <f t="shared" si="3"/>
        <v>2028.549572634636</v>
      </c>
      <c r="Y10" s="4438">
        <f t="shared" si="3"/>
        <v>2018.4068398889476</v>
      </c>
      <c r="Z10" s="4438">
        <f t="shared" si="3"/>
        <v>2008.3148194326707</v>
      </c>
      <c r="AA10" s="4438">
        <f t="shared" si="3"/>
        <v>1998.273236402448</v>
      </c>
      <c r="AB10" s="4437">
        <f t="shared" si="3"/>
        <v>117.68149583552763</v>
      </c>
      <c r="AC10" s="4437">
        <f t="shared" si="3"/>
        <v>137.43167862237516</v>
      </c>
      <c r="AD10" s="4437">
        <f t="shared" si="3"/>
        <v>137.43167862237516</v>
      </c>
      <c r="AE10" s="4437">
        <f t="shared" si="3"/>
        <v>137.43167862237516</v>
      </c>
      <c r="AF10" s="4437">
        <f t="shared" si="3"/>
        <v>137.43167862237516</v>
      </c>
      <c r="AG10" s="4437">
        <f t="shared" si="3"/>
        <v>137.43167862237516</v>
      </c>
    </row>
    <row r="11" spans="1:102" s="19" customFormat="1" ht="24">
      <c r="A11" s="3295">
        <v>2</v>
      </c>
      <c r="B11" s="98" t="s">
        <v>1755</v>
      </c>
      <c r="C11" s="620">
        <v>20238023.399999999</v>
      </c>
      <c r="D11" s="620">
        <v>20136833</v>
      </c>
      <c r="E11" s="620">
        <v>20036149</v>
      </c>
      <c r="F11" s="620">
        <v>19935968</v>
      </c>
      <c r="G11" s="620">
        <v>20984075</v>
      </c>
      <c r="H11" s="620">
        <v>20879154</v>
      </c>
      <c r="I11" s="1970">
        <f t="shared" si="2"/>
        <v>4118.0330014319998</v>
      </c>
      <c r="J11" s="1968">
        <f t="shared" si="2"/>
        <v>4785.0954889569994</v>
      </c>
      <c r="K11" s="1968">
        <f t="shared" si="2"/>
        <v>4761.1700507209998</v>
      </c>
      <c r="L11" s="1968">
        <f t="shared" si="2"/>
        <v>4737.3641398720001</v>
      </c>
      <c r="M11" s="1968">
        <f t="shared" si="2"/>
        <v>4986.4247581749996</v>
      </c>
      <c r="N11" s="1968">
        <f t="shared" si="2"/>
        <v>4961.4924858659988</v>
      </c>
      <c r="O11" s="4581">
        <v>203.48</v>
      </c>
      <c r="P11" s="4391">
        <v>237.62899999999999</v>
      </c>
      <c r="Q11" s="4391">
        <v>237.62899999999999</v>
      </c>
      <c r="R11" s="4391">
        <v>237.62899999999999</v>
      </c>
      <c r="S11" s="4391">
        <v>237.62899999999999</v>
      </c>
      <c r="T11" s="4391">
        <v>237.62899999999999</v>
      </c>
      <c r="U11" s="4422"/>
      <c r="V11" s="4438">
        <f t="shared" ref="V11:V18" si="4">IFERROR(I11/$C$1,0)</f>
        <v>2105.5168401302772</v>
      </c>
      <c r="W11" s="4438">
        <f t="shared" ref="W11:W18" si="5">IFERROR(J11/$C$1,0)</f>
        <v>2446.5804742523633</v>
      </c>
      <c r="X11" s="4438">
        <f t="shared" ref="X11:X18" si="6">IFERROR(K11/$C$1,0)</f>
        <v>2434.347591928235</v>
      </c>
      <c r="Y11" s="4438">
        <f t="shared" ref="Y11:Y18" si="7">IFERROR(L11/$C$1,0)</f>
        <v>2422.1758229866605</v>
      </c>
      <c r="Z11" s="4438">
        <f t="shared" ref="Z11:Z18" si="8">IFERROR(M11/$C$1,0)</f>
        <v>2549.5184950506946</v>
      </c>
      <c r="AA11" s="4438">
        <f t="shared" ref="AA11:AA18" si="9">IFERROR(N11/$C$1,0)</f>
        <v>2536.7708266393292</v>
      </c>
      <c r="AB11" s="4437">
        <f t="shared" ref="AB11:AB18" si="10">IFERROR(O11/$C$1,0)</f>
        <v>104.03767198580654</v>
      </c>
      <c r="AC11" s="4437">
        <f t="shared" ref="AC11:AC18" si="11">IFERROR(P11/$C$1,0)</f>
        <v>121.4977784367762</v>
      </c>
      <c r="AD11" s="4437">
        <f t="shared" ref="AD11:AD18" si="12">IFERROR(Q11/$C$1,0)</f>
        <v>121.4977784367762</v>
      </c>
      <c r="AE11" s="4437">
        <f t="shared" ref="AE11:AE18" si="13">IFERROR(R11/$C$1,0)</f>
        <v>121.4977784367762</v>
      </c>
      <c r="AF11" s="4437">
        <f t="shared" ref="AF11:AF18" si="14">IFERROR(S11/$C$1,0)</f>
        <v>121.4977784367762</v>
      </c>
      <c r="AG11" s="4437">
        <f t="shared" ref="AG11:AG18" si="15">IFERROR(T11/$C$1,0)</f>
        <v>121.4977784367762</v>
      </c>
    </row>
    <row r="12" spans="1:102" s="19" customFormat="1" ht="24">
      <c r="A12" s="3295">
        <v>3</v>
      </c>
      <c r="B12" s="98" t="s">
        <v>1756</v>
      </c>
      <c r="C12" s="620"/>
      <c r="D12" s="620"/>
      <c r="E12" s="620"/>
      <c r="F12" s="620"/>
      <c r="G12" s="620"/>
      <c r="H12" s="620"/>
      <c r="I12" s="1970">
        <f t="shared" si="2"/>
        <v>0</v>
      </c>
      <c r="J12" s="1968">
        <f t="shared" si="2"/>
        <v>0</v>
      </c>
      <c r="K12" s="1968">
        <f t="shared" si="2"/>
        <v>0</v>
      </c>
      <c r="L12" s="1968">
        <f t="shared" si="2"/>
        <v>0</v>
      </c>
      <c r="M12" s="1968">
        <f t="shared" si="2"/>
        <v>0</v>
      </c>
      <c r="N12" s="1968">
        <f t="shared" si="2"/>
        <v>0</v>
      </c>
      <c r="O12" s="4391"/>
      <c r="P12" s="4391"/>
      <c r="Q12" s="4391"/>
      <c r="R12" s="4391"/>
      <c r="S12" s="4391"/>
      <c r="T12" s="4391"/>
      <c r="U12" s="4422"/>
      <c r="V12" s="4438">
        <f t="shared" si="4"/>
        <v>0</v>
      </c>
      <c r="W12" s="4438">
        <f t="shared" si="5"/>
        <v>0</v>
      </c>
      <c r="X12" s="4438">
        <f t="shared" si="6"/>
        <v>0</v>
      </c>
      <c r="Y12" s="4438">
        <f t="shared" si="7"/>
        <v>0</v>
      </c>
      <c r="Z12" s="4438">
        <f t="shared" si="8"/>
        <v>0</v>
      </c>
      <c r="AA12" s="4438">
        <f t="shared" si="9"/>
        <v>0</v>
      </c>
      <c r="AB12" s="4437">
        <f t="shared" si="10"/>
        <v>0</v>
      </c>
      <c r="AC12" s="4437">
        <f t="shared" si="11"/>
        <v>0</v>
      </c>
      <c r="AD12" s="4437">
        <f t="shared" si="12"/>
        <v>0</v>
      </c>
      <c r="AE12" s="4437">
        <f t="shared" si="13"/>
        <v>0</v>
      </c>
      <c r="AF12" s="4437">
        <f t="shared" si="14"/>
        <v>0</v>
      </c>
      <c r="AG12" s="4437">
        <f t="shared" si="15"/>
        <v>0</v>
      </c>
    </row>
    <row r="13" spans="1:102" s="19" customFormat="1" ht="38.25" customHeight="1">
      <c r="A13" s="3295">
        <v>4</v>
      </c>
      <c r="B13" s="641" t="s">
        <v>1784</v>
      </c>
      <c r="C13" s="1970">
        <f t="shared" ref="C13:N13" si="16">SUM(C14:C16)</f>
        <v>0</v>
      </c>
      <c r="D13" s="1970">
        <f t="shared" si="16"/>
        <v>0</v>
      </c>
      <c r="E13" s="1970">
        <f t="shared" si="16"/>
        <v>0</v>
      </c>
      <c r="F13" s="1970">
        <f t="shared" si="16"/>
        <v>0</v>
      </c>
      <c r="G13" s="1970">
        <f t="shared" si="16"/>
        <v>0</v>
      </c>
      <c r="H13" s="1970">
        <f t="shared" si="16"/>
        <v>0</v>
      </c>
      <c r="I13" s="1968">
        <f t="shared" si="16"/>
        <v>0</v>
      </c>
      <c r="J13" s="1968">
        <f t="shared" si="16"/>
        <v>0</v>
      </c>
      <c r="K13" s="1968">
        <f t="shared" si="16"/>
        <v>0</v>
      </c>
      <c r="L13" s="1968">
        <f t="shared" si="16"/>
        <v>0</v>
      </c>
      <c r="M13" s="1968">
        <f t="shared" si="16"/>
        <v>0</v>
      </c>
      <c r="N13" s="1968">
        <f t="shared" si="16"/>
        <v>0</v>
      </c>
      <c r="O13" s="298">
        <f>ROUND((IFERROR((I13*1000)/(C13/1000),0)),3)</f>
        <v>0</v>
      </c>
      <c r="P13" s="298">
        <f t="shared" ref="P13:T13" si="17">ROUND((IFERROR((J13*1000)/(D13/1000),0)),3)</f>
        <v>0</v>
      </c>
      <c r="Q13" s="298">
        <f t="shared" si="17"/>
        <v>0</v>
      </c>
      <c r="R13" s="298">
        <f t="shared" si="17"/>
        <v>0</v>
      </c>
      <c r="S13" s="298">
        <f t="shared" si="17"/>
        <v>0</v>
      </c>
      <c r="T13" s="298">
        <f t="shared" si="17"/>
        <v>0</v>
      </c>
      <c r="U13" s="4422"/>
      <c r="V13" s="4438">
        <f t="shared" si="4"/>
        <v>0</v>
      </c>
      <c r="W13" s="4438">
        <f t="shared" si="5"/>
        <v>0</v>
      </c>
      <c r="X13" s="4438">
        <f t="shared" si="6"/>
        <v>0</v>
      </c>
      <c r="Y13" s="4438">
        <f t="shared" si="7"/>
        <v>0</v>
      </c>
      <c r="Z13" s="4438">
        <f t="shared" si="8"/>
        <v>0</v>
      </c>
      <c r="AA13" s="4438">
        <f t="shared" si="9"/>
        <v>0</v>
      </c>
      <c r="AB13" s="4437">
        <f t="shared" si="10"/>
        <v>0</v>
      </c>
      <c r="AC13" s="4437">
        <f t="shared" si="11"/>
        <v>0</v>
      </c>
      <c r="AD13" s="4437">
        <f t="shared" si="12"/>
        <v>0</v>
      </c>
      <c r="AE13" s="4437">
        <f t="shared" si="13"/>
        <v>0</v>
      </c>
      <c r="AF13" s="4437">
        <f t="shared" si="14"/>
        <v>0</v>
      </c>
      <c r="AG13" s="4437">
        <f t="shared" si="15"/>
        <v>0</v>
      </c>
    </row>
    <row r="14" spans="1:102" s="19" customFormat="1" ht="22.5" customHeight="1">
      <c r="A14" s="3295" t="s">
        <v>566</v>
      </c>
      <c r="B14" s="4392"/>
      <c r="C14" s="620"/>
      <c r="D14" s="620"/>
      <c r="E14" s="620"/>
      <c r="F14" s="620"/>
      <c r="G14" s="620"/>
      <c r="H14" s="620"/>
      <c r="I14" s="1968">
        <f t="shared" ref="I14:N16" si="18">(C14/1000)*(O14/1000)</f>
        <v>0</v>
      </c>
      <c r="J14" s="1968">
        <f t="shared" si="18"/>
        <v>0</v>
      </c>
      <c r="K14" s="1968">
        <f t="shared" si="18"/>
        <v>0</v>
      </c>
      <c r="L14" s="1968">
        <f t="shared" si="18"/>
        <v>0</v>
      </c>
      <c r="M14" s="1968">
        <f t="shared" si="18"/>
        <v>0</v>
      </c>
      <c r="N14" s="1968">
        <f t="shared" si="18"/>
        <v>0</v>
      </c>
      <c r="O14" s="4391"/>
      <c r="P14" s="4391"/>
      <c r="Q14" s="4391"/>
      <c r="R14" s="4391"/>
      <c r="S14" s="4391"/>
      <c r="T14" s="4391"/>
      <c r="U14" s="4422"/>
      <c r="V14" s="4438">
        <f t="shared" si="4"/>
        <v>0</v>
      </c>
      <c r="W14" s="4438">
        <f t="shared" si="5"/>
        <v>0</v>
      </c>
      <c r="X14" s="4438">
        <f t="shared" si="6"/>
        <v>0</v>
      </c>
      <c r="Y14" s="4438">
        <f t="shared" si="7"/>
        <v>0</v>
      </c>
      <c r="Z14" s="4438">
        <f t="shared" si="8"/>
        <v>0</v>
      </c>
      <c r="AA14" s="4438">
        <f t="shared" si="9"/>
        <v>0</v>
      </c>
      <c r="AB14" s="4437">
        <f t="shared" si="10"/>
        <v>0</v>
      </c>
      <c r="AC14" s="4437">
        <f t="shared" si="11"/>
        <v>0</v>
      </c>
      <c r="AD14" s="4437">
        <f t="shared" si="12"/>
        <v>0</v>
      </c>
      <c r="AE14" s="4437">
        <f t="shared" si="13"/>
        <v>0</v>
      </c>
      <c r="AF14" s="4437">
        <f t="shared" si="14"/>
        <v>0</v>
      </c>
      <c r="AG14" s="4437">
        <f t="shared" si="15"/>
        <v>0</v>
      </c>
    </row>
    <row r="15" spans="1:102" s="19" customFormat="1" ht="22.5" customHeight="1">
      <c r="A15" s="3295" t="s">
        <v>567</v>
      </c>
      <c r="B15" s="4392"/>
      <c r="C15" s="620"/>
      <c r="D15" s="620"/>
      <c r="E15" s="620"/>
      <c r="F15" s="620"/>
      <c r="G15" s="620"/>
      <c r="H15" s="620"/>
      <c r="I15" s="1968">
        <f t="shared" si="18"/>
        <v>0</v>
      </c>
      <c r="J15" s="1968">
        <f t="shared" si="18"/>
        <v>0</v>
      </c>
      <c r="K15" s="1968">
        <f t="shared" si="18"/>
        <v>0</v>
      </c>
      <c r="L15" s="1968">
        <f t="shared" si="18"/>
        <v>0</v>
      </c>
      <c r="M15" s="1968">
        <f t="shared" si="18"/>
        <v>0</v>
      </c>
      <c r="N15" s="1968">
        <f t="shared" si="18"/>
        <v>0</v>
      </c>
      <c r="O15" s="4391"/>
      <c r="P15" s="4391"/>
      <c r="Q15" s="4391"/>
      <c r="R15" s="4391"/>
      <c r="S15" s="4391"/>
      <c r="T15" s="4391"/>
      <c r="U15" s="4422"/>
      <c r="V15" s="4438">
        <f t="shared" si="4"/>
        <v>0</v>
      </c>
      <c r="W15" s="4438">
        <f t="shared" si="5"/>
        <v>0</v>
      </c>
      <c r="X15" s="4438">
        <f t="shared" si="6"/>
        <v>0</v>
      </c>
      <c r="Y15" s="4438">
        <f t="shared" si="7"/>
        <v>0</v>
      </c>
      <c r="Z15" s="4438">
        <f t="shared" si="8"/>
        <v>0</v>
      </c>
      <c r="AA15" s="4438">
        <f t="shared" si="9"/>
        <v>0</v>
      </c>
      <c r="AB15" s="4437">
        <f t="shared" si="10"/>
        <v>0</v>
      </c>
      <c r="AC15" s="4437">
        <f t="shared" si="11"/>
        <v>0</v>
      </c>
      <c r="AD15" s="4437">
        <f t="shared" si="12"/>
        <v>0</v>
      </c>
      <c r="AE15" s="4437">
        <f t="shared" si="13"/>
        <v>0</v>
      </c>
      <c r="AF15" s="4437">
        <f t="shared" si="14"/>
        <v>0</v>
      </c>
      <c r="AG15" s="4437">
        <f t="shared" si="15"/>
        <v>0</v>
      </c>
    </row>
    <row r="16" spans="1:102" s="19" customFormat="1" ht="22.5" customHeight="1">
      <c r="A16" s="3295" t="s">
        <v>1078</v>
      </c>
      <c r="B16" s="4392"/>
      <c r="C16" s="620"/>
      <c r="D16" s="620"/>
      <c r="E16" s="620"/>
      <c r="F16" s="620"/>
      <c r="G16" s="620"/>
      <c r="H16" s="620"/>
      <c r="I16" s="1968">
        <f t="shared" si="18"/>
        <v>0</v>
      </c>
      <c r="J16" s="1968">
        <f t="shared" si="18"/>
        <v>0</v>
      </c>
      <c r="K16" s="1968">
        <f t="shared" si="18"/>
        <v>0</v>
      </c>
      <c r="L16" s="1968">
        <f t="shared" si="18"/>
        <v>0</v>
      </c>
      <c r="M16" s="1968">
        <f t="shared" si="18"/>
        <v>0</v>
      </c>
      <c r="N16" s="1968">
        <f t="shared" si="18"/>
        <v>0</v>
      </c>
      <c r="O16" s="4391"/>
      <c r="P16" s="4391"/>
      <c r="Q16" s="4391"/>
      <c r="R16" s="4391"/>
      <c r="S16" s="4391"/>
      <c r="T16" s="4391"/>
      <c r="U16" s="4422"/>
      <c r="V16" s="4438">
        <f t="shared" si="4"/>
        <v>0</v>
      </c>
      <c r="W16" s="4438">
        <f t="shared" si="5"/>
        <v>0</v>
      </c>
      <c r="X16" s="4438">
        <f t="shared" si="6"/>
        <v>0</v>
      </c>
      <c r="Y16" s="4438">
        <f t="shared" si="7"/>
        <v>0</v>
      </c>
      <c r="Z16" s="4438">
        <f t="shared" si="8"/>
        <v>0</v>
      </c>
      <c r="AA16" s="4438">
        <f t="shared" si="9"/>
        <v>0</v>
      </c>
      <c r="AB16" s="4437">
        <f t="shared" si="10"/>
        <v>0</v>
      </c>
      <c r="AC16" s="4437">
        <f t="shared" si="11"/>
        <v>0</v>
      </c>
      <c r="AD16" s="4437">
        <f t="shared" si="12"/>
        <v>0</v>
      </c>
      <c r="AE16" s="4437">
        <f t="shared" si="13"/>
        <v>0</v>
      </c>
      <c r="AF16" s="4437">
        <f t="shared" si="14"/>
        <v>0</v>
      </c>
      <c r="AG16" s="4437">
        <f t="shared" si="15"/>
        <v>0</v>
      </c>
    </row>
    <row r="17" spans="1:33" s="19" customFormat="1" ht="22.5" hidden="1" customHeight="1">
      <c r="A17" s="5031"/>
      <c r="B17" s="5032"/>
      <c r="C17" s="5032"/>
      <c r="D17" s="5032"/>
      <c r="E17" s="5032"/>
      <c r="F17" s="5032"/>
      <c r="G17" s="5032"/>
      <c r="H17" s="5032"/>
      <c r="I17" s="5032"/>
      <c r="J17" s="5032"/>
      <c r="K17" s="5032"/>
      <c r="L17" s="5032"/>
      <c r="M17" s="5032"/>
      <c r="N17" s="5032"/>
      <c r="O17" s="5032"/>
      <c r="P17" s="5032"/>
      <c r="Q17" s="5032"/>
      <c r="R17" s="5032"/>
      <c r="S17" s="5032"/>
      <c r="T17" s="5033"/>
      <c r="U17" s="4422"/>
      <c r="V17" s="4438">
        <f t="shared" si="4"/>
        <v>0</v>
      </c>
      <c r="W17" s="4438">
        <f t="shared" si="5"/>
        <v>0</v>
      </c>
      <c r="X17" s="4438">
        <f t="shared" si="6"/>
        <v>0</v>
      </c>
      <c r="Y17" s="4438">
        <f t="shared" si="7"/>
        <v>0</v>
      </c>
      <c r="Z17" s="4438">
        <f t="shared" si="8"/>
        <v>0</v>
      </c>
      <c r="AA17" s="4438">
        <f t="shared" si="9"/>
        <v>0</v>
      </c>
      <c r="AB17" s="4437">
        <f t="shared" si="10"/>
        <v>0</v>
      </c>
      <c r="AC17" s="4437">
        <f t="shared" si="11"/>
        <v>0</v>
      </c>
      <c r="AD17" s="4437">
        <f t="shared" si="12"/>
        <v>0</v>
      </c>
      <c r="AE17" s="4437">
        <f t="shared" si="13"/>
        <v>0</v>
      </c>
      <c r="AF17" s="4437">
        <f t="shared" si="14"/>
        <v>0</v>
      </c>
      <c r="AG17" s="4437">
        <f t="shared" si="15"/>
        <v>0</v>
      </c>
    </row>
    <row r="18" spans="1:33" s="19" customFormat="1" ht="26.25" customHeight="1">
      <c r="A18" s="3759">
        <v>5</v>
      </c>
      <c r="B18" s="305" t="s">
        <v>1757</v>
      </c>
      <c r="C18" s="622">
        <f t="shared" ref="C18:N18" si="19">C10+C11+C12+C13</f>
        <v>35147163.910999998</v>
      </c>
      <c r="D18" s="622">
        <f t="shared" si="19"/>
        <v>34971428</v>
      </c>
      <c r="E18" s="622">
        <f t="shared" si="19"/>
        <v>34796571</v>
      </c>
      <c r="F18" s="622">
        <f t="shared" si="19"/>
        <v>34622588</v>
      </c>
      <c r="G18" s="622">
        <f t="shared" si="19"/>
        <v>35597262</v>
      </c>
      <c r="H18" s="622">
        <f t="shared" si="19"/>
        <v>35419275</v>
      </c>
      <c r="I18" s="622">
        <f t="shared" si="19"/>
        <v>7549.595327146315</v>
      </c>
      <c r="J18" s="622">
        <f t="shared" si="19"/>
        <v>8772.5307827919987</v>
      </c>
      <c r="K18" s="622">
        <f t="shared" si="19"/>
        <v>8728.6681613670007</v>
      </c>
      <c r="L18" s="622">
        <f t="shared" si="19"/>
        <v>8685.0247895320008</v>
      </c>
      <c r="M18" s="622">
        <f t="shared" si="19"/>
        <v>8914.3471314660001</v>
      </c>
      <c r="N18" s="622">
        <f t="shared" si="19"/>
        <v>8869.7752298189989</v>
      </c>
      <c r="O18" s="299">
        <f t="shared" ref="O18:T18" si="20">IFERROR((I18*1000)/(C18/1000),0)</f>
        <v>214.79955953952577</v>
      </c>
      <c r="P18" s="299">
        <f t="shared" si="20"/>
        <v>250.84851504468156</v>
      </c>
      <c r="Q18" s="299">
        <f t="shared" si="20"/>
        <v>250.84851496910429</v>
      </c>
      <c r="R18" s="299">
        <f t="shared" si="20"/>
        <v>250.84851512347947</v>
      </c>
      <c r="S18" s="299">
        <f t="shared" si="20"/>
        <v>250.42226931571307</v>
      </c>
      <c r="T18" s="299">
        <f t="shared" si="20"/>
        <v>250.42226950774682</v>
      </c>
      <c r="U18" s="4422"/>
      <c r="V18" s="4438">
        <f t="shared" si="4"/>
        <v>3860.0467970868199</v>
      </c>
      <c r="W18" s="4438">
        <f t="shared" si="5"/>
        <v>4485.3237667854564</v>
      </c>
      <c r="X18" s="4438">
        <f t="shared" si="6"/>
        <v>4462.8971645628717</v>
      </c>
      <c r="Y18" s="4438">
        <f t="shared" si="7"/>
        <v>4440.5826628756085</v>
      </c>
      <c r="Z18" s="4438">
        <f t="shared" si="8"/>
        <v>4557.833314483365</v>
      </c>
      <c r="AA18" s="4438">
        <f t="shared" si="9"/>
        <v>4535.044063041777</v>
      </c>
      <c r="AB18" s="4437">
        <f t="shared" si="10"/>
        <v>109.82527087708327</v>
      </c>
      <c r="AC18" s="4437">
        <f t="shared" si="11"/>
        <v>128.25680915247315</v>
      </c>
      <c r="AD18" s="4437">
        <f t="shared" si="12"/>
        <v>128.25680911383111</v>
      </c>
      <c r="AE18" s="4437">
        <f t="shared" si="13"/>
        <v>128.25680919276189</v>
      </c>
      <c r="AF18" s="4437">
        <f t="shared" si="14"/>
        <v>128.03887317185701</v>
      </c>
      <c r="AG18" s="4437">
        <f t="shared" si="15"/>
        <v>128.0388732700423</v>
      </c>
    </row>
    <row r="19" spans="1:33" ht="22.5" customHeight="1">
      <c r="A19" s="3760">
        <v>6</v>
      </c>
      <c r="B19" s="98" t="s">
        <v>350</v>
      </c>
      <c r="C19" s="623"/>
      <c r="D19" s="624">
        <f>D18-C18</f>
        <v>-175735.91099999845</v>
      </c>
      <c r="E19" s="624">
        <f>E18-D18</f>
        <v>-174857</v>
      </c>
      <c r="F19" s="624">
        <f t="shared" ref="F19:H19" si="21">F18-E18</f>
        <v>-173983</v>
      </c>
      <c r="G19" s="624">
        <f t="shared" si="21"/>
        <v>974674</v>
      </c>
      <c r="H19" s="624">
        <f t="shared" si="21"/>
        <v>-177987</v>
      </c>
      <c r="I19" s="623"/>
      <c r="J19" s="624">
        <f>J18-I18</f>
        <v>1222.9354556456838</v>
      </c>
      <c r="K19" s="624">
        <f t="shared" ref="K19:N19" si="22">K18-J18</f>
        <v>-43.862621424997997</v>
      </c>
      <c r="L19" s="624">
        <f t="shared" si="22"/>
        <v>-43.643371834999925</v>
      </c>
      <c r="M19" s="624">
        <f t="shared" si="22"/>
        <v>229.32234193399927</v>
      </c>
      <c r="N19" s="624">
        <f t="shared" si="22"/>
        <v>-44.571901647001141</v>
      </c>
      <c r="O19" s="300"/>
      <c r="P19" s="301">
        <f>P18-O18</f>
        <v>36.048955505155789</v>
      </c>
      <c r="Q19" s="301">
        <f t="shared" ref="Q19:T19" si="23">Q18-P18</f>
        <v>-7.5577275993055082E-8</v>
      </c>
      <c r="R19" s="301">
        <f t="shared" si="23"/>
        <v>1.5437518641192582E-7</v>
      </c>
      <c r="S19" s="301">
        <f t="shared" si="23"/>
        <v>-0.42624580776640641</v>
      </c>
      <c r="T19" s="301">
        <f t="shared" si="23"/>
        <v>1.9203375245524512E-7</v>
      </c>
      <c r="U19" s="4422"/>
      <c r="V19" s="4508"/>
      <c r="W19" s="4459">
        <f>W18-V18</f>
        <v>625.27696969863655</v>
      </c>
      <c r="X19" s="4459">
        <f t="shared" ref="X19" si="24">X18-W18</f>
        <v>-22.426602222584734</v>
      </c>
      <c r="Y19" s="4459">
        <f t="shared" ref="Y19" si="25">Y18-X18</f>
        <v>-22.314501687263146</v>
      </c>
      <c r="Z19" s="4459">
        <f t="shared" ref="Z19" si="26">Z18-Y18</f>
        <v>117.25065160775648</v>
      </c>
      <c r="AA19" s="4459">
        <f t="shared" ref="AA19" si="27">AA18-Z18</f>
        <v>-22.789251441588021</v>
      </c>
      <c r="AB19" s="4508"/>
      <c r="AC19" s="4459">
        <f>AC18-AB18</f>
        <v>18.431538275389883</v>
      </c>
      <c r="AD19" s="4459">
        <f t="shared" ref="AD19" si="28">AD18-AC18</f>
        <v>-3.8642042454739567E-8</v>
      </c>
      <c r="AE19" s="4459">
        <f t="shared" ref="AE19" si="29">AE18-AD18</f>
        <v>7.8930781910457881E-8</v>
      </c>
      <c r="AF19" s="4459">
        <f t="shared" ref="AF19" si="30">AF18-AE18</f>
        <v>-0.21793602090488662</v>
      </c>
      <c r="AG19" s="4459">
        <f t="shared" ref="AG19" si="31">AG18-AF18</f>
        <v>9.8185296337760519E-8</v>
      </c>
    </row>
    <row r="20" spans="1:33" ht="22.5" customHeight="1">
      <c r="A20" s="3762">
        <v>7</v>
      </c>
      <c r="B20" s="304" t="s">
        <v>1746</v>
      </c>
      <c r="C20" s="302">
        <f>IFERROR(C18/'4. Отчет и прогн. потребление'!D9,0)</f>
        <v>1.2671329627526584</v>
      </c>
      <c r="D20" s="302">
        <f>IFERROR(D18/'4. Отчет и прогн. потребление'!E9,0)</f>
        <v>1.293188266259075</v>
      </c>
      <c r="E20" s="302">
        <f>IFERROR(E18/'4. Отчет и прогн. потребление'!F9,0)</f>
        <v>1.3129819694946518</v>
      </c>
      <c r="F20" s="302">
        <f>IFERROR(F18/'4. Отчет и прогн. потребление'!G9,0)</f>
        <v>1.3330786267100829</v>
      </c>
      <c r="G20" s="302">
        <f>IFERROR(G18/'4. Отчет и прогн. потребление'!H9,0)</f>
        <v>1.3952299455054169</v>
      </c>
      <c r="H20" s="302">
        <f>IFERROR(H18/'4. Отчет и прогн. потребление'!I9,0)</f>
        <v>1.4207106832243988</v>
      </c>
      <c r="I20" s="300"/>
      <c r="J20" s="300"/>
      <c r="K20" s="300"/>
      <c r="L20" s="300"/>
      <c r="M20" s="300"/>
      <c r="N20" s="300"/>
      <c r="O20" s="300"/>
      <c r="P20" s="300"/>
      <c r="Q20" s="300"/>
      <c r="R20" s="300"/>
      <c r="S20" s="300"/>
      <c r="T20" s="300"/>
      <c r="U20" s="4422"/>
    </row>
    <row r="21" spans="1:33" ht="26.25" thickBot="1">
      <c r="A21" s="3763">
        <v>8</v>
      </c>
      <c r="B21" s="3764" t="s">
        <v>1747</v>
      </c>
      <c r="C21" s="3765">
        <f>IFERROR(C18/'4. Отчет и прогн. потребление'!D20,0)</f>
        <v>4.5925892900799772</v>
      </c>
      <c r="D21" s="3765">
        <f>IFERROR(D18/'4. Отчет и прогн. потребление'!E20,0)</f>
        <v>4.5854279380975465</v>
      </c>
      <c r="E21" s="3765">
        <f>IFERROR(E18/'4. Отчет и прогн. потребление'!F20,0)</f>
        <v>4.5350397474507913</v>
      </c>
      <c r="F21" s="3765">
        <f>IFERROR(F18/'4. Отчет и прогн. потребление'!G20,0)</f>
        <v>4.5631639745204966</v>
      </c>
      <c r="G21" s="3765">
        <f>IFERROR(G18/'4. Отчет и прогн. потребление'!H20,0)</f>
        <v>4.6006496583097256</v>
      </c>
      <c r="H21" s="3765">
        <f>IFERROR(H18/'4. Отчет и прогн. потребление'!I20,0)</f>
        <v>4.3196422395495793</v>
      </c>
      <c r="I21" s="413"/>
      <c r="J21" s="413"/>
      <c r="K21" s="413"/>
      <c r="L21" s="413"/>
      <c r="M21" s="413"/>
      <c r="N21" s="413"/>
      <c r="O21" s="413"/>
      <c r="P21" s="413"/>
      <c r="Q21" s="413"/>
      <c r="R21" s="413"/>
      <c r="S21" s="413"/>
      <c r="T21" s="413"/>
      <c r="U21" s="4422"/>
    </row>
    <row r="22" spans="1:33" s="143" customFormat="1" ht="18.75" customHeight="1" thickBot="1">
      <c r="B22" s="66"/>
      <c r="C22" s="303"/>
      <c r="D22" s="144"/>
      <c r="E22" s="144"/>
      <c r="F22" s="144"/>
      <c r="G22" s="144"/>
      <c r="H22" s="144"/>
      <c r="I22" s="303"/>
      <c r="J22" s="144"/>
      <c r="K22" s="144"/>
      <c r="L22" s="144"/>
      <c r="M22" s="144"/>
      <c r="N22" s="144"/>
      <c r="O22" s="303"/>
      <c r="P22" s="144"/>
      <c r="Q22" s="144"/>
      <c r="R22" s="144"/>
      <c r="S22" s="144"/>
      <c r="T22" s="144"/>
      <c r="U22" s="144"/>
      <c r="V22" s="144"/>
      <c r="W22" s="144"/>
      <c r="X22" s="144"/>
      <c r="Y22" s="144"/>
    </row>
    <row r="23" spans="1:33" ht="24" customHeight="1">
      <c r="A23" s="5022" t="s">
        <v>1</v>
      </c>
      <c r="B23" s="5025" t="s">
        <v>1754</v>
      </c>
      <c r="C23" s="5025" t="s">
        <v>208</v>
      </c>
      <c r="D23" s="5025"/>
      <c r="E23" s="5025"/>
      <c r="F23" s="5025"/>
      <c r="G23" s="5025"/>
      <c r="H23" s="5025"/>
      <c r="I23" s="5025"/>
      <c r="J23" s="5025"/>
      <c r="K23" s="5025"/>
      <c r="L23" s="5025"/>
      <c r="M23" s="5025"/>
      <c r="N23" s="5025"/>
      <c r="O23" s="5025"/>
      <c r="P23" s="5025"/>
      <c r="Q23" s="5025"/>
      <c r="R23" s="5025"/>
      <c r="S23" s="5025"/>
      <c r="T23" s="5025"/>
      <c r="U23" s="4422"/>
      <c r="V23" s="5016" t="str">
        <f>+C23</f>
        <v>Отвеждане на отпадъчните води</v>
      </c>
      <c r="W23" s="5016"/>
      <c r="X23" s="5016"/>
      <c r="Y23" s="5016"/>
      <c r="Z23" s="5016"/>
      <c r="AA23" s="5016"/>
      <c r="AB23" s="5016"/>
      <c r="AC23" s="5016"/>
      <c r="AD23" s="5016"/>
      <c r="AE23" s="5016"/>
      <c r="AF23" s="5016"/>
      <c r="AG23" s="5016"/>
    </row>
    <row r="24" spans="1:33" ht="24" customHeight="1">
      <c r="A24" s="5023"/>
      <c r="B24" s="5026"/>
      <c r="C24" s="5028" t="s">
        <v>348</v>
      </c>
      <c r="D24" s="5028"/>
      <c r="E24" s="5028"/>
      <c r="F24" s="5028"/>
      <c r="G24" s="5028"/>
      <c r="H24" s="5028"/>
      <c r="I24" s="5028" t="s">
        <v>911</v>
      </c>
      <c r="J24" s="5028"/>
      <c r="K24" s="5028"/>
      <c r="L24" s="5028"/>
      <c r="M24" s="5028"/>
      <c r="N24" s="5028"/>
      <c r="O24" s="5028" t="s">
        <v>1766</v>
      </c>
      <c r="P24" s="5028"/>
      <c r="Q24" s="5028"/>
      <c r="R24" s="5028"/>
      <c r="S24" s="5028"/>
      <c r="T24" s="5028"/>
      <c r="U24" s="4422"/>
      <c r="V24" s="5017" t="s">
        <v>1880</v>
      </c>
      <c r="W24" s="5017"/>
      <c r="X24" s="5017"/>
      <c r="Y24" s="5017"/>
      <c r="Z24" s="5017"/>
      <c r="AA24" s="5017"/>
      <c r="AB24" s="5017" t="s">
        <v>1881</v>
      </c>
      <c r="AC24" s="5017"/>
      <c r="AD24" s="5017"/>
      <c r="AE24" s="5017"/>
      <c r="AF24" s="5017"/>
      <c r="AG24" s="5017"/>
    </row>
    <row r="25" spans="1:33" ht="24" customHeight="1" thickBot="1">
      <c r="A25" s="5024"/>
      <c r="B25" s="5027"/>
      <c r="C25" s="151" t="str">
        <f>'Приложение '!C12</f>
        <v>2024 г.</v>
      </c>
      <c r="D25" s="151" t="str">
        <f>'Приложение '!$C14</f>
        <v>2027 г.</v>
      </c>
      <c r="E25" s="151" t="str">
        <f>'Приложение '!$C15</f>
        <v>2028 г.</v>
      </c>
      <c r="F25" s="151" t="str">
        <f>'Приложение '!$C16</f>
        <v>2029 г.</v>
      </c>
      <c r="G25" s="151" t="str">
        <f>'Приложение '!$C17</f>
        <v>2030 г.</v>
      </c>
      <c r="H25" s="151" t="str">
        <f>'Приложение '!$C18</f>
        <v>2031 г.</v>
      </c>
      <c r="I25" s="151" t="str">
        <f t="shared" ref="I25:T25" si="32">C25</f>
        <v>2024 г.</v>
      </c>
      <c r="J25" s="151" t="str">
        <f t="shared" si="32"/>
        <v>2027 г.</v>
      </c>
      <c r="K25" s="151" t="str">
        <f t="shared" si="32"/>
        <v>2028 г.</v>
      </c>
      <c r="L25" s="151" t="str">
        <f t="shared" si="32"/>
        <v>2029 г.</v>
      </c>
      <c r="M25" s="151" t="str">
        <f t="shared" si="32"/>
        <v>2030 г.</v>
      </c>
      <c r="N25" s="151" t="str">
        <f t="shared" si="32"/>
        <v>2031 г.</v>
      </c>
      <c r="O25" s="151" t="str">
        <f t="shared" si="32"/>
        <v>2024 г.</v>
      </c>
      <c r="P25" s="151" t="str">
        <f t="shared" si="32"/>
        <v>2027 г.</v>
      </c>
      <c r="Q25" s="151" t="str">
        <f t="shared" si="32"/>
        <v>2028 г.</v>
      </c>
      <c r="R25" s="151" t="str">
        <f t="shared" si="32"/>
        <v>2029 г.</v>
      </c>
      <c r="S25" s="151" t="str">
        <f t="shared" si="32"/>
        <v>2030 г.</v>
      </c>
      <c r="T25" s="151" t="str">
        <f t="shared" si="32"/>
        <v>2031 г.</v>
      </c>
      <c r="U25" s="4422"/>
      <c r="V25" s="4436" t="str">
        <f>+I25</f>
        <v>2024 г.</v>
      </c>
      <c r="W25" s="4436" t="str">
        <f t="shared" ref="W25" si="33">+J25</f>
        <v>2027 г.</v>
      </c>
      <c r="X25" s="4436" t="str">
        <f t="shared" ref="X25" si="34">+K25</f>
        <v>2028 г.</v>
      </c>
      <c r="Y25" s="4436" t="str">
        <f t="shared" ref="Y25" si="35">+L25</f>
        <v>2029 г.</v>
      </c>
      <c r="Z25" s="4436" t="str">
        <f t="shared" ref="Z25" si="36">+M25</f>
        <v>2030 г.</v>
      </c>
      <c r="AA25" s="4436" t="str">
        <f t="shared" ref="AA25" si="37">+N25</f>
        <v>2031 г.</v>
      </c>
      <c r="AB25" s="4436" t="str">
        <f t="shared" ref="AB25" si="38">+O25</f>
        <v>2024 г.</v>
      </c>
      <c r="AC25" s="4436" t="str">
        <f t="shared" ref="AC25" si="39">+P25</f>
        <v>2027 г.</v>
      </c>
      <c r="AD25" s="4436" t="str">
        <f t="shared" ref="AD25" si="40">+Q25</f>
        <v>2028 г.</v>
      </c>
      <c r="AE25" s="4436" t="str">
        <f t="shared" ref="AE25" si="41">+R25</f>
        <v>2029 г.</v>
      </c>
      <c r="AF25" s="4436" t="str">
        <f t="shared" ref="AF25" si="42">+S25</f>
        <v>2030 г.</v>
      </c>
      <c r="AG25" s="4436" t="str">
        <f t="shared" ref="AG25" si="43">+T25</f>
        <v>2031 г.</v>
      </c>
    </row>
    <row r="26" spans="1:33" ht="23.25" customHeight="1">
      <c r="A26" s="3772">
        <v>1</v>
      </c>
      <c r="B26" s="3773" t="s">
        <v>1753</v>
      </c>
      <c r="C26" s="3777">
        <v>80817.8</v>
      </c>
      <c r="D26" s="3777">
        <v>80817.8</v>
      </c>
      <c r="E26" s="3777">
        <v>80817.8</v>
      </c>
      <c r="F26" s="3777">
        <v>80817.8</v>
      </c>
      <c r="G26" s="3777">
        <v>223756</v>
      </c>
      <c r="H26" s="3777">
        <v>223756</v>
      </c>
      <c r="I26" s="4373">
        <f t="shared" ref="I26:N28" si="44">(C26/1000)*(O26/1000)</f>
        <v>21.798661922800004</v>
      </c>
      <c r="J26" s="3779">
        <f t="shared" si="44"/>
        <v>25.456960457600001</v>
      </c>
      <c r="K26" s="3779">
        <f t="shared" si="44"/>
        <v>25.456960457600001</v>
      </c>
      <c r="L26" s="3779">
        <f t="shared" si="44"/>
        <v>25.456960457600001</v>
      </c>
      <c r="M26" s="3779">
        <f t="shared" si="44"/>
        <v>70.481349952000002</v>
      </c>
      <c r="N26" s="3779">
        <f t="shared" si="44"/>
        <v>70.481349952000002</v>
      </c>
      <c r="O26" s="4580">
        <v>269.726</v>
      </c>
      <c r="P26" s="4390">
        <v>314.99200000000002</v>
      </c>
      <c r="Q26" s="4390">
        <v>314.99200000000002</v>
      </c>
      <c r="R26" s="4390">
        <v>314.99200000000002</v>
      </c>
      <c r="S26" s="4390">
        <v>314.99200000000002</v>
      </c>
      <c r="T26" s="4390">
        <v>314.99200000000002</v>
      </c>
      <c r="U26" s="4422"/>
      <c r="V26" s="4438">
        <f>IFERROR(I26/$C$1,0)</f>
        <v>11.145478862068792</v>
      </c>
      <c r="W26" s="4438">
        <f t="shared" ref="W26:W34" si="45">IFERROR(J26/$C$1,0)</f>
        <v>13.015937201904052</v>
      </c>
      <c r="X26" s="4438">
        <f t="shared" ref="X26:X34" si="46">IFERROR(K26/$C$1,0)</f>
        <v>13.015937201904052</v>
      </c>
      <c r="Y26" s="4438">
        <f t="shared" ref="Y26:Y34" si="47">IFERROR(L26/$C$1,0)</f>
        <v>13.015937201904052</v>
      </c>
      <c r="Z26" s="4438">
        <f t="shared" ref="Z26:Z34" si="48">IFERROR(M26/$C$1,0)</f>
        <v>36.036542006207085</v>
      </c>
      <c r="AA26" s="4438">
        <f t="shared" ref="AA26:AA34" si="49">IFERROR(N26/$C$1,0)</f>
        <v>36.036542006207085</v>
      </c>
      <c r="AB26" s="4437">
        <f t="shared" ref="AB26:AB34" si="50">IFERROR(O26/$C$1,0)</f>
        <v>137.90871394753123</v>
      </c>
      <c r="AC26" s="4437">
        <f t="shared" ref="AC26:AC34" si="51">IFERROR(P26/$C$1,0)</f>
        <v>161.05285224175927</v>
      </c>
      <c r="AD26" s="4437">
        <f t="shared" ref="AD26:AD34" si="52">IFERROR(Q26/$C$1,0)</f>
        <v>161.05285224175927</v>
      </c>
      <c r="AE26" s="4437">
        <f t="shared" ref="AE26:AE34" si="53">IFERROR(R26/$C$1,0)</f>
        <v>161.05285224175927</v>
      </c>
      <c r="AF26" s="4437">
        <f t="shared" ref="AF26:AF34" si="54">IFERROR(S26/$C$1,0)</f>
        <v>161.05285224175927</v>
      </c>
      <c r="AG26" s="4437">
        <f t="shared" ref="AG26:AG34" si="55">IFERROR(T26/$C$1,0)</f>
        <v>161.05285224175927</v>
      </c>
    </row>
    <row r="27" spans="1:33" ht="24">
      <c r="A27" s="3295">
        <v>2</v>
      </c>
      <c r="B27" s="98" t="s">
        <v>1755</v>
      </c>
      <c r="C27" s="620">
        <v>333939</v>
      </c>
      <c r="D27" s="620">
        <v>333939</v>
      </c>
      <c r="E27" s="620">
        <v>333939</v>
      </c>
      <c r="F27" s="620">
        <v>333939</v>
      </c>
      <c r="G27" s="620">
        <v>333939</v>
      </c>
      <c r="H27" s="620">
        <v>333939</v>
      </c>
      <c r="I27" s="1970">
        <f t="shared" si="44"/>
        <v>81.404977908000006</v>
      </c>
      <c r="J27" s="1970">
        <f t="shared" si="44"/>
        <v>95.067090276000016</v>
      </c>
      <c r="K27" s="1970">
        <f t="shared" si="44"/>
        <v>95.067090276000016</v>
      </c>
      <c r="L27" s="1970">
        <f t="shared" si="44"/>
        <v>95.067090276000016</v>
      </c>
      <c r="M27" s="1970">
        <f t="shared" si="44"/>
        <v>95.067090276000016</v>
      </c>
      <c r="N27" s="1970">
        <f t="shared" si="44"/>
        <v>95.067090276000016</v>
      </c>
      <c r="O27" s="4581">
        <v>243.77199999999999</v>
      </c>
      <c r="P27" s="4391">
        <v>284.68400000000003</v>
      </c>
      <c r="Q27" s="4391">
        <v>284.68400000000003</v>
      </c>
      <c r="R27" s="4391">
        <v>284.68400000000003</v>
      </c>
      <c r="S27" s="4391">
        <v>284.68400000000003</v>
      </c>
      <c r="T27" s="4391">
        <v>284.68400000000003</v>
      </c>
      <c r="U27" s="4422"/>
      <c r="V27" s="4438">
        <f t="shared" ref="V27:V34" si="56">IFERROR(I27/$C$1,0)</f>
        <v>41.621704293317933</v>
      </c>
      <c r="W27" s="4438">
        <f t="shared" si="45"/>
        <v>48.607031427066779</v>
      </c>
      <c r="X27" s="4438">
        <f t="shared" si="46"/>
        <v>48.607031427066779</v>
      </c>
      <c r="Y27" s="4438">
        <f t="shared" si="47"/>
        <v>48.607031427066779</v>
      </c>
      <c r="Z27" s="4438">
        <f t="shared" si="48"/>
        <v>48.607031427066779</v>
      </c>
      <c r="AA27" s="4438">
        <f t="shared" si="49"/>
        <v>48.607031427066779</v>
      </c>
      <c r="AB27" s="4437">
        <f t="shared" si="50"/>
        <v>124.63864446296456</v>
      </c>
      <c r="AC27" s="4437">
        <f t="shared" si="51"/>
        <v>145.55661790646428</v>
      </c>
      <c r="AD27" s="4437">
        <f t="shared" si="52"/>
        <v>145.55661790646428</v>
      </c>
      <c r="AE27" s="4437">
        <f t="shared" si="53"/>
        <v>145.55661790646428</v>
      </c>
      <c r="AF27" s="4437">
        <f t="shared" si="54"/>
        <v>145.55661790646428</v>
      </c>
      <c r="AG27" s="4437">
        <f t="shared" si="55"/>
        <v>145.55661790646428</v>
      </c>
    </row>
    <row r="28" spans="1:33" ht="24">
      <c r="A28" s="3295">
        <v>3</v>
      </c>
      <c r="B28" s="98" t="s">
        <v>1756</v>
      </c>
      <c r="C28" s="620"/>
      <c r="D28" s="621"/>
      <c r="E28" s="620"/>
      <c r="F28" s="621"/>
      <c r="G28" s="621"/>
      <c r="H28" s="620"/>
      <c r="I28" s="1970">
        <f t="shared" si="44"/>
        <v>0</v>
      </c>
      <c r="J28" s="1968">
        <f t="shared" si="44"/>
        <v>0</v>
      </c>
      <c r="K28" s="1970">
        <f t="shared" si="44"/>
        <v>0</v>
      </c>
      <c r="L28" s="1968">
        <f t="shared" si="44"/>
        <v>0</v>
      </c>
      <c r="M28" s="1968">
        <f t="shared" si="44"/>
        <v>0</v>
      </c>
      <c r="N28" s="1970">
        <f t="shared" si="44"/>
        <v>0</v>
      </c>
      <c r="O28" s="4391"/>
      <c r="P28" s="4391"/>
      <c r="Q28" s="4391"/>
      <c r="R28" s="4391"/>
      <c r="S28" s="4391"/>
      <c r="T28" s="4391"/>
      <c r="U28" s="4422"/>
      <c r="V28" s="4438">
        <f t="shared" si="56"/>
        <v>0</v>
      </c>
      <c r="W28" s="4438">
        <f t="shared" si="45"/>
        <v>0</v>
      </c>
      <c r="X28" s="4438">
        <f t="shared" si="46"/>
        <v>0</v>
      </c>
      <c r="Y28" s="4438">
        <f t="shared" si="47"/>
        <v>0</v>
      </c>
      <c r="Z28" s="4438">
        <f t="shared" si="48"/>
        <v>0</v>
      </c>
      <c r="AA28" s="4438">
        <f t="shared" si="49"/>
        <v>0</v>
      </c>
      <c r="AB28" s="4437">
        <f t="shared" si="50"/>
        <v>0</v>
      </c>
      <c r="AC28" s="4437">
        <f t="shared" si="51"/>
        <v>0</v>
      </c>
      <c r="AD28" s="4437">
        <f t="shared" si="52"/>
        <v>0</v>
      </c>
      <c r="AE28" s="4437">
        <f t="shared" si="53"/>
        <v>0</v>
      </c>
      <c r="AF28" s="4437">
        <f t="shared" si="54"/>
        <v>0</v>
      </c>
      <c r="AG28" s="4437">
        <f t="shared" si="55"/>
        <v>0</v>
      </c>
    </row>
    <row r="29" spans="1:33" ht="39.75" customHeight="1">
      <c r="A29" s="3295">
        <v>4</v>
      </c>
      <c r="B29" s="641" t="s">
        <v>1784</v>
      </c>
      <c r="C29" s="1970">
        <f t="shared" ref="C29:N29" si="57">SUM(C30:C32)</f>
        <v>0</v>
      </c>
      <c r="D29" s="1970">
        <f t="shared" si="57"/>
        <v>0</v>
      </c>
      <c r="E29" s="1970">
        <f t="shared" si="57"/>
        <v>0</v>
      </c>
      <c r="F29" s="1970">
        <f t="shared" si="57"/>
        <v>0</v>
      </c>
      <c r="G29" s="1970">
        <f t="shared" si="57"/>
        <v>0</v>
      </c>
      <c r="H29" s="1970">
        <f t="shared" si="57"/>
        <v>0</v>
      </c>
      <c r="I29" s="1968">
        <f t="shared" si="57"/>
        <v>0</v>
      </c>
      <c r="J29" s="1968">
        <f t="shared" si="57"/>
        <v>0</v>
      </c>
      <c r="K29" s="1968">
        <f t="shared" si="57"/>
        <v>0</v>
      </c>
      <c r="L29" s="1968">
        <f t="shared" si="57"/>
        <v>0</v>
      </c>
      <c r="M29" s="1968">
        <f t="shared" si="57"/>
        <v>0</v>
      </c>
      <c r="N29" s="1968">
        <f t="shared" si="57"/>
        <v>0</v>
      </c>
      <c r="O29" s="298">
        <f>ROUND((IFERROR((I29*1000)/(C29/1000),0)),3)</f>
        <v>0</v>
      </c>
      <c r="P29" s="298">
        <f t="shared" ref="P29:T29" si="58">ROUND((IFERROR((J29*1000)/(D29/1000),0)),3)</f>
        <v>0</v>
      </c>
      <c r="Q29" s="298">
        <f t="shared" si="58"/>
        <v>0</v>
      </c>
      <c r="R29" s="298">
        <f t="shared" si="58"/>
        <v>0</v>
      </c>
      <c r="S29" s="298">
        <f t="shared" si="58"/>
        <v>0</v>
      </c>
      <c r="T29" s="298">
        <f t="shared" si="58"/>
        <v>0</v>
      </c>
      <c r="U29" s="4422"/>
      <c r="V29" s="4438">
        <f t="shared" si="56"/>
        <v>0</v>
      </c>
      <c r="W29" s="4438">
        <f t="shared" si="45"/>
        <v>0</v>
      </c>
      <c r="X29" s="4438">
        <f t="shared" si="46"/>
        <v>0</v>
      </c>
      <c r="Y29" s="4438">
        <f t="shared" si="47"/>
        <v>0</v>
      </c>
      <c r="Z29" s="4438">
        <f t="shared" si="48"/>
        <v>0</v>
      </c>
      <c r="AA29" s="4438">
        <f t="shared" si="49"/>
        <v>0</v>
      </c>
      <c r="AB29" s="4437">
        <f t="shared" si="50"/>
        <v>0</v>
      </c>
      <c r="AC29" s="4437">
        <f t="shared" si="51"/>
        <v>0</v>
      </c>
      <c r="AD29" s="4437">
        <f t="shared" si="52"/>
        <v>0</v>
      </c>
      <c r="AE29" s="4437">
        <f t="shared" si="53"/>
        <v>0</v>
      </c>
      <c r="AF29" s="4437">
        <f t="shared" si="54"/>
        <v>0</v>
      </c>
      <c r="AG29" s="4437">
        <f t="shared" si="55"/>
        <v>0</v>
      </c>
    </row>
    <row r="30" spans="1:33" ht="22.5" customHeight="1">
      <c r="A30" s="3295" t="s">
        <v>566</v>
      </c>
      <c r="B30" s="4392"/>
      <c r="C30" s="620"/>
      <c r="D30" s="621"/>
      <c r="E30" s="620"/>
      <c r="F30" s="621"/>
      <c r="G30" s="621"/>
      <c r="H30" s="620"/>
      <c r="I30" s="1968">
        <f t="shared" ref="I30:N32" si="59">(C30/1000)*(O30/1000)</f>
        <v>0</v>
      </c>
      <c r="J30" s="1968">
        <f t="shared" si="59"/>
        <v>0</v>
      </c>
      <c r="K30" s="1970">
        <f t="shared" si="59"/>
        <v>0</v>
      </c>
      <c r="L30" s="1968">
        <f t="shared" si="59"/>
        <v>0</v>
      </c>
      <c r="M30" s="1968">
        <f t="shared" si="59"/>
        <v>0</v>
      </c>
      <c r="N30" s="1970">
        <f t="shared" si="59"/>
        <v>0</v>
      </c>
      <c r="O30" s="4391"/>
      <c r="P30" s="4391"/>
      <c r="Q30" s="4391"/>
      <c r="R30" s="4391"/>
      <c r="S30" s="4391"/>
      <c r="T30" s="4391"/>
      <c r="U30" s="4422"/>
      <c r="V30" s="4438">
        <f t="shared" si="56"/>
        <v>0</v>
      </c>
      <c r="W30" s="4438">
        <f t="shared" si="45"/>
        <v>0</v>
      </c>
      <c r="X30" s="4438">
        <f t="shared" si="46"/>
        <v>0</v>
      </c>
      <c r="Y30" s="4438">
        <f t="shared" si="47"/>
        <v>0</v>
      </c>
      <c r="Z30" s="4438">
        <f t="shared" si="48"/>
        <v>0</v>
      </c>
      <c r="AA30" s="4438">
        <f t="shared" si="49"/>
        <v>0</v>
      </c>
      <c r="AB30" s="4437">
        <f t="shared" si="50"/>
        <v>0</v>
      </c>
      <c r="AC30" s="4437">
        <f t="shared" si="51"/>
        <v>0</v>
      </c>
      <c r="AD30" s="4437">
        <f t="shared" si="52"/>
        <v>0</v>
      </c>
      <c r="AE30" s="4437">
        <f t="shared" si="53"/>
        <v>0</v>
      </c>
      <c r="AF30" s="4437">
        <f t="shared" si="54"/>
        <v>0</v>
      </c>
      <c r="AG30" s="4437">
        <f t="shared" si="55"/>
        <v>0</v>
      </c>
    </row>
    <row r="31" spans="1:33" ht="22.5" customHeight="1">
      <c r="A31" s="3295" t="s">
        <v>567</v>
      </c>
      <c r="B31" s="4392"/>
      <c r="C31" s="620"/>
      <c r="D31" s="621"/>
      <c r="E31" s="620"/>
      <c r="F31" s="621"/>
      <c r="G31" s="621"/>
      <c r="H31" s="620"/>
      <c r="I31" s="1968">
        <f t="shared" si="59"/>
        <v>0</v>
      </c>
      <c r="J31" s="1968">
        <f t="shared" si="59"/>
        <v>0</v>
      </c>
      <c r="K31" s="1970">
        <f t="shared" si="59"/>
        <v>0</v>
      </c>
      <c r="L31" s="1968">
        <f t="shared" si="59"/>
        <v>0</v>
      </c>
      <c r="M31" s="1968">
        <f t="shared" si="59"/>
        <v>0</v>
      </c>
      <c r="N31" s="1970">
        <f t="shared" si="59"/>
        <v>0</v>
      </c>
      <c r="O31" s="4391"/>
      <c r="P31" s="4391"/>
      <c r="Q31" s="4391"/>
      <c r="R31" s="4391"/>
      <c r="S31" s="4391"/>
      <c r="T31" s="4391"/>
      <c r="U31" s="4422"/>
      <c r="V31" s="4438">
        <f t="shared" si="56"/>
        <v>0</v>
      </c>
      <c r="W31" s="4438">
        <f t="shared" si="45"/>
        <v>0</v>
      </c>
      <c r="X31" s="4438">
        <f t="shared" si="46"/>
        <v>0</v>
      </c>
      <c r="Y31" s="4438">
        <f t="shared" si="47"/>
        <v>0</v>
      </c>
      <c r="Z31" s="4438">
        <f t="shared" si="48"/>
        <v>0</v>
      </c>
      <c r="AA31" s="4438">
        <f t="shared" si="49"/>
        <v>0</v>
      </c>
      <c r="AB31" s="4437">
        <f t="shared" si="50"/>
        <v>0</v>
      </c>
      <c r="AC31" s="4437">
        <f t="shared" si="51"/>
        <v>0</v>
      </c>
      <c r="AD31" s="4437">
        <f t="shared" si="52"/>
        <v>0</v>
      </c>
      <c r="AE31" s="4437">
        <f t="shared" si="53"/>
        <v>0</v>
      </c>
      <c r="AF31" s="4437">
        <f t="shared" si="54"/>
        <v>0</v>
      </c>
      <c r="AG31" s="4437">
        <f t="shared" si="55"/>
        <v>0</v>
      </c>
    </row>
    <row r="32" spans="1:33" ht="22.5" customHeight="1">
      <c r="A32" s="3295" t="s">
        <v>1078</v>
      </c>
      <c r="B32" s="4392"/>
      <c r="C32" s="620"/>
      <c r="D32" s="621"/>
      <c r="E32" s="620"/>
      <c r="F32" s="621"/>
      <c r="G32" s="621"/>
      <c r="H32" s="620"/>
      <c r="I32" s="1968">
        <f t="shared" si="59"/>
        <v>0</v>
      </c>
      <c r="J32" s="1968">
        <f t="shared" si="59"/>
        <v>0</v>
      </c>
      <c r="K32" s="1970">
        <f t="shared" si="59"/>
        <v>0</v>
      </c>
      <c r="L32" s="1968">
        <f t="shared" si="59"/>
        <v>0</v>
      </c>
      <c r="M32" s="1968">
        <f t="shared" si="59"/>
        <v>0</v>
      </c>
      <c r="N32" s="1970">
        <f t="shared" si="59"/>
        <v>0</v>
      </c>
      <c r="O32" s="4391"/>
      <c r="P32" s="4391"/>
      <c r="Q32" s="4391"/>
      <c r="R32" s="4391"/>
      <c r="S32" s="4391"/>
      <c r="T32" s="4391"/>
      <c r="U32" s="4422"/>
      <c r="V32" s="4438">
        <f t="shared" si="56"/>
        <v>0</v>
      </c>
      <c r="W32" s="4438">
        <f t="shared" si="45"/>
        <v>0</v>
      </c>
      <c r="X32" s="4438">
        <f t="shared" si="46"/>
        <v>0</v>
      </c>
      <c r="Y32" s="4438">
        <f t="shared" si="47"/>
        <v>0</v>
      </c>
      <c r="Z32" s="4438">
        <f t="shared" si="48"/>
        <v>0</v>
      </c>
      <c r="AA32" s="4438">
        <f t="shared" si="49"/>
        <v>0</v>
      </c>
      <c r="AB32" s="4437">
        <f t="shared" si="50"/>
        <v>0</v>
      </c>
      <c r="AC32" s="4437">
        <f t="shared" si="51"/>
        <v>0</v>
      </c>
      <c r="AD32" s="4437">
        <f t="shared" si="52"/>
        <v>0</v>
      </c>
      <c r="AE32" s="4437">
        <f t="shared" si="53"/>
        <v>0</v>
      </c>
      <c r="AF32" s="4437">
        <f t="shared" si="54"/>
        <v>0</v>
      </c>
      <c r="AG32" s="4437">
        <f t="shared" si="55"/>
        <v>0</v>
      </c>
    </row>
    <row r="33" spans="1:33" ht="22.5" hidden="1" customHeight="1">
      <c r="A33" s="5031"/>
      <c r="B33" s="5032"/>
      <c r="C33" s="5032"/>
      <c r="D33" s="5032"/>
      <c r="E33" s="5032"/>
      <c r="F33" s="5032"/>
      <c r="G33" s="5032"/>
      <c r="H33" s="5032"/>
      <c r="I33" s="5032"/>
      <c r="J33" s="5032"/>
      <c r="K33" s="5032"/>
      <c r="L33" s="5032"/>
      <c r="M33" s="5032"/>
      <c r="N33" s="5032"/>
      <c r="O33" s="5032"/>
      <c r="P33" s="5032"/>
      <c r="Q33" s="5032"/>
      <c r="R33" s="5032"/>
      <c r="S33" s="5032"/>
      <c r="T33" s="5033"/>
      <c r="U33" s="4422"/>
      <c r="V33" s="4438">
        <f t="shared" si="56"/>
        <v>0</v>
      </c>
      <c r="W33" s="4438">
        <f t="shared" si="45"/>
        <v>0</v>
      </c>
      <c r="X33" s="4438">
        <f t="shared" si="46"/>
        <v>0</v>
      </c>
      <c r="Y33" s="4438">
        <f t="shared" si="47"/>
        <v>0</v>
      </c>
      <c r="Z33" s="4438">
        <f t="shared" si="48"/>
        <v>0</v>
      </c>
      <c r="AA33" s="4438">
        <f t="shared" si="49"/>
        <v>0</v>
      </c>
      <c r="AB33" s="4437">
        <f t="shared" si="50"/>
        <v>0</v>
      </c>
      <c r="AC33" s="4437">
        <f t="shared" si="51"/>
        <v>0</v>
      </c>
      <c r="AD33" s="4437">
        <f t="shared" si="52"/>
        <v>0</v>
      </c>
      <c r="AE33" s="4437">
        <f t="shared" si="53"/>
        <v>0</v>
      </c>
      <c r="AF33" s="4437">
        <f t="shared" si="54"/>
        <v>0</v>
      </c>
      <c r="AG33" s="4437">
        <f t="shared" si="55"/>
        <v>0</v>
      </c>
    </row>
    <row r="34" spans="1:33" ht="19.5" customHeight="1">
      <c r="A34" s="3759">
        <v>5</v>
      </c>
      <c r="B34" s="305" t="s">
        <v>1757</v>
      </c>
      <c r="C34" s="622">
        <f t="shared" ref="C34:N34" si="60">C26+C27+C28+C29</f>
        <v>414756.8</v>
      </c>
      <c r="D34" s="622">
        <f t="shared" si="60"/>
        <v>414756.8</v>
      </c>
      <c r="E34" s="622">
        <f t="shared" si="60"/>
        <v>414756.8</v>
      </c>
      <c r="F34" s="622">
        <f t="shared" si="60"/>
        <v>414756.8</v>
      </c>
      <c r="G34" s="622">
        <f t="shared" si="60"/>
        <v>557695</v>
      </c>
      <c r="H34" s="622">
        <f t="shared" si="60"/>
        <v>557695</v>
      </c>
      <c r="I34" s="622">
        <f t="shared" si="60"/>
        <v>103.20363983080001</v>
      </c>
      <c r="J34" s="622">
        <f t="shared" si="60"/>
        <v>120.52405073360002</v>
      </c>
      <c r="K34" s="622">
        <f t="shared" si="60"/>
        <v>120.52405073360002</v>
      </c>
      <c r="L34" s="622">
        <f t="shared" si="60"/>
        <v>120.52405073360002</v>
      </c>
      <c r="M34" s="622">
        <f t="shared" si="60"/>
        <v>165.548440228</v>
      </c>
      <c r="N34" s="622">
        <f t="shared" si="60"/>
        <v>165.548440228</v>
      </c>
      <c r="O34" s="299">
        <f t="shared" ref="O34:T34" si="61">IFERROR((I34*1000)/(C34/1000),0)</f>
        <v>248.82928943130051</v>
      </c>
      <c r="P34" s="299">
        <f t="shared" si="61"/>
        <v>290.58969191969851</v>
      </c>
      <c r="Q34" s="299">
        <f t="shared" si="61"/>
        <v>290.58969191969851</v>
      </c>
      <c r="R34" s="299">
        <f t="shared" si="61"/>
        <v>290.58969191969851</v>
      </c>
      <c r="S34" s="299">
        <f t="shared" si="61"/>
        <v>296.84404598929518</v>
      </c>
      <c r="T34" s="299">
        <f t="shared" si="61"/>
        <v>296.84404598929518</v>
      </c>
      <c r="U34" s="4422"/>
      <c r="V34" s="4438">
        <f t="shared" si="56"/>
        <v>52.767183155386725</v>
      </c>
      <c r="W34" s="4438">
        <f t="shared" si="45"/>
        <v>61.622968628970831</v>
      </c>
      <c r="X34" s="4438">
        <f t="shared" si="46"/>
        <v>61.622968628970831</v>
      </c>
      <c r="Y34" s="4438">
        <f t="shared" si="47"/>
        <v>61.622968628970831</v>
      </c>
      <c r="Z34" s="4438">
        <f t="shared" si="48"/>
        <v>84.643573433273858</v>
      </c>
      <c r="AA34" s="4438">
        <f t="shared" si="49"/>
        <v>84.643573433273858</v>
      </c>
      <c r="AB34" s="4437">
        <f t="shared" si="50"/>
        <v>127.22439549004797</v>
      </c>
      <c r="AC34" s="4437">
        <f t="shared" si="51"/>
        <v>148.57615023785223</v>
      </c>
      <c r="AD34" s="4437">
        <f t="shared" si="52"/>
        <v>148.57615023785223</v>
      </c>
      <c r="AE34" s="4437">
        <f t="shared" si="53"/>
        <v>148.57615023785223</v>
      </c>
      <c r="AF34" s="4437">
        <f t="shared" si="54"/>
        <v>151.77395069576355</v>
      </c>
      <c r="AG34" s="4437">
        <f t="shared" si="55"/>
        <v>151.77395069576355</v>
      </c>
    </row>
    <row r="35" spans="1:33" ht="19.5" customHeight="1">
      <c r="A35" s="3760">
        <v>6</v>
      </c>
      <c r="B35" s="98" t="s">
        <v>350</v>
      </c>
      <c r="C35" s="623"/>
      <c r="D35" s="624">
        <f>D34-C34</f>
        <v>0</v>
      </c>
      <c r="E35" s="624">
        <f t="shared" ref="E35:H35" si="62">E34-D34</f>
        <v>0</v>
      </c>
      <c r="F35" s="624">
        <f t="shared" si="62"/>
        <v>0</v>
      </c>
      <c r="G35" s="624">
        <f t="shared" si="62"/>
        <v>142938.20000000001</v>
      </c>
      <c r="H35" s="624">
        <f t="shared" si="62"/>
        <v>0</v>
      </c>
      <c r="I35" s="623"/>
      <c r="J35" s="624">
        <f>J34-I34</f>
        <v>17.320410902800006</v>
      </c>
      <c r="K35" s="624">
        <f t="shared" ref="K35:N35" si="63">K34-J34</f>
        <v>0</v>
      </c>
      <c r="L35" s="624">
        <f t="shared" si="63"/>
        <v>0</v>
      </c>
      <c r="M35" s="624">
        <f t="shared" si="63"/>
        <v>45.024389494399983</v>
      </c>
      <c r="N35" s="624">
        <f t="shared" si="63"/>
        <v>0</v>
      </c>
      <c r="O35" s="300"/>
      <c r="P35" s="301">
        <f>P34-O34</f>
        <v>41.760402488398</v>
      </c>
      <c r="Q35" s="301">
        <f t="shared" ref="Q35:T35" si="64">Q34-P34</f>
        <v>0</v>
      </c>
      <c r="R35" s="301">
        <f t="shared" si="64"/>
        <v>0</v>
      </c>
      <c r="S35" s="301">
        <f t="shared" si="64"/>
        <v>6.2543540695966726</v>
      </c>
      <c r="T35" s="301">
        <f t="shared" si="64"/>
        <v>0</v>
      </c>
      <c r="U35" s="4422"/>
      <c r="V35" s="4508"/>
      <c r="W35" s="4459">
        <f>W34-V34</f>
        <v>8.8557854735841062</v>
      </c>
      <c r="X35" s="4459">
        <f t="shared" ref="X35" si="65">X34-W34</f>
        <v>0</v>
      </c>
      <c r="Y35" s="4459">
        <f t="shared" ref="Y35" si="66">Y34-X34</f>
        <v>0</v>
      </c>
      <c r="Z35" s="4459">
        <f t="shared" ref="Z35" si="67">Z34-Y34</f>
        <v>23.020604804303026</v>
      </c>
      <c r="AA35" s="4459">
        <f t="shared" ref="AA35" si="68">AA34-Z34</f>
        <v>0</v>
      </c>
      <c r="AB35" s="4508"/>
      <c r="AC35" s="4459">
        <f>AC34-AB34</f>
        <v>21.351754747804264</v>
      </c>
      <c r="AD35" s="4459">
        <f t="shared" ref="AD35" si="69">AD34-AC34</f>
        <v>0</v>
      </c>
      <c r="AE35" s="4459">
        <f t="shared" ref="AE35" si="70">AE34-AD34</f>
        <v>0</v>
      </c>
      <c r="AF35" s="4459">
        <f t="shared" ref="AF35" si="71">AF34-AE34</f>
        <v>3.1978004579113133</v>
      </c>
      <c r="AG35" s="4459">
        <f t="shared" ref="AG35" si="72">AG34-AF34</f>
        <v>0</v>
      </c>
    </row>
    <row r="36" spans="1:33" ht="26.25" thickBot="1">
      <c r="A36" s="3766">
        <v>7</v>
      </c>
      <c r="B36" s="3764" t="s">
        <v>1747</v>
      </c>
      <c r="C36" s="3765">
        <f>IFERROR(C34/'4. Отчет и прогн. потребление'!D48,0)</f>
        <v>7.2184494102462526E-2</v>
      </c>
      <c r="D36" s="3765">
        <f>IFERROR(D34/'4. Отчет и прогн. потребление'!E48,0)</f>
        <v>7.1992040475266389E-2</v>
      </c>
      <c r="E36" s="3765">
        <f>IFERROR(E34/'4. Отчет и прогн. потребление'!F48,0)</f>
        <v>7.2731883252444798E-2</v>
      </c>
      <c r="F36" s="3765">
        <f>IFERROR(F34/'4. Отчет и прогн. потребление'!G48,0)</f>
        <v>7.3487097171005877E-2</v>
      </c>
      <c r="G36" s="3765">
        <f>IFERROR(G34/'4. Отчет и прогн. потребление'!H48,0)</f>
        <v>9.9849849622553027E-2</v>
      </c>
      <c r="H36" s="3765">
        <f>IFERROR(H34/'4. Отчет и прогн. потребление'!I48,0)</f>
        <v>0.10076822116223691</v>
      </c>
      <c r="I36" s="413"/>
      <c r="J36" s="413"/>
      <c r="K36" s="413"/>
      <c r="L36" s="413"/>
      <c r="M36" s="413"/>
      <c r="N36" s="413"/>
      <c r="O36" s="413"/>
      <c r="P36" s="413"/>
      <c r="Q36" s="413"/>
      <c r="R36" s="413"/>
      <c r="S36" s="413"/>
      <c r="T36" s="413"/>
      <c r="U36" s="4422"/>
    </row>
    <row r="37" spans="1:33" s="143" customFormat="1" ht="18.75" customHeight="1" thickBot="1">
      <c r="B37" s="66"/>
      <c r="C37" s="303"/>
      <c r="D37" s="144"/>
      <c r="E37" s="144"/>
      <c r="F37" s="144"/>
      <c r="G37" s="144"/>
      <c r="H37" s="144"/>
      <c r="I37" s="303"/>
      <c r="J37" s="144"/>
      <c r="K37" s="144"/>
      <c r="L37" s="144"/>
      <c r="M37" s="144"/>
      <c r="N37" s="144"/>
      <c r="O37" s="303"/>
      <c r="P37" s="144"/>
      <c r="Q37" s="144"/>
      <c r="R37" s="144"/>
      <c r="S37" s="144"/>
      <c r="T37" s="144"/>
      <c r="U37" s="144"/>
      <c r="V37" s="144"/>
      <c r="W37" s="144"/>
      <c r="X37" s="144"/>
      <c r="Y37" s="144"/>
    </row>
    <row r="38" spans="1:33" ht="21.75" customHeight="1">
      <c r="A38" s="5022" t="s">
        <v>1</v>
      </c>
      <c r="B38" s="5025" t="s">
        <v>1754</v>
      </c>
      <c r="C38" s="5025" t="s">
        <v>209</v>
      </c>
      <c r="D38" s="5025"/>
      <c r="E38" s="5025"/>
      <c r="F38" s="5025"/>
      <c r="G38" s="5025"/>
      <c r="H38" s="5025"/>
      <c r="I38" s="5025"/>
      <c r="J38" s="5025"/>
      <c r="K38" s="5025"/>
      <c r="L38" s="5025"/>
      <c r="M38" s="5025"/>
      <c r="N38" s="5025"/>
      <c r="O38" s="5025"/>
      <c r="P38" s="5025"/>
      <c r="Q38" s="5025"/>
      <c r="R38" s="5025"/>
      <c r="S38" s="5025"/>
      <c r="T38" s="5025"/>
      <c r="U38" s="4422"/>
      <c r="V38" s="5016" t="str">
        <f>+C38</f>
        <v>Пречистване на отпадъчните води</v>
      </c>
      <c r="W38" s="5016"/>
      <c r="X38" s="5016"/>
      <c r="Y38" s="5016"/>
      <c r="Z38" s="5016"/>
      <c r="AA38" s="5016"/>
      <c r="AB38" s="5016"/>
      <c r="AC38" s="5016"/>
      <c r="AD38" s="5016"/>
      <c r="AE38" s="5016"/>
      <c r="AF38" s="5016"/>
      <c r="AG38" s="5016"/>
    </row>
    <row r="39" spans="1:33" ht="21.75" customHeight="1">
      <c r="A39" s="5023"/>
      <c r="B39" s="5026"/>
      <c r="C39" s="5028" t="s">
        <v>348</v>
      </c>
      <c r="D39" s="5028"/>
      <c r="E39" s="5028"/>
      <c r="F39" s="5028"/>
      <c r="G39" s="5028"/>
      <c r="H39" s="5028"/>
      <c r="I39" s="5028" t="s">
        <v>911</v>
      </c>
      <c r="J39" s="5028"/>
      <c r="K39" s="5028"/>
      <c r="L39" s="5028"/>
      <c r="M39" s="5028"/>
      <c r="N39" s="5028"/>
      <c r="O39" s="5028" t="s">
        <v>1766</v>
      </c>
      <c r="P39" s="5028"/>
      <c r="Q39" s="5028"/>
      <c r="R39" s="5028"/>
      <c r="S39" s="5028"/>
      <c r="T39" s="5028"/>
      <c r="U39" s="4422"/>
      <c r="V39" s="5017" t="s">
        <v>1880</v>
      </c>
      <c r="W39" s="5017"/>
      <c r="X39" s="5017"/>
      <c r="Y39" s="5017"/>
      <c r="Z39" s="5017"/>
      <c r="AA39" s="5017"/>
      <c r="AB39" s="5017" t="s">
        <v>1881</v>
      </c>
      <c r="AC39" s="5017"/>
      <c r="AD39" s="5017"/>
      <c r="AE39" s="5017"/>
      <c r="AF39" s="5017"/>
      <c r="AG39" s="5017"/>
    </row>
    <row r="40" spans="1:33" ht="21.75" customHeight="1" thickBot="1">
      <c r="A40" s="5024"/>
      <c r="B40" s="5027"/>
      <c r="C40" s="151" t="str">
        <f t="shared" ref="C40:H40" si="73">C25</f>
        <v>2024 г.</v>
      </c>
      <c r="D40" s="151" t="str">
        <f t="shared" si="73"/>
        <v>2027 г.</v>
      </c>
      <c r="E40" s="151" t="str">
        <f t="shared" si="73"/>
        <v>2028 г.</v>
      </c>
      <c r="F40" s="151" t="str">
        <f t="shared" si="73"/>
        <v>2029 г.</v>
      </c>
      <c r="G40" s="151" t="str">
        <f t="shared" si="73"/>
        <v>2030 г.</v>
      </c>
      <c r="H40" s="151" t="str">
        <f t="shared" si="73"/>
        <v>2031 г.</v>
      </c>
      <c r="I40" s="151" t="str">
        <f t="shared" ref="I40:T40" si="74">C40</f>
        <v>2024 г.</v>
      </c>
      <c r="J40" s="151" t="str">
        <f t="shared" si="74"/>
        <v>2027 г.</v>
      </c>
      <c r="K40" s="151" t="str">
        <f t="shared" si="74"/>
        <v>2028 г.</v>
      </c>
      <c r="L40" s="151" t="str">
        <f t="shared" si="74"/>
        <v>2029 г.</v>
      </c>
      <c r="M40" s="151" t="str">
        <f t="shared" si="74"/>
        <v>2030 г.</v>
      </c>
      <c r="N40" s="151" t="str">
        <f t="shared" si="74"/>
        <v>2031 г.</v>
      </c>
      <c r="O40" s="151" t="str">
        <f t="shared" si="74"/>
        <v>2024 г.</v>
      </c>
      <c r="P40" s="151" t="str">
        <f t="shared" si="74"/>
        <v>2027 г.</v>
      </c>
      <c r="Q40" s="151" t="str">
        <f t="shared" si="74"/>
        <v>2028 г.</v>
      </c>
      <c r="R40" s="151" t="str">
        <f t="shared" si="74"/>
        <v>2029 г.</v>
      </c>
      <c r="S40" s="151" t="str">
        <f t="shared" si="74"/>
        <v>2030 г.</v>
      </c>
      <c r="T40" s="151" t="str">
        <f t="shared" si="74"/>
        <v>2031 г.</v>
      </c>
      <c r="U40" s="4422"/>
      <c r="V40" s="4436" t="str">
        <f>+I40</f>
        <v>2024 г.</v>
      </c>
      <c r="W40" s="4436" t="str">
        <f t="shared" ref="W40" si="75">+J40</f>
        <v>2027 г.</v>
      </c>
      <c r="X40" s="4436" t="str">
        <f t="shared" ref="X40" si="76">+K40</f>
        <v>2028 г.</v>
      </c>
      <c r="Y40" s="4436" t="str">
        <f t="shared" ref="Y40" si="77">+L40</f>
        <v>2029 г.</v>
      </c>
      <c r="Z40" s="4436" t="str">
        <f t="shared" ref="Z40" si="78">+M40</f>
        <v>2030 г.</v>
      </c>
      <c r="AA40" s="4436" t="str">
        <f t="shared" ref="AA40" si="79">+N40</f>
        <v>2031 г.</v>
      </c>
      <c r="AB40" s="4436" t="str">
        <f t="shared" ref="AB40" si="80">+O40</f>
        <v>2024 г.</v>
      </c>
      <c r="AC40" s="4436" t="str">
        <f t="shared" ref="AC40" si="81">+P40</f>
        <v>2027 г.</v>
      </c>
      <c r="AD40" s="4436" t="str">
        <f t="shared" ref="AD40" si="82">+Q40</f>
        <v>2028 г.</v>
      </c>
      <c r="AE40" s="4436" t="str">
        <f t="shared" ref="AE40" si="83">+R40</f>
        <v>2029 г.</v>
      </c>
      <c r="AF40" s="4436" t="str">
        <f t="shared" ref="AF40" si="84">+S40</f>
        <v>2030 г.</v>
      </c>
      <c r="AG40" s="4436" t="str">
        <f t="shared" ref="AG40" si="85">+T40</f>
        <v>2031 г.</v>
      </c>
    </row>
    <row r="41" spans="1:33" ht="22.5" customHeight="1">
      <c r="A41" s="3772">
        <v>1</v>
      </c>
      <c r="B41" s="3773" t="s">
        <v>1753</v>
      </c>
      <c r="C41" s="3777"/>
      <c r="D41" s="3778"/>
      <c r="E41" s="3778"/>
      <c r="F41" s="3778"/>
      <c r="G41" s="3778"/>
      <c r="H41" s="3778"/>
      <c r="I41" s="4373">
        <f t="shared" ref="I41:N43" si="86">(C41/1000)*(O41/1000)</f>
        <v>0</v>
      </c>
      <c r="J41" s="3779">
        <f t="shared" si="86"/>
        <v>0</v>
      </c>
      <c r="K41" s="3779">
        <f t="shared" si="86"/>
        <v>0</v>
      </c>
      <c r="L41" s="3779">
        <f t="shared" si="86"/>
        <v>0</v>
      </c>
      <c r="M41" s="3779">
        <f t="shared" si="86"/>
        <v>0</v>
      </c>
      <c r="N41" s="3779">
        <f t="shared" si="86"/>
        <v>0</v>
      </c>
      <c r="O41" s="4390"/>
      <c r="P41" s="4390"/>
      <c r="Q41" s="4390"/>
      <c r="R41" s="4390"/>
      <c r="S41" s="4390"/>
      <c r="T41" s="4390"/>
      <c r="U41" s="4422"/>
      <c r="V41" s="4438">
        <f>IFERROR(I41/$C$1,0)</f>
        <v>0</v>
      </c>
      <c r="W41" s="4438">
        <f t="shared" ref="W41:W49" si="87">IFERROR(J41/$C$1,0)</f>
        <v>0</v>
      </c>
      <c r="X41" s="4438">
        <f t="shared" ref="X41:X49" si="88">IFERROR(K41/$C$1,0)</f>
        <v>0</v>
      </c>
      <c r="Y41" s="4438">
        <f t="shared" ref="Y41:Y49" si="89">IFERROR(L41/$C$1,0)</f>
        <v>0</v>
      </c>
      <c r="Z41" s="4438">
        <f t="shared" ref="Z41:Z49" si="90">IFERROR(M41/$C$1,0)</f>
        <v>0</v>
      </c>
      <c r="AA41" s="4438">
        <f t="shared" ref="AA41:AA49" si="91">IFERROR(N41/$C$1,0)</f>
        <v>0</v>
      </c>
      <c r="AB41" s="4437">
        <f t="shared" ref="AB41:AB49" si="92">IFERROR(O41/$C$1,0)</f>
        <v>0</v>
      </c>
      <c r="AC41" s="4437">
        <f t="shared" ref="AC41:AC49" si="93">IFERROR(P41/$C$1,0)</f>
        <v>0</v>
      </c>
      <c r="AD41" s="4437">
        <f t="shared" ref="AD41:AD49" si="94">IFERROR(Q41/$C$1,0)</f>
        <v>0</v>
      </c>
      <c r="AE41" s="4437">
        <f t="shared" ref="AE41:AE49" si="95">IFERROR(R41/$C$1,0)</f>
        <v>0</v>
      </c>
      <c r="AF41" s="4437">
        <f t="shared" ref="AF41:AF49" si="96">IFERROR(S41/$C$1,0)</f>
        <v>0</v>
      </c>
      <c r="AG41" s="4437">
        <f t="shared" ref="AG41:AG49" si="97">IFERROR(T41/$C$1,0)</f>
        <v>0</v>
      </c>
    </row>
    <row r="42" spans="1:33" ht="24">
      <c r="A42" s="3295">
        <v>2</v>
      </c>
      <c r="B42" s="98" t="s">
        <v>1755</v>
      </c>
      <c r="C42" s="620">
        <v>2753172.4</v>
      </c>
      <c r="D42" s="620">
        <v>2753172.4</v>
      </c>
      <c r="E42" s="620">
        <v>2753172.4</v>
      </c>
      <c r="F42" s="620">
        <v>2753172.4</v>
      </c>
      <c r="G42" s="620">
        <v>3198460</v>
      </c>
      <c r="H42" s="620">
        <v>3198460</v>
      </c>
      <c r="I42" s="1970">
        <f t="shared" si="86"/>
        <v>588.53740443079994</v>
      </c>
      <c r="J42" s="1970">
        <f t="shared" si="86"/>
        <v>687.30746428079999</v>
      </c>
      <c r="K42" s="1970">
        <f t="shared" si="86"/>
        <v>687.30746428079999</v>
      </c>
      <c r="L42" s="1970">
        <f t="shared" si="86"/>
        <v>687.30746428079999</v>
      </c>
      <c r="M42" s="1970">
        <f t="shared" si="86"/>
        <v>798.46995132000006</v>
      </c>
      <c r="N42" s="1970">
        <f t="shared" si="86"/>
        <v>798.46995132000006</v>
      </c>
      <c r="O42" s="4581">
        <v>213.767</v>
      </c>
      <c r="P42" s="4391">
        <v>249.642</v>
      </c>
      <c r="Q42" s="4391">
        <v>249.642</v>
      </c>
      <c r="R42" s="4391">
        <v>249.642</v>
      </c>
      <c r="S42" s="4391">
        <v>249.642</v>
      </c>
      <c r="T42" s="4391">
        <v>249.642</v>
      </c>
      <c r="U42" s="4422"/>
      <c r="V42" s="4438">
        <f t="shared" ref="V42:V49" si="98">IFERROR(I42/$C$1,0)</f>
        <v>300.91439666576338</v>
      </c>
      <c r="W42" s="4438">
        <f t="shared" si="87"/>
        <v>351.41472637233295</v>
      </c>
      <c r="X42" s="4438">
        <f t="shared" si="88"/>
        <v>351.41472637233295</v>
      </c>
      <c r="Y42" s="4438">
        <f t="shared" si="89"/>
        <v>351.41472637233295</v>
      </c>
      <c r="Z42" s="4438">
        <f t="shared" si="90"/>
        <v>408.25120348905585</v>
      </c>
      <c r="AA42" s="4438">
        <f t="shared" si="91"/>
        <v>408.25120348905585</v>
      </c>
      <c r="AB42" s="4437">
        <f t="shared" si="92"/>
        <v>109.29733156767203</v>
      </c>
      <c r="AC42" s="4437">
        <f t="shared" si="93"/>
        <v>127.63992780558638</v>
      </c>
      <c r="AD42" s="4437">
        <f t="shared" si="94"/>
        <v>127.63992780558638</v>
      </c>
      <c r="AE42" s="4437">
        <f t="shared" si="95"/>
        <v>127.63992780558638</v>
      </c>
      <c r="AF42" s="4437">
        <f t="shared" si="96"/>
        <v>127.63992780558638</v>
      </c>
      <c r="AG42" s="4437">
        <f t="shared" si="97"/>
        <v>127.63992780558638</v>
      </c>
    </row>
    <row r="43" spans="1:33" ht="24">
      <c r="A43" s="3295">
        <v>3</v>
      </c>
      <c r="B43" s="98" t="s">
        <v>1756</v>
      </c>
      <c r="C43" s="620"/>
      <c r="D43" s="621"/>
      <c r="E43" s="620"/>
      <c r="F43" s="621"/>
      <c r="G43" s="621"/>
      <c r="H43" s="620"/>
      <c r="I43" s="1970">
        <f t="shared" si="86"/>
        <v>0</v>
      </c>
      <c r="J43" s="1968">
        <f t="shared" si="86"/>
        <v>0</v>
      </c>
      <c r="K43" s="1970">
        <f t="shared" si="86"/>
        <v>0</v>
      </c>
      <c r="L43" s="1968">
        <f t="shared" si="86"/>
        <v>0</v>
      </c>
      <c r="M43" s="1968">
        <f t="shared" si="86"/>
        <v>0</v>
      </c>
      <c r="N43" s="1970">
        <f t="shared" si="86"/>
        <v>0</v>
      </c>
      <c r="O43" s="4391"/>
      <c r="P43" s="4391"/>
      <c r="Q43" s="4391"/>
      <c r="R43" s="4391"/>
      <c r="S43" s="4391"/>
      <c r="T43" s="4391"/>
      <c r="U43" s="4422"/>
      <c r="V43" s="4438">
        <f t="shared" si="98"/>
        <v>0</v>
      </c>
      <c r="W43" s="4438">
        <f t="shared" si="87"/>
        <v>0</v>
      </c>
      <c r="X43" s="4438">
        <f t="shared" si="88"/>
        <v>0</v>
      </c>
      <c r="Y43" s="4438">
        <f t="shared" si="89"/>
        <v>0</v>
      </c>
      <c r="Z43" s="4438">
        <f t="shared" si="90"/>
        <v>0</v>
      </c>
      <c r="AA43" s="4438">
        <f t="shared" si="91"/>
        <v>0</v>
      </c>
      <c r="AB43" s="4437">
        <f t="shared" si="92"/>
        <v>0</v>
      </c>
      <c r="AC43" s="4437">
        <f t="shared" si="93"/>
        <v>0</v>
      </c>
      <c r="AD43" s="4437">
        <f t="shared" si="94"/>
        <v>0</v>
      </c>
      <c r="AE43" s="4437">
        <f t="shared" si="95"/>
        <v>0</v>
      </c>
      <c r="AF43" s="4437">
        <f t="shared" si="96"/>
        <v>0</v>
      </c>
      <c r="AG43" s="4437">
        <f t="shared" si="97"/>
        <v>0</v>
      </c>
    </row>
    <row r="44" spans="1:33" ht="39" customHeight="1">
      <c r="A44" s="3295">
        <v>4</v>
      </c>
      <c r="B44" s="641" t="s">
        <v>1784</v>
      </c>
      <c r="C44" s="1970">
        <f>SUM(C45:C47)</f>
        <v>0</v>
      </c>
      <c r="D44" s="1970">
        <f t="shared" ref="D44" si="99">SUM(D45:D47)</f>
        <v>0</v>
      </c>
      <c r="E44" s="1970">
        <f t="shared" ref="E44" si="100">SUM(E45:E47)</f>
        <v>0</v>
      </c>
      <c r="F44" s="1970">
        <f t="shared" ref="F44" si="101">SUM(F45:F47)</f>
        <v>0</v>
      </c>
      <c r="G44" s="1970">
        <f t="shared" ref="G44" si="102">SUM(G45:G47)</f>
        <v>0</v>
      </c>
      <c r="H44" s="1970">
        <f t="shared" ref="H44" si="103">SUM(H45:H47)</f>
        <v>0</v>
      </c>
      <c r="I44" s="1968">
        <f t="shared" ref="I44" si="104">SUM(I45:I47)</f>
        <v>0</v>
      </c>
      <c r="J44" s="1968">
        <f t="shared" ref="J44" si="105">SUM(J45:J47)</f>
        <v>0</v>
      </c>
      <c r="K44" s="1968">
        <f t="shared" ref="K44" si="106">SUM(K45:K47)</f>
        <v>0</v>
      </c>
      <c r="L44" s="1968">
        <f t="shared" ref="L44" si="107">SUM(L45:L47)</f>
        <v>0</v>
      </c>
      <c r="M44" s="1968">
        <f t="shared" ref="M44" si="108">SUM(M45:M47)</f>
        <v>0</v>
      </c>
      <c r="N44" s="1968">
        <f t="shared" ref="N44" si="109">SUM(N45:N47)</f>
        <v>0</v>
      </c>
      <c r="O44" s="298">
        <f>ROUND((IFERROR((I44*1000)/(C44/1000),0)),3)</f>
        <v>0</v>
      </c>
      <c r="P44" s="298">
        <f t="shared" ref="P44:T44" si="110">ROUND((IFERROR((J44*1000)/(D44/1000),0)),3)</f>
        <v>0</v>
      </c>
      <c r="Q44" s="298">
        <f t="shared" si="110"/>
        <v>0</v>
      </c>
      <c r="R44" s="298">
        <f t="shared" si="110"/>
        <v>0</v>
      </c>
      <c r="S44" s="298">
        <f t="shared" si="110"/>
        <v>0</v>
      </c>
      <c r="T44" s="298">
        <f t="shared" si="110"/>
        <v>0</v>
      </c>
      <c r="U44" s="4422"/>
      <c r="V44" s="4438">
        <f t="shared" si="98"/>
        <v>0</v>
      </c>
      <c r="W44" s="4438">
        <f t="shared" si="87"/>
        <v>0</v>
      </c>
      <c r="X44" s="4438">
        <f t="shared" si="88"/>
        <v>0</v>
      </c>
      <c r="Y44" s="4438">
        <f t="shared" si="89"/>
        <v>0</v>
      </c>
      <c r="Z44" s="4438">
        <f t="shared" si="90"/>
        <v>0</v>
      </c>
      <c r="AA44" s="4438">
        <f t="shared" si="91"/>
        <v>0</v>
      </c>
      <c r="AB44" s="4437">
        <f t="shared" si="92"/>
        <v>0</v>
      </c>
      <c r="AC44" s="4437">
        <f t="shared" si="93"/>
        <v>0</v>
      </c>
      <c r="AD44" s="4437">
        <f t="shared" si="94"/>
        <v>0</v>
      </c>
      <c r="AE44" s="4437">
        <f t="shared" si="95"/>
        <v>0</v>
      </c>
      <c r="AF44" s="4437">
        <f t="shared" si="96"/>
        <v>0</v>
      </c>
      <c r="AG44" s="4437">
        <f t="shared" si="97"/>
        <v>0</v>
      </c>
    </row>
    <row r="45" spans="1:33" ht="22.5" customHeight="1">
      <c r="A45" s="3295" t="s">
        <v>566</v>
      </c>
      <c r="B45" s="4392"/>
      <c r="C45" s="620"/>
      <c r="D45" s="621"/>
      <c r="E45" s="620"/>
      <c r="F45" s="621"/>
      <c r="G45" s="621"/>
      <c r="H45" s="620"/>
      <c r="I45" s="1968">
        <f t="shared" ref="I45:N47" si="111">(C45/1000)*(O45/1000)</f>
        <v>0</v>
      </c>
      <c r="J45" s="1968">
        <f t="shared" si="111"/>
        <v>0</v>
      </c>
      <c r="K45" s="1970">
        <f t="shared" si="111"/>
        <v>0</v>
      </c>
      <c r="L45" s="1968">
        <f t="shared" si="111"/>
        <v>0</v>
      </c>
      <c r="M45" s="1968">
        <f t="shared" si="111"/>
        <v>0</v>
      </c>
      <c r="N45" s="1970">
        <f t="shared" si="111"/>
        <v>0</v>
      </c>
      <c r="O45" s="4391"/>
      <c r="P45" s="4391"/>
      <c r="Q45" s="4391"/>
      <c r="R45" s="4391"/>
      <c r="S45" s="4391"/>
      <c r="T45" s="4391"/>
      <c r="U45" s="4422"/>
      <c r="V45" s="4438">
        <f t="shared" si="98"/>
        <v>0</v>
      </c>
      <c r="W45" s="4438">
        <f t="shared" si="87"/>
        <v>0</v>
      </c>
      <c r="X45" s="4438">
        <f t="shared" si="88"/>
        <v>0</v>
      </c>
      <c r="Y45" s="4438">
        <f t="shared" si="89"/>
        <v>0</v>
      </c>
      <c r="Z45" s="4438">
        <f t="shared" si="90"/>
        <v>0</v>
      </c>
      <c r="AA45" s="4438">
        <f t="shared" si="91"/>
        <v>0</v>
      </c>
      <c r="AB45" s="4437">
        <f t="shared" si="92"/>
        <v>0</v>
      </c>
      <c r="AC45" s="4437">
        <f t="shared" si="93"/>
        <v>0</v>
      </c>
      <c r="AD45" s="4437">
        <f t="shared" si="94"/>
        <v>0</v>
      </c>
      <c r="AE45" s="4437">
        <f t="shared" si="95"/>
        <v>0</v>
      </c>
      <c r="AF45" s="4437">
        <f t="shared" si="96"/>
        <v>0</v>
      </c>
      <c r="AG45" s="4437">
        <f t="shared" si="97"/>
        <v>0</v>
      </c>
    </row>
    <row r="46" spans="1:33" ht="22.5" customHeight="1">
      <c r="A46" s="3295" t="s">
        <v>567</v>
      </c>
      <c r="B46" s="4392"/>
      <c r="C46" s="620"/>
      <c r="D46" s="621"/>
      <c r="E46" s="620"/>
      <c r="F46" s="621"/>
      <c r="G46" s="621"/>
      <c r="H46" s="620"/>
      <c r="I46" s="1968">
        <f t="shared" si="111"/>
        <v>0</v>
      </c>
      <c r="J46" s="1968">
        <f t="shared" si="111"/>
        <v>0</v>
      </c>
      <c r="K46" s="1970">
        <f t="shared" si="111"/>
        <v>0</v>
      </c>
      <c r="L46" s="1968">
        <f t="shared" si="111"/>
        <v>0</v>
      </c>
      <c r="M46" s="1968">
        <f t="shared" si="111"/>
        <v>0</v>
      </c>
      <c r="N46" s="1970">
        <f t="shared" si="111"/>
        <v>0</v>
      </c>
      <c r="O46" s="4391"/>
      <c r="P46" s="4391"/>
      <c r="Q46" s="4391"/>
      <c r="R46" s="4391"/>
      <c r="S46" s="4391"/>
      <c r="T46" s="4391"/>
      <c r="U46" s="4422"/>
      <c r="V46" s="4438">
        <f t="shared" si="98"/>
        <v>0</v>
      </c>
      <c r="W46" s="4438">
        <f t="shared" si="87"/>
        <v>0</v>
      </c>
      <c r="X46" s="4438">
        <f t="shared" si="88"/>
        <v>0</v>
      </c>
      <c r="Y46" s="4438">
        <f t="shared" si="89"/>
        <v>0</v>
      </c>
      <c r="Z46" s="4438">
        <f t="shared" si="90"/>
        <v>0</v>
      </c>
      <c r="AA46" s="4438">
        <f t="shared" si="91"/>
        <v>0</v>
      </c>
      <c r="AB46" s="4437">
        <f t="shared" si="92"/>
        <v>0</v>
      </c>
      <c r="AC46" s="4437">
        <f t="shared" si="93"/>
        <v>0</v>
      </c>
      <c r="AD46" s="4437">
        <f t="shared" si="94"/>
        <v>0</v>
      </c>
      <c r="AE46" s="4437">
        <f t="shared" si="95"/>
        <v>0</v>
      </c>
      <c r="AF46" s="4437">
        <f t="shared" si="96"/>
        <v>0</v>
      </c>
      <c r="AG46" s="4437">
        <f t="shared" si="97"/>
        <v>0</v>
      </c>
    </row>
    <row r="47" spans="1:33" ht="22.5" customHeight="1">
      <c r="A47" s="3295" t="s">
        <v>1078</v>
      </c>
      <c r="B47" s="4392"/>
      <c r="C47" s="620"/>
      <c r="D47" s="621"/>
      <c r="E47" s="620"/>
      <c r="F47" s="621"/>
      <c r="G47" s="621"/>
      <c r="H47" s="620"/>
      <c r="I47" s="1968">
        <f t="shared" si="111"/>
        <v>0</v>
      </c>
      <c r="J47" s="1968">
        <f t="shared" si="111"/>
        <v>0</v>
      </c>
      <c r="K47" s="1970">
        <f t="shared" si="111"/>
        <v>0</v>
      </c>
      <c r="L47" s="1968">
        <f t="shared" si="111"/>
        <v>0</v>
      </c>
      <c r="M47" s="1968">
        <f t="shared" si="111"/>
        <v>0</v>
      </c>
      <c r="N47" s="1970">
        <f t="shared" si="111"/>
        <v>0</v>
      </c>
      <c r="O47" s="4391"/>
      <c r="P47" s="4391"/>
      <c r="Q47" s="4391"/>
      <c r="R47" s="4391"/>
      <c r="S47" s="4391"/>
      <c r="T47" s="4391"/>
      <c r="U47" s="4422"/>
      <c r="V47" s="4438">
        <f t="shared" si="98"/>
        <v>0</v>
      </c>
      <c r="W47" s="4438">
        <f t="shared" si="87"/>
        <v>0</v>
      </c>
      <c r="X47" s="4438">
        <f t="shared" si="88"/>
        <v>0</v>
      </c>
      <c r="Y47" s="4438">
        <f t="shared" si="89"/>
        <v>0</v>
      </c>
      <c r="Z47" s="4438">
        <f t="shared" si="90"/>
        <v>0</v>
      </c>
      <c r="AA47" s="4438">
        <f t="shared" si="91"/>
        <v>0</v>
      </c>
      <c r="AB47" s="4437">
        <f t="shared" si="92"/>
        <v>0</v>
      </c>
      <c r="AC47" s="4437">
        <f t="shared" si="93"/>
        <v>0</v>
      </c>
      <c r="AD47" s="4437">
        <f t="shared" si="94"/>
        <v>0</v>
      </c>
      <c r="AE47" s="4437">
        <f t="shared" si="95"/>
        <v>0</v>
      </c>
      <c r="AF47" s="4437">
        <f t="shared" si="96"/>
        <v>0</v>
      </c>
      <c r="AG47" s="4437">
        <f t="shared" si="97"/>
        <v>0</v>
      </c>
    </row>
    <row r="48" spans="1:33" ht="22.5" hidden="1" customHeight="1">
      <c r="A48" s="5031"/>
      <c r="B48" s="5032"/>
      <c r="C48" s="5032"/>
      <c r="D48" s="5032"/>
      <c r="E48" s="5032"/>
      <c r="F48" s="5032"/>
      <c r="G48" s="5032"/>
      <c r="H48" s="5032"/>
      <c r="I48" s="5032"/>
      <c r="J48" s="5032"/>
      <c r="K48" s="5032"/>
      <c r="L48" s="5032"/>
      <c r="M48" s="5032"/>
      <c r="N48" s="5032"/>
      <c r="O48" s="5032"/>
      <c r="P48" s="5032"/>
      <c r="Q48" s="5032"/>
      <c r="R48" s="5032"/>
      <c r="S48" s="5032"/>
      <c r="T48" s="5033"/>
      <c r="U48" s="4422"/>
      <c r="V48" s="4438">
        <f t="shared" si="98"/>
        <v>0</v>
      </c>
      <c r="W48" s="4438">
        <f t="shared" si="87"/>
        <v>0</v>
      </c>
      <c r="X48" s="4438">
        <f t="shared" si="88"/>
        <v>0</v>
      </c>
      <c r="Y48" s="4438">
        <f t="shared" si="89"/>
        <v>0</v>
      </c>
      <c r="Z48" s="4438">
        <f t="shared" si="90"/>
        <v>0</v>
      </c>
      <c r="AA48" s="4438">
        <f t="shared" si="91"/>
        <v>0</v>
      </c>
      <c r="AB48" s="4437">
        <f t="shared" si="92"/>
        <v>0</v>
      </c>
      <c r="AC48" s="4437">
        <f t="shared" si="93"/>
        <v>0</v>
      </c>
      <c r="AD48" s="4437">
        <f t="shared" si="94"/>
        <v>0</v>
      </c>
      <c r="AE48" s="4437">
        <f t="shared" si="95"/>
        <v>0</v>
      </c>
      <c r="AF48" s="4437">
        <f t="shared" si="96"/>
        <v>0</v>
      </c>
      <c r="AG48" s="4437">
        <f t="shared" si="97"/>
        <v>0</v>
      </c>
    </row>
    <row r="49" spans="1:33" ht="24.75" customHeight="1">
      <c r="A49" s="3759">
        <v>5</v>
      </c>
      <c r="B49" s="305" t="s">
        <v>1757</v>
      </c>
      <c r="C49" s="622">
        <f>C41+C42+C43+C44</f>
        <v>2753172.4</v>
      </c>
      <c r="D49" s="622">
        <f t="shared" ref="D49:H49" si="112">D41+D42+D43+D44</f>
        <v>2753172.4</v>
      </c>
      <c r="E49" s="622">
        <f t="shared" si="112"/>
        <v>2753172.4</v>
      </c>
      <c r="F49" s="622">
        <f t="shared" si="112"/>
        <v>2753172.4</v>
      </c>
      <c r="G49" s="622">
        <f t="shared" si="112"/>
        <v>3198460</v>
      </c>
      <c r="H49" s="622">
        <f t="shared" si="112"/>
        <v>3198460</v>
      </c>
      <c r="I49" s="622">
        <f>I41+I42+I43+I44</f>
        <v>588.53740443079994</v>
      </c>
      <c r="J49" s="622">
        <f t="shared" ref="J49:N49" si="113">J41+J42+J43+J44</f>
        <v>687.30746428079999</v>
      </c>
      <c r="K49" s="622">
        <f t="shared" si="113"/>
        <v>687.30746428079999</v>
      </c>
      <c r="L49" s="622">
        <f t="shared" si="113"/>
        <v>687.30746428079999</v>
      </c>
      <c r="M49" s="622">
        <f t="shared" si="113"/>
        <v>798.46995132000006</v>
      </c>
      <c r="N49" s="622">
        <f t="shared" si="113"/>
        <v>798.46995132000006</v>
      </c>
      <c r="O49" s="299">
        <f t="shared" ref="O49:T49" si="114">IFERROR((I49*1000)/(C49/1000),0)</f>
        <v>213.76699999999997</v>
      </c>
      <c r="P49" s="299">
        <f t="shared" si="114"/>
        <v>249.642</v>
      </c>
      <c r="Q49" s="299">
        <f t="shared" si="114"/>
        <v>249.642</v>
      </c>
      <c r="R49" s="299">
        <f t="shared" si="114"/>
        <v>249.642</v>
      </c>
      <c r="S49" s="299">
        <f t="shared" si="114"/>
        <v>249.64200000000002</v>
      </c>
      <c r="T49" s="299">
        <f t="shared" si="114"/>
        <v>249.64200000000002</v>
      </c>
      <c r="U49" s="4422"/>
      <c r="V49" s="4438">
        <f t="shared" si="98"/>
        <v>300.91439666576338</v>
      </c>
      <c r="W49" s="4438">
        <f t="shared" si="87"/>
        <v>351.41472637233295</v>
      </c>
      <c r="X49" s="4438">
        <f t="shared" si="88"/>
        <v>351.41472637233295</v>
      </c>
      <c r="Y49" s="4438">
        <f t="shared" si="89"/>
        <v>351.41472637233295</v>
      </c>
      <c r="Z49" s="4438">
        <f t="shared" si="90"/>
        <v>408.25120348905585</v>
      </c>
      <c r="AA49" s="4438">
        <f t="shared" si="91"/>
        <v>408.25120348905585</v>
      </c>
      <c r="AB49" s="4437">
        <f t="shared" si="92"/>
        <v>109.29733156767202</v>
      </c>
      <c r="AC49" s="4437">
        <f t="shared" si="93"/>
        <v>127.63992780558638</v>
      </c>
      <c r="AD49" s="4437">
        <f t="shared" si="94"/>
        <v>127.63992780558638</v>
      </c>
      <c r="AE49" s="4437">
        <f t="shared" si="95"/>
        <v>127.63992780558638</v>
      </c>
      <c r="AF49" s="4437">
        <f t="shared" si="96"/>
        <v>127.6399278055864</v>
      </c>
      <c r="AG49" s="4437">
        <f t="shared" si="97"/>
        <v>127.6399278055864</v>
      </c>
    </row>
    <row r="50" spans="1:33" ht="21.75" customHeight="1">
      <c r="A50" s="3760">
        <v>6</v>
      </c>
      <c r="B50" s="98" t="s">
        <v>350</v>
      </c>
      <c r="C50" s="623"/>
      <c r="D50" s="624">
        <f>D49-C49</f>
        <v>0</v>
      </c>
      <c r="E50" s="624">
        <f>E49-D49</f>
        <v>0</v>
      </c>
      <c r="F50" s="624">
        <f t="shared" ref="F50:H50" si="115">F49-E49</f>
        <v>0</v>
      </c>
      <c r="G50" s="624">
        <f t="shared" si="115"/>
        <v>445287.60000000009</v>
      </c>
      <c r="H50" s="624">
        <f t="shared" si="115"/>
        <v>0</v>
      </c>
      <c r="I50" s="623"/>
      <c r="J50" s="624">
        <f t="shared" ref="J50:N50" si="116">J49-I49</f>
        <v>98.770059850000052</v>
      </c>
      <c r="K50" s="624">
        <f t="shared" si="116"/>
        <v>0</v>
      </c>
      <c r="L50" s="624">
        <f t="shared" si="116"/>
        <v>0</v>
      </c>
      <c r="M50" s="624">
        <f t="shared" si="116"/>
        <v>111.16248703920007</v>
      </c>
      <c r="N50" s="624">
        <f t="shared" si="116"/>
        <v>0</v>
      </c>
      <c r="O50" s="300"/>
      <c r="P50" s="301">
        <f t="shared" ref="P50:T50" si="117">P49-O49</f>
        <v>35.875000000000028</v>
      </c>
      <c r="Q50" s="301">
        <f t="shared" si="117"/>
        <v>0</v>
      </c>
      <c r="R50" s="301">
        <f t="shared" si="117"/>
        <v>0</v>
      </c>
      <c r="S50" s="301">
        <f t="shared" si="117"/>
        <v>0</v>
      </c>
      <c r="T50" s="301">
        <f t="shared" si="117"/>
        <v>0</v>
      </c>
      <c r="U50" s="4422"/>
      <c r="V50" s="4508"/>
      <c r="W50" s="4459">
        <f>W49-V49</f>
        <v>50.500329706569573</v>
      </c>
      <c r="X50" s="4459">
        <f t="shared" ref="X50" si="118">X49-W49</f>
        <v>0</v>
      </c>
      <c r="Y50" s="4459">
        <f t="shared" ref="Y50" si="119">Y49-X49</f>
        <v>0</v>
      </c>
      <c r="Z50" s="4459">
        <f t="shared" ref="Z50" si="120">Z49-Y49</f>
        <v>56.836477116722904</v>
      </c>
      <c r="AA50" s="4459">
        <f t="shared" ref="AA50" si="121">AA49-Z49</f>
        <v>0</v>
      </c>
      <c r="AB50" s="4508"/>
      <c r="AC50" s="4459">
        <f>AC49-AB49</f>
        <v>18.342596237914364</v>
      </c>
      <c r="AD50" s="4459">
        <f t="shared" ref="AD50" si="122">AD49-AC49</f>
        <v>0</v>
      </c>
      <c r="AE50" s="4459">
        <f t="shared" ref="AE50" si="123">AE49-AD49</f>
        <v>0</v>
      </c>
      <c r="AF50" s="4459">
        <f t="shared" ref="AF50" si="124">AF49-AE49</f>
        <v>0</v>
      </c>
      <c r="AG50" s="4459">
        <f t="shared" ref="AG50" si="125">AG49-AF49</f>
        <v>0</v>
      </c>
    </row>
    <row r="51" spans="1:33" ht="25.5">
      <c r="A51" s="3762">
        <v>7</v>
      </c>
      <c r="B51" s="304" t="s">
        <v>1748</v>
      </c>
      <c r="C51" s="302">
        <f>IFERROR(C49/'2. Променливи'!E66,0)</f>
        <v>0.19565790309648862</v>
      </c>
      <c r="D51" s="302">
        <f>IFERROR(D49/'2. Променливи'!F66,0)</f>
        <v>0.19565790309648862</v>
      </c>
      <c r="E51" s="302">
        <f>IFERROR(E49/'2. Променливи'!G66,0)</f>
        <v>0.19565790309648862</v>
      </c>
      <c r="F51" s="302">
        <f>IFERROR(F49/'2. Променливи'!H66,0)</f>
        <v>0.19565790309648862</v>
      </c>
      <c r="G51" s="302">
        <f>IFERROR(G49/'2. Променливи'!I66,0)</f>
        <v>0.1820269099292155</v>
      </c>
      <c r="H51" s="302">
        <f>IFERROR(H49/'2. Променливи'!J66,0)</f>
        <v>0.1820269099292155</v>
      </c>
      <c r="I51" s="300"/>
      <c r="J51" s="300"/>
      <c r="K51" s="300"/>
      <c r="L51" s="300"/>
      <c r="M51" s="300"/>
      <c r="N51" s="300"/>
      <c r="O51" s="300"/>
      <c r="P51" s="300"/>
      <c r="Q51" s="300"/>
      <c r="R51" s="300"/>
      <c r="S51" s="300"/>
      <c r="T51" s="300"/>
      <c r="U51" s="4422"/>
    </row>
    <row r="52" spans="1:33" ht="26.25" thickBot="1">
      <c r="A52" s="3763">
        <v>8</v>
      </c>
      <c r="B52" s="3764" t="s">
        <v>1747</v>
      </c>
      <c r="C52" s="3765">
        <f>IFERROR(C49/'4. Отчет и прогн. потребление'!D53,0)</f>
        <v>0.62971453508797604</v>
      </c>
      <c r="D52" s="3765">
        <f>IFERROR(D49/'4. Отчет и прогн. потребление'!E53,0)</f>
        <v>0.6166312481144427</v>
      </c>
      <c r="E52" s="3765">
        <f>IFERROR(E49/'4. Отчет и прогн. потребление'!F53,0)</f>
        <v>0.61611827905589855</v>
      </c>
      <c r="F52" s="3765">
        <f>IFERROR(F49/'4. Отчет и прогн. потребление'!G53,0)</f>
        <v>0.62431425080851777</v>
      </c>
      <c r="G52" s="3765">
        <f>IFERROR(G49/'4. Отчет и прогн. потребление'!H53,0)</f>
        <v>0.73506675089761708</v>
      </c>
      <c r="H52" s="3765">
        <f>IFERROR(H49/'4. Отчет и прогн. потребление'!I53,0)</f>
        <v>0.74377661980620735</v>
      </c>
      <c r="I52" s="413"/>
      <c r="J52" s="413"/>
      <c r="K52" s="413"/>
      <c r="L52" s="413"/>
      <c r="M52" s="413"/>
      <c r="N52" s="413"/>
      <c r="O52" s="413"/>
      <c r="P52" s="413"/>
      <c r="Q52" s="413"/>
      <c r="R52" s="413"/>
      <c r="S52" s="413"/>
      <c r="T52" s="413"/>
      <c r="U52" s="4422"/>
    </row>
    <row r="53" spans="1:33" s="143" customFormat="1" ht="19.5" customHeight="1" thickBot="1">
      <c r="B53" s="66"/>
      <c r="C53" s="303"/>
      <c r="D53" s="144"/>
      <c r="E53" s="144"/>
      <c r="F53" s="144"/>
      <c r="G53" s="144"/>
      <c r="H53" s="144"/>
      <c r="I53" s="303"/>
      <c r="J53" s="144"/>
      <c r="K53" s="144"/>
      <c r="L53" s="144"/>
      <c r="M53" s="144"/>
      <c r="N53" s="144"/>
      <c r="O53" s="303"/>
      <c r="P53" s="144"/>
      <c r="Q53" s="144"/>
      <c r="R53" s="144"/>
      <c r="S53" s="144"/>
      <c r="T53" s="144"/>
      <c r="U53" s="144"/>
      <c r="V53" s="144"/>
      <c r="W53" s="144"/>
      <c r="X53" s="144"/>
      <c r="Y53" s="144"/>
    </row>
    <row r="54" spans="1:33" s="143" customFormat="1" ht="23.25" customHeight="1">
      <c r="A54" s="5022" t="s">
        <v>1</v>
      </c>
      <c r="B54" s="5025" t="s">
        <v>1754</v>
      </c>
      <c r="C54" s="5025" t="s">
        <v>1029</v>
      </c>
      <c r="D54" s="5025"/>
      <c r="E54" s="5025"/>
      <c r="F54" s="5025"/>
      <c r="G54" s="5025"/>
      <c r="H54" s="5025"/>
      <c r="I54" s="5025"/>
      <c r="J54" s="5025"/>
      <c r="K54" s="5025"/>
      <c r="L54" s="5025"/>
      <c r="M54" s="5025"/>
      <c r="N54" s="5025"/>
      <c r="O54" s="5025"/>
      <c r="P54" s="5025"/>
      <c r="Q54" s="5025"/>
      <c r="R54" s="5025"/>
      <c r="S54" s="5025"/>
      <c r="T54" s="5025"/>
      <c r="U54" s="4422"/>
      <c r="V54" s="5016" t="str">
        <f>+C54</f>
        <v>Доставяне на вода с непитейни качества</v>
      </c>
      <c r="W54" s="5016"/>
      <c r="X54" s="5016"/>
      <c r="Y54" s="5016"/>
      <c r="Z54" s="5016"/>
      <c r="AA54" s="5016"/>
      <c r="AB54" s="5016"/>
      <c r="AC54" s="5016"/>
      <c r="AD54" s="5016"/>
      <c r="AE54" s="5016"/>
      <c r="AF54" s="5016"/>
      <c r="AG54" s="5016"/>
    </row>
    <row r="55" spans="1:33" s="143" customFormat="1" ht="23.25" customHeight="1">
      <c r="A55" s="5023"/>
      <c r="B55" s="5026"/>
      <c r="C55" s="5028" t="s">
        <v>348</v>
      </c>
      <c r="D55" s="5028"/>
      <c r="E55" s="5028"/>
      <c r="F55" s="5028"/>
      <c r="G55" s="5028"/>
      <c r="H55" s="5028"/>
      <c r="I55" s="5028" t="s">
        <v>911</v>
      </c>
      <c r="J55" s="5028"/>
      <c r="K55" s="5028"/>
      <c r="L55" s="5028"/>
      <c r="M55" s="5028"/>
      <c r="N55" s="5028"/>
      <c r="O55" s="5045" t="s">
        <v>1766</v>
      </c>
      <c r="P55" s="5046"/>
      <c r="Q55" s="5046"/>
      <c r="R55" s="5046"/>
      <c r="S55" s="5046"/>
      <c r="T55" s="5046"/>
      <c r="U55" s="4422"/>
      <c r="V55" s="5017" t="s">
        <v>1880</v>
      </c>
      <c r="W55" s="5017"/>
      <c r="X55" s="5017"/>
      <c r="Y55" s="5017"/>
      <c r="Z55" s="5017"/>
      <c r="AA55" s="5017"/>
      <c r="AB55" s="5017" t="s">
        <v>1881</v>
      </c>
      <c r="AC55" s="5017"/>
      <c r="AD55" s="5017"/>
      <c r="AE55" s="5017"/>
      <c r="AF55" s="5017"/>
      <c r="AG55" s="5017"/>
    </row>
    <row r="56" spans="1:33" s="143" customFormat="1" ht="23.25" customHeight="1" thickBot="1">
      <c r="A56" s="5024"/>
      <c r="B56" s="5027"/>
      <c r="C56" s="151" t="str">
        <f>'Приложение '!C12</f>
        <v>2024 г.</v>
      </c>
      <c r="D56" s="151" t="str">
        <f>'Приложение '!$C14</f>
        <v>2027 г.</v>
      </c>
      <c r="E56" s="151" t="str">
        <f>'Приложение '!$C15</f>
        <v>2028 г.</v>
      </c>
      <c r="F56" s="151" t="str">
        <f>'Приложение '!$C16</f>
        <v>2029 г.</v>
      </c>
      <c r="G56" s="151" t="str">
        <f>'Приложение '!$C17</f>
        <v>2030 г.</v>
      </c>
      <c r="H56" s="151" t="str">
        <f>'Приложение '!$C18</f>
        <v>2031 г.</v>
      </c>
      <c r="I56" s="151" t="str">
        <f t="shared" ref="I56:T56" si="126">C56</f>
        <v>2024 г.</v>
      </c>
      <c r="J56" s="151" t="str">
        <f t="shared" si="126"/>
        <v>2027 г.</v>
      </c>
      <c r="K56" s="151" t="str">
        <f t="shared" si="126"/>
        <v>2028 г.</v>
      </c>
      <c r="L56" s="151" t="str">
        <f t="shared" si="126"/>
        <v>2029 г.</v>
      </c>
      <c r="M56" s="151" t="str">
        <f t="shared" si="126"/>
        <v>2030 г.</v>
      </c>
      <c r="N56" s="151" t="str">
        <f t="shared" si="126"/>
        <v>2031 г.</v>
      </c>
      <c r="O56" s="151" t="str">
        <f t="shared" si="126"/>
        <v>2024 г.</v>
      </c>
      <c r="P56" s="151" t="str">
        <f t="shared" si="126"/>
        <v>2027 г.</v>
      </c>
      <c r="Q56" s="151" t="str">
        <f t="shared" si="126"/>
        <v>2028 г.</v>
      </c>
      <c r="R56" s="151" t="str">
        <f t="shared" si="126"/>
        <v>2029 г.</v>
      </c>
      <c r="S56" s="151" t="str">
        <f t="shared" si="126"/>
        <v>2030 г.</v>
      </c>
      <c r="T56" s="151" t="str">
        <f t="shared" si="126"/>
        <v>2031 г.</v>
      </c>
      <c r="U56" s="4422"/>
      <c r="V56" s="4436" t="str">
        <f>+I56</f>
        <v>2024 г.</v>
      </c>
      <c r="W56" s="4436" t="str">
        <f t="shared" ref="W56" si="127">+J56</f>
        <v>2027 г.</v>
      </c>
      <c r="X56" s="4436" t="str">
        <f t="shared" ref="X56" si="128">+K56</f>
        <v>2028 г.</v>
      </c>
      <c r="Y56" s="4436" t="str">
        <f t="shared" ref="Y56" si="129">+L56</f>
        <v>2029 г.</v>
      </c>
      <c r="Z56" s="4436" t="str">
        <f t="shared" ref="Z56" si="130">+M56</f>
        <v>2030 г.</v>
      </c>
      <c r="AA56" s="4436" t="str">
        <f t="shared" ref="AA56" si="131">+N56</f>
        <v>2031 г.</v>
      </c>
      <c r="AB56" s="4436" t="str">
        <f t="shared" ref="AB56" si="132">+O56</f>
        <v>2024 г.</v>
      </c>
      <c r="AC56" s="4436" t="str">
        <f t="shared" ref="AC56" si="133">+P56</f>
        <v>2027 г.</v>
      </c>
      <c r="AD56" s="4436" t="str">
        <f t="shared" ref="AD56" si="134">+Q56</f>
        <v>2028 г.</v>
      </c>
      <c r="AE56" s="4436" t="str">
        <f t="shared" ref="AE56" si="135">+R56</f>
        <v>2029 г.</v>
      </c>
      <c r="AF56" s="4436" t="str">
        <f t="shared" ref="AF56" si="136">+S56</f>
        <v>2030 г.</v>
      </c>
      <c r="AG56" s="4436" t="str">
        <f t="shared" ref="AG56" si="137">+T56</f>
        <v>2031 г.</v>
      </c>
    </row>
    <row r="57" spans="1:33" s="143" customFormat="1" ht="23.25" customHeight="1">
      <c r="A57" s="3772">
        <v>1</v>
      </c>
      <c r="B57" s="3773" t="s">
        <v>1753</v>
      </c>
      <c r="C57" s="3777"/>
      <c r="D57" s="3778"/>
      <c r="E57" s="3778"/>
      <c r="F57" s="3778"/>
      <c r="G57" s="3778"/>
      <c r="H57" s="3778"/>
      <c r="I57" s="4373">
        <f t="shared" ref="I57:N59" si="138">(C57/1000)*(O57/1000)</f>
        <v>0</v>
      </c>
      <c r="J57" s="3779">
        <f t="shared" si="138"/>
        <v>0</v>
      </c>
      <c r="K57" s="3779">
        <f t="shared" si="138"/>
        <v>0</v>
      </c>
      <c r="L57" s="3779">
        <f t="shared" si="138"/>
        <v>0</v>
      </c>
      <c r="M57" s="3779">
        <f t="shared" si="138"/>
        <v>0</v>
      </c>
      <c r="N57" s="3779">
        <f t="shared" si="138"/>
        <v>0</v>
      </c>
      <c r="O57" s="4390"/>
      <c r="P57" s="4390"/>
      <c r="Q57" s="4390"/>
      <c r="R57" s="4390"/>
      <c r="S57" s="4390"/>
      <c r="T57" s="4390"/>
      <c r="U57" s="4422"/>
      <c r="V57" s="4438">
        <f>IFERROR(I57/$C$1,0)</f>
        <v>0</v>
      </c>
      <c r="W57" s="4438">
        <f t="shared" ref="W57:W65" si="139">IFERROR(J57/$C$1,0)</f>
        <v>0</v>
      </c>
      <c r="X57" s="4438">
        <f t="shared" ref="X57:X65" si="140">IFERROR(K57/$C$1,0)</f>
        <v>0</v>
      </c>
      <c r="Y57" s="4438">
        <f t="shared" ref="Y57:Y65" si="141">IFERROR(L57/$C$1,0)</f>
        <v>0</v>
      </c>
      <c r="Z57" s="4438">
        <f t="shared" ref="Z57:Z65" si="142">IFERROR(M57/$C$1,0)</f>
        <v>0</v>
      </c>
      <c r="AA57" s="4438">
        <f t="shared" ref="AA57:AA65" si="143">IFERROR(N57/$C$1,0)</f>
        <v>0</v>
      </c>
      <c r="AB57" s="4437">
        <f t="shared" ref="AB57:AB65" si="144">IFERROR(O57/$C$1,0)</f>
        <v>0</v>
      </c>
      <c r="AC57" s="4437">
        <f t="shared" ref="AC57:AC65" si="145">IFERROR(P57/$C$1,0)</f>
        <v>0</v>
      </c>
      <c r="AD57" s="4437">
        <f t="shared" ref="AD57:AD65" si="146">IFERROR(Q57/$C$1,0)</f>
        <v>0</v>
      </c>
      <c r="AE57" s="4437">
        <f t="shared" ref="AE57:AE65" si="147">IFERROR(R57/$C$1,0)</f>
        <v>0</v>
      </c>
      <c r="AF57" s="4437">
        <f t="shared" ref="AF57:AF65" si="148">IFERROR(S57/$C$1,0)</f>
        <v>0</v>
      </c>
      <c r="AG57" s="4437">
        <f t="shared" ref="AG57:AG65" si="149">IFERROR(T57/$C$1,0)</f>
        <v>0</v>
      </c>
    </row>
    <row r="58" spans="1:33" s="143" customFormat="1" ht="23.25" customHeight="1">
      <c r="A58" s="3295">
        <v>2</v>
      </c>
      <c r="B58" s="98" t="s">
        <v>1755</v>
      </c>
      <c r="C58" s="620"/>
      <c r="D58" s="621"/>
      <c r="E58" s="620"/>
      <c r="F58" s="621"/>
      <c r="G58" s="621"/>
      <c r="H58" s="620"/>
      <c r="I58" s="1970">
        <f t="shared" si="138"/>
        <v>0</v>
      </c>
      <c r="J58" s="1970">
        <f t="shared" si="138"/>
        <v>0</v>
      </c>
      <c r="K58" s="1970">
        <f t="shared" si="138"/>
        <v>0</v>
      </c>
      <c r="L58" s="1970">
        <f t="shared" si="138"/>
        <v>0</v>
      </c>
      <c r="M58" s="1970">
        <f t="shared" si="138"/>
        <v>0</v>
      </c>
      <c r="N58" s="1970">
        <f t="shared" si="138"/>
        <v>0</v>
      </c>
      <c r="O58" s="4391"/>
      <c r="P58" s="4391"/>
      <c r="Q58" s="4391"/>
      <c r="R58" s="4391"/>
      <c r="S58" s="4391"/>
      <c r="T58" s="4391"/>
      <c r="U58" s="4422"/>
      <c r="V58" s="4438">
        <f t="shared" ref="V58:V65" si="150">IFERROR(I58/$C$1,0)</f>
        <v>0</v>
      </c>
      <c r="W58" s="4438">
        <f t="shared" si="139"/>
        <v>0</v>
      </c>
      <c r="X58" s="4438">
        <f t="shared" si="140"/>
        <v>0</v>
      </c>
      <c r="Y58" s="4438">
        <f t="shared" si="141"/>
        <v>0</v>
      </c>
      <c r="Z58" s="4438">
        <f t="shared" si="142"/>
        <v>0</v>
      </c>
      <c r="AA58" s="4438">
        <f t="shared" si="143"/>
        <v>0</v>
      </c>
      <c r="AB58" s="4437">
        <f t="shared" si="144"/>
        <v>0</v>
      </c>
      <c r="AC58" s="4437">
        <f t="shared" si="145"/>
        <v>0</v>
      </c>
      <c r="AD58" s="4437">
        <f t="shared" si="146"/>
        <v>0</v>
      </c>
      <c r="AE58" s="4437">
        <f t="shared" si="147"/>
        <v>0</v>
      </c>
      <c r="AF58" s="4437">
        <f t="shared" si="148"/>
        <v>0</v>
      </c>
      <c r="AG58" s="4437">
        <f t="shared" si="149"/>
        <v>0</v>
      </c>
    </row>
    <row r="59" spans="1:33" s="143" customFormat="1" ht="23.25" customHeight="1">
      <c r="A59" s="3295">
        <v>3</v>
      </c>
      <c r="B59" s="98" t="s">
        <v>1756</v>
      </c>
      <c r="C59" s="620"/>
      <c r="D59" s="621"/>
      <c r="E59" s="620"/>
      <c r="F59" s="621"/>
      <c r="G59" s="621"/>
      <c r="H59" s="620"/>
      <c r="I59" s="1970">
        <f t="shared" si="138"/>
        <v>0</v>
      </c>
      <c r="J59" s="1968">
        <f t="shared" si="138"/>
        <v>0</v>
      </c>
      <c r="K59" s="1970">
        <f t="shared" si="138"/>
        <v>0</v>
      </c>
      <c r="L59" s="1968">
        <f t="shared" si="138"/>
        <v>0</v>
      </c>
      <c r="M59" s="1968">
        <f t="shared" si="138"/>
        <v>0</v>
      </c>
      <c r="N59" s="1970">
        <f t="shared" si="138"/>
        <v>0</v>
      </c>
      <c r="O59" s="4391"/>
      <c r="P59" s="4391"/>
      <c r="Q59" s="4391"/>
      <c r="R59" s="4391"/>
      <c r="S59" s="4391"/>
      <c r="T59" s="4391"/>
      <c r="U59" s="4422"/>
      <c r="V59" s="4438">
        <f t="shared" si="150"/>
        <v>0</v>
      </c>
      <c r="W59" s="4438">
        <f t="shared" si="139"/>
        <v>0</v>
      </c>
      <c r="X59" s="4438">
        <f t="shared" si="140"/>
        <v>0</v>
      </c>
      <c r="Y59" s="4438">
        <f t="shared" si="141"/>
        <v>0</v>
      </c>
      <c r="Z59" s="4438">
        <f t="shared" si="142"/>
        <v>0</v>
      </c>
      <c r="AA59" s="4438">
        <f t="shared" si="143"/>
        <v>0</v>
      </c>
      <c r="AB59" s="4437">
        <f t="shared" si="144"/>
        <v>0</v>
      </c>
      <c r="AC59" s="4437">
        <f t="shared" si="145"/>
        <v>0</v>
      </c>
      <c r="AD59" s="4437">
        <f t="shared" si="146"/>
        <v>0</v>
      </c>
      <c r="AE59" s="4437">
        <f t="shared" si="147"/>
        <v>0</v>
      </c>
      <c r="AF59" s="4437">
        <f t="shared" si="148"/>
        <v>0</v>
      </c>
      <c r="AG59" s="4437">
        <f t="shared" si="149"/>
        <v>0</v>
      </c>
    </row>
    <row r="60" spans="1:33" s="143" customFormat="1" ht="40.5" customHeight="1">
      <c r="A60" s="3767">
        <v>4</v>
      </c>
      <c r="B60" s="641" t="s">
        <v>1784</v>
      </c>
      <c r="C60" s="1970">
        <f>SUM(C61:C63)</f>
        <v>0</v>
      </c>
      <c r="D60" s="1970">
        <f t="shared" ref="D60" si="151">SUM(D61:D63)</f>
        <v>0</v>
      </c>
      <c r="E60" s="1970">
        <f t="shared" ref="E60" si="152">SUM(E61:E63)</f>
        <v>0</v>
      </c>
      <c r="F60" s="1970">
        <f t="shared" ref="F60" si="153">SUM(F61:F63)</f>
        <v>0</v>
      </c>
      <c r="G60" s="1970">
        <f t="shared" ref="G60" si="154">SUM(G61:G63)</f>
        <v>0</v>
      </c>
      <c r="H60" s="1970">
        <f t="shared" ref="H60" si="155">SUM(H61:H63)</f>
        <v>0</v>
      </c>
      <c r="I60" s="1968">
        <f t="shared" ref="I60" si="156">SUM(I61:I63)</f>
        <v>0</v>
      </c>
      <c r="J60" s="1968">
        <f t="shared" ref="J60" si="157">SUM(J61:J63)</f>
        <v>0</v>
      </c>
      <c r="K60" s="1968">
        <f t="shared" ref="K60" si="158">SUM(K61:K63)</f>
        <v>0</v>
      </c>
      <c r="L60" s="1968">
        <f t="shared" ref="L60" si="159">SUM(L61:L63)</f>
        <v>0</v>
      </c>
      <c r="M60" s="1968">
        <f t="shared" ref="M60" si="160">SUM(M61:M63)</f>
        <v>0</v>
      </c>
      <c r="N60" s="1968">
        <f t="shared" ref="N60" si="161">SUM(N61:N63)</f>
        <v>0</v>
      </c>
      <c r="O60" s="298">
        <f>ROUND((IFERROR((I60*1000)/(C60/1000),0)),3)</f>
        <v>0</v>
      </c>
      <c r="P60" s="298">
        <f t="shared" ref="P60:T60" si="162">ROUND((IFERROR((J60*1000)/(D60/1000),0)),3)</f>
        <v>0</v>
      </c>
      <c r="Q60" s="298">
        <f t="shared" si="162"/>
        <v>0</v>
      </c>
      <c r="R60" s="298">
        <f t="shared" si="162"/>
        <v>0</v>
      </c>
      <c r="S60" s="298">
        <f t="shared" si="162"/>
        <v>0</v>
      </c>
      <c r="T60" s="298">
        <f t="shared" si="162"/>
        <v>0</v>
      </c>
      <c r="U60" s="4422"/>
      <c r="V60" s="4438">
        <f t="shared" si="150"/>
        <v>0</v>
      </c>
      <c r="W60" s="4438">
        <f t="shared" si="139"/>
        <v>0</v>
      </c>
      <c r="X60" s="4438">
        <f t="shared" si="140"/>
        <v>0</v>
      </c>
      <c r="Y60" s="4438">
        <f t="shared" si="141"/>
        <v>0</v>
      </c>
      <c r="Z60" s="4438">
        <f t="shared" si="142"/>
        <v>0</v>
      </c>
      <c r="AA60" s="4438">
        <f t="shared" si="143"/>
        <v>0</v>
      </c>
      <c r="AB60" s="4437">
        <f t="shared" si="144"/>
        <v>0</v>
      </c>
      <c r="AC60" s="4437">
        <f t="shared" si="145"/>
        <v>0</v>
      </c>
      <c r="AD60" s="4437">
        <f t="shared" si="146"/>
        <v>0</v>
      </c>
      <c r="AE60" s="4437">
        <f t="shared" si="147"/>
        <v>0</v>
      </c>
      <c r="AF60" s="4437">
        <f t="shared" si="148"/>
        <v>0</v>
      </c>
      <c r="AG60" s="4437">
        <f t="shared" si="149"/>
        <v>0</v>
      </c>
    </row>
    <row r="61" spans="1:33" s="143" customFormat="1" ht="22.5" customHeight="1">
      <c r="A61" s="3767" t="s">
        <v>566</v>
      </c>
      <c r="B61" s="4392"/>
      <c r="C61" s="620"/>
      <c r="D61" s="621"/>
      <c r="E61" s="620"/>
      <c r="F61" s="621"/>
      <c r="G61" s="621"/>
      <c r="H61" s="620"/>
      <c r="I61" s="1968">
        <f t="shared" ref="I61:N63" si="163">(C61/1000)*(O61/1000)</f>
        <v>0</v>
      </c>
      <c r="J61" s="1968">
        <f t="shared" si="163"/>
        <v>0</v>
      </c>
      <c r="K61" s="1970">
        <f t="shared" si="163"/>
        <v>0</v>
      </c>
      <c r="L61" s="1968">
        <f t="shared" si="163"/>
        <v>0</v>
      </c>
      <c r="M61" s="1968">
        <f t="shared" si="163"/>
        <v>0</v>
      </c>
      <c r="N61" s="1970">
        <f t="shared" si="163"/>
        <v>0</v>
      </c>
      <c r="O61" s="4391"/>
      <c r="P61" s="4391"/>
      <c r="Q61" s="4391"/>
      <c r="R61" s="4391"/>
      <c r="S61" s="4391"/>
      <c r="T61" s="4391"/>
      <c r="U61" s="4422"/>
      <c r="V61" s="4438">
        <f t="shared" si="150"/>
        <v>0</v>
      </c>
      <c r="W61" s="4438">
        <f t="shared" si="139"/>
        <v>0</v>
      </c>
      <c r="X61" s="4438">
        <f t="shared" si="140"/>
        <v>0</v>
      </c>
      <c r="Y61" s="4438">
        <f t="shared" si="141"/>
        <v>0</v>
      </c>
      <c r="Z61" s="4438">
        <f t="shared" si="142"/>
        <v>0</v>
      </c>
      <c r="AA61" s="4438">
        <f t="shared" si="143"/>
        <v>0</v>
      </c>
      <c r="AB61" s="4437">
        <f t="shared" si="144"/>
        <v>0</v>
      </c>
      <c r="AC61" s="4437">
        <f t="shared" si="145"/>
        <v>0</v>
      </c>
      <c r="AD61" s="4437">
        <f t="shared" si="146"/>
        <v>0</v>
      </c>
      <c r="AE61" s="4437">
        <f t="shared" si="147"/>
        <v>0</v>
      </c>
      <c r="AF61" s="4437">
        <f t="shared" si="148"/>
        <v>0</v>
      </c>
      <c r="AG61" s="4437">
        <f t="shared" si="149"/>
        <v>0</v>
      </c>
    </row>
    <row r="62" spans="1:33" s="143" customFormat="1" ht="22.5" customHeight="1">
      <c r="A62" s="3767" t="s">
        <v>567</v>
      </c>
      <c r="B62" s="4392"/>
      <c r="C62" s="620"/>
      <c r="D62" s="621"/>
      <c r="E62" s="620"/>
      <c r="F62" s="621"/>
      <c r="G62" s="621"/>
      <c r="H62" s="620"/>
      <c r="I62" s="1968">
        <f t="shared" si="163"/>
        <v>0</v>
      </c>
      <c r="J62" s="1968">
        <f t="shared" si="163"/>
        <v>0</v>
      </c>
      <c r="K62" s="1970">
        <f t="shared" si="163"/>
        <v>0</v>
      </c>
      <c r="L62" s="1968">
        <f t="shared" si="163"/>
        <v>0</v>
      </c>
      <c r="M62" s="1968">
        <f t="shared" si="163"/>
        <v>0</v>
      </c>
      <c r="N62" s="1970">
        <f t="shared" si="163"/>
        <v>0</v>
      </c>
      <c r="O62" s="4391"/>
      <c r="P62" s="4391"/>
      <c r="Q62" s="4391"/>
      <c r="R62" s="4391"/>
      <c r="S62" s="4391"/>
      <c r="T62" s="4391"/>
      <c r="U62" s="4422"/>
      <c r="V62" s="4438">
        <f t="shared" si="150"/>
        <v>0</v>
      </c>
      <c r="W62" s="4438">
        <f t="shared" si="139"/>
        <v>0</v>
      </c>
      <c r="X62" s="4438">
        <f t="shared" si="140"/>
        <v>0</v>
      </c>
      <c r="Y62" s="4438">
        <f t="shared" si="141"/>
        <v>0</v>
      </c>
      <c r="Z62" s="4438">
        <f t="shared" si="142"/>
        <v>0</v>
      </c>
      <c r="AA62" s="4438">
        <f t="shared" si="143"/>
        <v>0</v>
      </c>
      <c r="AB62" s="4437">
        <f t="shared" si="144"/>
        <v>0</v>
      </c>
      <c r="AC62" s="4437">
        <f t="shared" si="145"/>
        <v>0</v>
      </c>
      <c r="AD62" s="4437">
        <f t="shared" si="146"/>
        <v>0</v>
      </c>
      <c r="AE62" s="4437">
        <f t="shared" si="147"/>
        <v>0</v>
      </c>
      <c r="AF62" s="4437">
        <f t="shared" si="148"/>
        <v>0</v>
      </c>
      <c r="AG62" s="4437">
        <f t="shared" si="149"/>
        <v>0</v>
      </c>
    </row>
    <row r="63" spans="1:33" s="143" customFormat="1" ht="22.5" customHeight="1">
      <c r="A63" s="3767" t="s">
        <v>1078</v>
      </c>
      <c r="B63" s="4392"/>
      <c r="C63" s="620"/>
      <c r="D63" s="621"/>
      <c r="E63" s="620"/>
      <c r="F63" s="621"/>
      <c r="G63" s="621"/>
      <c r="H63" s="620"/>
      <c r="I63" s="1968">
        <f t="shared" si="163"/>
        <v>0</v>
      </c>
      <c r="J63" s="1968">
        <f t="shared" si="163"/>
        <v>0</v>
      </c>
      <c r="K63" s="1970">
        <f t="shared" si="163"/>
        <v>0</v>
      </c>
      <c r="L63" s="1968">
        <f t="shared" si="163"/>
        <v>0</v>
      </c>
      <c r="M63" s="1968">
        <f t="shared" si="163"/>
        <v>0</v>
      </c>
      <c r="N63" s="1970">
        <f t="shared" si="163"/>
        <v>0</v>
      </c>
      <c r="O63" s="4391"/>
      <c r="P63" s="4391"/>
      <c r="Q63" s="4391"/>
      <c r="R63" s="4391"/>
      <c r="S63" s="4391"/>
      <c r="T63" s="4391"/>
      <c r="U63" s="4422"/>
      <c r="V63" s="4438">
        <f t="shared" si="150"/>
        <v>0</v>
      </c>
      <c r="W63" s="4438">
        <f t="shared" si="139"/>
        <v>0</v>
      </c>
      <c r="X63" s="4438">
        <f t="shared" si="140"/>
        <v>0</v>
      </c>
      <c r="Y63" s="4438">
        <f t="shared" si="141"/>
        <v>0</v>
      </c>
      <c r="Z63" s="4438">
        <f t="shared" si="142"/>
        <v>0</v>
      </c>
      <c r="AA63" s="4438">
        <f t="shared" si="143"/>
        <v>0</v>
      </c>
      <c r="AB63" s="4437">
        <f t="shared" si="144"/>
        <v>0</v>
      </c>
      <c r="AC63" s="4437">
        <f t="shared" si="145"/>
        <v>0</v>
      </c>
      <c r="AD63" s="4437">
        <f t="shared" si="146"/>
        <v>0</v>
      </c>
      <c r="AE63" s="4437">
        <f t="shared" si="147"/>
        <v>0</v>
      </c>
      <c r="AF63" s="4437">
        <f t="shared" si="148"/>
        <v>0</v>
      </c>
      <c r="AG63" s="4437">
        <f t="shared" si="149"/>
        <v>0</v>
      </c>
    </row>
    <row r="64" spans="1:33" s="143" customFormat="1" ht="22.5" hidden="1" customHeight="1">
      <c r="A64" s="5031"/>
      <c r="B64" s="5032"/>
      <c r="C64" s="5032"/>
      <c r="D64" s="5032"/>
      <c r="E64" s="5032"/>
      <c r="F64" s="5032"/>
      <c r="G64" s="5032"/>
      <c r="H64" s="5032"/>
      <c r="I64" s="5032"/>
      <c r="J64" s="5032"/>
      <c r="K64" s="5032"/>
      <c r="L64" s="5032"/>
      <c r="M64" s="5032"/>
      <c r="N64" s="5032"/>
      <c r="O64" s="5032"/>
      <c r="P64" s="5032"/>
      <c r="Q64" s="5032"/>
      <c r="R64" s="5032"/>
      <c r="S64" s="5032"/>
      <c r="T64" s="5033"/>
      <c r="U64" s="4422"/>
      <c r="V64" s="4438">
        <f t="shared" si="150"/>
        <v>0</v>
      </c>
      <c r="W64" s="4438">
        <f t="shared" si="139"/>
        <v>0</v>
      </c>
      <c r="X64" s="4438">
        <f t="shared" si="140"/>
        <v>0</v>
      </c>
      <c r="Y64" s="4438">
        <f t="shared" si="141"/>
        <v>0</v>
      </c>
      <c r="Z64" s="4438">
        <f t="shared" si="142"/>
        <v>0</v>
      </c>
      <c r="AA64" s="4438">
        <f t="shared" si="143"/>
        <v>0</v>
      </c>
      <c r="AB64" s="4437">
        <f t="shared" si="144"/>
        <v>0</v>
      </c>
      <c r="AC64" s="4437">
        <f t="shared" si="145"/>
        <v>0</v>
      </c>
      <c r="AD64" s="4437">
        <f t="shared" si="146"/>
        <v>0</v>
      </c>
      <c r="AE64" s="4437">
        <f t="shared" si="147"/>
        <v>0</v>
      </c>
      <c r="AF64" s="4437">
        <f t="shared" si="148"/>
        <v>0</v>
      </c>
      <c r="AG64" s="4437">
        <f t="shared" si="149"/>
        <v>0</v>
      </c>
    </row>
    <row r="65" spans="1:33" s="143" customFormat="1" ht="23.25" customHeight="1">
      <c r="A65" s="3759">
        <v>5</v>
      </c>
      <c r="B65" s="305" t="s">
        <v>1757</v>
      </c>
      <c r="C65" s="622">
        <f>C57+C58+C59+C60</f>
        <v>0</v>
      </c>
      <c r="D65" s="622">
        <f t="shared" ref="D65:H65" si="164">D57+D58+D59+D60</f>
        <v>0</v>
      </c>
      <c r="E65" s="622">
        <f t="shared" si="164"/>
        <v>0</v>
      </c>
      <c r="F65" s="622">
        <f t="shared" si="164"/>
        <v>0</v>
      </c>
      <c r="G65" s="622">
        <f t="shared" si="164"/>
        <v>0</v>
      </c>
      <c r="H65" s="622">
        <f t="shared" si="164"/>
        <v>0</v>
      </c>
      <c r="I65" s="622">
        <f>I57+I58+I59+I60</f>
        <v>0</v>
      </c>
      <c r="J65" s="622">
        <f t="shared" ref="J65:N65" si="165">J57+J58+J59+J60</f>
        <v>0</v>
      </c>
      <c r="K65" s="622">
        <f t="shared" si="165"/>
        <v>0</v>
      </c>
      <c r="L65" s="622">
        <f t="shared" si="165"/>
        <v>0</v>
      </c>
      <c r="M65" s="622">
        <f t="shared" si="165"/>
        <v>0</v>
      </c>
      <c r="N65" s="622">
        <f t="shared" si="165"/>
        <v>0</v>
      </c>
      <c r="O65" s="299">
        <f t="shared" ref="O65:T65" si="166">IFERROR((I65*1000)/(C65/1000),0)</f>
        <v>0</v>
      </c>
      <c r="P65" s="299">
        <f t="shared" si="166"/>
        <v>0</v>
      </c>
      <c r="Q65" s="299">
        <f t="shared" si="166"/>
        <v>0</v>
      </c>
      <c r="R65" s="299">
        <f t="shared" si="166"/>
        <v>0</v>
      </c>
      <c r="S65" s="299">
        <f t="shared" si="166"/>
        <v>0</v>
      </c>
      <c r="T65" s="299">
        <f t="shared" si="166"/>
        <v>0</v>
      </c>
      <c r="U65" s="4422"/>
      <c r="V65" s="4438">
        <f t="shared" si="150"/>
        <v>0</v>
      </c>
      <c r="W65" s="4438">
        <f t="shared" si="139"/>
        <v>0</v>
      </c>
      <c r="X65" s="4438">
        <f t="shared" si="140"/>
        <v>0</v>
      </c>
      <c r="Y65" s="4438">
        <f t="shared" si="141"/>
        <v>0</v>
      </c>
      <c r="Z65" s="4438">
        <f t="shared" si="142"/>
        <v>0</v>
      </c>
      <c r="AA65" s="4438">
        <f t="shared" si="143"/>
        <v>0</v>
      </c>
      <c r="AB65" s="4437">
        <f t="shared" si="144"/>
        <v>0</v>
      </c>
      <c r="AC65" s="4437">
        <f t="shared" si="145"/>
        <v>0</v>
      </c>
      <c r="AD65" s="4437">
        <f t="shared" si="146"/>
        <v>0</v>
      </c>
      <c r="AE65" s="4437">
        <f t="shared" si="147"/>
        <v>0</v>
      </c>
      <c r="AF65" s="4437">
        <f t="shared" si="148"/>
        <v>0</v>
      </c>
      <c r="AG65" s="4437">
        <f t="shared" si="149"/>
        <v>0</v>
      </c>
    </row>
    <row r="66" spans="1:33" s="143" customFormat="1" ht="23.25" customHeight="1">
      <c r="A66" s="3760">
        <v>6</v>
      </c>
      <c r="B66" s="98" t="s">
        <v>350</v>
      </c>
      <c r="C66" s="623"/>
      <c r="D66" s="624">
        <f t="shared" ref="D66:H66" si="167">D65-C65</f>
        <v>0</v>
      </c>
      <c r="E66" s="624">
        <f t="shared" si="167"/>
        <v>0</v>
      </c>
      <c r="F66" s="624">
        <f t="shared" si="167"/>
        <v>0</v>
      </c>
      <c r="G66" s="624">
        <f t="shared" si="167"/>
        <v>0</v>
      </c>
      <c r="H66" s="624">
        <f t="shared" si="167"/>
        <v>0</v>
      </c>
      <c r="I66" s="623"/>
      <c r="J66" s="624">
        <f t="shared" ref="J66:N66" si="168">J65-I65</f>
        <v>0</v>
      </c>
      <c r="K66" s="624">
        <f t="shared" si="168"/>
        <v>0</v>
      </c>
      <c r="L66" s="624">
        <f t="shared" si="168"/>
        <v>0</v>
      </c>
      <c r="M66" s="624">
        <f t="shared" si="168"/>
        <v>0</v>
      </c>
      <c r="N66" s="624">
        <f t="shared" si="168"/>
        <v>0</v>
      </c>
      <c r="O66" s="300"/>
      <c r="P66" s="600">
        <f t="shared" ref="P66:T66" si="169">P65-O65</f>
        <v>0</v>
      </c>
      <c r="Q66" s="600">
        <f t="shared" si="169"/>
        <v>0</v>
      </c>
      <c r="R66" s="600">
        <f t="shared" si="169"/>
        <v>0</v>
      </c>
      <c r="S66" s="600">
        <f t="shared" si="169"/>
        <v>0</v>
      </c>
      <c r="T66" s="600">
        <f t="shared" si="169"/>
        <v>0</v>
      </c>
      <c r="U66" s="4422"/>
      <c r="V66" s="4508"/>
      <c r="W66" s="4459">
        <f>W65-V65</f>
        <v>0</v>
      </c>
      <c r="X66" s="4459">
        <f t="shared" ref="X66" si="170">X65-W65</f>
        <v>0</v>
      </c>
      <c r="Y66" s="4459">
        <f t="shared" ref="Y66" si="171">Y65-X65</f>
        <v>0</v>
      </c>
      <c r="Z66" s="4459">
        <f t="shared" ref="Z66" si="172">Z65-Y65</f>
        <v>0</v>
      </c>
      <c r="AA66" s="4459">
        <f t="shared" ref="AA66" si="173">AA65-Z65</f>
        <v>0</v>
      </c>
      <c r="AB66" s="4508"/>
      <c r="AC66" s="4459">
        <f>AC65-AB65</f>
        <v>0</v>
      </c>
      <c r="AD66" s="4459">
        <f t="shared" ref="AD66" si="174">AD65-AC65</f>
        <v>0</v>
      </c>
      <c r="AE66" s="4459">
        <f t="shared" ref="AE66" si="175">AE65-AD65</f>
        <v>0</v>
      </c>
      <c r="AF66" s="4459">
        <f t="shared" ref="AF66" si="176">AF65-AE65</f>
        <v>0</v>
      </c>
      <c r="AG66" s="4459">
        <f t="shared" ref="AG66" si="177">AG65-AF65</f>
        <v>0</v>
      </c>
    </row>
    <row r="67" spans="1:33" s="143" customFormat="1" ht="23.25" customHeight="1">
      <c r="A67" s="3878">
        <v>7</v>
      </c>
      <c r="B67" s="304" t="s">
        <v>1746</v>
      </c>
      <c r="C67" s="302">
        <f>IFERROR(C65/'4. Отчет и прогн. потребление'!D62,0)</f>
        <v>0</v>
      </c>
      <c r="D67" s="302">
        <f>IFERROR(D65/'4. Отчет и прогн. потребление'!E62,0)</f>
        <v>0</v>
      </c>
      <c r="E67" s="302">
        <f>IFERROR(E65/'4. Отчет и прогн. потребление'!F62,0)</f>
        <v>0</v>
      </c>
      <c r="F67" s="302">
        <f>IFERROR(F65/'4. Отчет и прогн. потребление'!G62,0)</f>
        <v>0</v>
      </c>
      <c r="G67" s="302">
        <f>IFERROR(G65/'4. Отчет и прогн. потребление'!H62,0)</f>
        <v>0</v>
      </c>
      <c r="H67" s="302">
        <f>IFERROR(H65/'4. Отчет и прогн. потребление'!I62,0)</f>
        <v>0</v>
      </c>
      <c r="I67" s="3879"/>
      <c r="J67" s="300"/>
      <c r="K67" s="300"/>
      <c r="L67" s="300"/>
      <c r="M67" s="300"/>
      <c r="N67" s="300"/>
      <c r="O67" s="3880"/>
      <c r="P67" s="300"/>
      <c r="Q67" s="300"/>
      <c r="R67" s="300"/>
      <c r="S67" s="300"/>
      <c r="T67" s="300"/>
      <c r="U67" s="4422"/>
      <c r="V67" s="144"/>
      <c r="W67" s="144"/>
      <c r="X67" s="144"/>
      <c r="Y67" s="144"/>
    </row>
    <row r="68" spans="1:33" s="143" customFormat="1" ht="25.5" customHeight="1" thickBot="1">
      <c r="A68" s="3763">
        <v>8</v>
      </c>
      <c r="B68" s="3764" t="s">
        <v>1747</v>
      </c>
      <c r="C68" s="3881">
        <f>IFERROR(C65/'4. Отчет и прогн. потребление'!D69,0)</f>
        <v>0</v>
      </c>
      <c r="D68" s="3881">
        <f>IFERROR(D65/'4. Отчет и прогн. потребление'!E69,0)</f>
        <v>0</v>
      </c>
      <c r="E68" s="3881">
        <f>IFERROR(E65/'4. Отчет и прогн. потребление'!F69,0)</f>
        <v>0</v>
      </c>
      <c r="F68" s="3881">
        <f>IFERROR(F65/'4. Отчет и прогн. потребление'!G69,0)</f>
        <v>0</v>
      </c>
      <c r="G68" s="3881">
        <f>IFERROR(G65/'4. Отчет и прогн. потребление'!H69,0)</f>
        <v>0</v>
      </c>
      <c r="H68" s="3881">
        <f>IFERROR(H65/'4. Отчет и прогн. потребление'!I69,0)</f>
        <v>0</v>
      </c>
      <c r="I68" s="413"/>
      <c r="J68" s="413"/>
      <c r="K68" s="413"/>
      <c r="L68" s="413"/>
      <c r="M68" s="413"/>
      <c r="N68" s="413"/>
      <c r="O68" s="413"/>
      <c r="P68" s="413"/>
      <c r="Q68" s="413"/>
      <c r="R68" s="413"/>
      <c r="S68" s="413"/>
      <c r="T68" s="413"/>
      <c r="U68" s="4422"/>
      <c r="V68" s="144"/>
      <c r="W68" s="144"/>
      <c r="X68" s="144"/>
      <c r="Y68" s="144"/>
    </row>
    <row r="69" spans="1:33" s="143" customFormat="1" ht="23.25" customHeight="1" thickBot="1">
      <c r="A69" s="434"/>
      <c r="B69" s="435"/>
      <c r="D69" s="144"/>
      <c r="E69" s="144"/>
      <c r="F69" s="144"/>
      <c r="G69" s="144"/>
      <c r="H69" s="144"/>
      <c r="I69" s="436"/>
      <c r="J69" s="436"/>
      <c r="K69" s="436"/>
      <c r="L69" s="436"/>
      <c r="M69" s="436"/>
      <c r="N69" s="436"/>
      <c r="O69" s="303"/>
      <c r="P69" s="144"/>
      <c r="Q69" s="144"/>
      <c r="R69" s="144"/>
      <c r="S69" s="144"/>
      <c r="T69" s="144"/>
      <c r="U69" s="144"/>
      <c r="V69" s="144"/>
      <c r="W69" s="144"/>
      <c r="X69" s="144"/>
      <c r="Y69" s="144"/>
    </row>
    <row r="70" spans="1:33" s="143" customFormat="1" ht="23.25" customHeight="1">
      <c r="A70" s="5022" t="s">
        <v>1</v>
      </c>
      <c r="B70" s="5025" t="s">
        <v>1754</v>
      </c>
      <c r="C70" s="5025" t="s">
        <v>1092</v>
      </c>
      <c r="D70" s="5025"/>
      <c r="E70" s="5025"/>
      <c r="F70" s="5025"/>
      <c r="G70" s="5025"/>
      <c r="H70" s="5025"/>
      <c r="I70" s="5025"/>
      <c r="J70" s="5025"/>
      <c r="K70" s="5025"/>
      <c r="L70" s="5025"/>
      <c r="M70" s="5025"/>
      <c r="N70" s="5025"/>
      <c r="O70" s="5025"/>
      <c r="P70" s="5025"/>
      <c r="Q70" s="5025"/>
      <c r="R70" s="5025"/>
      <c r="S70" s="5025"/>
      <c r="T70" s="5025"/>
      <c r="U70" s="4422"/>
      <c r="V70" s="5016" t="str">
        <f>+C70</f>
        <v>Доставяне на вода на друг ВиК оператор</v>
      </c>
      <c r="W70" s="5016"/>
      <c r="X70" s="5016"/>
      <c r="Y70" s="5016"/>
      <c r="Z70" s="5016"/>
      <c r="AA70" s="5016"/>
      <c r="AB70" s="5016"/>
      <c r="AC70" s="5016"/>
      <c r="AD70" s="5016"/>
      <c r="AE70" s="5016"/>
      <c r="AF70" s="5016"/>
      <c r="AG70" s="5016"/>
    </row>
    <row r="71" spans="1:33" s="143" customFormat="1" ht="23.25" customHeight="1">
      <c r="A71" s="5023"/>
      <c r="B71" s="5026"/>
      <c r="C71" s="5028" t="s">
        <v>348</v>
      </c>
      <c r="D71" s="5028"/>
      <c r="E71" s="5028"/>
      <c r="F71" s="5028"/>
      <c r="G71" s="5028"/>
      <c r="H71" s="5028"/>
      <c r="I71" s="5028" t="s">
        <v>911</v>
      </c>
      <c r="J71" s="5028"/>
      <c r="K71" s="5028"/>
      <c r="L71" s="5028"/>
      <c r="M71" s="5028"/>
      <c r="N71" s="5028"/>
      <c r="O71" s="5045" t="s">
        <v>1766</v>
      </c>
      <c r="P71" s="5046"/>
      <c r="Q71" s="5046"/>
      <c r="R71" s="5046"/>
      <c r="S71" s="5046"/>
      <c r="T71" s="5046"/>
      <c r="U71" s="4422"/>
      <c r="V71" s="5017" t="s">
        <v>1880</v>
      </c>
      <c r="W71" s="5017"/>
      <c r="X71" s="5017"/>
      <c r="Y71" s="5017"/>
      <c r="Z71" s="5017"/>
      <c r="AA71" s="5017"/>
      <c r="AB71" s="5017" t="s">
        <v>1881</v>
      </c>
      <c r="AC71" s="5017"/>
      <c r="AD71" s="5017"/>
      <c r="AE71" s="5017"/>
      <c r="AF71" s="5017"/>
      <c r="AG71" s="5017"/>
    </row>
    <row r="72" spans="1:33" s="143" customFormat="1" ht="23.25" customHeight="1" thickBot="1">
      <c r="A72" s="5024"/>
      <c r="B72" s="5027"/>
      <c r="C72" s="151" t="str">
        <f>'Приложение '!C12</f>
        <v>2024 г.</v>
      </c>
      <c r="D72" s="151" t="str">
        <f>'Приложение '!C14</f>
        <v>2027 г.</v>
      </c>
      <c r="E72" s="151" t="str">
        <f>'Приложение '!C15</f>
        <v>2028 г.</v>
      </c>
      <c r="F72" s="151" t="str">
        <f>'Приложение '!C16</f>
        <v>2029 г.</v>
      </c>
      <c r="G72" s="151" t="str">
        <f>'Приложение '!C17</f>
        <v>2030 г.</v>
      </c>
      <c r="H72" s="151" t="str">
        <f>'Приложение '!C18</f>
        <v>2031 г.</v>
      </c>
      <c r="I72" s="151" t="str">
        <f t="shared" ref="I72:T72" si="178">C72</f>
        <v>2024 г.</v>
      </c>
      <c r="J72" s="151" t="str">
        <f t="shared" si="178"/>
        <v>2027 г.</v>
      </c>
      <c r="K72" s="151" t="str">
        <f t="shared" si="178"/>
        <v>2028 г.</v>
      </c>
      <c r="L72" s="151" t="str">
        <f t="shared" si="178"/>
        <v>2029 г.</v>
      </c>
      <c r="M72" s="151" t="str">
        <f t="shared" si="178"/>
        <v>2030 г.</v>
      </c>
      <c r="N72" s="151" t="str">
        <f t="shared" si="178"/>
        <v>2031 г.</v>
      </c>
      <c r="O72" s="151" t="str">
        <f t="shared" si="178"/>
        <v>2024 г.</v>
      </c>
      <c r="P72" s="151" t="str">
        <f t="shared" si="178"/>
        <v>2027 г.</v>
      </c>
      <c r="Q72" s="151" t="str">
        <f t="shared" si="178"/>
        <v>2028 г.</v>
      </c>
      <c r="R72" s="151" t="str">
        <f t="shared" si="178"/>
        <v>2029 г.</v>
      </c>
      <c r="S72" s="151" t="str">
        <f t="shared" si="178"/>
        <v>2030 г.</v>
      </c>
      <c r="T72" s="151" t="str">
        <f t="shared" si="178"/>
        <v>2031 г.</v>
      </c>
      <c r="U72" s="4422"/>
      <c r="V72" s="4436" t="str">
        <f>+I72</f>
        <v>2024 г.</v>
      </c>
      <c r="W72" s="4436" t="str">
        <f t="shared" ref="W72" si="179">+J72</f>
        <v>2027 г.</v>
      </c>
      <c r="X72" s="4436" t="str">
        <f t="shared" ref="X72" si="180">+K72</f>
        <v>2028 г.</v>
      </c>
      <c r="Y72" s="4436" t="str">
        <f t="shared" ref="Y72" si="181">+L72</f>
        <v>2029 г.</v>
      </c>
      <c r="Z72" s="4436" t="str">
        <f t="shared" ref="Z72" si="182">+M72</f>
        <v>2030 г.</v>
      </c>
      <c r="AA72" s="4436" t="str">
        <f t="shared" ref="AA72" si="183">+N72</f>
        <v>2031 г.</v>
      </c>
      <c r="AB72" s="4436" t="str">
        <f t="shared" ref="AB72" si="184">+O72</f>
        <v>2024 г.</v>
      </c>
      <c r="AC72" s="4436" t="str">
        <f t="shared" ref="AC72" si="185">+P72</f>
        <v>2027 г.</v>
      </c>
      <c r="AD72" s="4436" t="str">
        <f t="shared" ref="AD72" si="186">+Q72</f>
        <v>2028 г.</v>
      </c>
      <c r="AE72" s="4436" t="str">
        <f t="shared" ref="AE72" si="187">+R72</f>
        <v>2029 г.</v>
      </c>
      <c r="AF72" s="4436" t="str">
        <f t="shared" ref="AF72" si="188">+S72</f>
        <v>2030 г.</v>
      </c>
      <c r="AG72" s="4436" t="str">
        <f t="shared" ref="AG72" si="189">+T72</f>
        <v>2031 г.</v>
      </c>
    </row>
    <row r="73" spans="1:33" s="143" customFormat="1" ht="23.25" customHeight="1">
      <c r="A73" s="3772">
        <v>1</v>
      </c>
      <c r="B73" s="3773" t="s">
        <v>1753</v>
      </c>
      <c r="C73" s="3777"/>
      <c r="D73" s="3778"/>
      <c r="E73" s="3778"/>
      <c r="F73" s="3778"/>
      <c r="G73" s="3778"/>
      <c r="H73" s="3778"/>
      <c r="I73" s="4373">
        <f t="shared" ref="I73:N75" si="190">(C73/1000)*(O73/1000)</f>
        <v>0</v>
      </c>
      <c r="J73" s="3779">
        <f t="shared" si="190"/>
        <v>0</v>
      </c>
      <c r="K73" s="3779">
        <f t="shared" si="190"/>
        <v>0</v>
      </c>
      <c r="L73" s="3779">
        <f t="shared" si="190"/>
        <v>0</v>
      </c>
      <c r="M73" s="3779">
        <f t="shared" si="190"/>
        <v>0</v>
      </c>
      <c r="N73" s="3779">
        <f t="shared" si="190"/>
        <v>0</v>
      </c>
      <c r="O73" s="4390"/>
      <c r="P73" s="4390"/>
      <c r="Q73" s="4390"/>
      <c r="R73" s="4390"/>
      <c r="S73" s="4390"/>
      <c r="T73" s="4390"/>
      <c r="U73" s="4422"/>
      <c r="V73" s="4438">
        <f>IFERROR(I73/$C$1,0)</f>
        <v>0</v>
      </c>
      <c r="W73" s="4438">
        <f t="shared" ref="W73:W81" si="191">IFERROR(J73/$C$1,0)</f>
        <v>0</v>
      </c>
      <c r="X73" s="4438">
        <f t="shared" ref="X73:X81" si="192">IFERROR(K73/$C$1,0)</f>
        <v>0</v>
      </c>
      <c r="Y73" s="4438">
        <f t="shared" ref="Y73:Y81" si="193">IFERROR(L73/$C$1,0)</f>
        <v>0</v>
      </c>
      <c r="Z73" s="4438">
        <f t="shared" ref="Z73:Z81" si="194">IFERROR(M73/$C$1,0)</f>
        <v>0</v>
      </c>
      <c r="AA73" s="4438">
        <f t="shared" ref="AA73:AA81" si="195">IFERROR(N73/$C$1,0)</f>
        <v>0</v>
      </c>
      <c r="AB73" s="4437">
        <f t="shared" ref="AB73:AB81" si="196">IFERROR(O73/$C$1,0)</f>
        <v>0</v>
      </c>
      <c r="AC73" s="4437">
        <f t="shared" ref="AC73:AC81" si="197">IFERROR(P73/$C$1,0)</f>
        <v>0</v>
      </c>
      <c r="AD73" s="4437">
        <f t="shared" ref="AD73:AD81" si="198">IFERROR(Q73/$C$1,0)</f>
        <v>0</v>
      </c>
      <c r="AE73" s="4437">
        <f t="shared" ref="AE73:AE81" si="199">IFERROR(R73/$C$1,0)</f>
        <v>0</v>
      </c>
      <c r="AF73" s="4437">
        <f t="shared" ref="AF73:AF81" si="200">IFERROR(S73/$C$1,0)</f>
        <v>0</v>
      </c>
      <c r="AG73" s="4437">
        <f t="shared" ref="AG73:AG81" si="201">IFERROR(T73/$C$1,0)</f>
        <v>0</v>
      </c>
    </row>
    <row r="74" spans="1:33" s="143" customFormat="1" ht="23.25" customHeight="1">
      <c r="A74" s="3295">
        <v>2</v>
      </c>
      <c r="B74" s="98" t="s">
        <v>1755</v>
      </c>
      <c r="C74" s="620"/>
      <c r="D74" s="621"/>
      <c r="E74" s="620"/>
      <c r="F74" s="621"/>
      <c r="G74" s="621"/>
      <c r="H74" s="620"/>
      <c r="I74" s="1970">
        <f t="shared" si="190"/>
        <v>0</v>
      </c>
      <c r="J74" s="1968">
        <f t="shared" si="190"/>
        <v>0</v>
      </c>
      <c r="K74" s="1968">
        <f t="shared" si="190"/>
        <v>0</v>
      </c>
      <c r="L74" s="1968">
        <f t="shared" si="190"/>
        <v>0</v>
      </c>
      <c r="M74" s="1968">
        <f t="shared" si="190"/>
        <v>0</v>
      </c>
      <c r="N74" s="1968">
        <f t="shared" si="190"/>
        <v>0</v>
      </c>
      <c r="O74" s="4391"/>
      <c r="P74" s="4391"/>
      <c r="Q74" s="4391"/>
      <c r="R74" s="4391"/>
      <c r="S74" s="4391"/>
      <c r="T74" s="4391"/>
      <c r="U74" s="4422"/>
      <c r="V74" s="4438">
        <f t="shared" ref="V74:V81" si="202">IFERROR(I74/$C$1,0)</f>
        <v>0</v>
      </c>
      <c r="W74" s="4438">
        <f t="shared" si="191"/>
        <v>0</v>
      </c>
      <c r="X74" s="4438">
        <f t="shared" si="192"/>
        <v>0</v>
      </c>
      <c r="Y74" s="4438">
        <f t="shared" si="193"/>
        <v>0</v>
      </c>
      <c r="Z74" s="4438">
        <f t="shared" si="194"/>
        <v>0</v>
      </c>
      <c r="AA74" s="4438">
        <f t="shared" si="195"/>
        <v>0</v>
      </c>
      <c r="AB74" s="4437">
        <f t="shared" si="196"/>
        <v>0</v>
      </c>
      <c r="AC74" s="4437">
        <f t="shared" si="197"/>
        <v>0</v>
      </c>
      <c r="AD74" s="4437">
        <f t="shared" si="198"/>
        <v>0</v>
      </c>
      <c r="AE74" s="4437">
        <f t="shared" si="199"/>
        <v>0</v>
      </c>
      <c r="AF74" s="4437">
        <f t="shared" si="200"/>
        <v>0</v>
      </c>
      <c r="AG74" s="4437">
        <f t="shared" si="201"/>
        <v>0</v>
      </c>
    </row>
    <row r="75" spans="1:33" s="143" customFormat="1" ht="23.25" customHeight="1">
      <c r="A75" s="3295">
        <v>3</v>
      </c>
      <c r="B75" s="98" t="s">
        <v>1756</v>
      </c>
      <c r="C75" s="620"/>
      <c r="D75" s="621"/>
      <c r="E75" s="620"/>
      <c r="F75" s="621"/>
      <c r="G75" s="621"/>
      <c r="H75" s="620"/>
      <c r="I75" s="1970">
        <f t="shared" si="190"/>
        <v>0</v>
      </c>
      <c r="J75" s="1968">
        <f t="shared" si="190"/>
        <v>0</v>
      </c>
      <c r="K75" s="1968">
        <f t="shared" si="190"/>
        <v>0</v>
      </c>
      <c r="L75" s="1968">
        <f t="shared" si="190"/>
        <v>0</v>
      </c>
      <c r="M75" s="1968">
        <f t="shared" si="190"/>
        <v>0</v>
      </c>
      <c r="N75" s="1968">
        <f t="shared" si="190"/>
        <v>0</v>
      </c>
      <c r="O75" s="4391"/>
      <c r="P75" s="4391"/>
      <c r="Q75" s="4391"/>
      <c r="R75" s="4391"/>
      <c r="S75" s="4391"/>
      <c r="T75" s="4391"/>
      <c r="U75" s="4422"/>
      <c r="V75" s="4438">
        <f t="shared" si="202"/>
        <v>0</v>
      </c>
      <c r="W75" s="4438">
        <f t="shared" si="191"/>
        <v>0</v>
      </c>
      <c r="X75" s="4438">
        <f t="shared" si="192"/>
        <v>0</v>
      </c>
      <c r="Y75" s="4438">
        <f t="shared" si="193"/>
        <v>0</v>
      </c>
      <c r="Z75" s="4438">
        <f t="shared" si="194"/>
        <v>0</v>
      </c>
      <c r="AA75" s="4438">
        <f t="shared" si="195"/>
        <v>0</v>
      </c>
      <c r="AB75" s="4437">
        <f t="shared" si="196"/>
        <v>0</v>
      </c>
      <c r="AC75" s="4437">
        <f t="shared" si="197"/>
        <v>0</v>
      </c>
      <c r="AD75" s="4437">
        <f t="shared" si="198"/>
        <v>0</v>
      </c>
      <c r="AE75" s="4437">
        <f t="shared" si="199"/>
        <v>0</v>
      </c>
      <c r="AF75" s="4437">
        <f t="shared" si="200"/>
        <v>0</v>
      </c>
      <c r="AG75" s="4437">
        <f t="shared" si="201"/>
        <v>0</v>
      </c>
    </row>
    <row r="76" spans="1:33" s="143" customFormat="1" ht="39" customHeight="1">
      <c r="A76" s="3767">
        <v>4</v>
      </c>
      <c r="B76" s="641" t="s">
        <v>1784</v>
      </c>
      <c r="C76" s="1970">
        <f>SUM(C77:C79)</f>
        <v>0</v>
      </c>
      <c r="D76" s="1970">
        <f t="shared" ref="D76" si="203">SUM(D77:D79)</f>
        <v>0</v>
      </c>
      <c r="E76" s="1970">
        <f t="shared" ref="E76" si="204">SUM(E77:E79)</f>
        <v>0</v>
      </c>
      <c r="F76" s="1970">
        <f t="shared" ref="F76" si="205">SUM(F77:F79)</f>
        <v>0</v>
      </c>
      <c r="G76" s="1970">
        <f t="shared" ref="G76" si="206">SUM(G77:G79)</f>
        <v>0</v>
      </c>
      <c r="H76" s="1970">
        <f t="shared" ref="H76" si="207">SUM(H77:H79)</f>
        <v>0</v>
      </c>
      <c r="I76" s="1968">
        <f t="shared" ref="I76" si="208">SUM(I77:I79)</f>
        <v>0</v>
      </c>
      <c r="J76" s="1968">
        <f t="shared" ref="J76" si="209">SUM(J77:J79)</f>
        <v>0</v>
      </c>
      <c r="K76" s="1968">
        <f t="shared" ref="K76" si="210">SUM(K77:K79)</f>
        <v>0</v>
      </c>
      <c r="L76" s="1968">
        <f t="shared" ref="L76" si="211">SUM(L77:L79)</f>
        <v>0</v>
      </c>
      <c r="M76" s="1968">
        <f t="shared" ref="M76" si="212">SUM(M77:M79)</f>
        <v>0</v>
      </c>
      <c r="N76" s="1968">
        <f t="shared" ref="N76" si="213">SUM(N77:N79)</f>
        <v>0</v>
      </c>
      <c r="O76" s="298">
        <f>ROUND((IFERROR((I76*1000)/(C76/1000),0)),3)</f>
        <v>0</v>
      </c>
      <c r="P76" s="298">
        <f t="shared" ref="P76:T76" si="214">ROUND((IFERROR((J76*1000)/(D76/1000),0)),3)</f>
        <v>0</v>
      </c>
      <c r="Q76" s="298">
        <f t="shared" si="214"/>
        <v>0</v>
      </c>
      <c r="R76" s="298">
        <f t="shared" si="214"/>
        <v>0</v>
      </c>
      <c r="S76" s="298">
        <f t="shared" si="214"/>
        <v>0</v>
      </c>
      <c r="T76" s="298">
        <f t="shared" si="214"/>
        <v>0</v>
      </c>
      <c r="U76" s="4422"/>
      <c r="V76" s="4438">
        <f t="shared" si="202"/>
        <v>0</v>
      </c>
      <c r="W76" s="4438">
        <f t="shared" si="191"/>
        <v>0</v>
      </c>
      <c r="X76" s="4438">
        <f t="shared" si="192"/>
        <v>0</v>
      </c>
      <c r="Y76" s="4438">
        <f t="shared" si="193"/>
        <v>0</v>
      </c>
      <c r="Z76" s="4438">
        <f t="shared" si="194"/>
        <v>0</v>
      </c>
      <c r="AA76" s="4438">
        <f t="shared" si="195"/>
        <v>0</v>
      </c>
      <c r="AB76" s="4437">
        <f t="shared" si="196"/>
        <v>0</v>
      </c>
      <c r="AC76" s="4437">
        <f t="shared" si="197"/>
        <v>0</v>
      </c>
      <c r="AD76" s="4437">
        <f t="shared" si="198"/>
        <v>0</v>
      </c>
      <c r="AE76" s="4437">
        <f t="shared" si="199"/>
        <v>0</v>
      </c>
      <c r="AF76" s="4437">
        <f t="shared" si="200"/>
        <v>0</v>
      </c>
      <c r="AG76" s="4437">
        <f t="shared" si="201"/>
        <v>0</v>
      </c>
    </row>
    <row r="77" spans="1:33" s="143" customFormat="1" ht="22.5" customHeight="1">
      <c r="A77" s="3767" t="s">
        <v>566</v>
      </c>
      <c r="B77" s="4392"/>
      <c r="C77" s="620"/>
      <c r="D77" s="621"/>
      <c r="E77" s="620"/>
      <c r="F77" s="621"/>
      <c r="G77" s="621"/>
      <c r="H77" s="620"/>
      <c r="I77" s="1968">
        <f t="shared" ref="I77:N79" si="215">(C77/1000)*(O77/1000)</f>
        <v>0</v>
      </c>
      <c r="J77" s="1968">
        <f t="shared" si="215"/>
        <v>0</v>
      </c>
      <c r="K77" s="1968">
        <f t="shared" si="215"/>
        <v>0</v>
      </c>
      <c r="L77" s="1968">
        <f t="shared" si="215"/>
        <v>0</v>
      </c>
      <c r="M77" s="1968">
        <f t="shared" si="215"/>
        <v>0</v>
      </c>
      <c r="N77" s="1968">
        <f t="shared" si="215"/>
        <v>0</v>
      </c>
      <c r="O77" s="4391"/>
      <c r="P77" s="4391"/>
      <c r="Q77" s="4391"/>
      <c r="R77" s="4391"/>
      <c r="S77" s="4391"/>
      <c r="T77" s="4391"/>
      <c r="U77" s="4422"/>
      <c r="V77" s="4438">
        <f t="shared" si="202"/>
        <v>0</v>
      </c>
      <c r="W77" s="4438">
        <f t="shared" si="191"/>
        <v>0</v>
      </c>
      <c r="X77" s="4438">
        <f t="shared" si="192"/>
        <v>0</v>
      </c>
      <c r="Y77" s="4438">
        <f t="shared" si="193"/>
        <v>0</v>
      </c>
      <c r="Z77" s="4438">
        <f t="shared" si="194"/>
        <v>0</v>
      </c>
      <c r="AA77" s="4438">
        <f t="shared" si="195"/>
        <v>0</v>
      </c>
      <c r="AB77" s="4437">
        <f t="shared" si="196"/>
        <v>0</v>
      </c>
      <c r="AC77" s="4437">
        <f t="shared" si="197"/>
        <v>0</v>
      </c>
      <c r="AD77" s="4437">
        <f t="shared" si="198"/>
        <v>0</v>
      </c>
      <c r="AE77" s="4437">
        <f t="shared" si="199"/>
        <v>0</v>
      </c>
      <c r="AF77" s="4437">
        <f t="shared" si="200"/>
        <v>0</v>
      </c>
      <c r="AG77" s="4437">
        <f t="shared" si="201"/>
        <v>0</v>
      </c>
    </row>
    <row r="78" spans="1:33" s="143" customFormat="1" ht="22.5" customHeight="1">
      <c r="A78" s="3767" t="s">
        <v>567</v>
      </c>
      <c r="B78" s="4392"/>
      <c r="C78" s="620"/>
      <c r="D78" s="621"/>
      <c r="E78" s="620"/>
      <c r="F78" s="621"/>
      <c r="G78" s="621"/>
      <c r="H78" s="620"/>
      <c r="I78" s="1968">
        <f t="shared" si="215"/>
        <v>0</v>
      </c>
      <c r="J78" s="1968">
        <f t="shared" si="215"/>
        <v>0</v>
      </c>
      <c r="K78" s="1968">
        <f t="shared" si="215"/>
        <v>0</v>
      </c>
      <c r="L78" s="1968">
        <f t="shared" si="215"/>
        <v>0</v>
      </c>
      <c r="M78" s="1968">
        <f t="shared" si="215"/>
        <v>0</v>
      </c>
      <c r="N78" s="1968">
        <f t="shared" si="215"/>
        <v>0</v>
      </c>
      <c r="O78" s="4391"/>
      <c r="P78" s="4391"/>
      <c r="Q78" s="4391"/>
      <c r="R78" s="4391"/>
      <c r="S78" s="4391"/>
      <c r="T78" s="4391"/>
      <c r="U78" s="4422"/>
      <c r="V78" s="4438">
        <f t="shared" si="202"/>
        <v>0</v>
      </c>
      <c r="W78" s="4438">
        <f t="shared" si="191"/>
        <v>0</v>
      </c>
      <c r="X78" s="4438">
        <f t="shared" si="192"/>
        <v>0</v>
      </c>
      <c r="Y78" s="4438">
        <f t="shared" si="193"/>
        <v>0</v>
      </c>
      <c r="Z78" s="4438">
        <f t="shared" si="194"/>
        <v>0</v>
      </c>
      <c r="AA78" s="4438">
        <f t="shared" si="195"/>
        <v>0</v>
      </c>
      <c r="AB78" s="4437">
        <f t="shared" si="196"/>
        <v>0</v>
      </c>
      <c r="AC78" s="4437">
        <f t="shared" si="197"/>
        <v>0</v>
      </c>
      <c r="AD78" s="4437">
        <f t="shared" si="198"/>
        <v>0</v>
      </c>
      <c r="AE78" s="4437">
        <f t="shared" si="199"/>
        <v>0</v>
      </c>
      <c r="AF78" s="4437">
        <f t="shared" si="200"/>
        <v>0</v>
      </c>
      <c r="AG78" s="4437">
        <f t="shared" si="201"/>
        <v>0</v>
      </c>
    </row>
    <row r="79" spans="1:33" s="143" customFormat="1" ht="22.5" customHeight="1">
      <c r="A79" s="3767" t="s">
        <v>1078</v>
      </c>
      <c r="B79" s="4392"/>
      <c r="C79" s="620"/>
      <c r="D79" s="621"/>
      <c r="E79" s="620"/>
      <c r="F79" s="621"/>
      <c r="G79" s="621"/>
      <c r="H79" s="620"/>
      <c r="I79" s="1968">
        <f t="shared" si="215"/>
        <v>0</v>
      </c>
      <c r="J79" s="1968">
        <f t="shared" si="215"/>
        <v>0</v>
      </c>
      <c r="K79" s="1968">
        <f t="shared" si="215"/>
        <v>0</v>
      </c>
      <c r="L79" s="1968">
        <f t="shared" si="215"/>
        <v>0</v>
      </c>
      <c r="M79" s="1968">
        <f t="shared" si="215"/>
        <v>0</v>
      </c>
      <c r="N79" s="1968">
        <f t="shared" si="215"/>
        <v>0</v>
      </c>
      <c r="O79" s="4391"/>
      <c r="P79" s="4391"/>
      <c r="Q79" s="4391"/>
      <c r="R79" s="4391"/>
      <c r="S79" s="4391"/>
      <c r="T79" s="4391"/>
      <c r="U79" s="4422"/>
      <c r="V79" s="4438">
        <f t="shared" si="202"/>
        <v>0</v>
      </c>
      <c r="W79" s="4438">
        <f t="shared" si="191"/>
        <v>0</v>
      </c>
      <c r="X79" s="4438">
        <f t="shared" si="192"/>
        <v>0</v>
      </c>
      <c r="Y79" s="4438">
        <f t="shared" si="193"/>
        <v>0</v>
      </c>
      <c r="Z79" s="4438">
        <f t="shared" si="194"/>
        <v>0</v>
      </c>
      <c r="AA79" s="4438">
        <f t="shared" si="195"/>
        <v>0</v>
      </c>
      <c r="AB79" s="4437">
        <f t="shared" si="196"/>
        <v>0</v>
      </c>
      <c r="AC79" s="4437">
        <f t="shared" si="197"/>
        <v>0</v>
      </c>
      <c r="AD79" s="4437">
        <f t="shared" si="198"/>
        <v>0</v>
      </c>
      <c r="AE79" s="4437">
        <f t="shared" si="199"/>
        <v>0</v>
      </c>
      <c r="AF79" s="4437">
        <f t="shared" si="200"/>
        <v>0</v>
      </c>
      <c r="AG79" s="4437">
        <f t="shared" si="201"/>
        <v>0</v>
      </c>
    </row>
    <row r="80" spans="1:33" s="143" customFormat="1" ht="22.5" hidden="1" customHeight="1">
      <c r="A80" s="5031"/>
      <c r="B80" s="5032"/>
      <c r="C80" s="5032"/>
      <c r="D80" s="5032"/>
      <c r="E80" s="5032"/>
      <c r="F80" s="5032"/>
      <c r="G80" s="5032"/>
      <c r="H80" s="5032"/>
      <c r="I80" s="5032"/>
      <c r="J80" s="5032"/>
      <c r="K80" s="5032"/>
      <c r="L80" s="5032"/>
      <c r="M80" s="5032"/>
      <c r="N80" s="5032"/>
      <c r="O80" s="5032"/>
      <c r="P80" s="5032"/>
      <c r="Q80" s="5032"/>
      <c r="R80" s="5032"/>
      <c r="S80" s="5032"/>
      <c r="T80" s="5033"/>
      <c r="U80" s="4422"/>
      <c r="V80" s="4438">
        <f t="shared" si="202"/>
        <v>0</v>
      </c>
      <c r="W80" s="4438">
        <f t="shared" si="191"/>
        <v>0</v>
      </c>
      <c r="X80" s="4438">
        <f t="shared" si="192"/>
        <v>0</v>
      </c>
      <c r="Y80" s="4438">
        <f t="shared" si="193"/>
        <v>0</v>
      </c>
      <c r="Z80" s="4438">
        <f t="shared" si="194"/>
        <v>0</v>
      </c>
      <c r="AA80" s="4438">
        <f t="shared" si="195"/>
        <v>0</v>
      </c>
      <c r="AB80" s="4437">
        <f t="shared" si="196"/>
        <v>0</v>
      </c>
      <c r="AC80" s="4437">
        <f t="shared" si="197"/>
        <v>0</v>
      </c>
      <c r="AD80" s="4437">
        <f t="shared" si="198"/>
        <v>0</v>
      </c>
      <c r="AE80" s="4437">
        <f t="shared" si="199"/>
        <v>0</v>
      </c>
      <c r="AF80" s="4437">
        <f t="shared" si="200"/>
        <v>0</v>
      </c>
      <c r="AG80" s="4437">
        <f t="shared" si="201"/>
        <v>0</v>
      </c>
    </row>
    <row r="81" spans="1:33" s="143" customFormat="1" ht="23.25" customHeight="1">
      <c r="A81" s="3759">
        <v>5</v>
      </c>
      <c r="B81" s="305" t="s">
        <v>1757</v>
      </c>
      <c r="C81" s="622">
        <f t="shared" ref="C81:N81" si="216">C73+C74+C75+C76</f>
        <v>0</v>
      </c>
      <c r="D81" s="622">
        <f t="shared" si="216"/>
        <v>0</v>
      </c>
      <c r="E81" s="622">
        <f t="shared" si="216"/>
        <v>0</v>
      </c>
      <c r="F81" s="622">
        <f t="shared" si="216"/>
        <v>0</v>
      </c>
      <c r="G81" s="622">
        <f t="shared" si="216"/>
        <v>0</v>
      </c>
      <c r="H81" s="622">
        <f t="shared" si="216"/>
        <v>0</v>
      </c>
      <c r="I81" s="622">
        <f t="shared" si="216"/>
        <v>0</v>
      </c>
      <c r="J81" s="622">
        <f t="shared" si="216"/>
        <v>0</v>
      </c>
      <c r="K81" s="622">
        <f t="shared" si="216"/>
        <v>0</v>
      </c>
      <c r="L81" s="622">
        <f t="shared" si="216"/>
        <v>0</v>
      </c>
      <c r="M81" s="622">
        <f t="shared" si="216"/>
        <v>0</v>
      </c>
      <c r="N81" s="622">
        <f t="shared" si="216"/>
        <v>0</v>
      </c>
      <c r="O81" s="299">
        <f t="shared" ref="O81:T81" si="217">IFERROR((I81*1000)/(C81/1000),0)</f>
        <v>0</v>
      </c>
      <c r="P81" s="299">
        <f t="shared" si="217"/>
        <v>0</v>
      </c>
      <c r="Q81" s="299">
        <f t="shared" si="217"/>
        <v>0</v>
      </c>
      <c r="R81" s="299">
        <f t="shared" si="217"/>
        <v>0</v>
      </c>
      <c r="S81" s="299">
        <f t="shared" si="217"/>
        <v>0</v>
      </c>
      <c r="T81" s="299">
        <f t="shared" si="217"/>
        <v>0</v>
      </c>
      <c r="U81" s="4422"/>
      <c r="V81" s="4438">
        <f t="shared" si="202"/>
        <v>0</v>
      </c>
      <c r="W81" s="4438">
        <f t="shared" si="191"/>
        <v>0</v>
      </c>
      <c r="X81" s="4438">
        <f t="shared" si="192"/>
        <v>0</v>
      </c>
      <c r="Y81" s="4438">
        <f t="shared" si="193"/>
        <v>0</v>
      </c>
      <c r="Z81" s="4438">
        <f t="shared" si="194"/>
        <v>0</v>
      </c>
      <c r="AA81" s="4438">
        <f t="shared" si="195"/>
        <v>0</v>
      </c>
      <c r="AB81" s="4437">
        <f t="shared" si="196"/>
        <v>0</v>
      </c>
      <c r="AC81" s="4437">
        <f t="shared" si="197"/>
        <v>0</v>
      </c>
      <c r="AD81" s="4437">
        <f t="shared" si="198"/>
        <v>0</v>
      </c>
      <c r="AE81" s="4437">
        <f t="shared" si="199"/>
        <v>0</v>
      </c>
      <c r="AF81" s="4437">
        <f t="shared" si="200"/>
        <v>0</v>
      </c>
      <c r="AG81" s="4437">
        <f t="shared" si="201"/>
        <v>0</v>
      </c>
    </row>
    <row r="82" spans="1:33" s="143" customFormat="1" ht="23.25" customHeight="1">
      <c r="A82" s="3760">
        <v>6</v>
      </c>
      <c r="B82" s="98" t="s">
        <v>350</v>
      </c>
      <c r="C82" s="623"/>
      <c r="D82" s="624">
        <f>D81-C81</f>
        <v>0</v>
      </c>
      <c r="E82" s="624">
        <f t="shared" ref="E82:H82" si="218">E81-D81</f>
        <v>0</v>
      </c>
      <c r="F82" s="624">
        <f t="shared" si="218"/>
        <v>0</v>
      </c>
      <c r="G82" s="624">
        <f t="shared" si="218"/>
        <v>0</v>
      </c>
      <c r="H82" s="624">
        <f t="shared" si="218"/>
        <v>0</v>
      </c>
      <c r="I82" s="623"/>
      <c r="J82" s="624">
        <f t="shared" ref="J82:N82" si="219">J81-I81</f>
        <v>0</v>
      </c>
      <c r="K82" s="624">
        <f>K81-J81</f>
        <v>0</v>
      </c>
      <c r="L82" s="624">
        <f t="shared" si="219"/>
        <v>0</v>
      </c>
      <c r="M82" s="624">
        <f t="shared" si="219"/>
        <v>0</v>
      </c>
      <c r="N82" s="624">
        <f t="shared" si="219"/>
        <v>0</v>
      </c>
      <c r="O82" s="300"/>
      <c r="P82" s="600">
        <f t="shared" ref="P82:T82" si="220">P81-O81</f>
        <v>0</v>
      </c>
      <c r="Q82" s="600">
        <f t="shared" si="220"/>
        <v>0</v>
      </c>
      <c r="R82" s="600">
        <f t="shared" si="220"/>
        <v>0</v>
      </c>
      <c r="S82" s="600">
        <f t="shared" si="220"/>
        <v>0</v>
      </c>
      <c r="T82" s="600">
        <f t="shared" si="220"/>
        <v>0</v>
      </c>
      <c r="U82" s="4422"/>
      <c r="V82" s="4508"/>
      <c r="W82" s="4459">
        <f>W81-V81</f>
        <v>0</v>
      </c>
      <c r="X82" s="4459">
        <f t="shared" ref="X82" si="221">X81-W81</f>
        <v>0</v>
      </c>
      <c r="Y82" s="4459">
        <f t="shared" ref="Y82" si="222">Y81-X81</f>
        <v>0</v>
      </c>
      <c r="Z82" s="4459">
        <f t="shared" ref="Z82" si="223">Z81-Y81</f>
        <v>0</v>
      </c>
      <c r="AA82" s="4459">
        <f t="shared" ref="AA82" si="224">AA81-Z81</f>
        <v>0</v>
      </c>
      <c r="AB82" s="4508"/>
      <c r="AC82" s="4459">
        <f>AC81-AB81</f>
        <v>0</v>
      </c>
      <c r="AD82" s="4459">
        <f t="shared" ref="AD82" si="225">AD81-AC81</f>
        <v>0</v>
      </c>
      <c r="AE82" s="4459">
        <f t="shared" ref="AE82" si="226">AE81-AD81</f>
        <v>0</v>
      </c>
      <c r="AF82" s="4459">
        <f t="shared" ref="AF82" si="227">AF81-AE81</f>
        <v>0</v>
      </c>
      <c r="AG82" s="4459">
        <f t="shared" ref="AG82" si="228">AG81-AF81</f>
        <v>0</v>
      </c>
    </row>
    <row r="83" spans="1:33" s="143" customFormat="1" ht="23.25" customHeight="1">
      <c r="A83" s="3878">
        <v>7</v>
      </c>
      <c r="B83" s="304" t="s">
        <v>1746</v>
      </c>
      <c r="C83" s="302">
        <f>IFERROR(C81/'4. Отчет и прогн. потребление'!D93,0)</f>
        <v>0</v>
      </c>
      <c r="D83" s="302">
        <f>IFERROR(D81/'4. Отчет и прогн. потребление'!E93,0)</f>
        <v>0</v>
      </c>
      <c r="E83" s="302">
        <f>IFERROR(E81/'4. Отчет и прогн. потребление'!F93,0)</f>
        <v>0</v>
      </c>
      <c r="F83" s="302">
        <f>IFERROR(F81/'4. Отчет и прогн. потребление'!G93,0)</f>
        <v>0</v>
      </c>
      <c r="G83" s="302">
        <f>IFERROR(G81/'4. Отчет и прогн. потребление'!H93,0)</f>
        <v>0</v>
      </c>
      <c r="H83" s="302">
        <f>IFERROR(H81/'4. Отчет и прогн. потребление'!I93,0)</f>
        <v>0</v>
      </c>
      <c r="I83" s="3879"/>
      <c r="J83" s="300"/>
      <c r="K83" s="300"/>
      <c r="L83" s="300"/>
      <c r="M83" s="300"/>
      <c r="N83" s="300"/>
      <c r="O83" s="3880"/>
      <c r="P83" s="300"/>
      <c r="Q83" s="300"/>
      <c r="R83" s="300"/>
      <c r="S83" s="300"/>
      <c r="T83" s="300"/>
      <c r="U83" s="4422"/>
      <c r="V83" s="144"/>
      <c r="W83" s="144"/>
      <c r="X83" s="144"/>
      <c r="Y83" s="144"/>
    </row>
    <row r="84" spans="1:33" s="143" customFormat="1" ht="24.75" customHeight="1" thickBot="1">
      <c r="A84" s="3763">
        <v>8</v>
      </c>
      <c r="B84" s="3764" t="s">
        <v>1747</v>
      </c>
      <c r="C84" s="3881">
        <f>IFERROR(C81/'4. Отчет и прогн. потребление'!D100,0)</f>
        <v>0</v>
      </c>
      <c r="D84" s="3881">
        <f>IFERROR(D81/'4. Отчет и прогн. потребление'!E100,0)</f>
        <v>0</v>
      </c>
      <c r="E84" s="3881">
        <f>IFERROR(E81/'4. Отчет и прогн. потребление'!F100,0)</f>
        <v>0</v>
      </c>
      <c r="F84" s="3881">
        <f>IFERROR(F81/'4. Отчет и прогн. потребление'!G100,0)</f>
        <v>0</v>
      </c>
      <c r="G84" s="3881">
        <f>IFERROR(G81/'4. Отчет и прогн. потребление'!H100,0)</f>
        <v>0</v>
      </c>
      <c r="H84" s="3881">
        <f>IFERROR(H81/'4. Отчет и прогн. потребление'!I100,0)</f>
        <v>0</v>
      </c>
      <c r="I84" s="413"/>
      <c r="J84" s="413"/>
      <c r="K84" s="413"/>
      <c r="L84" s="413"/>
      <c r="M84" s="413"/>
      <c r="N84" s="413"/>
      <c r="O84" s="413"/>
      <c r="P84" s="413"/>
      <c r="Q84" s="413"/>
      <c r="R84" s="413"/>
      <c r="S84" s="413"/>
      <c r="T84" s="413"/>
      <c r="U84" s="4422"/>
      <c r="V84" s="144"/>
      <c r="W84" s="144"/>
      <c r="X84" s="144"/>
      <c r="Y84" s="144"/>
    </row>
    <row r="85" spans="1:33" s="143" customFormat="1" ht="23.25" customHeight="1" thickBot="1">
      <c r="A85" s="434"/>
      <c r="B85" s="435"/>
      <c r="D85" s="144"/>
      <c r="E85" s="144"/>
      <c r="F85" s="144"/>
      <c r="G85" s="144"/>
      <c r="H85" s="144"/>
      <c r="I85" s="436"/>
      <c r="J85" s="436"/>
      <c r="K85" s="436"/>
      <c r="L85" s="436"/>
      <c r="M85" s="436"/>
      <c r="N85" s="436"/>
      <c r="O85" s="303"/>
      <c r="P85" s="144"/>
      <c r="Q85" s="144"/>
      <c r="R85" s="144"/>
      <c r="S85" s="144"/>
      <c r="T85" s="144"/>
      <c r="U85" s="144"/>
      <c r="V85" s="144"/>
      <c r="W85" s="144"/>
      <c r="X85" s="144"/>
      <c r="Y85" s="144"/>
    </row>
    <row r="86" spans="1:33" ht="23.25" customHeight="1">
      <c r="A86" s="5022" t="s">
        <v>1</v>
      </c>
      <c r="B86" s="5025" t="s">
        <v>1754</v>
      </c>
      <c r="C86" s="5025" t="s">
        <v>1767</v>
      </c>
      <c r="D86" s="5025"/>
      <c r="E86" s="5025"/>
      <c r="F86" s="5025"/>
      <c r="G86" s="5025"/>
      <c r="H86" s="5025"/>
      <c r="I86" s="5025"/>
      <c r="J86" s="5025"/>
      <c r="K86" s="5025"/>
      <c r="L86" s="5025"/>
      <c r="M86" s="5025"/>
      <c r="N86" s="5025"/>
      <c r="O86" s="5025"/>
      <c r="P86" s="5025"/>
      <c r="Q86" s="5025"/>
      <c r="R86" s="5025"/>
      <c r="S86" s="5025"/>
      <c r="T86" s="5025"/>
      <c r="U86" s="4422"/>
      <c r="V86" s="5016" t="str">
        <f>+C86</f>
        <v>Обобщена справка за консумацията и производството на електроенергия</v>
      </c>
      <c r="W86" s="5016"/>
      <c r="X86" s="5016"/>
      <c r="Y86" s="5016"/>
      <c r="Z86" s="5016"/>
      <c r="AA86" s="5016"/>
      <c r="AB86" s="5016"/>
      <c r="AC86" s="5016"/>
      <c r="AD86" s="5016"/>
      <c r="AE86" s="5016"/>
      <c r="AF86" s="5016"/>
      <c r="AG86" s="5016"/>
    </row>
    <row r="87" spans="1:33" ht="24.75" customHeight="1">
      <c r="A87" s="5023"/>
      <c r="B87" s="5026"/>
      <c r="C87" s="5028" t="s">
        <v>348</v>
      </c>
      <c r="D87" s="5028"/>
      <c r="E87" s="5028"/>
      <c r="F87" s="5028"/>
      <c r="G87" s="5028"/>
      <c r="H87" s="5028"/>
      <c r="I87" s="5028" t="s">
        <v>911</v>
      </c>
      <c r="J87" s="5028"/>
      <c r="K87" s="5028"/>
      <c r="L87" s="5028"/>
      <c r="M87" s="5028"/>
      <c r="N87" s="5028"/>
      <c r="O87" s="5045" t="s">
        <v>1766</v>
      </c>
      <c r="P87" s="5046"/>
      <c r="Q87" s="5046"/>
      <c r="R87" s="5046"/>
      <c r="S87" s="5046"/>
      <c r="T87" s="5046"/>
      <c r="U87" s="4422"/>
      <c r="V87" s="5017" t="s">
        <v>1880</v>
      </c>
      <c r="W87" s="5017"/>
      <c r="X87" s="5017"/>
      <c r="Y87" s="5017"/>
      <c r="Z87" s="5017"/>
      <c r="AA87" s="5017"/>
      <c r="AB87" s="5017" t="s">
        <v>1881</v>
      </c>
      <c r="AC87" s="5017"/>
      <c r="AD87" s="5017"/>
      <c r="AE87" s="5017"/>
      <c r="AF87" s="5017"/>
      <c r="AG87" s="5017"/>
    </row>
    <row r="88" spans="1:33" ht="26.25" customHeight="1" thickBot="1">
      <c r="A88" s="5024"/>
      <c r="B88" s="5027"/>
      <c r="C88" s="151" t="str">
        <f t="shared" ref="C88:H88" si="229">C40</f>
        <v>2024 г.</v>
      </c>
      <c r="D88" s="151" t="str">
        <f t="shared" si="229"/>
        <v>2027 г.</v>
      </c>
      <c r="E88" s="151" t="str">
        <f t="shared" si="229"/>
        <v>2028 г.</v>
      </c>
      <c r="F88" s="151" t="str">
        <f t="shared" si="229"/>
        <v>2029 г.</v>
      </c>
      <c r="G88" s="151" t="str">
        <f t="shared" si="229"/>
        <v>2030 г.</v>
      </c>
      <c r="H88" s="151" t="str">
        <f t="shared" si="229"/>
        <v>2031 г.</v>
      </c>
      <c r="I88" s="151" t="str">
        <f t="shared" ref="I88:T88" si="230">C88</f>
        <v>2024 г.</v>
      </c>
      <c r="J88" s="151" t="str">
        <f t="shared" si="230"/>
        <v>2027 г.</v>
      </c>
      <c r="K88" s="151" t="str">
        <f t="shared" si="230"/>
        <v>2028 г.</v>
      </c>
      <c r="L88" s="151" t="str">
        <f t="shared" si="230"/>
        <v>2029 г.</v>
      </c>
      <c r="M88" s="151" t="str">
        <f t="shared" si="230"/>
        <v>2030 г.</v>
      </c>
      <c r="N88" s="151" t="str">
        <f t="shared" si="230"/>
        <v>2031 г.</v>
      </c>
      <c r="O88" s="151" t="str">
        <f t="shared" si="230"/>
        <v>2024 г.</v>
      </c>
      <c r="P88" s="151" t="str">
        <f t="shared" si="230"/>
        <v>2027 г.</v>
      </c>
      <c r="Q88" s="151" t="str">
        <f t="shared" si="230"/>
        <v>2028 г.</v>
      </c>
      <c r="R88" s="151" t="str">
        <f t="shared" si="230"/>
        <v>2029 г.</v>
      </c>
      <c r="S88" s="151" t="str">
        <f t="shared" si="230"/>
        <v>2030 г.</v>
      </c>
      <c r="T88" s="151" t="str">
        <f t="shared" si="230"/>
        <v>2031 г.</v>
      </c>
      <c r="U88" s="4422"/>
      <c r="V88" s="4436" t="str">
        <f>+I88</f>
        <v>2024 г.</v>
      </c>
      <c r="W88" s="4436" t="str">
        <f t="shared" ref="W88" si="231">+J88</f>
        <v>2027 г.</v>
      </c>
      <c r="X88" s="4436" t="str">
        <f t="shared" ref="X88" si="232">+K88</f>
        <v>2028 г.</v>
      </c>
      <c r="Y88" s="4436" t="str">
        <f t="shared" ref="Y88" si="233">+L88</f>
        <v>2029 г.</v>
      </c>
      <c r="Z88" s="4436" t="str">
        <f t="shared" ref="Z88" si="234">+M88</f>
        <v>2030 г.</v>
      </c>
      <c r="AA88" s="4436" t="str">
        <f t="shared" ref="AA88" si="235">+N88</f>
        <v>2031 г.</v>
      </c>
      <c r="AB88" s="4436" t="str">
        <f t="shared" ref="AB88" si="236">+O88</f>
        <v>2024 г.</v>
      </c>
      <c r="AC88" s="4436" t="str">
        <f t="shared" ref="AC88" si="237">+P88</f>
        <v>2027 г.</v>
      </c>
      <c r="AD88" s="4436" t="str">
        <f t="shared" ref="AD88" si="238">+Q88</f>
        <v>2028 г.</v>
      </c>
      <c r="AE88" s="4436" t="str">
        <f t="shared" ref="AE88" si="239">+R88</f>
        <v>2029 г.</v>
      </c>
      <c r="AF88" s="4436" t="str">
        <f t="shared" ref="AF88" si="240">+S88</f>
        <v>2030 г.</v>
      </c>
      <c r="AG88" s="4436" t="str">
        <f t="shared" ref="AG88" si="241">+T88</f>
        <v>2031 г.</v>
      </c>
    </row>
    <row r="89" spans="1:33" ht="24" customHeight="1">
      <c r="A89" s="3772">
        <v>1</v>
      </c>
      <c r="B89" s="3773" t="s">
        <v>1753</v>
      </c>
      <c r="C89" s="3774">
        <f t="shared" ref="C89:N89" si="242">C10+C26+C41+C57+C73</f>
        <v>14989958.311000001</v>
      </c>
      <c r="D89" s="3774">
        <f t="shared" si="242"/>
        <v>14915412.800000001</v>
      </c>
      <c r="E89" s="3774">
        <f t="shared" si="242"/>
        <v>14841239.800000001</v>
      </c>
      <c r="F89" s="3774">
        <f t="shared" si="242"/>
        <v>14767437.800000001</v>
      </c>
      <c r="G89" s="3774">
        <f t="shared" si="242"/>
        <v>14836943</v>
      </c>
      <c r="H89" s="3774">
        <f t="shared" si="242"/>
        <v>14763877</v>
      </c>
      <c r="I89" s="3774">
        <f t="shared" si="242"/>
        <v>3453.3609876371147</v>
      </c>
      <c r="J89" s="3774">
        <f t="shared" si="242"/>
        <v>4012.8922542925998</v>
      </c>
      <c r="K89" s="3774">
        <f t="shared" si="242"/>
        <v>3992.9550711035999</v>
      </c>
      <c r="L89" s="3774">
        <f t="shared" si="242"/>
        <v>3973.1176101176002</v>
      </c>
      <c r="M89" s="3774">
        <f t="shared" si="242"/>
        <v>3998.4037232430001</v>
      </c>
      <c r="N89" s="3774">
        <f t="shared" si="242"/>
        <v>3978.7640939049998</v>
      </c>
      <c r="O89" s="3775">
        <f>IFERROR((I89*1000)/(C89/1000),0)</f>
        <v>230.37829165294966</v>
      </c>
      <c r="P89" s="3775">
        <f t="shared" ref="O89:T93" si="243">IFERROR((J89*1000)/(D89/1000),0)</f>
        <v>269.04332505585091</v>
      </c>
      <c r="Q89" s="3775">
        <f t="shared" si="243"/>
        <v>269.04457612116744</v>
      </c>
      <c r="R89" s="3775">
        <f t="shared" si="243"/>
        <v>269.04583340229811</v>
      </c>
      <c r="S89" s="3775">
        <f t="shared" si="243"/>
        <v>269.48972731397566</v>
      </c>
      <c r="T89" s="3776">
        <f t="shared" si="243"/>
        <v>269.49317539728889</v>
      </c>
      <c r="U89" s="4422"/>
      <c r="V89" s="4438">
        <f>IFERROR(I89/$C$1,0)</f>
        <v>1765.6754358186115</v>
      </c>
      <c r="W89" s="4438">
        <f t="shared" ref="W89:W96" si="244">IFERROR(J89/$C$1,0)</f>
        <v>2051.7592297349975</v>
      </c>
      <c r="X89" s="4438">
        <f t="shared" ref="X89:X96" si="245">IFERROR(K89/$C$1,0)</f>
        <v>2041.5655098365401</v>
      </c>
      <c r="Y89" s="4438">
        <f t="shared" ref="Y89:Y96" si="246">IFERROR(L89/$C$1,0)</f>
        <v>2031.4227770908517</v>
      </c>
      <c r="Z89" s="4438">
        <f t="shared" ref="Z89:Z96" si="247">IFERROR(M89/$C$1,0)</f>
        <v>2044.3513614388776</v>
      </c>
      <c r="AA89" s="4438">
        <f t="shared" ref="AA89:AA96" si="248">IFERROR(N89/$C$1,0)</f>
        <v>2034.3097784086551</v>
      </c>
      <c r="AB89" s="4437">
        <f t="shared" ref="AB89:AB96" si="249">IFERROR(O89/$C$1,0)</f>
        <v>117.79055012600772</v>
      </c>
      <c r="AC89" s="4437">
        <f t="shared" ref="AC89:AC96" si="250">IFERROR(P89/$C$1,0)</f>
        <v>137.55966779109173</v>
      </c>
      <c r="AD89" s="4437">
        <f t="shared" ref="AD89:AD96" si="251">IFERROR(Q89/$C$1,0)</f>
        <v>137.56030745063092</v>
      </c>
      <c r="AE89" s="4437">
        <f t="shared" ref="AE89:AE96" si="252">IFERROR(R89/$C$1,0)</f>
        <v>137.56095028826539</v>
      </c>
      <c r="AF89" s="4437">
        <f t="shared" ref="AF89:AF96" si="253">IFERROR(S89/$C$1,0)</f>
        <v>137.78790964141857</v>
      </c>
      <c r="AG89" s="4437">
        <f t="shared" ref="AG89:AG96" si="254">IFERROR(T89/$C$1,0)</f>
        <v>137.78967261842232</v>
      </c>
    </row>
    <row r="90" spans="1:33" ht="24">
      <c r="A90" s="3295">
        <v>2</v>
      </c>
      <c r="B90" s="98" t="s">
        <v>1755</v>
      </c>
      <c r="C90" s="625">
        <f t="shared" ref="C90:N90" si="255">C11+C27+C42+C58+C74</f>
        <v>23325134.799999997</v>
      </c>
      <c r="D90" s="625">
        <f t="shared" si="255"/>
        <v>23223944.399999999</v>
      </c>
      <c r="E90" s="625">
        <f t="shared" si="255"/>
        <v>23123260.399999999</v>
      </c>
      <c r="F90" s="625">
        <f t="shared" si="255"/>
        <v>23023079.399999999</v>
      </c>
      <c r="G90" s="625">
        <f t="shared" si="255"/>
        <v>24516474</v>
      </c>
      <c r="H90" s="625">
        <f t="shared" si="255"/>
        <v>24411553</v>
      </c>
      <c r="I90" s="625">
        <f t="shared" si="255"/>
        <v>4787.9753837707995</v>
      </c>
      <c r="J90" s="625">
        <f t="shared" si="255"/>
        <v>5567.4700435137993</v>
      </c>
      <c r="K90" s="625">
        <f t="shared" si="255"/>
        <v>5543.5446052777997</v>
      </c>
      <c r="L90" s="625">
        <f t="shared" si="255"/>
        <v>5519.7386944288</v>
      </c>
      <c r="M90" s="625">
        <f t="shared" si="255"/>
        <v>5879.9617997710002</v>
      </c>
      <c r="N90" s="625">
        <f t="shared" si="255"/>
        <v>5855.0295274619994</v>
      </c>
      <c r="O90" s="298">
        <f t="shared" si="243"/>
        <v>205.27107023496387</v>
      </c>
      <c r="P90" s="298">
        <f t="shared" si="243"/>
        <v>239.72973529482783</v>
      </c>
      <c r="Q90" s="298">
        <f t="shared" si="243"/>
        <v>239.73888238000382</v>
      </c>
      <c r="R90" s="298">
        <f t="shared" si="243"/>
        <v>239.74806317302628</v>
      </c>
      <c r="S90" s="298">
        <f t="shared" si="243"/>
        <v>239.83717233444747</v>
      </c>
      <c r="T90" s="298">
        <f t="shared" si="243"/>
        <v>239.84666307227562</v>
      </c>
      <c r="U90" s="4422"/>
      <c r="V90" s="4438">
        <f t="shared" ref="V90:V96" si="256">IFERROR(I90/$C$1,0)</f>
        <v>2448.0529410893582</v>
      </c>
      <c r="W90" s="4438">
        <f t="shared" si="244"/>
        <v>2846.6022320517627</v>
      </c>
      <c r="X90" s="4438">
        <f t="shared" si="245"/>
        <v>2834.3693497276349</v>
      </c>
      <c r="Y90" s="4438">
        <f t="shared" si="246"/>
        <v>2822.1975807860604</v>
      </c>
      <c r="Z90" s="4438">
        <f t="shared" si="247"/>
        <v>3006.3767299668175</v>
      </c>
      <c r="AA90" s="4438">
        <f t="shared" si="248"/>
        <v>2993.6290615554517</v>
      </c>
      <c r="AB90" s="4437">
        <f t="shared" si="249"/>
        <v>104.95343165559576</v>
      </c>
      <c r="AC90" s="4437">
        <f t="shared" si="250"/>
        <v>122.57186733756402</v>
      </c>
      <c r="AD90" s="4437">
        <f t="shared" si="251"/>
        <v>122.57654416795111</v>
      </c>
      <c r="AE90" s="4437">
        <f t="shared" si="252"/>
        <v>122.58123823288643</v>
      </c>
      <c r="AF90" s="4437">
        <f t="shared" si="253"/>
        <v>122.62679902366131</v>
      </c>
      <c r="AG90" s="4437">
        <f t="shared" si="254"/>
        <v>122.6316515608594</v>
      </c>
    </row>
    <row r="91" spans="1:33" ht="24">
      <c r="A91" s="3295">
        <v>3</v>
      </c>
      <c r="B91" s="98" t="s">
        <v>1756</v>
      </c>
      <c r="C91" s="625">
        <f t="shared" ref="C91:N91" si="257">C12+C28+C43+C59+C75</f>
        <v>0</v>
      </c>
      <c r="D91" s="625">
        <f t="shared" si="257"/>
        <v>0</v>
      </c>
      <c r="E91" s="625">
        <f t="shared" si="257"/>
        <v>0</v>
      </c>
      <c r="F91" s="625">
        <f t="shared" si="257"/>
        <v>0</v>
      </c>
      <c r="G91" s="625">
        <f t="shared" si="257"/>
        <v>0</v>
      </c>
      <c r="H91" s="625">
        <f t="shared" si="257"/>
        <v>0</v>
      </c>
      <c r="I91" s="625">
        <f t="shared" si="257"/>
        <v>0</v>
      </c>
      <c r="J91" s="625">
        <f t="shared" si="257"/>
        <v>0</v>
      </c>
      <c r="K91" s="625">
        <f t="shared" si="257"/>
        <v>0</v>
      </c>
      <c r="L91" s="625">
        <f t="shared" si="257"/>
        <v>0</v>
      </c>
      <c r="M91" s="625">
        <f t="shared" si="257"/>
        <v>0</v>
      </c>
      <c r="N91" s="625">
        <f t="shared" si="257"/>
        <v>0</v>
      </c>
      <c r="O91" s="298">
        <f t="shared" si="243"/>
        <v>0</v>
      </c>
      <c r="P91" s="298">
        <f t="shared" si="243"/>
        <v>0</v>
      </c>
      <c r="Q91" s="298">
        <f t="shared" si="243"/>
        <v>0</v>
      </c>
      <c r="R91" s="298">
        <f t="shared" si="243"/>
        <v>0</v>
      </c>
      <c r="S91" s="298">
        <f t="shared" si="243"/>
        <v>0</v>
      </c>
      <c r="T91" s="298">
        <f t="shared" si="243"/>
        <v>0</v>
      </c>
      <c r="U91" s="4422"/>
      <c r="V91" s="4438">
        <f t="shared" si="256"/>
        <v>0</v>
      </c>
      <c r="W91" s="4438">
        <f t="shared" si="244"/>
        <v>0</v>
      </c>
      <c r="X91" s="4438">
        <f t="shared" si="245"/>
        <v>0</v>
      </c>
      <c r="Y91" s="4438">
        <f t="shared" si="246"/>
        <v>0</v>
      </c>
      <c r="Z91" s="4438">
        <f t="shared" si="247"/>
        <v>0</v>
      </c>
      <c r="AA91" s="4438">
        <f t="shared" si="248"/>
        <v>0</v>
      </c>
      <c r="AB91" s="4437">
        <f t="shared" si="249"/>
        <v>0</v>
      </c>
      <c r="AC91" s="4437">
        <f t="shared" si="250"/>
        <v>0</v>
      </c>
      <c r="AD91" s="4437">
        <f t="shared" si="251"/>
        <v>0</v>
      </c>
      <c r="AE91" s="4437">
        <f t="shared" si="252"/>
        <v>0</v>
      </c>
      <c r="AF91" s="4437">
        <f t="shared" si="253"/>
        <v>0</v>
      </c>
      <c r="AG91" s="4437">
        <f t="shared" si="254"/>
        <v>0</v>
      </c>
    </row>
    <row r="92" spans="1:33" ht="24" customHeight="1">
      <c r="A92" s="3767">
        <v>4</v>
      </c>
      <c r="B92" s="641" t="s">
        <v>1758</v>
      </c>
      <c r="C92" s="625">
        <f t="shared" ref="C92:N92" si="258">C13+C29+C44+C60+C76</f>
        <v>0</v>
      </c>
      <c r="D92" s="625">
        <f t="shared" si="258"/>
        <v>0</v>
      </c>
      <c r="E92" s="625">
        <f t="shared" si="258"/>
        <v>0</v>
      </c>
      <c r="F92" s="625">
        <f t="shared" si="258"/>
        <v>0</v>
      </c>
      <c r="G92" s="625">
        <f t="shared" si="258"/>
        <v>0</v>
      </c>
      <c r="H92" s="625">
        <f t="shared" si="258"/>
        <v>0</v>
      </c>
      <c r="I92" s="625">
        <f t="shared" si="258"/>
        <v>0</v>
      </c>
      <c r="J92" s="625">
        <f t="shared" si="258"/>
        <v>0</v>
      </c>
      <c r="K92" s="625">
        <f t="shared" si="258"/>
        <v>0</v>
      </c>
      <c r="L92" s="625">
        <f t="shared" si="258"/>
        <v>0</v>
      </c>
      <c r="M92" s="625">
        <f t="shared" si="258"/>
        <v>0</v>
      </c>
      <c r="N92" s="625">
        <f t="shared" si="258"/>
        <v>0</v>
      </c>
      <c r="O92" s="298">
        <f t="shared" si="243"/>
        <v>0</v>
      </c>
      <c r="P92" s="298">
        <f t="shared" si="243"/>
        <v>0</v>
      </c>
      <c r="Q92" s="298">
        <f t="shared" si="243"/>
        <v>0</v>
      </c>
      <c r="R92" s="298">
        <f t="shared" si="243"/>
        <v>0</v>
      </c>
      <c r="S92" s="298">
        <f t="shared" si="243"/>
        <v>0</v>
      </c>
      <c r="T92" s="298">
        <f t="shared" si="243"/>
        <v>0</v>
      </c>
      <c r="U92" s="4422"/>
      <c r="V92" s="4438">
        <f t="shared" si="256"/>
        <v>0</v>
      </c>
      <c r="W92" s="4438">
        <f t="shared" si="244"/>
        <v>0</v>
      </c>
      <c r="X92" s="4438">
        <f t="shared" si="245"/>
        <v>0</v>
      </c>
      <c r="Y92" s="4438">
        <f t="shared" si="246"/>
        <v>0</v>
      </c>
      <c r="Z92" s="4438">
        <f t="shared" si="247"/>
        <v>0</v>
      </c>
      <c r="AA92" s="4438">
        <f t="shared" si="248"/>
        <v>0</v>
      </c>
      <c r="AB92" s="4437">
        <f t="shared" si="249"/>
        <v>0</v>
      </c>
      <c r="AC92" s="4437">
        <f t="shared" si="250"/>
        <v>0</v>
      </c>
      <c r="AD92" s="4437">
        <f t="shared" si="251"/>
        <v>0</v>
      </c>
      <c r="AE92" s="4437">
        <f t="shared" si="252"/>
        <v>0</v>
      </c>
      <c r="AF92" s="4437">
        <f t="shared" si="253"/>
        <v>0</v>
      </c>
      <c r="AG92" s="4437">
        <f t="shared" si="254"/>
        <v>0</v>
      </c>
    </row>
    <row r="93" spans="1:33" ht="24">
      <c r="A93" s="3759">
        <v>5</v>
      </c>
      <c r="B93" s="305" t="s">
        <v>1759</v>
      </c>
      <c r="C93" s="622">
        <f>C89+C90+C91+C92</f>
        <v>38315093.111000001</v>
      </c>
      <c r="D93" s="622">
        <f t="shared" ref="D93:H93" si="259">D89+D90+D91+D92</f>
        <v>38139357.200000003</v>
      </c>
      <c r="E93" s="622">
        <f t="shared" si="259"/>
        <v>37964500.200000003</v>
      </c>
      <c r="F93" s="622">
        <f t="shared" si="259"/>
        <v>37790517.200000003</v>
      </c>
      <c r="G93" s="622">
        <f t="shared" si="259"/>
        <v>39353417</v>
      </c>
      <c r="H93" s="622">
        <f t="shared" si="259"/>
        <v>39175430</v>
      </c>
      <c r="I93" s="622">
        <f t="shared" ref="I93" si="260">I89+I90+I91+I92</f>
        <v>8241.3363714079132</v>
      </c>
      <c r="J93" s="622">
        <f t="shared" ref="J93" si="261">J89+J90+J91+J92</f>
        <v>9580.3622978063995</v>
      </c>
      <c r="K93" s="622">
        <f t="shared" ref="K93" si="262">K89+K90+K91+K92</f>
        <v>9536.4996763813997</v>
      </c>
      <c r="L93" s="622">
        <f t="shared" ref="L93" si="263">L89+L90+L91+L92</f>
        <v>9492.8563045463998</v>
      </c>
      <c r="M93" s="622">
        <f t="shared" ref="M93" si="264">M89+M90+M91+M92</f>
        <v>9878.3655230139993</v>
      </c>
      <c r="N93" s="622">
        <f t="shared" ref="N93" si="265">N89+N90+N91+N92</f>
        <v>9833.793621367</v>
      </c>
      <c r="O93" s="399">
        <f t="shared" si="243"/>
        <v>215.09373205834339</v>
      </c>
      <c r="P93" s="399">
        <f t="shared" si="243"/>
        <v>251.19359635684677</v>
      </c>
      <c r="Q93" s="399">
        <f t="shared" si="243"/>
        <v>251.19518566403778</v>
      </c>
      <c r="R93" s="399">
        <f t="shared" si="243"/>
        <v>251.19678183569286</v>
      </c>
      <c r="S93" s="399">
        <f t="shared" si="243"/>
        <v>251.01671661736512</v>
      </c>
      <c r="T93" s="399">
        <f t="shared" si="243"/>
        <v>251.01941756266618</v>
      </c>
      <c r="U93" s="4422"/>
      <c r="V93" s="4438">
        <f t="shared" si="256"/>
        <v>4213.7283769079695</v>
      </c>
      <c r="W93" s="4438">
        <f t="shared" si="244"/>
        <v>4898.3614617867606</v>
      </c>
      <c r="X93" s="4438">
        <f t="shared" si="245"/>
        <v>4875.934859564175</v>
      </c>
      <c r="Y93" s="4438">
        <f t="shared" si="246"/>
        <v>4853.6203578769118</v>
      </c>
      <c r="Z93" s="4438">
        <f t="shared" si="247"/>
        <v>5050.7280914056946</v>
      </c>
      <c r="AA93" s="4438">
        <f t="shared" si="248"/>
        <v>5027.9388399641075</v>
      </c>
      <c r="AB93" s="4437">
        <f t="shared" si="249"/>
        <v>109.97567889762577</v>
      </c>
      <c r="AC93" s="4437">
        <f t="shared" si="250"/>
        <v>128.43324642573577</v>
      </c>
      <c r="AD93" s="4437">
        <f t="shared" si="251"/>
        <v>128.43405902559925</v>
      </c>
      <c r="AE93" s="4437">
        <f t="shared" si="252"/>
        <v>128.43487513520748</v>
      </c>
      <c r="AF93" s="4437">
        <f t="shared" si="253"/>
        <v>128.34280925099068</v>
      </c>
      <c r="AG93" s="4437">
        <f t="shared" si="254"/>
        <v>128.34419022239467</v>
      </c>
    </row>
    <row r="94" spans="1:33" ht="29.25" customHeight="1">
      <c r="A94" s="3295">
        <v>6</v>
      </c>
      <c r="B94" s="98" t="s">
        <v>1760</v>
      </c>
      <c r="C94" s="4582">
        <v>150710.99</v>
      </c>
      <c r="D94" s="4582">
        <v>150710.99</v>
      </c>
      <c r="E94" s="4582">
        <v>150710.99</v>
      </c>
      <c r="F94" s="4582">
        <v>150710.99</v>
      </c>
      <c r="G94" s="4582">
        <v>150710.99</v>
      </c>
      <c r="H94" s="4582">
        <v>150710.99</v>
      </c>
      <c r="I94" s="1970">
        <f>(C94/1000)*(O94/1000)</f>
        <v>43.460980319269993</v>
      </c>
      <c r="J94" s="1968">
        <f t="shared" ref="J94:N95" si="266">(D94/1000)*(P94/1000)</f>
        <v>43.460980319269993</v>
      </c>
      <c r="K94" s="1968">
        <f t="shared" si="266"/>
        <v>43.460980319269993</v>
      </c>
      <c r="L94" s="1968">
        <f t="shared" si="266"/>
        <v>43.460980319269993</v>
      </c>
      <c r="M94" s="1968">
        <f t="shared" si="266"/>
        <v>43.460980319269993</v>
      </c>
      <c r="N94" s="1968">
        <f t="shared" si="266"/>
        <v>43.460980319269993</v>
      </c>
      <c r="O94" s="4581">
        <v>288.37299999999999</v>
      </c>
      <c r="P94" s="4581">
        <v>288.37299999999999</v>
      </c>
      <c r="Q94" s="4581">
        <v>288.37299999999999</v>
      </c>
      <c r="R94" s="4581">
        <v>288.37299999999999</v>
      </c>
      <c r="S94" s="4581">
        <v>288.37299999999999</v>
      </c>
      <c r="T94" s="4581">
        <v>288.37299999999999</v>
      </c>
      <c r="U94" s="4422"/>
      <c r="V94" s="4438">
        <f t="shared" si="256"/>
        <v>22.221246386071382</v>
      </c>
      <c r="W94" s="4438">
        <f t="shared" si="244"/>
        <v>22.221246386071382</v>
      </c>
      <c r="X94" s="4438">
        <f t="shared" si="245"/>
        <v>22.221246386071382</v>
      </c>
      <c r="Y94" s="4438">
        <f t="shared" si="246"/>
        <v>22.221246386071382</v>
      </c>
      <c r="Z94" s="4438">
        <f t="shared" si="247"/>
        <v>22.221246386071382</v>
      </c>
      <c r="AA94" s="4438">
        <f t="shared" si="248"/>
        <v>22.221246386071382</v>
      </c>
      <c r="AB94" s="4437">
        <f t="shared" si="249"/>
        <v>147.44277365619712</v>
      </c>
      <c r="AC94" s="4437">
        <f t="shared" si="250"/>
        <v>147.44277365619712</v>
      </c>
      <c r="AD94" s="4437">
        <f t="shared" si="251"/>
        <v>147.44277365619712</v>
      </c>
      <c r="AE94" s="4437">
        <f t="shared" si="252"/>
        <v>147.44277365619712</v>
      </c>
      <c r="AF94" s="4437">
        <f t="shared" si="253"/>
        <v>147.44277365619712</v>
      </c>
      <c r="AG94" s="4437">
        <f t="shared" si="254"/>
        <v>147.44277365619712</v>
      </c>
    </row>
    <row r="95" spans="1:33" ht="29.25" customHeight="1">
      <c r="A95" s="3295">
        <v>7</v>
      </c>
      <c r="B95" s="98" t="s">
        <v>1761</v>
      </c>
      <c r="C95" s="620">
        <v>0</v>
      </c>
      <c r="D95" s="620">
        <v>0</v>
      </c>
      <c r="E95" s="620">
        <v>0</v>
      </c>
      <c r="F95" s="620">
        <v>0</v>
      </c>
      <c r="G95" s="620">
        <v>0</v>
      </c>
      <c r="H95" s="620">
        <v>0</v>
      </c>
      <c r="I95" s="1970">
        <f>(C95/1000)*(O95/1000)</f>
        <v>0</v>
      </c>
      <c r="J95" s="1968">
        <f t="shared" si="266"/>
        <v>0</v>
      </c>
      <c r="K95" s="1968">
        <f t="shared" si="266"/>
        <v>0</v>
      </c>
      <c r="L95" s="1968">
        <f t="shared" si="266"/>
        <v>0</v>
      </c>
      <c r="M95" s="1968">
        <f t="shared" si="266"/>
        <v>0</v>
      </c>
      <c r="N95" s="1968">
        <f t="shared" si="266"/>
        <v>0</v>
      </c>
      <c r="O95" s="4391">
        <v>0</v>
      </c>
      <c r="P95" s="4391">
        <v>0</v>
      </c>
      <c r="Q95" s="4391">
        <v>0</v>
      </c>
      <c r="R95" s="4391">
        <v>0</v>
      </c>
      <c r="S95" s="4391">
        <v>0</v>
      </c>
      <c r="T95" s="4391">
        <v>0</v>
      </c>
      <c r="U95" s="4422"/>
      <c r="V95" s="4438">
        <f t="shared" si="256"/>
        <v>0</v>
      </c>
      <c r="W95" s="4438">
        <f t="shared" si="244"/>
        <v>0</v>
      </c>
      <c r="X95" s="4438">
        <f t="shared" si="245"/>
        <v>0</v>
      </c>
      <c r="Y95" s="4438">
        <f t="shared" si="246"/>
        <v>0</v>
      </c>
      <c r="Z95" s="4438">
        <f t="shared" si="247"/>
        <v>0</v>
      </c>
      <c r="AA95" s="4438">
        <f t="shared" si="248"/>
        <v>0</v>
      </c>
      <c r="AB95" s="4437">
        <f t="shared" si="249"/>
        <v>0</v>
      </c>
      <c r="AC95" s="4437">
        <f t="shared" si="250"/>
        <v>0</v>
      </c>
      <c r="AD95" s="4437">
        <f t="shared" si="251"/>
        <v>0</v>
      </c>
      <c r="AE95" s="4437">
        <f t="shared" si="252"/>
        <v>0</v>
      </c>
      <c r="AF95" s="4437">
        <f t="shared" si="253"/>
        <v>0</v>
      </c>
      <c r="AG95" s="4437">
        <f t="shared" si="254"/>
        <v>0</v>
      </c>
    </row>
    <row r="96" spans="1:33" ht="24" customHeight="1" thickBot="1">
      <c r="A96" s="3768">
        <v>8</v>
      </c>
      <c r="B96" s="3769" t="s">
        <v>1757</v>
      </c>
      <c r="C96" s="3770">
        <f>C89+C90+C91+C92+C94+C95</f>
        <v>38465804.101000004</v>
      </c>
      <c r="D96" s="3770">
        <f t="shared" ref="D96:H96" si="267">D89+D90+D91+D92+D94+D95</f>
        <v>38290068.190000005</v>
      </c>
      <c r="E96" s="3770">
        <f t="shared" si="267"/>
        <v>38115211.190000005</v>
      </c>
      <c r="F96" s="3770">
        <f t="shared" si="267"/>
        <v>37941228.190000005</v>
      </c>
      <c r="G96" s="3770">
        <f t="shared" si="267"/>
        <v>39504127.990000002</v>
      </c>
      <c r="H96" s="3770">
        <f t="shared" si="267"/>
        <v>39326140.990000002</v>
      </c>
      <c r="I96" s="3770">
        <f>I89+I90+I91+I92+I94+I95</f>
        <v>8284.7973517271839</v>
      </c>
      <c r="J96" s="3770">
        <f>J89+J90+J91+J92+J94+J95</f>
        <v>9623.8232781256702</v>
      </c>
      <c r="K96" s="3770">
        <f>K89+K90+K91+K92+K94+K95</f>
        <v>9579.9606567006704</v>
      </c>
      <c r="L96" s="3770">
        <f>L89+L90+L91+L92+L94+L95</f>
        <v>9536.3172848656704</v>
      </c>
      <c r="M96" s="3770">
        <f>M89+M90+M91+M92+M94+M95</f>
        <v>9921.82650333327</v>
      </c>
      <c r="N96" s="3770">
        <f t="shared" ref="N96" si="268">N89+N90+N91+N92+N94+N95</f>
        <v>9877.2546016862707</v>
      </c>
      <c r="O96" s="3771">
        <f t="shared" ref="O96:T96" si="269">IFERROR((I96*1000)/(C96/1000),0)</f>
        <v>215.38084398219567</v>
      </c>
      <c r="P96" s="3771">
        <f t="shared" si="269"/>
        <v>251.33993573401543</v>
      </c>
      <c r="Q96" s="3771">
        <f t="shared" si="269"/>
        <v>251.3421901021525</v>
      </c>
      <c r="R96" s="3771">
        <f t="shared" si="269"/>
        <v>251.34445403586366</v>
      </c>
      <c r="S96" s="3771">
        <f t="shared" si="269"/>
        <v>251.15923343112047</v>
      </c>
      <c r="T96" s="3771">
        <f t="shared" si="269"/>
        <v>251.16256904530491</v>
      </c>
      <c r="U96" s="4422"/>
      <c r="V96" s="4438">
        <f t="shared" si="256"/>
        <v>4235.949623294041</v>
      </c>
      <c r="W96" s="4438">
        <f t="shared" si="244"/>
        <v>4920.5827081728321</v>
      </c>
      <c r="X96" s="4438">
        <f t="shared" si="245"/>
        <v>4898.1561059502465</v>
      </c>
      <c r="Y96" s="4438">
        <f t="shared" si="246"/>
        <v>4875.8416042629833</v>
      </c>
      <c r="Z96" s="4438">
        <f t="shared" si="247"/>
        <v>5072.9493377917661</v>
      </c>
      <c r="AA96" s="4438">
        <f t="shared" si="248"/>
        <v>5050.160086350179</v>
      </c>
      <c r="AB96" s="4437">
        <f t="shared" si="249"/>
        <v>110.12247689328606</v>
      </c>
      <c r="AC96" s="4437">
        <f t="shared" si="250"/>
        <v>128.5080685611814</v>
      </c>
      <c r="AD96" s="4437">
        <f t="shared" si="251"/>
        <v>128.50922120130713</v>
      </c>
      <c r="AE96" s="4437">
        <f t="shared" si="252"/>
        <v>128.51037873223319</v>
      </c>
      <c r="AF96" s="4437">
        <f t="shared" si="253"/>
        <v>128.41567694079777</v>
      </c>
      <c r="AG96" s="4437">
        <f t="shared" si="254"/>
        <v>128.41738241324907</v>
      </c>
    </row>
    <row r="97" spans="1:27" ht="13.5" thickBot="1">
      <c r="V97" s="142"/>
      <c r="W97" s="142"/>
      <c r="X97" s="142"/>
      <c r="Y97" s="142"/>
    </row>
    <row r="98" spans="1:27" ht="21" customHeight="1">
      <c r="A98" s="5022" t="s">
        <v>1</v>
      </c>
      <c r="B98" s="5025" t="s">
        <v>1754</v>
      </c>
      <c r="C98" s="5025" t="s">
        <v>1762</v>
      </c>
      <c r="D98" s="5025"/>
      <c r="E98" s="5025"/>
      <c r="F98" s="5025"/>
      <c r="G98" s="5025"/>
      <c r="H98" s="5025"/>
      <c r="I98" s="5025"/>
      <c r="J98" s="5025"/>
      <c r="K98" s="5025"/>
      <c r="L98" s="5025"/>
      <c r="M98" s="5025"/>
      <c r="N98" s="5044"/>
      <c r="U98" s="4422"/>
      <c r="V98" s="5018" t="str">
        <f>+C98</f>
        <v>Обобщена справка за произведена и оползотворена/продадена електроенергия</v>
      </c>
      <c r="W98" s="5019"/>
      <c r="X98" s="5019"/>
      <c r="Y98" s="5019"/>
      <c r="Z98" s="5019"/>
      <c r="AA98" s="5020"/>
    </row>
    <row r="99" spans="1:27" ht="21" customHeight="1">
      <c r="A99" s="5023"/>
      <c r="B99" s="5026"/>
      <c r="C99" s="5028" t="s">
        <v>348</v>
      </c>
      <c r="D99" s="5028"/>
      <c r="E99" s="5028"/>
      <c r="F99" s="5028"/>
      <c r="G99" s="5028"/>
      <c r="H99" s="5028"/>
      <c r="I99" s="5028" t="s">
        <v>912</v>
      </c>
      <c r="J99" s="5028"/>
      <c r="K99" s="5028"/>
      <c r="L99" s="5028"/>
      <c r="M99" s="5028"/>
      <c r="N99" s="5047"/>
      <c r="U99" s="4422"/>
      <c r="V99" s="5017" t="s">
        <v>1882</v>
      </c>
      <c r="W99" s="5017"/>
      <c r="X99" s="5017"/>
      <c r="Y99" s="5017"/>
      <c r="Z99" s="5017"/>
      <c r="AA99" s="5017"/>
    </row>
    <row r="100" spans="1:27" ht="21.75" customHeight="1" thickBot="1">
      <c r="A100" s="5024"/>
      <c r="B100" s="5027"/>
      <c r="C100" s="151" t="str">
        <f t="shared" ref="C100:H100" si="270">C88</f>
        <v>2024 г.</v>
      </c>
      <c r="D100" s="151" t="str">
        <f t="shared" si="270"/>
        <v>2027 г.</v>
      </c>
      <c r="E100" s="151" t="str">
        <f t="shared" si="270"/>
        <v>2028 г.</v>
      </c>
      <c r="F100" s="151" t="str">
        <f t="shared" si="270"/>
        <v>2029 г.</v>
      </c>
      <c r="G100" s="151" t="str">
        <f t="shared" si="270"/>
        <v>2030 г.</v>
      </c>
      <c r="H100" s="151" t="str">
        <f t="shared" si="270"/>
        <v>2031 г.</v>
      </c>
      <c r="I100" s="151" t="str">
        <f>C100</f>
        <v>2024 г.</v>
      </c>
      <c r="J100" s="151" t="str">
        <f t="shared" ref="J100:N100" si="271">D100</f>
        <v>2027 г.</v>
      </c>
      <c r="K100" s="151" t="str">
        <f t="shared" si="271"/>
        <v>2028 г.</v>
      </c>
      <c r="L100" s="151" t="str">
        <f t="shared" si="271"/>
        <v>2029 г.</v>
      </c>
      <c r="M100" s="151" t="str">
        <f t="shared" si="271"/>
        <v>2030 г.</v>
      </c>
      <c r="N100" s="152" t="str">
        <f t="shared" si="271"/>
        <v>2031 г.</v>
      </c>
      <c r="U100" s="4422"/>
      <c r="V100" s="4436" t="str">
        <f>+I100</f>
        <v>2024 г.</v>
      </c>
      <c r="W100" s="4436" t="str">
        <f t="shared" ref="W100" si="272">+J100</f>
        <v>2027 г.</v>
      </c>
      <c r="X100" s="4436" t="str">
        <f t="shared" ref="X100" si="273">+K100</f>
        <v>2028 г.</v>
      </c>
      <c r="Y100" s="4436" t="str">
        <f t="shared" ref="Y100" si="274">+L100</f>
        <v>2029 г.</v>
      </c>
      <c r="Z100" s="4436" t="str">
        <f t="shared" ref="Z100" si="275">+M100</f>
        <v>2030 г.</v>
      </c>
      <c r="AA100" s="4436" t="str">
        <f t="shared" ref="AA100" si="276">+N100</f>
        <v>2031 г.</v>
      </c>
    </row>
    <row r="101" spans="1:27" ht="24">
      <c r="A101" s="3772">
        <v>1</v>
      </c>
      <c r="B101" s="3780" t="s">
        <v>1763</v>
      </c>
      <c r="C101" s="3758">
        <f>C102+C103</f>
        <v>0</v>
      </c>
      <c r="D101" s="3758">
        <f t="shared" ref="D101:H101" si="277">D102+D103</f>
        <v>0</v>
      </c>
      <c r="E101" s="3758">
        <f t="shared" si="277"/>
        <v>0</v>
      </c>
      <c r="F101" s="3758">
        <f t="shared" si="277"/>
        <v>0</v>
      </c>
      <c r="G101" s="3758">
        <f t="shared" si="277"/>
        <v>0</v>
      </c>
      <c r="H101" s="3758">
        <f t="shared" si="277"/>
        <v>0</v>
      </c>
      <c r="I101" s="3781"/>
      <c r="J101" s="3781"/>
      <c r="K101" s="3781"/>
      <c r="L101" s="3781"/>
      <c r="M101" s="3781"/>
      <c r="N101" s="3782"/>
      <c r="U101" s="4422"/>
      <c r="V101" s="4438"/>
      <c r="W101" s="4438"/>
      <c r="X101" s="4438"/>
      <c r="Y101" s="4438"/>
      <c r="Z101" s="4438"/>
      <c r="AA101" s="4438"/>
    </row>
    <row r="102" spans="1:27" ht="24">
      <c r="A102" s="3295">
        <v>2</v>
      </c>
      <c r="B102" s="101" t="s">
        <v>1764</v>
      </c>
      <c r="C102" s="1971">
        <f t="shared" ref="C102:H102" si="278">C13+C29+C44+C60+C76</f>
        <v>0</v>
      </c>
      <c r="D102" s="1971">
        <f t="shared" si="278"/>
        <v>0</v>
      </c>
      <c r="E102" s="1971">
        <f t="shared" si="278"/>
        <v>0</v>
      </c>
      <c r="F102" s="1971">
        <f t="shared" si="278"/>
        <v>0</v>
      </c>
      <c r="G102" s="1971">
        <f t="shared" si="278"/>
        <v>0</v>
      </c>
      <c r="H102" s="1971">
        <f t="shared" si="278"/>
        <v>0</v>
      </c>
      <c r="I102" s="300"/>
      <c r="J102" s="300"/>
      <c r="K102" s="300"/>
      <c r="L102" s="300"/>
      <c r="M102" s="300"/>
      <c r="N102" s="3761"/>
      <c r="U102" s="4422"/>
      <c r="V102" s="4438"/>
      <c r="W102" s="4438"/>
      <c r="X102" s="4438"/>
      <c r="Y102" s="4438"/>
      <c r="Z102" s="4438"/>
      <c r="AA102" s="4438"/>
    </row>
    <row r="103" spans="1:27" ht="24">
      <c r="A103" s="4024">
        <v>3</v>
      </c>
      <c r="B103" s="101" t="s">
        <v>1765</v>
      </c>
      <c r="C103" s="173"/>
      <c r="D103" s="173"/>
      <c r="E103" s="173"/>
      <c r="F103" s="173"/>
      <c r="G103" s="173"/>
      <c r="H103" s="173">
        <v>0</v>
      </c>
      <c r="I103" s="173">
        <v>0</v>
      </c>
      <c r="J103" s="173">
        <v>0</v>
      </c>
      <c r="K103" s="173">
        <v>0</v>
      </c>
      <c r="L103" s="173">
        <v>0</v>
      </c>
      <c r="M103" s="173">
        <v>0</v>
      </c>
      <c r="N103" s="173">
        <v>0</v>
      </c>
      <c r="U103" s="4422"/>
      <c r="V103" s="4438">
        <f t="shared" ref="V103" si="279">IFERROR(I103/$C$1,0)</f>
        <v>0</v>
      </c>
      <c r="W103" s="4438">
        <f t="shared" ref="W103" si="280">IFERROR(J103/$C$1,0)</f>
        <v>0</v>
      </c>
      <c r="X103" s="4438">
        <f t="shared" ref="X103" si="281">IFERROR(K103/$C$1,0)</f>
        <v>0</v>
      </c>
      <c r="Y103" s="4438">
        <f t="shared" ref="Y103" si="282">IFERROR(L103/$C$1,0)</f>
        <v>0</v>
      </c>
      <c r="Z103" s="4438">
        <f t="shared" ref="Z103" si="283">IFERROR(M103/$C$1,0)</f>
        <v>0</v>
      </c>
      <c r="AA103" s="4438">
        <f t="shared" ref="AA103" si="284">IFERROR(N103/$C$1,0)</f>
        <v>0</v>
      </c>
    </row>
    <row r="104" spans="1:27" ht="13.5" thickBot="1">
      <c r="A104" s="5042"/>
      <c r="B104" s="5043"/>
      <c r="C104" s="5043"/>
      <c r="D104" s="5043"/>
      <c r="E104" s="5043"/>
      <c r="F104" s="5043"/>
      <c r="G104" s="5043"/>
      <c r="H104" s="5043"/>
      <c r="I104" s="5043"/>
      <c r="J104" s="5043"/>
      <c r="K104" s="5043"/>
      <c r="L104" s="5043"/>
      <c r="M104" s="5043"/>
      <c r="N104" s="5043"/>
      <c r="O104" s="5043"/>
      <c r="P104" s="5043"/>
      <c r="Q104" s="5043"/>
      <c r="R104" s="5043"/>
      <c r="S104" s="5043"/>
      <c r="T104" s="5043"/>
    </row>
    <row r="105" spans="1:27" ht="22.5" customHeight="1">
      <c r="A105" s="5022" t="s">
        <v>1785</v>
      </c>
      <c r="B105" s="5025"/>
      <c r="C105" s="5025"/>
      <c r="D105" s="5025"/>
      <c r="E105" s="5025"/>
      <c r="F105" s="5025"/>
      <c r="G105" s="5025"/>
      <c r="H105" s="5025"/>
      <c r="I105" s="5025"/>
      <c r="J105" s="5025"/>
      <c r="K105" s="5025"/>
      <c r="L105" s="5025"/>
      <c r="M105" s="5025"/>
      <c r="N105" s="5044"/>
    </row>
    <row r="106" spans="1:27" ht="24.95" customHeight="1" thickBot="1">
      <c r="A106" s="5039" t="s">
        <v>207</v>
      </c>
      <c r="B106" s="5040"/>
      <c r="C106" s="5040" t="s">
        <v>174</v>
      </c>
      <c r="D106" s="5040"/>
      <c r="E106" s="5040"/>
      <c r="F106" s="5040" t="s">
        <v>184</v>
      </c>
      <c r="G106" s="5040"/>
      <c r="H106" s="5040"/>
      <c r="I106" s="5040" t="s">
        <v>1029</v>
      </c>
      <c r="J106" s="5040"/>
      <c r="K106" s="5040"/>
      <c r="L106" s="5040" t="s">
        <v>1092</v>
      </c>
      <c r="M106" s="5040"/>
      <c r="N106" s="5041"/>
    </row>
    <row r="107" spans="1:27" ht="57.75" customHeight="1">
      <c r="A107" s="5034"/>
      <c r="B107" s="5034"/>
      <c r="C107" s="5035"/>
      <c r="D107" s="5035"/>
      <c r="E107" s="5035"/>
      <c r="F107" s="5036"/>
      <c r="G107" s="5037"/>
      <c r="H107" s="5038"/>
      <c r="I107" s="5035"/>
      <c r="J107" s="5035"/>
      <c r="K107" s="5035"/>
      <c r="L107" s="5035"/>
      <c r="M107" s="5035"/>
      <c r="N107" s="5035"/>
    </row>
    <row r="108" spans="1:27" ht="20.25" customHeight="1"/>
    <row r="111" spans="1:27">
      <c r="A111" s="1972"/>
      <c r="B111" s="1973" t="str">
        <f>'Приложение '!B82</f>
        <v>Дата: 29.06.2026</v>
      </c>
      <c r="C111" s="1974"/>
      <c r="D111" s="1974"/>
      <c r="J111" s="1975"/>
      <c r="K111" s="1976"/>
    </row>
    <row r="112" spans="1:27">
      <c r="A112" s="1977"/>
      <c r="B112" s="1977"/>
      <c r="C112" s="5050"/>
      <c r="D112" s="5050"/>
      <c r="J112" s="1975"/>
      <c r="K112" s="1978"/>
    </row>
    <row r="113" spans="1:18">
      <c r="F113" s="1984"/>
    </row>
    <row r="114" spans="1:18">
      <c r="A114" s="5048" t="s">
        <v>187</v>
      </c>
      <c r="B114" s="5048"/>
      <c r="C114" s="5048"/>
      <c r="D114" s="1338"/>
      <c r="E114" s="1338"/>
      <c r="F114" s="1338"/>
      <c r="G114" s="1338"/>
      <c r="H114" s="1338"/>
      <c r="I114" s="1338"/>
      <c r="J114" s="1338"/>
      <c r="K114" s="1338"/>
      <c r="L114" s="1338"/>
      <c r="M114" s="1338"/>
      <c r="N114" s="1338"/>
      <c r="O114" s="1338"/>
      <c r="P114" s="1338"/>
      <c r="Q114" s="1338"/>
      <c r="R114" s="1338"/>
    </row>
    <row r="115" spans="1:18">
      <c r="A115" s="5049" t="s">
        <v>188</v>
      </c>
      <c r="B115" s="5049"/>
      <c r="C115" s="5049"/>
      <c r="D115" s="1338"/>
      <c r="E115" s="1338"/>
      <c r="F115" s="1338"/>
      <c r="G115" s="1338"/>
      <c r="H115" s="1338"/>
      <c r="I115" s="1338"/>
      <c r="J115" s="1338"/>
      <c r="K115" s="1338"/>
      <c r="L115" s="1338"/>
      <c r="M115" s="1338"/>
      <c r="N115" s="1338"/>
      <c r="O115" s="1338"/>
      <c r="P115" s="1338"/>
      <c r="Q115" s="1338"/>
      <c r="R115" s="1338"/>
    </row>
    <row r="116" spans="1:18" ht="14.25" customHeight="1">
      <c r="A116" s="4957" t="s">
        <v>1786</v>
      </c>
      <c r="B116" s="4957"/>
      <c r="C116" s="4957"/>
      <c r="D116" s="4957"/>
      <c r="E116" s="4957"/>
      <c r="F116" s="4957"/>
      <c r="G116" s="4957"/>
      <c r="H116" s="4957"/>
      <c r="I116" s="4957"/>
      <c r="J116" s="4957"/>
      <c r="K116" s="4957"/>
      <c r="L116" s="4957"/>
      <c r="M116" s="4957"/>
      <c r="N116" s="4957"/>
      <c r="O116" s="4957"/>
      <c r="P116" s="4957"/>
      <c r="Q116" s="4957"/>
      <c r="R116" s="4957"/>
    </row>
    <row r="119" spans="1:18">
      <c r="B119" s="644"/>
    </row>
  </sheetData>
  <sheetProtection password="EF75" sheet="1" formatCells="0" formatColumns="0" formatRows="0" insertRows="0"/>
  <mergeCells count="89">
    <mergeCell ref="B23:B25"/>
    <mergeCell ref="A23:A25"/>
    <mergeCell ref="I39:N39"/>
    <mergeCell ref="A38:A40"/>
    <mergeCell ref="B38:B40"/>
    <mergeCell ref="C39:H39"/>
    <mergeCell ref="C23:T23"/>
    <mergeCell ref="C38:T38"/>
    <mergeCell ref="C24:H24"/>
    <mergeCell ref="I24:N24"/>
    <mergeCell ref="O24:T24"/>
    <mergeCell ref="O39:T39"/>
    <mergeCell ref="A54:A56"/>
    <mergeCell ref="B54:B56"/>
    <mergeCell ref="C55:H55"/>
    <mergeCell ref="C54:T54"/>
    <mergeCell ref="O55:T55"/>
    <mergeCell ref="I55:N55"/>
    <mergeCell ref="A116:R116"/>
    <mergeCell ref="I99:N99"/>
    <mergeCell ref="C98:N98"/>
    <mergeCell ref="A114:C114"/>
    <mergeCell ref="A115:C115"/>
    <mergeCell ref="A98:A100"/>
    <mergeCell ref="B98:B100"/>
    <mergeCell ref="C99:H99"/>
    <mergeCell ref="C112:D112"/>
    <mergeCell ref="A86:A88"/>
    <mergeCell ref="A70:A72"/>
    <mergeCell ref="B70:B72"/>
    <mergeCell ref="C71:H71"/>
    <mergeCell ref="I71:N71"/>
    <mergeCell ref="B86:B88"/>
    <mergeCell ref="C87:H87"/>
    <mergeCell ref="C70:T70"/>
    <mergeCell ref="O71:T71"/>
    <mergeCell ref="O87:T87"/>
    <mergeCell ref="I87:N87"/>
    <mergeCell ref="C86:T86"/>
    <mergeCell ref="A80:T80"/>
    <mergeCell ref="A17:T17"/>
    <mergeCell ref="A33:T33"/>
    <mergeCell ref="A48:T48"/>
    <mergeCell ref="A64:T64"/>
    <mergeCell ref="A107:B107"/>
    <mergeCell ref="C107:E107"/>
    <mergeCell ref="F107:H107"/>
    <mergeCell ref="I107:K107"/>
    <mergeCell ref="L107:N107"/>
    <mergeCell ref="A106:B106"/>
    <mergeCell ref="C106:E106"/>
    <mergeCell ref="F106:H106"/>
    <mergeCell ref="I106:K106"/>
    <mergeCell ref="L106:N106"/>
    <mergeCell ref="A104:T104"/>
    <mergeCell ref="A105:N105"/>
    <mergeCell ref="V8:AA8"/>
    <mergeCell ref="AB8:AG8"/>
    <mergeCell ref="V7:AG7"/>
    <mergeCell ref="A1:B1"/>
    <mergeCell ref="C1:D1"/>
    <mergeCell ref="S6:T6"/>
    <mergeCell ref="A7:A9"/>
    <mergeCell ref="B7:B9"/>
    <mergeCell ref="C8:H8"/>
    <mergeCell ref="I8:N8"/>
    <mergeCell ref="C7:T7"/>
    <mergeCell ref="O8:T8"/>
    <mergeCell ref="A3:T3"/>
    <mergeCell ref="A2:T2"/>
    <mergeCell ref="A4:T4"/>
    <mergeCell ref="A5:T5"/>
    <mergeCell ref="V23:AG23"/>
    <mergeCell ref="V24:AA24"/>
    <mergeCell ref="AB24:AG24"/>
    <mergeCell ref="V38:AG38"/>
    <mergeCell ref="V39:AA39"/>
    <mergeCell ref="AB39:AG39"/>
    <mergeCell ref="V54:AG54"/>
    <mergeCell ref="V55:AA55"/>
    <mergeCell ref="AB55:AG55"/>
    <mergeCell ref="V70:AG70"/>
    <mergeCell ref="V71:AA71"/>
    <mergeCell ref="AB71:AG71"/>
    <mergeCell ref="V86:AG86"/>
    <mergeCell ref="V87:AA87"/>
    <mergeCell ref="AB87:AG87"/>
    <mergeCell ref="V99:AA99"/>
    <mergeCell ref="V98:AA98"/>
  </mergeCells>
  <phoneticPr fontId="174" type="noConversion"/>
  <printOptions horizontalCentered="1"/>
  <pageMargins left="0" right="0" top="0.74803149606299213" bottom="0.27559055118110237" header="0.31496062992125984" footer="0.11811023622047245"/>
  <pageSetup paperSize="9" scale="68" orientation="landscape" r:id="rId1"/>
  <headerFooter alignWithMargins="0">
    <oddFooter>&amp;C&amp;A&amp;RСтр. &amp;P от &amp;N</oddFooter>
  </headerFooter>
  <rowBreaks count="3" manualBreakCount="3">
    <brk id="37" max="32" man="1"/>
    <brk id="69" max="32" man="1"/>
    <brk id="97" max="32" man="1"/>
  </rowBreaks>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37</vt:i4>
      </vt:variant>
      <vt:variant>
        <vt:lpstr>Наименувани диапазони</vt:lpstr>
      </vt:variant>
      <vt:variant>
        <vt:i4>40</vt:i4>
      </vt:variant>
    </vt:vector>
  </HeadingPairs>
  <TitlesOfParts>
    <vt:vector size="77" baseType="lpstr">
      <vt:lpstr>Приложение </vt:lpstr>
      <vt:lpstr>1. Обща информация</vt:lpstr>
      <vt:lpstr>2. Променливи</vt:lpstr>
      <vt:lpstr>3. Показатели за качество</vt:lpstr>
      <vt:lpstr>4. Отчет и прогн. потребление</vt:lpstr>
      <vt:lpstr>4.1. Фактурирани количества</vt:lpstr>
      <vt:lpstr>4.2. Продад. и закупени кол-ва</vt:lpstr>
      <vt:lpstr>5. Персонал</vt:lpstr>
      <vt:lpstr>6. Ел.Енергия</vt:lpstr>
      <vt:lpstr>7. Утайки от ПСОВ</vt:lpstr>
      <vt:lpstr>8. Ремонтна програма</vt:lpstr>
      <vt:lpstr>9.Инвестиционна програма</vt:lpstr>
      <vt:lpstr>10. Финансиране на ИП</vt:lpstr>
      <vt:lpstr>11. Амортиз. план</vt:lpstr>
      <vt:lpstr>11.1.Амортиз.нови активи</vt:lpstr>
      <vt:lpstr>11.2. ДА за периода</vt:lpstr>
      <vt:lpstr>11.3. ДА Базова година</vt:lpstr>
      <vt:lpstr>12. Разходи</vt:lpstr>
      <vt:lpstr>12.1. Разходи изменение</vt:lpstr>
      <vt:lpstr>12.2.Нови дейности или обекти</vt:lpstr>
      <vt:lpstr>13. Соц. поносимост</vt:lpstr>
      <vt:lpstr>14. ОПР</vt:lpstr>
      <vt:lpstr>15. ОПП</vt:lpstr>
      <vt:lpstr>16. Необходими приходи</vt:lpstr>
      <vt:lpstr>17. РБА</vt:lpstr>
      <vt:lpstr>18. OK</vt:lpstr>
      <vt:lpstr>19. HB</vt:lpstr>
      <vt:lpstr>20.Цени </vt:lpstr>
      <vt:lpstr>Анализ (ТЧ)</vt:lpstr>
      <vt:lpstr>Анализ (ТЧ€)</vt:lpstr>
      <vt:lpstr>Анализ (ОЧ)</vt:lpstr>
      <vt:lpstr>Анализ (ОЧ€)</vt:lpstr>
      <vt:lpstr>Анализ (ИЧ)</vt:lpstr>
      <vt:lpstr>Анализ (ИЧ€)</vt:lpstr>
      <vt:lpstr>Лист1</vt:lpstr>
      <vt:lpstr>Лист2</vt:lpstr>
      <vt:lpstr>Лист3</vt:lpstr>
      <vt:lpstr>'1. Обща информация'!Област_печат</vt:lpstr>
      <vt:lpstr>'10. Финансиране на ИП'!Област_печат</vt:lpstr>
      <vt:lpstr>'11. Амортиз. план'!Област_печат</vt:lpstr>
      <vt:lpstr>'11.1.Амортиз.нови активи'!Област_печат</vt:lpstr>
      <vt:lpstr>'11.2. ДА за периода'!Област_печат</vt:lpstr>
      <vt:lpstr>'11.3. ДА Базова година'!Област_печат</vt:lpstr>
      <vt:lpstr>'12. Разходи'!Област_печат</vt:lpstr>
      <vt:lpstr>'12.1. Разходи изменение'!Област_печат</vt:lpstr>
      <vt:lpstr>'12.2.Нови дейности или обекти'!Област_печат</vt:lpstr>
      <vt:lpstr>'13. Соц. поносимост'!Област_печат</vt:lpstr>
      <vt:lpstr>'14. ОПР'!Област_печат</vt:lpstr>
      <vt:lpstr>'15. ОПП'!Област_печат</vt:lpstr>
      <vt:lpstr>'16. Необходими приходи'!Област_печат</vt:lpstr>
      <vt:lpstr>'17. РБА'!Област_печат</vt:lpstr>
      <vt:lpstr>'18. OK'!Област_печат</vt:lpstr>
      <vt:lpstr>'19. HB'!Област_печат</vt:lpstr>
      <vt:lpstr>'20.Цени '!Област_печат</vt:lpstr>
      <vt:lpstr>'3. Показатели за качество'!Област_печат</vt:lpstr>
      <vt:lpstr>'4. Отчет и прогн. потребление'!Област_печат</vt:lpstr>
      <vt:lpstr>'4.1. Фактурирани количества'!Област_печат</vt:lpstr>
      <vt:lpstr>'5. Персонал'!Област_печат</vt:lpstr>
      <vt:lpstr>'6. Ел.Енергия'!Област_печат</vt:lpstr>
      <vt:lpstr>'7. Утайки от ПСОВ'!Област_печат</vt:lpstr>
      <vt:lpstr>'8. Ремонтна програма'!Област_печат</vt:lpstr>
      <vt:lpstr>'9.Инвестиционна програма'!Област_печат</vt:lpstr>
      <vt:lpstr>'10. Финансиране на ИП'!Печат_заглавия</vt:lpstr>
      <vt:lpstr>'11. Амортиз. план'!Печат_заглавия</vt:lpstr>
      <vt:lpstr>'11.1.Амортиз.нови активи'!Печат_заглавия</vt:lpstr>
      <vt:lpstr>'11.2. ДА за периода'!Печат_заглавия</vt:lpstr>
      <vt:lpstr>'11.3. ДА Базова година'!Печат_заглавия</vt:lpstr>
      <vt:lpstr>'12. Разходи'!Печат_заглавия</vt:lpstr>
      <vt:lpstr>'12.1. Разходи изменение'!Печат_заглавия</vt:lpstr>
      <vt:lpstr>'12.2.Нови дейности или обекти'!Печат_заглавия</vt:lpstr>
      <vt:lpstr>'2. Променливи'!Печат_заглавия</vt:lpstr>
      <vt:lpstr>'4. Отчет и прогн. потребление'!Печат_заглавия</vt:lpstr>
      <vt:lpstr>'4.1. Фактурирани количества'!Печат_заглавия</vt:lpstr>
      <vt:lpstr>'4.2. Продад. и закупени кол-ва'!Печат_заглавия</vt:lpstr>
      <vt:lpstr>'5. Персонал'!Печат_заглавия</vt:lpstr>
      <vt:lpstr>'8. Ремонтна програма'!Печат_заглавия</vt:lpstr>
      <vt:lpstr>'9.Инвестиционна програма'!Печат_заглавия</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Yakimov</dc:creator>
  <cp:lastModifiedBy>PC</cp:lastModifiedBy>
  <cp:lastPrinted>2026-06-29T13:31:40Z</cp:lastPrinted>
  <dcterms:created xsi:type="dcterms:W3CDTF">2015-02-06T07:26:45Z</dcterms:created>
  <dcterms:modified xsi:type="dcterms:W3CDTF">2026-07-09T12:31:40Z</dcterms:modified>
</cp:coreProperties>
</file>